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1.xml" ContentType="application/vnd.openxmlformats-officedocument.spreadsheetml.query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tables/table8.xml" ContentType="application/vnd.openxmlformats-officedocument.spreadsheetml.table+xml"/>
  <Override PartName="/xl/queryTables/queryTable3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queryTables/queryTable4.xml" ContentType="application/vnd.openxmlformats-officedocument.spreadsheetml.queryTable+xml"/>
  <Override PartName="/xl/tables/table25.xml" ContentType="application/vnd.openxmlformats-officedocument.spreadsheetml.table+xml"/>
  <Override PartName="/xl/queryTables/queryTable5.xml" ContentType="application/vnd.openxmlformats-officedocument.spreadsheetml.queryTable+xml"/>
  <Override PartName="/xl/tables/table26.xml" ContentType="application/vnd.openxmlformats-officedocument.spreadsheetml.table+xml"/>
  <Override PartName="/xl/queryTables/queryTable6.xml" ContentType="application/vnd.openxmlformats-officedocument.spreadsheetml.queryTable+xml"/>
  <Override PartName="/xl/tables/table27.xml" ContentType="application/vnd.openxmlformats-officedocument.spreadsheetml.table+xml"/>
  <Override PartName="/xl/queryTables/queryTable7.xml" ContentType="application/vnd.openxmlformats-officedocument.spreadsheetml.queryTable+xml"/>
  <Override PartName="/xl/tables/table2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ube\Github\ShopifyOps\"/>
    </mc:Choice>
  </mc:AlternateContent>
  <xr:revisionPtr revIDLastSave="0" documentId="13_ncr:1_{7444EA01-3742-482D-B9C2-5B83CDECF88D}" xr6:coauthVersionLast="47" xr6:coauthVersionMax="47" xr10:uidLastSave="{00000000-0000-0000-0000-000000000000}"/>
  <bookViews>
    <workbookView xWindow="-120" yWindow="-120" windowWidth="29040" windowHeight="15720" firstSheet="3" activeTab="4" xr2:uid="{5E636807-58B5-4539-A616-72F494A7DFFF}"/>
  </bookViews>
  <sheets>
    <sheet name="Dashboard" sheetId="6" r:id="rId1"/>
    <sheet name="Mensual" sheetId="5" r:id="rId2"/>
    <sheet name="Semanal" sheetId="4" r:id="rId3"/>
    <sheet name="Diario" sheetId="1" r:id="rId4"/>
    <sheet name="Params" sheetId="3" r:id="rId5"/>
    <sheet name="Data" sheetId="2" r:id="rId6"/>
    <sheet name="OldData" sheetId="10" r:id="rId7"/>
    <sheet name="Shopify-ConversionRateByReferra" sheetId="12" r:id="rId8"/>
    <sheet name="Shopify-SalesQuantityOrderedByS" sheetId="11" r:id="rId9"/>
    <sheet name="Shopify-Summary" sheetId="7" r:id="rId10"/>
    <sheet name="Shopify-SalesByUTM" sheetId="8" r:id="rId11"/>
    <sheet name="Shopify-SalesBySource" sheetId="9" r:id="rId12"/>
    <sheet name="Sheet1" sheetId="13" r:id="rId13"/>
  </sheets>
  <definedNames>
    <definedName name="_xlnm._FilterDatabase" localSheetId="3" hidden="1">Diario!$B$6:$AL$6</definedName>
    <definedName name="ExternalData_1" localSheetId="4" hidden="1">Params!$I$31:$N$419</definedName>
    <definedName name="ExternalData_1" localSheetId="9" hidden="1">'Shopify-Summary'!$B$5:$CI$35</definedName>
    <definedName name="ExternalData_2" localSheetId="10" hidden="1">'Shopify-SalesByUTM'!$B$5:$I$23</definedName>
    <definedName name="ExternalData_3" localSheetId="11" hidden="1">'Shopify-SalesBySource'!$B$5:$H$849</definedName>
    <definedName name="ExternalData_4" localSheetId="8" hidden="1">'Shopify-SalesQuantityOrderedByS'!$B$5:$G$11396</definedName>
    <definedName name="ExternalData_5" localSheetId="7" hidden="1">'Shopify-ConversionRateByReferra'!$B$5:$F$2159</definedName>
    <definedName name="ExternalData_6" localSheetId="5" hidden="1">Data!$DZ$5:$EE$2533</definedName>
    <definedName name="ExternalData_7" localSheetId="5" hidden="1">Data!$DP$5:$DX$393</definedName>
    <definedName name="ParamAccessToken">Params!$C$7</definedName>
    <definedName name="ParamAccountingCOGS">Params!$C$19</definedName>
    <definedName name="ParamApiVersion">Params!$C$8</definedName>
    <definedName name="ParamFechaFinReporte">Params!$C$11</definedName>
    <definedName name="ParamFechaInicioReporte">Params!$C$10</definedName>
    <definedName name="ParamFechaRefrescarHistorico">Params!$C$12</definedName>
    <definedName name="ParamGoogleReportSource">Params!$C$17</definedName>
    <definedName name="ParamMetaAccountID">Params!$C$15</definedName>
    <definedName name="ParamMetaSystemToken">Params!$C$14</definedName>
    <definedName name="ParamShopName">Params!$C$6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6" i="1" l="1" a="1"/>
  <c r="B366" i="1" s="1"/>
  <c r="C366" i="1" s="1"/>
  <c r="B367" i="1" a="1"/>
  <c r="B367" i="1" s="1"/>
  <c r="C367" i="1" s="1"/>
  <c r="B368" i="1" a="1"/>
  <c r="B368" i="1" s="1"/>
  <c r="C368" i="1" s="1"/>
  <c r="B369" i="1" a="1"/>
  <c r="B369" i="1" s="1"/>
  <c r="C369" i="1" s="1"/>
  <c r="B370" i="1" a="1"/>
  <c r="B370" i="1" s="1"/>
  <c r="C370" i="1" s="1"/>
  <c r="B371" i="1" a="1"/>
  <c r="B371" i="1" s="1"/>
  <c r="C371" i="1" s="1"/>
  <c r="B372" i="1" a="1"/>
  <c r="B372" i="1" s="1"/>
  <c r="C372" i="1" s="1"/>
  <c r="B373" i="1" a="1"/>
  <c r="B373" i="1" s="1"/>
  <c r="C373" i="1" s="1"/>
  <c r="B374" i="1" a="1"/>
  <c r="B374" i="1" s="1"/>
  <c r="C374" i="1" s="1"/>
  <c r="B375" i="1" a="1"/>
  <c r="B375" i="1" s="1"/>
  <c r="C375" i="1" s="1"/>
  <c r="B376" i="1" a="1"/>
  <c r="B376" i="1" s="1"/>
  <c r="C376" i="1" s="1"/>
  <c r="B377" i="1" a="1"/>
  <c r="B377" i="1" s="1"/>
  <c r="C377" i="1" s="1"/>
  <c r="B378" i="1" a="1"/>
  <c r="B378" i="1" s="1"/>
  <c r="C378" i="1" s="1"/>
  <c r="B379" i="1" a="1"/>
  <c r="B379" i="1" s="1"/>
  <c r="C379" i="1" s="1"/>
  <c r="B380" i="1" a="1"/>
  <c r="B380" i="1" s="1"/>
  <c r="C380" i="1" s="1"/>
  <c r="B381" i="1" a="1"/>
  <c r="B381" i="1" s="1"/>
  <c r="C381" i="1" s="1"/>
  <c r="B382" i="1" a="1"/>
  <c r="B382" i="1" s="1"/>
  <c r="C382" i="1" s="1"/>
  <c r="B383" i="1" a="1"/>
  <c r="B383" i="1" s="1"/>
  <c r="C383" i="1" s="1"/>
  <c r="B384" i="1" a="1"/>
  <c r="B384" i="1" s="1"/>
  <c r="C384" i="1" s="1"/>
  <c r="B385" i="1" a="1"/>
  <c r="B385" i="1" s="1"/>
  <c r="C385" i="1" s="1"/>
  <c r="B386" i="1" a="1"/>
  <c r="B386" i="1" s="1"/>
  <c r="C386" i="1" s="1"/>
  <c r="B387" i="1" a="1"/>
  <c r="B387" i="1" s="1"/>
  <c r="C387" i="1" s="1"/>
  <c r="B388" i="1" a="1"/>
  <c r="B388" i="1" s="1"/>
  <c r="C388" i="1" s="1"/>
  <c r="B389" i="1" a="1"/>
  <c r="B389" i="1" s="1"/>
  <c r="C389" i="1" s="1"/>
  <c r="B390" i="1" a="1"/>
  <c r="B390" i="1" s="1"/>
  <c r="C390" i="1" s="1"/>
  <c r="B391" i="1" a="1"/>
  <c r="B391" i="1" s="1"/>
  <c r="C391" i="1" s="1"/>
  <c r="B392" i="1" a="1"/>
  <c r="B392" i="1" s="1"/>
  <c r="C392" i="1" s="1"/>
  <c r="B393" i="1" a="1"/>
  <c r="B393" i="1" s="1"/>
  <c r="C393" i="1" s="1"/>
  <c r="B394" i="1" a="1"/>
  <c r="B394" i="1" s="1"/>
  <c r="C394" i="1" s="1"/>
  <c r="B395" i="1" a="1"/>
  <c r="B395" i="1" s="1"/>
  <c r="C395" i="1" s="1"/>
  <c r="B396" i="1" a="1"/>
  <c r="B396" i="1" s="1"/>
  <c r="C396" i="1" s="1"/>
  <c r="B397" i="1" a="1"/>
  <c r="B397" i="1" s="1"/>
  <c r="C397" i="1" s="1"/>
  <c r="B398" i="1" a="1"/>
  <c r="B398" i="1" s="1"/>
  <c r="C398" i="1" s="1"/>
  <c r="B399" i="1" a="1"/>
  <c r="B399" i="1" s="1"/>
  <c r="C399" i="1" s="1"/>
  <c r="B400" i="1" a="1"/>
  <c r="B400" i="1" s="1"/>
  <c r="C400" i="1" s="1"/>
  <c r="B401" i="1" a="1"/>
  <c r="B401" i="1" s="1"/>
  <c r="C401" i="1" s="1"/>
  <c r="B402" i="1" a="1"/>
  <c r="B402" i="1" s="1"/>
  <c r="C402" i="1" s="1"/>
  <c r="B403" i="1" a="1"/>
  <c r="B403" i="1" s="1"/>
  <c r="C403" i="1" s="1"/>
  <c r="B404" i="1" a="1"/>
  <c r="B404" i="1" s="1"/>
  <c r="C404" i="1" s="1"/>
  <c r="B405" i="1" a="1"/>
  <c r="B405" i="1" s="1"/>
  <c r="C405" i="1" s="1"/>
  <c r="B406" i="1" a="1"/>
  <c r="B406" i="1" s="1"/>
  <c r="C406" i="1" s="1"/>
  <c r="B407" i="1" a="1"/>
  <c r="B407" i="1" s="1"/>
  <c r="C407" i="1" s="1"/>
  <c r="B408" i="1" a="1"/>
  <c r="B408" i="1" s="1"/>
  <c r="C408" i="1" s="1"/>
  <c r="B409" i="1" a="1"/>
  <c r="B409" i="1" s="1"/>
  <c r="C409" i="1" s="1"/>
  <c r="B410" i="1" a="1"/>
  <c r="B410" i="1" s="1"/>
  <c r="C410" i="1" s="1"/>
  <c r="B411" i="1" a="1"/>
  <c r="B411" i="1" s="1"/>
  <c r="C411" i="1" s="1"/>
  <c r="B412" i="1" a="1"/>
  <c r="B412" i="1" s="1"/>
  <c r="C412" i="1" s="1"/>
  <c r="B413" i="1" a="1"/>
  <c r="B413" i="1" s="1"/>
  <c r="C413" i="1" s="1"/>
  <c r="B414" i="1" a="1"/>
  <c r="B414" i="1" s="1"/>
  <c r="C414" i="1" s="1"/>
  <c r="B415" i="1" a="1"/>
  <c r="B415" i="1" s="1"/>
  <c r="C415" i="1" s="1"/>
  <c r="B416" i="1" a="1"/>
  <c r="B416" i="1" s="1"/>
  <c r="C416" i="1" s="1"/>
  <c r="B417" i="1" a="1"/>
  <c r="B417" i="1" s="1"/>
  <c r="C417" i="1" s="1"/>
  <c r="B418" i="1" a="1"/>
  <c r="B418" i="1" s="1"/>
  <c r="C418" i="1" s="1"/>
  <c r="B419" i="1" a="1"/>
  <c r="B419" i="1" s="1"/>
  <c r="C419" i="1" s="1"/>
  <c r="B420" i="1" a="1"/>
  <c r="B420" i="1" s="1"/>
  <c r="C420" i="1" s="1"/>
  <c r="B421" i="1" a="1"/>
  <c r="B421" i="1" s="1"/>
  <c r="C421" i="1" s="1"/>
  <c r="B422" i="1" a="1"/>
  <c r="B422" i="1" s="1"/>
  <c r="C422" i="1" s="1"/>
  <c r="B423" i="1" a="1"/>
  <c r="B423" i="1" s="1"/>
  <c r="C423" i="1" s="1"/>
  <c r="B424" i="1" a="1"/>
  <c r="B424" i="1" s="1"/>
  <c r="C424" i="1" s="1"/>
  <c r="B425" i="1" a="1"/>
  <c r="B425" i="1" s="1"/>
  <c r="C425" i="1" s="1"/>
  <c r="B426" i="1" a="1"/>
  <c r="B426" i="1" s="1"/>
  <c r="C426" i="1" s="1"/>
  <c r="B427" i="1" a="1"/>
  <c r="B427" i="1" s="1"/>
  <c r="C427" i="1" s="1"/>
  <c r="B428" i="1" a="1"/>
  <c r="B428" i="1" s="1"/>
  <c r="C428" i="1" s="1"/>
  <c r="B429" i="1" a="1"/>
  <c r="B429" i="1" s="1"/>
  <c r="C429" i="1" s="1"/>
  <c r="B430" i="1" a="1"/>
  <c r="B430" i="1" s="1"/>
  <c r="C430" i="1" s="1"/>
  <c r="B431" i="1" a="1"/>
  <c r="B431" i="1" s="1"/>
  <c r="C431" i="1" s="1"/>
  <c r="B432" i="1" a="1"/>
  <c r="B432" i="1" s="1"/>
  <c r="C432" i="1" s="1"/>
  <c r="B433" i="1" a="1"/>
  <c r="B433" i="1" s="1"/>
  <c r="C433" i="1" s="1"/>
  <c r="B434" i="1" a="1"/>
  <c r="B434" i="1" s="1"/>
  <c r="C434" i="1" s="1"/>
  <c r="B435" i="1" a="1"/>
  <c r="B435" i="1" s="1"/>
  <c r="C435" i="1" s="1"/>
  <c r="B436" i="1" a="1"/>
  <c r="B436" i="1" s="1"/>
  <c r="C436" i="1" s="1"/>
  <c r="B437" i="1" a="1"/>
  <c r="B437" i="1" s="1"/>
  <c r="C437" i="1" s="1"/>
  <c r="B438" i="1" a="1"/>
  <c r="B438" i="1" s="1"/>
  <c r="C438" i="1" s="1"/>
  <c r="B439" i="1" a="1"/>
  <c r="B439" i="1" s="1"/>
  <c r="C439" i="1" s="1"/>
  <c r="B440" i="1" a="1"/>
  <c r="B440" i="1" s="1"/>
  <c r="C440" i="1" s="1"/>
  <c r="B441" i="1" a="1"/>
  <c r="B441" i="1" s="1"/>
  <c r="C441" i="1" s="1"/>
  <c r="B442" i="1" a="1"/>
  <c r="B442" i="1" s="1"/>
  <c r="C442" i="1" s="1"/>
  <c r="B443" i="1" a="1"/>
  <c r="B443" i="1" s="1"/>
  <c r="C443" i="1" s="1"/>
  <c r="B444" i="1" a="1"/>
  <c r="B444" i="1" s="1"/>
  <c r="C444" i="1" s="1"/>
  <c r="B445" i="1" a="1"/>
  <c r="B445" i="1" s="1"/>
  <c r="C445" i="1" s="1"/>
  <c r="B446" i="1" a="1"/>
  <c r="B446" i="1" s="1"/>
  <c r="C446" i="1" s="1"/>
  <c r="B447" i="1" a="1"/>
  <c r="B447" i="1" s="1"/>
  <c r="C447" i="1" s="1"/>
  <c r="B448" i="1" a="1"/>
  <c r="B448" i="1" s="1"/>
  <c r="C448" i="1" s="1"/>
  <c r="B449" i="1" a="1"/>
  <c r="B449" i="1" s="1"/>
  <c r="C449" i="1" s="1"/>
  <c r="B450" i="1" a="1"/>
  <c r="B450" i="1" s="1"/>
  <c r="C450" i="1" s="1"/>
  <c r="B451" i="1" a="1"/>
  <c r="B451" i="1" s="1"/>
  <c r="C451" i="1" s="1"/>
  <c r="B452" i="1" a="1"/>
  <c r="B452" i="1" s="1"/>
  <c r="C452" i="1" s="1"/>
  <c r="B453" i="1" a="1"/>
  <c r="B453" i="1" s="1"/>
  <c r="C453" i="1" s="1"/>
  <c r="B454" i="1" a="1"/>
  <c r="B454" i="1" s="1"/>
  <c r="C454" i="1" s="1"/>
  <c r="B455" i="1" a="1"/>
  <c r="B455" i="1" s="1"/>
  <c r="C455" i="1" s="1"/>
  <c r="B456" i="1" a="1"/>
  <c r="B456" i="1" s="1"/>
  <c r="C456" i="1" s="1"/>
  <c r="B457" i="1" a="1"/>
  <c r="B457" i="1" s="1"/>
  <c r="C457" i="1" s="1"/>
  <c r="B458" i="1" a="1"/>
  <c r="B458" i="1" s="1"/>
  <c r="C458" i="1" s="1"/>
  <c r="B459" i="1" a="1"/>
  <c r="B459" i="1" s="1"/>
  <c r="C459" i="1" s="1"/>
  <c r="B460" i="1" a="1"/>
  <c r="B460" i="1" s="1"/>
  <c r="C460" i="1" s="1"/>
  <c r="B461" i="1" a="1"/>
  <c r="B461" i="1" s="1"/>
  <c r="C461" i="1" s="1"/>
  <c r="B462" i="1" a="1"/>
  <c r="B462" i="1" s="1"/>
  <c r="C462" i="1" s="1"/>
  <c r="B463" i="1" a="1"/>
  <c r="B463" i="1" s="1"/>
  <c r="C463" i="1" s="1"/>
  <c r="B464" i="1" a="1"/>
  <c r="B464" i="1" s="1"/>
  <c r="C464" i="1" s="1"/>
  <c r="B465" i="1" a="1"/>
  <c r="B465" i="1" s="1"/>
  <c r="C465" i="1" s="1"/>
  <c r="B466" i="1" a="1"/>
  <c r="B466" i="1" s="1"/>
  <c r="C466" i="1" s="1"/>
  <c r="B467" i="1" a="1"/>
  <c r="B467" i="1" s="1"/>
  <c r="C467" i="1" s="1"/>
  <c r="B468" i="1" a="1"/>
  <c r="B468" i="1" s="1"/>
  <c r="C468" i="1" s="1"/>
  <c r="B469" i="1" a="1"/>
  <c r="B469" i="1" s="1"/>
  <c r="C469" i="1" s="1"/>
  <c r="B470" i="1" a="1"/>
  <c r="B470" i="1" s="1"/>
  <c r="C470" i="1" s="1"/>
  <c r="B471" i="1" a="1"/>
  <c r="B471" i="1" s="1"/>
  <c r="C471" i="1" s="1"/>
  <c r="B472" i="1" a="1"/>
  <c r="B472" i="1" s="1"/>
  <c r="C472" i="1" s="1"/>
  <c r="B473" i="1" a="1"/>
  <c r="B473" i="1" s="1"/>
  <c r="C473" i="1" s="1"/>
  <c r="B474" i="1" a="1"/>
  <c r="B474" i="1" s="1"/>
  <c r="C474" i="1" s="1"/>
  <c r="B475" i="1" a="1"/>
  <c r="B475" i="1" s="1"/>
  <c r="C475" i="1" s="1"/>
  <c r="B476" i="1" a="1"/>
  <c r="B476" i="1" s="1"/>
  <c r="C476" i="1" s="1"/>
  <c r="B477" i="1" a="1"/>
  <c r="B477" i="1" s="1"/>
  <c r="C477" i="1" s="1"/>
  <c r="B478" i="1" a="1"/>
  <c r="B478" i="1" s="1"/>
  <c r="C478" i="1" s="1"/>
  <c r="B479" i="1" a="1"/>
  <c r="B479" i="1" s="1"/>
  <c r="C479" i="1" s="1"/>
  <c r="B480" i="1" a="1"/>
  <c r="B480" i="1" s="1"/>
  <c r="C480" i="1" s="1"/>
  <c r="B481" i="1" a="1"/>
  <c r="B481" i="1" s="1"/>
  <c r="C481" i="1" s="1"/>
  <c r="B482" i="1" a="1"/>
  <c r="B482" i="1" s="1"/>
  <c r="C482" i="1" s="1"/>
  <c r="B483" i="1" a="1"/>
  <c r="B483" i="1" s="1"/>
  <c r="C483" i="1" s="1"/>
  <c r="B484" i="1" a="1"/>
  <c r="B484" i="1" s="1"/>
  <c r="C484" i="1" s="1"/>
  <c r="B485" i="1" a="1"/>
  <c r="B485" i="1" s="1"/>
  <c r="C485" i="1" s="1"/>
  <c r="B486" i="1" a="1"/>
  <c r="B486" i="1" s="1"/>
  <c r="C486" i="1" s="1"/>
  <c r="B487" i="1" a="1"/>
  <c r="B487" i="1" s="1"/>
  <c r="C487" i="1" s="1"/>
  <c r="B488" i="1" a="1"/>
  <c r="B488" i="1" s="1"/>
  <c r="C488" i="1" s="1"/>
  <c r="B489" i="1" a="1"/>
  <c r="B489" i="1" s="1"/>
  <c r="C489" i="1" s="1"/>
  <c r="B490" i="1" a="1"/>
  <c r="B490" i="1" s="1"/>
  <c r="C490" i="1" s="1"/>
  <c r="B491" i="1" a="1"/>
  <c r="B491" i="1" s="1"/>
  <c r="C491" i="1" s="1"/>
  <c r="B492" i="1" a="1"/>
  <c r="B492" i="1" s="1"/>
  <c r="C492" i="1" s="1"/>
  <c r="B493" i="1" a="1"/>
  <c r="B493" i="1" s="1"/>
  <c r="C493" i="1" s="1"/>
  <c r="B494" i="1" a="1"/>
  <c r="B494" i="1" s="1"/>
  <c r="C494" i="1" s="1"/>
  <c r="B495" i="1" a="1"/>
  <c r="B495" i="1" s="1"/>
  <c r="C495" i="1" s="1"/>
  <c r="B496" i="1" a="1"/>
  <c r="B496" i="1" s="1"/>
  <c r="C496" i="1" s="1"/>
  <c r="B497" i="1" a="1"/>
  <c r="B497" i="1" s="1"/>
  <c r="C497" i="1" s="1"/>
  <c r="B498" i="1" a="1"/>
  <c r="B498" i="1" s="1"/>
  <c r="C498" i="1" s="1"/>
  <c r="B499" i="1" a="1"/>
  <c r="B499" i="1" s="1"/>
  <c r="C499" i="1" s="1"/>
  <c r="B500" i="1" a="1"/>
  <c r="B500" i="1" s="1"/>
  <c r="C500" i="1" s="1"/>
  <c r="B501" i="1" a="1"/>
  <c r="B501" i="1" s="1"/>
  <c r="C501" i="1" s="1"/>
  <c r="B502" i="1" a="1"/>
  <c r="B502" i="1" s="1"/>
  <c r="C502" i="1" s="1"/>
  <c r="B503" i="1" a="1"/>
  <c r="B503" i="1" s="1"/>
  <c r="C503" i="1" s="1"/>
  <c r="B504" i="1" a="1"/>
  <c r="B504" i="1" s="1"/>
  <c r="C504" i="1" s="1"/>
  <c r="B505" i="1" a="1"/>
  <c r="B505" i="1" s="1"/>
  <c r="C505" i="1" s="1"/>
  <c r="B506" i="1" a="1"/>
  <c r="B506" i="1" s="1"/>
  <c r="C506" i="1" s="1"/>
  <c r="B507" i="1" a="1"/>
  <c r="B507" i="1" s="1"/>
  <c r="C507" i="1" s="1"/>
  <c r="B508" i="1" a="1"/>
  <c r="B508" i="1" s="1"/>
  <c r="C508" i="1" s="1"/>
  <c r="B509" i="1" a="1"/>
  <c r="B509" i="1" s="1"/>
  <c r="C509" i="1" s="1"/>
  <c r="B510" i="1" a="1"/>
  <c r="B510" i="1" s="1"/>
  <c r="C510" i="1" s="1"/>
  <c r="B511" i="1" a="1"/>
  <c r="B511" i="1" s="1"/>
  <c r="C511" i="1" s="1"/>
  <c r="B512" i="1" a="1"/>
  <c r="B512" i="1" s="1"/>
  <c r="C512" i="1" s="1"/>
  <c r="B513" i="1" a="1"/>
  <c r="B513" i="1" s="1"/>
  <c r="C513" i="1" s="1"/>
  <c r="B514" i="1" a="1"/>
  <c r="B514" i="1" s="1"/>
  <c r="C514" i="1" s="1"/>
  <c r="B515" i="1" a="1"/>
  <c r="B515" i="1" s="1"/>
  <c r="C515" i="1" s="1"/>
  <c r="B516" i="1" a="1"/>
  <c r="B516" i="1" s="1"/>
  <c r="C516" i="1" s="1"/>
  <c r="B517" i="1" a="1"/>
  <c r="B517" i="1" s="1"/>
  <c r="C517" i="1" s="1"/>
  <c r="B518" i="1" a="1"/>
  <c r="B518" i="1" s="1"/>
  <c r="C518" i="1" s="1"/>
  <c r="B519" i="1" a="1"/>
  <c r="B519" i="1" s="1"/>
  <c r="C519" i="1" s="1"/>
  <c r="B520" i="1" a="1"/>
  <c r="B520" i="1" s="1"/>
  <c r="C520" i="1" s="1"/>
  <c r="B521" i="1" a="1"/>
  <c r="B521" i="1" s="1"/>
  <c r="C521" i="1" s="1"/>
  <c r="B522" i="1" a="1"/>
  <c r="B522" i="1" s="1"/>
  <c r="C522" i="1" s="1"/>
  <c r="B523" i="1" a="1"/>
  <c r="B523" i="1" s="1"/>
  <c r="C523" i="1" s="1"/>
  <c r="B524" i="1" a="1"/>
  <c r="B524" i="1" s="1"/>
  <c r="C524" i="1" s="1"/>
  <c r="B525" i="1" a="1"/>
  <c r="B525" i="1" s="1"/>
  <c r="C525" i="1" s="1"/>
  <c r="B526" i="1" a="1"/>
  <c r="B526" i="1" s="1"/>
  <c r="C526" i="1" s="1"/>
  <c r="B527" i="1" a="1"/>
  <c r="B527" i="1" s="1"/>
  <c r="C527" i="1" s="1"/>
  <c r="B528" i="1" a="1"/>
  <c r="B528" i="1" s="1"/>
  <c r="C528" i="1" s="1"/>
  <c r="B529" i="1" a="1"/>
  <c r="B529" i="1" s="1"/>
  <c r="C529" i="1" s="1"/>
  <c r="B530" i="1" a="1"/>
  <c r="B530" i="1" s="1"/>
  <c r="C530" i="1" s="1"/>
  <c r="B531" i="1" a="1"/>
  <c r="B531" i="1" s="1"/>
  <c r="C531" i="1" s="1"/>
  <c r="B532" i="1" a="1"/>
  <c r="B532" i="1" s="1"/>
  <c r="C532" i="1" s="1"/>
  <c r="B533" i="1" a="1"/>
  <c r="B533" i="1" s="1"/>
  <c r="C533" i="1" s="1"/>
  <c r="B534" i="1" a="1"/>
  <c r="B534" i="1" s="1"/>
  <c r="C534" i="1" s="1"/>
  <c r="B535" i="1" a="1"/>
  <c r="B535" i="1" s="1"/>
  <c r="C535" i="1" s="1"/>
  <c r="B536" i="1" a="1"/>
  <c r="B536" i="1" s="1"/>
  <c r="C536" i="1" s="1"/>
  <c r="B537" i="1" a="1"/>
  <c r="B537" i="1" s="1"/>
  <c r="C537" i="1" s="1"/>
  <c r="B538" i="1" a="1"/>
  <c r="B538" i="1" s="1"/>
  <c r="C538" i="1" s="1"/>
  <c r="B539" i="1" a="1"/>
  <c r="B539" i="1" s="1"/>
  <c r="C539" i="1" s="1"/>
  <c r="B540" i="1" a="1"/>
  <c r="B540" i="1" s="1"/>
  <c r="C540" i="1" s="1"/>
  <c r="B541" i="1" a="1"/>
  <c r="B541" i="1" s="1"/>
  <c r="C541" i="1" s="1"/>
  <c r="B542" i="1" a="1"/>
  <c r="B542" i="1" s="1"/>
  <c r="C542" i="1" s="1"/>
  <c r="B543" i="1" a="1"/>
  <c r="B543" i="1" s="1"/>
  <c r="C543" i="1" s="1"/>
  <c r="B544" i="1" a="1"/>
  <c r="B544" i="1" s="1"/>
  <c r="C544" i="1" s="1"/>
  <c r="B545" i="1" a="1"/>
  <c r="B545" i="1" s="1"/>
  <c r="C545" i="1" s="1"/>
  <c r="B546" i="1" a="1"/>
  <c r="B546" i="1" s="1"/>
  <c r="C546" i="1" s="1"/>
  <c r="B547" i="1" a="1"/>
  <c r="B547" i="1" s="1"/>
  <c r="C547" i="1" s="1"/>
  <c r="B548" i="1" a="1"/>
  <c r="B548" i="1" s="1"/>
  <c r="C548" i="1" s="1"/>
  <c r="B549" i="1" a="1"/>
  <c r="B549" i="1" s="1"/>
  <c r="C549" i="1" s="1"/>
  <c r="B550" i="1" a="1"/>
  <c r="B550" i="1" s="1"/>
  <c r="C550" i="1" s="1"/>
  <c r="B551" i="1" a="1"/>
  <c r="B551" i="1" s="1"/>
  <c r="C551" i="1" s="1"/>
  <c r="B552" i="1" a="1"/>
  <c r="B552" i="1" s="1"/>
  <c r="C552" i="1" s="1"/>
  <c r="B553" i="1" a="1"/>
  <c r="B553" i="1" s="1"/>
  <c r="C553" i="1" s="1"/>
  <c r="B554" i="1" a="1"/>
  <c r="B554" i="1" s="1"/>
  <c r="C554" i="1" s="1"/>
  <c r="B555" i="1" a="1"/>
  <c r="B555" i="1" s="1"/>
  <c r="C555" i="1" s="1"/>
  <c r="B556" i="1" a="1"/>
  <c r="B556" i="1" s="1"/>
  <c r="C556" i="1" s="1"/>
  <c r="B557" i="1" a="1"/>
  <c r="B557" i="1" s="1"/>
  <c r="C557" i="1" s="1"/>
  <c r="B558" i="1" a="1"/>
  <c r="B558" i="1" s="1"/>
  <c r="C558" i="1" s="1"/>
  <c r="B559" i="1" a="1"/>
  <c r="B559" i="1" s="1"/>
  <c r="C559" i="1" s="1"/>
  <c r="B560" i="1" a="1"/>
  <c r="B560" i="1" s="1"/>
  <c r="C560" i="1" s="1"/>
  <c r="B561" i="1" a="1"/>
  <c r="B561" i="1" s="1"/>
  <c r="C561" i="1" s="1"/>
  <c r="B562" i="1" a="1"/>
  <c r="B562" i="1" s="1"/>
  <c r="C562" i="1" s="1"/>
  <c r="B563" i="1" a="1"/>
  <c r="B563" i="1" s="1"/>
  <c r="C563" i="1" s="1"/>
  <c r="B564" i="1" a="1"/>
  <c r="B564" i="1" s="1"/>
  <c r="C564" i="1" s="1"/>
  <c r="B565" i="1" a="1"/>
  <c r="B565" i="1" s="1"/>
  <c r="C565" i="1" s="1"/>
  <c r="B566" i="1" a="1"/>
  <c r="B566" i="1" s="1"/>
  <c r="C566" i="1" s="1"/>
  <c r="B567" i="1" a="1"/>
  <c r="B567" i="1" s="1"/>
  <c r="C567" i="1" s="1"/>
  <c r="B568" i="1" a="1"/>
  <c r="B568" i="1" s="1"/>
  <c r="C568" i="1" s="1"/>
  <c r="B569" i="1" a="1"/>
  <c r="B569" i="1" s="1"/>
  <c r="C569" i="1" s="1"/>
  <c r="B570" i="1" a="1"/>
  <c r="B570" i="1" s="1"/>
  <c r="C570" i="1" s="1"/>
  <c r="B571" i="1" a="1"/>
  <c r="B571" i="1" s="1"/>
  <c r="C571" i="1" s="1"/>
  <c r="B572" i="1" a="1"/>
  <c r="B572" i="1" s="1"/>
  <c r="C572" i="1" s="1"/>
  <c r="B573" i="1" a="1"/>
  <c r="B573" i="1" s="1"/>
  <c r="C573" i="1" s="1"/>
  <c r="B574" i="1" a="1"/>
  <c r="B574" i="1" s="1"/>
  <c r="C574" i="1" s="1"/>
  <c r="B575" i="1" a="1"/>
  <c r="B575" i="1" s="1"/>
  <c r="C575" i="1" s="1"/>
  <c r="B576" i="1" a="1"/>
  <c r="B576" i="1" s="1"/>
  <c r="C576" i="1" s="1"/>
  <c r="B577" i="1" a="1"/>
  <c r="B577" i="1" s="1"/>
  <c r="C577" i="1" s="1"/>
  <c r="B578" i="1" a="1"/>
  <c r="B578" i="1" s="1"/>
  <c r="C578" i="1" s="1"/>
  <c r="B579" i="1" a="1"/>
  <c r="B579" i="1" s="1"/>
  <c r="C579" i="1" s="1"/>
  <c r="B580" i="1" a="1"/>
  <c r="B580" i="1" s="1"/>
  <c r="C580" i="1" s="1"/>
  <c r="B581" i="1" a="1"/>
  <c r="B581" i="1" s="1"/>
  <c r="C581" i="1" s="1"/>
  <c r="B582" i="1" a="1"/>
  <c r="B582" i="1" s="1"/>
  <c r="C582" i="1" s="1"/>
  <c r="B583" i="1" a="1"/>
  <c r="B583" i="1" s="1"/>
  <c r="C583" i="1" s="1"/>
  <c r="B584" i="1" a="1"/>
  <c r="B584" i="1" s="1"/>
  <c r="C584" i="1" s="1"/>
  <c r="B585" i="1" a="1"/>
  <c r="B585" i="1" s="1"/>
  <c r="C585" i="1" s="1"/>
  <c r="B586" i="1" a="1"/>
  <c r="B586" i="1" s="1"/>
  <c r="C586" i="1" s="1"/>
  <c r="B587" i="1" a="1"/>
  <c r="B587" i="1" s="1"/>
  <c r="C587" i="1" s="1"/>
  <c r="B588" i="1" a="1"/>
  <c r="B588" i="1" s="1"/>
  <c r="C588" i="1" s="1"/>
  <c r="B589" i="1" a="1"/>
  <c r="B589" i="1" s="1"/>
  <c r="C589" i="1" s="1"/>
  <c r="B590" i="1" a="1"/>
  <c r="B590" i="1" s="1"/>
  <c r="C590" i="1" s="1"/>
  <c r="B591" i="1" a="1"/>
  <c r="B591" i="1" s="1"/>
  <c r="C591" i="1" s="1"/>
  <c r="B592" i="1" a="1"/>
  <c r="B592" i="1" s="1"/>
  <c r="C592" i="1" s="1"/>
  <c r="B593" i="1" a="1"/>
  <c r="B593" i="1" s="1"/>
  <c r="C593" i="1" s="1"/>
  <c r="B594" i="1" a="1"/>
  <c r="B594" i="1" s="1"/>
  <c r="C594" i="1" s="1"/>
  <c r="B595" i="1" a="1"/>
  <c r="B595" i="1" s="1"/>
  <c r="C595" i="1" s="1"/>
  <c r="B596" i="1" a="1"/>
  <c r="B596" i="1" s="1"/>
  <c r="C596" i="1" s="1"/>
  <c r="B597" i="1" a="1"/>
  <c r="B597" i="1" s="1"/>
  <c r="C597" i="1" s="1"/>
  <c r="B598" i="1" a="1"/>
  <c r="B598" i="1" s="1"/>
  <c r="C598" i="1" s="1"/>
  <c r="B599" i="1" a="1"/>
  <c r="B599" i="1" s="1"/>
  <c r="C599" i="1" s="1"/>
  <c r="B600" i="1" a="1"/>
  <c r="B600" i="1" s="1"/>
  <c r="C600" i="1" s="1"/>
  <c r="B601" i="1" a="1"/>
  <c r="B601" i="1" s="1"/>
  <c r="C601" i="1" s="1"/>
  <c r="B602" i="1" a="1"/>
  <c r="B602" i="1" s="1"/>
  <c r="C602" i="1" s="1"/>
  <c r="B603" i="1" a="1"/>
  <c r="B603" i="1" s="1"/>
  <c r="C603" i="1" s="1"/>
  <c r="B604" i="1" a="1"/>
  <c r="B604" i="1" s="1"/>
  <c r="C604" i="1" s="1"/>
  <c r="B605" i="1" a="1"/>
  <c r="B605" i="1" s="1"/>
  <c r="C605" i="1" s="1"/>
  <c r="B606" i="1" a="1"/>
  <c r="B606" i="1" s="1"/>
  <c r="C606" i="1" s="1"/>
  <c r="B607" i="1" a="1"/>
  <c r="B607" i="1" s="1"/>
  <c r="C607" i="1" s="1"/>
  <c r="B608" i="1" a="1"/>
  <c r="B608" i="1" s="1"/>
  <c r="C608" i="1" s="1"/>
  <c r="B609" i="1" a="1"/>
  <c r="B609" i="1" s="1"/>
  <c r="C609" i="1" s="1"/>
  <c r="B610" i="1" a="1"/>
  <c r="B610" i="1" s="1"/>
  <c r="C610" i="1" s="1"/>
  <c r="B611" i="1" a="1"/>
  <c r="B611" i="1" s="1"/>
  <c r="C611" i="1" s="1"/>
  <c r="B612" i="1" a="1"/>
  <c r="B612" i="1" s="1"/>
  <c r="C612" i="1" s="1"/>
  <c r="B613" i="1" a="1"/>
  <c r="B613" i="1" s="1"/>
  <c r="C613" i="1" s="1"/>
  <c r="B614" i="1" a="1"/>
  <c r="B614" i="1" s="1"/>
  <c r="C614" i="1" s="1"/>
  <c r="B615" i="1" a="1"/>
  <c r="B615" i="1" s="1"/>
  <c r="C615" i="1" s="1"/>
  <c r="B616" i="1" a="1"/>
  <c r="B616" i="1" s="1"/>
  <c r="C616" i="1" s="1"/>
  <c r="B617" i="1" a="1"/>
  <c r="B617" i="1" s="1"/>
  <c r="C617" i="1" s="1"/>
  <c r="B618" i="1" a="1"/>
  <c r="B618" i="1" s="1"/>
  <c r="C618" i="1" s="1"/>
  <c r="B619" i="1" a="1"/>
  <c r="B619" i="1" s="1"/>
  <c r="C619" i="1" s="1"/>
  <c r="B620" i="1" a="1"/>
  <c r="B620" i="1" s="1"/>
  <c r="C620" i="1" s="1"/>
  <c r="B621" i="1" a="1"/>
  <c r="B621" i="1" s="1"/>
  <c r="C621" i="1" s="1"/>
  <c r="B622" i="1" a="1"/>
  <c r="B622" i="1" s="1"/>
  <c r="C622" i="1" s="1"/>
  <c r="B623" i="1" a="1"/>
  <c r="B623" i="1" s="1"/>
  <c r="C623" i="1" s="1"/>
  <c r="B624" i="1" a="1"/>
  <c r="B624" i="1" s="1"/>
  <c r="C624" i="1" s="1"/>
  <c r="B625" i="1" a="1"/>
  <c r="B625" i="1" s="1"/>
  <c r="C625" i="1" s="1"/>
  <c r="B626" i="1" a="1"/>
  <c r="B626" i="1" s="1"/>
  <c r="C626" i="1" s="1"/>
  <c r="B627" i="1" a="1"/>
  <c r="B627" i="1" s="1"/>
  <c r="C627" i="1" s="1"/>
  <c r="B628" i="1" a="1"/>
  <c r="B628" i="1" s="1"/>
  <c r="C628" i="1" s="1"/>
  <c r="B629" i="1" a="1"/>
  <c r="B629" i="1" s="1"/>
  <c r="C629" i="1" s="1"/>
  <c r="B630" i="1" a="1"/>
  <c r="B630" i="1" s="1"/>
  <c r="C630" i="1" s="1"/>
  <c r="B631" i="1" a="1"/>
  <c r="B631" i="1" s="1"/>
  <c r="C631" i="1" s="1"/>
  <c r="B632" i="1" a="1"/>
  <c r="B632" i="1" s="1"/>
  <c r="C632" i="1" s="1"/>
  <c r="B633" i="1" a="1"/>
  <c r="B633" i="1" s="1"/>
  <c r="C633" i="1" s="1"/>
  <c r="B634" i="1" a="1"/>
  <c r="B634" i="1" s="1"/>
  <c r="C634" i="1" s="1"/>
  <c r="B635" i="1" a="1"/>
  <c r="B635" i="1" s="1"/>
  <c r="C635" i="1" s="1"/>
  <c r="B636" i="1" a="1"/>
  <c r="B636" i="1" s="1"/>
  <c r="C636" i="1" s="1"/>
  <c r="B637" i="1" a="1"/>
  <c r="B637" i="1" s="1"/>
  <c r="C637" i="1" s="1"/>
  <c r="B638" i="1" a="1"/>
  <c r="B638" i="1" s="1"/>
  <c r="C638" i="1" s="1"/>
  <c r="B639" i="1" a="1"/>
  <c r="B639" i="1" s="1"/>
  <c r="C639" i="1" s="1"/>
  <c r="B640" i="1" a="1"/>
  <c r="B640" i="1" s="1"/>
  <c r="C640" i="1" s="1"/>
  <c r="B641" i="1" a="1"/>
  <c r="B641" i="1" s="1"/>
  <c r="C641" i="1" s="1"/>
  <c r="B642" i="1" a="1"/>
  <c r="B642" i="1" s="1"/>
  <c r="C642" i="1" s="1"/>
  <c r="B643" i="1" a="1"/>
  <c r="B643" i="1" s="1"/>
  <c r="C643" i="1" s="1"/>
  <c r="B644" i="1" a="1"/>
  <c r="B644" i="1" s="1"/>
  <c r="C644" i="1" s="1"/>
  <c r="B645" i="1" a="1"/>
  <c r="B645" i="1" s="1"/>
  <c r="C645" i="1" s="1"/>
  <c r="B646" i="1" a="1"/>
  <c r="B646" i="1" s="1"/>
  <c r="C646" i="1" s="1"/>
  <c r="B647" i="1" a="1"/>
  <c r="B647" i="1" s="1"/>
  <c r="C647" i="1" s="1"/>
  <c r="B648" i="1" a="1"/>
  <c r="B648" i="1" s="1"/>
  <c r="C648" i="1" s="1"/>
  <c r="B649" i="1" a="1"/>
  <c r="B649" i="1" s="1"/>
  <c r="C649" i="1" s="1"/>
  <c r="B650" i="1" a="1"/>
  <c r="B650" i="1" s="1"/>
  <c r="C650" i="1" s="1"/>
  <c r="B651" i="1" a="1"/>
  <c r="B651" i="1" s="1"/>
  <c r="C651" i="1" s="1"/>
  <c r="B652" i="1" a="1"/>
  <c r="B652" i="1" s="1"/>
  <c r="C652" i="1" s="1"/>
  <c r="B653" i="1" a="1"/>
  <c r="B653" i="1" s="1"/>
  <c r="C653" i="1" s="1"/>
  <c r="B654" i="1" a="1"/>
  <c r="B654" i="1" s="1"/>
  <c r="C654" i="1" s="1"/>
  <c r="B655" i="1" a="1"/>
  <c r="B655" i="1" s="1"/>
  <c r="C655" i="1" s="1"/>
  <c r="B656" i="1" a="1"/>
  <c r="B656" i="1" s="1"/>
  <c r="C656" i="1" s="1"/>
  <c r="B657" i="1" a="1"/>
  <c r="B657" i="1" s="1"/>
  <c r="C657" i="1" s="1"/>
  <c r="B658" i="1" a="1"/>
  <c r="B658" i="1" s="1"/>
  <c r="C658" i="1" s="1"/>
  <c r="B659" i="1" a="1"/>
  <c r="B659" i="1" s="1"/>
  <c r="C659" i="1" s="1"/>
  <c r="B660" i="1" a="1"/>
  <c r="B660" i="1" s="1"/>
  <c r="C660" i="1" s="1"/>
  <c r="B661" i="1" a="1"/>
  <c r="B661" i="1" s="1"/>
  <c r="C661" i="1" s="1"/>
  <c r="B662" i="1" a="1"/>
  <c r="B662" i="1" s="1"/>
  <c r="C662" i="1" s="1"/>
  <c r="B663" i="1" a="1"/>
  <c r="B663" i="1" s="1"/>
  <c r="C663" i="1" s="1"/>
  <c r="B664" i="1" a="1"/>
  <c r="B664" i="1" s="1"/>
  <c r="C664" i="1" s="1"/>
  <c r="B665" i="1" a="1"/>
  <c r="B665" i="1" s="1"/>
  <c r="C665" i="1" s="1"/>
  <c r="B666" i="1" a="1"/>
  <c r="B666" i="1" s="1"/>
  <c r="C666" i="1" s="1"/>
  <c r="B667" i="1" a="1"/>
  <c r="B667" i="1" s="1"/>
  <c r="C667" i="1" s="1"/>
  <c r="B668" i="1" a="1"/>
  <c r="B668" i="1" s="1"/>
  <c r="C668" i="1" s="1"/>
  <c r="B669" i="1" a="1"/>
  <c r="B669" i="1" s="1"/>
  <c r="C669" i="1" s="1"/>
  <c r="B670" i="1" a="1"/>
  <c r="B670" i="1" s="1"/>
  <c r="C670" i="1" s="1"/>
  <c r="B671" i="1" a="1"/>
  <c r="B671" i="1" s="1"/>
  <c r="C671" i="1" s="1"/>
  <c r="B672" i="1" a="1"/>
  <c r="B672" i="1" s="1"/>
  <c r="C672" i="1" s="1"/>
  <c r="B673" i="1" a="1"/>
  <c r="B673" i="1" s="1"/>
  <c r="C673" i="1" s="1"/>
  <c r="B674" i="1" a="1"/>
  <c r="B674" i="1" s="1"/>
  <c r="C674" i="1" s="1"/>
  <c r="B675" i="1" a="1"/>
  <c r="B675" i="1" s="1"/>
  <c r="C675" i="1" s="1"/>
  <c r="B676" i="1" a="1"/>
  <c r="B676" i="1" s="1"/>
  <c r="C676" i="1" s="1"/>
  <c r="B677" i="1" a="1"/>
  <c r="B677" i="1" s="1"/>
  <c r="C677" i="1" s="1"/>
  <c r="B678" i="1" a="1"/>
  <c r="B678" i="1" s="1"/>
  <c r="C678" i="1" s="1"/>
  <c r="B679" i="1" a="1"/>
  <c r="B679" i="1" s="1"/>
  <c r="C679" i="1" s="1"/>
  <c r="B680" i="1" a="1"/>
  <c r="B680" i="1" s="1"/>
  <c r="C680" i="1" s="1"/>
  <c r="B681" i="1" a="1"/>
  <c r="B681" i="1" s="1"/>
  <c r="C681" i="1" s="1"/>
  <c r="B682" i="1" a="1"/>
  <c r="B682" i="1" s="1"/>
  <c r="C682" i="1" s="1"/>
  <c r="B683" i="1" a="1"/>
  <c r="B683" i="1" s="1"/>
  <c r="C683" i="1" s="1"/>
  <c r="B684" i="1" a="1"/>
  <c r="B684" i="1" s="1"/>
  <c r="C684" i="1" s="1"/>
  <c r="B685" i="1" a="1"/>
  <c r="B685" i="1" s="1"/>
  <c r="C685" i="1" s="1"/>
  <c r="B686" i="1" a="1"/>
  <c r="B686" i="1" s="1"/>
  <c r="C686" i="1" s="1"/>
  <c r="B687" i="1" a="1"/>
  <c r="B687" i="1" s="1"/>
  <c r="C687" i="1" s="1"/>
  <c r="B688" i="1" a="1"/>
  <c r="B688" i="1" s="1"/>
  <c r="C688" i="1" s="1"/>
  <c r="B689" i="1" a="1"/>
  <c r="B689" i="1" s="1"/>
  <c r="C689" i="1" s="1"/>
  <c r="B690" i="1" a="1"/>
  <c r="B690" i="1" s="1"/>
  <c r="C690" i="1" s="1"/>
  <c r="B691" i="1" a="1"/>
  <c r="B691" i="1" s="1"/>
  <c r="C691" i="1" s="1"/>
  <c r="B692" i="1" a="1"/>
  <c r="B692" i="1" s="1"/>
  <c r="C692" i="1" s="1"/>
  <c r="B693" i="1" a="1"/>
  <c r="B693" i="1" s="1"/>
  <c r="C693" i="1" s="1"/>
  <c r="B694" i="1" a="1"/>
  <c r="B694" i="1" s="1"/>
  <c r="C694" i="1" s="1"/>
  <c r="B695" i="1" a="1"/>
  <c r="B695" i="1" s="1"/>
  <c r="C695" i="1" s="1"/>
  <c r="B696" i="1" a="1"/>
  <c r="B696" i="1" s="1"/>
  <c r="C696" i="1" s="1"/>
  <c r="B697" i="1" a="1"/>
  <c r="B697" i="1" s="1"/>
  <c r="C697" i="1" s="1"/>
  <c r="B698" i="1" a="1"/>
  <c r="B698" i="1" s="1"/>
  <c r="C698" i="1" s="1"/>
  <c r="B699" i="1" a="1"/>
  <c r="B699" i="1" s="1"/>
  <c r="C699" i="1" s="1"/>
  <c r="B700" i="1" a="1"/>
  <c r="B700" i="1" s="1"/>
  <c r="C700" i="1" s="1"/>
  <c r="B701" i="1" a="1"/>
  <c r="B701" i="1" s="1"/>
  <c r="C701" i="1" s="1"/>
  <c r="B702" i="1" a="1"/>
  <c r="B702" i="1" s="1"/>
  <c r="C702" i="1" s="1"/>
  <c r="B703" i="1" a="1"/>
  <c r="B703" i="1" s="1"/>
  <c r="C703" i="1" s="1"/>
  <c r="B704" i="1" a="1"/>
  <c r="B704" i="1" s="1"/>
  <c r="C704" i="1" s="1"/>
  <c r="B705" i="1" a="1"/>
  <c r="B705" i="1" s="1"/>
  <c r="C705" i="1" s="1"/>
  <c r="B706" i="1" a="1"/>
  <c r="B706" i="1" s="1"/>
  <c r="C706" i="1" s="1"/>
  <c r="B707" i="1" a="1"/>
  <c r="B707" i="1" s="1"/>
  <c r="C707" i="1" s="1"/>
  <c r="B708" i="1" a="1"/>
  <c r="B708" i="1" s="1"/>
  <c r="C708" i="1" s="1"/>
  <c r="B709" i="1" a="1"/>
  <c r="B709" i="1" s="1"/>
  <c r="C709" i="1" s="1"/>
  <c r="B710" i="1" a="1"/>
  <c r="B710" i="1" s="1"/>
  <c r="C710" i="1" s="1"/>
  <c r="B711" i="1" a="1"/>
  <c r="B711" i="1" s="1"/>
  <c r="C711" i="1" s="1"/>
  <c r="B712" i="1" a="1"/>
  <c r="B712" i="1" s="1"/>
  <c r="C712" i="1" s="1"/>
  <c r="B713" i="1" a="1"/>
  <c r="B713" i="1" s="1"/>
  <c r="C713" i="1" s="1"/>
  <c r="B714" i="1" a="1"/>
  <c r="B714" i="1" s="1"/>
  <c r="C714" i="1" s="1"/>
  <c r="B715" i="1" a="1"/>
  <c r="B715" i="1" s="1"/>
  <c r="C715" i="1" s="1"/>
  <c r="B716" i="1" a="1"/>
  <c r="B716" i="1" s="1"/>
  <c r="C716" i="1" s="1"/>
  <c r="B717" i="1" a="1"/>
  <c r="B717" i="1" s="1"/>
  <c r="C717" i="1" s="1"/>
  <c r="B718" i="1" a="1"/>
  <c r="B718" i="1" s="1"/>
  <c r="C718" i="1" s="1"/>
  <c r="B719" i="1" a="1"/>
  <c r="B719" i="1" s="1"/>
  <c r="C719" i="1" s="1"/>
  <c r="B720" i="1" a="1"/>
  <c r="B720" i="1" s="1"/>
  <c r="C720" i="1" s="1"/>
  <c r="B721" i="1" a="1"/>
  <c r="B721" i="1" s="1"/>
  <c r="C721" i="1" s="1"/>
  <c r="B722" i="1" a="1"/>
  <c r="B722" i="1" s="1"/>
  <c r="C722" i="1" s="1"/>
  <c r="B723" i="1" a="1"/>
  <c r="B723" i="1" s="1"/>
  <c r="C723" i="1" s="1"/>
  <c r="B724" i="1" a="1"/>
  <c r="B724" i="1" s="1"/>
  <c r="C724" i="1" s="1"/>
  <c r="B725" i="1" a="1"/>
  <c r="B725" i="1" s="1"/>
  <c r="C725" i="1" s="1"/>
  <c r="B726" i="1" a="1"/>
  <c r="B726" i="1" s="1"/>
  <c r="C726" i="1" s="1"/>
  <c r="B727" i="1" a="1"/>
  <c r="B727" i="1" s="1"/>
  <c r="C727" i="1" s="1"/>
  <c r="B728" i="1" a="1"/>
  <c r="B728" i="1" s="1"/>
  <c r="C728" i="1" s="1"/>
  <c r="B729" i="1" a="1"/>
  <c r="B729" i="1" s="1"/>
  <c r="C729" i="1" s="1"/>
  <c r="B730" i="1" a="1"/>
  <c r="B730" i="1" s="1"/>
  <c r="C730" i="1" s="1"/>
  <c r="B731" i="1" a="1"/>
  <c r="B731" i="1" s="1"/>
  <c r="C731" i="1" s="1"/>
  <c r="B732" i="1" a="1"/>
  <c r="B732" i="1" s="1"/>
  <c r="C732" i="1" s="1"/>
  <c r="B733" i="1" a="1"/>
  <c r="B733" i="1" s="1"/>
  <c r="C733" i="1" s="1"/>
  <c r="B734" i="1" a="1"/>
  <c r="B734" i="1" s="1"/>
  <c r="C734" i="1" s="1"/>
  <c r="B735" i="1" a="1"/>
  <c r="B735" i="1" s="1"/>
  <c r="C735" i="1" s="1"/>
  <c r="B736" i="1" a="1"/>
  <c r="B736" i="1" s="1"/>
  <c r="C736" i="1" s="1"/>
  <c r="B737" i="1" a="1"/>
  <c r="B737" i="1" s="1"/>
  <c r="C737" i="1" s="1"/>
  <c r="B738" i="1" a="1"/>
  <c r="B738" i="1" s="1"/>
  <c r="C738" i="1" s="1"/>
  <c r="B739" i="1" a="1"/>
  <c r="B739" i="1" s="1"/>
  <c r="C739" i="1" s="1"/>
  <c r="B740" i="1" a="1"/>
  <c r="B740" i="1" s="1"/>
  <c r="C740" i="1" s="1"/>
  <c r="B741" i="1" a="1"/>
  <c r="B741" i="1" s="1"/>
  <c r="C741" i="1" s="1"/>
  <c r="B742" i="1" a="1"/>
  <c r="B742" i="1" s="1"/>
  <c r="C742" i="1" s="1"/>
  <c r="B743" i="1" a="1"/>
  <c r="B743" i="1" s="1"/>
  <c r="C743" i="1" s="1"/>
  <c r="B744" i="1" a="1"/>
  <c r="B744" i="1" s="1"/>
  <c r="C744" i="1" s="1"/>
  <c r="B745" i="1" a="1"/>
  <c r="B745" i="1" s="1"/>
  <c r="C745" i="1" s="1"/>
  <c r="B746" i="1" a="1"/>
  <c r="B746" i="1" s="1"/>
  <c r="C746" i="1" s="1"/>
  <c r="B747" i="1" a="1"/>
  <c r="B747" i="1" s="1"/>
  <c r="C747" i="1" s="1"/>
  <c r="B748" i="1" a="1"/>
  <c r="B748" i="1" s="1"/>
  <c r="C748" i="1" s="1"/>
  <c r="B749" i="1" a="1"/>
  <c r="B749" i="1" s="1"/>
  <c r="C749" i="1" s="1"/>
  <c r="B750" i="1" a="1"/>
  <c r="B750" i="1" s="1"/>
  <c r="C750" i="1" s="1"/>
  <c r="B751" i="1" a="1"/>
  <c r="B751" i="1" s="1"/>
  <c r="C751" i="1" s="1"/>
  <c r="B752" i="1" a="1"/>
  <c r="B752" i="1" s="1"/>
  <c r="C752" i="1" s="1"/>
  <c r="B753" i="1" a="1"/>
  <c r="B753" i="1" s="1"/>
  <c r="C753" i="1" s="1"/>
  <c r="B754" i="1" a="1"/>
  <c r="B754" i="1" s="1"/>
  <c r="C754" i="1" s="1"/>
  <c r="B755" i="1" a="1"/>
  <c r="B755" i="1" s="1"/>
  <c r="C755" i="1" s="1"/>
  <c r="B756" i="1" a="1"/>
  <c r="B756" i="1" s="1"/>
  <c r="C756" i="1" s="1"/>
  <c r="B757" i="1" a="1"/>
  <c r="B757" i="1" s="1"/>
  <c r="C757" i="1" s="1"/>
  <c r="B758" i="1" a="1"/>
  <c r="B758" i="1" s="1"/>
  <c r="C758" i="1" s="1"/>
  <c r="B759" i="1" a="1"/>
  <c r="B759" i="1" s="1"/>
  <c r="C759" i="1" s="1"/>
  <c r="B760" i="1" a="1"/>
  <c r="B760" i="1" s="1"/>
  <c r="C760" i="1" s="1"/>
  <c r="B761" i="1" a="1"/>
  <c r="B761" i="1" s="1"/>
  <c r="C761" i="1" s="1"/>
  <c r="B762" i="1" a="1"/>
  <c r="B762" i="1" s="1"/>
  <c r="C762" i="1" s="1"/>
  <c r="B763" i="1" a="1"/>
  <c r="B763" i="1" s="1"/>
  <c r="C763" i="1" s="1"/>
  <c r="B764" i="1" a="1"/>
  <c r="B764" i="1" s="1"/>
  <c r="C764" i="1" s="1"/>
  <c r="B765" i="1" a="1"/>
  <c r="B765" i="1" s="1"/>
  <c r="C765" i="1" s="1"/>
  <c r="B766" i="1" a="1"/>
  <c r="B766" i="1" s="1"/>
  <c r="C766" i="1" s="1"/>
  <c r="B767" i="1" a="1"/>
  <c r="B767" i="1" s="1"/>
  <c r="C767" i="1" s="1"/>
  <c r="B768" i="1" a="1"/>
  <c r="B768" i="1" s="1"/>
  <c r="C768" i="1" s="1"/>
  <c r="B769" i="1" a="1"/>
  <c r="B769" i="1" s="1"/>
  <c r="C769" i="1" s="1"/>
  <c r="B770" i="1" a="1"/>
  <c r="B770" i="1" s="1"/>
  <c r="C770" i="1" s="1"/>
  <c r="B771" i="1" a="1"/>
  <c r="B771" i="1" s="1"/>
  <c r="C771" i="1" s="1"/>
  <c r="B772" i="1" a="1"/>
  <c r="B772" i="1" s="1"/>
  <c r="C772" i="1" s="1"/>
  <c r="B773" i="1" a="1"/>
  <c r="B773" i="1" s="1"/>
  <c r="C773" i="1" s="1"/>
  <c r="B774" i="1" a="1"/>
  <c r="B774" i="1" s="1"/>
  <c r="C774" i="1" s="1"/>
  <c r="B775" i="1" a="1"/>
  <c r="B775" i="1" s="1"/>
  <c r="C775" i="1" s="1"/>
  <c r="B776" i="1" a="1"/>
  <c r="B776" i="1" s="1"/>
  <c r="C776" i="1" s="1"/>
  <c r="B777" i="1" a="1"/>
  <c r="B777" i="1" s="1"/>
  <c r="C777" i="1" s="1"/>
  <c r="B778" i="1" a="1"/>
  <c r="B778" i="1" s="1"/>
  <c r="C778" i="1" s="1"/>
  <c r="B779" i="1" a="1"/>
  <c r="B779" i="1" s="1"/>
  <c r="C779" i="1" s="1"/>
  <c r="B780" i="1" a="1"/>
  <c r="B780" i="1" s="1"/>
  <c r="C780" i="1" s="1"/>
  <c r="B781" i="1" a="1"/>
  <c r="B781" i="1" s="1"/>
  <c r="C781" i="1" s="1"/>
  <c r="B782" i="1" a="1"/>
  <c r="B782" i="1" s="1"/>
  <c r="C782" i="1" s="1"/>
  <c r="B783" i="1" a="1"/>
  <c r="B783" i="1" s="1"/>
  <c r="C783" i="1" s="1"/>
  <c r="B784" i="1" a="1"/>
  <c r="B784" i="1" s="1"/>
  <c r="C784" i="1" s="1"/>
  <c r="B785" i="1" a="1"/>
  <c r="B785" i="1" s="1"/>
  <c r="C785" i="1" s="1"/>
  <c r="B786" i="1" a="1"/>
  <c r="B786" i="1" s="1"/>
  <c r="C786" i="1" s="1"/>
  <c r="B787" i="1" a="1"/>
  <c r="B787" i="1" s="1"/>
  <c r="C787" i="1" s="1"/>
  <c r="B788" i="1" a="1"/>
  <c r="B788" i="1" s="1"/>
  <c r="C788" i="1" s="1"/>
  <c r="B789" i="1" a="1"/>
  <c r="B789" i="1" s="1"/>
  <c r="C789" i="1" s="1"/>
  <c r="B790" i="1" a="1"/>
  <c r="B790" i="1" s="1"/>
  <c r="C790" i="1" s="1"/>
  <c r="B791" i="1" a="1"/>
  <c r="B791" i="1" s="1"/>
  <c r="C791" i="1" s="1"/>
  <c r="B792" i="1" a="1"/>
  <c r="B792" i="1" s="1"/>
  <c r="C792" i="1" s="1"/>
  <c r="B793" i="1" a="1"/>
  <c r="B793" i="1" s="1"/>
  <c r="C793" i="1" s="1"/>
  <c r="B794" i="1" a="1"/>
  <c r="B794" i="1" s="1"/>
  <c r="C794" i="1" s="1"/>
  <c r="B795" i="1" a="1"/>
  <c r="B795" i="1" s="1"/>
  <c r="C795" i="1" s="1"/>
  <c r="B796" i="1" a="1"/>
  <c r="B796" i="1" s="1"/>
  <c r="C796" i="1" s="1"/>
  <c r="B797" i="1" a="1"/>
  <c r="B797" i="1" s="1"/>
  <c r="C797" i="1" s="1"/>
  <c r="B798" i="1" a="1"/>
  <c r="B798" i="1" s="1"/>
  <c r="C798" i="1" s="1"/>
  <c r="B799" i="1" a="1"/>
  <c r="B799" i="1" s="1"/>
  <c r="C799" i="1" s="1"/>
  <c r="B800" i="1" a="1"/>
  <c r="B800" i="1" s="1"/>
  <c r="C800" i="1" s="1"/>
  <c r="B801" i="1" a="1"/>
  <c r="B801" i="1" s="1"/>
  <c r="C801" i="1" s="1"/>
  <c r="B802" i="1" a="1"/>
  <c r="B802" i="1" s="1"/>
  <c r="C802" i="1" s="1"/>
  <c r="B803" i="1" a="1"/>
  <c r="B803" i="1" s="1"/>
  <c r="C803" i="1" s="1"/>
  <c r="B804" i="1" a="1"/>
  <c r="B804" i="1" s="1"/>
  <c r="C804" i="1" s="1"/>
  <c r="B805" i="1" a="1"/>
  <c r="B805" i="1" s="1"/>
  <c r="C805" i="1" s="1"/>
  <c r="B806" i="1" a="1"/>
  <c r="B806" i="1" s="1"/>
  <c r="C806" i="1" s="1"/>
  <c r="B807" i="1" a="1"/>
  <c r="B807" i="1" s="1"/>
  <c r="C807" i="1" s="1"/>
  <c r="B808" i="1" a="1"/>
  <c r="B808" i="1" s="1"/>
  <c r="C808" i="1" s="1"/>
  <c r="B809" i="1" a="1"/>
  <c r="B809" i="1" s="1"/>
  <c r="C809" i="1" s="1"/>
  <c r="B810" i="1" a="1"/>
  <c r="B810" i="1" s="1"/>
  <c r="C810" i="1" s="1"/>
  <c r="B811" i="1" a="1"/>
  <c r="B811" i="1" s="1"/>
  <c r="C811" i="1" s="1"/>
  <c r="B812" i="1" a="1"/>
  <c r="B812" i="1" s="1"/>
  <c r="C812" i="1" s="1"/>
  <c r="B813" i="1" a="1"/>
  <c r="B813" i="1" s="1"/>
  <c r="C813" i="1" s="1"/>
  <c r="B814" i="1" a="1"/>
  <c r="B814" i="1" s="1"/>
  <c r="C814" i="1" s="1"/>
  <c r="B815" i="1" a="1"/>
  <c r="B815" i="1" s="1"/>
  <c r="C815" i="1" s="1"/>
  <c r="B816" i="1" a="1"/>
  <c r="B816" i="1" s="1"/>
  <c r="C816" i="1" s="1"/>
  <c r="B817" i="1" a="1"/>
  <c r="B817" i="1" s="1"/>
  <c r="C817" i="1" s="1"/>
  <c r="B818" i="1" a="1"/>
  <c r="B818" i="1" s="1"/>
  <c r="C818" i="1" s="1"/>
  <c r="B819" i="1" a="1"/>
  <c r="B819" i="1" s="1"/>
  <c r="C819" i="1" s="1"/>
  <c r="B820" i="1" a="1"/>
  <c r="B820" i="1" s="1"/>
  <c r="C820" i="1" s="1"/>
  <c r="B821" i="1" a="1"/>
  <c r="B821" i="1" s="1"/>
  <c r="C821" i="1" s="1"/>
  <c r="B822" i="1" a="1"/>
  <c r="B822" i="1" s="1"/>
  <c r="C822" i="1" s="1"/>
  <c r="B823" i="1" a="1"/>
  <c r="B823" i="1" s="1"/>
  <c r="C823" i="1" s="1"/>
  <c r="B824" i="1" a="1"/>
  <c r="B824" i="1" s="1"/>
  <c r="C824" i="1" s="1"/>
  <c r="B825" i="1" a="1"/>
  <c r="B825" i="1" s="1"/>
  <c r="C825" i="1" s="1"/>
  <c r="B826" i="1" a="1"/>
  <c r="B826" i="1" s="1"/>
  <c r="C826" i="1" s="1"/>
  <c r="B827" i="1" a="1"/>
  <c r="B827" i="1" s="1"/>
  <c r="C827" i="1" s="1"/>
  <c r="B828" i="1" a="1"/>
  <c r="B828" i="1" s="1"/>
  <c r="C828" i="1" s="1"/>
  <c r="B829" i="1" a="1"/>
  <c r="B829" i="1" s="1"/>
  <c r="C829" i="1" s="1"/>
  <c r="B830" i="1" a="1"/>
  <c r="B830" i="1" s="1"/>
  <c r="C830" i="1" s="1"/>
  <c r="B831" i="1" a="1"/>
  <c r="B831" i="1" s="1"/>
  <c r="C831" i="1" s="1"/>
  <c r="B832" i="1" a="1"/>
  <c r="B832" i="1" s="1"/>
  <c r="C832" i="1" s="1"/>
  <c r="B833" i="1" a="1"/>
  <c r="B833" i="1" s="1"/>
  <c r="C833" i="1" s="1"/>
  <c r="B834" i="1" a="1"/>
  <c r="B834" i="1" s="1"/>
  <c r="C834" i="1" s="1"/>
  <c r="B835" i="1" a="1"/>
  <c r="B835" i="1" s="1"/>
  <c r="C835" i="1" s="1"/>
  <c r="B836" i="1" a="1"/>
  <c r="B836" i="1" s="1"/>
  <c r="C836" i="1" s="1"/>
  <c r="B837" i="1" a="1"/>
  <c r="B837" i="1" s="1"/>
  <c r="C837" i="1" s="1"/>
  <c r="B838" i="1" a="1"/>
  <c r="B838" i="1" s="1"/>
  <c r="C838" i="1" s="1"/>
  <c r="B839" i="1" a="1"/>
  <c r="B839" i="1" s="1"/>
  <c r="C839" i="1" s="1"/>
  <c r="B840" i="1" a="1"/>
  <c r="B840" i="1" s="1"/>
  <c r="C840" i="1" s="1"/>
  <c r="B841" i="1" a="1"/>
  <c r="B841" i="1" s="1"/>
  <c r="C841" i="1" s="1"/>
  <c r="B842" i="1" a="1"/>
  <c r="B842" i="1" s="1"/>
  <c r="C842" i="1" s="1"/>
  <c r="B843" i="1" a="1"/>
  <c r="B843" i="1" s="1"/>
  <c r="C843" i="1" s="1"/>
  <c r="B844" i="1" a="1"/>
  <c r="B844" i="1" s="1"/>
  <c r="C844" i="1" s="1"/>
  <c r="B845" i="1" a="1"/>
  <c r="B845" i="1" s="1"/>
  <c r="C845" i="1" s="1"/>
  <c r="B846" i="1" a="1"/>
  <c r="B846" i="1" s="1"/>
  <c r="C846" i="1" s="1"/>
  <c r="B847" i="1" a="1"/>
  <c r="B847" i="1" s="1"/>
  <c r="C847" i="1" s="1"/>
  <c r="B848" i="1" a="1"/>
  <c r="B848" i="1" s="1"/>
  <c r="C848" i="1" s="1"/>
  <c r="B849" i="1" a="1"/>
  <c r="B849" i="1" s="1"/>
  <c r="C849" i="1" s="1"/>
  <c r="B850" i="1" a="1"/>
  <c r="B850" i="1" s="1"/>
  <c r="C850" i="1" s="1"/>
  <c r="B851" i="1" a="1"/>
  <c r="B851" i="1" s="1"/>
  <c r="C851" i="1" s="1"/>
  <c r="B852" i="1" a="1"/>
  <c r="B852" i="1" s="1"/>
  <c r="C852" i="1" s="1"/>
  <c r="B853" i="1" a="1"/>
  <c r="B853" i="1" s="1"/>
  <c r="C853" i="1" s="1"/>
  <c r="B854" i="1" a="1"/>
  <c r="B854" i="1" s="1"/>
  <c r="C854" i="1" s="1"/>
  <c r="B855" i="1" a="1"/>
  <c r="B855" i="1" s="1"/>
  <c r="C855" i="1" s="1"/>
  <c r="B856" i="1" a="1"/>
  <c r="B856" i="1" s="1"/>
  <c r="C856" i="1" s="1"/>
  <c r="B857" i="1" a="1"/>
  <c r="B857" i="1" s="1"/>
  <c r="C857" i="1" s="1"/>
  <c r="B858" i="1" a="1"/>
  <c r="B858" i="1" s="1"/>
  <c r="C858" i="1" s="1"/>
  <c r="B859" i="1" a="1"/>
  <c r="B859" i="1" s="1"/>
  <c r="C859" i="1" s="1"/>
  <c r="B860" i="1" a="1"/>
  <c r="B860" i="1" s="1"/>
  <c r="C860" i="1" s="1"/>
  <c r="B861" i="1" a="1"/>
  <c r="B861" i="1" s="1"/>
  <c r="C861" i="1" s="1"/>
  <c r="B862" i="1" a="1"/>
  <c r="B862" i="1" s="1"/>
  <c r="C862" i="1" s="1"/>
  <c r="B863" i="1" a="1"/>
  <c r="B863" i="1" s="1"/>
  <c r="C863" i="1" s="1"/>
  <c r="B864" i="1" a="1"/>
  <c r="B864" i="1" s="1"/>
  <c r="C864" i="1" s="1"/>
  <c r="B865" i="1" a="1"/>
  <c r="B865" i="1" s="1"/>
  <c r="C865" i="1" s="1"/>
  <c r="B866" i="1" a="1"/>
  <c r="B866" i="1" s="1"/>
  <c r="C866" i="1" s="1"/>
  <c r="B867" i="1" a="1"/>
  <c r="B867" i="1" s="1"/>
  <c r="C867" i="1" s="1"/>
  <c r="B868" i="1" a="1"/>
  <c r="B868" i="1" s="1"/>
  <c r="C868" i="1" s="1"/>
  <c r="B869" i="1" a="1"/>
  <c r="B869" i="1" s="1"/>
  <c r="C869" i="1" s="1"/>
  <c r="B870" i="1" a="1"/>
  <c r="B870" i="1" s="1"/>
  <c r="C870" i="1" s="1"/>
  <c r="B871" i="1" a="1"/>
  <c r="B871" i="1" s="1"/>
  <c r="C871" i="1" s="1"/>
  <c r="B872" i="1" a="1"/>
  <c r="B872" i="1" s="1"/>
  <c r="C872" i="1" s="1"/>
  <c r="B873" i="1" a="1"/>
  <c r="B873" i="1" s="1"/>
  <c r="C873" i="1" s="1"/>
  <c r="B874" i="1" a="1"/>
  <c r="B874" i="1" s="1"/>
  <c r="C874" i="1" s="1"/>
  <c r="B875" i="1" a="1"/>
  <c r="B875" i="1" s="1"/>
  <c r="C875" i="1" s="1"/>
  <c r="B876" i="1" a="1"/>
  <c r="B876" i="1" s="1"/>
  <c r="C876" i="1" s="1"/>
  <c r="B877" i="1" a="1"/>
  <c r="B877" i="1" s="1"/>
  <c r="C877" i="1" s="1"/>
  <c r="B878" i="1" a="1"/>
  <c r="B878" i="1" s="1"/>
  <c r="C878" i="1" s="1"/>
  <c r="B879" i="1" a="1"/>
  <c r="B879" i="1" s="1"/>
  <c r="C879" i="1" s="1"/>
  <c r="B880" i="1" a="1"/>
  <c r="B880" i="1" s="1"/>
  <c r="C880" i="1" s="1"/>
  <c r="B881" i="1" a="1"/>
  <c r="B881" i="1" s="1"/>
  <c r="C881" i="1" s="1"/>
  <c r="B882" i="1" a="1"/>
  <c r="B882" i="1" s="1"/>
  <c r="C882" i="1" s="1"/>
  <c r="B883" i="1" a="1"/>
  <c r="B883" i="1" s="1"/>
  <c r="C883" i="1" s="1"/>
  <c r="B884" i="1" a="1"/>
  <c r="B884" i="1" s="1"/>
  <c r="C884" i="1" s="1"/>
  <c r="B885" i="1" a="1"/>
  <c r="B885" i="1" s="1"/>
  <c r="C885" i="1" s="1"/>
  <c r="B886" i="1" a="1"/>
  <c r="B886" i="1" s="1"/>
  <c r="C886" i="1" s="1"/>
  <c r="B887" i="1" a="1"/>
  <c r="B887" i="1" s="1"/>
  <c r="C887" i="1" s="1"/>
  <c r="B888" i="1" a="1"/>
  <c r="B888" i="1" s="1"/>
  <c r="C888" i="1" s="1"/>
  <c r="B889" i="1" a="1"/>
  <c r="B889" i="1" s="1"/>
  <c r="C889" i="1" s="1"/>
  <c r="B890" i="1" a="1"/>
  <c r="B890" i="1" s="1"/>
  <c r="C890" i="1" s="1"/>
  <c r="B891" i="1" a="1"/>
  <c r="B891" i="1" s="1"/>
  <c r="C891" i="1" s="1"/>
  <c r="B892" i="1" a="1"/>
  <c r="B892" i="1" s="1"/>
  <c r="C892" i="1" s="1"/>
  <c r="B893" i="1" a="1"/>
  <c r="B893" i="1" s="1"/>
  <c r="C893" i="1" s="1"/>
  <c r="B894" i="1" a="1"/>
  <c r="B894" i="1" s="1"/>
  <c r="C894" i="1" s="1"/>
  <c r="B895" i="1" a="1"/>
  <c r="B895" i="1" s="1"/>
  <c r="C895" i="1" s="1"/>
  <c r="B896" i="1" a="1"/>
  <c r="B896" i="1" s="1"/>
  <c r="C896" i="1" s="1"/>
  <c r="B897" i="1" a="1"/>
  <c r="B897" i="1" s="1"/>
  <c r="C897" i="1" s="1"/>
  <c r="B898" i="1" a="1"/>
  <c r="B898" i="1" s="1"/>
  <c r="C898" i="1" s="1"/>
  <c r="B899" i="1" a="1"/>
  <c r="B899" i="1" s="1"/>
  <c r="C899" i="1" s="1"/>
  <c r="B900" i="1" a="1"/>
  <c r="B900" i="1" s="1"/>
  <c r="C900" i="1" s="1"/>
  <c r="B901" i="1" a="1"/>
  <c r="B901" i="1" s="1"/>
  <c r="C901" i="1" s="1"/>
  <c r="B902" i="1" a="1"/>
  <c r="B902" i="1" s="1"/>
  <c r="C902" i="1" s="1"/>
  <c r="B903" i="1" a="1"/>
  <c r="B903" i="1" s="1"/>
  <c r="C903" i="1" s="1"/>
  <c r="B904" i="1" a="1"/>
  <c r="B904" i="1" s="1"/>
  <c r="C904" i="1" s="1"/>
  <c r="B905" i="1" a="1"/>
  <c r="B905" i="1" s="1"/>
  <c r="C905" i="1" s="1"/>
  <c r="B906" i="1" a="1"/>
  <c r="B906" i="1" s="1"/>
  <c r="C906" i="1" s="1"/>
  <c r="B907" i="1" a="1"/>
  <c r="B907" i="1" s="1"/>
  <c r="C907" i="1" s="1"/>
  <c r="B908" i="1" a="1"/>
  <c r="B908" i="1" s="1"/>
  <c r="C908" i="1" s="1"/>
  <c r="B909" i="1" a="1"/>
  <c r="B909" i="1" s="1"/>
  <c r="C909" i="1" s="1"/>
  <c r="B910" i="1" a="1"/>
  <c r="B910" i="1" s="1"/>
  <c r="C910" i="1" s="1"/>
  <c r="B911" i="1" a="1"/>
  <c r="B911" i="1" s="1"/>
  <c r="C911" i="1" s="1"/>
  <c r="B912" i="1" a="1"/>
  <c r="B912" i="1" s="1"/>
  <c r="C912" i="1" s="1"/>
  <c r="B913" i="1" a="1"/>
  <c r="B913" i="1" s="1"/>
  <c r="C913" i="1" s="1"/>
  <c r="B914" i="1" a="1"/>
  <c r="B914" i="1" s="1"/>
  <c r="C914" i="1" s="1"/>
  <c r="B915" i="1" a="1"/>
  <c r="B915" i="1" s="1"/>
  <c r="C915" i="1" s="1"/>
  <c r="B916" i="1" a="1"/>
  <c r="B916" i="1" s="1"/>
  <c r="C916" i="1" s="1"/>
  <c r="B917" i="1" a="1"/>
  <c r="B917" i="1" s="1"/>
  <c r="C917" i="1" s="1"/>
  <c r="B918" i="1" a="1"/>
  <c r="B918" i="1" s="1"/>
  <c r="C918" i="1" s="1"/>
  <c r="B919" i="1" a="1"/>
  <c r="B919" i="1" s="1"/>
  <c r="C919" i="1" s="1"/>
  <c r="B920" i="1" a="1"/>
  <c r="B920" i="1" s="1"/>
  <c r="C920" i="1" s="1"/>
  <c r="B921" i="1" a="1"/>
  <c r="B921" i="1" s="1"/>
  <c r="C921" i="1" s="1"/>
  <c r="B922" i="1" a="1"/>
  <c r="B922" i="1" s="1"/>
  <c r="C922" i="1" s="1"/>
  <c r="B923" i="1" a="1"/>
  <c r="B923" i="1" s="1"/>
  <c r="C923" i="1" s="1"/>
  <c r="B924" i="1" a="1"/>
  <c r="B924" i="1" s="1"/>
  <c r="C924" i="1" s="1"/>
  <c r="B925" i="1" a="1"/>
  <c r="B925" i="1" s="1"/>
  <c r="C925" i="1" s="1"/>
  <c r="B926" i="1" a="1"/>
  <c r="B926" i="1" s="1"/>
  <c r="C926" i="1" s="1"/>
  <c r="B927" i="1" a="1"/>
  <c r="B927" i="1" s="1"/>
  <c r="C927" i="1" s="1"/>
  <c r="B928" i="1" a="1"/>
  <c r="B928" i="1" s="1"/>
  <c r="C928" i="1" s="1"/>
  <c r="B929" i="1" a="1"/>
  <c r="B929" i="1" s="1"/>
  <c r="C929" i="1" s="1"/>
  <c r="B930" i="1" a="1"/>
  <c r="B930" i="1" s="1"/>
  <c r="C930" i="1" s="1"/>
  <c r="B931" i="1" a="1"/>
  <c r="B931" i="1" s="1"/>
  <c r="C931" i="1" s="1"/>
  <c r="B932" i="1" a="1"/>
  <c r="B932" i="1" s="1"/>
  <c r="C932" i="1" s="1"/>
  <c r="B933" i="1" a="1"/>
  <c r="B933" i="1" s="1"/>
  <c r="C933" i="1" s="1"/>
  <c r="B934" i="1" a="1"/>
  <c r="B934" i="1" s="1"/>
  <c r="C934" i="1" s="1"/>
  <c r="B935" i="1" a="1"/>
  <c r="B935" i="1" s="1"/>
  <c r="C935" i="1" s="1"/>
  <c r="B936" i="1" a="1"/>
  <c r="B936" i="1" s="1"/>
  <c r="C936" i="1" s="1"/>
  <c r="B937" i="1" a="1"/>
  <c r="B937" i="1" s="1"/>
  <c r="C937" i="1" s="1"/>
  <c r="B938" i="1" a="1"/>
  <c r="B938" i="1" s="1"/>
  <c r="C938" i="1" s="1"/>
  <c r="B939" i="1" a="1"/>
  <c r="B939" i="1" s="1"/>
  <c r="C939" i="1" s="1"/>
  <c r="B940" i="1" a="1"/>
  <c r="B940" i="1" s="1"/>
  <c r="C940" i="1" s="1"/>
  <c r="B941" i="1" a="1"/>
  <c r="B941" i="1" s="1"/>
  <c r="C941" i="1" s="1"/>
  <c r="B942" i="1" a="1"/>
  <c r="B942" i="1" s="1"/>
  <c r="C942" i="1" s="1"/>
  <c r="B943" i="1" a="1"/>
  <c r="B943" i="1" s="1"/>
  <c r="C943" i="1" s="1"/>
  <c r="B944" i="1" a="1"/>
  <c r="B944" i="1" s="1"/>
  <c r="C944" i="1" s="1"/>
  <c r="B945" i="1" a="1"/>
  <c r="B945" i="1" s="1"/>
  <c r="C945" i="1" s="1"/>
  <c r="B946" i="1" a="1"/>
  <c r="B946" i="1" s="1"/>
  <c r="C946" i="1" s="1"/>
  <c r="B947" i="1" a="1"/>
  <c r="B947" i="1" s="1"/>
  <c r="C947" i="1" s="1"/>
  <c r="B948" i="1" a="1"/>
  <c r="B948" i="1" s="1"/>
  <c r="C948" i="1" s="1"/>
  <c r="B949" i="1" a="1"/>
  <c r="B949" i="1" s="1"/>
  <c r="C949" i="1" s="1"/>
  <c r="B950" i="1" a="1"/>
  <c r="B950" i="1" s="1"/>
  <c r="C950" i="1" s="1"/>
  <c r="B951" i="1" a="1"/>
  <c r="B951" i="1" s="1"/>
  <c r="C951" i="1" s="1"/>
  <c r="B952" i="1" a="1"/>
  <c r="B952" i="1" s="1"/>
  <c r="C952" i="1" s="1"/>
  <c r="B953" i="1" a="1"/>
  <c r="B953" i="1" s="1"/>
  <c r="C953" i="1" s="1"/>
  <c r="B954" i="1" a="1"/>
  <c r="B954" i="1" s="1"/>
  <c r="C954" i="1" s="1"/>
  <c r="B955" i="1" a="1"/>
  <c r="B955" i="1" s="1"/>
  <c r="C955" i="1" s="1"/>
  <c r="B956" i="1" a="1"/>
  <c r="B956" i="1" s="1"/>
  <c r="C956" i="1" s="1"/>
  <c r="B957" i="1" a="1"/>
  <c r="B957" i="1" s="1"/>
  <c r="C957" i="1" s="1"/>
  <c r="B958" i="1" a="1"/>
  <c r="B958" i="1" s="1"/>
  <c r="C958" i="1" s="1"/>
  <c r="B959" i="1" a="1"/>
  <c r="B959" i="1" s="1"/>
  <c r="C959" i="1" s="1"/>
  <c r="B960" i="1" a="1"/>
  <c r="B960" i="1" s="1"/>
  <c r="C960" i="1" s="1"/>
  <c r="B961" i="1" a="1"/>
  <c r="B961" i="1" s="1"/>
  <c r="C961" i="1" s="1"/>
  <c r="B962" i="1" a="1"/>
  <c r="B962" i="1" s="1"/>
  <c r="C962" i="1" s="1"/>
  <c r="B963" i="1" a="1"/>
  <c r="B963" i="1" s="1"/>
  <c r="C963" i="1" s="1"/>
  <c r="B964" i="1" a="1"/>
  <c r="B964" i="1" s="1"/>
  <c r="C964" i="1" s="1"/>
  <c r="B965" i="1" a="1"/>
  <c r="B965" i="1" s="1"/>
  <c r="C965" i="1" s="1"/>
  <c r="B966" i="1" a="1"/>
  <c r="B966" i="1" s="1"/>
  <c r="C966" i="1" s="1"/>
  <c r="B967" i="1" a="1"/>
  <c r="B967" i="1" s="1"/>
  <c r="C967" i="1" s="1"/>
  <c r="B968" i="1" a="1"/>
  <c r="B968" i="1" s="1"/>
  <c r="C968" i="1" s="1"/>
  <c r="B969" i="1" a="1"/>
  <c r="B969" i="1" s="1"/>
  <c r="C969" i="1" s="1"/>
  <c r="B970" i="1" a="1"/>
  <c r="B970" i="1" s="1"/>
  <c r="C970" i="1" s="1"/>
  <c r="B971" i="1" a="1"/>
  <c r="B971" i="1" s="1"/>
  <c r="C971" i="1" s="1"/>
  <c r="B972" i="1" a="1"/>
  <c r="B972" i="1" s="1"/>
  <c r="C972" i="1" s="1"/>
  <c r="B973" i="1" a="1"/>
  <c r="B973" i="1" s="1"/>
  <c r="C973" i="1" s="1"/>
  <c r="B974" i="1" a="1"/>
  <c r="B974" i="1" s="1"/>
  <c r="C974" i="1" s="1"/>
  <c r="B975" i="1" a="1"/>
  <c r="B975" i="1" s="1"/>
  <c r="C975" i="1" s="1"/>
  <c r="B976" i="1" a="1"/>
  <c r="B976" i="1" s="1"/>
  <c r="C976" i="1" s="1"/>
  <c r="B977" i="1" a="1"/>
  <c r="B977" i="1" s="1"/>
  <c r="C977" i="1" s="1"/>
  <c r="B978" i="1" a="1"/>
  <c r="B978" i="1" s="1"/>
  <c r="C978" i="1" s="1"/>
  <c r="B979" i="1" a="1"/>
  <c r="B979" i="1" s="1"/>
  <c r="C979" i="1" s="1"/>
  <c r="B980" i="1" a="1"/>
  <c r="B980" i="1" s="1"/>
  <c r="C980" i="1" s="1"/>
  <c r="B981" i="1" a="1"/>
  <c r="B981" i="1" s="1"/>
  <c r="C981" i="1" s="1"/>
  <c r="B982" i="1" a="1"/>
  <c r="B982" i="1" s="1"/>
  <c r="C982" i="1" s="1"/>
  <c r="B983" i="1" a="1"/>
  <c r="B983" i="1" s="1"/>
  <c r="C983" i="1" s="1"/>
  <c r="B984" i="1" a="1"/>
  <c r="B984" i="1" s="1"/>
  <c r="C984" i="1" s="1"/>
  <c r="B985" i="1" a="1"/>
  <c r="B985" i="1" s="1"/>
  <c r="C985" i="1" s="1"/>
  <c r="B986" i="1" a="1"/>
  <c r="B986" i="1" s="1"/>
  <c r="C986" i="1" s="1"/>
  <c r="B987" i="1" a="1"/>
  <c r="B987" i="1" s="1"/>
  <c r="C987" i="1" s="1"/>
  <c r="B988" i="1" a="1"/>
  <c r="B988" i="1" s="1"/>
  <c r="C988" i="1" s="1"/>
  <c r="B989" i="1" a="1"/>
  <c r="B989" i="1" s="1"/>
  <c r="C989" i="1" s="1"/>
  <c r="B990" i="1" a="1"/>
  <c r="B990" i="1" s="1"/>
  <c r="C990" i="1" s="1"/>
  <c r="B991" i="1" a="1"/>
  <c r="B991" i="1" s="1"/>
  <c r="C991" i="1" s="1"/>
  <c r="B992" i="1" a="1"/>
  <c r="B992" i="1" s="1"/>
  <c r="C992" i="1" s="1"/>
  <c r="B993" i="1" a="1"/>
  <c r="B993" i="1" s="1"/>
  <c r="C993" i="1" s="1"/>
  <c r="B994" i="1" a="1"/>
  <c r="B994" i="1" s="1"/>
  <c r="C994" i="1" s="1"/>
  <c r="B995" i="1" a="1"/>
  <c r="B995" i="1" s="1"/>
  <c r="C995" i="1" s="1"/>
  <c r="B996" i="1" a="1"/>
  <c r="B996" i="1" s="1"/>
  <c r="C996" i="1" s="1"/>
  <c r="B997" i="1" a="1"/>
  <c r="B997" i="1" s="1"/>
  <c r="C997" i="1" s="1"/>
  <c r="B998" i="1" a="1"/>
  <c r="B998" i="1" s="1"/>
  <c r="C998" i="1" s="1"/>
  <c r="B999" i="1" a="1"/>
  <c r="B999" i="1" s="1"/>
  <c r="C999" i="1" s="1"/>
  <c r="B1000" i="1" a="1"/>
  <c r="B1000" i="1" s="1"/>
  <c r="C1000" i="1" s="1"/>
  <c r="B1001" i="1" a="1"/>
  <c r="B1001" i="1" s="1"/>
  <c r="C1001" i="1" s="1"/>
  <c r="B1002" i="1" a="1"/>
  <c r="B1002" i="1" s="1"/>
  <c r="C1002" i="1" s="1"/>
  <c r="B1003" i="1" a="1"/>
  <c r="B1003" i="1" s="1"/>
  <c r="C1003" i="1" s="1"/>
  <c r="B1004" i="1" a="1"/>
  <c r="B1004" i="1" s="1"/>
  <c r="C1004" i="1" s="1"/>
  <c r="B1005" i="1" a="1"/>
  <c r="B1005" i="1" s="1"/>
  <c r="C1005" i="1" s="1"/>
  <c r="B127" i="1" a="1"/>
  <c r="B127" i="1" s="1"/>
  <c r="C127" i="1" s="1"/>
  <c r="G127" i="1" s="1" a="1"/>
  <c r="G127" i="1" s="1"/>
  <c r="B128" i="1" a="1"/>
  <c r="B128" i="1" s="1"/>
  <c r="C128" i="1" s="1"/>
  <c r="B129" i="1" a="1"/>
  <c r="B129" i="1" s="1"/>
  <c r="C129" i="1" s="1"/>
  <c r="B130" i="1" a="1"/>
  <c r="B130" i="1" s="1"/>
  <c r="C130" i="1" s="1"/>
  <c r="B131" i="1" a="1"/>
  <c r="B131" i="1" s="1"/>
  <c r="C131" i="1" s="1"/>
  <c r="B132" i="1" a="1"/>
  <c r="B132" i="1" s="1"/>
  <c r="C132" i="1" s="1"/>
  <c r="B133" i="1" a="1"/>
  <c r="B133" i="1" s="1"/>
  <c r="C133" i="1" s="1"/>
  <c r="B134" i="1" a="1"/>
  <c r="B134" i="1" s="1"/>
  <c r="C134" i="1" s="1"/>
  <c r="B135" i="1" a="1"/>
  <c r="B135" i="1" s="1"/>
  <c r="C135" i="1" s="1"/>
  <c r="B136" i="1" a="1"/>
  <c r="B136" i="1" s="1"/>
  <c r="C136" i="1" s="1"/>
  <c r="B137" i="1" a="1"/>
  <c r="B137" i="1" s="1"/>
  <c r="C137" i="1" s="1"/>
  <c r="B138" i="1" a="1"/>
  <c r="B138" i="1" s="1"/>
  <c r="C138" i="1" s="1"/>
  <c r="B139" i="1" a="1"/>
  <c r="B139" i="1" s="1"/>
  <c r="C139" i="1" s="1"/>
  <c r="B140" i="1" a="1"/>
  <c r="B140" i="1" s="1"/>
  <c r="C140" i="1" s="1"/>
  <c r="B141" i="1" a="1"/>
  <c r="B141" i="1" s="1"/>
  <c r="C141" i="1" s="1"/>
  <c r="B142" i="1" a="1"/>
  <c r="B142" i="1" s="1"/>
  <c r="C142" i="1" s="1"/>
  <c r="B143" i="1" a="1"/>
  <c r="B143" i="1" s="1"/>
  <c r="C143" i="1" s="1"/>
  <c r="B144" i="1" a="1"/>
  <c r="B144" i="1" s="1"/>
  <c r="C144" i="1" s="1"/>
  <c r="B145" i="1" a="1"/>
  <c r="B145" i="1" s="1"/>
  <c r="C145" i="1" s="1"/>
  <c r="B146" i="1" a="1"/>
  <c r="B146" i="1" s="1"/>
  <c r="C146" i="1" s="1"/>
  <c r="B147" i="1" a="1"/>
  <c r="B147" i="1" s="1"/>
  <c r="C147" i="1" s="1"/>
  <c r="B148" i="1" a="1"/>
  <c r="B148" i="1" s="1"/>
  <c r="C148" i="1" s="1"/>
  <c r="B149" i="1" a="1"/>
  <c r="B149" i="1" s="1"/>
  <c r="C149" i="1" s="1"/>
  <c r="B150" i="1" a="1"/>
  <c r="B150" i="1" s="1"/>
  <c r="C150" i="1" s="1"/>
  <c r="B151" i="1" a="1"/>
  <c r="B151" i="1" s="1"/>
  <c r="C151" i="1" s="1"/>
  <c r="B152" i="1" a="1"/>
  <c r="B152" i="1" s="1"/>
  <c r="C152" i="1" s="1"/>
  <c r="B153" i="1" a="1"/>
  <c r="B153" i="1" s="1"/>
  <c r="C153" i="1" s="1"/>
  <c r="B154" i="1" a="1"/>
  <c r="B154" i="1" s="1"/>
  <c r="C154" i="1" s="1"/>
  <c r="B155" i="1" a="1"/>
  <c r="B155" i="1" s="1"/>
  <c r="C155" i="1" s="1"/>
  <c r="B156" i="1" a="1"/>
  <c r="B156" i="1" s="1"/>
  <c r="C156" i="1" s="1"/>
  <c r="B157" i="1" a="1"/>
  <c r="B157" i="1" s="1"/>
  <c r="C157" i="1" s="1"/>
  <c r="B158" i="1" a="1"/>
  <c r="B158" i="1" s="1"/>
  <c r="C158" i="1" s="1"/>
  <c r="B159" i="1" a="1"/>
  <c r="B159" i="1" s="1"/>
  <c r="C159" i="1" s="1"/>
  <c r="B160" i="1" a="1"/>
  <c r="B160" i="1" s="1"/>
  <c r="C160" i="1" s="1"/>
  <c r="B161" i="1" a="1"/>
  <c r="B161" i="1" s="1"/>
  <c r="C161" i="1" s="1"/>
  <c r="B162" i="1" a="1"/>
  <c r="B162" i="1" s="1"/>
  <c r="C162" i="1" s="1"/>
  <c r="B163" i="1" a="1"/>
  <c r="B163" i="1" s="1"/>
  <c r="C163" i="1" s="1"/>
  <c r="B164" i="1" a="1"/>
  <c r="B164" i="1" s="1"/>
  <c r="C164" i="1" s="1"/>
  <c r="B165" i="1" a="1"/>
  <c r="B165" i="1" s="1"/>
  <c r="C165" i="1" s="1"/>
  <c r="B166" i="1" a="1"/>
  <c r="B166" i="1" s="1"/>
  <c r="C166" i="1" s="1"/>
  <c r="B167" i="1" a="1"/>
  <c r="B167" i="1" s="1"/>
  <c r="C167" i="1" s="1"/>
  <c r="B168" i="1" a="1"/>
  <c r="B168" i="1" s="1"/>
  <c r="C168" i="1" s="1"/>
  <c r="B169" i="1" a="1"/>
  <c r="B169" i="1" s="1"/>
  <c r="C169" i="1" s="1"/>
  <c r="B170" i="1" a="1"/>
  <c r="B170" i="1" s="1"/>
  <c r="C170" i="1" s="1"/>
  <c r="B171" i="1" a="1"/>
  <c r="B171" i="1" s="1"/>
  <c r="C171" i="1" s="1"/>
  <c r="B172" i="1" a="1"/>
  <c r="B172" i="1" s="1"/>
  <c r="C172" i="1" s="1"/>
  <c r="B173" i="1" a="1"/>
  <c r="B173" i="1" s="1"/>
  <c r="C173" i="1" s="1"/>
  <c r="B174" i="1" a="1"/>
  <c r="B174" i="1" s="1"/>
  <c r="C174" i="1" s="1"/>
  <c r="B175" i="1" a="1"/>
  <c r="B175" i="1" s="1"/>
  <c r="C175" i="1" s="1"/>
  <c r="B176" i="1" a="1"/>
  <c r="B176" i="1" s="1"/>
  <c r="C176" i="1" s="1"/>
  <c r="B177" i="1" a="1"/>
  <c r="B177" i="1" s="1"/>
  <c r="C177" i="1" s="1"/>
  <c r="B178" i="1" a="1"/>
  <c r="B178" i="1" s="1"/>
  <c r="C178" i="1" s="1"/>
  <c r="B179" i="1" a="1"/>
  <c r="B179" i="1" s="1"/>
  <c r="C179" i="1" s="1"/>
  <c r="B180" i="1" a="1"/>
  <c r="B180" i="1" s="1"/>
  <c r="C180" i="1" s="1"/>
  <c r="B181" i="1" a="1"/>
  <c r="B181" i="1" s="1"/>
  <c r="C181" i="1" s="1"/>
  <c r="B182" i="1" a="1"/>
  <c r="B182" i="1" s="1"/>
  <c r="C182" i="1" s="1"/>
  <c r="B183" i="1" a="1"/>
  <c r="B183" i="1" s="1"/>
  <c r="C183" i="1" s="1"/>
  <c r="B184" i="1" a="1"/>
  <c r="B184" i="1" s="1"/>
  <c r="C184" i="1" s="1"/>
  <c r="B185" i="1" a="1"/>
  <c r="B185" i="1" s="1"/>
  <c r="C185" i="1" s="1"/>
  <c r="B186" i="1" a="1"/>
  <c r="B186" i="1" s="1"/>
  <c r="C186" i="1" s="1"/>
  <c r="B187" i="1" a="1"/>
  <c r="B187" i="1" s="1"/>
  <c r="C187" i="1" s="1"/>
  <c r="B188" i="1" a="1"/>
  <c r="B188" i="1" s="1"/>
  <c r="C188" i="1" s="1"/>
  <c r="B189" i="1" a="1"/>
  <c r="B189" i="1" s="1"/>
  <c r="C189" i="1" s="1"/>
  <c r="B190" i="1" a="1"/>
  <c r="B190" i="1" s="1"/>
  <c r="C190" i="1" s="1"/>
  <c r="B191" i="1" a="1"/>
  <c r="B191" i="1" s="1"/>
  <c r="C191" i="1" s="1"/>
  <c r="B192" i="1" a="1"/>
  <c r="B192" i="1" s="1"/>
  <c r="C192" i="1" s="1"/>
  <c r="B193" i="1" a="1"/>
  <c r="B193" i="1" s="1"/>
  <c r="C193" i="1" s="1"/>
  <c r="B194" i="1" a="1"/>
  <c r="B194" i="1" s="1"/>
  <c r="C194" i="1" s="1"/>
  <c r="B195" i="1" a="1"/>
  <c r="B195" i="1" s="1"/>
  <c r="C195" i="1" s="1"/>
  <c r="B196" i="1" a="1"/>
  <c r="B196" i="1" s="1"/>
  <c r="C196" i="1" s="1"/>
  <c r="B197" i="1" a="1"/>
  <c r="B197" i="1" s="1"/>
  <c r="C197" i="1" s="1"/>
  <c r="B198" i="1" a="1"/>
  <c r="B198" i="1" s="1"/>
  <c r="C198" i="1" s="1"/>
  <c r="B199" i="1" a="1"/>
  <c r="B199" i="1" s="1"/>
  <c r="C199" i="1" s="1"/>
  <c r="B200" i="1" a="1"/>
  <c r="B200" i="1" s="1"/>
  <c r="C200" i="1" s="1"/>
  <c r="B201" i="1" a="1"/>
  <c r="B201" i="1" s="1"/>
  <c r="C201" i="1" s="1"/>
  <c r="B202" i="1" a="1"/>
  <c r="B202" i="1" s="1"/>
  <c r="C202" i="1" s="1"/>
  <c r="B203" i="1" a="1"/>
  <c r="B203" i="1" s="1"/>
  <c r="C203" i="1" s="1"/>
  <c r="B204" i="1" a="1"/>
  <c r="B204" i="1" s="1"/>
  <c r="C204" i="1" s="1"/>
  <c r="B205" i="1" a="1"/>
  <c r="B205" i="1" s="1"/>
  <c r="C205" i="1" s="1"/>
  <c r="B206" i="1" a="1"/>
  <c r="B206" i="1" s="1"/>
  <c r="C206" i="1" s="1"/>
  <c r="B207" i="1" a="1"/>
  <c r="B207" i="1" s="1"/>
  <c r="C207" i="1" s="1"/>
  <c r="B208" i="1" a="1"/>
  <c r="B208" i="1" s="1"/>
  <c r="C208" i="1" s="1"/>
  <c r="B209" i="1" a="1"/>
  <c r="B209" i="1" s="1"/>
  <c r="C209" i="1" s="1"/>
  <c r="B210" i="1" a="1"/>
  <c r="B210" i="1" s="1"/>
  <c r="C210" i="1" s="1"/>
  <c r="B211" i="1" a="1"/>
  <c r="B211" i="1" s="1"/>
  <c r="C211" i="1" s="1"/>
  <c r="B212" i="1" a="1"/>
  <c r="B212" i="1" s="1"/>
  <c r="C212" i="1" s="1"/>
  <c r="B213" i="1" a="1"/>
  <c r="B213" i="1" s="1"/>
  <c r="C213" i="1" s="1"/>
  <c r="B214" i="1" a="1"/>
  <c r="B214" i="1" s="1"/>
  <c r="C214" i="1" s="1"/>
  <c r="B215" i="1" a="1"/>
  <c r="B215" i="1" s="1"/>
  <c r="C215" i="1" s="1"/>
  <c r="B216" i="1" a="1"/>
  <c r="B216" i="1" s="1"/>
  <c r="C216" i="1" s="1"/>
  <c r="B217" i="1" a="1"/>
  <c r="B217" i="1" s="1"/>
  <c r="C217" i="1" s="1"/>
  <c r="B218" i="1" a="1"/>
  <c r="B218" i="1" s="1"/>
  <c r="C218" i="1" s="1"/>
  <c r="B219" i="1" a="1"/>
  <c r="B219" i="1" s="1"/>
  <c r="C219" i="1" s="1"/>
  <c r="B220" i="1" a="1"/>
  <c r="B220" i="1" s="1"/>
  <c r="C220" i="1" s="1"/>
  <c r="B221" i="1" a="1"/>
  <c r="B221" i="1" s="1"/>
  <c r="C221" i="1" s="1"/>
  <c r="B222" i="1" a="1"/>
  <c r="B222" i="1" s="1"/>
  <c r="C222" i="1" s="1"/>
  <c r="B223" i="1" a="1"/>
  <c r="B223" i="1" s="1"/>
  <c r="C223" i="1" s="1"/>
  <c r="B224" i="1" a="1"/>
  <c r="B224" i="1" s="1"/>
  <c r="C224" i="1" s="1"/>
  <c r="B225" i="1" a="1"/>
  <c r="B225" i="1" s="1"/>
  <c r="C225" i="1" s="1"/>
  <c r="B226" i="1" a="1"/>
  <c r="B226" i="1" s="1"/>
  <c r="C226" i="1" s="1"/>
  <c r="B227" i="1" a="1"/>
  <c r="B227" i="1" s="1"/>
  <c r="C227" i="1" s="1"/>
  <c r="B228" i="1" a="1"/>
  <c r="B228" i="1" s="1"/>
  <c r="C228" i="1" s="1"/>
  <c r="B229" i="1" a="1"/>
  <c r="B229" i="1" s="1"/>
  <c r="C229" i="1" s="1"/>
  <c r="B230" i="1" a="1"/>
  <c r="B230" i="1" s="1"/>
  <c r="C230" i="1" s="1"/>
  <c r="B231" i="1" a="1"/>
  <c r="B231" i="1" s="1"/>
  <c r="C231" i="1" s="1"/>
  <c r="B232" i="1" a="1"/>
  <c r="B232" i="1" s="1"/>
  <c r="C232" i="1" s="1"/>
  <c r="B233" i="1" a="1"/>
  <c r="B233" i="1" s="1"/>
  <c r="C233" i="1" s="1"/>
  <c r="B234" i="1" a="1"/>
  <c r="B234" i="1" s="1"/>
  <c r="C234" i="1" s="1"/>
  <c r="B235" i="1" a="1"/>
  <c r="B235" i="1" s="1"/>
  <c r="C235" i="1" s="1"/>
  <c r="B236" i="1" a="1"/>
  <c r="B236" i="1" s="1"/>
  <c r="C236" i="1" s="1"/>
  <c r="B237" i="1" a="1"/>
  <c r="B237" i="1" s="1"/>
  <c r="C237" i="1" s="1"/>
  <c r="B238" i="1" a="1"/>
  <c r="B238" i="1" s="1"/>
  <c r="C238" i="1" s="1"/>
  <c r="B239" i="1" a="1"/>
  <c r="B239" i="1" s="1"/>
  <c r="C239" i="1" s="1"/>
  <c r="B240" i="1" a="1"/>
  <c r="B240" i="1" s="1"/>
  <c r="C240" i="1" s="1"/>
  <c r="B241" i="1" a="1"/>
  <c r="B241" i="1" s="1"/>
  <c r="C241" i="1" s="1"/>
  <c r="B242" i="1" a="1"/>
  <c r="B242" i="1" s="1"/>
  <c r="C242" i="1" s="1"/>
  <c r="B243" i="1" a="1"/>
  <c r="B243" i="1" s="1"/>
  <c r="C243" i="1" s="1"/>
  <c r="B244" i="1" a="1"/>
  <c r="B244" i="1" s="1"/>
  <c r="C244" i="1" s="1"/>
  <c r="B245" i="1" a="1"/>
  <c r="B245" i="1" s="1"/>
  <c r="C245" i="1" s="1"/>
  <c r="B246" i="1" a="1"/>
  <c r="B246" i="1" s="1"/>
  <c r="C246" i="1" s="1"/>
  <c r="B247" i="1" a="1"/>
  <c r="B247" i="1" s="1"/>
  <c r="C247" i="1" s="1"/>
  <c r="B248" i="1" a="1"/>
  <c r="B248" i="1" s="1"/>
  <c r="C248" i="1" s="1"/>
  <c r="B249" i="1" a="1"/>
  <c r="B249" i="1" s="1"/>
  <c r="C249" i="1" s="1"/>
  <c r="B250" i="1" a="1"/>
  <c r="B250" i="1" s="1"/>
  <c r="C250" i="1" s="1"/>
  <c r="B251" i="1" a="1"/>
  <c r="B251" i="1" s="1"/>
  <c r="C251" i="1" s="1"/>
  <c r="B252" i="1" a="1"/>
  <c r="B252" i="1" s="1"/>
  <c r="C252" i="1" s="1"/>
  <c r="B253" i="1" a="1"/>
  <c r="B253" i="1" s="1"/>
  <c r="C253" i="1" s="1"/>
  <c r="B254" i="1" a="1"/>
  <c r="B254" i="1" s="1"/>
  <c r="C254" i="1" s="1"/>
  <c r="B255" i="1" a="1"/>
  <c r="B255" i="1" s="1"/>
  <c r="C255" i="1" s="1"/>
  <c r="B256" i="1" a="1"/>
  <c r="B256" i="1" s="1"/>
  <c r="C256" i="1" s="1"/>
  <c r="B257" i="1" a="1"/>
  <c r="B257" i="1" s="1"/>
  <c r="C257" i="1" s="1"/>
  <c r="B258" i="1" a="1"/>
  <c r="B258" i="1" s="1"/>
  <c r="C258" i="1" s="1"/>
  <c r="B259" i="1" a="1"/>
  <c r="B259" i="1" s="1"/>
  <c r="C259" i="1" s="1"/>
  <c r="B260" i="1" a="1"/>
  <c r="B260" i="1" s="1"/>
  <c r="C260" i="1" s="1"/>
  <c r="B261" i="1" a="1"/>
  <c r="B261" i="1" s="1"/>
  <c r="C261" i="1" s="1"/>
  <c r="B262" i="1" a="1"/>
  <c r="B262" i="1" s="1"/>
  <c r="C262" i="1" s="1"/>
  <c r="B263" i="1" a="1"/>
  <c r="B263" i="1" s="1"/>
  <c r="C263" i="1" s="1"/>
  <c r="B264" i="1" a="1"/>
  <c r="B264" i="1" s="1"/>
  <c r="C264" i="1" s="1"/>
  <c r="B265" i="1" a="1"/>
  <c r="B265" i="1" s="1"/>
  <c r="C265" i="1" s="1"/>
  <c r="B266" i="1" a="1"/>
  <c r="B266" i="1" s="1"/>
  <c r="C266" i="1" s="1"/>
  <c r="B267" i="1" a="1"/>
  <c r="B267" i="1" s="1"/>
  <c r="C267" i="1" s="1"/>
  <c r="B268" i="1" a="1"/>
  <c r="B268" i="1" s="1"/>
  <c r="C268" i="1" s="1"/>
  <c r="B269" i="1" a="1"/>
  <c r="B269" i="1" s="1"/>
  <c r="C269" i="1" s="1"/>
  <c r="B270" i="1" a="1"/>
  <c r="B270" i="1" s="1"/>
  <c r="C270" i="1" s="1"/>
  <c r="B271" i="1" a="1"/>
  <c r="B271" i="1" s="1"/>
  <c r="C271" i="1" s="1"/>
  <c r="B272" i="1" a="1"/>
  <c r="B272" i="1" s="1"/>
  <c r="C272" i="1" s="1"/>
  <c r="B273" i="1" a="1"/>
  <c r="B273" i="1" s="1"/>
  <c r="C273" i="1" s="1"/>
  <c r="B274" i="1" a="1"/>
  <c r="B274" i="1" s="1"/>
  <c r="C274" i="1" s="1"/>
  <c r="B275" i="1" a="1"/>
  <c r="B275" i="1" s="1"/>
  <c r="C275" i="1" s="1"/>
  <c r="B276" i="1" a="1"/>
  <c r="B276" i="1" s="1"/>
  <c r="C276" i="1" s="1"/>
  <c r="B277" i="1" a="1"/>
  <c r="B277" i="1" s="1"/>
  <c r="C277" i="1" s="1"/>
  <c r="B278" i="1" a="1"/>
  <c r="B278" i="1" s="1"/>
  <c r="C278" i="1" s="1"/>
  <c r="B279" i="1" a="1"/>
  <c r="B279" i="1" s="1"/>
  <c r="C279" i="1" s="1"/>
  <c r="B280" i="1" a="1"/>
  <c r="B280" i="1" s="1"/>
  <c r="C280" i="1" s="1"/>
  <c r="B281" i="1" a="1"/>
  <c r="B281" i="1" s="1"/>
  <c r="C281" i="1" s="1"/>
  <c r="B282" i="1" a="1"/>
  <c r="B282" i="1" s="1"/>
  <c r="C282" i="1" s="1"/>
  <c r="B283" i="1" a="1"/>
  <c r="B283" i="1" s="1"/>
  <c r="C283" i="1" s="1"/>
  <c r="B284" i="1" a="1"/>
  <c r="B284" i="1" s="1"/>
  <c r="C284" i="1" s="1"/>
  <c r="B285" i="1" a="1"/>
  <c r="B285" i="1" s="1"/>
  <c r="C285" i="1" s="1"/>
  <c r="B286" i="1" a="1"/>
  <c r="B286" i="1" s="1"/>
  <c r="C286" i="1" s="1"/>
  <c r="B287" i="1" a="1"/>
  <c r="B287" i="1" s="1"/>
  <c r="C287" i="1" s="1"/>
  <c r="B288" i="1" a="1"/>
  <c r="B288" i="1" s="1"/>
  <c r="C288" i="1" s="1"/>
  <c r="B289" i="1" a="1"/>
  <c r="B289" i="1" s="1"/>
  <c r="C289" i="1" s="1"/>
  <c r="B290" i="1" a="1"/>
  <c r="B290" i="1" s="1"/>
  <c r="C290" i="1" s="1"/>
  <c r="B291" i="1" a="1"/>
  <c r="B291" i="1" s="1"/>
  <c r="C291" i="1" s="1"/>
  <c r="B292" i="1" a="1"/>
  <c r="B292" i="1" s="1"/>
  <c r="C292" i="1" s="1"/>
  <c r="B293" i="1" a="1"/>
  <c r="B293" i="1" s="1"/>
  <c r="C293" i="1" s="1"/>
  <c r="B294" i="1" a="1"/>
  <c r="B294" i="1" s="1"/>
  <c r="C294" i="1" s="1"/>
  <c r="B295" i="1" a="1"/>
  <c r="B295" i="1" s="1"/>
  <c r="C295" i="1" s="1"/>
  <c r="B296" i="1" a="1"/>
  <c r="B296" i="1" s="1"/>
  <c r="C296" i="1" s="1"/>
  <c r="B297" i="1" a="1"/>
  <c r="B297" i="1" s="1"/>
  <c r="C297" i="1" s="1"/>
  <c r="B298" i="1" a="1"/>
  <c r="B298" i="1" s="1"/>
  <c r="C298" i="1" s="1"/>
  <c r="B299" i="1" a="1"/>
  <c r="B299" i="1" s="1"/>
  <c r="C299" i="1" s="1"/>
  <c r="B300" i="1" a="1"/>
  <c r="B300" i="1" s="1"/>
  <c r="C300" i="1" s="1"/>
  <c r="B301" i="1" a="1"/>
  <c r="B301" i="1" s="1"/>
  <c r="C301" i="1" s="1"/>
  <c r="B302" i="1" a="1"/>
  <c r="B302" i="1" s="1"/>
  <c r="C302" i="1" s="1"/>
  <c r="B303" i="1" a="1"/>
  <c r="B303" i="1" s="1"/>
  <c r="C303" i="1" s="1"/>
  <c r="B304" i="1" a="1"/>
  <c r="B304" i="1" s="1"/>
  <c r="C304" i="1" s="1"/>
  <c r="B305" i="1" a="1"/>
  <c r="B305" i="1" s="1"/>
  <c r="C305" i="1" s="1"/>
  <c r="B306" i="1" a="1"/>
  <c r="B306" i="1" s="1"/>
  <c r="C306" i="1" s="1"/>
  <c r="B307" i="1" a="1"/>
  <c r="B307" i="1" s="1"/>
  <c r="C307" i="1" s="1"/>
  <c r="B308" i="1" a="1"/>
  <c r="B308" i="1" s="1"/>
  <c r="C308" i="1" s="1"/>
  <c r="B309" i="1" a="1"/>
  <c r="B309" i="1" s="1"/>
  <c r="C309" i="1" s="1"/>
  <c r="B310" i="1" a="1"/>
  <c r="B310" i="1" s="1"/>
  <c r="C310" i="1" s="1"/>
  <c r="B311" i="1" a="1"/>
  <c r="B311" i="1" s="1"/>
  <c r="C311" i="1" s="1"/>
  <c r="B312" i="1" a="1"/>
  <c r="B312" i="1" s="1"/>
  <c r="C312" i="1" s="1"/>
  <c r="B313" i="1" a="1"/>
  <c r="B313" i="1" s="1"/>
  <c r="C313" i="1" s="1"/>
  <c r="B314" i="1" a="1"/>
  <c r="B314" i="1" s="1"/>
  <c r="C314" i="1" s="1"/>
  <c r="B315" i="1" a="1"/>
  <c r="B315" i="1" s="1"/>
  <c r="C315" i="1" s="1"/>
  <c r="B316" i="1" a="1"/>
  <c r="B316" i="1" s="1"/>
  <c r="C316" i="1" s="1"/>
  <c r="B317" i="1" a="1"/>
  <c r="B317" i="1" s="1"/>
  <c r="C317" i="1" s="1"/>
  <c r="B318" i="1" a="1"/>
  <c r="B318" i="1" s="1"/>
  <c r="C318" i="1" s="1"/>
  <c r="B319" i="1" a="1"/>
  <c r="B319" i="1" s="1"/>
  <c r="C319" i="1" s="1"/>
  <c r="B320" i="1" a="1"/>
  <c r="B320" i="1" s="1"/>
  <c r="C320" i="1" s="1"/>
  <c r="B321" i="1" a="1"/>
  <c r="B321" i="1" s="1"/>
  <c r="C321" i="1" s="1"/>
  <c r="B322" i="1" a="1"/>
  <c r="B322" i="1" s="1"/>
  <c r="C322" i="1" s="1"/>
  <c r="B323" i="1" a="1"/>
  <c r="B323" i="1" s="1"/>
  <c r="C323" i="1" s="1"/>
  <c r="B324" i="1" a="1"/>
  <c r="B324" i="1" s="1"/>
  <c r="C324" i="1" s="1"/>
  <c r="B325" i="1" a="1"/>
  <c r="B325" i="1" s="1"/>
  <c r="C325" i="1" s="1"/>
  <c r="B326" i="1" a="1"/>
  <c r="B326" i="1" s="1"/>
  <c r="C326" i="1" s="1"/>
  <c r="B327" i="1" a="1"/>
  <c r="B327" i="1" s="1"/>
  <c r="C327" i="1" s="1"/>
  <c r="B328" i="1" a="1"/>
  <c r="B328" i="1" s="1"/>
  <c r="C328" i="1" s="1"/>
  <c r="B329" i="1" a="1"/>
  <c r="B329" i="1" s="1"/>
  <c r="C329" i="1" s="1"/>
  <c r="B330" i="1" a="1"/>
  <c r="B330" i="1" s="1"/>
  <c r="C330" i="1" s="1"/>
  <c r="B331" i="1" a="1"/>
  <c r="B331" i="1" s="1"/>
  <c r="C331" i="1" s="1"/>
  <c r="B332" i="1" a="1"/>
  <c r="B332" i="1" s="1"/>
  <c r="C332" i="1" s="1"/>
  <c r="B333" i="1" a="1"/>
  <c r="B333" i="1" s="1"/>
  <c r="C333" i="1" s="1"/>
  <c r="B334" i="1" a="1"/>
  <c r="B334" i="1" s="1"/>
  <c r="C334" i="1" s="1"/>
  <c r="B335" i="1" a="1"/>
  <c r="B335" i="1" s="1"/>
  <c r="C335" i="1" s="1"/>
  <c r="B336" i="1" a="1"/>
  <c r="B336" i="1" s="1"/>
  <c r="C336" i="1" s="1"/>
  <c r="B337" i="1" a="1"/>
  <c r="B337" i="1" s="1"/>
  <c r="C337" i="1" s="1"/>
  <c r="B338" i="1" a="1"/>
  <c r="B338" i="1" s="1"/>
  <c r="C338" i="1" s="1"/>
  <c r="B339" i="1" a="1"/>
  <c r="B339" i="1" s="1"/>
  <c r="C339" i="1" s="1"/>
  <c r="B340" i="1" a="1"/>
  <c r="B340" i="1" s="1"/>
  <c r="C340" i="1" s="1"/>
  <c r="B341" i="1" a="1"/>
  <c r="B341" i="1" s="1"/>
  <c r="C341" i="1" s="1"/>
  <c r="B342" i="1" a="1"/>
  <c r="B342" i="1" s="1"/>
  <c r="C342" i="1" s="1"/>
  <c r="B343" i="1" a="1"/>
  <c r="B343" i="1" s="1"/>
  <c r="C343" i="1" s="1"/>
  <c r="B344" i="1" a="1"/>
  <c r="B344" i="1" s="1"/>
  <c r="C344" i="1" s="1"/>
  <c r="B345" i="1" a="1"/>
  <c r="B345" i="1" s="1"/>
  <c r="C345" i="1" s="1"/>
  <c r="B346" i="1" a="1"/>
  <c r="B346" i="1" s="1"/>
  <c r="C346" i="1" s="1"/>
  <c r="B347" i="1" a="1"/>
  <c r="B347" i="1" s="1"/>
  <c r="C347" i="1" s="1"/>
  <c r="B348" i="1" a="1"/>
  <c r="B348" i="1" s="1"/>
  <c r="C348" i="1" s="1"/>
  <c r="B349" i="1" a="1"/>
  <c r="B349" i="1" s="1"/>
  <c r="C349" i="1" s="1"/>
  <c r="B350" i="1" a="1"/>
  <c r="B350" i="1" s="1"/>
  <c r="C350" i="1" s="1"/>
  <c r="B351" i="1" a="1"/>
  <c r="B351" i="1" s="1"/>
  <c r="C351" i="1" s="1"/>
  <c r="B352" i="1" a="1"/>
  <c r="B352" i="1" s="1"/>
  <c r="C352" i="1" s="1"/>
  <c r="B353" i="1" a="1"/>
  <c r="B353" i="1" s="1"/>
  <c r="C353" i="1" s="1"/>
  <c r="B354" i="1" a="1"/>
  <c r="B354" i="1" s="1"/>
  <c r="C354" i="1" s="1"/>
  <c r="B355" i="1" a="1"/>
  <c r="B355" i="1" s="1"/>
  <c r="C355" i="1" s="1"/>
  <c r="B356" i="1" a="1"/>
  <c r="B356" i="1" s="1"/>
  <c r="C356" i="1" s="1"/>
  <c r="B357" i="1" a="1"/>
  <c r="B357" i="1" s="1"/>
  <c r="C357" i="1" s="1"/>
  <c r="B358" i="1" a="1"/>
  <c r="B358" i="1" s="1"/>
  <c r="C358" i="1" s="1"/>
  <c r="B359" i="1" a="1"/>
  <c r="B359" i="1" s="1"/>
  <c r="C359" i="1" s="1"/>
  <c r="B360" i="1" a="1"/>
  <c r="B360" i="1" s="1"/>
  <c r="C360" i="1" s="1"/>
  <c r="B361" i="1" a="1"/>
  <c r="B361" i="1" s="1"/>
  <c r="C361" i="1" s="1"/>
  <c r="B362" i="1" a="1"/>
  <c r="B362" i="1" s="1"/>
  <c r="C362" i="1" s="1"/>
  <c r="B363" i="1" a="1"/>
  <c r="B363" i="1" s="1"/>
  <c r="C363" i="1" s="1"/>
  <c r="B364" i="1" a="1"/>
  <c r="B364" i="1" s="1"/>
  <c r="C364" i="1" s="1"/>
  <c r="B365" i="1" a="1"/>
  <c r="B365" i="1" s="1"/>
  <c r="C365" i="1" s="1"/>
  <c r="C11" i="3"/>
  <c r="C12" i="3" s="1"/>
  <c r="C8" i="5"/>
  <c r="C8" i="4"/>
  <c r="B123" i="1" a="1"/>
  <c r="B123" i="1" s="1"/>
  <c r="C123" i="1" s="1"/>
  <c r="G123" i="1" s="1" a="1"/>
  <c r="G123" i="1" s="1"/>
  <c r="B124" i="1" a="1"/>
  <c r="B124" i="1" s="1"/>
  <c r="C124" i="1" s="1"/>
  <c r="G124" i="1" s="1" a="1"/>
  <c r="G124" i="1" s="1"/>
  <c r="B125" i="1" a="1"/>
  <c r="B125" i="1" s="1"/>
  <c r="C125" i="1" s="1"/>
  <c r="G125" i="1" s="1" a="1"/>
  <c r="G125" i="1" s="1"/>
  <c r="B126" i="1" a="1"/>
  <c r="B126" i="1" s="1"/>
  <c r="C126" i="1" s="1"/>
  <c r="G126" i="1" s="1" a="1"/>
  <c r="G126" i="1" s="1"/>
  <c r="B106" i="1" a="1"/>
  <c r="B106" i="1" s="1"/>
  <c r="C106" i="1" s="1"/>
  <c r="B107" i="1" a="1"/>
  <c r="B107" i="1" s="1"/>
  <c r="C107" i="1" s="1"/>
  <c r="G107" i="1" s="1" a="1"/>
  <c r="G107" i="1" s="1"/>
  <c r="B108" i="1" a="1"/>
  <c r="B108" i="1" s="1"/>
  <c r="C108" i="1" s="1"/>
  <c r="G108" i="1" s="1" a="1"/>
  <c r="G108" i="1" s="1"/>
  <c r="B109" i="1" a="1"/>
  <c r="B109" i="1" s="1"/>
  <c r="C109" i="1" s="1"/>
  <c r="G109" i="1" s="1" a="1"/>
  <c r="G109" i="1" s="1"/>
  <c r="B110" i="1" a="1"/>
  <c r="B110" i="1" s="1"/>
  <c r="C110" i="1" s="1"/>
  <c r="G110" i="1" s="1" a="1"/>
  <c r="G110" i="1" s="1"/>
  <c r="B111" i="1" a="1"/>
  <c r="B111" i="1" s="1"/>
  <c r="C111" i="1" s="1"/>
  <c r="G111" i="1" s="1" a="1"/>
  <c r="G111" i="1" s="1"/>
  <c r="B112" i="1" a="1"/>
  <c r="B112" i="1" s="1"/>
  <c r="C112" i="1" s="1"/>
  <c r="G112" i="1" s="1" a="1"/>
  <c r="G112" i="1" s="1"/>
  <c r="B113" i="1" a="1"/>
  <c r="B113" i="1" s="1"/>
  <c r="C113" i="1" s="1"/>
  <c r="G113" i="1" s="1" a="1"/>
  <c r="G113" i="1" s="1"/>
  <c r="B114" i="1" a="1"/>
  <c r="B114" i="1" s="1"/>
  <c r="C114" i="1" s="1"/>
  <c r="G114" i="1" s="1" a="1"/>
  <c r="G114" i="1" s="1"/>
  <c r="B115" i="1" a="1"/>
  <c r="B115" i="1" s="1"/>
  <c r="C115" i="1" s="1"/>
  <c r="G115" i="1" s="1" a="1"/>
  <c r="G115" i="1" s="1"/>
  <c r="B116" i="1" a="1"/>
  <c r="B116" i="1" s="1"/>
  <c r="C116" i="1" s="1"/>
  <c r="G116" i="1" s="1" a="1"/>
  <c r="G116" i="1" s="1"/>
  <c r="B117" i="1" a="1"/>
  <c r="B117" i="1" s="1"/>
  <c r="C117" i="1" s="1"/>
  <c r="G117" i="1" s="1" a="1"/>
  <c r="G117" i="1" s="1"/>
  <c r="B118" i="1" a="1"/>
  <c r="B118" i="1" s="1"/>
  <c r="C118" i="1" s="1"/>
  <c r="G118" i="1" s="1" a="1"/>
  <c r="G118" i="1" s="1"/>
  <c r="B119" i="1" a="1"/>
  <c r="B119" i="1" s="1"/>
  <c r="C119" i="1" s="1"/>
  <c r="G119" i="1" s="1" a="1"/>
  <c r="G119" i="1" s="1"/>
  <c r="B120" i="1" a="1"/>
  <c r="B120" i="1" s="1"/>
  <c r="C120" i="1" s="1"/>
  <c r="G120" i="1" s="1" a="1"/>
  <c r="G120" i="1" s="1"/>
  <c r="B121" i="1" a="1"/>
  <c r="B121" i="1" s="1"/>
  <c r="C121" i="1" s="1"/>
  <c r="G121" i="1" s="1" a="1"/>
  <c r="G121" i="1" s="1"/>
  <c r="B122" i="1" a="1"/>
  <c r="B122" i="1" s="1"/>
  <c r="C122" i="1" s="1"/>
  <c r="G122" i="1" s="1" a="1"/>
  <c r="G122" i="1" s="1"/>
  <c r="B47" i="1" a="1"/>
  <c r="B47" i="1" s="1"/>
  <c r="C47" i="1" s="1"/>
  <c r="B48" i="1" a="1"/>
  <c r="B48" i="1" s="1"/>
  <c r="C48" i="1" s="1"/>
  <c r="B49" i="1" a="1"/>
  <c r="B49" i="1" s="1"/>
  <c r="C49" i="1" s="1"/>
  <c r="G49" i="1" s="1" a="1"/>
  <c r="G49" i="1" s="1"/>
  <c r="B50" i="1" a="1"/>
  <c r="B50" i="1" s="1"/>
  <c r="C50" i="1" s="1"/>
  <c r="G50" i="1" s="1" a="1"/>
  <c r="G50" i="1" s="1"/>
  <c r="B51" i="1" a="1"/>
  <c r="B51" i="1" s="1"/>
  <c r="C51" i="1" s="1"/>
  <c r="G51" i="1" s="1" a="1"/>
  <c r="G51" i="1" s="1"/>
  <c r="B52" i="1" a="1"/>
  <c r="B52" i="1" s="1"/>
  <c r="C52" i="1" s="1"/>
  <c r="G52" i="1" s="1" a="1"/>
  <c r="G52" i="1" s="1"/>
  <c r="B53" i="1" a="1"/>
  <c r="B53" i="1" s="1"/>
  <c r="C53" i="1" s="1"/>
  <c r="G53" i="1" s="1" a="1"/>
  <c r="G53" i="1" s="1"/>
  <c r="B54" i="1" a="1"/>
  <c r="B54" i="1" s="1"/>
  <c r="C54" i="1" s="1"/>
  <c r="G54" i="1" s="1" a="1"/>
  <c r="G54" i="1" s="1"/>
  <c r="B55" i="1" a="1"/>
  <c r="B55" i="1" s="1"/>
  <c r="C55" i="1" s="1"/>
  <c r="G55" i="1" s="1" a="1"/>
  <c r="G55" i="1" s="1"/>
  <c r="B56" i="1" a="1"/>
  <c r="B56" i="1" s="1"/>
  <c r="C56" i="1" s="1"/>
  <c r="G56" i="1" s="1" a="1"/>
  <c r="G56" i="1" s="1"/>
  <c r="B57" i="1" a="1"/>
  <c r="B57" i="1" s="1"/>
  <c r="C57" i="1" s="1"/>
  <c r="G57" i="1" s="1" a="1"/>
  <c r="G57" i="1" s="1"/>
  <c r="B58" i="1" a="1"/>
  <c r="B58" i="1" s="1"/>
  <c r="C58" i="1" s="1"/>
  <c r="G58" i="1" s="1" a="1"/>
  <c r="G58" i="1" s="1"/>
  <c r="B59" i="1" a="1"/>
  <c r="B59" i="1" s="1"/>
  <c r="C59" i="1" s="1"/>
  <c r="G59" i="1" s="1" a="1"/>
  <c r="G59" i="1" s="1"/>
  <c r="B60" i="1" a="1"/>
  <c r="B60" i="1" s="1"/>
  <c r="C60" i="1" s="1"/>
  <c r="G60" i="1" s="1" a="1"/>
  <c r="G60" i="1" s="1"/>
  <c r="B61" i="1" a="1"/>
  <c r="B61" i="1" s="1"/>
  <c r="C61" i="1" s="1"/>
  <c r="G61" i="1" s="1" a="1"/>
  <c r="G61" i="1" s="1"/>
  <c r="B62" i="1" a="1"/>
  <c r="B62" i="1" s="1"/>
  <c r="C62" i="1" s="1"/>
  <c r="G62" i="1" s="1" a="1"/>
  <c r="G62" i="1" s="1"/>
  <c r="B63" i="1" a="1"/>
  <c r="B63" i="1" s="1"/>
  <c r="C63" i="1" s="1"/>
  <c r="G63" i="1" s="1" a="1"/>
  <c r="G63" i="1" s="1"/>
  <c r="B64" i="1" a="1"/>
  <c r="B64" i="1" s="1"/>
  <c r="C64" i="1" s="1"/>
  <c r="G64" i="1" s="1" a="1"/>
  <c r="G64" i="1" s="1"/>
  <c r="B65" i="1" a="1"/>
  <c r="B65" i="1" s="1"/>
  <c r="C65" i="1" s="1"/>
  <c r="G65" i="1" s="1" a="1"/>
  <c r="G65" i="1" s="1"/>
  <c r="B66" i="1" a="1"/>
  <c r="B66" i="1" s="1"/>
  <c r="C66" i="1" s="1"/>
  <c r="G66" i="1" s="1" a="1"/>
  <c r="G66" i="1" s="1"/>
  <c r="B67" i="1" a="1"/>
  <c r="B67" i="1" s="1"/>
  <c r="C67" i="1" s="1"/>
  <c r="G67" i="1" s="1" a="1"/>
  <c r="G67" i="1" s="1"/>
  <c r="B68" i="1" a="1"/>
  <c r="B68" i="1" s="1"/>
  <c r="C68" i="1" s="1"/>
  <c r="G68" i="1" s="1" a="1"/>
  <c r="G68" i="1" s="1"/>
  <c r="B69" i="1" a="1"/>
  <c r="B69" i="1" s="1"/>
  <c r="C69" i="1" s="1"/>
  <c r="G69" i="1" s="1" a="1"/>
  <c r="G69" i="1" s="1"/>
  <c r="B70" i="1" a="1"/>
  <c r="B70" i="1" s="1"/>
  <c r="C70" i="1" s="1"/>
  <c r="G70" i="1" s="1" a="1"/>
  <c r="G70" i="1" s="1"/>
  <c r="B71" i="1" a="1"/>
  <c r="B71" i="1" s="1"/>
  <c r="C71" i="1" s="1"/>
  <c r="G71" i="1" s="1" a="1"/>
  <c r="G71" i="1" s="1"/>
  <c r="B72" i="1" a="1"/>
  <c r="B72" i="1" s="1"/>
  <c r="C72" i="1" s="1"/>
  <c r="G72" i="1" s="1" a="1"/>
  <c r="G72" i="1" s="1"/>
  <c r="B73" i="1" a="1"/>
  <c r="B73" i="1" s="1"/>
  <c r="C73" i="1" s="1"/>
  <c r="G73" i="1" s="1" a="1"/>
  <c r="G73" i="1" s="1"/>
  <c r="B74" i="1" a="1"/>
  <c r="B74" i="1" s="1"/>
  <c r="C74" i="1" s="1"/>
  <c r="G74" i="1" s="1" a="1"/>
  <c r="G74" i="1" s="1"/>
  <c r="B75" i="1" a="1"/>
  <c r="B75" i="1" s="1"/>
  <c r="C75" i="1" s="1"/>
  <c r="G75" i="1" s="1" a="1"/>
  <c r="G75" i="1" s="1"/>
  <c r="B76" i="1" a="1"/>
  <c r="B76" i="1" s="1"/>
  <c r="C76" i="1" s="1"/>
  <c r="G76" i="1" s="1" a="1"/>
  <c r="G76" i="1" s="1"/>
  <c r="B77" i="1" a="1"/>
  <c r="B77" i="1" s="1"/>
  <c r="C77" i="1" s="1"/>
  <c r="G77" i="1" s="1" a="1"/>
  <c r="G77" i="1" s="1"/>
  <c r="B78" i="1" a="1"/>
  <c r="B78" i="1" s="1"/>
  <c r="C78" i="1" s="1"/>
  <c r="G78" i="1" s="1" a="1"/>
  <c r="G78" i="1" s="1"/>
  <c r="B79" i="1" a="1"/>
  <c r="B79" i="1" s="1"/>
  <c r="C79" i="1" s="1"/>
  <c r="G79" i="1" s="1" a="1"/>
  <c r="G79" i="1" s="1"/>
  <c r="B80" i="1" a="1"/>
  <c r="B80" i="1" s="1"/>
  <c r="C80" i="1" s="1"/>
  <c r="G80" i="1" s="1" a="1"/>
  <c r="G80" i="1" s="1"/>
  <c r="B81" i="1" a="1"/>
  <c r="B81" i="1" s="1"/>
  <c r="C81" i="1" s="1"/>
  <c r="G81" i="1" s="1" a="1"/>
  <c r="G81" i="1" s="1"/>
  <c r="B82" i="1" a="1"/>
  <c r="B82" i="1" s="1"/>
  <c r="C82" i="1" s="1"/>
  <c r="G82" i="1" s="1" a="1"/>
  <c r="G82" i="1" s="1"/>
  <c r="B83" i="1" a="1"/>
  <c r="B83" i="1" s="1"/>
  <c r="C83" i="1" s="1"/>
  <c r="G83" i="1" s="1" a="1"/>
  <c r="G83" i="1" s="1"/>
  <c r="B84" i="1" a="1"/>
  <c r="B84" i="1" s="1"/>
  <c r="C84" i="1" s="1"/>
  <c r="G84" i="1" s="1" a="1"/>
  <c r="G84" i="1" s="1"/>
  <c r="B85" i="1" a="1"/>
  <c r="B85" i="1" s="1"/>
  <c r="C85" i="1" s="1"/>
  <c r="G85" i="1" s="1" a="1"/>
  <c r="G85" i="1" s="1"/>
  <c r="B86" i="1" a="1"/>
  <c r="B86" i="1" s="1"/>
  <c r="C86" i="1" s="1"/>
  <c r="G86" i="1" s="1" a="1"/>
  <c r="G86" i="1" s="1"/>
  <c r="B87" i="1" a="1"/>
  <c r="B87" i="1" s="1"/>
  <c r="C87" i="1" s="1"/>
  <c r="G87" i="1" s="1" a="1"/>
  <c r="G87" i="1" s="1"/>
  <c r="B88" i="1" a="1"/>
  <c r="B88" i="1" s="1"/>
  <c r="C88" i="1" s="1"/>
  <c r="G88" i="1" s="1" a="1"/>
  <c r="G88" i="1" s="1"/>
  <c r="B89" i="1" a="1"/>
  <c r="B89" i="1" s="1"/>
  <c r="C89" i="1" s="1"/>
  <c r="G89" i="1" s="1" a="1"/>
  <c r="G89" i="1" s="1"/>
  <c r="B90" i="1" a="1"/>
  <c r="B90" i="1" s="1"/>
  <c r="C90" i="1" s="1"/>
  <c r="G90" i="1" s="1" a="1"/>
  <c r="G90" i="1" s="1"/>
  <c r="B91" i="1" a="1"/>
  <c r="B91" i="1" s="1"/>
  <c r="C91" i="1" s="1"/>
  <c r="G91" i="1" s="1" a="1"/>
  <c r="G91" i="1" s="1"/>
  <c r="B92" i="1" a="1"/>
  <c r="B92" i="1" s="1"/>
  <c r="C92" i="1" s="1"/>
  <c r="G92" i="1" s="1" a="1"/>
  <c r="G92" i="1" s="1"/>
  <c r="B93" i="1" a="1"/>
  <c r="B93" i="1" s="1"/>
  <c r="C93" i="1" s="1"/>
  <c r="G93" i="1" s="1" a="1"/>
  <c r="G93" i="1" s="1"/>
  <c r="B94" i="1" a="1"/>
  <c r="B94" i="1" s="1"/>
  <c r="C94" i="1" s="1"/>
  <c r="G94" i="1" s="1" a="1"/>
  <c r="G94" i="1" s="1"/>
  <c r="B95" i="1" a="1"/>
  <c r="B95" i="1" s="1"/>
  <c r="C95" i="1" s="1"/>
  <c r="G95" i="1" s="1" a="1"/>
  <c r="G95" i="1" s="1"/>
  <c r="B96" i="1" a="1"/>
  <c r="B96" i="1" s="1"/>
  <c r="C96" i="1" s="1"/>
  <c r="G96" i="1" s="1" a="1"/>
  <c r="G96" i="1" s="1"/>
  <c r="B97" i="1" a="1"/>
  <c r="B97" i="1" s="1"/>
  <c r="C97" i="1" s="1"/>
  <c r="G97" i="1" s="1" a="1"/>
  <c r="G97" i="1" s="1"/>
  <c r="B98" i="1" a="1"/>
  <c r="B98" i="1" s="1"/>
  <c r="C98" i="1" s="1"/>
  <c r="G98" i="1" s="1" a="1"/>
  <c r="G98" i="1" s="1"/>
  <c r="B99" i="1" a="1"/>
  <c r="B99" i="1" s="1"/>
  <c r="C99" i="1" s="1"/>
  <c r="G99" i="1" s="1" a="1"/>
  <c r="G99" i="1" s="1"/>
  <c r="B100" i="1" a="1"/>
  <c r="B100" i="1" s="1"/>
  <c r="C100" i="1" s="1"/>
  <c r="G100" i="1" s="1" a="1"/>
  <c r="G100" i="1" s="1"/>
  <c r="B101" i="1" a="1"/>
  <c r="B101" i="1" s="1"/>
  <c r="C101" i="1" s="1"/>
  <c r="G101" i="1" s="1" a="1"/>
  <c r="G101" i="1" s="1"/>
  <c r="B102" i="1" a="1"/>
  <c r="B102" i="1" s="1"/>
  <c r="C102" i="1" s="1"/>
  <c r="G102" i="1" s="1" a="1"/>
  <c r="G102" i="1" s="1"/>
  <c r="B103" i="1" a="1"/>
  <c r="B103" i="1" s="1"/>
  <c r="C103" i="1" s="1"/>
  <c r="G103" i="1" s="1" a="1"/>
  <c r="G103" i="1" s="1"/>
  <c r="B104" i="1" a="1"/>
  <c r="B104" i="1" s="1"/>
  <c r="C104" i="1" s="1"/>
  <c r="G104" i="1" s="1" a="1"/>
  <c r="G104" i="1" s="1"/>
  <c r="B105" i="1" a="1"/>
  <c r="B105" i="1" s="1"/>
  <c r="C105" i="1" s="1"/>
  <c r="G105" i="1" s="1" a="1"/>
  <c r="G105" i="1" s="1"/>
  <c r="B10" i="1" a="1"/>
  <c r="B10" i="1" s="1"/>
  <c r="C10" i="1" s="1"/>
  <c r="G10" i="1" s="1" a="1"/>
  <c r="G10" i="1" s="1"/>
  <c r="B11" i="1" a="1"/>
  <c r="B11" i="1" s="1"/>
  <c r="C11" i="1" s="1"/>
  <c r="G11" i="1" s="1" a="1"/>
  <c r="G11" i="1" s="1"/>
  <c r="B12" i="1" a="1"/>
  <c r="B12" i="1" s="1"/>
  <c r="C12" i="1" s="1"/>
  <c r="G12" i="1" s="1" a="1"/>
  <c r="G12" i="1" s="1"/>
  <c r="B13" i="1" a="1"/>
  <c r="B13" i="1" s="1"/>
  <c r="C13" i="1" s="1"/>
  <c r="G13" i="1" s="1" a="1"/>
  <c r="G13" i="1" s="1"/>
  <c r="B14" i="1" a="1"/>
  <c r="B14" i="1" s="1"/>
  <c r="C14" i="1" s="1"/>
  <c r="G14" i="1" s="1" a="1"/>
  <c r="G14" i="1" s="1"/>
  <c r="B15" i="1" a="1"/>
  <c r="B15" i="1" s="1"/>
  <c r="C15" i="1" s="1"/>
  <c r="G15" i="1" s="1" a="1"/>
  <c r="G15" i="1" s="1"/>
  <c r="B16" i="1" a="1"/>
  <c r="B16" i="1" s="1"/>
  <c r="C16" i="1" s="1"/>
  <c r="G16" i="1" s="1" a="1"/>
  <c r="G16" i="1" s="1"/>
  <c r="B17" i="1" a="1"/>
  <c r="B17" i="1" s="1"/>
  <c r="C17" i="1" s="1"/>
  <c r="G17" i="1" s="1" a="1"/>
  <c r="G17" i="1" s="1"/>
  <c r="B18" i="1" a="1"/>
  <c r="B18" i="1" s="1"/>
  <c r="C18" i="1" s="1"/>
  <c r="G18" i="1" s="1" a="1"/>
  <c r="G18" i="1" s="1"/>
  <c r="B19" i="1" a="1"/>
  <c r="B19" i="1" s="1"/>
  <c r="C19" i="1" s="1"/>
  <c r="G19" i="1" s="1" a="1"/>
  <c r="G19" i="1" s="1"/>
  <c r="B20" i="1" a="1"/>
  <c r="B20" i="1" s="1"/>
  <c r="C20" i="1" s="1"/>
  <c r="G20" i="1" s="1" a="1"/>
  <c r="G20" i="1" s="1"/>
  <c r="B21" i="1" a="1"/>
  <c r="B21" i="1" s="1"/>
  <c r="C21" i="1" s="1"/>
  <c r="G21" i="1" s="1" a="1"/>
  <c r="G21" i="1" s="1"/>
  <c r="B22" i="1" a="1"/>
  <c r="B22" i="1" s="1"/>
  <c r="C22" i="1" s="1"/>
  <c r="G22" i="1" s="1" a="1"/>
  <c r="G22" i="1" s="1"/>
  <c r="B23" i="1" a="1"/>
  <c r="B23" i="1" s="1"/>
  <c r="C23" i="1" s="1"/>
  <c r="G23" i="1" s="1" a="1"/>
  <c r="G23" i="1" s="1"/>
  <c r="B24" i="1" a="1"/>
  <c r="B24" i="1" s="1"/>
  <c r="C24" i="1" s="1"/>
  <c r="G24" i="1" s="1" a="1"/>
  <c r="G24" i="1" s="1"/>
  <c r="B25" i="1" a="1"/>
  <c r="B25" i="1" s="1"/>
  <c r="C25" i="1" s="1"/>
  <c r="G25" i="1" s="1" a="1"/>
  <c r="G25" i="1" s="1"/>
  <c r="B26" i="1" a="1"/>
  <c r="B26" i="1" s="1"/>
  <c r="C26" i="1" s="1"/>
  <c r="G26" i="1" s="1" a="1"/>
  <c r="G26" i="1" s="1"/>
  <c r="B27" i="1" a="1"/>
  <c r="B27" i="1" s="1"/>
  <c r="C27" i="1" s="1"/>
  <c r="G27" i="1" s="1" a="1"/>
  <c r="G27" i="1" s="1"/>
  <c r="B28" i="1" a="1"/>
  <c r="B28" i="1" s="1"/>
  <c r="C28" i="1" s="1"/>
  <c r="G28" i="1" s="1" a="1"/>
  <c r="G28" i="1" s="1"/>
  <c r="B29" i="1" a="1"/>
  <c r="B29" i="1" s="1"/>
  <c r="C29" i="1" s="1"/>
  <c r="G29" i="1" s="1" a="1"/>
  <c r="G29" i="1" s="1"/>
  <c r="B30" i="1" a="1"/>
  <c r="B30" i="1" s="1"/>
  <c r="C30" i="1" s="1"/>
  <c r="G30" i="1" s="1" a="1"/>
  <c r="G30" i="1" s="1"/>
  <c r="B31" i="1" a="1"/>
  <c r="B31" i="1" s="1"/>
  <c r="C31" i="1" s="1"/>
  <c r="G31" i="1" s="1" a="1"/>
  <c r="G31" i="1" s="1"/>
  <c r="B32" i="1" a="1"/>
  <c r="B32" i="1" s="1"/>
  <c r="C32" i="1" s="1"/>
  <c r="G32" i="1" s="1" a="1"/>
  <c r="G32" i="1" s="1"/>
  <c r="B33" i="1" a="1"/>
  <c r="B33" i="1" s="1"/>
  <c r="C33" i="1" s="1"/>
  <c r="G33" i="1" s="1" a="1"/>
  <c r="G33" i="1" s="1"/>
  <c r="B34" i="1" a="1"/>
  <c r="B34" i="1" s="1"/>
  <c r="C34" i="1" s="1"/>
  <c r="G34" i="1" s="1" a="1"/>
  <c r="G34" i="1" s="1"/>
  <c r="B35" i="1" a="1"/>
  <c r="B35" i="1" s="1"/>
  <c r="C35" i="1" s="1"/>
  <c r="G35" i="1" s="1" a="1"/>
  <c r="G35" i="1" s="1"/>
  <c r="B36" i="1" a="1"/>
  <c r="B36" i="1" s="1"/>
  <c r="C36" i="1" s="1"/>
  <c r="G36" i="1" s="1" a="1"/>
  <c r="G36" i="1" s="1"/>
  <c r="B37" i="1" a="1"/>
  <c r="B37" i="1" s="1"/>
  <c r="C37" i="1" s="1"/>
  <c r="G37" i="1" s="1" a="1"/>
  <c r="G37" i="1" s="1"/>
  <c r="B38" i="1" a="1"/>
  <c r="B38" i="1" s="1"/>
  <c r="C38" i="1" s="1"/>
  <c r="G38" i="1" s="1" a="1"/>
  <c r="G38" i="1" s="1"/>
  <c r="B39" i="1" a="1"/>
  <c r="B39" i="1" s="1"/>
  <c r="C39" i="1" s="1"/>
  <c r="G39" i="1" s="1" a="1"/>
  <c r="G39" i="1" s="1"/>
  <c r="B40" i="1" a="1"/>
  <c r="B40" i="1" s="1"/>
  <c r="C40" i="1" s="1"/>
  <c r="G40" i="1" s="1" a="1"/>
  <c r="G40" i="1" s="1"/>
  <c r="B41" i="1" a="1"/>
  <c r="B41" i="1" s="1"/>
  <c r="C41" i="1" s="1"/>
  <c r="G41" i="1" s="1" a="1"/>
  <c r="G41" i="1" s="1"/>
  <c r="B42" i="1" a="1"/>
  <c r="B42" i="1" s="1"/>
  <c r="C42" i="1" s="1"/>
  <c r="G42" i="1" s="1" a="1"/>
  <c r="G42" i="1" s="1"/>
  <c r="B43" i="1" a="1"/>
  <c r="B43" i="1" s="1"/>
  <c r="C43" i="1" s="1"/>
  <c r="G43" i="1" s="1" a="1"/>
  <c r="G43" i="1" s="1"/>
  <c r="B44" i="1" a="1"/>
  <c r="B44" i="1" s="1"/>
  <c r="C44" i="1" s="1"/>
  <c r="G44" i="1" s="1" a="1"/>
  <c r="G44" i="1" s="1"/>
  <c r="B45" i="1" a="1"/>
  <c r="B45" i="1" s="1"/>
  <c r="C45" i="1" s="1"/>
  <c r="G45" i="1" s="1" a="1"/>
  <c r="G45" i="1" s="1"/>
  <c r="B46" i="1" a="1"/>
  <c r="B46" i="1" s="1"/>
  <c r="C46" i="1" s="1"/>
  <c r="G46" i="1" s="1" a="1"/>
  <c r="G46" i="1" s="1"/>
  <c r="B8" i="1" a="1"/>
  <c r="B8" i="1" s="1"/>
  <c r="C8" i="1" s="1"/>
  <c r="B9" i="1" a="1"/>
  <c r="B9" i="1" s="1"/>
  <c r="C9" i="1" s="1"/>
  <c r="G9" i="1" s="1" a="1"/>
  <c r="G9" i="1" s="1"/>
  <c r="AO819" i="1" l="1"/>
  <c r="AN819" i="1"/>
  <c r="AM819" i="1"/>
  <c r="Z819" i="1"/>
  <c r="Y819" i="1"/>
  <c r="AA819" i="1"/>
  <c r="AC819" i="1" s="1"/>
  <c r="W819" i="1"/>
  <c r="V819" i="1"/>
  <c r="T819" i="1"/>
  <c r="S819" i="1"/>
  <c r="Q819" i="1"/>
  <c r="P819" i="1"/>
  <c r="O819" i="1"/>
  <c r="M819" i="1"/>
  <c r="L819" i="1"/>
  <c r="N819" i="1"/>
  <c r="J819" i="1"/>
  <c r="I819" i="1"/>
  <c r="G819" i="1" a="1"/>
  <c r="G819" i="1" s="1"/>
  <c r="E819" i="1"/>
  <c r="D819" i="1"/>
  <c r="AO820" i="1"/>
  <c r="AN820" i="1"/>
  <c r="AA820" i="1"/>
  <c r="Z820" i="1"/>
  <c r="Y820" i="1"/>
  <c r="W820" i="1"/>
  <c r="V820" i="1"/>
  <c r="T820" i="1"/>
  <c r="AM820" i="1"/>
  <c r="Q820" i="1"/>
  <c r="P820" i="1"/>
  <c r="S820" i="1"/>
  <c r="N820" i="1"/>
  <c r="M820" i="1"/>
  <c r="L820" i="1"/>
  <c r="O820" i="1"/>
  <c r="J820" i="1"/>
  <c r="I820" i="1"/>
  <c r="G820" i="1" a="1"/>
  <c r="G820" i="1" s="1"/>
  <c r="E820" i="1"/>
  <c r="D820" i="1"/>
  <c r="AO821" i="1"/>
  <c r="AN821" i="1"/>
  <c r="Z821" i="1"/>
  <c r="Y821" i="1"/>
  <c r="W821" i="1"/>
  <c r="V821" i="1"/>
  <c r="T821" i="1"/>
  <c r="AA821" i="1"/>
  <c r="AC821" i="1" s="1"/>
  <c r="Q821" i="1"/>
  <c r="P821" i="1"/>
  <c r="O821" i="1"/>
  <c r="N821" i="1"/>
  <c r="M821" i="1"/>
  <c r="L821" i="1"/>
  <c r="AM821" i="1"/>
  <c r="S821" i="1"/>
  <c r="J821" i="1"/>
  <c r="I821" i="1"/>
  <c r="G821" i="1" a="1"/>
  <c r="G821" i="1" s="1"/>
  <c r="E821" i="1"/>
  <c r="D821" i="1"/>
  <c r="AO822" i="1"/>
  <c r="AN822" i="1"/>
  <c r="Z822" i="1"/>
  <c r="Y822" i="1"/>
  <c r="W822" i="1"/>
  <c r="V822" i="1"/>
  <c r="T822" i="1"/>
  <c r="S822" i="1"/>
  <c r="Q822" i="1"/>
  <c r="P822" i="1"/>
  <c r="M822" i="1"/>
  <c r="L822" i="1"/>
  <c r="O822" i="1"/>
  <c r="N822" i="1"/>
  <c r="J822" i="1"/>
  <c r="I822" i="1"/>
  <c r="AM822" i="1"/>
  <c r="AA822" i="1"/>
  <c r="G822" i="1" a="1"/>
  <c r="G822" i="1" s="1"/>
  <c r="E822" i="1"/>
  <c r="D822" i="1"/>
  <c r="AO823" i="1"/>
  <c r="AN823" i="1"/>
  <c r="Z823" i="1"/>
  <c r="Y823" i="1"/>
  <c r="W823" i="1"/>
  <c r="V823" i="1"/>
  <c r="T823" i="1"/>
  <c r="Q823" i="1"/>
  <c r="P823" i="1"/>
  <c r="AA823" i="1"/>
  <c r="S823" i="1"/>
  <c r="O823" i="1"/>
  <c r="N823" i="1"/>
  <c r="M823" i="1"/>
  <c r="L823" i="1"/>
  <c r="J823" i="1"/>
  <c r="I823" i="1"/>
  <c r="AM823" i="1"/>
  <c r="G823" i="1" a="1"/>
  <c r="G823" i="1" s="1"/>
  <c r="E823" i="1"/>
  <c r="D823" i="1"/>
  <c r="AO824" i="1"/>
  <c r="AN824" i="1"/>
  <c r="Z824" i="1"/>
  <c r="Y824" i="1"/>
  <c r="W824" i="1"/>
  <c r="V824" i="1"/>
  <c r="T824" i="1"/>
  <c r="AM824" i="1"/>
  <c r="Q824" i="1"/>
  <c r="P824" i="1"/>
  <c r="M824" i="1"/>
  <c r="L824" i="1"/>
  <c r="AA824" i="1"/>
  <c r="S824" i="1"/>
  <c r="O824" i="1"/>
  <c r="N824" i="1"/>
  <c r="J824" i="1"/>
  <c r="I824" i="1"/>
  <c r="G824" i="1" a="1"/>
  <c r="G824" i="1" s="1"/>
  <c r="E824" i="1"/>
  <c r="D824" i="1"/>
  <c r="AO825" i="1"/>
  <c r="AN825" i="1"/>
  <c r="AA825" i="1"/>
  <c r="Z825" i="1"/>
  <c r="Y825" i="1"/>
  <c r="AC825" i="1" s="1"/>
  <c r="W825" i="1"/>
  <c r="V825" i="1"/>
  <c r="T825" i="1"/>
  <c r="S825" i="1"/>
  <c r="Q825" i="1"/>
  <c r="P825" i="1"/>
  <c r="O825" i="1"/>
  <c r="M825" i="1"/>
  <c r="L825" i="1"/>
  <c r="AM825" i="1"/>
  <c r="N825" i="1"/>
  <c r="J825" i="1"/>
  <c r="I825" i="1"/>
  <c r="G825" i="1" a="1"/>
  <c r="G825" i="1" s="1"/>
  <c r="E825" i="1"/>
  <c r="D825" i="1"/>
  <c r="AO826" i="1"/>
  <c r="AN826" i="1"/>
  <c r="AM826" i="1"/>
  <c r="AA826" i="1"/>
  <c r="Z826" i="1"/>
  <c r="Y826" i="1"/>
  <c r="AC826" i="1" s="1"/>
  <c r="W826" i="1"/>
  <c r="V826" i="1"/>
  <c r="T826" i="1"/>
  <c r="Q826" i="1"/>
  <c r="P826" i="1"/>
  <c r="S826" i="1"/>
  <c r="N826" i="1"/>
  <c r="M826" i="1"/>
  <c r="L826" i="1"/>
  <c r="O826" i="1"/>
  <c r="J826" i="1"/>
  <c r="I826" i="1"/>
  <c r="G826" i="1" a="1"/>
  <c r="G826" i="1" s="1"/>
  <c r="E826" i="1"/>
  <c r="D826" i="1"/>
  <c r="AO827" i="1"/>
  <c r="AN827" i="1"/>
  <c r="Z827" i="1"/>
  <c r="Y827" i="1"/>
  <c r="W827" i="1"/>
  <c r="V827" i="1"/>
  <c r="T827" i="1"/>
  <c r="Q827" i="1"/>
  <c r="P827" i="1"/>
  <c r="O827" i="1"/>
  <c r="M827" i="1"/>
  <c r="L827" i="1"/>
  <c r="S827" i="1"/>
  <c r="N827" i="1"/>
  <c r="J827" i="1"/>
  <c r="I827" i="1"/>
  <c r="AM827" i="1"/>
  <c r="AA827" i="1"/>
  <c r="G827" i="1" a="1"/>
  <c r="G827" i="1" s="1"/>
  <c r="E827" i="1"/>
  <c r="D827" i="1"/>
  <c r="AO828" i="1"/>
  <c r="AN828" i="1"/>
  <c r="Z828" i="1"/>
  <c r="Y828" i="1"/>
  <c r="AA828" i="1"/>
  <c r="W828" i="1"/>
  <c r="V828" i="1"/>
  <c r="T828" i="1"/>
  <c r="AM828" i="1"/>
  <c r="S828" i="1"/>
  <c r="Q828" i="1"/>
  <c r="P828" i="1"/>
  <c r="N828" i="1"/>
  <c r="M828" i="1"/>
  <c r="L828" i="1"/>
  <c r="O828" i="1"/>
  <c r="J828" i="1"/>
  <c r="I828" i="1"/>
  <c r="G828" i="1" a="1"/>
  <c r="G828" i="1" s="1"/>
  <c r="E828" i="1"/>
  <c r="D828" i="1"/>
  <c r="AO829" i="1"/>
  <c r="AN829" i="1"/>
  <c r="AA829" i="1"/>
  <c r="Z829" i="1"/>
  <c r="Y829" i="1"/>
  <c r="AC829" i="1" s="1"/>
  <c r="W829" i="1"/>
  <c r="V829" i="1"/>
  <c r="T829" i="1"/>
  <c r="Q829" i="1"/>
  <c r="P829" i="1"/>
  <c r="S829" i="1"/>
  <c r="O829" i="1"/>
  <c r="M829" i="1"/>
  <c r="L829" i="1"/>
  <c r="AM829" i="1"/>
  <c r="N829" i="1"/>
  <c r="J829" i="1"/>
  <c r="I829" i="1"/>
  <c r="G829" i="1" a="1"/>
  <c r="G829" i="1" s="1"/>
  <c r="E829" i="1"/>
  <c r="D829" i="1"/>
  <c r="AO830" i="1"/>
  <c r="AN830" i="1"/>
  <c r="AM830" i="1"/>
  <c r="Z830" i="1"/>
  <c r="Y830" i="1"/>
  <c r="W830" i="1"/>
  <c r="V830" i="1"/>
  <c r="T830" i="1"/>
  <c r="Q830" i="1"/>
  <c r="P830" i="1"/>
  <c r="N830" i="1"/>
  <c r="M830" i="1"/>
  <c r="L830" i="1"/>
  <c r="AA830" i="1"/>
  <c r="S830" i="1"/>
  <c r="O830" i="1"/>
  <c r="J830" i="1"/>
  <c r="I830" i="1"/>
  <c r="G830" i="1" a="1"/>
  <c r="G830" i="1" s="1"/>
  <c r="E830" i="1"/>
  <c r="D830" i="1"/>
  <c r="AO831" i="1"/>
  <c r="AN831" i="1"/>
  <c r="Z831" i="1"/>
  <c r="Y831" i="1"/>
  <c r="W831" i="1"/>
  <c r="V831" i="1"/>
  <c r="T831" i="1"/>
  <c r="AA831" i="1"/>
  <c r="S831" i="1"/>
  <c r="Q831" i="1"/>
  <c r="P831" i="1"/>
  <c r="O831" i="1"/>
  <c r="M831" i="1"/>
  <c r="L831" i="1"/>
  <c r="N831" i="1"/>
  <c r="J831" i="1"/>
  <c r="I831" i="1"/>
  <c r="AM831" i="1"/>
  <c r="G831" i="1" a="1"/>
  <c r="G831" i="1" s="1"/>
  <c r="E831" i="1"/>
  <c r="D831" i="1"/>
  <c r="AO832" i="1"/>
  <c r="AN832" i="1"/>
  <c r="Z832" i="1"/>
  <c r="Y832" i="1"/>
  <c r="W832" i="1"/>
  <c r="V832" i="1"/>
  <c r="T832" i="1"/>
  <c r="AM832" i="1"/>
  <c r="Q832" i="1"/>
  <c r="P832" i="1"/>
  <c r="S832" i="1"/>
  <c r="N832" i="1"/>
  <c r="M832" i="1"/>
  <c r="L832" i="1"/>
  <c r="O832" i="1"/>
  <c r="J832" i="1"/>
  <c r="I832" i="1"/>
  <c r="AA832" i="1"/>
  <c r="G832" i="1" a="1"/>
  <c r="G832" i="1" s="1"/>
  <c r="E832" i="1"/>
  <c r="D832" i="1"/>
  <c r="AO833" i="1"/>
  <c r="AN833" i="1"/>
  <c r="Z833" i="1"/>
  <c r="Y833" i="1"/>
  <c r="AA833" i="1"/>
  <c r="W833" i="1"/>
  <c r="V833" i="1"/>
  <c r="T833" i="1"/>
  <c r="Q833" i="1"/>
  <c r="P833" i="1"/>
  <c r="O833" i="1"/>
  <c r="M833" i="1"/>
  <c r="L833" i="1"/>
  <c r="AM833" i="1"/>
  <c r="S833" i="1"/>
  <c r="N833" i="1"/>
  <c r="J833" i="1"/>
  <c r="I833" i="1"/>
  <c r="G833" i="1" a="1"/>
  <c r="G833" i="1" s="1"/>
  <c r="E833" i="1"/>
  <c r="D833" i="1"/>
  <c r="AO834" i="1"/>
  <c r="AN834" i="1"/>
  <c r="AA834" i="1"/>
  <c r="Z834" i="1"/>
  <c r="Y834" i="1"/>
  <c r="AC834" i="1" s="1"/>
  <c r="W834" i="1"/>
  <c r="V834" i="1"/>
  <c r="T834" i="1"/>
  <c r="S834" i="1"/>
  <c r="Q834" i="1"/>
  <c r="P834" i="1"/>
  <c r="N834" i="1"/>
  <c r="M834" i="1"/>
  <c r="L834" i="1"/>
  <c r="O834" i="1"/>
  <c r="J834" i="1"/>
  <c r="I834" i="1"/>
  <c r="AM834" i="1"/>
  <c r="G834" i="1" a="1"/>
  <c r="G834" i="1" s="1"/>
  <c r="E834" i="1"/>
  <c r="D834" i="1"/>
  <c r="AO835" i="1"/>
  <c r="AN835" i="1"/>
  <c r="AM835" i="1"/>
  <c r="Z835" i="1"/>
  <c r="Y835" i="1"/>
  <c r="W835" i="1"/>
  <c r="V835" i="1"/>
  <c r="T835" i="1"/>
  <c r="Q835" i="1"/>
  <c r="P835" i="1"/>
  <c r="S835" i="1"/>
  <c r="O835" i="1"/>
  <c r="M835" i="1"/>
  <c r="L835" i="1"/>
  <c r="AA835" i="1"/>
  <c r="N835" i="1"/>
  <c r="J835" i="1"/>
  <c r="I835" i="1"/>
  <c r="G835" i="1" a="1"/>
  <c r="G835" i="1" s="1"/>
  <c r="E835" i="1"/>
  <c r="D835" i="1"/>
  <c r="AO836" i="1"/>
  <c r="AN836" i="1"/>
  <c r="Z836" i="1"/>
  <c r="Y836" i="1"/>
  <c r="W836" i="1"/>
  <c r="V836" i="1"/>
  <c r="T836" i="1"/>
  <c r="AM836" i="1"/>
  <c r="AA836" i="1"/>
  <c r="Q836" i="1"/>
  <c r="P836" i="1"/>
  <c r="N836" i="1"/>
  <c r="M836" i="1"/>
  <c r="L836" i="1"/>
  <c r="S836" i="1"/>
  <c r="O836" i="1"/>
  <c r="J836" i="1"/>
  <c r="I836" i="1"/>
  <c r="G836" i="1" a="1"/>
  <c r="G836" i="1" s="1"/>
  <c r="E836" i="1"/>
  <c r="D836" i="1"/>
  <c r="AO837" i="1"/>
  <c r="AN837" i="1"/>
  <c r="Z837" i="1"/>
  <c r="Y837" i="1"/>
  <c r="W837" i="1"/>
  <c r="V837" i="1"/>
  <c r="T837" i="1"/>
  <c r="S837" i="1"/>
  <c r="Q837" i="1"/>
  <c r="P837" i="1"/>
  <c r="O837" i="1"/>
  <c r="M837" i="1"/>
  <c r="L837" i="1"/>
  <c r="AM837" i="1"/>
  <c r="N837" i="1"/>
  <c r="J837" i="1"/>
  <c r="I837" i="1"/>
  <c r="AA837" i="1"/>
  <c r="G837" i="1" a="1"/>
  <c r="G837" i="1" s="1"/>
  <c r="E837" i="1"/>
  <c r="D837" i="1"/>
  <c r="AO838" i="1"/>
  <c r="AN838" i="1"/>
  <c r="Z838" i="1"/>
  <c r="Y838" i="1"/>
  <c r="AA838" i="1"/>
  <c r="W838" i="1"/>
  <c r="V838" i="1"/>
  <c r="T838" i="1"/>
  <c r="Q838" i="1"/>
  <c r="P838" i="1"/>
  <c r="S838" i="1"/>
  <c r="N838" i="1"/>
  <c r="M838" i="1"/>
  <c r="L838" i="1"/>
  <c r="O838" i="1"/>
  <c r="J838" i="1"/>
  <c r="I838" i="1"/>
  <c r="AM838" i="1"/>
  <c r="G838" i="1" a="1"/>
  <c r="G838" i="1" s="1"/>
  <c r="E838" i="1"/>
  <c r="D838" i="1"/>
  <c r="AO839" i="1"/>
  <c r="AN839" i="1"/>
  <c r="AM839" i="1"/>
  <c r="AA839" i="1"/>
  <c r="Z839" i="1"/>
  <c r="Y839" i="1"/>
  <c r="AC839" i="1" s="1"/>
  <c r="W839" i="1"/>
  <c r="V839" i="1"/>
  <c r="T839" i="1"/>
  <c r="Q839" i="1"/>
  <c r="P839" i="1"/>
  <c r="O839" i="1"/>
  <c r="M839" i="1"/>
  <c r="L839" i="1"/>
  <c r="S839" i="1"/>
  <c r="N839" i="1"/>
  <c r="J839" i="1"/>
  <c r="I839" i="1"/>
  <c r="G839" i="1" a="1"/>
  <c r="G839" i="1" s="1"/>
  <c r="E839" i="1"/>
  <c r="D839" i="1"/>
  <c r="AO840" i="1"/>
  <c r="AN840" i="1"/>
  <c r="Z840" i="1"/>
  <c r="Y840" i="1"/>
  <c r="W840" i="1"/>
  <c r="V840" i="1"/>
  <c r="T840" i="1"/>
  <c r="AM840" i="1"/>
  <c r="S840" i="1"/>
  <c r="Q840" i="1"/>
  <c r="P840" i="1"/>
  <c r="N840" i="1"/>
  <c r="M840" i="1"/>
  <c r="L840" i="1"/>
  <c r="AA840" i="1"/>
  <c r="O840" i="1"/>
  <c r="J840" i="1"/>
  <c r="I840" i="1"/>
  <c r="G840" i="1" a="1"/>
  <c r="G840" i="1" s="1"/>
  <c r="E840" i="1"/>
  <c r="D840" i="1"/>
  <c r="AO841" i="1"/>
  <c r="AN841" i="1"/>
  <c r="Z841" i="1"/>
  <c r="Y841" i="1"/>
  <c r="W841" i="1"/>
  <c r="V841" i="1"/>
  <c r="T841" i="1"/>
  <c r="AA841" i="1"/>
  <c r="Q841" i="1"/>
  <c r="P841" i="1"/>
  <c r="S841" i="1"/>
  <c r="O841" i="1"/>
  <c r="M841" i="1"/>
  <c r="L841" i="1"/>
  <c r="AM841" i="1"/>
  <c r="N841" i="1"/>
  <c r="J841" i="1"/>
  <c r="I841" i="1"/>
  <c r="G841" i="1" a="1"/>
  <c r="G841" i="1" s="1"/>
  <c r="E841" i="1"/>
  <c r="D841" i="1"/>
  <c r="AO842" i="1"/>
  <c r="AN842" i="1"/>
  <c r="Z842" i="1"/>
  <c r="Y842" i="1"/>
  <c r="W842" i="1"/>
  <c r="V842" i="1"/>
  <c r="T842" i="1"/>
  <c r="Q842" i="1"/>
  <c r="P842" i="1"/>
  <c r="O842" i="1"/>
  <c r="N842" i="1"/>
  <c r="M842" i="1"/>
  <c r="L842" i="1"/>
  <c r="S842" i="1"/>
  <c r="J842" i="1"/>
  <c r="I842" i="1"/>
  <c r="AM842" i="1"/>
  <c r="AA842" i="1"/>
  <c r="G842" i="1" a="1"/>
  <c r="G842" i="1" s="1"/>
  <c r="E842" i="1"/>
  <c r="D842" i="1"/>
  <c r="AO843" i="1"/>
  <c r="AN843" i="1"/>
  <c r="AM843" i="1"/>
  <c r="Z843" i="1"/>
  <c r="Y843" i="1"/>
  <c r="AA843" i="1"/>
  <c r="W843" i="1"/>
  <c r="V843" i="1"/>
  <c r="T843" i="1"/>
  <c r="S843" i="1"/>
  <c r="Q843" i="1"/>
  <c r="P843" i="1"/>
  <c r="M843" i="1"/>
  <c r="L843" i="1"/>
  <c r="O843" i="1"/>
  <c r="N843" i="1"/>
  <c r="J843" i="1"/>
  <c r="I843" i="1"/>
  <c r="G843" i="1" a="1"/>
  <c r="G843" i="1" s="1"/>
  <c r="E843" i="1"/>
  <c r="D843" i="1"/>
  <c r="AO844" i="1"/>
  <c r="AN844" i="1"/>
  <c r="AA844" i="1"/>
  <c r="Z844" i="1"/>
  <c r="Y844" i="1"/>
  <c r="AC844" i="1" s="1"/>
  <c r="W844" i="1"/>
  <c r="V844" i="1"/>
  <c r="T844" i="1"/>
  <c r="AM844" i="1"/>
  <c r="Q844" i="1"/>
  <c r="P844" i="1"/>
  <c r="S844" i="1"/>
  <c r="O844" i="1"/>
  <c r="N844" i="1"/>
  <c r="M844" i="1"/>
  <c r="L844" i="1"/>
  <c r="J844" i="1"/>
  <c r="I844" i="1"/>
  <c r="G844" i="1" a="1"/>
  <c r="G844" i="1" s="1"/>
  <c r="E844" i="1"/>
  <c r="D844" i="1"/>
  <c r="AO845" i="1"/>
  <c r="AN845" i="1"/>
  <c r="Z845" i="1"/>
  <c r="Y845" i="1"/>
  <c r="W845" i="1"/>
  <c r="V845" i="1"/>
  <c r="T845" i="1"/>
  <c r="AA845" i="1"/>
  <c r="Q845" i="1"/>
  <c r="P845" i="1"/>
  <c r="N845" i="1"/>
  <c r="M845" i="1"/>
  <c r="L845" i="1"/>
  <c r="AM845" i="1"/>
  <c r="S845" i="1"/>
  <c r="O845" i="1"/>
  <c r="J845" i="1"/>
  <c r="I845" i="1"/>
  <c r="G845" i="1" a="1"/>
  <c r="G845" i="1" s="1"/>
  <c r="E845" i="1"/>
  <c r="D845" i="1"/>
  <c r="AO846" i="1"/>
  <c r="AN846" i="1"/>
  <c r="Z846" i="1"/>
  <c r="Y846" i="1"/>
  <c r="W846" i="1"/>
  <c r="V846" i="1"/>
  <c r="T846" i="1"/>
  <c r="S846" i="1"/>
  <c r="Q846" i="1"/>
  <c r="P846" i="1"/>
  <c r="O846" i="1"/>
  <c r="M846" i="1"/>
  <c r="L846" i="1"/>
  <c r="AA846" i="1"/>
  <c r="N846" i="1"/>
  <c r="J846" i="1"/>
  <c r="I846" i="1"/>
  <c r="G846" i="1" a="1"/>
  <c r="G846" i="1" s="1"/>
  <c r="AM846" i="1"/>
  <c r="E846" i="1"/>
  <c r="D846" i="1"/>
  <c r="AO847" i="1"/>
  <c r="AN847" i="1"/>
  <c r="AM847" i="1"/>
  <c r="AA847" i="1"/>
  <c r="Z847" i="1"/>
  <c r="Y847" i="1"/>
  <c r="AC847" i="1" s="1"/>
  <c r="W847" i="1"/>
  <c r="V847" i="1"/>
  <c r="T847" i="1"/>
  <c r="Q847" i="1"/>
  <c r="P847" i="1"/>
  <c r="S847" i="1"/>
  <c r="N847" i="1"/>
  <c r="M847" i="1"/>
  <c r="L847" i="1"/>
  <c r="O847" i="1"/>
  <c r="J847" i="1"/>
  <c r="I847" i="1"/>
  <c r="G847" i="1" a="1"/>
  <c r="G847" i="1" s="1"/>
  <c r="E847" i="1"/>
  <c r="D847" i="1"/>
  <c r="AO848" i="1"/>
  <c r="AN848" i="1"/>
  <c r="Z848" i="1"/>
  <c r="Y848" i="1"/>
  <c r="AA848" i="1"/>
  <c r="W848" i="1"/>
  <c r="V848" i="1"/>
  <c r="T848" i="1"/>
  <c r="AM848" i="1"/>
  <c r="Q848" i="1"/>
  <c r="P848" i="1"/>
  <c r="O848" i="1"/>
  <c r="M848" i="1"/>
  <c r="L848" i="1"/>
  <c r="S848" i="1"/>
  <c r="N848" i="1"/>
  <c r="J848" i="1"/>
  <c r="I848" i="1"/>
  <c r="G848" i="1" a="1"/>
  <c r="G848" i="1" s="1"/>
  <c r="E848" i="1"/>
  <c r="D848" i="1"/>
  <c r="AO849" i="1"/>
  <c r="AN849" i="1"/>
  <c r="Z849" i="1"/>
  <c r="Y849" i="1"/>
  <c r="W849" i="1"/>
  <c r="V849" i="1"/>
  <c r="T849" i="1"/>
  <c r="S849" i="1"/>
  <c r="Q849" i="1"/>
  <c r="P849" i="1"/>
  <c r="N849" i="1"/>
  <c r="M849" i="1"/>
  <c r="L849" i="1"/>
  <c r="AM849" i="1"/>
  <c r="O849" i="1"/>
  <c r="J849" i="1"/>
  <c r="I849" i="1"/>
  <c r="G849" i="1" a="1"/>
  <c r="G849" i="1" s="1"/>
  <c r="AA849" i="1"/>
  <c r="E849" i="1"/>
  <c r="D849" i="1"/>
  <c r="AO850" i="1"/>
  <c r="AN850" i="1"/>
  <c r="Z850" i="1"/>
  <c r="Y850" i="1"/>
  <c r="W850" i="1"/>
  <c r="V850" i="1"/>
  <c r="T850" i="1"/>
  <c r="Q850" i="1"/>
  <c r="P850" i="1"/>
  <c r="S850" i="1"/>
  <c r="O850" i="1"/>
  <c r="M850" i="1"/>
  <c r="L850" i="1"/>
  <c r="N850" i="1"/>
  <c r="J850" i="1"/>
  <c r="I850" i="1"/>
  <c r="G850" i="1" a="1"/>
  <c r="G850" i="1" s="1"/>
  <c r="AM850" i="1"/>
  <c r="E850" i="1"/>
  <c r="D850" i="1"/>
  <c r="AO851" i="1"/>
  <c r="AN851" i="1"/>
  <c r="AM851" i="1"/>
  <c r="Z851" i="1"/>
  <c r="Y851" i="1"/>
  <c r="W851" i="1"/>
  <c r="V851" i="1"/>
  <c r="T851" i="1"/>
  <c r="Q851" i="1"/>
  <c r="P851" i="1"/>
  <c r="N851" i="1"/>
  <c r="M851" i="1"/>
  <c r="L851" i="1"/>
  <c r="S851" i="1"/>
  <c r="O851" i="1"/>
  <c r="J851" i="1"/>
  <c r="I851" i="1"/>
  <c r="G851" i="1" a="1"/>
  <c r="G851" i="1" s="1"/>
  <c r="E851" i="1"/>
  <c r="D851" i="1"/>
  <c r="AO852" i="1"/>
  <c r="AN852" i="1"/>
  <c r="Z852" i="1"/>
  <c r="Y852" i="1"/>
  <c r="W852" i="1"/>
  <c r="V852" i="1"/>
  <c r="T852" i="1"/>
  <c r="AM852" i="1"/>
  <c r="S852" i="1"/>
  <c r="Q852" i="1"/>
  <c r="P852" i="1"/>
  <c r="O852" i="1"/>
  <c r="M852" i="1"/>
  <c r="L852" i="1"/>
  <c r="N852" i="1"/>
  <c r="J852" i="1"/>
  <c r="I852" i="1"/>
  <c r="G852" i="1" a="1"/>
  <c r="G852" i="1" s="1"/>
  <c r="E852" i="1"/>
  <c r="D852" i="1"/>
  <c r="AO853" i="1"/>
  <c r="AN853" i="1"/>
  <c r="Z853" i="1"/>
  <c r="Y853" i="1"/>
  <c r="W853" i="1"/>
  <c r="V853" i="1"/>
  <c r="T853" i="1"/>
  <c r="Q853" i="1"/>
  <c r="P853" i="1"/>
  <c r="S853" i="1"/>
  <c r="N853" i="1"/>
  <c r="M853" i="1"/>
  <c r="L853" i="1"/>
  <c r="AM853" i="1"/>
  <c r="O853" i="1"/>
  <c r="J853" i="1"/>
  <c r="I853" i="1"/>
  <c r="G853" i="1" a="1"/>
  <c r="G853" i="1" s="1"/>
  <c r="E853" i="1"/>
  <c r="D853" i="1"/>
  <c r="AO854" i="1"/>
  <c r="AN854" i="1"/>
  <c r="Z854" i="1"/>
  <c r="Y854" i="1"/>
  <c r="W854" i="1"/>
  <c r="V854" i="1"/>
  <c r="T854" i="1"/>
  <c r="S854" i="1"/>
  <c r="Q854" i="1"/>
  <c r="P854" i="1"/>
  <c r="O854" i="1"/>
  <c r="M854" i="1"/>
  <c r="L854" i="1"/>
  <c r="N854" i="1"/>
  <c r="J854" i="1"/>
  <c r="I854" i="1"/>
  <c r="G854" i="1" a="1"/>
  <c r="G854" i="1" s="1"/>
  <c r="AM854" i="1"/>
  <c r="E854" i="1"/>
  <c r="D854" i="1"/>
  <c r="AO855" i="1"/>
  <c r="AN855" i="1"/>
  <c r="AM855" i="1"/>
  <c r="Z855" i="1"/>
  <c r="Y855" i="1"/>
  <c r="W855" i="1"/>
  <c r="V855" i="1"/>
  <c r="T855" i="1"/>
  <c r="Q855" i="1"/>
  <c r="P855" i="1"/>
  <c r="M855" i="1"/>
  <c r="L855" i="1"/>
  <c r="S855" i="1"/>
  <c r="O855" i="1"/>
  <c r="N855" i="1"/>
  <c r="J855" i="1"/>
  <c r="I855" i="1"/>
  <c r="G855" i="1" a="1"/>
  <c r="G855" i="1" s="1"/>
  <c r="E855" i="1"/>
  <c r="D855" i="1"/>
  <c r="AO856" i="1"/>
  <c r="AN856" i="1"/>
  <c r="Z856" i="1"/>
  <c r="Y856" i="1"/>
  <c r="W856" i="1"/>
  <c r="V856" i="1"/>
  <c r="T856" i="1"/>
  <c r="AM856" i="1"/>
  <c r="Q856" i="1"/>
  <c r="P856" i="1"/>
  <c r="S856" i="1"/>
  <c r="O856" i="1"/>
  <c r="N856" i="1"/>
  <c r="M856" i="1"/>
  <c r="L856" i="1"/>
  <c r="J856" i="1"/>
  <c r="I856" i="1"/>
  <c r="G856" i="1" a="1"/>
  <c r="G856" i="1" s="1"/>
  <c r="E856" i="1"/>
  <c r="D856" i="1"/>
  <c r="AO857" i="1"/>
  <c r="AN857" i="1"/>
  <c r="Z857" i="1"/>
  <c r="Y857" i="1"/>
  <c r="W857" i="1"/>
  <c r="V857" i="1"/>
  <c r="T857" i="1"/>
  <c r="S857" i="1"/>
  <c r="Q857" i="1"/>
  <c r="P857" i="1"/>
  <c r="M857" i="1"/>
  <c r="L857" i="1"/>
  <c r="AM857" i="1"/>
  <c r="O857" i="1"/>
  <c r="N857" i="1"/>
  <c r="J857" i="1"/>
  <c r="I857" i="1"/>
  <c r="G857" i="1" a="1"/>
  <c r="G857" i="1" s="1"/>
  <c r="E857" i="1"/>
  <c r="D857" i="1"/>
  <c r="AO858" i="1"/>
  <c r="AN858" i="1"/>
  <c r="Z858" i="1"/>
  <c r="Y858" i="1"/>
  <c r="W858" i="1"/>
  <c r="V858" i="1"/>
  <c r="T858" i="1"/>
  <c r="Q858" i="1"/>
  <c r="P858" i="1"/>
  <c r="O858" i="1"/>
  <c r="N858" i="1"/>
  <c r="M858" i="1"/>
  <c r="L858" i="1"/>
  <c r="S858" i="1"/>
  <c r="J858" i="1"/>
  <c r="I858" i="1"/>
  <c r="G858" i="1" a="1"/>
  <c r="G858" i="1" s="1"/>
  <c r="AM858" i="1"/>
  <c r="E858" i="1"/>
  <c r="D858" i="1"/>
  <c r="AO859" i="1"/>
  <c r="AN859" i="1"/>
  <c r="AM859" i="1"/>
  <c r="Z859" i="1"/>
  <c r="Y859" i="1"/>
  <c r="W859" i="1"/>
  <c r="V859" i="1"/>
  <c r="T859" i="1"/>
  <c r="Q859" i="1"/>
  <c r="P859" i="1"/>
  <c r="O859" i="1"/>
  <c r="S859" i="1"/>
  <c r="M859" i="1"/>
  <c r="L859" i="1"/>
  <c r="N859" i="1"/>
  <c r="J859" i="1"/>
  <c r="I859" i="1"/>
  <c r="G859" i="1" a="1"/>
  <c r="G859" i="1" s="1"/>
  <c r="E859" i="1"/>
  <c r="D859" i="1"/>
  <c r="AO860" i="1"/>
  <c r="AN860" i="1"/>
  <c r="Z860" i="1"/>
  <c r="Y860" i="1"/>
  <c r="W860" i="1"/>
  <c r="V860" i="1"/>
  <c r="T860" i="1"/>
  <c r="AM860" i="1"/>
  <c r="Q860" i="1"/>
  <c r="P860" i="1"/>
  <c r="O860" i="1"/>
  <c r="N860" i="1"/>
  <c r="M860" i="1"/>
  <c r="L860" i="1"/>
  <c r="S860" i="1"/>
  <c r="J860" i="1"/>
  <c r="I860" i="1"/>
  <c r="G860" i="1" a="1"/>
  <c r="G860" i="1" s="1"/>
  <c r="E860" i="1"/>
  <c r="D860" i="1"/>
  <c r="AO861" i="1"/>
  <c r="AN861" i="1"/>
  <c r="Z861" i="1"/>
  <c r="Y861" i="1"/>
  <c r="W861" i="1"/>
  <c r="V861" i="1"/>
  <c r="T861" i="1"/>
  <c r="Q861" i="1"/>
  <c r="P861" i="1"/>
  <c r="O861" i="1"/>
  <c r="S861" i="1"/>
  <c r="M861" i="1"/>
  <c r="L861" i="1"/>
  <c r="AM861" i="1"/>
  <c r="N861" i="1"/>
  <c r="J861" i="1"/>
  <c r="I861" i="1"/>
  <c r="G861" i="1" a="1"/>
  <c r="G861" i="1" s="1"/>
  <c r="E861" i="1"/>
  <c r="D861" i="1"/>
  <c r="AO862" i="1"/>
  <c r="AN862" i="1"/>
  <c r="AM862" i="1"/>
  <c r="Z862" i="1"/>
  <c r="Y862" i="1"/>
  <c r="W862" i="1"/>
  <c r="V862" i="1"/>
  <c r="T862" i="1"/>
  <c r="S862" i="1"/>
  <c r="Q862" i="1"/>
  <c r="P862" i="1"/>
  <c r="O862" i="1"/>
  <c r="N862" i="1"/>
  <c r="M862" i="1"/>
  <c r="L862" i="1"/>
  <c r="J862" i="1"/>
  <c r="I862" i="1"/>
  <c r="G862" i="1" a="1"/>
  <c r="G862" i="1" s="1"/>
  <c r="E862" i="1"/>
  <c r="D862" i="1"/>
  <c r="AO863" i="1"/>
  <c r="AN863" i="1"/>
  <c r="Z863" i="1"/>
  <c r="Y863" i="1"/>
  <c r="W863" i="1"/>
  <c r="V863" i="1"/>
  <c r="T863" i="1"/>
  <c r="Q863" i="1"/>
  <c r="P863" i="1"/>
  <c r="O863" i="1"/>
  <c r="M863" i="1"/>
  <c r="L863" i="1"/>
  <c r="S863" i="1"/>
  <c r="N863" i="1"/>
  <c r="J863" i="1"/>
  <c r="I863" i="1"/>
  <c r="G863" i="1" a="1"/>
  <c r="G863" i="1" s="1"/>
  <c r="AM863" i="1"/>
  <c r="E863" i="1"/>
  <c r="D863" i="1"/>
  <c r="AO864" i="1"/>
  <c r="AN864" i="1"/>
  <c r="Z864" i="1"/>
  <c r="Y864" i="1"/>
  <c r="W864" i="1"/>
  <c r="V864" i="1"/>
  <c r="T864" i="1"/>
  <c r="AM864" i="1"/>
  <c r="Q864" i="1"/>
  <c r="P864" i="1"/>
  <c r="O864" i="1"/>
  <c r="S864" i="1"/>
  <c r="N864" i="1"/>
  <c r="M864" i="1"/>
  <c r="L864" i="1"/>
  <c r="J864" i="1"/>
  <c r="I864" i="1"/>
  <c r="G864" i="1" a="1"/>
  <c r="G864" i="1" s="1"/>
  <c r="E864" i="1"/>
  <c r="D864" i="1"/>
  <c r="AO865" i="1"/>
  <c r="AN865" i="1"/>
  <c r="AM865" i="1"/>
  <c r="Z865" i="1"/>
  <c r="Y865" i="1"/>
  <c r="W865" i="1"/>
  <c r="V865" i="1"/>
  <c r="T865" i="1"/>
  <c r="S865" i="1"/>
  <c r="Q865" i="1"/>
  <c r="P865" i="1"/>
  <c r="O865" i="1"/>
  <c r="M865" i="1"/>
  <c r="L865" i="1"/>
  <c r="N865" i="1"/>
  <c r="J865" i="1"/>
  <c r="I865" i="1"/>
  <c r="G865" i="1" a="1"/>
  <c r="G865" i="1" s="1"/>
  <c r="E865" i="1"/>
  <c r="D865" i="1"/>
  <c r="AO866" i="1"/>
  <c r="AN866" i="1"/>
  <c r="Z866" i="1"/>
  <c r="Y866" i="1"/>
  <c r="W866" i="1"/>
  <c r="V866" i="1"/>
  <c r="T866" i="1"/>
  <c r="Q866" i="1"/>
  <c r="P866" i="1"/>
  <c r="O866" i="1"/>
  <c r="N866" i="1"/>
  <c r="M866" i="1"/>
  <c r="L866" i="1"/>
  <c r="AM866" i="1"/>
  <c r="S866" i="1"/>
  <c r="J866" i="1"/>
  <c r="I866" i="1"/>
  <c r="G866" i="1" a="1"/>
  <c r="G866" i="1" s="1"/>
  <c r="E866" i="1"/>
  <c r="D866" i="1"/>
  <c r="AO867" i="1"/>
  <c r="AN867" i="1"/>
  <c r="Z867" i="1"/>
  <c r="Y867" i="1"/>
  <c r="W867" i="1"/>
  <c r="V867" i="1"/>
  <c r="T867" i="1"/>
  <c r="Q867" i="1"/>
  <c r="P867" i="1"/>
  <c r="O867" i="1"/>
  <c r="S867" i="1"/>
  <c r="M867" i="1"/>
  <c r="L867" i="1"/>
  <c r="N867" i="1"/>
  <c r="J867" i="1"/>
  <c r="I867" i="1"/>
  <c r="G867" i="1" a="1"/>
  <c r="G867" i="1" s="1"/>
  <c r="AM867" i="1"/>
  <c r="E867" i="1"/>
  <c r="D867" i="1"/>
  <c r="AO868" i="1"/>
  <c r="AN868" i="1"/>
  <c r="Z868" i="1"/>
  <c r="Y868" i="1"/>
  <c r="W868" i="1"/>
  <c r="V868" i="1"/>
  <c r="T868" i="1"/>
  <c r="AM868" i="1"/>
  <c r="S868" i="1"/>
  <c r="Q868" i="1"/>
  <c r="P868" i="1"/>
  <c r="O868" i="1"/>
  <c r="N868" i="1"/>
  <c r="M868" i="1"/>
  <c r="L868" i="1"/>
  <c r="J868" i="1"/>
  <c r="I868" i="1"/>
  <c r="G868" i="1" a="1"/>
  <c r="G868" i="1" s="1"/>
  <c r="E868" i="1"/>
  <c r="D868" i="1"/>
  <c r="AO869" i="1"/>
  <c r="AN869" i="1"/>
  <c r="Z869" i="1"/>
  <c r="Y869" i="1"/>
  <c r="W869" i="1"/>
  <c r="V869" i="1"/>
  <c r="T869" i="1"/>
  <c r="Q869" i="1"/>
  <c r="P869" i="1"/>
  <c r="O869" i="1"/>
  <c r="M869" i="1"/>
  <c r="L869" i="1"/>
  <c r="AM869" i="1"/>
  <c r="S869" i="1"/>
  <c r="N869" i="1"/>
  <c r="J869" i="1"/>
  <c r="I869" i="1"/>
  <c r="G869" i="1" a="1"/>
  <c r="G869" i="1" s="1"/>
  <c r="E869" i="1"/>
  <c r="D869" i="1"/>
  <c r="AO870" i="1"/>
  <c r="AN870" i="1"/>
  <c r="Z870" i="1"/>
  <c r="Y870" i="1"/>
  <c r="W870" i="1"/>
  <c r="V870" i="1"/>
  <c r="T870" i="1"/>
  <c r="Q870" i="1"/>
  <c r="P870" i="1"/>
  <c r="O870" i="1"/>
  <c r="S870" i="1"/>
  <c r="N870" i="1"/>
  <c r="M870" i="1"/>
  <c r="L870" i="1"/>
  <c r="J870" i="1"/>
  <c r="I870" i="1"/>
  <c r="G870" i="1" a="1"/>
  <c r="G870" i="1" s="1"/>
  <c r="AM870" i="1"/>
  <c r="E870" i="1"/>
  <c r="D870" i="1"/>
  <c r="AO871" i="1"/>
  <c r="AN871" i="1"/>
  <c r="AM871" i="1"/>
  <c r="Z871" i="1"/>
  <c r="Y871" i="1"/>
  <c r="W871" i="1"/>
  <c r="V871" i="1"/>
  <c r="T871" i="1"/>
  <c r="S871" i="1"/>
  <c r="Q871" i="1"/>
  <c r="P871" i="1"/>
  <c r="O871" i="1"/>
  <c r="M871" i="1"/>
  <c r="L871" i="1"/>
  <c r="N871" i="1"/>
  <c r="J871" i="1"/>
  <c r="I871" i="1"/>
  <c r="G871" i="1" a="1"/>
  <c r="G871" i="1" s="1"/>
  <c r="E871" i="1"/>
  <c r="D871" i="1"/>
  <c r="AO872" i="1"/>
  <c r="AN872" i="1"/>
  <c r="Z872" i="1"/>
  <c r="Y872" i="1"/>
  <c r="W872" i="1"/>
  <c r="V872" i="1"/>
  <c r="T872" i="1"/>
  <c r="AM872" i="1"/>
  <c r="Q872" i="1"/>
  <c r="P872" i="1"/>
  <c r="O872" i="1"/>
  <c r="N872" i="1"/>
  <c r="M872" i="1"/>
  <c r="L872" i="1"/>
  <c r="S872" i="1"/>
  <c r="J872" i="1"/>
  <c r="I872" i="1"/>
  <c r="G872" i="1" a="1"/>
  <c r="G872" i="1" s="1"/>
  <c r="E872" i="1"/>
  <c r="D872" i="1"/>
  <c r="AO873" i="1"/>
  <c r="AN873" i="1"/>
  <c r="Z873" i="1"/>
  <c r="Y873" i="1"/>
  <c r="W873" i="1"/>
  <c r="V873" i="1"/>
  <c r="T873" i="1"/>
  <c r="Q873" i="1"/>
  <c r="P873" i="1"/>
  <c r="O873" i="1"/>
  <c r="S873" i="1"/>
  <c r="M873" i="1"/>
  <c r="L873" i="1"/>
  <c r="AM873" i="1"/>
  <c r="N873" i="1"/>
  <c r="J873" i="1"/>
  <c r="I873" i="1"/>
  <c r="G873" i="1" a="1"/>
  <c r="G873" i="1" s="1"/>
  <c r="E873" i="1"/>
  <c r="D873" i="1"/>
  <c r="AO874" i="1"/>
  <c r="AN874" i="1"/>
  <c r="Z874" i="1"/>
  <c r="Y874" i="1"/>
  <c r="W874" i="1"/>
  <c r="V874" i="1"/>
  <c r="T874" i="1"/>
  <c r="S874" i="1"/>
  <c r="Q874" i="1"/>
  <c r="P874" i="1"/>
  <c r="O874" i="1"/>
  <c r="N874" i="1"/>
  <c r="M874" i="1"/>
  <c r="L874" i="1"/>
  <c r="J874" i="1"/>
  <c r="I874" i="1"/>
  <c r="G874" i="1" a="1"/>
  <c r="G874" i="1" s="1"/>
  <c r="AM874" i="1"/>
  <c r="E874" i="1"/>
  <c r="D874" i="1"/>
  <c r="AO875" i="1"/>
  <c r="AN875" i="1"/>
  <c r="AM875" i="1"/>
  <c r="Z875" i="1"/>
  <c r="Y875" i="1"/>
  <c r="W875" i="1"/>
  <c r="V875" i="1"/>
  <c r="T875" i="1"/>
  <c r="Q875" i="1"/>
  <c r="P875" i="1"/>
  <c r="O875" i="1"/>
  <c r="M875" i="1"/>
  <c r="L875" i="1"/>
  <c r="S875" i="1"/>
  <c r="N875" i="1"/>
  <c r="J875" i="1"/>
  <c r="I875" i="1"/>
  <c r="G875" i="1" a="1"/>
  <c r="G875" i="1" s="1"/>
  <c r="E875" i="1"/>
  <c r="D875" i="1"/>
  <c r="AO876" i="1"/>
  <c r="AN876" i="1"/>
  <c r="Z876" i="1"/>
  <c r="Y876" i="1"/>
  <c r="W876" i="1"/>
  <c r="V876" i="1"/>
  <c r="T876" i="1"/>
  <c r="AM876" i="1"/>
  <c r="Q876" i="1"/>
  <c r="P876" i="1"/>
  <c r="O876" i="1"/>
  <c r="S876" i="1"/>
  <c r="N876" i="1"/>
  <c r="M876" i="1"/>
  <c r="L876" i="1"/>
  <c r="J876" i="1"/>
  <c r="I876" i="1"/>
  <c r="G876" i="1" a="1"/>
  <c r="G876" i="1" s="1"/>
  <c r="E876" i="1"/>
  <c r="D876" i="1"/>
  <c r="AO877" i="1"/>
  <c r="AN877" i="1"/>
  <c r="Z877" i="1"/>
  <c r="Y877" i="1"/>
  <c r="W877" i="1"/>
  <c r="V877" i="1"/>
  <c r="T877" i="1"/>
  <c r="S877" i="1"/>
  <c r="Q877" i="1"/>
  <c r="P877" i="1"/>
  <c r="O877" i="1"/>
  <c r="M877" i="1"/>
  <c r="L877" i="1"/>
  <c r="AM877" i="1"/>
  <c r="N877" i="1"/>
  <c r="J877" i="1"/>
  <c r="I877" i="1"/>
  <c r="G877" i="1" a="1"/>
  <c r="G877" i="1" s="1"/>
  <c r="E877" i="1"/>
  <c r="D877" i="1"/>
  <c r="AO878" i="1"/>
  <c r="AN878" i="1"/>
  <c r="Z878" i="1"/>
  <c r="Y878" i="1"/>
  <c r="W878" i="1"/>
  <c r="V878" i="1"/>
  <c r="T878" i="1"/>
  <c r="Q878" i="1"/>
  <c r="P878" i="1"/>
  <c r="O878" i="1"/>
  <c r="N878" i="1"/>
  <c r="M878" i="1"/>
  <c r="L878" i="1"/>
  <c r="S878" i="1"/>
  <c r="J878" i="1"/>
  <c r="I878" i="1"/>
  <c r="G878" i="1" a="1"/>
  <c r="G878" i="1" s="1"/>
  <c r="AM878" i="1"/>
  <c r="E878" i="1"/>
  <c r="D878" i="1"/>
  <c r="AO879" i="1"/>
  <c r="AN879" i="1"/>
  <c r="AM879" i="1"/>
  <c r="Y879" i="1"/>
  <c r="Z879" i="1"/>
  <c r="W879" i="1"/>
  <c r="V879" i="1"/>
  <c r="T879" i="1"/>
  <c r="Q879" i="1"/>
  <c r="P879" i="1"/>
  <c r="O879" i="1"/>
  <c r="S879" i="1"/>
  <c r="M879" i="1"/>
  <c r="L879" i="1"/>
  <c r="N879" i="1"/>
  <c r="J879" i="1"/>
  <c r="I879" i="1"/>
  <c r="G879" i="1" a="1"/>
  <c r="G879" i="1" s="1"/>
  <c r="E879" i="1"/>
  <c r="D879" i="1"/>
  <c r="AO880" i="1"/>
  <c r="AN880" i="1"/>
  <c r="Z880" i="1"/>
  <c r="Y880" i="1"/>
  <c r="W880" i="1"/>
  <c r="V880" i="1"/>
  <c r="T880" i="1"/>
  <c r="AM880" i="1"/>
  <c r="S880" i="1"/>
  <c r="Q880" i="1"/>
  <c r="P880" i="1"/>
  <c r="O880" i="1"/>
  <c r="N880" i="1"/>
  <c r="M880" i="1"/>
  <c r="L880" i="1"/>
  <c r="J880" i="1"/>
  <c r="I880" i="1"/>
  <c r="G880" i="1" a="1"/>
  <c r="G880" i="1" s="1"/>
  <c r="E880" i="1"/>
  <c r="D880" i="1"/>
  <c r="AO881" i="1"/>
  <c r="AN881" i="1"/>
  <c r="Y881" i="1"/>
  <c r="Z881" i="1"/>
  <c r="W881" i="1"/>
  <c r="V881" i="1"/>
  <c r="T881" i="1"/>
  <c r="Q881" i="1"/>
  <c r="P881" i="1"/>
  <c r="O881" i="1"/>
  <c r="M881" i="1"/>
  <c r="L881" i="1"/>
  <c r="AM881" i="1"/>
  <c r="S881" i="1"/>
  <c r="N881" i="1"/>
  <c r="J881" i="1"/>
  <c r="I881" i="1"/>
  <c r="G881" i="1" a="1"/>
  <c r="G881" i="1" s="1"/>
  <c r="E881" i="1"/>
  <c r="D881" i="1"/>
  <c r="AO882" i="1"/>
  <c r="AN882" i="1"/>
  <c r="Z882" i="1"/>
  <c r="Y882" i="1"/>
  <c r="W882" i="1"/>
  <c r="V882" i="1"/>
  <c r="T882" i="1"/>
  <c r="Q882" i="1"/>
  <c r="P882" i="1"/>
  <c r="O882" i="1"/>
  <c r="S882" i="1"/>
  <c r="N882" i="1"/>
  <c r="M882" i="1"/>
  <c r="L882" i="1"/>
  <c r="J882" i="1"/>
  <c r="I882" i="1"/>
  <c r="G882" i="1" a="1"/>
  <c r="G882" i="1" s="1"/>
  <c r="AM882" i="1"/>
  <c r="E882" i="1"/>
  <c r="D882" i="1"/>
  <c r="AO883" i="1"/>
  <c r="AN883" i="1"/>
  <c r="AM883" i="1"/>
  <c r="Y883" i="1"/>
  <c r="Z883" i="1"/>
  <c r="W883" i="1"/>
  <c r="V883" i="1"/>
  <c r="T883" i="1"/>
  <c r="S883" i="1"/>
  <c r="Q883" i="1"/>
  <c r="P883" i="1"/>
  <c r="O883" i="1"/>
  <c r="M883" i="1"/>
  <c r="L883" i="1"/>
  <c r="N883" i="1"/>
  <c r="J883" i="1"/>
  <c r="I883" i="1"/>
  <c r="G883" i="1" a="1"/>
  <c r="G883" i="1" s="1"/>
  <c r="E883" i="1"/>
  <c r="D883" i="1"/>
  <c r="AO884" i="1"/>
  <c r="AN884" i="1"/>
  <c r="Z884" i="1"/>
  <c r="Y884" i="1"/>
  <c r="W884" i="1"/>
  <c r="V884" i="1"/>
  <c r="T884" i="1"/>
  <c r="AM884" i="1"/>
  <c r="Q884" i="1"/>
  <c r="P884" i="1"/>
  <c r="O884" i="1"/>
  <c r="N884" i="1"/>
  <c r="M884" i="1"/>
  <c r="L884" i="1"/>
  <c r="S884" i="1"/>
  <c r="J884" i="1"/>
  <c r="I884" i="1"/>
  <c r="G884" i="1" a="1"/>
  <c r="G884" i="1" s="1"/>
  <c r="E884" i="1"/>
  <c r="D884" i="1"/>
  <c r="AO885" i="1"/>
  <c r="AN885" i="1"/>
  <c r="Z885" i="1"/>
  <c r="Y885" i="1"/>
  <c r="W885" i="1"/>
  <c r="V885" i="1"/>
  <c r="T885" i="1"/>
  <c r="Q885" i="1"/>
  <c r="P885" i="1"/>
  <c r="O885" i="1"/>
  <c r="S885" i="1"/>
  <c r="M885" i="1"/>
  <c r="L885" i="1"/>
  <c r="AM885" i="1"/>
  <c r="N885" i="1"/>
  <c r="J885" i="1"/>
  <c r="I885" i="1"/>
  <c r="G885" i="1" a="1"/>
  <c r="G885" i="1" s="1"/>
  <c r="E885" i="1"/>
  <c r="D885" i="1"/>
  <c r="AO886" i="1"/>
  <c r="AN886" i="1"/>
  <c r="Y886" i="1"/>
  <c r="Z886" i="1"/>
  <c r="W886" i="1"/>
  <c r="V886" i="1"/>
  <c r="T886" i="1"/>
  <c r="S886" i="1"/>
  <c r="Q886" i="1"/>
  <c r="P886" i="1"/>
  <c r="O886" i="1"/>
  <c r="N886" i="1"/>
  <c r="M886" i="1"/>
  <c r="L886" i="1"/>
  <c r="J886" i="1"/>
  <c r="I886" i="1"/>
  <c r="G886" i="1" a="1"/>
  <c r="G886" i="1" s="1"/>
  <c r="AM886" i="1"/>
  <c r="E886" i="1"/>
  <c r="D886" i="1"/>
  <c r="AO887" i="1"/>
  <c r="AN887" i="1"/>
  <c r="AM887" i="1"/>
  <c r="Y887" i="1"/>
  <c r="Z887" i="1"/>
  <c r="W887" i="1"/>
  <c r="V887" i="1"/>
  <c r="T887" i="1"/>
  <c r="Q887" i="1"/>
  <c r="P887" i="1"/>
  <c r="O887" i="1"/>
  <c r="M887" i="1"/>
  <c r="L887" i="1"/>
  <c r="S887" i="1"/>
  <c r="N887" i="1"/>
  <c r="J887" i="1"/>
  <c r="I887" i="1"/>
  <c r="G887" i="1" a="1"/>
  <c r="G887" i="1" s="1"/>
  <c r="E887" i="1"/>
  <c r="D887" i="1"/>
  <c r="AO888" i="1"/>
  <c r="AN888" i="1"/>
  <c r="Z888" i="1"/>
  <c r="Y888" i="1"/>
  <c r="W888" i="1"/>
  <c r="V888" i="1"/>
  <c r="T888" i="1"/>
  <c r="AM888" i="1"/>
  <c r="Q888" i="1"/>
  <c r="P888" i="1"/>
  <c r="O888" i="1"/>
  <c r="S888" i="1"/>
  <c r="N888" i="1"/>
  <c r="M888" i="1"/>
  <c r="L888" i="1"/>
  <c r="J888" i="1"/>
  <c r="I888" i="1"/>
  <c r="G888" i="1" a="1"/>
  <c r="G888" i="1" s="1"/>
  <c r="E888" i="1"/>
  <c r="D888" i="1"/>
  <c r="AO889" i="1"/>
  <c r="AN889" i="1"/>
  <c r="Y889" i="1"/>
  <c r="Z889" i="1"/>
  <c r="W889" i="1"/>
  <c r="V889" i="1"/>
  <c r="T889" i="1"/>
  <c r="S889" i="1"/>
  <c r="Q889" i="1"/>
  <c r="P889" i="1"/>
  <c r="O889" i="1"/>
  <c r="M889" i="1"/>
  <c r="L889" i="1"/>
  <c r="AM889" i="1"/>
  <c r="N889" i="1"/>
  <c r="J889" i="1"/>
  <c r="I889" i="1"/>
  <c r="G889" i="1" a="1"/>
  <c r="G889" i="1" s="1"/>
  <c r="E889" i="1"/>
  <c r="D889" i="1"/>
  <c r="AO890" i="1"/>
  <c r="AN890" i="1"/>
  <c r="AM890" i="1"/>
  <c r="Z890" i="1"/>
  <c r="Y890" i="1"/>
  <c r="W890" i="1"/>
  <c r="V890" i="1"/>
  <c r="T890" i="1"/>
  <c r="Q890" i="1"/>
  <c r="P890" i="1"/>
  <c r="O890" i="1"/>
  <c r="N890" i="1"/>
  <c r="M890" i="1"/>
  <c r="L890" i="1"/>
  <c r="S890" i="1"/>
  <c r="J890" i="1"/>
  <c r="I890" i="1"/>
  <c r="G890" i="1" a="1"/>
  <c r="G890" i="1" s="1"/>
  <c r="E890" i="1"/>
  <c r="D890" i="1"/>
  <c r="AO891" i="1"/>
  <c r="AN891" i="1"/>
  <c r="Y891" i="1"/>
  <c r="Z891" i="1"/>
  <c r="W891" i="1"/>
  <c r="V891" i="1"/>
  <c r="T891" i="1"/>
  <c r="Q891" i="1"/>
  <c r="P891" i="1"/>
  <c r="O891" i="1"/>
  <c r="S891" i="1"/>
  <c r="M891" i="1"/>
  <c r="L891" i="1"/>
  <c r="N891" i="1"/>
  <c r="J891" i="1"/>
  <c r="I891" i="1"/>
  <c r="G891" i="1" a="1"/>
  <c r="G891" i="1" s="1"/>
  <c r="AM891" i="1"/>
  <c r="E891" i="1"/>
  <c r="D891" i="1"/>
  <c r="AO892" i="1"/>
  <c r="AN892" i="1"/>
  <c r="Z892" i="1"/>
  <c r="Y892" i="1"/>
  <c r="W892" i="1"/>
  <c r="V892" i="1"/>
  <c r="T892" i="1"/>
  <c r="AM892" i="1"/>
  <c r="S892" i="1"/>
  <c r="Q892" i="1"/>
  <c r="P892" i="1"/>
  <c r="O892" i="1"/>
  <c r="N892" i="1"/>
  <c r="M892" i="1"/>
  <c r="L892" i="1"/>
  <c r="J892" i="1"/>
  <c r="I892" i="1"/>
  <c r="G892" i="1" a="1"/>
  <c r="G892" i="1" s="1"/>
  <c r="E892" i="1"/>
  <c r="D892" i="1"/>
  <c r="AO893" i="1"/>
  <c r="AN893" i="1"/>
  <c r="Z893" i="1"/>
  <c r="Y893" i="1"/>
  <c r="W893" i="1"/>
  <c r="V893" i="1"/>
  <c r="T893" i="1"/>
  <c r="Q893" i="1"/>
  <c r="P893" i="1"/>
  <c r="O893" i="1"/>
  <c r="M893" i="1"/>
  <c r="L893" i="1"/>
  <c r="AM893" i="1"/>
  <c r="S893" i="1"/>
  <c r="N893" i="1"/>
  <c r="J893" i="1"/>
  <c r="I893" i="1"/>
  <c r="G893" i="1" a="1"/>
  <c r="G893" i="1" s="1"/>
  <c r="E893" i="1"/>
  <c r="D893" i="1"/>
  <c r="AO894" i="1"/>
  <c r="AN894" i="1"/>
  <c r="AM894" i="1"/>
  <c r="Y894" i="1"/>
  <c r="Z894" i="1"/>
  <c r="W894" i="1"/>
  <c r="V894" i="1"/>
  <c r="T894" i="1"/>
  <c r="Q894" i="1"/>
  <c r="P894" i="1"/>
  <c r="O894" i="1"/>
  <c r="S894" i="1"/>
  <c r="N894" i="1"/>
  <c r="M894" i="1"/>
  <c r="L894" i="1"/>
  <c r="J894" i="1"/>
  <c r="I894" i="1"/>
  <c r="G894" i="1" a="1"/>
  <c r="G894" i="1" s="1"/>
  <c r="E894" i="1"/>
  <c r="D894" i="1"/>
  <c r="AO895" i="1"/>
  <c r="AN895" i="1"/>
  <c r="Z895" i="1"/>
  <c r="Y895" i="1"/>
  <c r="W895" i="1"/>
  <c r="V895" i="1"/>
  <c r="T895" i="1"/>
  <c r="Q895" i="1"/>
  <c r="P895" i="1"/>
  <c r="O895" i="1"/>
  <c r="M895" i="1"/>
  <c r="L895" i="1"/>
  <c r="N895" i="1"/>
  <c r="J895" i="1"/>
  <c r="I895" i="1"/>
  <c r="G895" i="1" a="1"/>
  <c r="G895" i="1" s="1"/>
  <c r="AM895" i="1"/>
  <c r="S895" i="1"/>
  <c r="E895" i="1"/>
  <c r="D895" i="1"/>
  <c r="AO896" i="1"/>
  <c r="AN896" i="1"/>
  <c r="Y896" i="1"/>
  <c r="Z896" i="1"/>
  <c r="W896" i="1"/>
  <c r="V896" i="1"/>
  <c r="T896" i="1"/>
  <c r="AM896" i="1"/>
  <c r="Q896" i="1"/>
  <c r="P896" i="1"/>
  <c r="O896" i="1"/>
  <c r="N896" i="1"/>
  <c r="M896" i="1"/>
  <c r="L896" i="1"/>
  <c r="S896" i="1"/>
  <c r="J896" i="1"/>
  <c r="I896" i="1"/>
  <c r="G896" i="1" a="1"/>
  <c r="G896" i="1" s="1"/>
  <c r="E896" i="1"/>
  <c r="D896" i="1"/>
  <c r="AO897" i="1"/>
  <c r="AN897" i="1"/>
  <c r="Z897" i="1"/>
  <c r="Y897" i="1"/>
  <c r="W897" i="1"/>
  <c r="V897" i="1"/>
  <c r="T897" i="1"/>
  <c r="S897" i="1"/>
  <c r="Q897" i="1"/>
  <c r="P897" i="1"/>
  <c r="O897" i="1"/>
  <c r="M897" i="1"/>
  <c r="L897" i="1"/>
  <c r="AM897" i="1"/>
  <c r="N897" i="1"/>
  <c r="J897" i="1"/>
  <c r="I897" i="1"/>
  <c r="G897" i="1" a="1"/>
  <c r="G897" i="1" s="1"/>
  <c r="E897" i="1"/>
  <c r="D897" i="1"/>
  <c r="AO898" i="1"/>
  <c r="AN898" i="1"/>
  <c r="AM898" i="1"/>
  <c r="Y898" i="1"/>
  <c r="Z898" i="1"/>
  <c r="W898" i="1"/>
  <c r="V898" i="1"/>
  <c r="T898" i="1"/>
  <c r="Q898" i="1"/>
  <c r="P898" i="1"/>
  <c r="O898" i="1"/>
  <c r="S898" i="1"/>
  <c r="N898" i="1"/>
  <c r="M898" i="1"/>
  <c r="L898" i="1"/>
  <c r="J898" i="1"/>
  <c r="I898" i="1"/>
  <c r="G898" i="1" a="1"/>
  <c r="G898" i="1" s="1"/>
  <c r="E898" i="1"/>
  <c r="D898" i="1"/>
  <c r="AO899" i="1"/>
  <c r="AN899" i="1"/>
  <c r="Z899" i="1"/>
  <c r="Y899" i="1"/>
  <c r="W899" i="1"/>
  <c r="V899" i="1"/>
  <c r="T899" i="1"/>
  <c r="Q899" i="1"/>
  <c r="P899" i="1"/>
  <c r="O899" i="1"/>
  <c r="M899" i="1"/>
  <c r="L899" i="1"/>
  <c r="S899" i="1"/>
  <c r="N899" i="1"/>
  <c r="J899" i="1"/>
  <c r="I899" i="1"/>
  <c r="G899" i="1" a="1"/>
  <c r="G899" i="1" s="1"/>
  <c r="AM899" i="1"/>
  <c r="E899" i="1"/>
  <c r="D899" i="1"/>
  <c r="AO900" i="1"/>
  <c r="AN900" i="1"/>
  <c r="Y900" i="1"/>
  <c r="Z900" i="1"/>
  <c r="W900" i="1"/>
  <c r="V900" i="1"/>
  <c r="T900" i="1"/>
  <c r="AM900" i="1"/>
  <c r="S900" i="1"/>
  <c r="Q900" i="1"/>
  <c r="P900" i="1"/>
  <c r="O900" i="1"/>
  <c r="N900" i="1"/>
  <c r="M900" i="1"/>
  <c r="L900" i="1"/>
  <c r="J900" i="1"/>
  <c r="I900" i="1"/>
  <c r="G900" i="1" a="1"/>
  <c r="G900" i="1" s="1"/>
  <c r="E900" i="1"/>
  <c r="D900" i="1"/>
  <c r="AO901" i="1"/>
  <c r="AN901" i="1"/>
  <c r="Z901" i="1"/>
  <c r="Y901" i="1"/>
  <c r="W901" i="1"/>
  <c r="V901" i="1"/>
  <c r="T901" i="1"/>
  <c r="Q901" i="1"/>
  <c r="P901" i="1"/>
  <c r="O901" i="1"/>
  <c r="M901" i="1"/>
  <c r="L901" i="1"/>
  <c r="AM901" i="1"/>
  <c r="N901" i="1"/>
  <c r="J901" i="1"/>
  <c r="I901" i="1"/>
  <c r="G901" i="1" a="1"/>
  <c r="G901" i="1" s="1"/>
  <c r="S901" i="1"/>
  <c r="E901" i="1"/>
  <c r="D901" i="1"/>
  <c r="AO902" i="1"/>
  <c r="AN902" i="1"/>
  <c r="AM902" i="1"/>
  <c r="Y902" i="1"/>
  <c r="Z902" i="1"/>
  <c r="W902" i="1"/>
  <c r="V902" i="1"/>
  <c r="T902" i="1"/>
  <c r="Q902" i="1"/>
  <c r="P902" i="1"/>
  <c r="O902" i="1"/>
  <c r="S902" i="1"/>
  <c r="N902" i="1"/>
  <c r="M902" i="1"/>
  <c r="L902" i="1"/>
  <c r="J902" i="1"/>
  <c r="I902" i="1"/>
  <c r="G902" i="1" a="1"/>
  <c r="G902" i="1" s="1"/>
  <c r="E902" i="1"/>
  <c r="D902" i="1"/>
  <c r="AO903" i="1"/>
  <c r="AN903" i="1"/>
  <c r="Z903" i="1"/>
  <c r="Y903" i="1"/>
  <c r="W903" i="1"/>
  <c r="V903" i="1"/>
  <c r="T903" i="1"/>
  <c r="AM903" i="1"/>
  <c r="Q903" i="1"/>
  <c r="P903" i="1"/>
  <c r="O903" i="1"/>
  <c r="N903" i="1"/>
  <c r="M903" i="1"/>
  <c r="L903" i="1"/>
  <c r="S903" i="1"/>
  <c r="J903" i="1"/>
  <c r="I903" i="1"/>
  <c r="G903" i="1" a="1"/>
  <c r="G903" i="1" s="1"/>
  <c r="E903" i="1"/>
  <c r="D903" i="1"/>
  <c r="AO904" i="1"/>
  <c r="AN904" i="1"/>
  <c r="Y904" i="1"/>
  <c r="Z904" i="1"/>
  <c r="W904" i="1"/>
  <c r="V904" i="1"/>
  <c r="T904" i="1"/>
  <c r="S904" i="1"/>
  <c r="Q904" i="1"/>
  <c r="P904" i="1"/>
  <c r="O904" i="1"/>
  <c r="M904" i="1"/>
  <c r="L904" i="1"/>
  <c r="N904" i="1"/>
  <c r="J904" i="1"/>
  <c r="I904" i="1"/>
  <c r="G904" i="1" a="1"/>
  <c r="G904" i="1" s="1"/>
  <c r="AM904" i="1"/>
  <c r="E904" i="1"/>
  <c r="D904" i="1"/>
  <c r="AO905" i="1"/>
  <c r="AN905" i="1"/>
  <c r="Z905" i="1"/>
  <c r="Y905" i="1"/>
  <c r="W905" i="1"/>
  <c r="V905" i="1"/>
  <c r="T905" i="1"/>
  <c r="Q905" i="1"/>
  <c r="P905" i="1"/>
  <c r="O905" i="1"/>
  <c r="N905" i="1"/>
  <c r="M905" i="1"/>
  <c r="L905" i="1"/>
  <c r="AM905" i="1"/>
  <c r="J905" i="1"/>
  <c r="I905" i="1"/>
  <c r="G905" i="1" a="1"/>
  <c r="G905" i="1" s="1"/>
  <c r="S905" i="1"/>
  <c r="E905" i="1"/>
  <c r="D905" i="1"/>
  <c r="AO906" i="1"/>
  <c r="AN906" i="1"/>
  <c r="AM906" i="1"/>
  <c r="Z906" i="1"/>
  <c r="Y906" i="1"/>
  <c r="W906" i="1"/>
  <c r="V906" i="1"/>
  <c r="T906" i="1"/>
  <c r="Q906" i="1"/>
  <c r="P906" i="1"/>
  <c r="O906" i="1"/>
  <c r="S906" i="1"/>
  <c r="M906" i="1"/>
  <c r="L906" i="1"/>
  <c r="N906" i="1"/>
  <c r="J906" i="1"/>
  <c r="I906" i="1"/>
  <c r="G906" i="1" a="1"/>
  <c r="G906" i="1" s="1"/>
  <c r="E906" i="1"/>
  <c r="D906" i="1"/>
  <c r="AO907" i="1"/>
  <c r="AN907" i="1"/>
  <c r="Y907" i="1"/>
  <c r="Z907" i="1"/>
  <c r="W907" i="1"/>
  <c r="V907" i="1"/>
  <c r="T907" i="1"/>
  <c r="AM907" i="1"/>
  <c r="Q907" i="1"/>
  <c r="P907" i="1"/>
  <c r="O907" i="1"/>
  <c r="N907" i="1"/>
  <c r="M907" i="1"/>
  <c r="L907" i="1"/>
  <c r="S907" i="1"/>
  <c r="J907" i="1"/>
  <c r="I907" i="1"/>
  <c r="G907" i="1" a="1"/>
  <c r="G907" i="1" s="1"/>
  <c r="E907" i="1"/>
  <c r="D907" i="1"/>
  <c r="AO908" i="1"/>
  <c r="AN908" i="1"/>
  <c r="Z908" i="1"/>
  <c r="Y908" i="1"/>
  <c r="W908" i="1"/>
  <c r="V908" i="1"/>
  <c r="T908" i="1"/>
  <c r="S908" i="1"/>
  <c r="Q908" i="1"/>
  <c r="P908" i="1"/>
  <c r="O908" i="1"/>
  <c r="M908" i="1"/>
  <c r="L908" i="1"/>
  <c r="N908" i="1"/>
  <c r="J908" i="1"/>
  <c r="I908" i="1"/>
  <c r="G908" i="1" a="1"/>
  <c r="G908" i="1" s="1"/>
  <c r="AM908" i="1"/>
  <c r="E908" i="1"/>
  <c r="D908" i="1"/>
  <c r="AO909" i="1"/>
  <c r="AN909" i="1"/>
  <c r="Y909" i="1"/>
  <c r="Z909" i="1"/>
  <c r="W909" i="1"/>
  <c r="V909" i="1"/>
  <c r="T909" i="1"/>
  <c r="S909" i="1"/>
  <c r="Q909" i="1"/>
  <c r="P909" i="1"/>
  <c r="O909" i="1"/>
  <c r="N909" i="1"/>
  <c r="M909" i="1"/>
  <c r="L909" i="1"/>
  <c r="AM909" i="1"/>
  <c r="J909" i="1"/>
  <c r="I909" i="1"/>
  <c r="G909" i="1" a="1"/>
  <c r="G909" i="1" s="1"/>
  <c r="E909" i="1"/>
  <c r="D909" i="1"/>
  <c r="AO910" i="1"/>
  <c r="AN910" i="1"/>
  <c r="AM910" i="1"/>
  <c r="Z910" i="1"/>
  <c r="Y910" i="1"/>
  <c r="W910" i="1"/>
  <c r="V910" i="1"/>
  <c r="T910" i="1"/>
  <c r="S910" i="1"/>
  <c r="Q910" i="1"/>
  <c r="P910" i="1"/>
  <c r="O910" i="1"/>
  <c r="M910" i="1"/>
  <c r="L910" i="1"/>
  <c r="N910" i="1"/>
  <c r="J910" i="1"/>
  <c r="I910" i="1"/>
  <c r="G910" i="1" a="1"/>
  <c r="G910" i="1" s="1"/>
  <c r="E910" i="1"/>
  <c r="D910" i="1"/>
  <c r="AO911" i="1"/>
  <c r="AN911" i="1"/>
  <c r="Y911" i="1"/>
  <c r="Z911" i="1"/>
  <c r="W911" i="1"/>
  <c r="V911" i="1"/>
  <c r="T911" i="1"/>
  <c r="S911" i="1"/>
  <c r="AM911" i="1"/>
  <c r="Q911" i="1"/>
  <c r="P911" i="1"/>
  <c r="O911" i="1"/>
  <c r="N911" i="1"/>
  <c r="M911" i="1"/>
  <c r="L911" i="1"/>
  <c r="J911" i="1"/>
  <c r="I911" i="1"/>
  <c r="G911" i="1" a="1"/>
  <c r="G911" i="1" s="1"/>
  <c r="E911" i="1"/>
  <c r="D911" i="1"/>
  <c r="AO912" i="1"/>
  <c r="AN912" i="1"/>
  <c r="Z912" i="1"/>
  <c r="Y912" i="1"/>
  <c r="W912" i="1"/>
  <c r="V912" i="1"/>
  <c r="T912" i="1"/>
  <c r="S912" i="1"/>
  <c r="Q912" i="1"/>
  <c r="P912" i="1"/>
  <c r="O912" i="1"/>
  <c r="M912" i="1"/>
  <c r="L912" i="1"/>
  <c r="N912" i="1"/>
  <c r="J912" i="1"/>
  <c r="I912" i="1"/>
  <c r="G912" i="1" a="1"/>
  <c r="G912" i="1" s="1"/>
  <c r="AM912" i="1"/>
  <c r="E912" i="1"/>
  <c r="D912" i="1"/>
  <c r="AO913" i="1"/>
  <c r="AN913" i="1"/>
  <c r="Y913" i="1"/>
  <c r="Z913" i="1"/>
  <c r="W913" i="1"/>
  <c r="V913" i="1"/>
  <c r="T913" i="1"/>
  <c r="S913" i="1"/>
  <c r="Q913" i="1"/>
  <c r="P913" i="1"/>
  <c r="O913" i="1"/>
  <c r="M913" i="1"/>
  <c r="L913" i="1"/>
  <c r="AM913" i="1"/>
  <c r="N913" i="1"/>
  <c r="J913" i="1"/>
  <c r="I913" i="1"/>
  <c r="G913" i="1" a="1"/>
  <c r="G913" i="1" s="1"/>
  <c r="E913" i="1"/>
  <c r="D913" i="1"/>
  <c r="AO914" i="1"/>
  <c r="AN914" i="1"/>
  <c r="AM914" i="1"/>
  <c r="Z914" i="1"/>
  <c r="Y914" i="1"/>
  <c r="W914" i="1"/>
  <c r="V914" i="1"/>
  <c r="T914" i="1"/>
  <c r="S914" i="1"/>
  <c r="Q914" i="1"/>
  <c r="P914" i="1"/>
  <c r="O914" i="1"/>
  <c r="M914" i="1"/>
  <c r="L914" i="1"/>
  <c r="N914" i="1"/>
  <c r="J914" i="1"/>
  <c r="I914" i="1"/>
  <c r="G914" i="1" a="1"/>
  <c r="G914" i="1" s="1"/>
  <c r="E914" i="1"/>
  <c r="D914" i="1"/>
  <c r="AO915" i="1"/>
  <c r="AN915" i="1"/>
  <c r="Y915" i="1"/>
  <c r="Z915" i="1"/>
  <c r="W915" i="1"/>
  <c r="V915" i="1"/>
  <c r="T915" i="1"/>
  <c r="S915" i="1"/>
  <c r="AM915" i="1"/>
  <c r="Q915" i="1"/>
  <c r="P915" i="1"/>
  <c r="O915" i="1"/>
  <c r="N915" i="1"/>
  <c r="M915" i="1"/>
  <c r="L915" i="1"/>
  <c r="J915" i="1"/>
  <c r="I915" i="1"/>
  <c r="G915" i="1" a="1"/>
  <c r="G915" i="1" s="1"/>
  <c r="E915" i="1"/>
  <c r="D915" i="1"/>
  <c r="AO916" i="1"/>
  <c r="AN916" i="1"/>
  <c r="Z916" i="1"/>
  <c r="Y916" i="1"/>
  <c r="W916" i="1"/>
  <c r="V916" i="1"/>
  <c r="T916" i="1"/>
  <c r="S916" i="1"/>
  <c r="Q916" i="1"/>
  <c r="P916" i="1"/>
  <c r="O916" i="1"/>
  <c r="N916" i="1"/>
  <c r="M916" i="1"/>
  <c r="L916" i="1"/>
  <c r="J916" i="1"/>
  <c r="I916" i="1"/>
  <c r="G916" i="1" a="1"/>
  <c r="G916" i="1" s="1"/>
  <c r="AM916" i="1"/>
  <c r="E916" i="1"/>
  <c r="D916" i="1"/>
  <c r="AO917" i="1"/>
  <c r="AN917" i="1"/>
  <c r="Y917" i="1"/>
  <c r="Z917" i="1"/>
  <c r="W917" i="1"/>
  <c r="V917" i="1"/>
  <c r="T917" i="1"/>
  <c r="S917" i="1"/>
  <c r="Q917" i="1"/>
  <c r="P917" i="1"/>
  <c r="O917" i="1"/>
  <c r="M917" i="1"/>
  <c r="L917" i="1"/>
  <c r="AM917" i="1"/>
  <c r="N917" i="1"/>
  <c r="J917" i="1"/>
  <c r="I917" i="1"/>
  <c r="G917" i="1" a="1"/>
  <c r="G917" i="1" s="1"/>
  <c r="E917" i="1"/>
  <c r="D917" i="1"/>
  <c r="AO918" i="1"/>
  <c r="AN918" i="1"/>
  <c r="AM918" i="1"/>
  <c r="Z918" i="1"/>
  <c r="Y918" i="1"/>
  <c r="W918" i="1"/>
  <c r="V918" i="1"/>
  <c r="T918" i="1"/>
  <c r="S918" i="1"/>
  <c r="Q918" i="1"/>
  <c r="P918" i="1"/>
  <c r="O918" i="1"/>
  <c r="N918" i="1"/>
  <c r="M918" i="1"/>
  <c r="L918" i="1"/>
  <c r="J918" i="1"/>
  <c r="I918" i="1"/>
  <c r="G918" i="1" a="1"/>
  <c r="G918" i="1" s="1"/>
  <c r="E918" i="1"/>
  <c r="D918" i="1"/>
  <c r="AO919" i="1"/>
  <c r="AN919" i="1"/>
  <c r="Y919" i="1"/>
  <c r="Z919" i="1"/>
  <c r="W919" i="1"/>
  <c r="V919" i="1"/>
  <c r="T919" i="1"/>
  <c r="S919" i="1"/>
  <c r="AM919" i="1"/>
  <c r="Q919" i="1"/>
  <c r="P919" i="1"/>
  <c r="O919" i="1"/>
  <c r="M919" i="1"/>
  <c r="L919" i="1"/>
  <c r="J919" i="1"/>
  <c r="N919" i="1"/>
  <c r="I919" i="1"/>
  <c r="G919" i="1" a="1"/>
  <c r="G919" i="1" s="1"/>
  <c r="E919" i="1"/>
  <c r="D919" i="1"/>
  <c r="AO920" i="1"/>
  <c r="AN920" i="1"/>
  <c r="Z920" i="1"/>
  <c r="Y920" i="1"/>
  <c r="W920" i="1"/>
  <c r="V920" i="1"/>
  <c r="T920" i="1"/>
  <c r="S920" i="1"/>
  <c r="Q920" i="1"/>
  <c r="P920" i="1"/>
  <c r="O920" i="1"/>
  <c r="N920" i="1"/>
  <c r="M920" i="1"/>
  <c r="L920" i="1"/>
  <c r="J920" i="1"/>
  <c r="AM920" i="1"/>
  <c r="I920" i="1"/>
  <c r="G920" i="1" a="1"/>
  <c r="G920" i="1" s="1"/>
  <c r="E920" i="1"/>
  <c r="D920" i="1"/>
  <c r="AO921" i="1"/>
  <c r="AN921" i="1"/>
  <c r="Y921" i="1"/>
  <c r="Z921" i="1"/>
  <c r="W921" i="1"/>
  <c r="V921" i="1"/>
  <c r="T921" i="1"/>
  <c r="S921" i="1"/>
  <c r="Q921" i="1"/>
  <c r="P921" i="1"/>
  <c r="O921" i="1"/>
  <c r="M921" i="1"/>
  <c r="L921" i="1"/>
  <c r="J921" i="1"/>
  <c r="N921" i="1"/>
  <c r="I921" i="1"/>
  <c r="G921" i="1" a="1"/>
  <c r="G921" i="1" s="1"/>
  <c r="AM921" i="1"/>
  <c r="E921" i="1"/>
  <c r="D921" i="1"/>
  <c r="AO922" i="1"/>
  <c r="AN922" i="1"/>
  <c r="AM922" i="1"/>
  <c r="Z922" i="1"/>
  <c r="Y922" i="1"/>
  <c r="W922" i="1"/>
  <c r="V922" i="1"/>
  <c r="T922" i="1"/>
  <c r="S922" i="1"/>
  <c r="Q922" i="1"/>
  <c r="P922" i="1"/>
  <c r="O922" i="1"/>
  <c r="N922" i="1"/>
  <c r="M922" i="1"/>
  <c r="L922" i="1"/>
  <c r="J922" i="1"/>
  <c r="I922" i="1"/>
  <c r="G922" i="1" a="1"/>
  <c r="G922" i="1" s="1"/>
  <c r="E922" i="1"/>
  <c r="D922" i="1"/>
  <c r="AO923" i="1"/>
  <c r="AN923" i="1"/>
  <c r="Y923" i="1"/>
  <c r="Z923" i="1"/>
  <c r="W923" i="1"/>
  <c r="V923" i="1"/>
  <c r="T923" i="1"/>
  <c r="S923" i="1"/>
  <c r="AM923" i="1"/>
  <c r="Q923" i="1"/>
  <c r="P923" i="1"/>
  <c r="O923" i="1"/>
  <c r="M923" i="1"/>
  <c r="L923" i="1"/>
  <c r="J923" i="1"/>
  <c r="N923" i="1"/>
  <c r="I923" i="1"/>
  <c r="G923" i="1" a="1"/>
  <c r="G923" i="1" s="1"/>
  <c r="E923" i="1"/>
  <c r="D923" i="1"/>
  <c r="AO924" i="1"/>
  <c r="AN924" i="1"/>
  <c r="Z924" i="1"/>
  <c r="Y924" i="1"/>
  <c r="W924" i="1"/>
  <c r="V924" i="1"/>
  <c r="T924" i="1"/>
  <c r="S924" i="1"/>
  <c r="Q924" i="1"/>
  <c r="P924" i="1"/>
  <c r="O924" i="1"/>
  <c r="N924" i="1"/>
  <c r="M924" i="1"/>
  <c r="L924" i="1"/>
  <c r="J924" i="1"/>
  <c r="AM924" i="1"/>
  <c r="I924" i="1"/>
  <c r="G924" i="1" a="1"/>
  <c r="G924" i="1" s="1"/>
  <c r="E924" i="1"/>
  <c r="D924" i="1"/>
  <c r="AO925" i="1"/>
  <c r="AN925" i="1"/>
  <c r="Y925" i="1"/>
  <c r="Z925" i="1"/>
  <c r="W925" i="1"/>
  <c r="V925" i="1"/>
  <c r="T925" i="1"/>
  <c r="S925" i="1"/>
  <c r="Q925" i="1"/>
  <c r="P925" i="1"/>
  <c r="O925" i="1"/>
  <c r="M925" i="1"/>
  <c r="L925" i="1"/>
  <c r="J925" i="1"/>
  <c r="N925" i="1"/>
  <c r="I925" i="1"/>
  <c r="G925" i="1" a="1"/>
  <c r="G925" i="1" s="1"/>
  <c r="AM925" i="1"/>
  <c r="E925" i="1"/>
  <c r="D925" i="1"/>
  <c r="AO926" i="1"/>
  <c r="AN926" i="1"/>
  <c r="AM926" i="1"/>
  <c r="Z926" i="1"/>
  <c r="Y926" i="1"/>
  <c r="W926" i="1"/>
  <c r="V926" i="1"/>
  <c r="T926" i="1"/>
  <c r="S926" i="1"/>
  <c r="Q926" i="1"/>
  <c r="P926" i="1"/>
  <c r="O926" i="1"/>
  <c r="N926" i="1"/>
  <c r="M926" i="1"/>
  <c r="L926" i="1"/>
  <c r="J926" i="1"/>
  <c r="I926" i="1"/>
  <c r="G926" i="1" a="1"/>
  <c r="G926" i="1" s="1"/>
  <c r="E926" i="1"/>
  <c r="D926" i="1"/>
  <c r="AO927" i="1"/>
  <c r="AN927" i="1"/>
  <c r="Y927" i="1"/>
  <c r="Z927" i="1"/>
  <c r="W927" i="1"/>
  <c r="V927" i="1"/>
  <c r="T927" i="1"/>
  <c r="S927" i="1"/>
  <c r="AM927" i="1"/>
  <c r="Q927" i="1"/>
  <c r="P927" i="1"/>
  <c r="O927" i="1"/>
  <c r="M927" i="1"/>
  <c r="L927" i="1"/>
  <c r="J927" i="1"/>
  <c r="N927" i="1"/>
  <c r="I927" i="1"/>
  <c r="G927" i="1" a="1"/>
  <c r="G927" i="1" s="1"/>
  <c r="E927" i="1"/>
  <c r="D927" i="1"/>
  <c r="AO928" i="1"/>
  <c r="AN928" i="1"/>
  <c r="Z928" i="1"/>
  <c r="Y928" i="1"/>
  <c r="W928" i="1"/>
  <c r="V928" i="1"/>
  <c r="T928" i="1"/>
  <c r="S928" i="1"/>
  <c r="Q928" i="1"/>
  <c r="P928" i="1"/>
  <c r="O928" i="1"/>
  <c r="M928" i="1"/>
  <c r="L928" i="1"/>
  <c r="J928" i="1"/>
  <c r="AM928" i="1"/>
  <c r="I928" i="1"/>
  <c r="G928" i="1" a="1"/>
  <c r="G928" i="1" s="1"/>
  <c r="E928" i="1"/>
  <c r="D928" i="1"/>
  <c r="AO929" i="1"/>
  <c r="AN929" i="1"/>
  <c r="Y929" i="1"/>
  <c r="Z929" i="1"/>
  <c r="W929" i="1"/>
  <c r="V929" i="1"/>
  <c r="T929" i="1"/>
  <c r="S929" i="1"/>
  <c r="Q929" i="1"/>
  <c r="P929" i="1"/>
  <c r="O929" i="1"/>
  <c r="M929" i="1"/>
  <c r="L929" i="1"/>
  <c r="J929" i="1"/>
  <c r="I929" i="1"/>
  <c r="G929" i="1" a="1"/>
  <c r="G929" i="1" s="1"/>
  <c r="AM929" i="1"/>
  <c r="E929" i="1"/>
  <c r="D929" i="1"/>
  <c r="AO930" i="1"/>
  <c r="AN930" i="1"/>
  <c r="AM930" i="1"/>
  <c r="Z930" i="1"/>
  <c r="Y930" i="1"/>
  <c r="W930" i="1"/>
  <c r="V930" i="1"/>
  <c r="T930" i="1"/>
  <c r="S930" i="1"/>
  <c r="Q930" i="1"/>
  <c r="P930" i="1"/>
  <c r="O930" i="1"/>
  <c r="M930" i="1"/>
  <c r="L930" i="1"/>
  <c r="J930" i="1"/>
  <c r="I930" i="1"/>
  <c r="G930" i="1" a="1"/>
  <c r="G930" i="1" s="1"/>
  <c r="E930" i="1"/>
  <c r="D930" i="1"/>
  <c r="AO931" i="1"/>
  <c r="AN931" i="1"/>
  <c r="Y931" i="1"/>
  <c r="Z931" i="1"/>
  <c r="W931" i="1"/>
  <c r="V931" i="1"/>
  <c r="T931" i="1"/>
  <c r="S931" i="1"/>
  <c r="AM931" i="1"/>
  <c r="Q931" i="1"/>
  <c r="P931" i="1"/>
  <c r="O931" i="1"/>
  <c r="M931" i="1"/>
  <c r="L931" i="1"/>
  <c r="J931" i="1"/>
  <c r="I931" i="1"/>
  <c r="G931" i="1" a="1"/>
  <c r="G931" i="1" s="1"/>
  <c r="E931" i="1"/>
  <c r="D931" i="1"/>
  <c r="AO932" i="1"/>
  <c r="AN932" i="1"/>
  <c r="Z932" i="1"/>
  <c r="Y932" i="1"/>
  <c r="W932" i="1"/>
  <c r="V932" i="1"/>
  <c r="T932" i="1"/>
  <c r="S932" i="1"/>
  <c r="Q932" i="1"/>
  <c r="P932" i="1"/>
  <c r="O932" i="1"/>
  <c r="M932" i="1"/>
  <c r="L932" i="1"/>
  <c r="J932" i="1"/>
  <c r="AM932" i="1"/>
  <c r="I932" i="1"/>
  <c r="G932" i="1" a="1"/>
  <c r="G932" i="1" s="1"/>
  <c r="E932" i="1"/>
  <c r="D932" i="1"/>
  <c r="AO933" i="1"/>
  <c r="AN933" i="1"/>
  <c r="Y933" i="1"/>
  <c r="Z933" i="1"/>
  <c r="W933" i="1"/>
  <c r="V933" i="1"/>
  <c r="T933" i="1"/>
  <c r="S933" i="1"/>
  <c r="Q933" i="1"/>
  <c r="P933" i="1"/>
  <c r="O933" i="1"/>
  <c r="M933" i="1"/>
  <c r="L933" i="1"/>
  <c r="J933" i="1"/>
  <c r="I933" i="1"/>
  <c r="G933" i="1" a="1"/>
  <c r="G933" i="1" s="1"/>
  <c r="AM933" i="1"/>
  <c r="E933" i="1"/>
  <c r="D933" i="1"/>
  <c r="AO934" i="1"/>
  <c r="AN934" i="1"/>
  <c r="Z934" i="1"/>
  <c r="Y934" i="1"/>
  <c r="W934" i="1"/>
  <c r="V934" i="1"/>
  <c r="T934" i="1"/>
  <c r="S934" i="1"/>
  <c r="Q934" i="1"/>
  <c r="P934" i="1"/>
  <c r="O934" i="1"/>
  <c r="M934" i="1"/>
  <c r="L934" i="1"/>
  <c r="J934" i="1"/>
  <c r="AM934" i="1"/>
  <c r="I934" i="1"/>
  <c r="G934" i="1" a="1"/>
  <c r="G934" i="1" s="1"/>
  <c r="E934" i="1"/>
  <c r="D934" i="1"/>
  <c r="AO935" i="1"/>
  <c r="AN935" i="1"/>
  <c r="AM935" i="1"/>
  <c r="Y935" i="1"/>
  <c r="Z935" i="1"/>
  <c r="W935" i="1"/>
  <c r="V935" i="1"/>
  <c r="T935" i="1"/>
  <c r="S935" i="1"/>
  <c r="Q935" i="1"/>
  <c r="P935" i="1"/>
  <c r="O935" i="1"/>
  <c r="M935" i="1"/>
  <c r="L935" i="1"/>
  <c r="J935" i="1"/>
  <c r="I935" i="1"/>
  <c r="G935" i="1" a="1"/>
  <c r="G935" i="1" s="1"/>
  <c r="E935" i="1"/>
  <c r="D935" i="1"/>
  <c r="AO936" i="1"/>
  <c r="AN936" i="1"/>
  <c r="Y936" i="1"/>
  <c r="Z936" i="1"/>
  <c r="W936" i="1"/>
  <c r="V936" i="1"/>
  <c r="T936" i="1"/>
  <c r="S936" i="1"/>
  <c r="AM936" i="1"/>
  <c r="Q936" i="1"/>
  <c r="P936" i="1"/>
  <c r="O936" i="1"/>
  <c r="M936" i="1"/>
  <c r="L936" i="1"/>
  <c r="J936" i="1"/>
  <c r="I936" i="1"/>
  <c r="G936" i="1" a="1"/>
  <c r="G936" i="1" s="1"/>
  <c r="E936" i="1"/>
  <c r="D936" i="1"/>
  <c r="AO937" i="1"/>
  <c r="AN937" i="1"/>
  <c r="Z937" i="1"/>
  <c r="Y937" i="1"/>
  <c r="W937" i="1"/>
  <c r="V937" i="1"/>
  <c r="T937" i="1"/>
  <c r="S937" i="1"/>
  <c r="Q937" i="1"/>
  <c r="P937" i="1"/>
  <c r="O937" i="1"/>
  <c r="M937" i="1"/>
  <c r="L937" i="1"/>
  <c r="J937" i="1"/>
  <c r="I937" i="1"/>
  <c r="G937" i="1" a="1"/>
  <c r="G937" i="1" s="1"/>
  <c r="AM937" i="1"/>
  <c r="E937" i="1"/>
  <c r="D937" i="1"/>
  <c r="AO938" i="1"/>
  <c r="AN938" i="1"/>
  <c r="Z938" i="1"/>
  <c r="Y938" i="1"/>
  <c r="W938" i="1"/>
  <c r="V938" i="1"/>
  <c r="T938" i="1"/>
  <c r="S938" i="1"/>
  <c r="Q938" i="1"/>
  <c r="P938" i="1"/>
  <c r="O938" i="1"/>
  <c r="M938" i="1"/>
  <c r="L938" i="1"/>
  <c r="J938" i="1"/>
  <c r="AM938" i="1"/>
  <c r="I938" i="1"/>
  <c r="G938" i="1" a="1"/>
  <c r="G938" i="1" s="1"/>
  <c r="E938" i="1"/>
  <c r="D938" i="1"/>
  <c r="AO939" i="1"/>
  <c r="AN939" i="1"/>
  <c r="AM939" i="1"/>
  <c r="Y939" i="1"/>
  <c r="Z939" i="1"/>
  <c r="W939" i="1"/>
  <c r="V939" i="1"/>
  <c r="T939" i="1"/>
  <c r="S939" i="1"/>
  <c r="Q939" i="1"/>
  <c r="P939" i="1"/>
  <c r="O939" i="1"/>
  <c r="M939" i="1"/>
  <c r="L939" i="1"/>
  <c r="J939" i="1"/>
  <c r="I939" i="1"/>
  <c r="G939" i="1" a="1"/>
  <c r="G939" i="1" s="1"/>
  <c r="E939" i="1"/>
  <c r="D939" i="1"/>
  <c r="AO940" i="1"/>
  <c r="AN940" i="1"/>
  <c r="Z940" i="1"/>
  <c r="Y940" i="1"/>
  <c r="W940" i="1"/>
  <c r="V940" i="1"/>
  <c r="T940" i="1"/>
  <c r="S940" i="1"/>
  <c r="AM940" i="1"/>
  <c r="Q940" i="1"/>
  <c r="P940" i="1"/>
  <c r="O940" i="1"/>
  <c r="M940" i="1"/>
  <c r="L940" i="1"/>
  <c r="J940" i="1"/>
  <c r="I940" i="1"/>
  <c r="G940" i="1" a="1"/>
  <c r="G940" i="1" s="1"/>
  <c r="E940" i="1"/>
  <c r="D940" i="1"/>
  <c r="AO941" i="1"/>
  <c r="AN941" i="1"/>
  <c r="Y941" i="1"/>
  <c r="Z941" i="1"/>
  <c r="W941" i="1"/>
  <c r="V941" i="1"/>
  <c r="T941" i="1"/>
  <c r="S941" i="1"/>
  <c r="Q941" i="1"/>
  <c r="P941" i="1"/>
  <c r="O941" i="1"/>
  <c r="M941" i="1"/>
  <c r="L941" i="1"/>
  <c r="J941" i="1"/>
  <c r="I941" i="1"/>
  <c r="G941" i="1" a="1"/>
  <c r="G941" i="1" s="1"/>
  <c r="AM941" i="1"/>
  <c r="E941" i="1"/>
  <c r="D941" i="1"/>
  <c r="AO942" i="1"/>
  <c r="AN942" i="1"/>
  <c r="Z942" i="1"/>
  <c r="Y942" i="1"/>
  <c r="W942" i="1"/>
  <c r="V942" i="1"/>
  <c r="T942" i="1"/>
  <c r="S942" i="1"/>
  <c r="Q942" i="1"/>
  <c r="P942" i="1"/>
  <c r="O942" i="1"/>
  <c r="M942" i="1"/>
  <c r="L942" i="1"/>
  <c r="J942" i="1"/>
  <c r="AM942" i="1"/>
  <c r="I942" i="1"/>
  <c r="G942" i="1" a="1"/>
  <c r="G942" i="1" s="1"/>
  <c r="E942" i="1"/>
  <c r="D942" i="1"/>
  <c r="AO943" i="1"/>
  <c r="AN943" i="1"/>
  <c r="AM943" i="1"/>
  <c r="Y943" i="1"/>
  <c r="Z943" i="1"/>
  <c r="W943" i="1"/>
  <c r="V943" i="1"/>
  <c r="T943" i="1"/>
  <c r="S943" i="1"/>
  <c r="Q943" i="1"/>
  <c r="P943" i="1"/>
  <c r="O943" i="1"/>
  <c r="M943" i="1"/>
  <c r="L943" i="1"/>
  <c r="J943" i="1"/>
  <c r="I943" i="1"/>
  <c r="G943" i="1" a="1"/>
  <c r="G943" i="1" s="1"/>
  <c r="E943" i="1"/>
  <c r="D943" i="1"/>
  <c r="AO944" i="1"/>
  <c r="AN944" i="1"/>
  <c r="Z944" i="1"/>
  <c r="Y944" i="1"/>
  <c r="W944" i="1"/>
  <c r="V944" i="1"/>
  <c r="T944" i="1"/>
  <c r="S944" i="1"/>
  <c r="AM944" i="1"/>
  <c r="Q944" i="1"/>
  <c r="P944" i="1"/>
  <c r="O944" i="1"/>
  <c r="M944" i="1"/>
  <c r="L944" i="1"/>
  <c r="J944" i="1"/>
  <c r="I944" i="1"/>
  <c r="G944" i="1" a="1"/>
  <c r="G944" i="1" s="1"/>
  <c r="E944" i="1"/>
  <c r="D944" i="1"/>
  <c r="AO945" i="1"/>
  <c r="AN945" i="1"/>
  <c r="AM945" i="1"/>
  <c r="Y945" i="1"/>
  <c r="Z945" i="1"/>
  <c r="W945" i="1"/>
  <c r="V945" i="1"/>
  <c r="T945" i="1"/>
  <c r="S945" i="1"/>
  <c r="Q945" i="1"/>
  <c r="P945" i="1"/>
  <c r="O945" i="1"/>
  <c r="M945" i="1"/>
  <c r="L945" i="1"/>
  <c r="J945" i="1"/>
  <c r="I945" i="1"/>
  <c r="G945" i="1" a="1"/>
  <c r="G945" i="1" s="1"/>
  <c r="E945" i="1"/>
  <c r="D945" i="1"/>
  <c r="AO946" i="1"/>
  <c r="AN946" i="1"/>
  <c r="AM946" i="1"/>
  <c r="Z946" i="1"/>
  <c r="Y946" i="1"/>
  <c r="W946" i="1"/>
  <c r="V946" i="1"/>
  <c r="T946" i="1"/>
  <c r="S946" i="1"/>
  <c r="Q946" i="1"/>
  <c r="P946" i="1"/>
  <c r="O946" i="1"/>
  <c r="M946" i="1"/>
  <c r="L946" i="1"/>
  <c r="J946" i="1"/>
  <c r="I946" i="1"/>
  <c r="G946" i="1" a="1"/>
  <c r="G946" i="1" s="1"/>
  <c r="E946" i="1"/>
  <c r="D946" i="1"/>
  <c r="AO947" i="1"/>
  <c r="AN947" i="1"/>
  <c r="AM947" i="1"/>
  <c r="Y947" i="1"/>
  <c r="Z947" i="1"/>
  <c r="W947" i="1"/>
  <c r="V947" i="1"/>
  <c r="T947" i="1"/>
  <c r="S947" i="1"/>
  <c r="Q947" i="1"/>
  <c r="P947" i="1"/>
  <c r="O947" i="1"/>
  <c r="M947" i="1"/>
  <c r="L947" i="1"/>
  <c r="J947" i="1"/>
  <c r="I947" i="1"/>
  <c r="G947" i="1" a="1"/>
  <c r="G947" i="1" s="1"/>
  <c r="E947" i="1"/>
  <c r="D947" i="1"/>
  <c r="AO948" i="1"/>
  <c r="AN948" i="1"/>
  <c r="AM948" i="1"/>
  <c r="Z948" i="1"/>
  <c r="Y948" i="1"/>
  <c r="W948" i="1"/>
  <c r="V948" i="1"/>
  <c r="T948" i="1"/>
  <c r="S948" i="1"/>
  <c r="Q948" i="1"/>
  <c r="P948" i="1"/>
  <c r="O948" i="1"/>
  <c r="M948" i="1"/>
  <c r="L948" i="1"/>
  <c r="J948" i="1"/>
  <c r="I948" i="1"/>
  <c r="G948" i="1" a="1"/>
  <c r="G948" i="1" s="1"/>
  <c r="E948" i="1"/>
  <c r="D948" i="1"/>
  <c r="AO949" i="1"/>
  <c r="AN949" i="1"/>
  <c r="AM949" i="1"/>
  <c r="Y949" i="1"/>
  <c r="Z949" i="1"/>
  <c r="W949" i="1"/>
  <c r="V949" i="1"/>
  <c r="T949" i="1"/>
  <c r="S949" i="1"/>
  <c r="Q949" i="1"/>
  <c r="P949" i="1"/>
  <c r="O949" i="1"/>
  <c r="M949" i="1"/>
  <c r="L949" i="1"/>
  <c r="J949" i="1"/>
  <c r="I949" i="1"/>
  <c r="G949" i="1" a="1"/>
  <c r="G949" i="1" s="1"/>
  <c r="E949" i="1"/>
  <c r="D949" i="1"/>
  <c r="AO950" i="1"/>
  <c r="AN950" i="1"/>
  <c r="AM950" i="1"/>
  <c r="Z950" i="1"/>
  <c r="Y950" i="1"/>
  <c r="W950" i="1"/>
  <c r="V950" i="1"/>
  <c r="T950" i="1"/>
  <c r="S950" i="1"/>
  <c r="Q950" i="1"/>
  <c r="P950" i="1"/>
  <c r="O950" i="1"/>
  <c r="M950" i="1"/>
  <c r="L950" i="1"/>
  <c r="J950" i="1"/>
  <c r="I950" i="1"/>
  <c r="G950" i="1" a="1"/>
  <c r="G950" i="1" s="1"/>
  <c r="E950" i="1"/>
  <c r="D950" i="1"/>
  <c r="AO951" i="1"/>
  <c r="AN951" i="1"/>
  <c r="AM951" i="1"/>
  <c r="Y951" i="1"/>
  <c r="Z951" i="1"/>
  <c r="W951" i="1"/>
  <c r="V951" i="1"/>
  <c r="T951" i="1"/>
  <c r="S951" i="1"/>
  <c r="Q951" i="1"/>
  <c r="P951" i="1"/>
  <c r="O951" i="1"/>
  <c r="M951" i="1"/>
  <c r="L951" i="1"/>
  <c r="J951" i="1"/>
  <c r="I951" i="1"/>
  <c r="G951" i="1" a="1"/>
  <c r="G951" i="1" s="1"/>
  <c r="E951" i="1"/>
  <c r="D951" i="1"/>
  <c r="AO952" i="1"/>
  <c r="AN952" i="1"/>
  <c r="AM952" i="1"/>
  <c r="Z952" i="1"/>
  <c r="Y952" i="1"/>
  <c r="W952" i="1"/>
  <c r="V952" i="1"/>
  <c r="T952" i="1"/>
  <c r="S952" i="1"/>
  <c r="Q952" i="1"/>
  <c r="P952" i="1"/>
  <c r="O952" i="1"/>
  <c r="M952" i="1"/>
  <c r="L952" i="1"/>
  <c r="J952" i="1"/>
  <c r="I952" i="1"/>
  <c r="G952" i="1" a="1"/>
  <c r="G952" i="1" s="1"/>
  <c r="E952" i="1"/>
  <c r="D952" i="1"/>
  <c r="AO953" i="1"/>
  <c r="AN953" i="1"/>
  <c r="AM953" i="1"/>
  <c r="Y953" i="1"/>
  <c r="Z953" i="1"/>
  <c r="W953" i="1"/>
  <c r="V953" i="1"/>
  <c r="T953" i="1"/>
  <c r="S953" i="1"/>
  <c r="Q953" i="1"/>
  <c r="P953" i="1"/>
  <c r="O953" i="1"/>
  <c r="M953" i="1"/>
  <c r="L953" i="1"/>
  <c r="J953" i="1"/>
  <c r="I953" i="1"/>
  <c r="G953" i="1" a="1"/>
  <c r="G953" i="1" s="1"/>
  <c r="E953" i="1"/>
  <c r="D953" i="1"/>
  <c r="AO954" i="1"/>
  <c r="AN954" i="1"/>
  <c r="AM954" i="1"/>
  <c r="Z954" i="1"/>
  <c r="Y954" i="1"/>
  <c r="W954" i="1"/>
  <c r="V954" i="1"/>
  <c r="T954" i="1"/>
  <c r="S954" i="1"/>
  <c r="Q954" i="1"/>
  <c r="P954" i="1"/>
  <c r="O954" i="1"/>
  <c r="M954" i="1"/>
  <c r="L954" i="1"/>
  <c r="J954" i="1"/>
  <c r="I954" i="1"/>
  <c r="G954" i="1" a="1"/>
  <c r="G954" i="1" s="1"/>
  <c r="E954" i="1"/>
  <c r="D954" i="1"/>
  <c r="AO955" i="1"/>
  <c r="AN955" i="1"/>
  <c r="AM955" i="1"/>
  <c r="Y955" i="1"/>
  <c r="Z955" i="1"/>
  <c r="W955" i="1"/>
  <c r="V955" i="1"/>
  <c r="T955" i="1"/>
  <c r="S955" i="1"/>
  <c r="Q955" i="1"/>
  <c r="P955" i="1"/>
  <c r="O955" i="1"/>
  <c r="M955" i="1"/>
  <c r="L955" i="1"/>
  <c r="J955" i="1"/>
  <c r="I955" i="1"/>
  <c r="G955" i="1" a="1"/>
  <c r="G955" i="1" s="1"/>
  <c r="E955" i="1"/>
  <c r="D955" i="1"/>
  <c r="AO956" i="1"/>
  <c r="AN956" i="1"/>
  <c r="AM956" i="1"/>
  <c r="Y956" i="1"/>
  <c r="Z956" i="1"/>
  <c r="W956" i="1"/>
  <c r="V956" i="1"/>
  <c r="T956" i="1"/>
  <c r="S956" i="1"/>
  <c r="Q956" i="1"/>
  <c r="P956" i="1"/>
  <c r="O956" i="1"/>
  <c r="M956" i="1"/>
  <c r="L956" i="1"/>
  <c r="J956" i="1"/>
  <c r="I956" i="1"/>
  <c r="G956" i="1" a="1"/>
  <c r="G956" i="1" s="1"/>
  <c r="E956" i="1"/>
  <c r="D956" i="1"/>
  <c r="AO957" i="1"/>
  <c r="AN957" i="1"/>
  <c r="AM957" i="1"/>
  <c r="Z957" i="1"/>
  <c r="Y957" i="1"/>
  <c r="W957" i="1"/>
  <c r="V957" i="1"/>
  <c r="T957" i="1"/>
  <c r="S957" i="1"/>
  <c r="Q957" i="1"/>
  <c r="P957" i="1"/>
  <c r="O957" i="1"/>
  <c r="M957" i="1"/>
  <c r="L957" i="1"/>
  <c r="J957" i="1"/>
  <c r="I957" i="1"/>
  <c r="G957" i="1" a="1"/>
  <c r="G957" i="1" s="1"/>
  <c r="E957" i="1"/>
  <c r="D957" i="1"/>
  <c r="AO958" i="1"/>
  <c r="AN958" i="1"/>
  <c r="AM958" i="1"/>
  <c r="Y958" i="1"/>
  <c r="W958" i="1"/>
  <c r="Z958" i="1"/>
  <c r="V958" i="1"/>
  <c r="T958" i="1"/>
  <c r="S958" i="1"/>
  <c r="Q958" i="1"/>
  <c r="P958" i="1"/>
  <c r="O958" i="1"/>
  <c r="M958" i="1"/>
  <c r="L958" i="1"/>
  <c r="J958" i="1"/>
  <c r="I958" i="1"/>
  <c r="G958" i="1" a="1"/>
  <c r="G958" i="1" s="1"/>
  <c r="E958" i="1"/>
  <c r="D958" i="1"/>
  <c r="AO959" i="1"/>
  <c r="AN959" i="1"/>
  <c r="AM959" i="1"/>
  <c r="Z959" i="1"/>
  <c r="Y959" i="1"/>
  <c r="W959" i="1"/>
  <c r="V959" i="1"/>
  <c r="T959" i="1"/>
  <c r="S959" i="1"/>
  <c r="Q959" i="1"/>
  <c r="P959" i="1"/>
  <c r="O959" i="1"/>
  <c r="M959" i="1"/>
  <c r="L959" i="1"/>
  <c r="J959" i="1"/>
  <c r="I959" i="1"/>
  <c r="G959" i="1" a="1"/>
  <c r="G959" i="1" s="1"/>
  <c r="E959" i="1"/>
  <c r="D959" i="1"/>
  <c r="AO960" i="1"/>
  <c r="AN960" i="1"/>
  <c r="AM960" i="1"/>
  <c r="Y960" i="1"/>
  <c r="W960" i="1"/>
  <c r="Z960" i="1"/>
  <c r="V960" i="1"/>
  <c r="T960" i="1"/>
  <c r="S960" i="1"/>
  <c r="Q960" i="1"/>
  <c r="P960" i="1"/>
  <c r="O960" i="1"/>
  <c r="M960" i="1"/>
  <c r="L960" i="1"/>
  <c r="J960" i="1"/>
  <c r="I960" i="1"/>
  <c r="G960" i="1" a="1"/>
  <c r="G960" i="1" s="1"/>
  <c r="E960" i="1"/>
  <c r="D960" i="1"/>
  <c r="AO961" i="1"/>
  <c r="AN961" i="1"/>
  <c r="AM961" i="1"/>
  <c r="Z961" i="1"/>
  <c r="Y961" i="1"/>
  <c r="W961" i="1"/>
  <c r="V961" i="1"/>
  <c r="T961" i="1"/>
  <c r="S961" i="1"/>
  <c r="Q961" i="1"/>
  <c r="P961" i="1"/>
  <c r="O961" i="1"/>
  <c r="M961" i="1"/>
  <c r="L961" i="1"/>
  <c r="J961" i="1"/>
  <c r="I961" i="1"/>
  <c r="G961" i="1" a="1"/>
  <c r="G961" i="1" s="1"/>
  <c r="E961" i="1"/>
  <c r="D961" i="1"/>
  <c r="AO962" i="1"/>
  <c r="AN962" i="1"/>
  <c r="AM962" i="1"/>
  <c r="Y962" i="1"/>
  <c r="W962" i="1"/>
  <c r="Z962" i="1"/>
  <c r="V962" i="1"/>
  <c r="T962" i="1"/>
  <c r="S962" i="1"/>
  <c r="Q962" i="1"/>
  <c r="P962" i="1"/>
  <c r="O962" i="1"/>
  <c r="M962" i="1"/>
  <c r="L962" i="1"/>
  <c r="J962" i="1"/>
  <c r="I962" i="1"/>
  <c r="G962" i="1" a="1"/>
  <c r="G962" i="1" s="1"/>
  <c r="E962" i="1"/>
  <c r="D962" i="1"/>
  <c r="AO963" i="1"/>
  <c r="AN963" i="1"/>
  <c r="AM963" i="1"/>
  <c r="Z963" i="1"/>
  <c r="Y963" i="1"/>
  <c r="W963" i="1"/>
  <c r="V963" i="1"/>
  <c r="T963" i="1"/>
  <c r="S963" i="1"/>
  <c r="Q963" i="1"/>
  <c r="P963" i="1"/>
  <c r="O963" i="1"/>
  <c r="M963" i="1"/>
  <c r="L963" i="1"/>
  <c r="J963" i="1"/>
  <c r="I963" i="1"/>
  <c r="G963" i="1" a="1"/>
  <c r="G963" i="1" s="1"/>
  <c r="E963" i="1"/>
  <c r="D963" i="1"/>
  <c r="AO964" i="1"/>
  <c r="AN964" i="1"/>
  <c r="AM964" i="1"/>
  <c r="Z964" i="1"/>
  <c r="Y964" i="1"/>
  <c r="W964" i="1"/>
  <c r="V964" i="1"/>
  <c r="T964" i="1"/>
  <c r="S964" i="1"/>
  <c r="Q964" i="1"/>
  <c r="P964" i="1"/>
  <c r="O964" i="1"/>
  <c r="M964" i="1"/>
  <c r="L964" i="1"/>
  <c r="J964" i="1"/>
  <c r="I964" i="1"/>
  <c r="G964" i="1" a="1"/>
  <c r="G964" i="1" s="1"/>
  <c r="E964" i="1"/>
  <c r="D964" i="1"/>
  <c r="AO965" i="1"/>
  <c r="AN965" i="1"/>
  <c r="AM965" i="1"/>
  <c r="Y965" i="1"/>
  <c r="W965" i="1"/>
  <c r="Z965" i="1"/>
  <c r="V965" i="1"/>
  <c r="T965" i="1"/>
  <c r="S965" i="1"/>
  <c r="P965" i="1"/>
  <c r="O965" i="1"/>
  <c r="Q965" i="1"/>
  <c r="M965" i="1"/>
  <c r="L965" i="1"/>
  <c r="J965" i="1"/>
  <c r="I965" i="1"/>
  <c r="G965" i="1" a="1"/>
  <c r="G965" i="1" s="1"/>
  <c r="E965" i="1"/>
  <c r="D965" i="1"/>
  <c r="AO966" i="1"/>
  <c r="AN966" i="1"/>
  <c r="AM966" i="1"/>
  <c r="Z966" i="1"/>
  <c r="Y966" i="1"/>
  <c r="W966" i="1"/>
  <c r="V966" i="1"/>
  <c r="T966" i="1"/>
  <c r="S966" i="1"/>
  <c r="P966" i="1"/>
  <c r="O966" i="1"/>
  <c r="M966" i="1"/>
  <c r="L966" i="1"/>
  <c r="J966" i="1"/>
  <c r="Q966" i="1"/>
  <c r="I966" i="1"/>
  <c r="G966" i="1" a="1"/>
  <c r="G966" i="1" s="1"/>
  <c r="E966" i="1"/>
  <c r="D966" i="1"/>
  <c r="AO967" i="1"/>
  <c r="AN967" i="1"/>
  <c r="AM967" i="1"/>
  <c r="Y967" i="1"/>
  <c r="W967" i="1"/>
  <c r="Z967" i="1"/>
  <c r="V967" i="1"/>
  <c r="T967" i="1"/>
  <c r="S967" i="1"/>
  <c r="Q967" i="1"/>
  <c r="P967" i="1"/>
  <c r="O967" i="1"/>
  <c r="M967" i="1"/>
  <c r="L967" i="1"/>
  <c r="J967" i="1"/>
  <c r="I967" i="1"/>
  <c r="G967" i="1" a="1"/>
  <c r="G967" i="1" s="1"/>
  <c r="E967" i="1"/>
  <c r="D967" i="1"/>
  <c r="AO968" i="1"/>
  <c r="AN968" i="1"/>
  <c r="AM968" i="1"/>
  <c r="Z968" i="1"/>
  <c r="Y968" i="1"/>
  <c r="W968" i="1"/>
  <c r="V968" i="1"/>
  <c r="T968" i="1"/>
  <c r="S968" i="1"/>
  <c r="P968" i="1"/>
  <c r="O968" i="1"/>
  <c r="Q968" i="1"/>
  <c r="M968" i="1"/>
  <c r="L968" i="1"/>
  <c r="J968" i="1"/>
  <c r="I968" i="1"/>
  <c r="G968" i="1" a="1"/>
  <c r="G968" i="1" s="1"/>
  <c r="E968" i="1"/>
  <c r="D968" i="1"/>
  <c r="AO969" i="1"/>
  <c r="AN969" i="1"/>
  <c r="AM969" i="1"/>
  <c r="Y969" i="1"/>
  <c r="W969" i="1"/>
  <c r="Z969" i="1"/>
  <c r="V969" i="1"/>
  <c r="T969" i="1"/>
  <c r="S969" i="1"/>
  <c r="Q969" i="1"/>
  <c r="P969" i="1"/>
  <c r="O969" i="1"/>
  <c r="M969" i="1"/>
  <c r="L969" i="1"/>
  <c r="J969" i="1"/>
  <c r="I969" i="1"/>
  <c r="G969" i="1" a="1"/>
  <c r="G969" i="1" s="1"/>
  <c r="E969" i="1"/>
  <c r="D969" i="1"/>
  <c r="AO970" i="1"/>
  <c r="AN970" i="1"/>
  <c r="AM970" i="1"/>
  <c r="Y970" i="1"/>
  <c r="W970" i="1"/>
  <c r="Z970" i="1"/>
  <c r="V970" i="1"/>
  <c r="T970" i="1"/>
  <c r="S970" i="1"/>
  <c r="P970" i="1"/>
  <c r="O970" i="1"/>
  <c r="M970" i="1"/>
  <c r="L970" i="1"/>
  <c r="J970" i="1"/>
  <c r="Q970" i="1"/>
  <c r="I970" i="1"/>
  <c r="G970" i="1" a="1"/>
  <c r="G970" i="1" s="1"/>
  <c r="E970" i="1"/>
  <c r="D970" i="1"/>
  <c r="AO971" i="1"/>
  <c r="AN971" i="1"/>
  <c r="AM971" i="1"/>
  <c r="Y971" i="1"/>
  <c r="W971" i="1"/>
  <c r="Z971" i="1"/>
  <c r="V971" i="1"/>
  <c r="T971" i="1"/>
  <c r="S971" i="1"/>
  <c r="Q971" i="1"/>
  <c r="P971" i="1"/>
  <c r="O971" i="1"/>
  <c r="M971" i="1"/>
  <c r="L971" i="1"/>
  <c r="J971" i="1"/>
  <c r="I971" i="1"/>
  <c r="G971" i="1" a="1"/>
  <c r="G971" i="1" s="1"/>
  <c r="E971" i="1"/>
  <c r="D971" i="1"/>
  <c r="AO972" i="1"/>
  <c r="AN972" i="1"/>
  <c r="AM972" i="1"/>
  <c r="Y972" i="1"/>
  <c r="W972" i="1"/>
  <c r="Z972" i="1"/>
  <c r="V972" i="1"/>
  <c r="T972" i="1"/>
  <c r="S972" i="1"/>
  <c r="P972" i="1"/>
  <c r="O972" i="1"/>
  <c r="M972" i="1"/>
  <c r="L972" i="1"/>
  <c r="J972" i="1"/>
  <c r="Q972" i="1"/>
  <c r="I972" i="1"/>
  <c r="G972" i="1" a="1"/>
  <c r="G972" i="1" s="1"/>
  <c r="E972" i="1"/>
  <c r="D972" i="1"/>
  <c r="AO973" i="1"/>
  <c r="AN973" i="1"/>
  <c r="AM973" i="1"/>
  <c r="Y973" i="1"/>
  <c r="W973" i="1"/>
  <c r="Z973" i="1"/>
  <c r="V973" i="1"/>
  <c r="T973" i="1"/>
  <c r="S973" i="1"/>
  <c r="P973" i="1"/>
  <c r="O973" i="1"/>
  <c r="Q973" i="1"/>
  <c r="M973" i="1"/>
  <c r="L973" i="1"/>
  <c r="J973" i="1"/>
  <c r="I973" i="1"/>
  <c r="G973" i="1" a="1"/>
  <c r="G973" i="1" s="1"/>
  <c r="E973" i="1"/>
  <c r="D973" i="1"/>
  <c r="AO974" i="1"/>
  <c r="AN974" i="1"/>
  <c r="AM974" i="1"/>
  <c r="Y974" i="1"/>
  <c r="W974" i="1"/>
  <c r="Z974" i="1"/>
  <c r="V974" i="1"/>
  <c r="T974" i="1"/>
  <c r="S974" i="1"/>
  <c r="Q974" i="1"/>
  <c r="P974" i="1"/>
  <c r="O974" i="1"/>
  <c r="M974" i="1"/>
  <c r="L974" i="1"/>
  <c r="J974" i="1"/>
  <c r="I974" i="1"/>
  <c r="G974" i="1" a="1"/>
  <c r="G974" i="1" s="1"/>
  <c r="E974" i="1"/>
  <c r="D974" i="1"/>
  <c r="AO975" i="1"/>
  <c r="AN975" i="1"/>
  <c r="AM975" i="1"/>
  <c r="Y975" i="1"/>
  <c r="W975" i="1"/>
  <c r="Z975" i="1"/>
  <c r="V975" i="1"/>
  <c r="T975" i="1"/>
  <c r="S975" i="1"/>
  <c r="P975" i="1"/>
  <c r="O975" i="1"/>
  <c r="L975" i="1"/>
  <c r="J975" i="1"/>
  <c r="Q975" i="1"/>
  <c r="M975" i="1"/>
  <c r="I975" i="1"/>
  <c r="G975" i="1" a="1"/>
  <c r="G975" i="1" s="1"/>
  <c r="E975" i="1"/>
  <c r="D975" i="1"/>
  <c r="AO976" i="1"/>
  <c r="AN976" i="1"/>
  <c r="AM976" i="1"/>
  <c r="Y976" i="1"/>
  <c r="W976" i="1"/>
  <c r="Z976" i="1"/>
  <c r="V976" i="1"/>
  <c r="T976" i="1"/>
  <c r="S976" i="1"/>
  <c r="P976" i="1"/>
  <c r="O976" i="1"/>
  <c r="Q976" i="1"/>
  <c r="M976" i="1"/>
  <c r="L976" i="1"/>
  <c r="J976" i="1"/>
  <c r="I976" i="1"/>
  <c r="G976" i="1" a="1"/>
  <c r="G976" i="1" s="1"/>
  <c r="E976" i="1"/>
  <c r="D976" i="1"/>
  <c r="AO977" i="1"/>
  <c r="AN977" i="1"/>
  <c r="AM977" i="1"/>
  <c r="Y977" i="1"/>
  <c r="W977" i="1"/>
  <c r="Z977" i="1"/>
  <c r="V977" i="1"/>
  <c r="T977" i="1"/>
  <c r="S977" i="1"/>
  <c r="P977" i="1"/>
  <c r="O977" i="1"/>
  <c r="M977" i="1"/>
  <c r="L977" i="1"/>
  <c r="J977" i="1"/>
  <c r="Q977" i="1"/>
  <c r="I977" i="1"/>
  <c r="G977" i="1" a="1"/>
  <c r="G977" i="1" s="1"/>
  <c r="E977" i="1"/>
  <c r="D977" i="1"/>
  <c r="AO978" i="1"/>
  <c r="AN978" i="1"/>
  <c r="AM978" i="1"/>
  <c r="Y978" i="1"/>
  <c r="W978" i="1"/>
  <c r="Z978" i="1"/>
  <c r="V978" i="1"/>
  <c r="T978" i="1"/>
  <c r="S978" i="1"/>
  <c r="Q978" i="1"/>
  <c r="P978" i="1"/>
  <c r="O978" i="1"/>
  <c r="L978" i="1"/>
  <c r="J978" i="1"/>
  <c r="M978" i="1"/>
  <c r="I978" i="1"/>
  <c r="G978" i="1" a="1"/>
  <c r="G978" i="1" s="1"/>
  <c r="E978" i="1"/>
  <c r="D978" i="1"/>
  <c r="AO979" i="1"/>
  <c r="AN979" i="1"/>
  <c r="AM979" i="1"/>
  <c r="Z979" i="1"/>
  <c r="Y979" i="1"/>
  <c r="W979" i="1"/>
  <c r="V979" i="1"/>
  <c r="T979" i="1"/>
  <c r="S979" i="1"/>
  <c r="P979" i="1"/>
  <c r="O979" i="1"/>
  <c r="Q979" i="1"/>
  <c r="M979" i="1"/>
  <c r="L979" i="1"/>
  <c r="J979" i="1"/>
  <c r="I979" i="1"/>
  <c r="G979" i="1" a="1"/>
  <c r="G979" i="1" s="1"/>
  <c r="E979" i="1"/>
  <c r="D979" i="1"/>
  <c r="AO980" i="1"/>
  <c r="AN980" i="1"/>
  <c r="AM980" i="1"/>
  <c r="Y980" i="1"/>
  <c r="W980" i="1"/>
  <c r="Z980" i="1"/>
  <c r="V980" i="1"/>
  <c r="T980" i="1"/>
  <c r="S980" i="1"/>
  <c r="Q980" i="1"/>
  <c r="P980" i="1"/>
  <c r="O980" i="1"/>
  <c r="L980" i="1"/>
  <c r="J980" i="1"/>
  <c r="M980" i="1"/>
  <c r="I980" i="1"/>
  <c r="G980" i="1" a="1"/>
  <c r="G980" i="1" s="1"/>
  <c r="E980" i="1"/>
  <c r="D980" i="1"/>
  <c r="AO981" i="1"/>
  <c r="AN981" i="1"/>
  <c r="AM981" i="1"/>
  <c r="Z981" i="1"/>
  <c r="Y981" i="1"/>
  <c r="W981" i="1"/>
  <c r="V981" i="1"/>
  <c r="T981" i="1"/>
  <c r="S981" i="1"/>
  <c r="P981" i="1"/>
  <c r="O981" i="1"/>
  <c r="Q981" i="1"/>
  <c r="M981" i="1"/>
  <c r="L981" i="1"/>
  <c r="J981" i="1"/>
  <c r="I981" i="1"/>
  <c r="G981" i="1" a="1"/>
  <c r="G981" i="1" s="1"/>
  <c r="E981" i="1"/>
  <c r="D981" i="1"/>
  <c r="AO982" i="1"/>
  <c r="AN982" i="1"/>
  <c r="AM982" i="1"/>
  <c r="Y982" i="1"/>
  <c r="W982" i="1"/>
  <c r="Z982" i="1"/>
  <c r="V982" i="1"/>
  <c r="T982" i="1"/>
  <c r="S982" i="1"/>
  <c r="P982" i="1"/>
  <c r="O982" i="1"/>
  <c r="L982" i="1"/>
  <c r="J982" i="1"/>
  <c r="Q982" i="1"/>
  <c r="M982" i="1"/>
  <c r="I982" i="1"/>
  <c r="G982" i="1" a="1"/>
  <c r="G982" i="1" s="1"/>
  <c r="E982" i="1"/>
  <c r="D982" i="1"/>
  <c r="AO983" i="1"/>
  <c r="AN983" i="1"/>
  <c r="AM983" i="1"/>
  <c r="Y983" i="1"/>
  <c r="W983" i="1"/>
  <c r="Z983" i="1"/>
  <c r="V983" i="1"/>
  <c r="T983" i="1"/>
  <c r="S983" i="1"/>
  <c r="Q983" i="1"/>
  <c r="P983" i="1"/>
  <c r="O983" i="1"/>
  <c r="M983" i="1"/>
  <c r="L983" i="1"/>
  <c r="J983" i="1"/>
  <c r="I983" i="1"/>
  <c r="G983" i="1" a="1"/>
  <c r="G983" i="1" s="1"/>
  <c r="E983" i="1"/>
  <c r="D983" i="1"/>
  <c r="AO984" i="1"/>
  <c r="AN984" i="1"/>
  <c r="AM984" i="1"/>
  <c r="Z984" i="1"/>
  <c r="Y984" i="1"/>
  <c r="W984" i="1"/>
  <c r="V984" i="1"/>
  <c r="T984" i="1"/>
  <c r="S984" i="1"/>
  <c r="P984" i="1"/>
  <c r="O984" i="1"/>
  <c r="Q984" i="1"/>
  <c r="L984" i="1"/>
  <c r="J984" i="1"/>
  <c r="M984" i="1"/>
  <c r="I984" i="1"/>
  <c r="G984" i="1" a="1"/>
  <c r="G984" i="1" s="1"/>
  <c r="E984" i="1"/>
  <c r="D984" i="1"/>
  <c r="AO985" i="1"/>
  <c r="AN985" i="1"/>
  <c r="AM985" i="1"/>
  <c r="Y985" i="1"/>
  <c r="W985" i="1"/>
  <c r="Z985" i="1"/>
  <c r="V985" i="1"/>
  <c r="T985" i="1"/>
  <c r="S985" i="1"/>
  <c r="P985" i="1"/>
  <c r="O985" i="1"/>
  <c r="M985" i="1"/>
  <c r="L985" i="1"/>
  <c r="J985" i="1"/>
  <c r="Q985" i="1"/>
  <c r="I985" i="1"/>
  <c r="G985" i="1" a="1"/>
  <c r="G985" i="1" s="1"/>
  <c r="E985" i="1"/>
  <c r="D985" i="1"/>
  <c r="AO986" i="1"/>
  <c r="AN986" i="1"/>
  <c r="AM986" i="1"/>
  <c r="Z986" i="1"/>
  <c r="Y986" i="1"/>
  <c r="W986" i="1"/>
  <c r="V986" i="1"/>
  <c r="T986" i="1"/>
  <c r="S986" i="1"/>
  <c r="Q986" i="1"/>
  <c r="P986" i="1"/>
  <c r="O986" i="1"/>
  <c r="L986" i="1"/>
  <c r="J986" i="1"/>
  <c r="M986" i="1"/>
  <c r="I986" i="1"/>
  <c r="G986" i="1" a="1"/>
  <c r="G986" i="1" s="1"/>
  <c r="E986" i="1"/>
  <c r="D986" i="1"/>
  <c r="AO987" i="1"/>
  <c r="AN987" i="1"/>
  <c r="AM987" i="1"/>
  <c r="Z987" i="1"/>
  <c r="Y987" i="1"/>
  <c r="W987" i="1"/>
  <c r="V987" i="1"/>
  <c r="T987" i="1"/>
  <c r="S987" i="1"/>
  <c r="P987" i="1"/>
  <c r="O987" i="1"/>
  <c r="Q987" i="1"/>
  <c r="M987" i="1"/>
  <c r="L987" i="1"/>
  <c r="J987" i="1"/>
  <c r="I987" i="1"/>
  <c r="G987" i="1" a="1"/>
  <c r="G987" i="1" s="1"/>
  <c r="E987" i="1"/>
  <c r="D987" i="1"/>
  <c r="AO988" i="1"/>
  <c r="AN988" i="1"/>
  <c r="AM988" i="1"/>
  <c r="Y988" i="1"/>
  <c r="W988" i="1"/>
  <c r="Z988" i="1"/>
  <c r="V988" i="1"/>
  <c r="T988" i="1"/>
  <c r="S988" i="1"/>
  <c r="P988" i="1"/>
  <c r="O988" i="1"/>
  <c r="L988" i="1"/>
  <c r="J988" i="1"/>
  <c r="Q988" i="1"/>
  <c r="M988" i="1"/>
  <c r="I988" i="1"/>
  <c r="G988" i="1" a="1"/>
  <c r="G988" i="1" s="1"/>
  <c r="E988" i="1"/>
  <c r="D988" i="1"/>
  <c r="AO989" i="1"/>
  <c r="AN989" i="1"/>
  <c r="AM989" i="1"/>
  <c r="Z989" i="1"/>
  <c r="Y989" i="1"/>
  <c r="W989" i="1"/>
  <c r="V989" i="1"/>
  <c r="T989" i="1"/>
  <c r="S989" i="1"/>
  <c r="Q989" i="1"/>
  <c r="P989" i="1"/>
  <c r="O989" i="1"/>
  <c r="M989" i="1"/>
  <c r="L989" i="1"/>
  <c r="J989" i="1"/>
  <c r="I989" i="1"/>
  <c r="G989" i="1" a="1"/>
  <c r="G989" i="1" s="1"/>
  <c r="E989" i="1"/>
  <c r="D989" i="1"/>
  <c r="AO990" i="1"/>
  <c r="AN990" i="1"/>
  <c r="AM990" i="1"/>
  <c r="Y990" i="1"/>
  <c r="W990" i="1"/>
  <c r="Z990" i="1"/>
  <c r="V990" i="1"/>
  <c r="T990" i="1"/>
  <c r="S990" i="1"/>
  <c r="P990" i="1"/>
  <c r="O990" i="1"/>
  <c r="Q990" i="1"/>
  <c r="L990" i="1"/>
  <c r="J990" i="1"/>
  <c r="M990" i="1"/>
  <c r="I990" i="1"/>
  <c r="G990" i="1" a="1"/>
  <c r="G990" i="1" s="1"/>
  <c r="E990" i="1"/>
  <c r="D990" i="1"/>
  <c r="AO991" i="1"/>
  <c r="AN991" i="1"/>
  <c r="AM991" i="1"/>
  <c r="Z991" i="1"/>
  <c r="Y991" i="1"/>
  <c r="W991" i="1"/>
  <c r="V991" i="1"/>
  <c r="T991" i="1"/>
  <c r="S991" i="1"/>
  <c r="P991" i="1"/>
  <c r="O991" i="1"/>
  <c r="M991" i="1"/>
  <c r="L991" i="1"/>
  <c r="J991" i="1"/>
  <c r="Q991" i="1"/>
  <c r="I991" i="1"/>
  <c r="G991" i="1" a="1"/>
  <c r="G991" i="1" s="1"/>
  <c r="E991" i="1"/>
  <c r="D991" i="1"/>
  <c r="AO992" i="1"/>
  <c r="AN992" i="1"/>
  <c r="AM992" i="1"/>
  <c r="Y992" i="1"/>
  <c r="W992" i="1"/>
  <c r="Z992" i="1"/>
  <c r="V992" i="1"/>
  <c r="T992" i="1"/>
  <c r="S992" i="1"/>
  <c r="Q992" i="1"/>
  <c r="P992" i="1"/>
  <c r="O992" i="1"/>
  <c r="L992" i="1"/>
  <c r="J992" i="1"/>
  <c r="M992" i="1"/>
  <c r="I992" i="1"/>
  <c r="G992" i="1" a="1"/>
  <c r="G992" i="1" s="1"/>
  <c r="E992" i="1"/>
  <c r="D992" i="1"/>
  <c r="AO993" i="1"/>
  <c r="AN993" i="1"/>
  <c r="AM993" i="1"/>
  <c r="Z993" i="1"/>
  <c r="Y993" i="1"/>
  <c r="W993" i="1"/>
  <c r="V993" i="1"/>
  <c r="T993" i="1"/>
  <c r="S993" i="1"/>
  <c r="P993" i="1"/>
  <c r="O993" i="1"/>
  <c r="Q993" i="1"/>
  <c r="M993" i="1"/>
  <c r="L993" i="1"/>
  <c r="J993" i="1"/>
  <c r="I993" i="1"/>
  <c r="G993" i="1" a="1"/>
  <c r="G993" i="1" s="1"/>
  <c r="E993" i="1"/>
  <c r="D993" i="1"/>
  <c r="AO994" i="1"/>
  <c r="AN994" i="1"/>
  <c r="AM994" i="1"/>
  <c r="Y994" i="1"/>
  <c r="W994" i="1"/>
  <c r="Z994" i="1"/>
  <c r="V994" i="1"/>
  <c r="T994" i="1"/>
  <c r="S994" i="1"/>
  <c r="P994" i="1"/>
  <c r="O994" i="1"/>
  <c r="L994" i="1"/>
  <c r="J994" i="1"/>
  <c r="Q994" i="1"/>
  <c r="M994" i="1"/>
  <c r="I994" i="1"/>
  <c r="G994" i="1" a="1"/>
  <c r="G994" i="1" s="1"/>
  <c r="E994" i="1"/>
  <c r="D994" i="1"/>
  <c r="AO995" i="1"/>
  <c r="AN995" i="1"/>
  <c r="AM995" i="1"/>
  <c r="Z995" i="1"/>
  <c r="Y995" i="1"/>
  <c r="W995" i="1"/>
  <c r="V995" i="1"/>
  <c r="T995" i="1"/>
  <c r="S995" i="1"/>
  <c r="Q995" i="1"/>
  <c r="P995" i="1"/>
  <c r="O995" i="1"/>
  <c r="M995" i="1"/>
  <c r="L995" i="1"/>
  <c r="J995" i="1"/>
  <c r="I995" i="1"/>
  <c r="G995" i="1" a="1"/>
  <c r="G995" i="1" s="1"/>
  <c r="E995" i="1"/>
  <c r="D995" i="1"/>
  <c r="AO996" i="1"/>
  <c r="AN996" i="1"/>
  <c r="AM996" i="1"/>
  <c r="Y996" i="1"/>
  <c r="W996" i="1"/>
  <c r="Z996" i="1"/>
  <c r="V996" i="1"/>
  <c r="T996" i="1"/>
  <c r="S996" i="1"/>
  <c r="P996" i="1"/>
  <c r="O996" i="1"/>
  <c r="Q996" i="1"/>
  <c r="L996" i="1"/>
  <c r="J996" i="1"/>
  <c r="M996" i="1"/>
  <c r="I996" i="1"/>
  <c r="G996" i="1" a="1"/>
  <c r="G996" i="1" s="1"/>
  <c r="E996" i="1"/>
  <c r="D996" i="1"/>
  <c r="AO997" i="1"/>
  <c r="AN997" i="1"/>
  <c r="AM997" i="1"/>
  <c r="Z997" i="1"/>
  <c r="Y997" i="1"/>
  <c r="W997" i="1"/>
  <c r="V997" i="1"/>
  <c r="T997" i="1"/>
  <c r="S997" i="1"/>
  <c r="P997" i="1"/>
  <c r="O997" i="1"/>
  <c r="M997" i="1"/>
  <c r="L997" i="1"/>
  <c r="J997" i="1"/>
  <c r="Q997" i="1"/>
  <c r="I997" i="1"/>
  <c r="G997" i="1" a="1"/>
  <c r="G997" i="1" s="1"/>
  <c r="E997" i="1"/>
  <c r="D997" i="1"/>
  <c r="AO998" i="1"/>
  <c r="AN998" i="1"/>
  <c r="AM998" i="1"/>
  <c r="Y998" i="1"/>
  <c r="W998" i="1"/>
  <c r="Z998" i="1"/>
  <c r="V998" i="1"/>
  <c r="T998" i="1"/>
  <c r="S998" i="1"/>
  <c r="Q998" i="1"/>
  <c r="P998" i="1"/>
  <c r="O998" i="1"/>
  <c r="L998" i="1"/>
  <c r="J998" i="1"/>
  <c r="M998" i="1"/>
  <c r="I998" i="1"/>
  <c r="G998" i="1" a="1"/>
  <c r="G998" i="1" s="1"/>
  <c r="E998" i="1"/>
  <c r="D998" i="1"/>
  <c r="AO999" i="1"/>
  <c r="AN999" i="1"/>
  <c r="AM999" i="1"/>
  <c r="Z999" i="1"/>
  <c r="Y999" i="1"/>
  <c r="W999" i="1"/>
  <c r="V999" i="1"/>
  <c r="T999" i="1"/>
  <c r="S999" i="1"/>
  <c r="P999" i="1"/>
  <c r="O999" i="1"/>
  <c r="Q999" i="1"/>
  <c r="M999" i="1"/>
  <c r="L999" i="1"/>
  <c r="J999" i="1"/>
  <c r="I999" i="1"/>
  <c r="G999" i="1" a="1"/>
  <c r="G999" i="1" s="1"/>
  <c r="E999" i="1"/>
  <c r="D999" i="1"/>
  <c r="AO1000" i="1"/>
  <c r="AN1000" i="1"/>
  <c r="AM1000" i="1"/>
  <c r="Y1000" i="1"/>
  <c r="W1000" i="1"/>
  <c r="Z1000" i="1"/>
  <c r="V1000" i="1"/>
  <c r="T1000" i="1"/>
  <c r="S1000" i="1"/>
  <c r="Q1000" i="1"/>
  <c r="P1000" i="1"/>
  <c r="O1000" i="1"/>
  <c r="L1000" i="1"/>
  <c r="J1000" i="1"/>
  <c r="M1000" i="1"/>
  <c r="I1000" i="1"/>
  <c r="G1000" i="1" a="1"/>
  <c r="G1000" i="1" s="1"/>
  <c r="E1000" i="1"/>
  <c r="D1000" i="1"/>
  <c r="AO1001" i="1"/>
  <c r="AN1001" i="1"/>
  <c r="AM1001" i="1"/>
  <c r="Z1001" i="1"/>
  <c r="Y1001" i="1"/>
  <c r="W1001" i="1"/>
  <c r="V1001" i="1"/>
  <c r="T1001" i="1"/>
  <c r="S1001" i="1"/>
  <c r="P1001" i="1"/>
  <c r="O1001" i="1"/>
  <c r="M1001" i="1"/>
  <c r="L1001" i="1"/>
  <c r="J1001" i="1"/>
  <c r="Q1001" i="1"/>
  <c r="I1001" i="1"/>
  <c r="G1001" i="1" a="1"/>
  <c r="G1001" i="1" s="1"/>
  <c r="E1001" i="1"/>
  <c r="D1001" i="1"/>
  <c r="AO1002" i="1"/>
  <c r="AN1002" i="1"/>
  <c r="AM1002" i="1"/>
  <c r="Y1002" i="1"/>
  <c r="W1002" i="1"/>
  <c r="Z1002" i="1"/>
  <c r="V1002" i="1"/>
  <c r="T1002" i="1"/>
  <c r="S1002" i="1"/>
  <c r="P1002" i="1"/>
  <c r="O1002" i="1"/>
  <c r="Q1002" i="1"/>
  <c r="L1002" i="1"/>
  <c r="J1002" i="1"/>
  <c r="M1002" i="1"/>
  <c r="I1002" i="1"/>
  <c r="G1002" i="1" a="1"/>
  <c r="G1002" i="1" s="1"/>
  <c r="E1002" i="1"/>
  <c r="D1002" i="1"/>
  <c r="AO1003" i="1"/>
  <c r="AN1003" i="1"/>
  <c r="AM1003" i="1"/>
  <c r="Z1003" i="1"/>
  <c r="Y1003" i="1"/>
  <c r="W1003" i="1"/>
  <c r="V1003" i="1"/>
  <c r="T1003" i="1"/>
  <c r="S1003" i="1"/>
  <c r="Q1003" i="1"/>
  <c r="P1003" i="1"/>
  <c r="O1003" i="1"/>
  <c r="M1003" i="1"/>
  <c r="L1003" i="1"/>
  <c r="J1003" i="1"/>
  <c r="I1003" i="1"/>
  <c r="G1003" i="1" a="1"/>
  <c r="G1003" i="1" s="1"/>
  <c r="E1003" i="1"/>
  <c r="D1003" i="1"/>
  <c r="AO1004" i="1"/>
  <c r="AN1004" i="1"/>
  <c r="AM1004" i="1"/>
  <c r="Y1004" i="1"/>
  <c r="W1004" i="1"/>
  <c r="Z1004" i="1"/>
  <c r="V1004" i="1"/>
  <c r="T1004" i="1"/>
  <c r="S1004" i="1"/>
  <c r="P1004" i="1"/>
  <c r="O1004" i="1"/>
  <c r="L1004" i="1"/>
  <c r="J1004" i="1"/>
  <c r="Q1004" i="1"/>
  <c r="M1004" i="1"/>
  <c r="I1004" i="1"/>
  <c r="G1004" i="1" a="1"/>
  <c r="G1004" i="1" s="1"/>
  <c r="E1004" i="1"/>
  <c r="D1004" i="1"/>
  <c r="AO1005" i="1"/>
  <c r="AN1005" i="1"/>
  <c r="AM1005" i="1"/>
  <c r="Z1005" i="1"/>
  <c r="Y1005" i="1"/>
  <c r="W1005" i="1"/>
  <c r="V1005" i="1"/>
  <c r="T1005" i="1"/>
  <c r="S1005" i="1"/>
  <c r="P1005" i="1"/>
  <c r="O1005" i="1"/>
  <c r="M1005" i="1"/>
  <c r="L1005" i="1"/>
  <c r="J1005" i="1"/>
  <c r="Q1005" i="1"/>
  <c r="I1005" i="1"/>
  <c r="G1005" i="1" a="1"/>
  <c r="G1005" i="1" s="1"/>
  <c r="E1005" i="1"/>
  <c r="D1005" i="1"/>
  <c r="U819" i="1"/>
  <c r="X819" i="1"/>
  <c r="AB819" i="1" s="1"/>
  <c r="R819" i="1"/>
  <c r="K819" i="1"/>
  <c r="F819" i="1"/>
  <c r="H819" i="1" s="1"/>
  <c r="U820" i="1"/>
  <c r="X820" i="1"/>
  <c r="AB820" i="1" s="1"/>
  <c r="R820" i="1"/>
  <c r="K820" i="1"/>
  <c r="F820" i="1"/>
  <c r="H820" i="1" s="1"/>
  <c r="X821" i="1"/>
  <c r="AB821" i="1" s="1"/>
  <c r="U821" i="1"/>
  <c r="R821" i="1"/>
  <c r="K821" i="1"/>
  <c r="F821" i="1"/>
  <c r="H821" i="1" s="1"/>
  <c r="F822" i="1"/>
  <c r="H822" i="1" s="1"/>
  <c r="X822" i="1"/>
  <c r="AB822" i="1" s="1"/>
  <c r="U822" i="1"/>
  <c r="R822" i="1"/>
  <c r="K822" i="1"/>
  <c r="X823" i="1"/>
  <c r="AB823" i="1" s="1"/>
  <c r="K823" i="1"/>
  <c r="U823" i="1"/>
  <c r="R823" i="1"/>
  <c r="F823" i="1"/>
  <c r="H823" i="1" s="1"/>
  <c r="K824" i="1"/>
  <c r="X824" i="1"/>
  <c r="AB824" i="1" s="1"/>
  <c r="U824" i="1"/>
  <c r="R824" i="1"/>
  <c r="F824" i="1"/>
  <c r="H824" i="1" s="1"/>
  <c r="X825" i="1"/>
  <c r="AB825" i="1" s="1"/>
  <c r="K825" i="1"/>
  <c r="U825" i="1"/>
  <c r="F825" i="1"/>
  <c r="H825" i="1" s="1"/>
  <c r="R825" i="1"/>
  <c r="U826" i="1"/>
  <c r="K826" i="1"/>
  <c r="X826" i="1"/>
  <c r="AB826" i="1" s="1"/>
  <c r="R826" i="1"/>
  <c r="F826" i="1"/>
  <c r="H826" i="1" s="1"/>
  <c r="U827" i="1"/>
  <c r="F827" i="1"/>
  <c r="H827" i="1" s="1"/>
  <c r="R827" i="1"/>
  <c r="X827" i="1"/>
  <c r="AB827" i="1" s="1"/>
  <c r="K827" i="1"/>
  <c r="U828" i="1"/>
  <c r="K828" i="1"/>
  <c r="R828" i="1"/>
  <c r="F828" i="1"/>
  <c r="H828" i="1" s="1"/>
  <c r="X828" i="1"/>
  <c r="AB828" i="1" s="1"/>
  <c r="F829" i="1"/>
  <c r="H829" i="1" s="1"/>
  <c r="R829" i="1"/>
  <c r="K829" i="1"/>
  <c r="U829" i="1"/>
  <c r="X829" i="1"/>
  <c r="AB829" i="1" s="1"/>
  <c r="K830" i="1"/>
  <c r="F830" i="1"/>
  <c r="H830" i="1" s="1"/>
  <c r="X830" i="1"/>
  <c r="AB830" i="1" s="1"/>
  <c r="R830" i="1"/>
  <c r="U830" i="1"/>
  <c r="R831" i="1"/>
  <c r="X831" i="1"/>
  <c r="AB831" i="1" s="1"/>
  <c r="U831" i="1"/>
  <c r="F831" i="1"/>
  <c r="H831" i="1" s="1"/>
  <c r="K831" i="1"/>
  <c r="R832" i="1"/>
  <c r="F832" i="1"/>
  <c r="H832" i="1" s="1"/>
  <c r="X832" i="1"/>
  <c r="AB832" i="1" s="1"/>
  <c r="U832" i="1"/>
  <c r="K832" i="1"/>
  <c r="F833" i="1"/>
  <c r="H833" i="1" s="1"/>
  <c r="K833" i="1"/>
  <c r="X833" i="1"/>
  <c r="AB833" i="1" s="1"/>
  <c r="R833" i="1"/>
  <c r="U833" i="1"/>
  <c r="X834" i="1"/>
  <c r="AB834" i="1" s="1"/>
  <c r="K834" i="1"/>
  <c r="U834" i="1"/>
  <c r="R834" i="1"/>
  <c r="F834" i="1"/>
  <c r="H834" i="1" s="1"/>
  <c r="U835" i="1"/>
  <c r="K835" i="1"/>
  <c r="X835" i="1"/>
  <c r="AB835" i="1" s="1"/>
  <c r="R835" i="1"/>
  <c r="F835" i="1"/>
  <c r="H835" i="1" s="1"/>
  <c r="U836" i="1"/>
  <c r="K836" i="1"/>
  <c r="F836" i="1"/>
  <c r="H836" i="1" s="1"/>
  <c r="R836" i="1"/>
  <c r="X836" i="1"/>
  <c r="AB836" i="1" s="1"/>
  <c r="X837" i="1"/>
  <c r="AB837" i="1" s="1"/>
  <c r="F837" i="1"/>
  <c r="H837" i="1" s="1"/>
  <c r="K837" i="1"/>
  <c r="U837" i="1"/>
  <c r="R837" i="1"/>
  <c r="K838" i="1"/>
  <c r="F838" i="1"/>
  <c r="H838" i="1" s="1"/>
  <c r="U838" i="1"/>
  <c r="X838" i="1"/>
  <c r="AB838" i="1" s="1"/>
  <c r="R838" i="1"/>
  <c r="F839" i="1"/>
  <c r="H839" i="1" s="1"/>
  <c r="U839" i="1"/>
  <c r="K839" i="1"/>
  <c r="X839" i="1"/>
  <c r="AB839" i="1" s="1"/>
  <c r="R839" i="1"/>
  <c r="K840" i="1"/>
  <c r="F840" i="1"/>
  <c r="H840" i="1" s="1"/>
  <c r="X840" i="1"/>
  <c r="AB840" i="1" s="1"/>
  <c r="U840" i="1"/>
  <c r="R840" i="1"/>
  <c r="R841" i="1"/>
  <c r="X841" i="1"/>
  <c r="AB841" i="1" s="1"/>
  <c r="K841" i="1"/>
  <c r="F841" i="1"/>
  <c r="H841" i="1" s="1"/>
  <c r="U841" i="1"/>
  <c r="R842" i="1"/>
  <c r="F842" i="1"/>
  <c r="H842" i="1" s="1"/>
  <c r="X842" i="1"/>
  <c r="AB842" i="1" s="1"/>
  <c r="K842" i="1"/>
  <c r="U842" i="1"/>
  <c r="R843" i="1"/>
  <c r="X843" i="1"/>
  <c r="K843" i="1"/>
  <c r="U843" i="1"/>
  <c r="F843" i="1"/>
  <c r="H843" i="1" s="1"/>
  <c r="R844" i="1"/>
  <c r="X844" i="1"/>
  <c r="AB844" i="1" s="1"/>
  <c r="K844" i="1"/>
  <c r="U844" i="1"/>
  <c r="F844" i="1"/>
  <c r="H844" i="1" s="1"/>
  <c r="X845" i="1"/>
  <c r="AB845" i="1" s="1"/>
  <c r="K845" i="1"/>
  <c r="F845" i="1"/>
  <c r="H845" i="1" s="1"/>
  <c r="R845" i="1"/>
  <c r="U845" i="1"/>
  <c r="K846" i="1"/>
  <c r="R846" i="1"/>
  <c r="F846" i="1"/>
  <c r="H846" i="1" s="1"/>
  <c r="X846" i="1"/>
  <c r="AB846" i="1" s="1"/>
  <c r="U846" i="1"/>
  <c r="U847" i="1"/>
  <c r="X847" i="1"/>
  <c r="AB847" i="1" s="1"/>
  <c r="K847" i="1"/>
  <c r="F847" i="1"/>
  <c r="H847" i="1" s="1"/>
  <c r="R847" i="1"/>
  <c r="K848" i="1"/>
  <c r="R848" i="1"/>
  <c r="X848" i="1"/>
  <c r="AB848" i="1" s="1"/>
  <c r="U848" i="1"/>
  <c r="F848" i="1"/>
  <c r="H848" i="1" s="1"/>
  <c r="F849" i="1"/>
  <c r="H849" i="1" s="1"/>
  <c r="U849" i="1"/>
  <c r="K849" i="1"/>
  <c r="R849" i="1"/>
  <c r="X849" i="1"/>
  <c r="AB849" i="1" s="1"/>
  <c r="AA850" i="1"/>
  <c r="K850" i="1"/>
  <c r="U850" i="1"/>
  <c r="R850" i="1"/>
  <c r="F850" i="1"/>
  <c r="H850" i="1" s="1"/>
  <c r="X850" i="1"/>
  <c r="K851" i="1"/>
  <c r="F851" i="1"/>
  <c r="H851" i="1" s="1"/>
  <c r="U851" i="1"/>
  <c r="R851" i="1"/>
  <c r="X851" i="1"/>
  <c r="AB851" i="1" s="1"/>
  <c r="AE851" i="1" s="1"/>
  <c r="AA851" i="1"/>
  <c r="AC851" i="1" s="1"/>
  <c r="K852" i="1"/>
  <c r="F852" i="1"/>
  <c r="H852" i="1" s="1"/>
  <c r="R852" i="1"/>
  <c r="U852" i="1"/>
  <c r="X852" i="1"/>
  <c r="AB852" i="1" s="1"/>
  <c r="AE852" i="1" s="1"/>
  <c r="AA852" i="1"/>
  <c r="AC852" i="1" s="1"/>
  <c r="X853" i="1"/>
  <c r="AB853" i="1" s="1"/>
  <c r="AE853" i="1" s="1"/>
  <c r="F853" i="1"/>
  <c r="H853" i="1" s="1"/>
  <c r="U853" i="1"/>
  <c r="AA853" i="1"/>
  <c r="AC853" i="1" s="1"/>
  <c r="AD853" i="1" s="1"/>
  <c r="R853" i="1"/>
  <c r="K853" i="1"/>
  <c r="X854" i="1"/>
  <c r="AB854" i="1" s="1"/>
  <c r="AE854" i="1" s="1"/>
  <c r="R854" i="1"/>
  <c r="U854" i="1"/>
  <c r="F854" i="1"/>
  <c r="H854" i="1" s="1"/>
  <c r="AA854" i="1"/>
  <c r="AC854" i="1" s="1"/>
  <c r="AD854" i="1" s="1"/>
  <c r="K854" i="1"/>
  <c r="U855" i="1"/>
  <c r="R855" i="1"/>
  <c r="AA855" i="1"/>
  <c r="AC855" i="1" s="1"/>
  <c r="F855" i="1"/>
  <c r="H855" i="1" s="1"/>
  <c r="K855" i="1"/>
  <c r="X855" i="1"/>
  <c r="AB855" i="1" s="1"/>
  <c r="AE855" i="1" s="1"/>
  <c r="AA856" i="1"/>
  <c r="AC856" i="1" s="1"/>
  <c r="R856" i="1"/>
  <c r="X856" i="1"/>
  <c r="AB856" i="1" s="1"/>
  <c r="AE856" i="1" s="1"/>
  <c r="K856" i="1"/>
  <c r="F856" i="1"/>
  <c r="H856" i="1" s="1"/>
  <c r="U856" i="1"/>
  <c r="X857" i="1"/>
  <c r="AB857" i="1" s="1"/>
  <c r="AE857" i="1" s="1"/>
  <c r="K857" i="1"/>
  <c r="F857" i="1"/>
  <c r="H857" i="1" s="1"/>
  <c r="R857" i="1"/>
  <c r="AA857" i="1"/>
  <c r="AC857" i="1" s="1"/>
  <c r="AD857" i="1" s="1"/>
  <c r="U857" i="1"/>
  <c r="X858" i="1"/>
  <c r="AB858" i="1" s="1"/>
  <c r="AE858" i="1" s="1"/>
  <c r="AA858" i="1"/>
  <c r="AC858" i="1" s="1"/>
  <c r="F858" i="1"/>
  <c r="H858" i="1" s="1"/>
  <c r="R858" i="1"/>
  <c r="U858" i="1"/>
  <c r="K858" i="1"/>
  <c r="U859" i="1"/>
  <c r="K859" i="1"/>
  <c r="AA859" i="1"/>
  <c r="AC859" i="1" s="1"/>
  <c r="F859" i="1"/>
  <c r="H859" i="1" s="1"/>
  <c r="X859" i="1"/>
  <c r="AB859" i="1" s="1"/>
  <c r="AE859" i="1" s="1"/>
  <c r="R859" i="1"/>
  <c r="K860" i="1"/>
  <c r="X860" i="1"/>
  <c r="AB860" i="1" s="1"/>
  <c r="AE860" i="1" s="1"/>
  <c r="AA860" i="1"/>
  <c r="AC860" i="1" s="1"/>
  <c r="F860" i="1"/>
  <c r="H860" i="1" s="1"/>
  <c r="R860" i="1"/>
  <c r="U860" i="1"/>
  <c r="R861" i="1"/>
  <c r="F861" i="1"/>
  <c r="H861" i="1" s="1"/>
  <c r="X861" i="1"/>
  <c r="AB861" i="1" s="1"/>
  <c r="AE861" i="1" s="1"/>
  <c r="U861" i="1"/>
  <c r="AA861" i="1"/>
  <c r="AC861" i="1" s="1"/>
  <c r="K861" i="1"/>
  <c r="AA862" i="1"/>
  <c r="AC862" i="1" s="1"/>
  <c r="U862" i="1"/>
  <c r="F862" i="1"/>
  <c r="H862" i="1" s="1"/>
  <c r="K862" i="1"/>
  <c r="X862" i="1"/>
  <c r="AB862" i="1" s="1"/>
  <c r="AE862" i="1" s="1"/>
  <c r="R862" i="1"/>
  <c r="K863" i="1"/>
  <c r="R863" i="1"/>
  <c r="AA863" i="1"/>
  <c r="AC863" i="1" s="1"/>
  <c r="U863" i="1"/>
  <c r="F863" i="1"/>
  <c r="H863" i="1" s="1"/>
  <c r="X863" i="1"/>
  <c r="AB863" i="1" s="1"/>
  <c r="AE863" i="1" s="1"/>
  <c r="K864" i="1"/>
  <c r="AA864" i="1"/>
  <c r="AC864" i="1" s="1"/>
  <c r="U864" i="1"/>
  <c r="F864" i="1"/>
  <c r="H864" i="1" s="1"/>
  <c r="R864" i="1"/>
  <c r="X864" i="1"/>
  <c r="AB864" i="1" s="1"/>
  <c r="AE864" i="1" s="1"/>
  <c r="AA865" i="1"/>
  <c r="AC865" i="1" s="1"/>
  <c r="F865" i="1"/>
  <c r="H865" i="1" s="1"/>
  <c r="R865" i="1"/>
  <c r="X865" i="1"/>
  <c r="AB865" i="1" s="1"/>
  <c r="AE865" i="1" s="1"/>
  <c r="U865" i="1"/>
  <c r="K865" i="1"/>
  <c r="F866" i="1"/>
  <c r="H866" i="1" s="1"/>
  <c r="AA866" i="1"/>
  <c r="AC866" i="1" s="1"/>
  <c r="R866" i="1"/>
  <c r="U866" i="1"/>
  <c r="X866" i="1"/>
  <c r="AB866" i="1" s="1"/>
  <c r="AE866" i="1" s="1"/>
  <c r="K866" i="1"/>
  <c r="X867" i="1"/>
  <c r="AB867" i="1" s="1"/>
  <c r="AE867" i="1" s="1"/>
  <c r="R867" i="1"/>
  <c r="K867" i="1"/>
  <c r="U867" i="1"/>
  <c r="F867" i="1"/>
  <c r="H867" i="1" s="1"/>
  <c r="AA867" i="1"/>
  <c r="AC867" i="1" s="1"/>
  <c r="AD867" i="1" s="1"/>
  <c r="X868" i="1"/>
  <c r="AB868" i="1" s="1"/>
  <c r="AE868" i="1" s="1"/>
  <c r="K868" i="1"/>
  <c r="AA868" i="1"/>
  <c r="AC868" i="1" s="1"/>
  <c r="F868" i="1"/>
  <c r="H868" i="1" s="1"/>
  <c r="U868" i="1"/>
  <c r="R868" i="1"/>
  <c r="K869" i="1"/>
  <c r="AA869" i="1"/>
  <c r="AC869" i="1" s="1"/>
  <c r="U869" i="1"/>
  <c r="F869" i="1"/>
  <c r="H869" i="1" s="1"/>
  <c r="X869" i="1"/>
  <c r="AB869" i="1" s="1"/>
  <c r="AE869" i="1" s="1"/>
  <c r="R869" i="1"/>
  <c r="K870" i="1"/>
  <c r="R870" i="1"/>
  <c r="U870" i="1"/>
  <c r="X870" i="1"/>
  <c r="AB870" i="1" s="1"/>
  <c r="AE870" i="1" s="1"/>
  <c r="F870" i="1"/>
  <c r="H870" i="1" s="1"/>
  <c r="AA870" i="1"/>
  <c r="AC870" i="1" s="1"/>
  <c r="X871" i="1"/>
  <c r="AB871" i="1" s="1"/>
  <c r="AE871" i="1" s="1"/>
  <c r="R871" i="1"/>
  <c r="K871" i="1"/>
  <c r="F871" i="1"/>
  <c r="H871" i="1" s="1"/>
  <c r="AA871" i="1"/>
  <c r="AC871" i="1" s="1"/>
  <c r="AD871" i="1" s="1"/>
  <c r="U871" i="1"/>
  <c r="X872" i="1"/>
  <c r="AB872" i="1" s="1"/>
  <c r="AE872" i="1" s="1"/>
  <c r="R872" i="1"/>
  <c r="AA872" i="1"/>
  <c r="AC872" i="1" s="1"/>
  <c r="K872" i="1"/>
  <c r="U872" i="1"/>
  <c r="F872" i="1"/>
  <c r="H872" i="1" s="1"/>
  <c r="U873" i="1"/>
  <c r="R873" i="1"/>
  <c r="AA873" i="1"/>
  <c r="AC873" i="1" s="1"/>
  <c r="K873" i="1"/>
  <c r="F873" i="1"/>
  <c r="H873" i="1" s="1"/>
  <c r="X873" i="1"/>
  <c r="AB873" i="1" s="1"/>
  <c r="AE873" i="1" s="1"/>
  <c r="R874" i="1"/>
  <c r="U874" i="1"/>
  <c r="F874" i="1"/>
  <c r="H874" i="1" s="1"/>
  <c r="K874" i="1"/>
  <c r="AA874" i="1"/>
  <c r="AC874" i="1" s="1"/>
  <c r="X874" i="1"/>
  <c r="AB874" i="1" s="1"/>
  <c r="AE874" i="1" s="1"/>
  <c r="U875" i="1"/>
  <c r="K875" i="1"/>
  <c r="AA875" i="1"/>
  <c r="AC875" i="1" s="1"/>
  <c r="F875" i="1"/>
  <c r="H875" i="1" s="1"/>
  <c r="X875" i="1"/>
  <c r="AB875" i="1" s="1"/>
  <c r="AE875" i="1" s="1"/>
  <c r="R875" i="1"/>
  <c r="U876" i="1"/>
  <c r="F876" i="1"/>
  <c r="H876" i="1" s="1"/>
  <c r="AA876" i="1"/>
  <c r="AC876" i="1" s="1"/>
  <c r="K876" i="1"/>
  <c r="X876" i="1"/>
  <c r="AB876" i="1" s="1"/>
  <c r="AE876" i="1" s="1"/>
  <c r="R876" i="1"/>
  <c r="U877" i="1"/>
  <c r="AA877" i="1"/>
  <c r="AC877" i="1" s="1"/>
  <c r="F877" i="1"/>
  <c r="H877" i="1" s="1"/>
  <c r="K877" i="1"/>
  <c r="X877" i="1"/>
  <c r="AB877" i="1" s="1"/>
  <c r="AE877" i="1" s="1"/>
  <c r="R877" i="1"/>
  <c r="X878" i="1"/>
  <c r="AB878" i="1" s="1"/>
  <c r="AE878" i="1" s="1"/>
  <c r="U878" i="1"/>
  <c r="F878" i="1"/>
  <c r="H878" i="1" s="1"/>
  <c r="AA878" i="1"/>
  <c r="AC878" i="1" s="1"/>
  <c r="K878" i="1"/>
  <c r="R878" i="1"/>
  <c r="X879" i="1"/>
  <c r="AB879" i="1" s="1"/>
  <c r="AE879" i="1" s="1"/>
  <c r="AA879" i="1"/>
  <c r="AC879" i="1" s="1"/>
  <c r="R879" i="1"/>
  <c r="F879" i="1"/>
  <c r="H879" i="1" s="1"/>
  <c r="U879" i="1"/>
  <c r="K879" i="1"/>
  <c r="U880" i="1"/>
  <c r="R880" i="1"/>
  <c r="K880" i="1"/>
  <c r="F880" i="1"/>
  <c r="H880" i="1" s="1"/>
  <c r="AA880" i="1"/>
  <c r="AC880" i="1" s="1"/>
  <c r="X880" i="1"/>
  <c r="AB880" i="1" s="1"/>
  <c r="AE880" i="1" s="1"/>
  <c r="AA881" i="1"/>
  <c r="AC881" i="1" s="1"/>
  <c r="R881" i="1"/>
  <c r="F881" i="1"/>
  <c r="H881" i="1" s="1"/>
  <c r="K881" i="1"/>
  <c r="U881" i="1"/>
  <c r="X881" i="1"/>
  <c r="AB881" i="1" s="1"/>
  <c r="AE881" i="1" s="1"/>
  <c r="AA882" i="1"/>
  <c r="AC882" i="1" s="1"/>
  <c r="R882" i="1"/>
  <c r="F882" i="1"/>
  <c r="H882" i="1" s="1"/>
  <c r="K882" i="1"/>
  <c r="U882" i="1"/>
  <c r="X882" i="1"/>
  <c r="AB882" i="1" s="1"/>
  <c r="AE882" i="1" s="1"/>
  <c r="U883" i="1"/>
  <c r="X883" i="1"/>
  <c r="AB883" i="1" s="1"/>
  <c r="AE883" i="1" s="1"/>
  <c r="R883" i="1"/>
  <c r="F883" i="1"/>
  <c r="H883" i="1" s="1"/>
  <c r="K883" i="1"/>
  <c r="AA883" i="1"/>
  <c r="AC883" i="1" s="1"/>
  <c r="AD883" i="1" s="1"/>
  <c r="U884" i="1"/>
  <c r="R884" i="1"/>
  <c r="F884" i="1"/>
  <c r="H884" i="1" s="1"/>
  <c r="X884" i="1"/>
  <c r="AB884" i="1" s="1"/>
  <c r="AE884" i="1" s="1"/>
  <c r="K884" i="1"/>
  <c r="AA884" i="1"/>
  <c r="AC884" i="1" s="1"/>
  <c r="K885" i="1"/>
  <c r="U885" i="1"/>
  <c r="R885" i="1"/>
  <c r="X885" i="1"/>
  <c r="AB885" i="1" s="1"/>
  <c r="AE885" i="1" s="1"/>
  <c r="F885" i="1"/>
  <c r="H885" i="1" s="1"/>
  <c r="AA885" i="1"/>
  <c r="AC885" i="1" s="1"/>
  <c r="K886" i="1"/>
  <c r="X886" i="1"/>
  <c r="AB886" i="1" s="1"/>
  <c r="AE886" i="1" s="1"/>
  <c r="R886" i="1"/>
  <c r="F886" i="1"/>
  <c r="H886" i="1" s="1"/>
  <c r="U886" i="1"/>
  <c r="AA886" i="1"/>
  <c r="AC886" i="1" s="1"/>
  <c r="K887" i="1"/>
  <c r="AA887" i="1"/>
  <c r="AC887" i="1" s="1"/>
  <c r="R887" i="1"/>
  <c r="X887" i="1"/>
  <c r="AB887" i="1" s="1"/>
  <c r="AE887" i="1" s="1"/>
  <c r="U887" i="1"/>
  <c r="F887" i="1"/>
  <c r="H887" i="1" s="1"/>
  <c r="X888" i="1"/>
  <c r="AB888" i="1" s="1"/>
  <c r="AE888" i="1" s="1"/>
  <c r="F888" i="1"/>
  <c r="H888" i="1" s="1"/>
  <c r="U888" i="1"/>
  <c r="AA888" i="1"/>
  <c r="AC888" i="1" s="1"/>
  <c r="K888" i="1"/>
  <c r="R888" i="1"/>
  <c r="F889" i="1"/>
  <c r="H889" i="1" s="1"/>
  <c r="K889" i="1"/>
  <c r="AA889" i="1"/>
  <c r="AC889" i="1" s="1"/>
  <c r="X889" i="1"/>
  <c r="AB889" i="1" s="1"/>
  <c r="AE889" i="1" s="1"/>
  <c r="U889" i="1"/>
  <c r="R889" i="1"/>
  <c r="F890" i="1"/>
  <c r="H890" i="1" s="1"/>
  <c r="U890" i="1"/>
  <c r="R890" i="1"/>
  <c r="X890" i="1"/>
  <c r="AB890" i="1" s="1"/>
  <c r="AE890" i="1" s="1"/>
  <c r="K890" i="1"/>
  <c r="AA890" i="1"/>
  <c r="AC890" i="1" s="1"/>
  <c r="U891" i="1"/>
  <c r="F891" i="1"/>
  <c r="H891" i="1" s="1"/>
  <c r="R891" i="1"/>
  <c r="AA891" i="1"/>
  <c r="AC891" i="1" s="1"/>
  <c r="K891" i="1"/>
  <c r="X891" i="1"/>
  <c r="AB891" i="1" s="1"/>
  <c r="AE891" i="1" s="1"/>
  <c r="K892" i="1"/>
  <c r="F892" i="1"/>
  <c r="H892" i="1" s="1"/>
  <c r="U892" i="1"/>
  <c r="R892" i="1"/>
  <c r="AA892" i="1"/>
  <c r="AC892" i="1" s="1"/>
  <c r="X892" i="1"/>
  <c r="AB892" i="1" s="1"/>
  <c r="AE892" i="1" s="1"/>
  <c r="F893" i="1"/>
  <c r="H893" i="1" s="1"/>
  <c r="R893" i="1"/>
  <c r="K893" i="1"/>
  <c r="X893" i="1"/>
  <c r="AB893" i="1" s="1"/>
  <c r="AE893" i="1" s="1"/>
  <c r="U893" i="1"/>
  <c r="AA893" i="1"/>
  <c r="AC893" i="1" s="1"/>
  <c r="R894" i="1"/>
  <c r="F894" i="1"/>
  <c r="H894" i="1" s="1"/>
  <c r="X894" i="1"/>
  <c r="AB894" i="1" s="1"/>
  <c r="AE894" i="1" s="1"/>
  <c r="AA894" i="1"/>
  <c r="AC894" i="1" s="1"/>
  <c r="U894" i="1"/>
  <c r="K894" i="1"/>
  <c r="F895" i="1"/>
  <c r="H895" i="1" s="1"/>
  <c r="X895" i="1"/>
  <c r="AB895" i="1" s="1"/>
  <c r="AE895" i="1" s="1"/>
  <c r="K895" i="1"/>
  <c r="U895" i="1"/>
  <c r="R895" i="1"/>
  <c r="AA895" i="1"/>
  <c r="AC895" i="1" s="1"/>
  <c r="AD895" i="1" s="1"/>
  <c r="R896" i="1"/>
  <c r="U896" i="1"/>
  <c r="F896" i="1"/>
  <c r="H896" i="1" s="1"/>
  <c r="AA896" i="1"/>
  <c r="AC896" i="1" s="1"/>
  <c r="K896" i="1"/>
  <c r="X896" i="1"/>
  <c r="AB896" i="1" s="1"/>
  <c r="AE896" i="1" s="1"/>
  <c r="F897" i="1"/>
  <c r="H897" i="1" s="1"/>
  <c r="U897" i="1"/>
  <c r="X897" i="1"/>
  <c r="AB897" i="1" s="1"/>
  <c r="AE897" i="1" s="1"/>
  <c r="K897" i="1"/>
  <c r="AA897" i="1"/>
  <c r="AC897" i="1" s="1"/>
  <c r="R897" i="1"/>
  <c r="F898" i="1"/>
  <c r="H898" i="1" s="1"/>
  <c r="K898" i="1"/>
  <c r="AA898" i="1"/>
  <c r="AC898" i="1" s="1"/>
  <c r="U898" i="1"/>
  <c r="R898" i="1"/>
  <c r="X898" i="1"/>
  <c r="AB898" i="1" s="1"/>
  <c r="AE898" i="1" s="1"/>
  <c r="F899" i="1"/>
  <c r="H899" i="1" s="1"/>
  <c r="K899" i="1"/>
  <c r="AA899" i="1"/>
  <c r="AC899" i="1" s="1"/>
  <c r="R899" i="1"/>
  <c r="U899" i="1"/>
  <c r="X899" i="1"/>
  <c r="AB899" i="1" s="1"/>
  <c r="AE899" i="1" s="1"/>
  <c r="K900" i="1"/>
  <c r="F900" i="1"/>
  <c r="H900" i="1" s="1"/>
  <c r="U900" i="1"/>
  <c r="R900" i="1"/>
  <c r="AA900" i="1"/>
  <c r="AC900" i="1" s="1"/>
  <c r="X900" i="1"/>
  <c r="AB900" i="1" s="1"/>
  <c r="AE900" i="1" s="1"/>
  <c r="K901" i="1"/>
  <c r="X901" i="1"/>
  <c r="AB901" i="1" s="1"/>
  <c r="AE901" i="1" s="1"/>
  <c r="U901" i="1"/>
  <c r="F901" i="1"/>
  <c r="H901" i="1" s="1"/>
  <c r="R901" i="1"/>
  <c r="AA901" i="1"/>
  <c r="AC901" i="1" s="1"/>
  <c r="AD901" i="1" s="1"/>
  <c r="K902" i="1"/>
  <c r="U902" i="1"/>
  <c r="R902" i="1"/>
  <c r="X902" i="1"/>
  <c r="AB902" i="1" s="1"/>
  <c r="AE902" i="1" s="1"/>
  <c r="AA902" i="1"/>
  <c r="AC902" i="1" s="1"/>
  <c r="F902" i="1"/>
  <c r="H902" i="1" s="1"/>
  <c r="F903" i="1"/>
  <c r="H903" i="1" s="1"/>
  <c r="U903" i="1"/>
  <c r="K903" i="1"/>
  <c r="X903" i="1"/>
  <c r="AB903" i="1" s="1"/>
  <c r="AE903" i="1" s="1"/>
  <c r="AA903" i="1"/>
  <c r="AC903" i="1" s="1"/>
  <c r="R903" i="1"/>
  <c r="U904" i="1"/>
  <c r="R904" i="1"/>
  <c r="X904" i="1"/>
  <c r="AB904" i="1" s="1"/>
  <c r="AE904" i="1" s="1"/>
  <c r="K904" i="1"/>
  <c r="F904" i="1"/>
  <c r="H904" i="1" s="1"/>
  <c r="AA904" i="1"/>
  <c r="AC904" i="1" s="1"/>
  <c r="R905" i="1"/>
  <c r="F905" i="1"/>
  <c r="K905" i="1"/>
  <c r="X905" i="1"/>
  <c r="AB905" i="1" s="1"/>
  <c r="AE905" i="1" s="1"/>
  <c r="U905" i="1"/>
  <c r="AA905" i="1"/>
  <c r="AC905" i="1" s="1"/>
  <c r="X906" i="1"/>
  <c r="AB906" i="1" s="1"/>
  <c r="AE906" i="1" s="1"/>
  <c r="F906" i="1"/>
  <c r="H906" i="1" s="1"/>
  <c r="AA906" i="1"/>
  <c r="AC906" i="1" s="1"/>
  <c r="K906" i="1"/>
  <c r="U906" i="1"/>
  <c r="R906" i="1"/>
  <c r="K907" i="1"/>
  <c r="U907" i="1"/>
  <c r="X907" i="1"/>
  <c r="AB907" i="1" s="1"/>
  <c r="AE907" i="1" s="1"/>
  <c r="F907" i="1"/>
  <c r="H907" i="1" s="1"/>
  <c r="AA907" i="1"/>
  <c r="AC907" i="1" s="1"/>
  <c r="R907" i="1"/>
  <c r="R908" i="1"/>
  <c r="U908" i="1"/>
  <c r="K908" i="1"/>
  <c r="F908" i="1"/>
  <c r="X908" i="1"/>
  <c r="AB908" i="1" s="1"/>
  <c r="AA908" i="1"/>
  <c r="AC908" i="1" s="1"/>
  <c r="X909" i="1"/>
  <c r="AA909" i="1"/>
  <c r="R909" i="1"/>
  <c r="U909" i="1"/>
  <c r="K909" i="1"/>
  <c r="F909" i="1"/>
  <c r="K910" i="1"/>
  <c r="R910" i="1"/>
  <c r="F910" i="1"/>
  <c r="X910" i="1"/>
  <c r="U910" i="1"/>
  <c r="AA910" i="1"/>
  <c r="X911" i="1"/>
  <c r="K911" i="1"/>
  <c r="R911" i="1"/>
  <c r="U911" i="1"/>
  <c r="F911" i="1"/>
  <c r="AA911" i="1"/>
  <c r="X912" i="1"/>
  <c r="F912" i="1"/>
  <c r="R912" i="1"/>
  <c r="K912" i="1"/>
  <c r="U912" i="1"/>
  <c r="AA912" i="1"/>
  <c r="X913" i="1"/>
  <c r="U913" i="1"/>
  <c r="R913" i="1"/>
  <c r="K913" i="1"/>
  <c r="AA913" i="1"/>
  <c r="F913" i="1"/>
  <c r="F914" i="1"/>
  <c r="X914" i="1"/>
  <c r="AA914" i="1"/>
  <c r="K914" i="1"/>
  <c r="U914" i="1"/>
  <c r="R914" i="1"/>
  <c r="X915" i="1"/>
  <c r="U915" i="1"/>
  <c r="F915" i="1"/>
  <c r="AA915" i="1"/>
  <c r="K915" i="1"/>
  <c r="R915" i="1"/>
  <c r="U916" i="1"/>
  <c r="X916" i="1"/>
  <c r="K916" i="1"/>
  <c r="AA916" i="1"/>
  <c r="F916" i="1"/>
  <c r="R916" i="1"/>
  <c r="R917" i="1"/>
  <c r="K917" i="1"/>
  <c r="F917" i="1"/>
  <c r="AA917" i="1"/>
  <c r="X917" i="1"/>
  <c r="U917" i="1"/>
  <c r="F918" i="1"/>
  <c r="U918" i="1"/>
  <c r="AA918" i="1"/>
  <c r="K918" i="1"/>
  <c r="R918" i="1"/>
  <c r="X918" i="1"/>
  <c r="U919" i="1"/>
  <c r="F919" i="1"/>
  <c r="AA919" i="1"/>
  <c r="R919" i="1"/>
  <c r="K919" i="1"/>
  <c r="X919" i="1"/>
  <c r="AA920" i="1"/>
  <c r="X920" i="1"/>
  <c r="K920" i="1"/>
  <c r="F920" i="1"/>
  <c r="R920" i="1"/>
  <c r="U920" i="1"/>
  <c r="U921" i="1"/>
  <c r="X921" i="1"/>
  <c r="K921" i="1"/>
  <c r="R921" i="1"/>
  <c r="F921" i="1"/>
  <c r="AA921" i="1"/>
  <c r="U922" i="1"/>
  <c r="X922" i="1"/>
  <c r="K922" i="1"/>
  <c r="F922" i="1"/>
  <c r="R922" i="1"/>
  <c r="AA922" i="1"/>
  <c r="AA923" i="1"/>
  <c r="U923" i="1"/>
  <c r="X923" i="1"/>
  <c r="F923" i="1"/>
  <c r="K923" i="1"/>
  <c r="R923" i="1"/>
  <c r="AA924" i="1"/>
  <c r="K924" i="1"/>
  <c r="X924" i="1"/>
  <c r="R924" i="1"/>
  <c r="F924" i="1"/>
  <c r="U924" i="1"/>
  <c r="X925" i="1"/>
  <c r="R925" i="1"/>
  <c r="AA925" i="1"/>
  <c r="U925" i="1"/>
  <c r="K925" i="1"/>
  <c r="F925" i="1"/>
  <c r="R926" i="1"/>
  <c r="F926" i="1"/>
  <c r="AA926" i="1"/>
  <c r="X926" i="1"/>
  <c r="K926" i="1"/>
  <c r="U926" i="1"/>
  <c r="R927" i="1"/>
  <c r="X927" i="1"/>
  <c r="AA927" i="1"/>
  <c r="K927" i="1"/>
  <c r="U927" i="1"/>
  <c r="F927" i="1"/>
  <c r="R928" i="1"/>
  <c r="F928" i="1"/>
  <c r="U928" i="1"/>
  <c r="AA928" i="1"/>
  <c r="X928" i="1"/>
  <c r="K928" i="1"/>
  <c r="N928" i="1"/>
  <c r="R929" i="1"/>
  <c r="K929" i="1"/>
  <c r="U929" i="1"/>
  <c r="N929" i="1"/>
  <c r="X929" i="1"/>
  <c r="F929" i="1"/>
  <c r="AA929" i="1"/>
  <c r="R930" i="1"/>
  <c r="U930" i="1"/>
  <c r="K930" i="1"/>
  <c r="N930" i="1"/>
  <c r="F930" i="1"/>
  <c r="X930" i="1"/>
  <c r="AA930" i="1"/>
  <c r="R931" i="1"/>
  <c r="U931" i="1"/>
  <c r="X931" i="1"/>
  <c r="K931" i="1"/>
  <c r="F931" i="1"/>
  <c r="N931" i="1"/>
  <c r="AA931" i="1"/>
  <c r="R932" i="1"/>
  <c r="K932" i="1"/>
  <c r="N932" i="1"/>
  <c r="U932" i="1"/>
  <c r="X932" i="1"/>
  <c r="F932" i="1"/>
  <c r="AA932" i="1"/>
  <c r="R933" i="1"/>
  <c r="F933" i="1"/>
  <c r="N933" i="1"/>
  <c r="AA933" i="1"/>
  <c r="X933" i="1"/>
  <c r="U933" i="1"/>
  <c r="K933" i="1"/>
  <c r="R934" i="1"/>
  <c r="N934" i="1"/>
  <c r="K934" i="1"/>
  <c r="F934" i="1"/>
  <c r="X934" i="1"/>
  <c r="U934" i="1"/>
  <c r="AA934" i="1"/>
  <c r="R935" i="1"/>
  <c r="X935" i="1"/>
  <c r="U935" i="1"/>
  <c r="F935" i="1"/>
  <c r="N935" i="1"/>
  <c r="K935" i="1"/>
  <c r="AA935" i="1"/>
  <c r="N936" i="1"/>
  <c r="R936" i="1"/>
  <c r="X936" i="1"/>
  <c r="K936" i="1"/>
  <c r="F936" i="1"/>
  <c r="U936" i="1"/>
  <c r="AA936" i="1"/>
  <c r="K937" i="1"/>
  <c r="U937" i="1"/>
  <c r="R937" i="1"/>
  <c r="X937" i="1"/>
  <c r="N937" i="1"/>
  <c r="F937" i="1"/>
  <c r="AA937" i="1"/>
  <c r="X938" i="1"/>
  <c r="F938" i="1"/>
  <c r="R938" i="1"/>
  <c r="U938" i="1"/>
  <c r="K938" i="1"/>
  <c r="N938" i="1"/>
  <c r="AA938" i="1"/>
  <c r="U939" i="1"/>
  <c r="K939" i="1"/>
  <c r="F939" i="1"/>
  <c r="R939" i="1"/>
  <c r="X939" i="1"/>
  <c r="N939" i="1"/>
  <c r="AA939" i="1"/>
  <c r="U940" i="1"/>
  <c r="K940" i="1"/>
  <c r="R940" i="1"/>
  <c r="F940" i="1"/>
  <c r="X940" i="1"/>
  <c r="N940" i="1"/>
  <c r="AA940" i="1"/>
  <c r="N941" i="1"/>
  <c r="U941" i="1"/>
  <c r="X941" i="1"/>
  <c r="F941" i="1"/>
  <c r="K941" i="1"/>
  <c r="R941" i="1"/>
  <c r="AA941" i="1"/>
  <c r="U942" i="1"/>
  <c r="R942" i="1"/>
  <c r="K942" i="1"/>
  <c r="X942" i="1"/>
  <c r="F942" i="1"/>
  <c r="N942" i="1"/>
  <c r="AA942" i="1"/>
  <c r="K943" i="1"/>
  <c r="N943" i="1"/>
  <c r="X943" i="1"/>
  <c r="R943" i="1"/>
  <c r="U943" i="1"/>
  <c r="AA943" i="1"/>
  <c r="F943" i="1"/>
  <c r="K944" i="1"/>
  <c r="R944" i="1"/>
  <c r="N944" i="1"/>
  <c r="U944" i="1"/>
  <c r="AA944" i="1"/>
  <c r="X944" i="1"/>
  <c r="F944" i="1"/>
  <c r="K945" i="1"/>
  <c r="N945" i="1"/>
  <c r="R945" i="1"/>
  <c r="U945" i="1"/>
  <c r="X945" i="1"/>
  <c r="AA945" i="1"/>
  <c r="F945" i="1"/>
  <c r="K946" i="1"/>
  <c r="R946" i="1"/>
  <c r="X946" i="1"/>
  <c r="F946" i="1"/>
  <c r="U946" i="1"/>
  <c r="N946" i="1"/>
  <c r="AA946" i="1"/>
  <c r="R947" i="1"/>
  <c r="U947" i="1"/>
  <c r="F947" i="1"/>
  <c r="K947" i="1"/>
  <c r="N947" i="1"/>
  <c r="X947" i="1"/>
  <c r="AA947" i="1"/>
  <c r="F948" i="1"/>
  <c r="U948" i="1"/>
  <c r="R948" i="1"/>
  <c r="K948" i="1"/>
  <c r="X948" i="1"/>
  <c r="N948" i="1"/>
  <c r="AA948" i="1"/>
  <c r="X949" i="1"/>
  <c r="K949" i="1"/>
  <c r="R949" i="1"/>
  <c r="N949" i="1"/>
  <c r="F949" i="1"/>
  <c r="U949" i="1"/>
  <c r="AA949" i="1"/>
  <c r="U950" i="1"/>
  <c r="F950" i="1"/>
  <c r="K950" i="1"/>
  <c r="N950" i="1"/>
  <c r="X950" i="1"/>
  <c r="R950" i="1"/>
  <c r="AA950" i="1"/>
  <c r="R951" i="1"/>
  <c r="F951" i="1"/>
  <c r="X951" i="1"/>
  <c r="U951" i="1"/>
  <c r="N951" i="1"/>
  <c r="K951" i="1"/>
  <c r="AA951" i="1"/>
  <c r="U952" i="1"/>
  <c r="X952" i="1"/>
  <c r="F952" i="1"/>
  <c r="N952" i="1"/>
  <c r="AA952" i="1"/>
  <c r="K952" i="1"/>
  <c r="R952" i="1"/>
  <c r="U953" i="1"/>
  <c r="X953" i="1"/>
  <c r="K953" i="1"/>
  <c r="N953" i="1"/>
  <c r="R953" i="1"/>
  <c r="F953" i="1"/>
  <c r="AA953" i="1"/>
  <c r="X954" i="1"/>
  <c r="F954" i="1"/>
  <c r="K954" i="1"/>
  <c r="R954" i="1"/>
  <c r="N954" i="1"/>
  <c r="U954" i="1"/>
  <c r="AA954" i="1"/>
  <c r="U955" i="1"/>
  <c r="N955" i="1"/>
  <c r="K955" i="1"/>
  <c r="X955" i="1"/>
  <c r="R955" i="1"/>
  <c r="F955" i="1"/>
  <c r="AA955" i="1"/>
  <c r="X956" i="1"/>
  <c r="U956" i="1"/>
  <c r="F956" i="1"/>
  <c r="K956" i="1"/>
  <c r="N956" i="1"/>
  <c r="R956" i="1"/>
  <c r="AA956" i="1"/>
  <c r="R957" i="1"/>
  <c r="K957" i="1"/>
  <c r="N957" i="1"/>
  <c r="X957" i="1"/>
  <c r="U957" i="1"/>
  <c r="F957" i="1"/>
  <c r="AA957" i="1"/>
  <c r="N958" i="1"/>
  <c r="R958" i="1"/>
  <c r="X958" i="1"/>
  <c r="U958" i="1"/>
  <c r="K958" i="1"/>
  <c r="F958" i="1"/>
  <c r="AA958" i="1"/>
  <c r="X959" i="1"/>
  <c r="K959" i="1"/>
  <c r="AA959" i="1"/>
  <c r="U959" i="1"/>
  <c r="N959" i="1"/>
  <c r="R959" i="1"/>
  <c r="F959" i="1"/>
  <c r="N960" i="1"/>
  <c r="K960" i="1"/>
  <c r="X960" i="1"/>
  <c r="AA960" i="1"/>
  <c r="U960" i="1"/>
  <c r="R960" i="1"/>
  <c r="F960" i="1"/>
  <c r="N961" i="1"/>
  <c r="AA961" i="1"/>
  <c r="F961" i="1"/>
  <c r="X961" i="1"/>
  <c r="U961" i="1"/>
  <c r="R961" i="1"/>
  <c r="K961" i="1"/>
  <c r="AA962" i="1"/>
  <c r="X962" i="1"/>
  <c r="U962" i="1"/>
  <c r="R962" i="1"/>
  <c r="K962" i="1"/>
  <c r="F962" i="1"/>
  <c r="N962" i="1"/>
  <c r="U963" i="1"/>
  <c r="N963" i="1"/>
  <c r="F963" i="1"/>
  <c r="AA963" i="1"/>
  <c r="R963" i="1"/>
  <c r="X963" i="1"/>
  <c r="K963" i="1"/>
  <c r="U964" i="1"/>
  <c r="AA964" i="1"/>
  <c r="X964" i="1"/>
  <c r="F964" i="1"/>
  <c r="K964" i="1"/>
  <c r="R964" i="1"/>
  <c r="N964" i="1"/>
  <c r="U965" i="1"/>
  <c r="AA965" i="1"/>
  <c r="N965" i="1"/>
  <c r="F965" i="1"/>
  <c r="X965" i="1"/>
  <c r="R965" i="1"/>
  <c r="K965" i="1"/>
  <c r="U966" i="1"/>
  <c r="X966" i="1"/>
  <c r="K966" i="1"/>
  <c r="N966" i="1"/>
  <c r="R966" i="1"/>
  <c r="F966" i="1"/>
  <c r="AA966" i="1"/>
  <c r="U967" i="1"/>
  <c r="K967" i="1"/>
  <c r="F967" i="1"/>
  <c r="R967" i="1"/>
  <c r="X967" i="1"/>
  <c r="N967" i="1"/>
  <c r="AA967" i="1"/>
  <c r="X968" i="1"/>
  <c r="K968" i="1"/>
  <c r="F968" i="1"/>
  <c r="R968" i="1"/>
  <c r="U968" i="1"/>
  <c r="N968" i="1"/>
  <c r="AA968" i="1"/>
  <c r="R969" i="1"/>
  <c r="K969" i="1"/>
  <c r="F969" i="1"/>
  <c r="N969" i="1"/>
  <c r="X969" i="1"/>
  <c r="U969" i="1"/>
  <c r="AA969" i="1"/>
  <c r="F970" i="1"/>
  <c r="AA970" i="1"/>
  <c r="R970" i="1"/>
  <c r="X970" i="1"/>
  <c r="U970" i="1"/>
  <c r="N970" i="1"/>
  <c r="K970" i="1"/>
  <c r="F971" i="1"/>
  <c r="X971" i="1"/>
  <c r="U971" i="1"/>
  <c r="AA971" i="1"/>
  <c r="N971" i="1"/>
  <c r="R971" i="1"/>
  <c r="K971" i="1"/>
  <c r="R972" i="1"/>
  <c r="AA972" i="1"/>
  <c r="F972" i="1"/>
  <c r="U972" i="1"/>
  <c r="X972" i="1"/>
  <c r="K972" i="1"/>
  <c r="N972" i="1"/>
  <c r="F973" i="1"/>
  <c r="U973" i="1"/>
  <c r="X973" i="1"/>
  <c r="AA973" i="1"/>
  <c r="N973" i="1"/>
  <c r="K973" i="1"/>
  <c r="R973" i="1"/>
  <c r="X974" i="1"/>
  <c r="R974" i="1"/>
  <c r="K974" i="1"/>
  <c r="F974" i="1"/>
  <c r="N974" i="1"/>
  <c r="U974" i="1"/>
  <c r="AA974" i="1"/>
  <c r="X975" i="1"/>
  <c r="U975" i="1"/>
  <c r="N975" i="1"/>
  <c r="K975" i="1"/>
  <c r="F975" i="1"/>
  <c r="R975" i="1"/>
  <c r="AA975" i="1"/>
  <c r="U976" i="1"/>
  <c r="N976" i="1"/>
  <c r="K976" i="1"/>
  <c r="X976" i="1"/>
  <c r="F976" i="1"/>
  <c r="R976" i="1"/>
  <c r="AA976" i="1"/>
  <c r="R977" i="1"/>
  <c r="X977" i="1"/>
  <c r="N977" i="1"/>
  <c r="K977" i="1"/>
  <c r="U977" i="1"/>
  <c r="F977" i="1"/>
  <c r="AA977" i="1"/>
  <c r="N978" i="1"/>
  <c r="K978" i="1"/>
  <c r="U978" i="1"/>
  <c r="X978" i="1"/>
  <c r="R978" i="1"/>
  <c r="F978" i="1"/>
  <c r="AA978" i="1"/>
  <c r="R979" i="1"/>
  <c r="F979" i="1"/>
  <c r="U979" i="1"/>
  <c r="N979" i="1"/>
  <c r="X979" i="1"/>
  <c r="K979" i="1"/>
  <c r="AA979" i="1"/>
  <c r="K980" i="1"/>
  <c r="R980" i="1"/>
  <c r="F980" i="1"/>
  <c r="U980" i="1"/>
  <c r="N980" i="1"/>
  <c r="X980" i="1"/>
  <c r="AA980" i="1"/>
  <c r="K981" i="1"/>
  <c r="F981" i="1"/>
  <c r="U981" i="1"/>
  <c r="X981" i="1"/>
  <c r="N981" i="1"/>
  <c r="R981" i="1"/>
  <c r="AA981" i="1"/>
  <c r="N982" i="1"/>
  <c r="K982" i="1"/>
  <c r="U982" i="1"/>
  <c r="X982" i="1"/>
  <c r="F982" i="1"/>
  <c r="R982" i="1"/>
  <c r="AA982" i="1"/>
  <c r="K983" i="1"/>
  <c r="F983" i="1"/>
  <c r="R983" i="1"/>
  <c r="N983" i="1"/>
  <c r="U983" i="1"/>
  <c r="X983" i="1"/>
  <c r="AA983" i="1"/>
  <c r="U984" i="1"/>
  <c r="R984" i="1"/>
  <c r="F984" i="1"/>
  <c r="N984" i="1"/>
  <c r="K984" i="1"/>
  <c r="X984" i="1"/>
  <c r="AA984" i="1"/>
  <c r="U985" i="1"/>
  <c r="N985" i="1"/>
  <c r="F985" i="1"/>
  <c r="R985" i="1"/>
  <c r="K985" i="1"/>
  <c r="X985" i="1"/>
  <c r="AA985" i="1"/>
  <c r="N986" i="1"/>
  <c r="U986" i="1"/>
  <c r="R986" i="1"/>
  <c r="F986" i="1"/>
  <c r="K986" i="1"/>
  <c r="X986" i="1"/>
  <c r="AA986" i="1"/>
  <c r="U987" i="1"/>
  <c r="N987" i="1"/>
  <c r="R987" i="1"/>
  <c r="X987" i="1"/>
  <c r="F987" i="1"/>
  <c r="K987" i="1"/>
  <c r="AA987" i="1"/>
  <c r="F988" i="1"/>
  <c r="N988" i="1"/>
  <c r="AA988" i="1"/>
  <c r="R988" i="1"/>
  <c r="K988" i="1"/>
  <c r="X988" i="1"/>
  <c r="U988" i="1"/>
  <c r="U989" i="1"/>
  <c r="N989" i="1"/>
  <c r="AA989" i="1"/>
  <c r="F989" i="1"/>
  <c r="R989" i="1"/>
  <c r="K989" i="1"/>
  <c r="X989" i="1"/>
  <c r="F990" i="1"/>
  <c r="X990" i="1"/>
  <c r="N990" i="1"/>
  <c r="R990" i="1"/>
  <c r="K990" i="1"/>
  <c r="AA990" i="1"/>
  <c r="U990" i="1"/>
  <c r="R991" i="1"/>
  <c r="AA991" i="1"/>
  <c r="N991" i="1"/>
  <c r="X991" i="1"/>
  <c r="F991" i="1"/>
  <c r="K991" i="1"/>
  <c r="U991" i="1"/>
  <c r="X992" i="1"/>
  <c r="R992" i="1"/>
  <c r="N992" i="1"/>
  <c r="U992" i="1"/>
  <c r="F992" i="1"/>
  <c r="K992" i="1"/>
  <c r="AA992" i="1"/>
  <c r="R993" i="1"/>
  <c r="K993" i="1"/>
  <c r="X993" i="1"/>
  <c r="F993" i="1"/>
  <c r="N993" i="1"/>
  <c r="AA993" i="1"/>
  <c r="U993" i="1"/>
  <c r="AA994" i="1"/>
  <c r="N994" i="1"/>
  <c r="R994" i="1"/>
  <c r="X994" i="1"/>
  <c r="F994" i="1"/>
  <c r="K994" i="1"/>
  <c r="U994" i="1"/>
  <c r="R995" i="1"/>
  <c r="AA995" i="1"/>
  <c r="F995" i="1"/>
  <c r="X995" i="1"/>
  <c r="N995" i="1"/>
  <c r="K995" i="1"/>
  <c r="U995" i="1"/>
  <c r="R996" i="1"/>
  <c r="F996" i="1"/>
  <c r="N996" i="1"/>
  <c r="X996" i="1"/>
  <c r="AA996" i="1"/>
  <c r="K996" i="1"/>
  <c r="U996" i="1"/>
  <c r="K997" i="1"/>
  <c r="R997" i="1"/>
  <c r="AA997" i="1"/>
  <c r="U997" i="1"/>
  <c r="X997" i="1"/>
  <c r="F997" i="1"/>
  <c r="N997" i="1"/>
  <c r="AA998" i="1"/>
  <c r="K998" i="1"/>
  <c r="U998" i="1"/>
  <c r="F998" i="1"/>
  <c r="R998" i="1"/>
  <c r="X998" i="1"/>
  <c r="N998" i="1"/>
  <c r="N999" i="1"/>
  <c r="U999" i="1"/>
  <c r="R999" i="1"/>
  <c r="AA999" i="1"/>
  <c r="X999" i="1"/>
  <c r="F999" i="1"/>
  <c r="K999" i="1"/>
  <c r="X1000" i="1"/>
  <c r="F1000" i="1"/>
  <c r="K1000" i="1"/>
  <c r="U1000" i="1"/>
  <c r="N1000" i="1"/>
  <c r="R1000" i="1"/>
  <c r="AA1000" i="1"/>
  <c r="X1001" i="1"/>
  <c r="K1001" i="1"/>
  <c r="U1001" i="1"/>
  <c r="N1001" i="1"/>
  <c r="AA1001" i="1"/>
  <c r="F1001" i="1"/>
  <c r="R1001" i="1"/>
  <c r="X1002" i="1"/>
  <c r="U1002" i="1"/>
  <c r="R1002" i="1"/>
  <c r="AA1002" i="1"/>
  <c r="N1002" i="1"/>
  <c r="F1002" i="1"/>
  <c r="K1002" i="1"/>
  <c r="X1003" i="1"/>
  <c r="F1003" i="1"/>
  <c r="U1003" i="1"/>
  <c r="R1003" i="1"/>
  <c r="K1003" i="1"/>
  <c r="N1003" i="1"/>
  <c r="AA1003" i="1"/>
  <c r="K1004" i="1"/>
  <c r="AA1004" i="1"/>
  <c r="X1004" i="1"/>
  <c r="R1004" i="1"/>
  <c r="F1004" i="1"/>
  <c r="N1004" i="1"/>
  <c r="U1004" i="1"/>
  <c r="R1005" i="1"/>
  <c r="K1005" i="1"/>
  <c r="AA1005" i="1"/>
  <c r="U1005" i="1"/>
  <c r="X1005" i="1"/>
  <c r="F1005" i="1"/>
  <c r="N1005" i="1"/>
  <c r="AN366" i="1"/>
  <c r="AM366" i="1"/>
  <c r="AO366" i="1"/>
  <c r="AP366" i="1" s="1"/>
  <c r="Z366" i="1"/>
  <c r="Y366" i="1"/>
  <c r="W366" i="1"/>
  <c r="V366" i="1"/>
  <c r="AA366" i="1"/>
  <c r="X366" i="1"/>
  <c r="AB366" i="1" s="1"/>
  <c r="U366" i="1"/>
  <c r="T366" i="1"/>
  <c r="S366" i="1"/>
  <c r="Q366" i="1"/>
  <c r="P366" i="1"/>
  <c r="O366" i="1"/>
  <c r="N366" i="1"/>
  <c r="M366" i="1"/>
  <c r="L366" i="1"/>
  <c r="R366" i="1"/>
  <c r="K366" i="1"/>
  <c r="J366" i="1"/>
  <c r="I366" i="1"/>
  <c r="AE366" i="1" s="1"/>
  <c r="G366" i="1" a="1"/>
  <c r="G366" i="1" s="1"/>
  <c r="F366" i="1"/>
  <c r="E366" i="1"/>
  <c r="D366" i="1"/>
  <c r="AN367" i="1"/>
  <c r="AM367" i="1"/>
  <c r="AO367" i="1"/>
  <c r="AP367" i="1" s="1"/>
  <c r="Z367" i="1"/>
  <c r="Y367" i="1"/>
  <c r="AA367" i="1"/>
  <c r="W367" i="1"/>
  <c r="V367" i="1"/>
  <c r="X367" i="1"/>
  <c r="AB367" i="1" s="1"/>
  <c r="U367" i="1"/>
  <c r="T367" i="1"/>
  <c r="S367" i="1"/>
  <c r="Q367" i="1"/>
  <c r="P367" i="1"/>
  <c r="O367" i="1"/>
  <c r="N367" i="1"/>
  <c r="M367" i="1"/>
  <c r="L367" i="1"/>
  <c r="R367" i="1"/>
  <c r="K367" i="1"/>
  <c r="J367" i="1"/>
  <c r="I367" i="1"/>
  <c r="AE367" i="1" s="1"/>
  <c r="G367" i="1" a="1"/>
  <c r="G367" i="1" s="1"/>
  <c r="F367" i="1"/>
  <c r="E367" i="1"/>
  <c r="D367" i="1"/>
  <c r="AN368" i="1"/>
  <c r="AM368" i="1"/>
  <c r="AO368" i="1"/>
  <c r="AP368" i="1" s="1"/>
  <c r="AA368" i="1"/>
  <c r="Z368" i="1"/>
  <c r="Y368" i="1"/>
  <c r="AC368" i="1" s="1"/>
  <c r="W368" i="1"/>
  <c r="V368" i="1"/>
  <c r="X368" i="1"/>
  <c r="AB368" i="1" s="1"/>
  <c r="U368" i="1"/>
  <c r="T368" i="1"/>
  <c r="S368" i="1"/>
  <c r="Q368" i="1"/>
  <c r="P368" i="1"/>
  <c r="O368" i="1"/>
  <c r="N368" i="1"/>
  <c r="M368" i="1"/>
  <c r="L368" i="1"/>
  <c r="R368" i="1"/>
  <c r="K368" i="1"/>
  <c r="J368" i="1"/>
  <c r="I368" i="1"/>
  <c r="AE368" i="1" s="1"/>
  <c r="G368" i="1" a="1"/>
  <c r="G368" i="1" s="1"/>
  <c r="F368" i="1"/>
  <c r="E368" i="1"/>
  <c r="D368" i="1"/>
  <c r="AM369" i="1"/>
  <c r="AO369" i="1"/>
  <c r="AP369" i="1" s="1"/>
  <c r="AN369" i="1"/>
  <c r="Z369" i="1"/>
  <c r="Y369" i="1"/>
  <c r="W369" i="1"/>
  <c r="V369" i="1"/>
  <c r="AA369" i="1"/>
  <c r="X369" i="1"/>
  <c r="AB369" i="1" s="1"/>
  <c r="U369" i="1"/>
  <c r="T369" i="1"/>
  <c r="S369" i="1"/>
  <c r="Q369" i="1"/>
  <c r="P369" i="1"/>
  <c r="O369" i="1"/>
  <c r="N369" i="1"/>
  <c r="M369" i="1"/>
  <c r="L369" i="1"/>
  <c r="R369" i="1"/>
  <c r="K369" i="1"/>
  <c r="J369" i="1"/>
  <c r="I369" i="1"/>
  <c r="AE369" i="1" s="1"/>
  <c r="G369" i="1" a="1"/>
  <c r="G369" i="1" s="1"/>
  <c r="F369" i="1"/>
  <c r="E369" i="1"/>
  <c r="D369" i="1"/>
  <c r="AN370" i="1"/>
  <c r="AM370" i="1"/>
  <c r="AO370" i="1"/>
  <c r="AP370" i="1" s="1"/>
  <c r="Z370" i="1"/>
  <c r="Y370" i="1"/>
  <c r="AA370" i="1"/>
  <c r="W370" i="1"/>
  <c r="V370" i="1"/>
  <c r="X370" i="1"/>
  <c r="AB370" i="1" s="1"/>
  <c r="U370" i="1"/>
  <c r="T370" i="1"/>
  <c r="S370" i="1"/>
  <c r="Q370" i="1"/>
  <c r="P370" i="1"/>
  <c r="O370" i="1"/>
  <c r="N370" i="1"/>
  <c r="M370" i="1"/>
  <c r="L370" i="1"/>
  <c r="R370" i="1"/>
  <c r="K370" i="1"/>
  <c r="J370" i="1"/>
  <c r="I370" i="1"/>
  <c r="AE370" i="1" s="1"/>
  <c r="G370" i="1" a="1"/>
  <c r="G370" i="1" s="1"/>
  <c r="F370" i="1"/>
  <c r="E370" i="1"/>
  <c r="D370" i="1"/>
  <c r="AN371" i="1"/>
  <c r="AM371" i="1"/>
  <c r="AO371" i="1"/>
  <c r="AP371" i="1" s="1"/>
  <c r="Z371" i="1"/>
  <c r="Y371" i="1"/>
  <c r="W371" i="1"/>
  <c r="V371" i="1"/>
  <c r="AA371" i="1"/>
  <c r="X371" i="1"/>
  <c r="AB371" i="1" s="1"/>
  <c r="U371" i="1"/>
  <c r="T371" i="1"/>
  <c r="S371" i="1"/>
  <c r="Q371" i="1"/>
  <c r="P371" i="1"/>
  <c r="O371" i="1"/>
  <c r="N371" i="1"/>
  <c r="M371" i="1"/>
  <c r="L371" i="1"/>
  <c r="R371" i="1"/>
  <c r="K371" i="1"/>
  <c r="J371" i="1"/>
  <c r="I371" i="1"/>
  <c r="AE371" i="1" s="1"/>
  <c r="G371" i="1" a="1"/>
  <c r="G371" i="1" s="1"/>
  <c r="F371" i="1"/>
  <c r="E371" i="1"/>
  <c r="D371" i="1"/>
  <c r="AM372" i="1"/>
  <c r="AO372" i="1"/>
  <c r="AP372" i="1" s="1"/>
  <c r="AN372" i="1"/>
  <c r="Z372" i="1"/>
  <c r="Y372" i="1"/>
  <c r="AA372" i="1"/>
  <c r="W372" i="1"/>
  <c r="V372" i="1"/>
  <c r="X372" i="1"/>
  <c r="AB372" i="1" s="1"/>
  <c r="U372" i="1"/>
  <c r="T372" i="1"/>
  <c r="S372" i="1"/>
  <c r="Q372" i="1"/>
  <c r="P372" i="1"/>
  <c r="O372" i="1"/>
  <c r="N372" i="1"/>
  <c r="M372" i="1"/>
  <c r="L372" i="1"/>
  <c r="R372" i="1"/>
  <c r="K372" i="1"/>
  <c r="J372" i="1"/>
  <c r="I372" i="1"/>
  <c r="AE372" i="1" s="1"/>
  <c r="G372" i="1" a="1"/>
  <c r="G372" i="1" s="1"/>
  <c r="F372" i="1"/>
  <c r="E372" i="1"/>
  <c r="D372" i="1"/>
  <c r="AN373" i="1"/>
  <c r="AM373" i="1"/>
  <c r="AO373" i="1"/>
  <c r="AP373" i="1" s="1"/>
  <c r="AA373" i="1"/>
  <c r="Z373" i="1"/>
  <c r="Y373" i="1"/>
  <c r="AC373" i="1" s="1"/>
  <c r="W373" i="1"/>
  <c r="V373" i="1"/>
  <c r="X373" i="1"/>
  <c r="AB373" i="1" s="1"/>
  <c r="U373" i="1"/>
  <c r="T373" i="1"/>
  <c r="S373" i="1"/>
  <c r="Q373" i="1"/>
  <c r="P373" i="1"/>
  <c r="O373" i="1"/>
  <c r="N373" i="1"/>
  <c r="M373" i="1"/>
  <c r="L373" i="1"/>
  <c r="R373" i="1"/>
  <c r="K373" i="1"/>
  <c r="J373" i="1"/>
  <c r="I373" i="1"/>
  <c r="AE373" i="1" s="1"/>
  <c r="G373" i="1" a="1"/>
  <c r="G373" i="1" s="1"/>
  <c r="F373" i="1"/>
  <c r="E373" i="1"/>
  <c r="D373" i="1"/>
  <c r="AN374" i="1"/>
  <c r="AM374" i="1"/>
  <c r="AO374" i="1"/>
  <c r="AP374" i="1" s="1"/>
  <c r="Z374" i="1"/>
  <c r="Y374" i="1"/>
  <c r="W374" i="1"/>
  <c r="V374" i="1"/>
  <c r="AA374" i="1"/>
  <c r="X374" i="1"/>
  <c r="U374" i="1"/>
  <c r="T374" i="1"/>
  <c r="S374" i="1"/>
  <c r="Q374" i="1"/>
  <c r="P374" i="1"/>
  <c r="O374" i="1"/>
  <c r="N374" i="1"/>
  <c r="M374" i="1"/>
  <c r="L374" i="1"/>
  <c r="R374" i="1"/>
  <c r="K374" i="1"/>
  <c r="J374" i="1"/>
  <c r="I374" i="1"/>
  <c r="G374" i="1" a="1"/>
  <c r="G374" i="1" s="1"/>
  <c r="F374" i="1"/>
  <c r="H374" i="1" s="1"/>
  <c r="E374" i="1"/>
  <c r="D374" i="1"/>
  <c r="AM375" i="1"/>
  <c r="AO375" i="1"/>
  <c r="AP375" i="1" s="1"/>
  <c r="AN375" i="1"/>
  <c r="Z375" i="1"/>
  <c r="Y375" i="1"/>
  <c r="AA375" i="1"/>
  <c r="W375" i="1"/>
  <c r="V375" i="1"/>
  <c r="X375" i="1"/>
  <c r="AB375" i="1" s="1"/>
  <c r="U375" i="1"/>
  <c r="T375" i="1"/>
  <c r="S375" i="1"/>
  <c r="Q375" i="1"/>
  <c r="P375" i="1"/>
  <c r="O375" i="1"/>
  <c r="N375" i="1"/>
  <c r="M375" i="1"/>
  <c r="L375" i="1"/>
  <c r="R375" i="1"/>
  <c r="K375" i="1"/>
  <c r="J375" i="1"/>
  <c r="I375" i="1"/>
  <c r="AE375" i="1" s="1"/>
  <c r="G375" i="1" a="1"/>
  <c r="G375" i="1" s="1"/>
  <c r="F375" i="1"/>
  <c r="H375" i="1" s="1"/>
  <c r="E375" i="1"/>
  <c r="D375" i="1"/>
  <c r="AN376" i="1"/>
  <c r="AM376" i="1"/>
  <c r="AO376" i="1"/>
  <c r="AP376" i="1" s="1"/>
  <c r="AA376" i="1"/>
  <c r="Z376" i="1"/>
  <c r="Y376" i="1"/>
  <c r="AC376" i="1" s="1"/>
  <c r="W376" i="1"/>
  <c r="V376" i="1"/>
  <c r="X376" i="1"/>
  <c r="AB376" i="1" s="1"/>
  <c r="U376" i="1"/>
  <c r="T376" i="1"/>
  <c r="S376" i="1"/>
  <c r="Q376" i="1"/>
  <c r="P376" i="1"/>
  <c r="O376" i="1"/>
  <c r="M376" i="1"/>
  <c r="L376" i="1"/>
  <c r="R376" i="1"/>
  <c r="N376" i="1"/>
  <c r="K376" i="1"/>
  <c r="J376" i="1"/>
  <c r="I376" i="1"/>
  <c r="AE376" i="1" s="1"/>
  <c r="G376" i="1" a="1"/>
  <c r="G376" i="1" s="1"/>
  <c r="F376" i="1"/>
  <c r="H376" i="1" s="1"/>
  <c r="E376" i="1"/>
  <c r="D376" i="1"/>
  <c r="AM377" i="1"/>
  <c r="AO377" i="1"/>
  <c r="AP377" i="1" s="1"/>
  <c r="AN377" i="1"/>
  <c r="Z377" i="1"/>
  <c r="Y377" i="1"/>
  <c r="W377" i="1"/>
  <c r="V377" i="1"/>
  <c r="AA377" i="1"/>
  <c r="X377" i="1"/>
  <c r="AB377" i="1" s="1"/>
  <c r="U377" i="1"/>
  <c r="T377" i="1"/>
  <c r="S377" i="1"/>
  <c r="Q377" i="1"/>
  <c r="P377" i="1"/>
  <c r="O377" i="1"/>
  <c r="N377" i="1"/>
  <c r="M377" i="1"/>
  <c r="L377" i="1"/>
  <c r="R377" i="1"/>
  <c r="K377" i="1"/>
  <c r="J377" i="1"/>
  <c r="I377" i="1"/>
  <c r="AE377" i="1" s="1"/>
  <c r="G377" i="1" a="1"/>
  <c r="G377" i="1" s="1"/>
  <c r="F377" i="1"/>
  <c r="H377" i="1" s="1"/>
  <c r="E377" i="1"/>
  <c r="D377" i="1"/>
  <c r="AN378" i="1"/>
  <c r="AM378" i="1"/>
  <c r="AO378" i="1"/>
  <c r="AP378" i="1" s="1"/>
  <c r="Z378" i="1"/>
  <c r="Y378" i="1"/>
  <c r="AA378" i="1"/>
  <c r="W378" i="1"/>
  <c r="V378" i="1"/>
  <c r="X378" i="1"/>
  <c r="AB378" i="1" s="1"/>
  <c r="U378" i="1"/>
  <c r="T378" i="1"/>
  <c r="S378" i="1"/>
  <c r="Q378" i="1"/>
  <c r="P378" i="1"/>
  <c r="O378" i="1"/>
  <c r="N378" i="1"/>
  <c r="M378" i="1"/>
  <c r="L378" i="1"/>
  <c r="R378" i="1"/>
  <c r="K378" i="1"/>
  <c r="J378" i="1"/>
  <c r="I378" i="1"/>
  <c r="AE378" i="1" s="1"/>
  <c r="G378" i="1" a="1"/>
  <c r="G378" i="1" s="1"/>
  <c r="F378" i="1"/>
  <c r="H378" i="1" s="1"/>
  <c r="E378" i="1"/>
  <c r="D378" i="1"/>
  <c r="AM379" i="1"/>
  <c r="AO379" i="1"/>
  <c r="AP379" i="1" s="1"/>
  <c r="AN379" i="1"/>
  <c r="AA379" i="1"/>
  <c r="Z379" i="1"/>
  <c r="Y379" i="1"/>
  <c r="AC379" i="1" s="1"/>
  <c r="W379" i="1"/>
  <c r="V379" i="1"/>
  <c r="X379" i="1"/>
  <c r="AB379" i="1" s="1"/>
  <c r="U379" i="1"/>
  <c r="T379" i="1"/>
  <c r="S379" i="1"/>
  <c r="Q379" i="1"/>
  <c r="P379" i="1"/>
  <c r="O379" i="1"/>
  <c r="M379" i="1"/>
  <c r="L379" i="1"/>
  <c r="R379" i="1"/>
  <c r="N379" i="1"/>
  <c r="K379" i="1"/>
  <c r="J379" i="1"/>
  <c r="I379" i="1"/>
  <c r="AE379" i="1" s="1"/>
  <c r="G379" i="1" a="1"/>
  <c r="G379" i="1" s="1"/>
  <c r="F379" i="1"/>
  <c r="H379" i="1" s="1"/>
  <c r="E379" i="1"/>
  <c r="D379" i="1"/>
  <c r="AN380" i="1"/>
  <c r="AM380" i="1"/>
  <c r="AO380" i="1"/>
  <c r="AP380" i="1" s="1"/>
  <c r="Z380" i="1"/>
  <c r="Y380" i="1"/>
  <c r="W380" i="1"/>
  <c r="V380" i="1"/>
  <c r="AA380" i="1"/>
  <c r="X380" i="1"/>
  <c r="AB380" i="1" s="1"/>
  <c r="U380" i="1"/>
  <c r="T380" i="1"/>
  <c r="S380" i="1"/>
  <c r="Q380" i="1"/>
  <c r="P380" i="1"/>
  <c r="O380" i="1"/>
  <c r="N380" i="1"/>
  <c r="M380" i="1"/>
  <c r="L380" i="1"/>
  <c r="R380" i="1"/>
  <c r="K380" i="1"/>
  <c r="J380" i="1"/>
  <c r="I380" i="1"/>
  <c r="AE380" i="1" s="1"/>
  <c r="G380" i="1" a="1"/>
  <c r="G380" i="1" s="1"/>
  <c r="F380" i="1"/>
  <c r="H380" i="1" s="1"/>
  <c r="E380" i="1"/>
  <c r="D380" i="1"/>
  <c r="AM381" i="1"/>
  <c r="AO381" i="1"/>
  <c r="AP381" i="1" s="1"/>
  <c r="AN381" i="1"/>
  <c r="Z381" i="1"/>
  <c r="Y381" i="1"/>
  <c r="AA381" i="1"/>
  <c r="W381" i="1"/>
  <c r="V381" i="1"/>
  <c r="X381" i="1"/>
  <c r="AB381" i="1" s="1"/>
  <c r="U381" i="1"/>
  <c r="T381" i="1"/>
  <c r="S381" i="1"/>
  <c r="Q381" i="1"/>
  <c r="P381" i="1"/>
  <c r="O381" i="1"/>
  <c r="M381" i="1"/>
  <c r="L381" i="1"/>
  <c r="R381" i="1"/>
  <c r="N381" i="1"/>
  <c r="K381" i="1"/>
  <c r="J381" i="1"/>
  <c r="I381" i="1"/>
  <c r="AE381" i="1" s="1"/>
  <c r="G381" i="1" a="1"/>
  <c r="G381" i="1" s="1"/>
  <c r="F381" i="1"/>
  <c r="H381" i="1" s="1"/>
  <c r="E381" i="1"/>
  <c r="D381" i="1"/>
  <c r="AN382" i="1"/>
  <c r="AM382" i="1"/>
  <c r="AO382" i="1"/>
  <c r="AP382" i="1" s="1"/>
  <c r="AA382" i="1"/>
  <c r="Z382" i="1"/>
  <c r="Y382" i="1"/>
  <c r="AC382" i="1" s="1"/>
  <c r="W382" i="1"/>
  <c r="V382" i="1"/>
  <c r="X382" i="1"/>
  <c r="AB382" i="1" s="1"/>
  <c r="U382" i="1"/>
  <c r="T382" i="1"/>
  <c r="S382" i="1"/>
  <c r="Q382" i="1"/>
  <c r="P382" i="1"/>
  <c r="O382" i="1"/>
  <c r="M382" i="1"/>
  <c r="L382" i="1"/>
  <c r="R382" i="1"/>
  <c r="N382" i="1"/>
  <c r="K382" i="1"/>
  <c r="J382" i="1"/>
  <c r="I382" i="1"/>
  <c r="AE382" i="1" s="1"/>
  <c r="G382" i="1" a="1"/>
  <c r="G382" i="1" s="1"/>
  <c r="F382" i="1"/>
  <c r="H382" i="1" s="1"/>
  <c r="E382" i="1"/>
  <c r="D382" i="1"/>
  <c r="AM383" i="1"/>
  <c r="AO383" i="1"/>
  <c r="AP383" i="1" s="1"/>
  <c r="AN383" i="1"/>
  <c r="Z383" i="1"/>
  <c r="Y383" i="1"/>
  <c r="W383" i="1"/>
  <c r="V383" i="1"/>
  <c r="AA383" i="1"/>
  <c r="X383" i="1"/>
  <c r="AB383" i="1" s="1"/>
  <c r="U383" i="1"/>
  <c r="T383" i="1"/>
  <c r="S383" i="1"/>
  <c r="Q383" i="1"/>
  <c r="P383" i="1"/>
  <c r="O383" i="1"/>
  <c r="N383" i="1"/>
  <c r="M383" i="1"/>
  <c r="L383" i="1"/>
  <c r="R383" i="1"/>
  <c r="K383" i="1"/>
  <c r="J383" i="1"/>
  <c r="I383" i="1"/>
  <c r="AE383" i="1" s="1"/>
  <c r="G383" i="1" a="1"/>
  <c r="G383" i="1" s="1"/>
  <c r="F383" i="1"/>
  <c r="E383" i="1"/>
  <c r="D383" i="1"/>
  <c r="AN384" i="1"/>
  <c r="AM384" i="1"/>
  <c r="AO384" i="1"/>
  <c r="AP384" i="1" s="1"/>
  <c r="Z384" i="1"/>
  <c r="Y384" i="1"/>
  <c r="AA384" i="1"/>
  <c r="W384" i="1"/>
  <c r="V384" i="1"/>
  <c r="X384" i="1"/>
  <c r="AB384" i="1" s="1"/>
  <c r="U384" i="1"/>
  <c r="T384" i="1"/>
  <c r="S384" i="1"/>
  <c r="Q384" i="1"/>
  <c r="P384" i="1"/>
  <c r="O384" i="1"/>
  <c r="M384" i="1"/>
  <c r="L384" i="1"/>
  <c r="R384" i="1"/>
  <c r="N384" i="1"/>
  <c r="K384" i="1"/>
  <c r="J384" i="1"/>
  <c r="I384" i="1"/>
  <c r="AE384" i="1" s="1"/>
  <c r="G384" i="1" a="1"/>
  <c r="G384" i="1" s="1"/>
  <c r="F384" i="1"/>
  <c r="E384" i="1"/>
  <c r="D384" i="1"/>
  <c r="AM385" i="1"/>
  <c r="AO385" i="1"/>
  <c r="AP385" i="1" s="1"/>
  <c r="AN385" i="1"/>
  <c r="AA385" i="1"/>
  <c r="Z385" i="1"/>
  <c r="Y385" i="1"/>
  <c r="AC385" i="1" s="1"/>
  <c r="W385" i="1"/>
  <c r="V385" i="1"/>
  <c r="X385" i="1"/>
  <c r="AB385" i="1" s="1"/>
  <c r="U385" i="1"/>
  <c r="T385" i="1"/>
  <c r="S385" i="1"/>
  <c r="Q385" i="1"/>
  <c r="P385" i="1"/>
  <c r="O385" i="1"/>
  <c r="N385" i="1"/>
  <c r="M385" i="1"/>
  <c r="L385" i="1"/>
  <c r="R385" i="1"/>
  <c r="K385" i="1"/>
  <c r="J385" i="1"/>
  <c r="I385" i="1"/>
  <c r="AE385" i="1" s="1"/>
  <c r="G385" i="1" a="1"/>
  <c r="G385" i="1" s="1"/>
  <c r="F385" i="1"/>
  <c r="E385" i="1"/>
  <c r="D385" i="1"/>
  <c r="AN386" i="1"/>
  <c r="AM386" i="1"/>
  <c r="AO386" i="1"/>
  <c r="AP386" i="1" s="1"/>
  <c r="Z386" i="1"/>
  <c r="Y386" i="1"/>
  <c r="W386" i="1"/>
  <c r="V386" i="1"/>
  <c r="AA386" i="1"/>
  <c r="X386" i="1"/>
  <c r="AB386" i="1" s="1"/>
  <c r="U386" i="1"/>
  <c r="T386" i="1"/>
  <c r="S386" i="1"/>
  <c r="Q386" i="1"/>
  <c r="P386" i="1"/>
  <c r="O386" i="1"/>
  <c r="R386" i="1"/>
  <c r="M386" i="1"/>
  <c r="L386" i="1"/>
  <c r="N386" i="1"/>
  <c r="K386" i="1"/>
  <c r="J386" i="1"/>
  <c r="I386" i="1"/>
  <c r="AE386" i="1" s="1"/>
  <c r="G386" i="1" a="1"/>
  <c r="G386" i="1" s="1"/>
  <c r="F386" i="1"/>
  <c r="E386" i="1"/>
  <c r="D386" i="1"/>
  <c r="AM387" i="1"/>
  <c r="AO387" i="1"/>
  <c r="AP387" i="1" s="1"/>
  <c r="AN387" i="1"/>
  <c r="Z387" i="1"/>
  <c r="Y387" i="1"/>
  <c r="AA387" i="1"/>
  <c r="W387" i="1"/>
  <c r="V387" i="1"/>
  <c r="X387" i="1"/>
  <c r="AB387" i="1" s="1"/>
  <c r="U387" i="1"/>
  <c r="T387" i="1"/>
  <c r="S387" i="1"/>
  <c r="Q387" i="1"/>
  <c r="P387" i="1"/>
  <c r="O387" i="1"/>
  <c r="N387" i="1"/>
  <c r="M387" i="1"/>
  <c r="L387" i="1"/>
  <c r="R387" i="1"/>
  <c r="K387" i="1"/>
  <c r="J387" i="1"/>
  <c r="I387" i="1"/>
  <c r="AE387" i="1" s="1"/>
  <c r="G387" i="1" a="1"/>
  <c r="G387" i="1" s="1"/>
  <c r="F387" i="1"/>
  <c r="E387" i="1"/>
  <c r="D387" i="1"/>
  <c r="AN388" i="1"/>
  <c r="AM388" i="1"/>
  <c r="AO388" i="1"/>
  <c r="AP388" i="1" s="1"/>
  <c r="AA388" i="1"/>
  <c r="Z388" i="1"/>
  <c r="Y388" i="1"/>
  <c r="AC388" i="1" s="1"/>
  <c r="W388" i="1"/>
  <c r="V388" i="1"/>
  <c r="X388" i="1"/>
  <c r="AB388" i="1" s="1"/>
  <c r="U388" i="1"/>
  <c r="T388" i="1"/>
  <c r="S388" i="1"/>
  <c r="Q388" i="1"/>
  <c r="P388" i="1"/>
  <c r="O388" i="1"/>
  <c r="M388" i="1"/>
  <c r="L388" i="1"/>
  <c r="R388" i="1"/>
  <c r="N388" i="1"/>
  <c r="K388" i="1"/>
  <c r="J388" i="1"/>
  <c r="I388" i="1"/>
  <c r="AE388" i="1" s="1"/>
  <c r="G388" i="1" a="1"/>
  <c r="G388" i="1" s="1"/>
  <c r="F388" i="1"/>
  <c r="E388" i="1"/>
  <c r="D388" i="1"/>
  <c r="AM389" i="1"/>
  <c r="AO389" i="1"/>
  <c r="AP389" i="1" s="1"/>
  <c r="AN389" i="1"/>
  <c r="Z389" i="1"/>
  <c r="Y389" i="1"/>
  <c r="W389" i="1"/>
  <c r="V389" i="1"/>
  <c r="AA389" i="1"/>
  <c r="X389" i="1"/>
  <c r="AB389" i="1" s="1"/>
  <c r="U389" i="1"/>
  <c r="T389" i="1"/>
  <c r="S389" i="1"/>
  <c r="Q389" i="1"/>
  <c r="P389" i="1"/>
  <c r="O389" i="1"/>
  <c r="R389" i="1"/>
  <c r="N389" i="1"/>
  <c r="M389" i="1"/>
  <c r="L389" i="1"/>
  <c r="K389" i="1"/>
  <c r="J389" i="1"/>
  <c r="I389" i="1"/>
  <c r="AE389" i="1" s="1"/>
  <c r="G389" i="1" a="1"/>
  <c r="G389" i="1" s="1"/>
  <c r="F389" i="1"/>
  <c r="E389" i="1"/>
  <c r="D389" i="1"/>
  <c r="AN390" i="1"/>
  <c r="AM390" i="1"/>
  <c r="AO390" i="1"/>
  <c r="AP390" i="1" s="1"/>
  <c r="Z390" i="1"/>
  <c r="Y390" i="1"/>
  <c r="AA390" i="1"/>
  <c r="W390" i="1"/>
  <c r="V390" i="1"/>
  <c r="X390" i="1"/>
  <c r="AB390" i="1" s="1"/>
  <c r="U390" i="1"/>
  <c r="T390" i="1"/>
  <c r="S390" i="1"/>
  <c r="Q390" i="1"/>
  <c r="P390" i="1"/>
  <c r="O390" i="1"/>
  <c r="M390" i="1"/>
  <c r="L390" i="1"/>
  <c r="R390" i="1"/>
  <c r="N390" i="1"/>
  <c r="K390" i="1"/>
  <c r="J390" i="1"/>
  <c r="I390" i="1"/>
  <c r="AE390" i="1" s="1"/>
  <c r="G390" i="1" a="1"/>
  <c r="G390" i="1" s="1"/>
  <c r="F390" i="1"/>
  <c r="E390" i="1"/>
  <c r="D390" i="1"/>
  <c r="AM391" i="1"/>
  <c r="AO391" i="1"/>
  <c r="AP391" i="1" s="1"/>
  <c r="AN391" i="1"/>
  <c r="AA391" i="1"/>
  <c r="Z391" i="1"/>
  <c r="Y391" i="1"/>
  <c r="AC391" i="1" s="1"/>
  <c r="W391" i="1"/>
  <c r="V391" i="1"/>
  <c r="X391" i="1"/>
  <c r="AB391" i="1" s="1"/>
  <c r="U391" i="1"/>
  <c r="T391" i="1"/>
  <c r="S391" i="1"/>
  <c r="Q391" i="1"/>
  <c r="P391" i="1"/>
  <c r="O391" i="1"/>
  <c r="N391" i="1"/>
  <c r="M391" i="1"/>
  <c r="L391" i="1"/>
  <c r="R391" i="1"/>
  <c r="K391" i="1"/>
  <c r="J391" i="1"/>
  <c r="I391" i="1"/>
  <c r="AE391" i="1" s="1"/>
  <c r="G391" i="1" a="1"/>
  <c r="G391" i="1" s="1"/>
  <c r="F391" i="1"/>
  <c r="E391" i="1"/>
  <c r="D391" i="1"/>
  <c r="AN392" i="1"/>
  <c r="AM392" i="1"/>
  <c r="AO392" i="1"/>
  <c r="AP392" i="1" s="1"/>
  <c r="Z392" i="1"/>
  <c r="Y392" i="1"/>
  <c r="W392" i="1"/>
  <c r="V392" i="1"/>
  <c r="AA392" i="1"/>
  <c r="X392" i="1"/>
  <c r="AB392" i="1" s="1"/>
  <c r="U392" i="1"/>
  <c r="T392" i="1"/>
  <c r="S392" i="1"/>
  <c r="Q392" i="1"/>
  <c r="P392" i="1"/>
  <c r="O392" i="1"/>
  <c r="R392" i="1"/>
  <c r="M392" i="1"/>
  <c r="L392" i="1"/>
  <c r="N392" i="1"/>
  <c r="K392" i="1"/>
  <c r="J392" i="1"/>
  <c r="I392" i="1"/>
  <c r="AE392" i="1" s="1"/>
  <c r="G392" i="1" a="1"/>
  <c r="G392" i="1" s="1"/>
  <c r="F392" i="1"/>
  <c r="E392" i="1"/>
  <c r="D392" i="1"/>
  <c r="AM393" i="1"/>
  <c r="AO393" i="1"/>
  <c r="AP393" i="1" s="1"/>
  <c r="AN393" i="1"/>
  <c r="Z393" i="1"/>
  <c r="Y393" i="1"/>
  <c r="AA393" i="1"/>
  <c r="W393" i="1"/>
  <c r="V393" i="1"/>
  <c r="X393" i="1"/>
  <c r="AB393" i="1" s="1"/>
  <c r="U393" i="1"/>
  <c r="T393" i="1"/>
  <c r="S393" i="1"/>
  <c r="Q393" i="1"/>
  <c r="P393" i="1"/>
  <c r="O393" i="1"/>
  <c r="N393" i="1"/>
  <c r="M393" i="1"/>
  <c r="L393" i="1"/>
  <c r="R393" i="1"/>
  <c r="K393" i="1"/>
  <c r="J393" i="1"/>
  <c r="I393" i="1"/>
  <c r="AE393" i="1" s="1"/>
  <c r="G393" i="1" a="1"/>
  <c r="G393" i="1" s="1"/>
  <c r="F393" i="1"/>
  <c r="E393" i="1"/>
  <c r="D393" i="1"/>
  <c r="AN394" i="1"/>
  <c r="AM394" i="1"/>
  <c r="AO394" i="1"/>
  <c r="AP394" i="1" s="1"/>
  <c r="AA394" i="1"/>
  <c r="Z394" i="1"/>
  <c r="Y394" i="1"/>
  <c r="AC394" i="1" s="1"/>
  <c r="W394" i="1"/>
  <c r="V394" i="1"/>
  <c r="X394" i="1"/>
  <c r="AB394" i="1" s="1"/>
  <c r="U394" i="1"/>
  <c r="T394" i="1"/>
  <c r="S394" i="1"/>
  <c r="Q394" i="1"/>
  <c r="P394" i="1"/>
  <c r="O394" i="1"/>
  <c r="R394" i="1"/>
  <c r="M394" i="1"/>
  <c r="L394" i="1"/>
  <c r="N394" i="1"/>
  <c r="K394" i="1"/>
  <c r="J394" i="1"/>
  <c r="I394" i="1"/>
  <c r="AE394" i="1" s="1"/>
  <c r="G394" i="1" a="1"/>
  <c r="G394" i="1" s="1"/>
  <c r="F394" i="1"/>
  <c r="E394" i="1"/>
  <c r="D394" i="1"/>
  <c r="AM395" i="1"/>
  <c r="AO395" i="1"/>
  <c r="AP395" i="1" s="1"/>
  <c r="AN395" i="1"/>
  <c r="Z395" i="1"/>
  <c r="Y395" i="1"/>
  <c r="W395" i="1"/>
  <c r="V395" i="1"/>
  <c r="AA395" i="1"/>
  <c r="X395" i="1"/>
  <c r="AB395" i="1" s="1"/>
  <c r="U395" i="1"/>
  <c r="T395" i="1"/>
  <c r="S395" i="1"/>
  <c r="Q395" i="1"/>
  <c r="P395" i="1"/>
  <c r="O395" i="1"/>
  <c r="N395" i="1"/>
  <c r="M395" i="1"/>
  <c r="L395" i="1"/>
  <c r="R395" i="1"/>
  <c r="K395" i="1"/>
  <c r="J395" i="1"/>
  <c r="I395" i="1"/>
  <c r="AE395" i="1" s="1"/>
  <c r="G395" i="1" a="1"/>
  <c r="G395" i="1" s="1"/>
  <c r="F395" i="1"/>
  <c r="E395" i="1"/>
  <c r="D395" i="1"/>
  <c r="AN396" i="1"/>
  <c r="AM396" i="1"/>
  <c r="AO396" i="1"/>
  <c r="AP396" i="1" s="1"/>
  <c r="Z396" i="1"/>
  <c r="Y396" i="1"/>
  <c r="AA396" i="1"/>
  <c r="W396" i="1"/>
  <c r="V396" i="1"/>
  <c r="X396" i="1"/>
  <c r="AB396" i="1" s="1"/>
  <c r="U396" i="1"/>
  <c r="T396" i="1"/>
  <c r="S396" i="1"/>
  <c r="Q396" i="1"/>
  <c r="P396" i="1"/>
  <c r="O396" i="1"/>
  <c r="R396" i="1"/>
  <c r="M396" i="1"/>
  <c r="L396" i="1"/>
  <c r="N396" i="1"/>
  <c r="K396" i="1"/>
  <c r="J396" i="1"/>
  <c r="I396" i="1"/>
  <c r="AE396" i="1" s="1"/>
  <c r="G396" i="1" a="1"/>
  <c r="G396" i="1" s="1"/>
  <c r="F396" i="1"/>
  <c r="E396" i="1"/>
  <c r="D396" i="1"/>
  <c r="AM397" i="1"/>
  <c r="AO397" i="1"/>
  <c r="AP397" i="1" s="1"/>
  <c r="AN397" i="1"/>
  <c r="AA397" i="1"/>
  <c r="Z397" i="1"/>
  <c r="Y397" i="1"/>
  <c r="AC397" i="1" s="1"/>
  <c r="W397" i="1"/>
  <c r="V397" i="1"/>
  <c r="X397" i="1"/>
  <c r="AB397" i="1" s="1"/>
  <c r="U397" i="1"/>
  <c r="T397" i="1"/>
  <c r="S397" i="1"/>
  <c r="Q397" i="1"/>
  <c r="P397" i="1"/>
  <c r="O397" i="1"/>
  <c r="N397" i="1"/>
  <c r="M397" i="1"/>
  <c r="L397" i="1"/>
  <c r="R397" i="1"/>
  <c r="K397" i="1"/>
  <c r="J397" i="1"/>
  <c r="I397" i="1"/>
  <c r="AE397" i="1" s="1"/>
  <c r="G397" i="1" a="1"/>
  <c r="G397" i="1" s="1"/>
  <c r="F397" i="1"/>
  <c r="E397" i="1"/>
  <c r="D397" i="1"/>
  <c r="AN398" i="1"/>
  <c r="AM398" i="1"/>
  <c r="AO398" i="1"/>
  <c r="AP398" i="1" s="1"/>
  <c r="Z398" i="1"/>
  <c r="Y398" i="1"/>
  <c r="W398" i="1"/>
  <c r="V398" i="1"/>
  <c r="AA398" i="1"/>
  <c r="X398" i="1"/>
  <c r="AB398" i="1" s="1"/>
  <c r="U398" i="1"/>
  <c r="T398" i="1"/>
  <c r="S398" i="1"/>
  <c r="Q398" i="1"/>
  <c r="P398" i="1"/>
  <c r="O398" i="1"/>
  <c r="R398" i="1"/>
  <c r="M398" i="1"/>
  <c r="L398" i="1"/>
  <c r="N398" i="1"/>
  <c r="K398" i="1"/>
  <c r="J398" i="1"/>
  <c r="I398" i="1"/>
  <c r="AE398" i="1" s="1"/>
  <c r="G398" i="1" a="1"/>
  <c r="G398" i="1" s="1"/>
  <c r="F398" i="1"/>
  <c r="E398" i="1"/>
  <c r="D398" i="1"/>
  <c r="AO399" i="1"/>
  <c r="AM399" i="1"/>
  <c r="AN399" i="1"/>
  <c r="Z399" i="1"/>
  <c r="Y399" i="1"/>
  <c r="AA399" i="1"/>
  <c r="W399" i="1"/>
  <c r="V399" i="1"/>
  <c r="X399" i="1"/>
  <c r="AB399" i="1" s="1"/>
  <c r="U399" i="1"/>
  <c r="T399" i="1"/>
  <c r="S399" i="1"/>
  <c r="Q399" i="1"/>
  <c r="P399" i="1"/>
  <c r="O399" i="1"/>
  <c r="N399" i="1"/>
  <c r="M399" i="1"/>
  <c r="L399" i="1"/>
  <c r="R399" i="1"/>
  <c r="K399" i="1"/>
  <c r="J399" i="1"/>
  <c r="I399" i="1"/>
  <c r="AE399" i="1" s="1"/>
  <c r="G399" i="1" a="1"/>
  <c r="G399" i="1" s="1"/>
  <c r="F399" i="1"/>
  <c r="E399" i="1"/>
  <c r="D399" i="1"/>
  <c r="AN400" i="1"/>
  <c r="AM400" i="1"/>
  <c r="AO400" i="1"/>
  <c r="AP400" i="1" s="1"/>
  <c r="AA400" i="1"/>
  <c r="Z400" i="1"/>
  <c r="Y400" i="1"/>
  <c r="AC400" i="1" s="1"/>
  <c r="W400" i="1"/>
  <c r="V400" i="1"/>
  <c r="X400" i="1"/>
  <c r="AB400" i="1" s="1"/>
  <c r="U400" i="1"/>
  <c r="T400" i="1"/>
  <c r="S400" i="1"/>
  <c r="Q400" i="1"/>
  <c r="P400" i="1"/>
  <c r="O400" i="1"/>
  <c r="R400" i="1"/>
  <c r="M400" i="1"/>
  <c r="L400" i="1"/>
  <c r="N400" i="1"/>
  <c r="K400" i="1"/>
  <c r="J400" i="1"/>
  <c r="I400" i="1"/>
  <c r="AE400" i="1" s="1"/>
  <c r="G400" i="1" a="1"/>
  <c r="G400" i="1" s="1"/>
  <c r="F400" i="1"/>
  <c r="E400" i="1"/>
  <c r="D400" i="1"/>
  <c r="AM401" i="1"/>
  <c r="AO401" i="1"/>
  <c r="AP401" i="1" s="1"/>
  <c r="AN401" i="1"/>
  <c r="Z401" i="1"/>
  <c r="Y401" i="1"/>
  <c r="W401" i="1"/>
  <c r="V401" i="1"/>
  <c r="AA401" i="1"/>
  <c r="X401" i="1"/>
  <c r="AB401" i="1" s="1"/>
  <c r="U401" i="1"/>
  <c r="T401" i="1"/>
  <c r="S401" i="1"/>
  <c r="Q401" i="1"/>
  <c r="P401" i="1"/>
  <c r="O401" i="1"/>
  <c r="N401" i="1"/>
  <c r="M401" i="1"/>
  <c r="L401" i="1"/>
  <c r="R401" i="1"/>
  <c r="K401" i="1"/>
  <c r="J401" i="1"/>
  <c r="I401" i="1"/>
  <c r="AE401" i="1" s="1"/>
  <c r="G401" i="1" a="1"/>
  <c r="G401" i="1" s="1"/>
  <c r="F401" i="1"/>
  <c r="E401" i="1"/>
  <c r="D401" i="1"/>
  <c r="AN402" i="1"/>
  <c r="AM402" i="1"/>
  <c r="AO402" i="1"/>
  <c r="AP402" i="1" s="1"/>
  <c r="Z402" i="1"/>
  <c r="Y402" i="1"/>
  <c r="AA402" i="1"/>
  <c r="W402" i="1"/>
  <c r="V402" i="1"/>
  <c r="X402" i="1"/>
  <c r="AB402" i="1" s="1"/>
  <c r="U402" i="1"/>
  <c r="T402" i="1"/>
  <c r="S402" i="1"/>
  <c r="Q402" i="1"/>
  <c r="P402" i="1"/>
  <c r="O402" i="1"/>
  <c r="R402" i="1"/>
  <c r="M402" i="1"/>
  <c r="L402" i="1"/>
  <c r="N402" i="1"/>
  <c r="K402" i="1"/>
  <c r="J402" i="1"/>
  <c r="I402" i="1"/>
  <c r="AE402" i="1" s="1"/>
  <c r="G402" i="1" a="1"/>
  <c r="G402" i="1" s="1"/>
  <c r="F402" i="1"/>
  <c r="E402" i="1"/>
  <c r="D402" i="1"/>
  <c r="AO403" i="1"/>
  <c r="AM403" i="1"/>
  <c r="AN403" i="1"/>
  <c r="AA403" i="1"/>
  <c r="Z403" i="1"/>
  <c r="Y403" i="1"/>
  <c r="AC403" i="1" s="1"/>
  <c r="X403" i="1"/>
  <c r="AB403" i="1" s="1"/>
  <c r="W403" i="1"/>
  <c r="V403" i="1"/>
  <c r="U403" i="1"/>
  <c r="T403" i="1"/>
  <c r="S403" i="1"/>
  <c r="Q403" i="1"/>
  <c r="P403" i="1"/>
  <c r="O403" i="1"/>
  <c r="N403" i="1"/>
  <c r="M403" i="1"/>
  <c r="L403" i="1"/>
  <c r="R403" i="1"/>
  <c r="K403" i="1"/>
  <c r="J403" i="1"/>
  <c r="I403" i="1"/>
  <c r="AE403" i="1" s="1"/>
  <c r="G403" i="1" a="1"/>
  <c r="G403" i="1" s="1"/>
  <c r="F403" i="1"/>
  <c r="E403" i="1"/>
  <c r="D403" i="1"/>
  <c r="AN404" i="1"/>
  <c r="AM404" i="1"/>
  <c r="AO404" i="1"/>
  <c r="AP404" i="1" s="1"/>
  <c r="Z404" i="1"/>
  <c r="Y404" i="1"/>
  <c r="W404" i="1"/>
  <c r="V404" i="1"/>
  <c r="AA404" i="1"/>
  <c r="X404" i="1"/>
  <c r="AB404" i="1" s="1"/>
  <c r="U404" i="1"/>
  <c r="T404" i="1"/>
  <c r="S404" i="1"/>
  <c r="Q404" i="1"/>
  <c r="P404" i="1"/>
  <c r="O404" i="1"/>
  <c r="R404" i="1"/>
  <c r="M404" i="1"/>
  <c r="L404" i="1"/>
  <c r="N404" i="1"/>
  <c r="K404" i="1"/>
  <c r="J404" i="1"/>
  <c r="I404" i="1"/>
  <c r="AE404" i="1" s="1"/>
  <c r="G404" i="1" a="1"/>
  <c r="G404" i="1" s="1"/>
  <c r="F404" i="1"/>
  <c r="E404" i="1"/>
  <c r="D404" i="1"/>
  <c r="AM405" i="1"/>
  <c r="AO405" i="1"/>
  <c r="AN405" i="1"/>
  <c r="Z405" i="1"/>
  <c r="Y405" i="1"/>
  <c r="AA405" i="1"/>
  <c r="W405" i="1"/>
  <c r="V405" i="1"/>
  <c r="X405" i="1"/>
  <c r="AB405" i="1" s="1"/>
  <c r="U405" i="1"/>
  <c r="T405" i="1"/>
  <c r="S405" i="1"/>
  <c r="Q405" i="1"/>
  <c r="P405" i="1"/>
  <c r="O405" i="1"/>
  <c r="N405" i="1"/>
  <c r="M405" i="1"/>
  <c r="L405" i="1"/>
  <c r="R405" i="1"/>
  <c r="K405" i="1"/>
  <c r="J405" i="1"/>
  <c r="I405" i="1"/>
  <c r="AE405" i="1" s="1"/>
  <c r="G405" i="1" a="1"/>
  <c r="G405" i="1" s="1"/>
  <c r="F405" i="1"/>
  <c r="E405" i="1"/>
  <c r="D405" i="1"/>
  <c r="AO406" i="1"/>
  <c r="AN406" i="1"/>
  <c r="AM406" i="1"/>
  <c r="AA406" i="1"/>
  <c r="Z406" i="1"/>
  <c r="Y406" i="1"/>
  <c r="AC406" i="1" s="1"/>
  <c r="X406" i="1"/>
  <c r="AB406" i="1" s="1"/>
  <c r="W406" i="1"/>
  <c r="V406" i="1"/>
  <c r="U406" i="1"/>
  <c r="T406" i="1"/>
  <c r="S406" i="1"/>
  <c r="Q406" i="1"/>
  <c r="P406" i="1"/>
  <c r="O406" i="1"/>
  <c r="R406" i="1"/>
  <c r="M406" i="1"/>
  <c r="L406" i="1"/>
  <c r="N406" i="1"/>
  <c r="K406" i="1"/>
  <c r="J406" i="1"/>
  <c r="I406" i="1"/>
  <c r="AE406" i="1" s="1"/>
  <c r="G406" i="1" a="1"/>
  <c r="G406" i="1" s="1"/>
  <c r="F406" i="1"/>
  <c r="E406" i="1"/>
  <c r="D406" i="1"/>
  <c r="AO407" i="1"/>
  <c r="AM407" i="1"/>
  <c r="AN407" i="1"/>
  <c r="Z407" i="1"/>
  <c r="Y407" i="1"/>
  <c r="W407" i="1"/>
  <c r="V407" i="1"/>
  <c r="AA407" i="1"/>
  <c r="X407" i="1"/>
  <c r="AB407" i="1" s="1"/>
  <c r="U407" i="1"/>
  <c r="T407" i="1"/>
  <c r="S407" i="1"/>
  <c r="Q407" i="1"/>
  <c r="P407" i="1"/>
  <c r="O407" i="1"/>
  <c r="M407" i="1"/>
  <c r="L407" i="1"/>
  <c r="R407" i="1"/>
  <c r="N407" i="1"/>
  <c r="K407" i="1"/>
  <c r="J407" i="1"/>
  <c r="I407" i="1"/>
  <c r="AE407" i="1" s="1"/>
  <c r="G407" i="1" a="1"/>
  <c r="G407" i="1" s="1"/>
  <c r="F407" i="1"/>
  <c r="E407" i="1"/>
  <c r="D407" i="1"/>
  <c r="AN408" i="1"/>
  <c r="AM408" i="1"/>
  <c r="AO408" i="1"/>
  <c r="AP408" i="1" s="1"/>
  <c r="AA408" i="1"/>
  <c r="Z408" i="1"/>
  <c r="Y408" i="1"/>
  <c r="AC408" i="1" s="1"/>
  <c r="X408" i="1"/>
  <c r="AB408" i="1" s="1"/>
  <c r="W408" i="1"/>
  <c r="V408" i="1"/>
  <c r="U408" i="1"/>
  <c r="T408" i="1"/>
  <c r="S408" i="1"/>
  <c r="Q408" i="1"/>
  <c r="P408" i="1"/>
  <c r="O408" i="1"/>
  <c r="R408" i="1"/>
  <c r="N408" i="1"/>
  <c r="M408" i="1"/>
  <c r="L408" i="1"/>
  <c r="K408" i="1"/>
  <c r="J408" i="1"/>
  <c r="I408" i="1"/>
  <c r="AE408" i="1" s="1"/>
  <c r="G408" i="1" a="1"/>
  <c r="G408" i="1" s="1"/>
  <c r="F408" i="1"/>
  <c r="E408" i="1"/>
  <c r="D408" i="1"/>
  <c r="AO409" i="1"/>
  <c r="AM409" i="1"/>
  <c r="AN409" i="1"/>
  <c r="Z409" i="1"/>
  <c r="Y409" i="1"/>
  <c r="AA409" i="1"/>
  <c r="W409" i="1"/>
  <c r="V409" i="1"/>
  <c r="X409" i="1"/>
  <c r="AB409" i="1" s="1"/>
  <c r="U409" i="1"/>
  <c r="T409" i="1"/>
  <c r="S409" i="1"/>
  <c r="Q409" i="1"/>
  <c r="P409" i="1"/>
  <c r="O409" i="1"/>
  <c r="M409" i="1"/>
  <c r="L409" i="1"/>
  <c r="R409" i="1"/>
  <c r="N409" i="1"/>
  <c r="K409" i="1"/>
  <c r="J409" i="1"/>
  <c r="I409" i="1"/>
  <c r="AE409" i="1" s="1"/>
  <c r="G409" i="1" a="1"/>
  <c r="G409" i="1" s="1"/>
  <c r="F409" i="1"/>
  <c r="E409" i="1"/>
  <c r="D409" i="1"/>
  <c r="AN410" i="1"/>
  <c r="AM410" i="1"/>
  <c r="AO410" i="1"/>
  <c r="AP410" i="1" s="1"/>
  <c r="Z410" i="1"/>
  <c r="Y410" i="1"/>
  <c r="X410" i="1"/>
  <c r="AB410" i="1" s="1"/>
  <c r="W410" i="1"/>
  <c r="V410" i="1"/>
  <c r="AA410" i="1"/>
  <c r="U410" i="1"/>
  <c r="T410" i="1"/>
  <c r="S410" i="1"/>
  <c r="Q410" i="1"/>
  <c r="P410" i="1"/>
  <c r="O410" i="1"/>
  <c r="R410" i="1"/>
  <c r="N410" i="1"/>
  <c r="M410" i="1"/>
  <c r="L410" i="1"/>
  <c r="K410" i="1"/>
  <c r="J410" i="1"/>
  <c r="I410" i="1"/>
  <c r="AE410" i="1" s="1"/>
  <c r="G410" i="1" a="1"/>
  <c r="G410" i="1" s="1"/>
  <c r="F410" i="1"/>
  <c r="E410" i="1"/>
  <c r="D410" i="1"/>
  <c r="AM411" i="1"/>
  <c r="AO411" i="1"/>
  <c r="AP411" i="1" s="1"/>
  <c r="AN411" i="1"/>
  <c r="AA411" i="1"/>
  <c r="Z411" i="1"/>
  <c r="Y411" i="1"/>
  <c r="AC411" i="1" s="1"/>
  <c r="W411" i="1"/>
  <c r="V411" i="1"/>
  <c r="X411" i="1"/>
  <c r="AB411" i="1" s="1"/>
  <c r="U411" i="1"/>
  <c r="T411" i="1"/>
  <c r="S411" i="1"/>
  <c r="Q411" i="1"/>
  <c r="P411" i="1"/>
  <c r="O411" i="1"/>
  <c r="M411" i="1"/>
  <c r="L411" i="1"/>
  <c r="R411" i="1"/>
  <c r="N411" i="1"/>
  <c r="K411" i="1"/>
  <c r="J411" i="1"/>
  <c r="I411" i="1"/>
  <c r="AE411" i="1" s="1"/>
  <c r="G411" i="1" a="1"/>
  <c r="G411" i="1" s="1"/>
  <c r="F411" i="1"/>
  <c r="E411" i="1"/>
  <c r="D411" i="1"/>
  <c r="AO412" i="1"/>
  <c r="AN412" i="1"/>
  <c r="AM412" i="1"/>
  <c r="Z412" i="1"/>
  <c r="Y412" i="1"/>
  <c r="AA412" i="1"/>
  <c r="X412" i="1"/>
  <c r="AB412" i="1" s="1"/>
  <c r="W412" i="1"/>
  <c r="V412" i="1"/>
  <c r="U412" i="1"/>
  <c r="T412" i="1"/>
  <c r="S412" i="1"/>
  <c r="Q412" i="1"/>
  <c r="P412" i="1"/>
  <c r="O412" i="1"/>
  <c r="R412" i="1"/>
  <c r="N412" i="1"/>
  <c r="M412" i="1"/>
  <c r="L412" i="1"/>
  <c r="K412" i="1"/>
  <c r="J412" i="1"/>
  <c r="I412" i="1"/>
  <c r="AE412" i="1" s="1"/>
  <c r="G412" i="1" a="1"/>
  <c r="G412" i="1" s="1"/>
  <c r="F412" i="1"/>
  <c r="E412" i="1"/>
  <c r="D412" i="1"/>
  <c r="AM413" i="1"/>
  <c r="AO413" i="1"/>
  <c r="AP413" i="1" s="1"/>
  <c r="AN413" i="1"/>
  <c r="Z413" i="1"/>
  <c r="Y413" i="1"/>
  <c r="W413" i="1"/>
  <c r="V413" i="1"/>
  <c r="AA413" i="1"/>
  <c r="X413" i="1"/>
  <c r="AB413" i="1" s="1"/>
  <c r="U413" i="1"/>
  <c r="T413" i="1"/>
  <c r="S413" i="1"/>
  <c r="Q413" i="1"/>
  <c r="P413" i="1"/>
  <c r="O413" i="1"/>
  <c r="M413" i="1"/>
  <c r="L413" i="1"/>
  <c r="R413" i="1"/>
  <c r="N413" i="1"/>
  <c r="K413" i="1"/>
  <c r="J413" i="1"/>
  <c r="I413" i="1"/>
  <c r="AE413" i="1" s="1"/>
  <c r="G413" i="1" a="1"/>
  <c r="G413" i="1" s="1"/>
  <c r="F413" i="1"/>
  <c r="E413" i="1"/>
  <c r="D413" i="1"/>
  <c r="AO414" i="1"/>
  <c r="AN414" i="1"/>
  <c r="AM414" i="1"/>
  <c r="AA414" i="1"/>
  <c r="Z414" i="1"/>
  <c r="Y414" i="1"/>
  <c r="AC414" i="1" s="1"/>
  <c r="X414" i="1"/>
  <c r="AB414" i="1" s="1"/>
  <c r="W414" i="1"/>
  <c r="V414" i="1"/>
  <c r="U414" i="1"/>
  <c r="T414" i="1"/>
  <c r="S414" i="1"/>
  <c r="Q414" i="1"/>
  <c r="P414" i="1"/>
  <c r="O414" i="1"/>
  <c r="R414" i="1"/>
  <c r="N414" i="1"/>
  <c r="M414" i="1"/>
  <c r="L414" i="1"/>
  <c r="K414" i="1"/>
  <c r="J414" i="1"/>
  <c r="I414" i="1"/>
  <c r="AE414" i="1" s="1"/>
  <c r="G414" i="1" a="1"/>
  <c r="G414" i="1" s="1"/>
  <c r="F414" i="1"/>
  <c r="E414" i="1"/>
  <c r="D414" i="1"/>
  <c r="AN415" i="1"/>
  <c r="AM415" i="1"/>
  <c r="AO415" i="1"/>
  <c r="AP415" i="1" s="1"/>
  <c r="Z415" i="1"/>
  <c r="Y415" i="1"/>
  <c r="AA415" i="1"/>
  <c r="W415" i="1"/>
  <c r="V415" i="1"/>
  <c r="X415" i="1"/>
  <c r="AB415" i="1" s="1"/>
  <c r="U415" i="1"/>
  <c r="T415" i="1"/>
  <c r="S415" i="1"/>
  <c r="Q415" i="1"/>
  <c r="P415" i="1"/>
  <c r="O415" i="1"/>
  <c r="M415" i="1"/>
  <c r="L415" i="1"/>
  <c r="R415" i="1"/>
  <c r="N415" i="1"/>
  <c r="K415" i="1"/>
  <c r="J415" i="1"/>
  <c r="I415" i="1"/>
  <c r="AE415" i="1" s="1"/>
  <c r="G415" i="1" a="1"/>
  <c r="G415" i="1" s="1"/>
  <c r="F415" i="1"/>
  <c r="E415" i="1"/>
  <c r="D415" i="1"/>
  <c r="AO416" i="1"/>
  <c r="AM416" i="1"/>
  <c r="AN416" i="1"/>
  <c r="Z416" i="1"/>
  <c r="Y416" i="1"/>
  <c r="X416" i="1"/>
  <c r="AB416" i="1" s="1"/>
  <c r="W416" i="1"/>
  <c r="V416" i="1"/>
  <c r="AA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AE416" i="1" s="1"/>
  <c r="G416" i="1" a="1"/>
  <c r="G416" i="1" s="1"/>
  <c r="F416" i="1"/>
  <c r="E416" i="1"/>
  <c r="D416" i="1"/>
  <c r="AN417" i="1"/>
  <c r="AM417" i="1"/>
  <c r="AO417" i="1"/>
  <c r="AP417" i="1" s="1"/>
  <c r="AA417" i="1"/>
  <c r="Z417" i="1"/>
  <c r="Y417" i="1"/>
  <c r="AC417" i="1" s="1"/>
  <c r="W417" i="1"/>
  <c r="V417" i="1"/>
  <c r="X417" i="1"/>
  <c r="AB417" i="1" s="1"/>
  <c r="U417" i="1"/>
  <c r="T417" i="1"/>
  <c r="S417" i="1"/>
  <c r="Q417" i="1"/>
  <c r="P417" i="1"/>
  <c r="O417" i="1"/>
  <c r="R417" i="1"/>
  <c r="M417" i="1"/>
  <c r="L417" i="1"/>
  <c r="N417" i="1"/>
  <c r="K417" i="1"/>
  <c r="J417" i="1"/>
  <c r="I417" i="1"/>
  <c r="AE417" i="1" s="1"/>
  <c r="G417" i="1" a="1"/>
  <c r="G417" i="1" s="1"/>
  <c r="F417" i="1"/>
  <c r="E417" i="1"/>
  <c r="D417" i="1"/>
  <c r="AO418" i="1"/>
  <c r="AM418" i="1"/>
  <c r="AN418" i="1"/>
  <c r="Z418" i="1"/>
  <c r="Y418" i="1"/>
  <c r="AA418" i="1"/>
  <c r="X418" i="1"/>
  <c r="AB418" i="1" s="1"/>
  <c r="W418" i="1"/>
  <c r="V418" i="1"/>
  <c r="U418" i="1"/>
  <c r="T418" i="1"/>
  <c r="S418" i="1"/>
  <c r="Q418" i="1"/>
  <c r="P418" i="1"/>
  <c r="O418" i="1"/>
  <c r="N418" i="1"/>
  <c r="M418" i="1"/>
  <c r="L418" i="1"/>
  <c r="R418" i="1"/>
  <c r="K418" i="1"/>
  <c r="J418" i="1"/>
  <c r="I418" i="1"/>
  <c r="AE418" i="1" s="1"/>
  <c r="G418" i="1" a="1"/>
  <c r="G418" i="1" s="1"/>
  <c r="F418" i="1"/>
  <c r="E418" i="1"/>
  <c r="D418" i="1"/>
  <c r="AN419" i="1"/>
  <c r="AM419" i="1"/>
  <c r="AO419" i="1"/>
  <c r="AP419" i="1" s="1"/>
  <c r="Z419" i="1"/>
  <c r="Y419" i="1"/>
  <c r="W419" i="1"/>
  <c r="V419" i="1"/>
  <c r="AA419" i="1"/>
  <c r="X419" i="1"/>
  <c r="AB419" i="1" s="1"/>
  <c r="U419" i="1"/>
  <c r="T419" i="1"/>
  <c r="S419" i="1"/>
  <c r="Q419" i="1"/>
  <c r="P419" i="1"/>
  <c r="O419" i="1"/>
  <c r="M419" i="1"/>
  <c r="L419" i="1"/>
  <c r="R419" i="1"/>
  <c r="N419" i="1"/>
  <c r="K419" i="1"/>
  <c r="J419" i="1"/>
  <c r="I419" i="1"/>
  <c r="AE419" i="1" s="1"/>
  <c r="G419" i="1" a="1"/>
  <c r="G419" i="1" s="1"/>
  <c r="F419" i="1"/>
  <c r="E419" i="1"/>
  <c r="D419" i="1"/>
  <c r="AO420" i="1"/>
  <c r="AM420" i="1"/>
  <c r="AN420" i="1"/>
  <c r="AA420" i="1"/>
  <c r="Z420" i="1"/>
  <c r="Y420" i="1"/>
  <c r="AC420" i="1" s="1"/>
  <c r="X420" i="1"/>
  <c r="AB420" i="1" s="1"/>
  <c r="W420" i="1"/>
  <c r="V420" i="1"/>
  <c r="U420" i="1"/>
  <c r="T420" i="1"/>
  <c r="S420" i="1"/>
  <c r="Q420" i="1"/>
  <c r="P420" i="1"/>
  <c r="O420" i="1"/>
  <c r="R420" i="1"/>
  <c r="N420" i="1"/>
  <c r="M420" i="1"/>
  <c r="L420" i="1"/>
  <c r="K420" i="1"/>
  <c r="J420" i="1"/>
  <c r="I420" i="1"/>
  <c r="AE420" i="1" s="1"/>
  <c r="G420" i="1" a="1"/>
  <c r="G420" i="1" s="1"/>
  <c r="F420" i="1"/>
  <c r="E420" i="1"/>
  <c r="D420" i="1"/>
  <c r="AM421" i="1"/>
  <c r="AO421" i="1"/>
  <c r="AP421" i="1" s="1"/>
  <c r="AN421" i="1"/>
  <c r="Z421" i="1"/>
  <c r="Y421" i="1"/>
  <c r="AA421" i="1"/>
  <c r="W421" i="1"/>
  <c r="V421" i="1"/>
  <c r="X421" i="1"/>
  <c r="AB421" i="1" s="1"/>
  <c r="U421" i="1"/>
  <c r="T421" i="1"/>
  <c r="S421" i="1"/>
  <c r="R421" i="1"/>
  <c r="Q421" i="1"/>
  <c r="P421" i="1"/>
  <c r="O421" i="1"/>
  <c r="M421" i="1"/>
  <c r="L421" i="1"/>
  <c r="N421" i="1"/>
  <c r="K421" i="1"/>
  <c r="J421" i="1"/>
  <c r="I421" i="1"/>
  <c r="AE421" i="1" s="1"/>
  <c r="G421" i="1" a="1"/>
  <c r="G421" i="1" s="1"/>
  <c r="F421" i="1"/>
  <c r="E421" i="1"/>
  <c r="D421" i="1"/>
  <c r="AO422" i="1"/>
  <c r="AN422" i="1"/>
  <c r="AM422" i="1"/>
  <c r="Z422" i="1"/>
  <c r="Y422" i="1"/>
  <c r="X422" i="1"/>
  <c r="AB422" i="1" s="1"/>
  <c r="W422" i="1"/>
  <c r="V422" i="1"/>
  <c r="AA422" i="1"/>
  <c r="U422" i="1"/>
  <c r="T422" i="1"/>
  <c r="S422" i="1"/>
  <c r="Q422" i="1"/>
  <c r="P422" i="1"/>
  <c r="O422" i="1"/>
  <c r="R422" i="1"/>
  <c r="N422" i="1"/>
  <c r="M422" i="1"/>
  <c r="L422" i="1"/>
  <c r="K422" i="1"/>
  <c r="J422" i="1"/>
  <c r="I422" i="1"/>
  <c r="AE422" i="1" s="1"/>
  <c r="G422" i="1" a="1"/>
  <c r="G422" i="1" s="1"/>
  <c r="F422" i="1"/>
  <c r="E422" i="1"/>
  <c r="D422" i="1"/>
  <c r="AM423" i="1"/>
  <c r="AO423" i="1"/>
  <c r="AP423" i="1" s="1"/>
  <c r="AN423" i="1"/>
  <c r="AA423" i="1"/>
  <c r="Z423" i="1"/>
  <c r="Y423" i="1"/>
  <c r="AC423" i="1" s="1"/>
  <c r="W423" i="1"/>
  <c r="V423" i="1"/>
  <c r="X423" i="1"/>
  <c r="AB423" i="1" s="1"/>
  <c r="U423" i="1"/>
  <c r="T423" i="1"/>
  <c r="S423" i="1"/>
  <c r="Q423" i="1"/>
  <c r="P423" i="1"/>
  <c r="O423" i="1"/>
  <c r="M423" i="1"/>
  <c r="L423" i="1"/>
  <c r="R423" i="1"/>
  <c r="N423" i="1"/>
  <c r="K423" i="1"/>
  <c r="J423" i="1"/>
  <c r="I423" i="1"/>
  <c r="AE423" i="1" s="1"/>
  <c r="G423" i="1" a="1"/>
  <c r="G423" i="1" s="1"/>
  <c r="F423" i="1"/>
  <c r="E423" i="1"/>
  <c r="D423" i="1"/>
  <c r="AO424" i="1"/>
  <c r="AN424" i="1"/>
  <c r="AM424" i="1"/>
  <c r="Z424" i="1"/>
  <c r="Y424" i="1"/>
  <c r="AA424" i="1"/>
  <c r="W424" i="1"/>
  <c r="V424" i="1"/>
  <c r="X424" i="1"/>
  <c r="AB424" i="1" s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AE424" i="1" s="1"/>
  <c r="G424" i="1" a="1"/>
  <c r="G424" i="1" s="1"/>
  <c r="F424" i="1"/>
  <c r="E424" i="1"/>
  <c r="D424" i="1"/>
  <c r="AM425" i="1"/>
  <c r="AO425" i="1"/>
  <c r="AP425" i="1" s="1"/>
  <c r="AN425" i="1"/>
  <c r="AA425" i="1"/>
  <c r="Z425" i="1"/>
  <c r="Y425" i="1"/>
  <c r="AC425" i="1" s="1"/>
  <c r="X425" i="1"/>
  <c r="AB425" i="1" s="1"/>
  <c r="W425" i="1"/>
  <c r="V425" i="1"/>
  <c r="U425" i="1"/>
  <c r="T425" i="1"/>
  <c r="S425" i="1"/>
  <c r="Q425" i="1"/>
  <c r="P425" i="1"/>
  <c r="O425" i="1"/>
  <c r="R425" i="1"/>
  <c r="M425" i="1"/>
  <c r="L425" i="1"/>
  <c r="N425" i="1"/>
  <c r="K425" i="1"/>
  <c r="J425" i="1"/>
  <c r="I425" i="1"/>
  <c r="AE425" i="1" s="1"/>
  <c r="G425" i="1" a="1"/>
  <c r="G425" i="1" s="1"/>
  <c r="F425" i="1"/>
  <c r="E425" i="1"/>
  <c r="D425" i="1"/>
  <c r="AO426" i="1"/>
  <c r="AN426" i="1"/>
  <c r="AM426" i="1"/>
  <c r="Z426" i="1"/>
  <c r="Y426" i="1"/>
  <c r="W426" i="1"/>
  <c r="V426" i="1"/>
  <c r="AA426" i="1"/>
  <c r="X426" i="1"/>
  <c r="AB426" i="1" s="1"/>
  <c r="U426" i="1"/>
  <c r="T426" i="1"/>
  <c r="S426" i="1"/>
  <c r="Q426" i="1"/>
  <c r="P426" i="1"/>
  <c r="O426" i="1"/>
  <c r="N426" i="1"/>
  <c r="M426" i="1"/>
  <c r="L426" i="1"/>
  <c r="R426" i="1"/>
  <c r="K426" i="1"/>
  <c r="J426" i="1"/>
  <c r="I426" i="1"/>
  <c r="AE426" i="1" s="1"/>
  <c r="G426" i="1" a="1"/>
  <c r="G426" i="1" s="1"/>
  <c r="F426" i="1"/>
  <c r="E426" i="1"/>
  <c r="D426" i="1"/>
  <c r="AM427" i="1"/>
  <c r="AO427" i="1"/>
  <c r="AP427" i="1" s="1"/>
  <c r="AN427" i="1"/>
  <c r="Z427" i="1"/>
  <c r="Y427" i="1"/>
  <c r="AA427" i="1"/>
  <c r="X427" i="1"/>
  <c r="AB427" i="1" s="1"/>
  <c r="W427" i="1"/>
  <c r="V427" i="1"/>
  <c r="U427" i="1"/>
  <c r="T427" i="1"/>
  <c r="S427" i="1"/>
  <c r="R427" i="1"/>
  <c r="Q427" i="1"/>
  <c r="P427" i="1"/>
  <c r="O427" i="1"/>
  <c r="M427" i="1"/>
  <c r="L427" i="1"/>
  <c r="N427" i="1"/>
  <c r="K427" i="1"/>
  <c r="J427" i="1"/>
  <c r="I427" i="1"/>
  <c r="AE427" i="1" s="1"/>
  <c r="G427" i="1" a="1"/>
  <c r="G427" i="1" s="1"/>
  <c r="F427" i="1"/>
  <c r="E427" i="1"/>
  <c r="D427" i="1"/>
  <c r="AO428" i="1"/>
  <c r="AN428" i="1"/>
  <c r="AM428" i="1"/>
  <c r="AA428" i="1"/>
  <c r="Z428" i="1"/>
  <c r="Y428" i="1"/>
  <c r="AC428" i="1" s="1"/>
  <c r="W428" i="1"/>
  <c r="V428" i="1"/>
  <c r="X428" i="1"/>
  <c r="AB428" i="1" s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AE428" i="1" s="1"/>
  <c r="G428" i="1" a="1"/>
  <c r="G428" i="1" s="1"/>
  <c r="F428" i="1"/>
  <c r="E428" i="1"/>
  <c r="D428" i="1"/>
  <c r="AM429" i="1"/>
  <c r="AO429" i="1"/>
  <c r="AP429" i="1" s="1"/>
  <c r="AN429" i="1"/>
  <c r="Z429" i="1"/>
  <c r="Y429" i="1"/>
  <c r="X429" i="1"/>
  <c r="AB429" i="1" s="1"/>
  <c r="W429" i="1"/>
  <c r="V429" i="1"/>
  <c r="AA429" i="1"/>
  <c r="U429" i="1"/>
  <c r="T429" i="1"/>
  <c r="S429" i="1"/>
  <c r="R429" i="1"/>
  <c r="Q429" i="1"/>
  <c r="P429" i="1"/>
  <c r="O429" i="1"/>
  <c r="M429" i="1"/>
  <c r="L429" i="1"/>
  <c r="N429" i="1"/>
  <c r="K429" i="1"/>
  <c r="J429" i="1"/>
  <c r="I429" i="1"/>
  <c r="G429" i="1" a="1"/>
  <c r="G429" i="1" s="1"/>
  <c r="F429" i="1"/>
  <c r="E429" i="1"/>
  <c r="D429" i="1"/>
  <c r="AO430" i="1"/>
  <c r="AN430" i="1"/>
  <c r="AM430" i="1"/>
  <c r="Z430" i="1"/>
  <c r="Y430" i="1"/>
  <c r="AA430" i="1"/>
  <c r="W430" i="1"/>
  <c r="V430" i="1"/>
  <c r="X430" i="1"/>
  <c r="AB430" i="1" s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G430" i="1" a="1"/>
  <c r="G430" i="1" s="1"/>
  <c r="F430" i="1"/>
  <c r="E430" i="1"/>
  <c r="D430" i="1"/>
  <c r="AM431" i="1"/>
  <c r="AO431" i="1"/>
  <c r="AP431" i="1" s="1"/>
  <c r="AN431" i="1"/>
  <c r="AA431" i="1"/>
  <c r="Z431" i="1"/>
  <c r="Y431" i="1"/>
  <c r="AC431" i="1" s="1"/>
  <c r="X431" i="1"/>
  <c r="AB431" i="1" s="1"/>
  <c r="W431" i="1"/>
  <c r="V431" i="1"/>
  <c r="U431" i="1"/>
  <c r="T431" i="1"/>
  <c r="S431" i="1"/>
  <c r="R431" i="1"/>
  <c r="Q431" i="1"/>
  <c r="P431" i="1"/>
  <c r="O431" i="1"/>
  <c r="M431" i="1"/>
  <c r="L431" i="1"/>
  <c r="N431" i="1"/>
  <c r="K431" i="1"/>
  <c r="J431" i="1"/>
  <c r="I431" i="1"/>
  <c r="G431" i="1" a="1"/>
  <c r="G431" i="1" s="1"/>
  <c r="F431" i="1"/>
  <c r="E431" i="1"/>
  <c r="D431" i="1"/>
  <c r="AO432" i="1"/>
  <c r="AN432" i="1"/>
  <c r="AM432" i="1"/>
  <c r="Z432" i="1"/>
  <c r="Y432" i="1"/>
  <c r="W432" i="1"/>
  <c r="V432" i="1"/>
  <c r="AA432" i="1"/>
  <c r="X432" i="1"/>
  <c r="AB432" i="1" s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AE432" i="1" s="1"/>
  <c r="G432" i="1" a="1"/>
  <c r="G432" i="1" s="1"/>
  <c r="F432" i="1"/>
  <c r="E432" i="1"/>
  <c r="D432" i="1"/>
  <c r="AM433" i="1"/>
  <c r="AO433" i="1"/>
  <c r="AP433" i="1" s="1"/>
  <c r="AN433" i="1"/>
  <c r="AA433" i="1"/>
  <c r="Z433" i="1"/>
  <c r="Y433" i="1"/>
  <c r="AC433" i="1" s="1"/>
  <c r="X433" i="1"/>
  <c r="AB433" i="1" s="1"/>
  <c r="W433" i="1"/>
  <c r="V433" i="1"/>
  <c r="U433" i="1"/>
  <c r="T433" i="1"/>
  <c r="S433" i="1"/>
  <c r="R433" i="1"/>
  <c r="Q433" i="1"/>
  <c r="P433" i="1"/>
  <c r="O433" i="1"/>
  <c r="M433" i="1"/>
  <c r="L433" i="1"/>
  <c r="N433" i="1"/>
  <c r="K433" i="1"/>
  <c r="J433" i="1"/>
  <c r="I433" i="1"/>
  <c r="AE433" i="1" s="1"/>
  <c r="G433" i="1" a="1"/>
  <c r="G433" i="1" s="1"/>
  <c r="F433" i="1"/>
  <c r="E433" i="1"/>
  <c r="D433" i="1"/>
  <c r="AO434" i="1"/>
  <c r="AN434" i="1"/>
  <c r="AM434" i="1"/>
  <c r="Z434" i="1"/>
  <c r="Y434" i="1"/>
  <c r="AA434" i="1"/>
  <c r="W434" i="1"/>
  <c r="V434" i="1"/>
  <c r="X434" i="1"/>
  <c r="AB434" i="1" s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AE434" i="1" s="1"/>
  <c r="G434" i="1" a="1"/>
  <c r="G434" i="1" s="1"/>
  <c r="F434" i="1"/>
  <c r="E434" i="1"/>
  <c r="D434" i="1"/>
  <c r="AM435" i="1"/>
  <c r="AO435" i="1"/>
  <c r="AP435" i="1" s="1"/>
  <c r="AN435" i="1"/>
  <c r="Z435" i="1"/>
  <c r="Y435" i="1"/>
  <c r="X435" i="1"/>
  <c r="AB435" i="1" s="1"/>
  <c r="W435" i="1"/>
  <c r="V435" i="1"/>
  <c r="AA435" i="1"/>
  <c r="U435" i="1"/>
  <c r="T435" i="1"/>
  <c r="S435" i="1"/>
  <c r="R435" i="1"/>
  <c r="Q435" i="1"/>
  <c r="P435" i="1"/>
  <c r="O435" i="1"/>
  <c r="M435" i="1"/>
  <c r="L435" i="1"/>
  <c r="N435" i="1"/>
  <c r="K435" i="1"/>
  <c r="J435" i="1"/>
  <c r="I435" i="1"/>
  <c r="AE435" i="1" s="1"/>
  <c r="G435" i="1" a="1"/>
  <c r="G435" i="1" s="1"/>
  <c r="F435" i="1"/>
  <c r="E435" i="1"/>
  <c r="D435" i="1"/>
  <c r="AO436" i="1"/>
  <c r="AN436" i="1"/>
  <c r="AM436" i="1"/>
  <c r="AA436" i="1"/>
  <c r="Z436" i="1"/>
  <c r="Y436" i="1"/>
  <c r="AC436" i="1" s="1"/>
  <c r="W436" i="1"/>
  <c r="V436" i="1"/>
  <c r="X436" i="1"/>
  <c r="AB436" i="1" s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AE436" i="1" s="1"/>
  <c r="G436" i="1" a="1"/>
  <c r="G436" i="1" s="1"/>
  <c r="F436" i="1"/>
  <c r="E436" i="1"/>
  <c r="D436" i="1"/>
  <c r="AM437" i="1"/>
  <c r="AO437" i="1"/>
  <c r="AP437" i="1" s="1"/>
  <c r="AN437" i="1"/>
  <c r="Z437" i="1"/>
  <c r="Y437" i="1"/>
  <c r="AA437" i="1"/>
  <c r="X437" i="1"/>
  <c r="AB437" i="1" s="1"/>
  <c r="W437" i="1"/>
  <c r="V437" i="1"/>
  <c r="U437" i="1"/>
  <c r="T437" i="1"/>
  <c r="S437" i="1"/>
  <c r="R437" i="1"/>
  <c r="Q437" i="1"/>
  <c r="P437" i="1"/>
  <c r="O437" i="1"/>
  <c r="M437" i="1"/>
  <c r="L437" i="1"/>
  <c r="N437" i="1"/>
  <c r="K437" i="1"/>
  <c r="J437" i="1"/>
  <c r="I437" i="1"/>
  <c r="AE437" i="1" s="1"/>
  <c r="G437" i="1" a="1"/>
  <c r="G437" i="1" s="1"/>
  <c r="F437" i="1"/>
  <c r="E437" i="1"/>
  <c r="D437" i="1"/>
  <c r="AO438" i="1"/>
  <c r="AN438" i="1"/>
  <c r="AM438" i="1"/>
  <c r="Z438" i="1"/>
  <c r="Y438" i="1"/>
  <c r="W438" i="1"/>
  <c r="V438" i="1"/>
  <c r="AA438" i="1"/>
  <c r="X438" i="1"/>
  <c r="AB438" i="1" s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AE438" i="1" s="1"/>
  <c r="G438" i="1" a="1"/>
  <c r="G438" i="1" s="1"/>
  <c r="F438" i="1"/>
  <c r="E438" i="1"/>
  <c r="D438" i="1"/>
  <c r="AM439" i="1"/>
  <c r="AO439" i="1"/>
  <c r="AP439" i="1" s="1"/>
  <c r="AN439" i="1"/>
  <c r="AA439" i="1"/>
  <c r="Z439" i="1"/>
  <c r="Y439" i="1"/>
  <c r="AC439" i="1" s="1"/>
  <c r="W439" i="1"/>
  <c r="V439" i="1"/>
  <c r="X439" i="1"/>
  <c r="AB439" i="1" s="1"/>
  <c r="U439" i="1"/>
  <c r="T439" i="1"/>
  <c r="S439" i="1"/>
  <c r="R439" i="1"/>
  <c r="Q439" i="1"/>
  <c r="P439" i="1"/>
  <c r="O439" i="1"/>
  <c r="M439" i="1"/>
  <c r="L439" i="1"/>
  <c r="N439" i="1"/>
  <c r="K439" i="1"/>
  <c r="J439" i="1"/>
  <c r="I439" i="1"/>
  <c r="AE439" i="1" s="1"/>
  <c r="G439" i="1" a="1"/>
  <c r="G439" i="1" s="1"/>
  <c r="F439" i="1"/>
  <c r="E439" i="1"/>
  <c r="D439" i="1"/>
  <c r="AO440" i="1"/>
  <c r="AN440" i="1"/>
  <c r="AM440" i="1"/>
  <c r="Z440" i="1"/>
  <c r="Y440" i="1"/>
  <c r="AA440" i="1"/>
  <c r="X440" i="1"/>
  <c r="AB440" i="1" s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AE440" i="1" s="1"/>
  <c r="G440" i="1" a="1"/>
  <c r="G440" i="1" s="1"/>
  <c r="F440" i="1"/>
  <c r="E440" i="1"/>
  <c r="D440" i="1"/>
  <c r="AM441" i="1"/>
  <c r="AO441" i="1"/>
  <c r="AP441" i="1" s="1"/>
  <c r="AN441" i="1"/>
  <c r="Z441" i="1"/>
  <c r="Y441" i="1"/>
  <c r="W441" i="1"/>
  <c r="V441" i="1"/>
  <c r="AA441" i="1"/>
  <c r="X441" i="1"/>
  <c r="AB441" i="1" s="1"/>
  <c r="U441" i="1"/>
  <c r="T441" i="1"/>
  <c r="S441" i="1"/>
  <c r="R441" i="1"/>
  <c r="Q441" i="1"/>
  <c r="P441" i="1"/>
  <c r="O441" i="1"/>
  <c r="M441" i="1"/>
  <c r="L441" i="1"/>
  <c r="N441" i="1"/>
  <c r="K441" i="1"/>
  <c r="J441" i="1"/>
  <c r="I441" i="1"/>
  <c r="AE441" i="1" s="1"/>
  <c r="G441" i="1" a="1"/>
  <c r="G441" i="1" s="1"/>
  <c r="F441" i="1"/>
  <c r="E441" i="1"/>
  <c r="D441" i="1"/>
  <c r="AO442" i="1"/>
  <c r="AN442" i="1"/>
  <c r="AM442" i="1"/>
  <c r="AA442" i="1"/>
  <c r="Z442" i="1"/>
  <c r="Y442" i="1"/>
  <c r="AC442" i="1" s="1"/>
  <c r="X442" i="1"/>
  <c r="AB442" i="1" s="1"/>
  <c r="W442" i="1"/>
  <c r="V442" i="1"/>
  <c r="U442" i="1"/>
  <c r="T442" i="1"/>
  <c r="S442" i="1"/>
  <c r="R442" i="1"/>
  <c r="Q442" i="1"/>
  <c r="P442" i="1"/>
  <c r="O442" i="1"/>
  <c r="M442" i="1"/>
  <c r="L442" i="1"/>
  <c r="N442" i="1"/>
  <c r="K442" i="1"/>
  <c r="J442" i="1"/>
  <c r="I442" i="1"/>
  <c r="AE442" i="1" s="1"/>
  <c r="G442" i="1" a="1"/>
  <c r="G442" i="1" s="1"/>
  <c r="F442" i="1"/>
  <c r="E442" i="1"/>
  <c r="D442" i="1"/>
  <c r="AM443" i="1"/>
  <c r="AO443" i="1"/>
  <c r="AP443" i="1" s="1"/>
  <c r="AN443" i="1"/>
  <c r="Z443" i="1"/>
  <c r="Y443" i="1"/>
  <c r="AA443" i="1"/>
  <c r="W443" i="1"/>
  <c r="V443" i="1"/>
  <c r="X443" i="1"/>
  <c r="AB443" i="1" s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G443" i="1" a="1"/>
  <c r="G443" i="1" s="1"/>
  <c r="F443" i="1"/>
  <c r="H443" i="1" s="1"/>
  <c r="E443" i="1"/>
  <c r="D443" i="1"/>
  <c r="AO444" i="1"/>
  <c r="AN444" i="1"/>
  <c r="AM444" i="1"/>
  <c r="Z444" i="1"/>
  <c r="Y444" i="1"/>
  <c r="X444" i="1"/>
  <c r="AB444" i="1" s="1"/>
  <c r="W444" i="1"/>
  <c r="V444" i="1"/>
  <c r="AA444" i="1"/>
  <c r="U444" i="1"/>
  <c r="T444" i="1"/>
  <c r="S444" i="1"/>
  <c r="R444" i="1"/>
  <c r="Q444" i="1"/>
  <c r="P444" i="1"/>
  <c r="O444" i="1"/>
  <c r="M444" i="1"/>
  <c r="L444" i="1"/>
  <c r="N444" i="1"/>
  <c r="K444" i="1"/>
  <c r="J444" i="1"/>
  <c r="I444" i="1"/>
  <c r="AE444" i="1" s="1"/>
  <c r="G444" i="1" a="1"/>
  <c r="G444" i="1" s="1"/>
  <c r="F444" i="1"/>
  <c r="H444" i="1" s="1"/>
  <c r="E444" i="1"/>
  <c r="D444" i="1"/>
  <c r="AM445" i="1"/>
  <c r="AO445" i="1"/>
  <c r="AP445" i="1" s="1"/>
  <c r="AN445" i="1"/>
  <c r="AA445" i="1"/>
  <c r="Z445" i="1"/>
  <c r="Y445" i="1"/>
  <c r="AC445" i="1" s="1"/>
  <c r="W445" i="1"/>
  <c r="V445" i="1"/>
  <c r="X445" i="1"/>
  <c r="AB445" i="1" s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AE445" i="1" s="1"/>
  <c r="G445" i="1" a="1"/>
  <c r="G445" i="1" s="1"/>
  <c r="F445" i="1"/>
  <c r="H445" i="1" s="1"/>
  <c r="E445" i="1"/>
  <c r="D445" i="1"/>
  <c r="AO446" i="1"/>
  <c r="AN446" i="1"/>
  <c r="AM446" i="1"/>
  <c r="Z446" i="1"/>
  <c r="Y446" i="1"/>
  <c r="AA446" i="1"/>
  <c r="X446" i="1"/>
  <c r="AB446" i="1" s="1"/>
  <c r="W446" i="1"/>
  <c r="V446" i="1"/>
  <c r="U446" i="1"/>
  <c r="T446" i="1"/>
  <c r="S446" i="1"/>
  <c r="R446" i="1"/>
  <c r="Q446" i="1"/>
  <c r="P446" i="1"/>
  <c r="O446" i="1"/>
  <c r="M446" i="1"/>
  <c r="L446" i="1"/>
  <c r="N446" i="1"/>
  <c r="K446" i="1"/>
  <c r="J446" i="1"/>
  <c r="I446" i="1"/>
  <c r="AE446" i="1" s="1"/>
  <c r="G446" i="1" a="1"/>
  <c r="G446" i="1" s="1"/>
  <c r="F446" i="1"/>
  <c r="H446" i="1" s="1"/>
  <c r="E446" i="1"/>
  <c r="D446" i="1"/>
  <c r="AM447" i="1"/>
  <c r="AO447" i="1"/>
  <c r="AP447" i="1" s="1"/>
  <c r="AN447" i="1"/>
  <c r="Z447" i="1"/>
  <c r="Y447" i="1"/>
  <c r="W447" i="1"/>
  <c r="V447" i="1"/>
  <c r="AA447" i="1"/>
  <c r="X447" i="1"/>
  <c r="AB447" i="1" s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AE447" i="1" s="1"/>
  <c r="G447" i="1" a="1"/>
  <c r="G447" i="1" s="1"/>
  <c r="F447" i="1"/>
  <c r="H447" i="1" s="1"/>
  <c r="E447" i="1"/>
  <c r="D447" i="1"/>
  <c r="AN448" i="1"/>
  <c r="AM448" i="1"/>
  <c r="AO448" i="1"/>
  <c r="AP448" i="1" s="1"/>
  <c r="AA448" i="1"/>
  <c r="Z448" i="1"/>
  <c r="Y448" i="1"/>
  <c r="AC448" i="1" s="1"/>
  <c r="X448" i="1"/>
  <c r="AB448" i="1" s="1"/>
  <c r="W448" i="1"/>
  <c r="V448" i="1"/>
  <c r="U448" i="1"/>
  <c r="T448" i="1"/>
  <c r="S448" i="1"/>
  <c r="R448" i="1"/>
  <c r="Q448" i="1"/>
  <c r="P448" i="1"/>
  <c r="O448" i="1"/>
  <c r="M448" i="1"/>
  <c r="L448" i="1"/>
  <c r="N448" i="1"/>
  <c r="K448" i="1"/>
  <c r="J448" i="1"/>
  <c r="I448" i="1"/>
  <c r="AE448" i="1" s="1"/>
  <c r="G448" i="1" a="1"/>
  <c r="G448" i="1" s="1"/>
  <c r="F448" i="1"/>
  <c r="H448" i="1" s="1"/>
  <c r="E448" i="1"/>
  <c r="D448" i="1"/>
  <c r="AO449" i="1"/>
  <c r="AM449" i="1"/>
  <c r="AN449" i="1"/>
  <c r="Z449" i="1"/>
  <c r="Y449" i="1"/>
  <c r="AA449" i="1"/>
  <c r="W449" i="1"/>
  <c r="V449" i="1"/>
  <c r="X449" i="1"/>
  <c r="AB449" i="1" s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AE449" i="1" s="1"/>
  <c r="G449" i="1" a="1"/>
  <c r="G449" i="1" s="1"/>
  <c r="F449" i="1"/>
  <c r="H449" i="1" s="1"/>
  <c r="E449" i="1"/>
  <c r="D449" i="1"/>
  <c r="AN450" i="1"/>
  <c r="AM450" i="1"/>
  <c r="AO450" i="1"/>
  <c r="AP450" i="1" s="1"/>
  <c r="Z450" i="1"/>
  <c r="Y450" i="1"/>
  <c r="X450" i="1"/>
  <c r="AB450" i="1" s="1"/>
  <c r="W450" i="1"/>
  <c r="V450" i="1"/>
  <c r="AA450" i="1"/>
  <c r="U450" i="1"/>
  <c r="T450" i="1"/>
  <c r="S450" i="1"/>
  <c r="R450" i="1"/>
  <c r="Q450" i="1"/>
  <c r="P450" i="1"/>
  <c r="O450" i="1"/>
  <c r="M450" i="1"/>
  <c r="L450" i="1"/>
  <c r="N450" i="1"/>
  <c r="K450" i="1"/>
  <c r="J450" i="1"/>
  <c r="I450" i="1"/>
  <c r="AE450" i="1" s="1"/>
  <c r="G450" i="1" a="1"/>
  <c r="G450" i="1" s="1"/>
  <c r="F450" i="1"/>
  <c r="H450" i="1" s="1"/>
  <c r="E450" i="1"/>
  <c r="D450" i="1"/>
  <c r="AO451" i="1"/>
  <c r="AM451" i="1"/>
  <c r="AN451" i="1"/>
  <c r="AA451" i="1"/>
  <c r="Z451" i="1"/>
  <c r="Y451" i="1"/>
  <c r="AC451" i="1" s="1"/>
  <c r="W451" i="1"/>
  <c r="V451" i="1"/>
  <c r="X451" i="1"/>
  <c r="AB451" i="1" s="1"/>
  <c r="U451" i="1"/>
  <c r="T451" i="1"/>
  <c r="S451" i="1"/>
  <c r="R451" i="1"/>
  <c r="Q451" i="1"/>
  <c r="P451" i="1"/>
  <c r="O451" i="1"/>
  <c r="M451" i="1"/>
  <c r="L451" i="1"/>
  <c r="N451" i="1"/>
  <c r="K451" i="1"/>
  <c r="J451" i="1"/>
  <c r="I451" i="1"/>
  <c r="AE451" i="1" s="1"/>
  <c r="G451" i="1" a="1"/>
  <c r="G451" i="1" s="1"/>
  <c r="F451" i="1"/>
  <c r="H451" i="1" s="1"/>
  <c r="E451" i="1"/>
  <c r="D451" i="1"/>
  <c r="AN452" i="1"/>
  <c r="AM452" i="1"/>
  <c r="AO452" i="1"/>
  <c r="AP452" i="1" s="1"/>
  <c r="Z452" i="1"/>
  <c r="Y452" i="1"/>
  <c r="AA452" i="1"/>
  <c r="W452" i="1"/>
  <c r="V452" i="1"/>
  <c r="X452" i="1"/>
  <c r="AB452" i="1" s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AE452" i="1" s="1"/>
  <c r="G452" i="1" a="1"/>
  <c r="G452" i="1" s="1"/>
  <c r="F452" i="1"/>
  <c r="H452" i="1" s="1"/>
  <c r="E452" i="1"/>
  <c r="D452" i="1"/>
  <c r="AO453" i="1"/>
  <c r="AM453" i="1"/>
  <c r="AN453" i="1"/>
  <c r="Z453" i="1"/>
  <c r="Y453" i="1"/>
  <c r="W453" i="1"/>
  <c r="V453" i="1"/>
  <c r="AA453" i="1"/>
  <c r="X453" i="1"/>
  <c r="AB453" i="1" s="1"/>
  <c r="U453" i="1"/>
  <c r="T453" i="1"/>
  <c r="S453" i="1"/>
  <c r="R453" i="1"/>
  <c r="Q453" i="1"/>
  <c r="P453" i="1"/>
  <c r="O453" i="1"/>
  <c r="M453" i="1"/>
  <c r="L453" i="1"/>
  <c r="N453" i="1"/>
  <c r="K453" i="1"/>
  <c r="J453" i="1"/>
  <c r="I453" i="1"/>
  <c r="AE453" i="1" s="1"/>
  <c r="G453" i="1" a="1"/>
  <c r="G453" i="1" s="1"/>
  <c r="F453" i="1"/>
  <c r="H453" i="1" s="1"/>
  <c r="E453" i="1"/>
  <c r="D453" i="1"/>
  <c r="AN454" i="1"/>
  <c r="AM454" i="1"/>
  <c r="AO454" i="1"/>
  <c r="AP454" i="1" s="1"/>
  <c r="AA454" i="1"/>
  <c r="Z454" i="1"/>
  <c r="Y454" i="1"/>
  <c r="AC454" i="1" s="1"/>
  <c r="W454" i="1"/>
  <c r="V454" i="1"/>
  <c r="X454" i="1"/>
  <c r="AB454" i="1" s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AE454" i="1" s="1"/>
  <c r="G454" i="1" a="1"/>
  <c r="G454" i="1" s="1"/>
  <c r="F454" i="1"/>
  <c r="H454" i="1" s="1"/>
  <c r="E454" i="1"/>
  <c r="D454" i="1"/>
  <c r="AO455" i="1"/>
  <c r="AN455" i="1"/>
  <c r="AM455" i="1"/>
  <c r="Z455" i="1"/>
  <c r="Y455" i="1"/>
  <c r="AA455" i="1"/>
  <c r="W455" i="1"/>
  <c r="V455" i="1"/>
  <c r="X455" i="1"/>
  <c r="AB455" i="1" s="1"/>
  <c r="U455" i="1"/>
  <c r="T455" i="1"/>
  <c r="S455" i="1"/>
  <c r="R455" i="1"/>
  <c r="Q455" i="1"/>
  <c r="P455" i="1"/>
  <c r="O455" i="1"/>
  <c r="M455" i="1"/>
  <c r="L455" i="1"/>
  <c r="N455" i="1"/>
  <c r="K455" i="1"/>
  <c r="J455" i="1"/>
  <c r="I455" i="1"/>
  <c r="AE455" i="1" s="1"/>
  <c r="G455" i="1" a="1"/>
  <c r="G455" i="1" s="1"/>
  <c r="F455" i="1"/>
  <c r="H455" i="1" s="1"/>
  <c r="E455" i="1"/>
  <c r="D455" i="1"/>
  <c r="AM456" i="1"/>
  <c r="AO456" i="1"/>
  <c r="AP456" i="1" s="1"/>
  <c r="AN456" i="1"/>
  <c r="AA456" i="1"/>
  <c r="Z456" i="1"/>
  <c r="Y456" i="1"/>
  <c r="AC456" i="1" s="1"/>
  <c r="W456" i="1"/>
  <c r="V456" i="1"/>
  <c r="X456" i="1"/>
  <c r="AB456" i="1" s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AE456" i="1" s="1"/>
  <c r="G456" i="1" a="1"/>
  <c r="G456" i="1" s="1"/>
  <c r="F456" i="1"/>
  <c r="H456" i="1" s="1"/>
  <c r="E456" i="1"/>
  <c r="D456" i="1"/>
  <c r="AN457" i="1"/>
  <c r="AM457" i="1"/>
  <c r="AO457" i="1"/>
  <c r="AP457" i="1" s="1"/>
  <c r="Z457" i="1"/>
  <c r="Y457" i="1"/>
  <c r="AA457" i="1"/>
  <c r="W457" i="1"/>
  <c r="V457" i="1"/>
  <c r="X457" i="1"/>
  <c r="AB457" i="1" s="1"/>
  <c r="U457" i="1"/>
  <c r="T457" i="1"/>
  <c r="S457" i="1"/>
  <c r="R457" i="1"/>
  <c r="Q457" i="1"/>
  <c r="P457" i="1"/>
  <c r="O457" i="1"/>
  <c r="M457" i="1"/>
  <c r="L457" i="1"/>
  <c r="N457" i="1"/>
  <c r="K457" i="1"/>
  <c r="J457" i="1"/>
  <c r="I457" i="1"/>
  <c r="AE457" i="1" s="1"/>
  <c r="G457" i="1" a="1"/>
  <c r="G457" i="1" s="1"/>
  <c r="F457" i="1"/>
  <c r="H457" i="1" s="1"/>
  <c r="E457" i="1"/>
  <c r="D457" i="1"/>
  <c r="AO458" i="1"/>
  <c r="AN458" i="1"/>
  <c r="AM458" i="1"/>
  <c r="AA458" i="1"/>
  <c r="Z458" i="1"/>
  <c r="Y458" i="1"/>
  <c r="AC458" i="1" s="1"/>
  <c r="W458" i="1"/>
  <c r="V458" i="1"/>
  <c r="X458" i="1"/>
  <c r="AB458" i="1" s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AE458" i="1" s="1"/>
  <c r="G458" i="1" a="1"/>
  <c r="G458" i="1" s="1"/>
  <c r="F458" i="1"/>
  <c r="H458" i="1" s="1"/>
  <c r="E458" i="1"/>
  <c r="D458" i="1"/>
  <c r="AN459" i="1"/>
  <c r="AM459" i="1"/>
  <c r="AO459" i="1"/>
  <c r="AP459" i="1" s="1"/>
  <c r="AA459" i="1"/>
  <c r="Z459" i="1"/>
  <c r="Y459" i="1"/>
  <c r="AC459" i="1" s="1"/>
  <c r="W459" i="1"/>
  <c r="V459" i="1"/>
  <c r="X459" i="1"/>
  <c r="AB459" i="1" s="1"/>
  <c r="U459" i="1"/>
  <c r="T459" i="1"/>
  <c r="S459" i="1"/>
  <c r="R459" i="1"/>
  <c r="Q459" i="1"/>
  <c r="P459" i="1"/>
  <c r="O459" i="1"/>
  <c r="M459" i="1"/>
  <c r="L459" i="1"/>
  <c r="N459" i="1"/>
  <c r="K459" i="1"/>
  <c r="J459" i="1"/>
  <c r="I459" i="1"/>
  <c r="AE459" i="1" s="1"/>
  <c r="G459" i="1" a="1"/>
  <c r="G459" i="1" s="1"/>
  <c r="F459" i="1"/>
  <c r="H459" i="1" s="1"/>
  <c r="E459" i="1"/>
  <c r="D459" i="1"/>
  <c r="AO460" i="1"/>
  <c r="AN460" i="1"/>
  <c r="AM460" i="1"/>
  <c r="Z460" i="1"/>
  <c r="Y460" i="1"/>
  <c r="AA460" i="1"/>
  <c r="W460" i="1"/>
  <c r="V460" i="1"/>
  <c r="X460" i="1"/>
  <c r="AB460" i="1" s="1"/>
  <c r="U460" i="1"/>
  <c r="T460" i="1"/>
  <c r="S460" i="1"/>
  <c r="R460" i="1"/>
  <c r="Q460" i="1"/>
  <c r="P460" i="1"/>
  <c r="O460" i="1"/>
  <c r="M460" i="1"/>
  <c r="L460" i="1"/>
  <c r="N460" i="1"/>
  <c r="K460" i="1"/>
  <c r="J460" i="1"/>
  <c r="I460" i="1"/>
  <c r="AE460" i="1" s="1"/>
  <c r="G460" i="1" a="1"/>
  <c r="G460" i="1" s="1"/>
  <c r="F460" i="1"/>
  <c r="H460" i="1" s="1"/>
  <c r="E460" i="1"/>
  <c r="D460" i="1"/>
  <c r="AN461" i="1"/>
  <c r="AM461" i="1"/>
  <c r="AO461" i="1"/>
  <c r="AP461" i="1" s="1"/>
  <c r="AA461" i="1"/>
  <c r="Z461" i="1"/>
  <c r="Y461" i="1"/>
  <c r="AC461" i="1" s="1"/>
  <c r="W461" i="1"/>
  <c r="V461" i="1"/>
  <c r="X461" i="1"/>
  <c r="AB461" i="1" s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AE461" i="1" s="1"/>
  <c r="G461" i="1" a="1"/>
  <c r="G461" i="1" s="1"/>
  <c r="F461" i="1"/>
  <c r="H461" i="1" s="1"/>
  <c r="E461" i="1"/>
  <c r="D461" i="1"/>
  <c r="AO462" i="1"/>
  <c r="AN462" i="1"/>
  <c r="AM462" i="1"/>
  <c r="Z462" i="1"/>
  <c r="Y462" i="1"/>
  <c r="AA462" i="1"/>
  <c r="W462" i="1"/>
  <c r="V462" i="1"/>
  <c r="X462" i="1"/>
  <c r="AB462" i="1" s="1"/>
  <c r="U462" i="1"/>
  <c r="T462" i="1"/>
  <c r="S462" i="1"/>
  <c r="R462" i="1"/>
  <c r="Q462" i="1"/>
  <c r="P462" i="1"/>
  <c r="O462" i="1"/>
  <c r="M462" i="1"/>
  <c r="L462" i="1"/>
  <c r="N462" i="1"/>
  <c r="K462" i="1"/>
  <c r="J462" i="1"/>
  <c r="I462" i="1"/>
  <c r="AE462" i="1" s="1"/>
  <c r="G462" i="1" a="1"/>
  <c r="G462" i="1" s="1"/>
  <c r="F462" i="1"/>
  <c r="H462" i="1" s="1"/>
  <c r="E462" i="1"/>
  <c r="D462" i="1"/>
  <c r="AN463" i="1"/>
  <c r="AM463" i="1"/>
  <c r="AO463" i="1"/>
  <c r="AP463" i="1" s="1"/>
  <c r="AA463" i="1"/>
  <c r="Z463" i="1"/>
  <c r="Y463" i="1"/>
  <c r="AC463" i="1" s="1"/>
  <c r="W463" i="1"/>
  <c r="V463" i="1"/>
  <c r="X463" i="1"/>
  <c r="AB463" i="1" s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AE463" i="1" s="1"/>
  <c r="G463" i="1" a="1"/>
  <c r="G463" i="1" s="1"/>
  <c r="F463" i="1"/>
  <c r="H463" i="1" s="1"/>
  <c r="E463" i="1"/>
  <c r="D463" i="1"/>
  <c r="AO464" i="1"/>
  <c r="AN464" i="1"/>
  <c r="AM464" i="1"/>
  <c r="Z464" i="1"/>
  <c r="Y464" i="1"/>
  <c r="AA464" i="1"/>
  <c r="W464" i="1"/>
  <c r="V464" i="1"/>
  <c r="X464" i="1"/>
  <c r="AB464" i="1" s="1"/>
  <c r="U464" i="1"/>
  <c r="T464" i="1"/>
  <c r="S464" i="1"/>
  <c r="R464" i="1"/>
  <c r="Q464" i="1"/>
  <c r="P464" i="1"/>
  <c r="O464" i="1"/>
  <c r="M464" i="1"/>
  <c r="L464" i="1"/>
  <c r="N464" i="1"/>
  <c r="K464" i="1"/>
  <c r="J464" i="1"/>
  <c r="I464" i="1"/>
  <c r="AE464" i="1" s="1"/>
  <c r="G464" i="1" a="1"/>
  <c r="G464" i="1" s="1"/>
  <c r="F464" i="1"/>
  <c r="H464" i="1" s="1"/>
  <c r="E464" i="1"/>
  <c r="D464" i="1"/>
  <c r="AN465" i="1"/>
  <c r="AM465" i="1"/>
  <c r="AO465" i="1"/>
  <c r="AP465" i="1" s="1"/>
  <c r="AA465" i="1"/>
  <c r="Z465" i="1"/>
  <c r="Y465" i="1"/>
  <c r="AC465" i="1" s="1"/>
  <c r="W465" i="1"/>
  <c r="V465" i="1"/>
  <c r="X465" i="1"/>
  <c r="AB465" i="1" s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AE465" i="1" s="1"/>
  <c r="G465" i="1" a="1"/>
  <c r="G465" i="1" s="1"/>
  <c r="F465" i="1"/>
  <c r="H465" i="1" s="1"/>
  <c r="E465" i="1"/>
  <c r="D465" i="1"/>
  <c r="AO466" i="1"/>
  <c r="AN466" i="1"/>
  <c r="AM466" i="1"/>
  <c r="Z466" i="1"/>
  <c r="Y466" i="1"/>
  <c r="AA466" i="1"/>
  <c r="W466" i="1"/>
  <c r="V466" i="1"/>
  <c r="X466" i="1"/>
  <c r="AB466" i="1" s="1"/>
  <c r="U466" i="1"/>
  <c r="T466" i="1"/>
  <c r="S466" i="1"/>
  <c r="R466" i="1"/>
  <c r="Q466" i="1"/>
  <c r="P466" i="1"/>
  <c r="O466" i="1"/>
  <c r="M466" i="1"/>
  <c r="L466" i="1"/>
  <c r="N466" i="1"/>
  <c r="K466" i="1"/>
  <c r="J466" i="1"/>
  <c r="I466" i="1"/>
  <c r="AE466" i="1" s="1"/>
  <c r="G466" i="1" a="1"/>
  <c r="G466" i="1" s="1"/>
  <c r="F466" i="1"/>
  <c r="H466" i="1" s="1"/>
  <c r="E466" i="1"/>
  <c r="D466" i="1"/>
  <c r="AN467" i="1"/>
  <c r="AM467" i="1"/>
  <c r="AO467" i="1"/>
  <c r="AP467" i="1" s="1"/>
  <c r="Z467" i="1"/>
  <c r="Y467" i="1"/>
  <c r="W467" i="1"/>
  <c r="V467" i="1"/>
  <c r="AA467" i="1"/>
  <c r="X467" i="1"/>
  <c r="AB467" i="1" s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AE467" i="1" s="1"/>
  <c r="G467" i="1" a="1"/>
  <c r="G467" i="1" s="1"/>
  <c r="F467" i="1"/>
  <c r="H467" i="1" s="1"/>
  <c r="E467" i="1"/>
  <c r="D467" i="1"/>
  <c r="AO468" i="1"/>
  <c r="AN468" i="1"/>
  <c r="AM468" i="1"/>
  <c r="AA468" i="1"/>
  <c r="Z468" i="1"/>
  <c r="Y468" i="1"/>
  <c r="AC468" i="1" s="1"/>
  <c r="W468" i="1"/>
  <c r="V468" i="1"/>
  <c r="X468" i="1"/>
  <c r="AB468" i="1" s="1"/>
  <c r="U468" i="1"/>
  <c r="T468" i="1"/>
  <c r="S468" i="1"/>
  <c r="R468" i="1"/>
  <c r="Q468" i="1"/>
  <c r="P468" i="1"/>
  <c r="O468" i="1"/>
  <c r="M468" i="1"/>
  <c r="L468" i="1"/>
  <c r="N468" i="1"/>
  <c r="K468" i="1"/>
  <c r="J468" i="1"/>
  <c r="I468" i="1"/>
  <c r="AE468" i="1" s="1"/>
  <c r="G468" i="1" a="1"/>
  <c r="G468" i="1" s="1"/>
  <c r="F468" i="1"/>
  <c r="H468" i="1" s="1"/>
  <c r="E468" i="1"/>
  <c r="D468" i="1"/>
  <c r="AN469" i="1"/>
  <c r="AM469" i="1"/>
  <c r="AO469" i="1"/>
  <c r="AP469" i="1" s="1"/>
  <c r="Z469" i="1"/>
  <c r="Y469" i="1"/>
  <c r="AA469" i="1"/>
  <c r="W469" i="1"/>
  <c r="V469" i="1"/>
  <c r="X469" i="1"/>
  <c r="AB469" i="1" s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AE469" i="1" s="1"/>
  <c r="G469" i="1" a="1"/>
  <c r="G469" i="1" s="1"/>
  <c r="F469" i="1"/>
  <c r="H469" i="1" s="1"/>
  <c r="E469" i="1"/>
  <c r="D469" i="1"/>
  <c r="AO470" i="1"/>
  <c r="AN470" i="1"/>
  <c r="AM470" i="1"/>
  <c r="Z470" i="1"/>
  <c r="Y470" i="1"/>
  <c r="W470" i="1"/>
  <c r="V470" i="1"/>
  <c r="AA470" i="1"/>
  <c r="X470" i="1"/>
  <c r="AB470" i="1" s="1"/>
  <c r="U470" i="1"/>
  <c r="T470" i="1"/>
  <c r="S470" i="1"/>
  <c r="R470" i="1"/>
  <c r="Q470" i="1"/>
  <c r="P470" i="1"/>
  <c r="O470" i="1"/>
  <c r="M470" i="1"/>
  <c r="L470" i="1"/>
  <c r="N470" i="1"/>
  <c r="K470" i="1"/>
  <c r="J470" i="1"/>
  <c r="I470" i="1"/>
  <c r="AE470" i="1" s="1"/>
  <c r="G470" i="1" a="1"/>
  <c r="G470" i="1" s="1"/>
  <c r="F470" i="1"/>
  <c r="H470" i="1" s="1"/>
  <c r="E470" i="1"/>
  <c r="D470" i="1"/>
  <c r="AN471" i="1"/>
  <c r="AM471" i="1"/>
  <c r="AO471" i="1"/>
  <c r="AP471" i="1" s="1"/>
  <c r="AA471" i="1"/>
  <c r="Z471" i="1"/>
  <c r="Y471" i="1"/>
  <c r="AC471" i="1" s="1"/>
  <c r="W471" i="1"/>
  <c r="V471" i="1"/>
  <c r="X471" i="1"/>
  <c r="AB471" i="1" s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AE471" i="1" s="1"/>
  <c r="G471" i="1" a="1"/>
  <c r="G471" i="1" s="1"/>
  <c r="F471" i="1"/>
  <c r="H471" i="1" s="1"/>
  <c r="E471" i="1"/>
  <c r="D471" i="1"/>
  <c r="AO472" i="1"/>
  <c r="AN472" i="1"/>
  <c r="AM472" i="1"/>
  <c r="Z472" i="1"/>
  <c r="Y472" i="1"/>
  <c r="AA472" i="1"/>
  <c r="W472" i="1"/>
  <c r="V472" i="1"/>
  <c r="X472" i="1"/>
  <c r="AB472" i="1" s="1"/>
  <c r="U472" i="1"/>
  <c r="T472" i="1"/>
  <c r="S472" i="1"/>
  <c r="R472" i="1"/>
  <c r="Q472" i="1"/>
  <c r="P472" i="1"/>
  <c r="O472" i="1"/>
  <c r="M472" i="1"/>
  <c r="L472" i="1"/>
  <c r="N472" i="1"/>
  <c r="K472" i="1"/>
  <c r="J472" i="1"/>
  <c r="I472" i="1"/>
  <c r="AE472" i="1" s="1"/>
  <c r="G472" i="1" a="1"/>
  <c r="G472" i="1" s="1"/>
  <c r="F472" i="1"/>
  <c r="H472" i="1" s="1"/>
  <c r="E472" i="1"/>
  <c r="D472" i="1"/>
  <c r="AN473" i="1"/>
  <c r="AM473" i="1"/>
  <c r="AO473" i="1"/>
  <c r="AP473" i="1" s="1"/>
  <c r="AA473" i="1"/>
  <c r="Z473" i="1"/>
  <c r="Y473" i="1"/>
  <c r="AC473" i="1" s="1"/>
  <c r="W473" i="1"/>
  <c r="V473" i="1"/>
  <c r="X473" i="1"/>
  <c r="AB473" i="1" s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AE473" i="1" s="1"/>
  <c r="G473" i="1" a="1"/>
  <c r="G473" i="1" s="1"/>
  <c r="F473" i="1"/>
  <c r="H473" i="1" s="1"/>
  <c r="E473" i="1"/>
  <c r="D473" i="1"/>
  <c r="AO474" i="1"/>
  <c r="AN474" i="1"/>
  <c r="AM474" i="1"/>
  <c r="Z474" i="1"/>
  <c r="Y474" i="1"/>
  <c r="W474" i="1"/>
  <c r="V474" i="1"/>
  <c r="AA474" i="1"/>
  <c r="X474" i="1"/>
  <c r="AB474" i="1" s="1"/>
  <c r="U474" i="1"/>
  <c r="T474" i="1"/>
  <c r="S474" i="1"/>
  <c r="R474" i="1"/>
  <c r="Q474" i="1"/>
  <c r="P474" i="1"/>
  <c r="O474" i="1"/>
  <c r="M474" i="1"/>
  <c r="L474" i="1"/>
  <c r="N474" i="1"/>
  <c r="K474" i="1"/>
  <c r="J474" i="1"/>
  <c r="I474" i="1"/>
  <c r="AE474" i="1" s="1"/>
  <c r="G474" i="1" a="1"/>
  <c r="G474" i="1" s="1"/>
  <c r="F474" i="1"/>
  <c r="H474" i="1" s="1"/>
  <c r="E474" i="1"/>
  <c r="D474" i="1"/>
  <c r="AN475" i="1"/>
  <c r="AM475" i="1"/>
  <c r="AO475" i="1"/>
  <c r="AP475" i="1" s="1"/>
  <c r="Z475" i="1"/>
  <c r="Y475" i="1"/>
  <c r="AA475" i="1"/>
  <c r="W475" i="1"/>
  <c r="V475" i="1"/>
  <c r="X475" i="1"/>
  <c r="AB475" i="1" s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AE475" i="1" s="1"/>
  <c r="G475" i="1" a="1"/>
  <c r="G475" i="1" s="1"/>
  <c r="F475" i="1"/>
  <c r="H475" i="1" s="1"/>
  <c r="E475" i="1"/>
  <c r="D475" i="1"/>
  <c r="AO476" i="1"/>
  <c r="AN476" i="1"/>
  <c r="AM476" i="1"/>
  <c r="AA476" i="1"/>
  <c r="Z476" i="1"/>
  <c r="Y476" i="1"/>
  <c r="AC476" i="1" s="1"/>
  <c r="W476" i="1"/>
  <c r="V476" i="1"/>
  <c r="X476" i="1"/>
  <c r="AB476" i="1" s="1"/>
  <c r="U476" i="1"/>
  <c r="T476" i="1"/>
  <c r="S476" i="1"/>
  <c r="R476" i="1"/>
  <c r="Q476" i="1"/>
  <c r="P476" i="1"/>
  <c r="O476" i="1"/>
  <c r="M476" i="1"/>
  <c r="L476" i="1"/>
  <c r="N476" i="1"/>
  <c r="K476" i="1"/>
  <c r="J476" i="1"/>
  <c r="I476" i="1"/>
  <c r="AE476" i="1" s="1"/>
  <c r="G476" i="1" a="1"/>
  <c r="G476" i="1" s="1"/>
  <c r="F476" i="1"/>
  <c r="E476" i="1"/>
  <c r="D476" i="1"/>
  <c r="AN477" i="1"/>
  <c r="AM477" i="1"/>
  <c r="AO477" i="1"/>
  <c r="AP477" i="1" s="1"/>
  <c r="Z477" i="1"/>
  <c r="Y477" i="1"/>
  <c r="W477" i="1"/>
  <c r="V477" i="1"/>
  <c r="AA477" i="1"/>
  <c r="X477" i="1"/>
  <c r="AB477" i="1" s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AE477" i="1" s="1"/>
  <c r="G477" i="1" a="1"/>
  <c r="G477" i="1" s="1"/>
  <c r="F477" i="1"/>
  <c r="E477" i="1"/>
  <c r="D477" i="1"/>
  <c r="AO478" i="1"/>
  <c r="AN478" i="1"/>
  <c r="AM478" i="1"/>
  <c r="AA478" i="1"/>
  <c r="Z478" i="1"/>
  <c r="Y478" i="1"/>
  <c r="AC478" i="1" s="1"/>
  <c r="W478" i="1"/>
  <c r="V478" i="1"/>
  <c r="X478" i="1"/>
  <c r="AB478" i="1" s="1"/>
  <c r="U478" i="1"/>
  <c r="T478" i="1"/>
  <c r="S478" i="1"/>
  <c r="R478" i="1"/>
  <c r="Q478" i="1"/>
  <c r="P478" i="1"/>
  <c r="O478" i="1"/>
  <c r="M478" i="1"/>
  <c r="L478" i="1"/>
  <c r="N478" i="1"/>
  <c r="K478" i="1"/>
  <c r="J478" i="1"/>
  <c r="I478" i="1"/>
  <c r="AE478" i="1" s="1"/>
  <c r="G478" i="1" a="1"/>
  <c r="G478" i="1" s="1"/>
  <c r="F478" i="1"/>
  <c r="E478" i="1"/>
  <c r="D478" i="1"/>
  <c r="AN479" i="1"/>
  <c r="AM479" i="1"/>
  <c r="AO479" i="1"/>
  <c r="AP479" i="1" s="1"/>
  <c r="Z479" i="1"/>
  <c r="Y479" i="1"/>
  <c r="AA479" i="1"/>
  <c r="W479" i="1"/>
  <c r="V479" i="1"/>
  <c r="X479" i="1"/>
  <c r="AB479" i="1" s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AE479" i="1" s="1"/>
  <c r="G479" i="1" a="1"/>
  <c r="G479" i="1" s="1"/>
  <c r="F479" i="1"/>
  <c r="E479" i="1"/>
  <c r="D479" i="1"/>
  <c r="AO480" i="1"/>
  <c r="AN480" i="1"/>
  <c r="AM480" i="1"/>
  <c r="Z480" i="1"/>
  <c r="Y480" i="1"/>
  <c r="W480" i="1"/>
  <c r="V480" i="1"/>
  <c r="AA480" i="1"/>
  <c r="X480" i="1"/>
  <c r="AB480" i="1" s="1"/>
  <c r="U480" i="1"/>
  <c r="T480" i="1"/>
  <c r="S480" i="1"/>
  <c r="R480" i="1"/>
  <c r="Q480" i="1"/>
  <c r="P480" i="1"/>
  <c r="O480" i="1"/>
  <c r="M480" i="1"/>
  <c r="L480" i="1"/>
  <c r="N480" i="1"/>
  <c r="K480" i="1"/>
  <c r="J480" i="1"/>
  <c r="I480" i="1"/>
  <c r="AE480" i="1" s="1"/>
  <c r="G480" i="1" a="1"/>
  <c r="G480" i="1" s="1"/>
  <c r="F480" i="1"/>
  <c r="E480" i="1"/>
  <c r="D480" i="1"/>
  <c r="AN481" i="1"/>
  <c r="AM481" i="1"/>
  <c r="AO481" i="1"/>
  <c r="AP481" i="1" s="1"/>
  <c r="AA481" i="1"/>
  <c r="Z481" i="1"/>
  <c r="Y481" i="1"/>
  <c r="AC481" i="1" s="1"/>
  <c r="W481" i="1"/>
  <c r="V481" i="1"/>
  <c r="X481" i="1"/>
  <c r="AB481" i="1" s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AE481" i="1" s="1"/>
  <c r="G481" i="1" a="1"/>
  <c r="G481" i="1" s="1"/>
  <c r="F481" i="1"/>
  <c r="E481" i="1"/>
  <c r="D481" i="1"/>
  <c r="AO482" i="1"/>
  <c r="AN482" i="1"/>
  <c r="AM482" i="1"/>
  <c r="Z482" i="1"/>
  <c r="Y482" i="1"/>
  <c r="AA482" i="1"/>
  <c r="W482" i="1"/>
  <c r="V482" i="1"/>
  <c r="X482" i="1"/>
  <c r="AB482" i="1" s="1"/>
  <c r="U482" i="1"/>
  <c r="T482" i="1"/>
  <c r="S482" i="1"/>
  <c r="R482" i="1"/>
  <c r="Q482" i="1"/>
  <c r="P482" i="1"/>
  <c r="O482" i="1"/>
  <c r="M482" i="1"/>
  <c r="L482" i="1"/>
  <c r="N482" i="1"/>
  <c r="K482" i="1"/>
  <c r="J482" i="1"/>
  <c r="I482" i="1"/>
  <c r="AE482" i="1" s="1"/>
  <c r="G482" i="1" a="1"/>
  <c r="G482" i="1" s="1"/>
  <c r="F482" i="1"/>
  <c r="E482" i="1"/>
  <c r="D482" i="1"/>
  <c r="AN483" i="1"/>
  <c r="AM483" i="1"/>
  <c r="AO483" i="1"/>
  <c r="AP483" i="1" s="1"/>
  <c r="Z483" i="1"/>
  <c r="Y483" i="1"/>
  <c r="W483" i="1"/>
  <c r="V483" i="1"/>
  <c r="AA483" i="1"/>
  <c r="X483" i="1"/>
  <c r="AB483" i="1" s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AE483" i="1" s="1"/>
  <c r="G483" i="1" a="1"/>
  <c r="G483" i="1" s="1"/>
  <c r="F483" i="1"/>
  <c r="E483" i="1"/>
  <c r="D483" i="1"/>
  <c r="AO484" i="1"/>
  <c r="AN484" i="1"/>
  <c r="AM484" i="1"/>
  <c r="AA484" i="1"/>
  <c r="Z484" i="1"/>
  <c r="Y484" i="1"/>
  <c r="AC484" i="1" s="1"/>
  <c r="W484" i="1"/>
  <c r="V484" i="1"/>
  <c r="X484" i="1"/>
  <c r="AB484" i="1" s="1"/>
  <c r="U484" i="1"/>
  <c r="T484" i="1"/>
  <c r="S484" i="1"/>
  <c r="R484" i="1"/>
  <c r="Q484" i="1"/>
  <c r="P484" i="1"/>
  <c r="O484" i="1"/>
  <c r="M484" i="1"/>
  <c r="L484" i="1"/>
  <c r="N484" i="1"/>
  <c r="K484" i="1"/>
  <c r="J484" i="1"/>
  <c r="I484" i="1"/>
  <c r="AE484" i="1" s="1"/>
  <c r="G484" i="1" a="1"/>
  <c r="G484" i="1" s="1"/>
  <c r="F484" i="1"/>
  <c r="E484" i="1"/>
  <c r="D484" i="1"/>
  <c r="AN485" i="1"/>
  <c r="AM485" i="1"/>
  <c r="AO485" i="1"/>
  <c r="AP485" i="1" s="1"/>
  <c r="Z485" i="1"/>
  <c r="Y485" i="1"/>
  <c r="AA485" i="1"/>
  <c r="W485" i="1"/>
  <c r="V485" i="1"/>
  <c r="X485" i="1"/>
  <c r="AB485" i="1" s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AE485" i="1" s="1"/>
  <c r="G485" i="1" a="1"/>
  <c r="G485" i="1" s="1"/>
  <c r="F485" i="1"/>
  <c r="E485" i="1"/>
  <c r="D485" i="1"/>
  <c r="AO486" i="1"/>
  <c r="AN486" i="1"/>
  <c r="AM486" i="1"/>
  <c r="Z486" i="1"/>
  <c r="Y486" i="1"/>
  <c r="W486" i="1"/>
  <c r="V486" i="1"/>
  <c r="AA486" i="1"/>
  <c r="X486" i="1"/>
  <c r="AB486" i="1" s="1"/>
  <c r="U486" i="1"/>
  <c r="T486" i="1"/>
  <c r="S486" i="1"/>
  <c r="R486" i="1"/>
  <c r="Q486" i="1"/>
  <c r="P486" i="1"/>
  <c r="O486" i="1"/>
  <c r="M486" i="1"/>
  <c r="L486" i="1"/>
  <c r="N486" i="1"/>
  <c r="K486" i="1"/>
  <c r="J486" i="1"/>
  <c r="I486" i="1"/>
  <c r="AE486" i="1" s="1"/>
  <c r="G486" i="1" a="1"/>
  <c r="G486" i="1" s="1"/>
  <c r="F486" i="1"/>
  <c r="E486" i="1"/>
  <c r="D486" i="1"/>
  <c r="AN487" i="1"/>
  <c r="AM487" i="1"/>
  <c r="AO487" i="1"/>
  <c r="AP487" i="1" s="1"/>
  <c r="AA487" i="1"/>
  <c r="Z487" i="1"/>
  <c r="Y487" i="1"/>
  <c r="AC487" i="1" s="1"/>
  <c r="W487" i="1"/>
  <c r="V487" i="1"/>
  <c r="X487" i="1"/>
  <c r="AB487" i="1" s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AE487" i="1" s="1"/>
  <c r="G487" i="1" a="1"/>
  <c r="G487" i="1" s="1"/>
  <c r="F487" i="1"/>
  <c r="E487" i="1"/>
  <c r="D487" i="1"/>
  <c r="AO488" i="1"/>
  <c r="AN488" i="1"/>
  <c r="AM488" i="1"/>
  <c r="Z488" i="1"/>
  <c r="Y488" i="1"/>
  <c r="AA488" i="1"/>
  <c r="W488" i="1"/>
  <c r="V488" i="1"/>
  <c r="X488" i="1"/>
  <c r="AB488" i="1" s="1"/>
  <c r="U488" i="1"/>
  <c r="T488" i="1"/>
  <c r="S488" i="1"/>
  <c r="R488" i="1"/>
  <c r="Q488" i="1"/>
  <c r="P488" i="1"/>
  <c r="O488" i="1"/>
  <c r="M488" i="1"/>
  <c r="L488" i="1"/>
  <c r="N488" i="1"/>
  <c r="K488" i="1"/>
  <c r="J488" i="1"/>
  <c r="I488" i="1"/>
  <c r="AE488" i="1" s="1"/>
  <c r="G488" i="1" a="1"/>
  <c r="G488" i="1" s="1"/>
  <c r="F488" i="1"/>
  <c r="E488" i="1"/>
  <c r="D488" i="1"/>
  <c r="AN489" i="1"/>
  <c r="AM489" i="1"/>
  <c r="AO489" i="1"/>
  <c r="AP489" i="1" s="1"/>
  <c r="Z489" i="1"/>
  <c r="Y489" i="1"/>
  <c r="W489" i="1"/>
  <c r="V489" i="1"/>
  <c r="AA489" i="1"/>
  <c r="X489" i="1"/>
  <c r="AB489" i="1" s="1"/>
  <c r="U489" i="1"/>
  <c r="T489" i="1"/>
  <c r="S489" i="1"/>
  <c r="R489" i="1"/>
  <c r="Q489" i="1"/>
  <c r="P489" i="1"/>
  <c r="O489" i="1"/>
  <c r="M489" i="1"/>
  <c r="L489" i="1"/>
  <c r="N489" i="1"/>
  <c r="K489" i="1"/>
  <c r="J489" i="1"/>
  <c r="I489" i="1"/>
  <c r="AE489" i="1" s="1"/>
  <c r="G489" i="1" a="1"/>
  <c r="G489" i="1" s="1"/>
  <c r="F489" i="1"/>
  <c r="E489" i="1"/>
  <c r="D489" i="1"/>
  <c r="AO490" i="1"/>
  <c r="AN490" i="1"/>
  <c r="AM490" i="1"/>
  <c r="AA490" i="1"/>
  <c r="Z490" i="1"/>
  <c r="Y490" i="1"/>
  <c r="AC490" i="1" s="1"/>
  <c r="W490" i="1"/>
  <c r="V490" i="1"/>
  <c r="X490" i="1"/>
  <c r="AB490" i="1" s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AE490" i="1" s="1"/>
  <c r="G490" i="1" a="1"/>
  <c r="G490" i="1" s="1"/>
  <c r="F490" i="1"/>
  <c r="E490" i="1"/>
  <c r="D490" i="1"/>
  <c r="AN491" i="1"/>
  <c r="AM491" i="1"/>
  <c r="AO491" i="1"/>
  <c r="AP491" i="1" s="1"/>
  <c r="Z491" i="1"/>
  <c r="Y491" i="1"/>
  <c r="AA491" i="1"/>
  <c r="W491" i="1"/>
  <c r="V491" i="1"/>
  <c r="X491" i="1"/>
  <c r="AB491" i="1" s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AE491" i="1" s="1"/>
  <c r="G491" i="1" a="1"/>
  <c r="G491" i="1" s="1"/>
  <c r="F491" i="1"/>
  <c r="E491" i="1"/>
  <c r="D491" i="1"/>
  <c r="AO492" i="1"/>
  <c r="AN492" i="1"/>
  <c r="AM492" i="1"/>
  <c r="Z492" i="1"/>
  <c r="Y492" i="1"/>
  <c r="W492" i="1"/>
  <c r="V492" i="1"/>
  <c r="AA492" i="1"/>
  <c r="X492" i="1"/>
  <c r="AB492" i="1" s="1"/>
  <c r="U492" i="1"/>
  <c r="T492" i="1"/>
  <c r="S492" i="1"/>
  <c r="R492" i="1"/>
  <c r="Q492" i="1"/>
  <c r="P492" i="1"/>
  <c r="O492" i="1"/>
  <c r="M492" i="1"/>
  <c r="L492" i="1"/>
  <c r="N492" i="1"/>
  <c r="K492" i="1"/>
  <c r="J492" i="1"/>
  <c r="I492" i="1"/>
  <c r="AE492" i="1" s="1"/>
  <c r="G492" i="1" a="1"/>
  <c r="G492" i="1" s="1"/>
  <c r="F492" i="1"/>
  <c r="E492" i="1"/>
  <c r="D492" i="1"/>
  <c r="AN493" i="1"/>
  <c r="AM493" i="1"/>
  <c r="AO493" i="1"/>
  <c r="AP493" i="1" s="1"/>
  <c r="AA493" i="1"/>
  <c r="Z493" i="1"/>
  <c r="Y493" i="1"/>
  <c r="AC493" i="1" s="1"/>
  <c r="W493" i="1"/>
  <c r="V493" i="1"/>
  <c r="X493" i="1"/>
  <c r="AB493" i="1" s="1"/>
  <c r="U493" i="1"/>
  <c r="T493" i="1"/>
  <c r="S493" i="1"/>
  <c r="R493" i="1"/>
  <c r="Q493" i="1"/>
  <c r="P493" i="1"/>
  <c r="O493" i="1"/>
  <c r="M493" i="1"/>
  <c r="L493" i="1"/>
  <c r="N493" i="1"/>
  <c r="K493" i="1"/>
  <c r="J493" i="1"/>
  <c r="I493" i="1"/>
  <c r="AE493" i="1" s="1"/>
  <c r="G493" i="1" a="1"/>
  <c r="G493" i="1" s="1"/>
  <c r="F493" i="1"/>
  <c r="E493" i="1"/>
  <c r="D493" i="1"/>
  <c r="AO494" i="1"/>
  <c r="AN494" i="1"/>
  <c r="AM494" i="1"/>
  <c r="Z494" i="1"/>
  <c r="Y494" i="1"/>
  <c r="AA494" i="1"/>
  <c r="W494" i="1"/>
  <c r="V494" i="1"/>
  <c r="X494" i="1"/>
  <c r="AB494" i="1" s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AE494" i="1" s="1"/>
  <c r="G494" i="1" a="1"/>
  <c r="G494" i="1" s="1"/>
  <c r="F494" i="1"/>
  <c r="E494" i="1"/>
  <c r="D494" i="1"/>
  <c r="AN495" i="1"/>
  <c r="AM495" i="1"/>
  <c r="AO495" i="1"/>
  <c r="AP495" i="1" s="1"/>
  <c r="AA495" i="1"/>
  <c r="Z495" i="1"/>
  <c r="Y495" i="1"/>
  <c r="AC495" i="1" s="1"/>
  <c r="W495" i="1"/>
  <c r="V495" i="1"/>
  <c r="X495" i="1"/>
  <c r="AB495" i="1" s="1"/>
  <c r="U495" i="1"/>
  <c r="T495" i="1"/>
  <c r="S495" i="1"/>
  <c r="R495" i="1"/>
  <c r="Q495" i="1"/>
  <c r="P495" i="1"/>
  <c r="O495" i="1"/>
  <c r="M495" i="1"/>
  <c r="L495" i="1"/>
  <c r="N495" i="1"/>
  <c r="K495" i="1"/>
  <c r="J495" i="1"/>
  <c r="I495" i="1"/>
  <c r="AE495" i="1" s="1"/>
  <c r="G495" i="1" a="1"/>
  <c r="G495" i="1" s="1"/>
  <c r="F495" i="1"/>
  <c r="E495" i="1"/>
  <c r="D495" i="1"/>
  <c r="AN496" i="1"/>
  <c r="AM496" i="1"/>
  <c r="AO496" i="1"/>
  <c r="AP496" i="1" s="1"/>
  <c r="Z496" i="1"/>
  <c r="Y496" i="1"/>
  <c r="W496" i="1"/>
  <c r="V496" i="1"/>
  <c r="AA496" i="1"/>
  <c r="X496" i="1"/>
  <c r="AB496" i="1" s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AE496" i="1" s="1"/>
  <c r="G496" i="1" a="1"/>
  <c r="G496" i="1" s="1"/>
  <c r="F496" i="1"/>
  <c r="E496" i="1"/>
  <c r="D496" i="1"/>
  <c r="AO497" i="1"/>
  <c r="AN497" i="1"/>
  <c r="AM497" i="1"/>
  <c r="Z497" i="1"/>
  <c r="Y497" i="1"/>
  <c r="AA497" i="1"/>
  <c r="W497" i="1"/>
  <c r="V497" i="1"/>
  <c r="X497" i="1"/>
  <c r="AB497" i="1" s="1"/>
  <c r="U497" i="1"/>
  <c r="T497" i="1"/>
  <c r="S497" i="1"/>
  <c r="R497" i="1"/>
  <c r="Q497" i="1"/>
  <c r="P497" i="1"/>
  <c r="O497" i="1"/>
  <c r="M497" i="1"/>
  <c r="L497" i="1"/>
  <c r="N497" i="1"/>
  <c r="K497" i="1"/>
  <c r="J497" i="1"/>
  <c r="I497" i="1"/>
  <c r="AE497" i="1" s="1"/>
  <c r="G497" i="1" a="1"/>
  <c r="G497" i="1" s="1"/>
  <c r="F497" i="1"/>
  <c r="E497" i="1"/>
  <c r="D497" i="1"/>
  <c r="AN498" i="1"/>
  <c r="AM498" i="1"/>
  <c r="AO498" i="1"/>
  <c r="AA498" i="1"/>
  <c r="Z498" i="1"/>
  <c r="Y498" i="1"/>
  <c r="AC498" i="1" s="1"/>
  <c r="W498" i="1"/>
  <c r="V498" i="1"/>
  <c r="X498" i="1"/>
  <c r="AB498" i="1" s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AE498" i="1" s="1"/>
  <c r="G498" i="1" a="1"/>
  <c r="G498" i="1" s="1"/>
  <c r="F498" i="1"/>
  <c r="E498" i="1"/>
  <c r="D498" i="1"/>
  <c r="AO499" i="1"/>
  <c r="AN499" i="1"/>
  <c r="AM499" i="1"/>
  <c r="Z499" i="1"/>
  <c r="Y499" i="1"/>
  <c r="W499" i="1"/>
  <c r="V499" i="1"/>
  <c r="AA499" i="1"/>
  <c r="X499" i="1"/>
  <c r="AB499" i="1" s="1"/>
  <c r="U499" i="1"/>
  <c r="T499" i="1"/>
  <c r="S499" i="1"/>
  <c r="R499" i="1"/>
  <c r="Q499" i="1"/>
  <c r="P499" i="1"/>
  <c r="O499" i="1"/>
  <c r="M499" i="1"/>
  <c r="L499" i="1"/>
  <c r="N499" i="1"/>
  <c r="K499" i="1"/>
  <c r="J499" i="1"/>
  <c r="I499" i="1"/>
  <c r="G499" i="1" a="1"/>
  <c r="G499" i="1" s="1"/>
  <c r="F499" i="1"/>
  <c r="E499" i="1"/>
  <c r="D499" i="1"/>
  <c r="AN500" i="1"/>
  <c r="AM500" i="1"/>
  <c r="AO500" i="1"/>
  <c r="AP500" i="1" s="1"/>
  <c r="Z500" i="1"/>
  <c r="Y500" i="1"/>
  <c r="AA500" i="1"/>
  <c r="X500" i="1"/>
  <c r="AB500" i="1" s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AE500" i="1" s="1"/>
  <c r="G500" i="1" a="1"/>
  <c r="G500" i="1" s="1"/>
  <c r="F500" i="1"/>
  <c r="E500" i="1"/>
  <c r="D500" i="1"/>
  <c r="AO501" i="1"/>
  <c r="AN501" i="1"/>
  <c r="AM501" i="1"/>
  <c r="AA501" i="1"/>
  <c r="Z501" i="1"/>
  <c r="Y501" i="1"/>
  <c r="AC501" i="1" s="1"/>
  <c r="W501" i="1"/>
  <c r="V501" i="1"/>
  <c r="X501" i="1"/>
  <c r="AB501" i="1" s="1"/>
  <c r="U501" i="1"/>
  <c r="T501" i="1"/>
  <c r="S501" i="1"/>
  <c r="R501" i="1"/>
  <c r="Q501" i="1"/>
  <c r="P501" i="1"/>
  <c r="O501" i="1"/>
  <c r="M501" i="1"/>
  <c r="L501" i="1"/>
  <c r="N501" i="1"/>
  <c r="K501" i="1"/>
  <c r="J501" i="1"/>
  <c r="I501" i="1"/>
  <c r="AE501" i="1" s="1"/>
  <c r="G501" i="1" a="1"/>
  <c r="G501" i="1" s="1"/>
  <c r="F501" i="1"/>
  <c r="E501" i="1"/>
  <c r="D501" i="1"/>
  <c r="AN502" i="1"/>
  <c r="AM502" i="1"/>
  <c r="AO502" i="1"/>
  <c r="AP502" i="1" s="1"/>
  <c r="Z502" i="1"/>
  <c r="Y502" i="1"/>
  <c r="X502" i="1"/>
  <c r="W502" i="1"/>
  <c r="V502" i="1"/>
  <c r="AA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G502" i="1" a="1"/>
  <c r="G502" i="1" s="1"/>
  <c r="F502" i="1"/>
  <c r="E502" i="1"/>
  <c r="D502" i="1"/>
  <c r="AO503" i="1"/>
  <c r="AN503" i="1"/>
  <c r="AM503" i="1"/>
  <c r="AA503" i="1"/>
  <c r="Z503" i="1"/>
  <c r="Y503" i="1"/>
  <c r="AC503" i="1" s="1"/>
  <c r="W503" i="1"/>
  <c r="V503" i="1"/>
  <c r="X503" i="1"/>
  <c r="AB503" i="1" s="1"/>
  <c r="U503" i="1"/>
  <c r="T503" i="1"/>
  <c r="S503" i="1"/>
  <c r="R503" i="1"/>
  <c r="Q503" i="1"/>
  <c r="P503" i="1"/>
  <c r="O503" i="1"/>
  <c r="M503" i="1"/>
  <c r="L503" i="1"/>
  <c r="N503" i="1"/>
  <c r="K503" i="1"/>
  <c r="J503" i="1"/>
  <c r="I503" i="1"/>
  <c r="AE503" i="1" s="1"/>
  <c r="G503" i="1" a="1"/>
  <c r="G503" i="1" s="1"/>
  <c r="F503" i="1"/>
  <c r="E503" i="1"/>
  <c r="D503" i="1"/>
  <c r="AM504" i="1"/>
  <c r="AO504" i="1"/>
  <c r="AP504" i="1" s="1"/>
  <c r="AN504" i="1"/>
  <c r="Z504" i="1"/>
  <c r="Y504" i="1"/>
  <c r="AA504" i="1"/>
  <c r="X504" i="1"/>
  <c r="AB504" i="1" s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AE504" i="1" s="1"/>
  <c r="G504" i="1" a="1"/>
  <c r="G504" i="1" s="1"/>
  <c r="F504" i="1"/>
  <c r="E504" i="1"/>
  <c r="D504" i="1"/>
  <c r="AO505" i="1"/>
  <c r="AN505" i="1"/>
  <c r="AM505" i="1"/>
  <c r="Z505" i="1"/>
  <c r="Y505" i="1"/>
  <c r="W505" i="1"/>
  <c r="V505" i="1"/>
  <c r="AA505" i="1"/>
  <c r="X505" i="1"/>
  <c r="AB505" i="1" s="1"/>
  <c r="U505" i="1"/>
  <c r="T505" i="1"/>
  <c r="S505" i="1"/>
  <c r="R505" i="1"/>
  <c r="Q505" i="1"/>
  <c r="P505" i="1"/>
  <c r="O505" i="1"/>
  <c r="M505" i="1"/>
  <c r="L505" i="1"/>
  <c r="N505" i="1"/>
  <c r="K505" i="1"/>
  <c r="J505" i="1"/>
  <c r="I505" i="1"/>
  <c r="AE505" i="1" s="1"/>
  <c r="G505" i="1" a="1"/>
  <c r="G505" i="1" s="1"/>
  <c r="F505" i="1"/>
  <c r="E505" i="1"/>
  <c r="D505" i="1"/>
  <c r="AN506" i="1"/>
  <c r="AM506" i="1"/>
  <c r="AO506" i="1"/>
  <c r="AP506" i="1" s="1"/>
  <c r="AA506" i="1"/>
  <c r="Z506" i="1"/>
  <c r="Y506" i="1"/>
  <c r="AC506" i="1" s="1"/>
  <c r="X506" i="1"/>
  <c r="AB506" i="1" s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AE506" i="1" s="1"/>
  <c r="G506" i="1" a="1"/>
  <c r="G506" i="1" s="1"/>
  <c r="F506" i="1"/>
  <c r="E506" i="1"/>
  <c r="D506" i="1"/>
  <c r="AO507" i="1"/>
  <c r="AM507" i="1"/>
  <c r="AN507" i="1"/>
  <c r="Z507" i="1"/>
  <c r="Y507" i="1"/>
  <c r="AA507" i="1"/>
  <c r="W507" i="1"/>
  <c r="V507" i="1"/>
  <c r="X507" i="1"/>
  <c r="AB507" i="1" s="1"/>
  <c r="U507" i="1"/>
  <c r="T507" i="1"/>
  <c r="S507" i="1"/>
  <c r="R507" i="1"/>
  <c r="Q507" i="1"/>
  <c r="P507" i="1"/>
  <c r="O507" i="1"/>
  <c r="M507" i="1"/>
  <c r="L507" i="1"/>
  <c r="N507" i="1"/>
  <c r="K507" i="1"/>
  <c r="J507" i="1"/>
  <c r="I507" i="1"/>
  <c r="AE507" i="1" s="1"/>
  <c r="G507" i="1" a="1"/>
  <c r="G507" i="1" s="1"/>
  <c r="F507" i="1"/>
  <c r="E507" i="1"/>
  <c r="D507" i="1"/>
  <c r="AN508" i="1"/>
  <c r="AM508" i="1"/>
  <c r="AO508" i="1"/>
  <c r="Z508" i="1"/>
  <c r="Y508" i="1"/>
  <c r="X508" i="1"/>
  <c r="AB508" i="1" s="1"/>
  <c r="W508" i="1"/>
  <c r="V508" i="1"/>
  <c r="AA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AE508" i="1" s="1"/>
  <c r="G508" i="1" a="1"/>
  <c r="G508" i="1" s="1"/>
  <c r="F508" i="1"/>
  <c r="E508" i="1"/>
  <c r="D508" i="1"/>
  <c r="AO509" i="1"/>
  <c r="AM509" i="1"/>
  <c r="AN509" i="1"/>
  <c r="AA509" i="1"/>
  <c r="Z509" i="1"/>
  <c r="Y509" i="1"/>
  <c r="AC509" i="1" s="1"/>
  <c r="W509" i="1"/>
  <c r="V509" i="1"/>
  <c r="X509" i="1"/>
  <c r="AB509" i="1" s="1"/>
  <c r="U509" i="1"/>
  <c r="T509" i="1"/>
  <c r="S509" i="1"/>
  <c r="R509" i="1"/>
  <c r="Q509" i="1"/>
  <c r="P509" i="1"/>
  <c r="O509" i="1"/>
  <c r="M509" i="1"/>
  <c r="L509" i="1"/>
  <c r="N509" i="1"/>
  <c r="K509" i="1"/>
  <c r="J509" i="1"/>
  <c r="I509" i="1"/>
  <c r="AE509" i="1" s="1"/>
  <c r="G509" i="1" a="1"/>
  <c r="G509" i="1" s="1"/>
  <c r="F509" i="1"/>
  <c r="E509" i="1"/>
  <c r="D509" i="1"/>
  <c r="AN510" i="1"/>
  <c r="AM510" i="1"/>
  <c r="AO510" i="1"/>
  <c r="Z510" i="1"/>
  <c r="Y510" i="1"/>
  <c r="AA510" i="1"/>
  <c r="X510" i="1"/>
  <c r="AB510" i="1" s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AE510" i="1" s="1"/>
  <c r="G510" i="1" a="1"/>
  <c r="G510" i="1" s="1"/>
  <c r="F510" i="1"/>
  <c r="E510" i="1"/>
  <c r="D510" i="1"/>
  <c r="AO511" i="1"/>
  <c r="AN511" i="1"/>
  <c r="AM511" i="1"/>
  <c r="Z511" i="1"/>
  <c r="Y511" i="1"/>
  <c r="W511" i="1"/>
  <c r="V511" i="1"/>
  <c r="AA511" i="1"/>
  <c r="X511" i="1"/>
  <c r="U511" i="1"/>
  <c r="T511" i="1"/>
  <c r="S511" i="1"/>
  <c r="R511" i="1"/>
  <c r="Q511" i="1"/>
  <c r="P511" i="1"/>
  <c r="O511" i="1"/>
  <c r="M511" i="1"/>
  <c r="L511" i="1"/>
  <c r="N511" i="1"/>
  <c r="K511" i="1"/>
  <c r="J511" i="1"/>
  <c r="I511" i="1"/>
  <c r="G511" i="1" a="1"/>
  <c r="G511" i="1" s="1"/>
  <c r="F511" i="1"/>
  <c r="E511" i="1"/>
  <c r="D511" i="1"/>
  <c r="AM512" i="1"/>
  <c r="AO512" i="1"/>
  <c r="AP512" i="1" s="1"/>
  <c r="AN512" i="1"/>
  <c r="AA512" i="1"/>
  <c r="Z512" i="1"/>
  <c r="Y512" i="1"/>
  <c r="AC512" i="1" s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G512" i="1" a="1"/>
  <c r="G512" i="1" s="1"/>
  <c r="F512" i="1"/>
  <c r="E512" i="1"/>
  <c r="D512" i="1"/>
  <c r="AO513" i="1"/>
  <c r="AM513" i="1"/>
  <c r="AN513" i="1"/>
  <c r="Z513" i="1"/>
  <c r="Y513" i="1"/>
  <c r="AA513" i="1"/>
  <c r="W513" i="1"/>
  <c r="V513" i="1"/>
  <c r="X513" i="1"/>
  <c r="U513" i="1"/>
  <c r="T513" i="1"/>
  <c r="S513" i="1"/>
  <c r="R513" i="1"/>
  <c r="Q513" i="1"/>
  <c r="P513" i="1"/>
  <c r="O513" i="1"/>
  <c r="M513" i="1"/>
  <c r="L513" i="1"/>
  <c r="N513" i="1"/>
  <c r="K513" i="1"/>
  <c r="J513" i="1"/>
  <c r="I513" i="1"/>
  <c r="G513" i="1" a="1"/>
  <c r="G513" i="1" s="1"/>
  <c r="F513" i="1"/>
  <c r="H513" i="1" s="1"/>
  <c r="E513" i="1"/>
  <c r="D513" i="1"/>
  <c r="AN514" i="1"/>
  <c r="AM514" i="1"/>
  <c r="AO514" i="1"/>
  <c r="AP514" i="1" s="1"/>
  <c r="AA514" i="1"/>
  <c r="Z514" i="1"/>
  <c r="Y514" i="1"/>
  <c r="AC514" i="1" s="1"/>
  <c r="X514" i="1"/>
  <c r="AB514" i="1" s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AE514" i="1" s="1"/>
  <c r="G514" i="1" a="1"/>
  <c r="G514" i="1" s="1"/>
  <c r="F514" i="1"/>
  <c r="H514" i="1" s="1"/>
  <c r="E514" i="1"/>
  <c r="D514" i="1"/>
  <c r="AO515" i="1"/>
  <c r="AM515" i="1"/>
  <c r="AN515" i="1"/>
  <c r="Z515" i="1"/>
  <c r="Y515" i="1"/>
  <c r="W515" i="1"/>
  <c r="V515" i="1"/>
  <c r="AA515" i="1"/>
  <c r="X515" i="1"/>
  <c r="AB515" i="1" s="1"/>
  <c r="U515" i="1"/>
  <c r="T515" i="1"/>
  <c r="S515" i="1"/>
  <c r="R515" i="1"/>
  <c r="Q515" i="1"/>
  <c r="P515" i="1"/>
  <c r="O515" i="1"/>
  <c r="M515" i="1"/>
  <c r="L515" i="1"/>
  <c r="N515" i="1"/>
  <c r="K515" i="1"/>
  <c r="J515" i="1"/>
  <c r="I515" i="1"/>
  <c r="AE515" i="1" s="1"/>
  <c r="G515" i="1" a="1"/>
  <c r="G515" i="1" s="1"/>
  <c r="F515" i="1"/>
  <c r="H515" i="1" s="1"/>
  <c r="E515" i="1"/>
  <c r="D515" i="1"/>
  <c r="AN516" i="1"/>
  <c r="AM516" i="1"/>
  <c r="AO516" i="1"/>
  <c r="AP516" i="1" s="1"/>
  <c r="Z516" i="1"/>
  <c r="Y516" i="1"/>
  <c r="AA516" i="1"/>
  <c r="X516" i="1"/>
  <c r="AB516" i="1" s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AE516" i="1" s="1"/>
  <c r="G516" i="1" a="1"/>
  <c r="G516" i="1" s="1"/>
  <c r="F516" i="1"/>
  <c r="H516" i="1" s="1"/>
  <c r="E516" i="1"/>
  <c r="D516" i="1"/>
  <c r="AO517" i="1"/>
  <c r="AN517" i="1"/>
  <c r="AM517" i="1"/>
  <c r="AA517" i="1"/>
  <c r="Z517" i="1"/>
  <c r="Y517" i="1"/>
  <c r="AC517" i="1" s="1"/>
  <c r="W517" i="1"/>
  <c r="V517" i="1"/>
  <c r="X517" i="1"/>
  <c r="AB517" i="1" s="1"/>
  <c r="U517" i="1"/>
  <c r="T517" i="1"/>
  <c r="S517" i="1"/>
  <c r="R517" i="1"/>
  <c r="Q517" i="1"/>
  <c r="P517" i="1"/>
  <c r="O517" i="1"/>
  <c r="M517" i="1"/>
  <c r="L517" i="1"/>
  <c r="N517" i="1"/>
  <c r="K517" i="1"/>
  <c r="J517" i="1"/>
  <c r="I517" i="1"/>
  <c r="AE517" i="1" s="1"/>
  <c r="G517" i="1" a="1"/>
  <c r="G517" i="1" s="1"/>
  <c r="F517" i="1"/>
  <c r="H517" i="1" s="1"/>
  <c r="E517" i="1"/>
  <c r="D517" i="1"/>
  <c r="AM518" i="1"/>
  <c r="AO518" i="1"/>
  <c r="AP518" i="1" s="1"/>
  <c r="AN518" i="1"/>
  <c r="Z518" i="1"/>
  <c r="Y518" i="1"/>
  <c r="X518" i="1"/>
  <c r="AB518" i="1" s="1"/>
  <c r="W518" i="1"/>
  <c r="V518" i="1"/>
  <c r="AA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AE518" i="1" s="1"/>
  <c r="G518" i="1" a="1"/>
  <c r="G518" i="1" s="1"/>
  <c r="F518" i="1"/>
  <c r="H518" i="1" s="1"/>
  <c r="E518" i="1"/>
  <c r="D518" i="1"/>
  <c r="AO519" i="1"/>
  <c r="AN519" i="1"/>
  <c r="AM519" i="1"/>
  <c r="Z519" i="1"/>
  <c r="Y519" i="1"/>
  <c r="AA519" i="1"/>
  <c r="W519" i="1"/>
  <c r="V519" i="1"/>
  <c r="X519" i="1"/>
  <c r="AB519" i="1" s="1"/>
  <c r="U519" i="1"/>
  <c r="T519" i="1"/>
  <c r="S519" i="1"/>
  <c r="R519" i="1"/>
  <c r="Q519" i="1"/>
  <c r="P519" i="1"/>
  <c r="O519" i="1"/>
  <c r="M519" i="1"/>
  <c r="L519" i="1"/>
  <c r="N519" i="1"/>
  <c r="K519" i="1"/>
  <c r="J519" i="1"/>
  <c r="I519" i="1"/>
  <c r="AE519" i="1" s="1"/>
  <c r="G519" i="1" a="1"/>
  <c r="G519" i="1" s="1"/>
  <c r="F519" i="1"/>
  <c r="H519" i="1" s="1"/>
  <c r="E519" i="1"/>
  <c r="D519" i="1"/>
  <c r="AM520" i="1"/>
  <c r="AO520" i="1"/>
  <c r="AP520" i="1" s="1"/>
  <c r="AN520" i="1"/>
  <c r="AA520" i="1"/>
  <c r="Z520" i="1"/>
  <c r="Y520" i="1"/>
  <c r="AC520" i="1" s="1"/>
  <c r="X520" i="1"/>
  <c r="AB520" i="1" s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AE520" i="1" s="1"/>
  <c r="G520" i="1" a="1"/>
  <c r="G520" i="1" s="1"/>
  <c r="F520" i="1"/>
  <c r="H520" i="1" s="1"/>
  <c r="E520" i="1"/>
  <c r="D520" i="1"/>
  <c r="AO521" i="1"/>
  <c r="AM521" i="1"/>
  <c r="AN521" i="1"/>
  <c r="Z521" i="1"/>
  <c r="Y521" i="1"/>
  <c r="W521" i="1"/>
  <c r="V521" i="1"/>
  <c r="AA521" i="1"/>
  <c r="X521" i="1"/>
  <c r="AB521" i="1" s="1"/>
  <c r="U521" i="1"/>
  <c r="T521" i="1"/>
  <c r="S521" i="1"/>
  <c r="R521" i="1"/>
  <c r="Q521" i="1"/>
  <c r="P521" i="1"/>
  <c r="O521" i="1"/>
  <c r="M521" i="1"/>
  <c r="L521" i="1"/>
  <c r="N521" i="1"/>
  <c r="K521" i="1"/>
  <c r="J521" i="1"/>
  <c r="I521" i="1"/>
  <c r="AE521" i="1" s="1"/>
  <c r="G521" i="1" a="1"/>
  <c r="G521" i="1" s="1"/>
  <c r="F521" i="1"/>
  <c r="H521" i="1" s="1"/>
  <c r="E521" i="1"/>
  <c r="D521" i="1"/>
  <c r="AN522" i="1"/>
  <c r="AM522" i="1"/>
  <c r="AO522" i="1"/>
  <c r="AP522" i="1" s="1"/>
  <c r="Z522" i="1"/>
  <c r="Y522" i="1"/>
  <c r="AA522" i="1"/>
  <c r="X522" i="1"/>
  <c r="AB522" i="1" s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AE522" i="1" s="1"/>
  <c r="G522" i="1" a="1"/>
  <c r="G522" i="1" s="1"/>
  <c r="F522" i="1"/>
  <c r="H522" i="1" s="1"/>
  <c r="E522" i="1"/>
  <c r="D522" i="1"/>
  <c r="AO523" i="1"/>
  <c r="AM523" i="1"/>
  <c r="AN523" i="1"/>
  <c r="AA523" i="1"/>
  <c r="Z523" i="1"/>
  <c r="Y523" i="1"/>
  <c r="AC523" i="1" s="1"/>
  <c r="W523" i="1"/>
  <c r="V523" i="1"/>
  <c r="X523" i="1"/>
  <c r="AB523" i="1" s="1"/>
  <c r="U523" i="1"/>
  <c r="T523" i="1"/>
  <c r="S523" i="1"/>
  <c r="R523" i="1"/>
  <c r="Q523" i="1"/>
  <c r="P523" i="1"/>
  <c r="O523" i="1"/>
  <c r="M523" i="1"/>
  <c r="L523" i="1"/>
  <c r="N523" i="1"/>
  <c r="K523" i="1"/>
  <c r="J523" i="1"/>
  <c r="I523" i="1"/>
  <c r="AE523" i="1" s="1"/>
  <c r="G523" i="1" a="1"/>
  <c r="G523" i="1" s="1"/>
  <c r="F523" i="1"/>
  <c r="H523" i="1" s="1"/>
  <c r="E523" i="1"/>
  <c r="D523" i="1"/>
  <c r="AN524" i="1"/>
  <c r="AM524" i="1"/>
  <c r="AO524" i="1"/>
  <c r="AP524" i="1" s="1"/>
  <c r="Z524" i="1"/>
  <c r="Y524" i="1"/>
  <c r="X524" i="1"/>
  <c r="AB524" i="1" s="1"/>
  <c r="W524" i="1"/>
  <c r="V524" i="1"/>
  <c r="AA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AE524" i="1" s="1"/>
  <c r="G524" i="1" a="1"/>
  <c r="G524" i="1" s="1"/>
  <c r="F524" i="1"/>
  <c r="H524" i="1" s="1"/>
  <c r="E524" i="1"/>
  <c r="D524" i="1"/>
  <c r="AO525" i="1"/>
  <c r="AM525" i="1"/>
  <c r="AN525" i="1"/>
  <c r="Z525" i="1"/>
  <c r="Y525" i="1"/>
  <c r="AA525" i="1"/>
  <c r="W525" i="1"/>
  <c r="V525" i="1"/>
  <c r="X525" i="1"/>
  <c r="AB525" i="1" s="1"/>
  <c r="U525" i="1"/>
  <c r="T525" i="1"/>
  <c r="S525" i="1"/>
  <c r="R525" i="1"/>
  <c r="Q525" i="1"/>
  <c r="P525" i="1"/>
  <c r="O525" i="1"/>
  <c r="M525" i="1"/>
  <c r="L525" i="1"/>
  <c r="N525" i="1"/>
  <c r="K525" i="1"/>
  <c r="J525" i="1"/>
  <c r="I525" i="1"/>
  <c r="AE525" i="1" s="1"/>
  <c r="G525" i="1" a="1"/>
  <c r="G525" i="1" s="1"/>
  <c r="F525" i="1"/>
  <c r="H525" i="1" s="1"/>
  <c r="E525" i="1"/>
  <c r="D525" i="1"/>
  <c r="AN526" i="1"/>
  <c r="AM526" i="1"/>
  <c r="AO526" i="1"/>
  <c r="AP526" i="1" s="1"/>
  <c r="AA526" i="1"/>
  <c r="Z526" i="1"/>
  <c r="Y526" i="1"/>
  <c r="AC526" i="1" s="1"/>
  <c r="X526" i="1"/>
  <c r="AB526" i="1" s="1"/>
  <c r="W526" i="1"/>
  <c r="V526" i="1"/>
  <c r="U526" i="1"/>
  <c r="T526" i="1"/>
  <c r="S526" i="1"/>
  <c r="R526" i="1"/>
  <c r="Q526" i="1"/>
  <c r="P526" i="1"/>
  <c r="O526" i="1"/>
  <c r="M526" i="1"/>
  <c r="L526" i="1"/>
  <c r="N526" i="1"/>
  <c r="K526" i="1"/>
  <c r="J526" i="1"/>
  <c r="I526" i="1"/>
  <c r="AE526" i="1" s="1"/>
  <c r="G526" i="1" a="1"/>
  <c r="G526" i="1" s="1"/>
  <c r="F526" i="1"/>
  <c r="H526" i="1" s="1"/>
  <c r="E526" i="1"/>
  <c r="D526" i="1"/>
  <c r="AO527" i="1"/>
  <c r="AM527" i="1"/>
  <c r="AN527" i="1"/>
  <c r="Z527" i="1"/>
  <c r="Y527" i="1"/>
  <c r="W527" i="1"/>
  <c r="V527" i="1"/>
  <c r="AA527" i="1"/>
  <c r="X527" i="1"/>
  <c r="AB527" i="1" s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AE527" i="1" s="1"/>
  <c r="G527" i="1" a="1"/>
  <c r="G527" i="1" s="1"/>
  <c r="F527" i="1"/>
  <c r="H527" i="1" s="1"/>
  <c r="E527" i="1"/>
  <c r="D527" i="1"/>
  <c r="AN528" i="1"/>
  <c r="AM528" i="1"/>
  <c r="AO528" i="1"/>
  <c r="AP528" i="1" s="1"/>
  <c r="Z528" i="1"/>
  <c r="Y528" i="1"/>
  <c r="AA528" i="1"/>
  <c r="X528" i="1"/>
  <c r="AB528" i="1" s="1"/>
  <c r="W528" i="1"/>
  <c r="V528" i="1"/>
  <c r="U528" i="1"/>
  <c r="T528" i="1"/>
  <c r="S528" i="1"/>
  <c r="R528" i="1"/>
  <c r="Q528" i="1"/>
  <c r="P528" i="1"/>
  <c r="O528" i="1"/>
  <c r="M528" i="1"/>
  <c r="L528" i="1"/>
  <c r="N528" i="1"/>
  <c r="K528" i="1"/>
  <c r="J528" i="1"/>
  <c r="I528" i="1"/>
  <c r="AE528" i="1" s="1"/>
  <c r="G528" i="1" a="1"/>
  <c r="G528" i="1" s="1"/>
  <c r="F528" i="1"/>
  <c r="H528" i="1" s="1"/>
  <c r="E528" i="1"/>
  <c r="D528" i="1"/>
  <c r="AO529" i="1"/>
  <c r="AM529" i="1"/>
  <c r="AN529" i="1"/>
  <c r="AA529" i="1"/>
  <c r="Z529" i="1"/>
  <c r="Y529" i="1"/>
  <c r="AC529" i="1" s="1"/>
  <c r="W529" i="1"/>
  <c r="V529" i="1"/>
  <c r="X529" i="1"/>
  <c r="AB529" i="1" s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AE529" i="1" s="1"/>
  <c r="G529" i="1" a="1"/>
  <c r="G529" i="1" s="1"/>
  <c r="F529" i="1"/>
  <c r="H529" i="1" s="1"/>
  <c r="E529" i="1"/>
  <c r="D529" i="1"/>
  <c r="AN530" i="1"/>
  <c r="AM530" i="1"/>
  <c r="AO530" i="1"/>
  <c r="AP530" i="1" s="1"/>
  <c r="Z530" i="1"/>
  <c r="Y530" i="1"/>
  <c r="X530" i="1"/>
  <c r="AB530" i="1" s="1"/>
  <c r="W530" i="1"/>
  <c r="V530" i="1"/>
  <c r="AA530" i="1"/>
  <c r="U530" i="1"/>
  <c r="T530" i="1"/>
  <c r="S530" i="1"/>
  <c r="R530" i="1"/>
  <c r="Q530" i="1"/>
  <c r="P530" i="1"/>
  <c r="O530" i="1"/>
  <c r="M530" i="1"/>
  <c r="L530" i="1"/>
  <c r="N530" i="1"/>
  <c r="K530" i="1"/>
  <c r="J530" i="1"/>
  <c r="I530" i="1"/>
  <c r="AE530" i="1" s="1"/>
  <c r="G530" i="1" a="1"/>
  <c r="G530" i="1" s="1"/>
  <c r="F530" i="1"/>
  <c r="H530" i="1" s="1"/>
  <c r="E530" i="1"/>
  <c r="D530" i="1"/>
  <c r="AO531" i="1"/>
  <c r="AM531" i="1"/>
  <c r="AN531" i="1"/>
  <c r="Z531" i="1"/>
  <c r="Y531" i="1"/>
  <c r="AA531" i="1"/>
  <c r="W531" i="1"/>
  <c r="V531" i="1"/>
  <c r="X531" i="1"/>
  <c r="AB531" i="1" s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AE531" i="1" s="1"/>
  <c r="G531" i="1" a="1"/>
  <c r="G531" i="1" s="1"/>
  <c r="F531" i="1"/>
  <c r="H531" i="1" s="1"/>
  <c r="E531" i="1"/>
  <c r="D531" i="1"/>
  <c r="AN532" i="1"/>
  <c r="AM532" i="1"/>
  <c r="AO532" i="1"/>
  <c r="AP532" i="1" s="1"/>
  <c r="Z532" i="1"/>
  <c r="Y532" i="1"/>
  <c r="X532" i="1"/>
  <c r="AB532" i="1" s="1"/>
  <c r="W532" i="1"/>
  <c r="V532" i="1"/>
  <c r="AA532" i="1"/>
  <c r="U532" i="1"/>
  <c r="T532" i="1"/>
  <c r="S532" i="1"/>
  <c r="R532" i="1"/>
  <c r="Q532" i="1"/>
  <c r="P532" i="1"/>
  <c r="O532" i="1"/>
  <c r="M532" i="1"/>
  <c r="L532" i="1"/>
  <c r="N532" i="1"/>
  <c r="K532" i="1"/>
  <c r="J532" i="1"/>
  <c r="I532" i="1"/>
  <c r="AE532" i="1" s="1"/>
  <c r="G532" i="1" a="1"/>
  <c r="G532" i="1" s="1"/>
  <c r="F532" i="1"/>
  <c r="H532" i="1" s="1"/>
  <c r="E532" i="1"/>
  <c r="D532" i="1"/>
  <c r="AO533" i="1"/>
  <c r="AM533" i="1"/>
  <c r="AN533" i="1"/>
  <c r="AA533" i="1"/>
  <c r="Z533" i="1"/>
  <c r="Y533" i="1"/>
  <c r="AC533" i="1" s="1"/>
  <c r="W533" i="1"/>
  <c r="V533" i="1"/>
  <c r="X533" i="1"/>
  <c r="AB533" i="1" s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AE533" i="1" s="1"/>
  <c r="G533" i="1" a="1"/>
  <c r="G533" i="1" s="1"/>
  <c r="F533" i="1"/>
  <c r="H533" i="1" s="1"/>
  <c r="E533" i="1"/>
  <c r="D533" i="1"/>
  <c r="AN534" i="1"/>
  <c r="AM534" i="1"/>
  <c r="AO534" i="1"/>
  <c r="AP534" i="1" s="1"/>
  <c r="Z534" i="1"/>
  <c r="Y534" i="1"/>
  <c r="AA534" i="1"/>
  <c r="X534" i="1"/>
  <c r="AB534" i="1" s="1"/>
  <c r="W534" i="1"/>
  <c r="V534" i="1"/>
  <c r="U534" i="1"/>
  <c r="T534" i="1"/>
  <c r="S534" i="1"/>
  <c r="R534" i="1"/>
  <c r="Q534" i="1"/>
  <c r="P534" i="1"/>
  <c r="O534" i="1"/>
  <c r="M534" i="1"/>
  <c r="L534" i="1"/>
  <c r="N534" i="1"/>
  <c r="K534" i="1"/>
  <c r="J534" i="1"/>
  <c r="I534" i="1"/>
  <c r="AE534" i="1" s="1"/>
  <c r="G534" i="1" a="1"/>
  <c r="G534" i="1" s="1"/>
  <c r="F534" i="1"/>
  <c r="H534" i="1" s="1"/>
  <c r="E534" i="1"/>
  <c r="D534" i="1"/>
  <c r="AO535" i="1"/>
  <c r="AM535" i="1"/>
  <c r="AN535" i="1"/>
  <c r="AA535" i="1"/>
  <c r="Z535" i="1"/>
  <c r="Y535" i="1"/>
  <c r="AC535" i="1" s="1"/>
  <c r="W535" i="1"/>
  <c r="V535" i="1"/>
  <c r="X535" i="1"/>
  <c r="AB535" i="1" s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AE535" i="1" s="1"/>
  <c r="G535" i="1" a="1"/>
  <c r="G535" i="1" s="1"/>
  <c r="F535" i="1"/>
  <c r="H535" i="1" s="1"/>
  <c r="E535" i="1"/>
  <c r="D535" i="1"/>
  <c r="AN536" i="1"/>
  <c r="AM536" i="1"/>
  <c r="AO536" i="1"/>
  <c r="AP536" i="1" s="1"/>
  <c r="Z536" i="1"/>
  <c r="Y536" i="1"/>
  <c r="X536" i="1"/>
  <c r="AB536" i="1" s="1"/>
  <c r="W536" i="1"/>
  <c r="V536" i="1"/>
  <c r="AA536" i="1"/>
  <c r="U536" i="1"/>
  <c r="T536" i="1"/>
  <c r="S536" i="1"/>
  <c r="R536" i="1"/>
  <c r="Q536" i="1"/>
  <c r="P536" i="1"/>
  <c r="O536" i="1"/>
  <c r="M536" i="1"/>
  <c r="L536" i="1"/>
  <c r="N536" i="1"/>
  <c r="K536" i="1"/>
  <c r="J536" i="1"/>
  <c r="I536" i="1"/>
  <c r="AE536" i="1" s="1"/>
  <c r="G536" i="1" a="1"/>
  <c r="G536" i="1" s="1"/>
  <c r="F536" i="1"/>
  <c r="H536" i="1" s="1"/>
  <c r="E536" i="1"/>
  <c r="D536" i="1"/>
  <c r="AO537" i="1"/>
  <c r="AM537" i="1"/>
  <c r="AN537" i="1"/>
  <c r="Z537" i="1"/>
  <c r="Y537" i="1"/>
  <c r="AA537" i="1"/>
  <c r="W537" i="1"/>
  <c r="V537" i="1"/>
  <c r="X537" i="1"/>
  <c r="AB537" i="1" s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AE537" i="1" s="1"/>
  <c r="G537" i="1" a="1"/>
  <c r="G537" i="1" s="1"/>
  <c r="F537" i="1"/>
  <c r="H537" i="1" s="1"/>
  <c r="E537" i="1"/>
  <c r="D537" i="1"/>
  <c r="AN538" i="1"/>
  <c r="AM538" i="1"/>
  <c r="AO538" i="1"/>
  <c r="AP538" i="1" s="1"/>
  <c r="Z538" i="1"/>
  <c r="Y538" i="1"/>
  <c r="X538" i="1"/>
  <c r="AB538" i="1" s="1"/>
  <c r="W538" i="1"/>
  <c r="V538" i="1"/>
  <c r="AA538" i="1"/>
  <c r="U538" i="1"/>
  <c r="T538" i="1"/>
  <c r="S538" i="1"/>
  <c r="R538" i="1"/>
  <c r="Q538" i="1"/>
  <c r="P538" i="1"/>
  <c r="O538" i="1"/>
  <c r="M538" i="1"/>
  <c r="L538" i="1"/>
  <c r="N538" i="1"/>
  <c r="K538" i="1"/>
  <c r="J538" i="1"/>
  <c r="I538" i="1"/>
  <c r="AE538" i="1" s="1"/>
  <c r="G538" i="1" a="1"/>
  <c r="G538" i="1" s="1"/>
  <c r="F538" i="1"/>
  <c r="H538" i="1" s="1"/>
  <c r="E538" i="1"/>
  <c r="D538" i="1"/>
  <c r="AO539" i="1"/>
  <c r="AM539" i="1"/>
  <c r="AN539" i="1"/>
  <c r="AA539" i="1"/>
  <c r="Z539" i="1"/>
  <c r="Y539" i="1"/>
  <c r="AC539" i="1" s="1"/>
  <c r="W539" i="1"/>
  <c r="V539" i="1"/>
  <c r="X539" i="1"/>
  <c r="AB539" i="1" s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AE539" i="1" s="1"/>
  <c r="G539" i="1" a="1"/>
  <c r="G539" i="1" s="1"/>
  <c r="F539" i="1"/>
  <c r="H539" i="1" s="1"/>
  <c r="E539" i="1"/>
  <c r="D539" i="1"/>
  <c r="AN540" i="1"/>
  <c r="AM540" i="1"/>
  <c r="AO540" i="1"/>
  <c r="AP540" i="1" s="1"/>
  <c r="Z540" i="1"/>
  <c r="Y540" i="1"/>
  <c r="AA540" i="1"/>
  <c r="X540" i="1"/>
  <c r="AB540" i="1" s="1"/>
  <c r="W540" i="1"/>
  <c r="V540" i="1"/>
  <c r="U540" i="1"/>
  <c r="T540" i="1"/>
  <c r="S540" i="1"/>
  <c r="R540" i="1"/>
  <c r="Q540" i="1"/>
  <c r="P540" i="1"/>
  <c r="O540" i="1"/>
  <c r="M540" i="1"/>
  <c r="L540" i="1"/>
  <c r="N540" i="1"/>
  <c r="K540" i="1"/>
  <c r="J540" i="1"/>
  <c r="I540" i="1"/>
  <c r="AE540" i="1" s="1"/>
  <c r="G540" i="1" a="1"/>
  <c r="G540" i="1" s="1"/>
  <c r="F540" i="1"/>
  <c r="H540" i="1" s="1"/>
  <c r="E540" i="1"/>
  <c r="D540" i="1"/>
  <c r="AO541" i="1"/>
  <c r="AM541" i="1"/>
  <c r="AN541" i="1"/>
  <c r="Z541" i="1"/>
  <c r="Y541" i="1"/>
  <c r="W541" i="1"/>
  <c r="V541" i="1"/>
  <c r="AA541" i="1"/>
  <c r="X541" i="1"/>
  <c r="AB541" i="1" s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AE541" i="1" s="1"/>
  <c r="G541" i="1" a="1"/>
  <c r="G541" i="1" s="1"/>
  <c r="F541" i="1"/>
  <c r="H541" i="1" s="1"/>
  <c r="E541" i="1"/>
  <c r="D541" i="1"/>
  <c r="AN542" i="1"/>
  <c r="AM542" i="1"/>
  <c r="AO542" i="1"/>
  <c r="AP542" i="1" s="1"/>
  <c r="AA542" i="1"/>
  <c r="Z542" i="1"/>
  <c r="Y542" i="1"/>
  <c r="AC542" i="1" s="1"/>
  <c r="X542" i="1"/>
  <c r="AB542" i="1" s="1"/>
  <c r="W542" i="1"/>
  <c r="V542" i="1"/>
  <c r="U542" i="1"/>
  <c r="T542" i="1"/>
  <c r="S542" i="1"/>
  <c r="R542" i="1"/>
  <c r="Q542" i="1"/>
  <c r="P542" i="1"/>
  <c r="O542" i="1"/>
  <c r="M542" i="1"/>
  <c r="L542" i="1"/>
  <c r="N542" i="1"/>
  <c r="K542" i="1"/>
  <c r="J542" i="1"/>
  <c r="I542" i="1"/>
  <c r="AE542" i="1" s="1"/>
  <c r="G542" i="1" a="1"/>
  <c r="G542" i="1" s="1"/>
  <c r="F542" i="1"/>
  <c r="H542" i="1" s="1"/>
  <c r="E542" i="1"/>
  <c r="D542" i="1"/>
  <c r="AO543" i="1"/>
  <c r="AM543" i="1"/>
  <c r="AN543" i="1"/>
  <c r="Z543" i="1"/>
  <c r="Y543" i="1"/>
  <c r="AA543" i="1"/>
  <c r="W543" i="1"/>
  <c r="V543" i="1"/>
  <c r="X543" i="1"/>
  <c r="AB543" i="1" s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AE543" i="1" s="1"/>
  <c r="G543" i="1" a="1"/>
  <c r="G543" i="1" s="1"/>
  <c r="F543" i="1"/>
  <c r="H543" i="1" s="1"/>
  <c r="E543" i="1"/>
  <c r="D543" i="1"/>
  <c r="AN544" i="1"/>
  <c r="AM544" i="1"/>
  <c r="AO544" i="1"/>
  <c r="AP544" i="1" s="1"/>
  <c r="Z544" i="1"/>
  <c r="Y544" i="1"/>
  <c r="X544" i="1"/>
  <c r="AB544" i="1" s="1"/>
  <c r="W544" i="1"/>
  <c r="V544" i="1"/>
  <c r="AA544" i="1"/>
  <c r="U544" i="1"/>
  <c r="T544" i="1"/>
  <c r="S544" i="1"/>
  <c r="R544" i="1"/>
  <c r="Q544" i="1"/>
  <c r="P544" i="1"/>
  <c r="O544" i="1"/>
  <c r="M544" i="1"/>
  <c r="L544" i="1"/>
  <c r="N544" i="1"/>
  <c r="K544" i="1"/>
  <c r="J544" i="1"/>
  <c r="I544" i="1"/>
  <c r="AE544" i="1" s="1"/>
  <c r="G544" i="1" a="1"/>
  <c r="G544" i="1" s="1"/>
  <c r="F544" i="1"/>
  <c r="H544" i="1" s="1"/>
  <c r="E544" i="1"/>
  <c r="D544" i="1"/>
  <c r="AO545" i="1"/>
  <c r="AM545" i="1"/>
  <c r="AN545" i="1"/>
  <c r="AA545" i="1"/>
  <c r="Z545" i="1"/>
  <c r="Y545" i="1"/>
  <c r="AC545" i="1" s="1"/>
  <c r="W545" i="1"/>
  <c r="V545" i="1"/>
  <c r="X545" i="1"/>
  <c r="AB545" i="1" s="1"/>
  <c r="U545" i="1"/>
  <c r="T545" i="1"/>
  <c r="S545" i="1"/>
  <c r="R545" i="1"/>
  <c r="Q545" i="1"/>
  <c r="P545" i="1"/>
  <c r="O545" i="1"/>
  <c r="M545" i="1"/>
  <c r="L545" i="1"/>
  <c r="N545" i="1"/>
  <c r="K545" i="1"/>
  <c r="J545" i="1"/>
  <c r="I545" i="1"/>
  <c r="AE545" i="1" s="1"/>
  <c r="G545" i="1" a="1"/>
  <c r="G545" i="1" s="1"/>
  <c r="F545" i="1"/>
  <c r="H545" i="1" s="1"/>
  <c r="E545" i="1"/>
  <c r="D545" i="1"/>
  <c r="AN546" i="1"/>
  <c r="AM546" i="1"/>
  <c r="AO546" i="1"/>
  <c r="AP546" i="1" s="1"/>
  <c r="Z546" i="1"/>
  <c r="Y546" i="1"/>
  <c r="AA546" i="1"/>
  <c r="X546" i="1"/>
  <c r="AB546" i="1" s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AE546" i="1" s="1"/>
  <c r="G546" i="1" a="1"/>
  <c r="G546" i="1" s="1"/>
  <c r="F546" i="1"/>
  <c r="H546" i="1" s="1"/>
  <c r="E546" i="1"/>
  <c r="D546" i="1"/>
  <c r="AO547" i="1"/>
  <c r="AM547" i="1"/>
  <c r="AN547" i="1"/>
  <c r="Z547" i="1"/>
  <c r="Y547" i="1"/>
  <c r="W547" i="1"/>
  <c r="V547" i="1"/>
  <c r="AA547" i="1"/>
  <c r="X547" i="1"/>
  <c r="AB547" i="1" s="1"/>
  <c r="U547" i="1"/>
  <c r="T547" i="1"/>
  <c r="S547" i="1"/>
  <c r="R547" i="1"/>
  <c r="Q547" i="1"/>
  <c r="P547" i="1"/>
  <c r="O547" i="1"/>
  <c r="M547" i="1"/>
  <c r="L547" i="1"/>
  <c r="N547" i="1"/>
  <c r="K547" i="1"/>
  <c r="J547" i="1"/>
  <c r="I547" i="1"/>
  <c r="AE547" i="1" s="1"/>
  <c r="G547" i="1" a="1"/>
  <c r="G547" i="1" s="1"/>
  <c r="F547" i="1"/>
  <c r="H547" i="1" s="1"/>
  <c r="E547" i="1"/>
  <c r="D547" i="1"/>
  <c r="AN548" i="1"/>
  <c r="AM548" i="1"/>
  <c r="AO548" i="1"/>
  <c r="AP548" i="1" s="1"/>
  <c r="AA548" i="1"/>
  <c r="Z548" i="1"/>
  <c r="Y548" i="1"/>
  <c r="AC548" i="1" s="1"/>
  <c r="X548" i="1"/>
  <c r="AB548" i="1" s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AE548" i="1" s="1"/>
  <c r="G548" i="1" a="1"/>
  <c r="G548" i="1" s="1"/>
  <c r="F548" i="1"/>
  <c r="H548" i="1" s="1"/>
  <c r="E548" i="1"/>
  <c r="D548" i="1"/>
  <c r="AO549" i="1"/>
  <c r="AM549" i="1"/>
  <c r="AN549" i="1"/>
  <c r="Z549" i="1"/>
  <c r="Y549" i="1"/>
  <c r="AA549" i="1"/>
  <c r="W549" i="1"/>
  <c r="V549" i="1"/>
  <c r="X549" i="1"/>
  <c r="AB549" i="1" s="1"/>
  <c r="U549" i="1"/>
  <c r="T549" i="1"/>
  <c r="S549" i="1"/>
  <c r="R549" i="1"/>
  <c r="Q549" i="1"/>
  <c r="P549" i="1"/>
  <c r="O549" i="1"/>
  <c r="M549" i="1"/>
  <c r="L549" i="1"/>
  <c r="N549" i="1"/>
  <c r="K549" i="1"/>
  <c r="J549" i="1"/>
  <c r="I549" i="1"/>
  <c r="AE549" i="1" s="1"/>
  <c r="G549" i="1" a="1"/>
  <c r="G549" i="1" s="1"/>
  <c r="F549" i="1"/>
  <c r="H549" i="1" s="1"/>
  <c r="E549" i="1"/>
  <c r="D549" i="1"/>
  <c r="AN550" i="1"/>
  <c r="AM550" i="1"/>
  <c r="AO550" i="1"/>
  <c r="AP550" i="1" s="1"/>
  <c r="AA550" i="1"/>
  <c r="Z550" i="1"/>
  <c r="Y550" i="1"/>
  <c r="AC550" i="1" s="1"/>
  <c r="X550" i="1"/>
  <c r="AB550" i="1" s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AE550" i="1" s="1"/>
  <c r="G550" i="1" a="1"/>
  <c r="G550" i="1" s="1"/>
  <c r="F550" i="1"/>
  <c r="H550" i="1" s="1"/>
  <c r="E550" i="1"/>
  <c r="D550" i="1"/>
  <c r="AO551" i="1"/>
  <c r="AM551" i="1"/>
  <c r="AN551" i="1"/>
  <c r="Z551" i="1"/>
  <c r="Y551" i="1"/>
  <c r="W551" i="1"/>
  <c r="V551" i="1"/>
  <c r="AA551" i="1"/>
  <c r="X551" i="1"/>
  <c r="AB551" i="1" s="1"/>
  <c r="U551" i="1"/>
  <c r="T551" i="1"/>
  <c r="S551" i="1"/>
  <c r="R551" i="1"/>
  <c r="Q551" i="1"/>
  <c r="P551" i="1"/>
  <c r="O551" i="1"/>
  <c r="M551" i="1"/>
  <c r="L551" i="1"/>
  <c r="N551" i="1"/>
  <c r="K551" i="1"/>
  <c r="J551" i="1"/>
  <c r="I551" i="1"/>
  <c r="AE551" i="1" s="1"/>
  <c r="G551" i="1" a="1"/>
  <c r="G551" i="1" s="1"/>
  <c r="F551" i="1"/>
  <c r="H551" i="1" s="1"/>
  <c r="E551" i="1"/>
  <c r="D551" i="1"/>
  <c r="AN552" i="1"/>
  <c r="AM552" i="1"/>
  <c r="AO552" i="1"/>
  <c r="AP552" i="1" s="1"/>
  <c r="Z552" i="1"/>
  <c r="Y552" i="1"/>
  <c r="AA552" i="1"/>
  <c r="W552" i="1"/>
  <c r="V552" i="1"/>
  <c r="X552" i="1"/>
  <c r="AB552" i="1" s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AE552" i="1" s="1"/>
  <c r="G552" i="1" a="1"/>
  <c r="G552" i="1" s="1"/>
  <c r="F552" i="1"/>
  <c r="H552" i="1" s="1"/>
  <c r="E552" i="1"/>
  <c r="D552" i="1"/>
  <c r="AO553" i="1"/>
  <c r="AM553" i="1"/>
  <c r="AN553" i="1"/>
  <c r="AA553" i="1"/>
  <c r="Z553" i="1"/>
  <c r="Y553" i="1"/>
  <c r="AC553" i="1" s="1"/>
  <c r="X553" i="1"/>
  <c r="AB553" i="1" s="1"/>
  <c r="W553" i="1"/>
  <c r="V553" i="1"/>
  <c r="U553" i="1"/>
  <c r="T553" i="1"/>
  <c r="S553" i="1"/>
  <c r="R553" i="1"/>
  <c r="Q553" i="1"/>
  <c r="P553" i="1"/>
  <c r="O553" i="1"/>
  <c r="M553" i="1"/>
  <c r="L553" i="1"/>
  <c r="N553" i="1"/>
  <c r="K553" i="1"/>
  <c r="J553" i="1"/>
  <c r="I553" i="1"/>
  <c r="AE553" i="1" s="1"/>
  <c r="G553" i="1" a="1"/>
  <c r="G553" i="1" s="1"/>
  <c r="F553" i="1"/>
  <c r="H553" i="1" s="1"/>
  <c r="E553" i="1"/>
  <c r="D553" i="1"/>
  <c r="AN554" i="1"/>
  <c r="AM554" i="1"/>
  <c r="AO554" i="1"/>
  <c r="AP554" i="1" s="1"/>
  <c r="Z554" i="1"/>
  <c r="Y554" i="1"/>
  <c r="W554" i="1"/>
  <c r="V554" i="1"/>
  <c r="AA554" i="1"/>
  <c r="X554" i="1"/>
  <c r="AB554" i="1" s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AE554" i="1" s="1"/>
  <c r="G554" i="1" a="1"/>
  <c r="G554" i="1" s="1"/>
  <c r="F554" i="1"/>
  <c r="H554" i="1" s="1"/>
  <c r="E554" i="1"/>
  <c r="D554" i="1"/>
  <c r="AO555" i="1"/>
  <c r="AM555" i="1"/>
  <c r="AN555" i="1"/>
  <c r="Z555" i="1"/>
  <c r="Y555" i="1"/>
  <c r="AA555" i="1"/>
  <c r="X555" i="1"/>
  <c r="AB555" i="1" s="1"/>
  <c r="W555" i="1"/>
  <c r="V555" i="1"/>
  <c r="U555" i="1"/>
  <c r="T555" i="1"/>
  <c r="S555" i="1"/>
  <c r="R555" i="1"/>
  <c r="Q555" i="1"/>
  <c r="P555" i="1"/>
  <c r="O555" i="1"/>
  <c r="M555" i="1"/>
  <c r="L555" i="1"/>
  <c r="N555" i="1"/>
  <c r="K555" i="1"/>
  <c r="J555" i="1"/>
  <c r="I555" i="1"/>
  <c r="AE555" i="1" s="1"/>
  <c r="G555" i="1" a="1"/>
  <c r="G555" i="1" s="1"/>
  <c r="F555" i="1"/>
  <c r="H555" i="1" s="1"/>
  <c r="E555" i="1"/>
  <c r="D555" i="1"/>
  <c r="AN556" i="1"/>
  <c r="AM556" i="1"/>
  <c r="AO556" i="1"/>
  <c r="AP556" i="1" s="1"/>
  <c r="AA556" i="1"/>
  <c r="Z556" i="1"/>
  <c r="Y556" i="1"/>
  <c r="AC556" i="1" s="1"/>
  <c r="W556" i="1"/>
  <c r="V556" i="1"/>
  <c r="X556" i="1"/>
  <c r="AB556" i="1" s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AE556" i="1" s="1"/>
  <c r="G556" i="1" a="1"/>
  <c r="G556" i="1" s="1"/>
  <c r="F556" i="1"/>
  <c r="H556" i="1" s="1"/>
  <c r="E556" i="1"/>
  <c r="D556" i="1"/>
  <c r="AO557" i="1"/>
  <c r="AM557" i="1"/>
  <c r="AN557" i="1"/>
  <c r="Z557" i="1"/>
  <c r="Y557" i="1"/>
  <c r="X557" i="1"/>
  <c r="AB557" i="1" s="1"/>
  <c r="W557" i="1"/>
  <c r="V557" i="1"/>
  <c r="AA557" i="1"/>
  <c r="U557" i="1"/>
  <c r="T557" i="1"/>
  <c r="S557" i="1"/>
  <c r="R557" i="1"/>
  <c r="Q557" i="1"/>
  <c r="P557" i="1"/>
  <c r="O557" i="1"/>
  <c r="M557" i="1"/>
  <c r="L557" i="1"/>
  <c r="N557" i="1"/>
  <c r="K557" i="1"/>
  <c r="J557" i="1"/>
  <c r="I557" i="1"/>
  <c r="AE557" i="1" s="1"/>
  <c r="G557" i="1" a="1"/>
  <c r="G557" i="1" s="1"/>
  <c r="F557" i="1"/>
  <c r="H557" i="1" s="1"/>
  <c r="E557" i="1"/>
  <c r="D557" i="1"/>
  <c r="AN558" i="1"/>
  <c r="AM558" i="1"/>
  <c r="AO558" i="1"/>
  <c r="AP558" i="1" s="1"/>
  <c r="Z558" i="1"/>
  <c r="Y558" i="1"/>
  <c r="AA558" i="1"/>
  <c r="W558" i="1"/>
  <c r="V558" i="1"/>
  <c r="X558" i="1"/>
  <c r="AB558" i="1" s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AE558" i="1" s="1"/>
  <c r="G558" i="1" a="1"/>
  <c r="G558" i="1" s="1"/>
  <c r="F558" i="1"/>
  <c r="H558" i="1" s="1"/>
  <c r="E558" i="1"/>
  <c r="D558" i="1"/>
  <c r="AO559" i="1"/>
  <c r="AM559" i="1"/>
  <c r="AN559" i="1"/>
  <c r="AA559" i="1"/>
  <c r="Z559" i="1"/>
  <c r="Y559" i="1"/>
  <c r="AC559" i="1" s="1"/>
  <c r="X559" i="1"/>
  <c r="AB559" i="1" s="1"/>
  <c r="W559" i="1"/>
  <c r="V559" i="1"/>
  <c r="U559" i="1"/>
  <c r="T559" i="1"/>
  <c r="S559" i="1"/>
  <c r="R559" i="1"/>
  <c r="Q559" i="1"/>
  <c r="P559" i="1"/>
  <c r="O559" i="1"/>
  <c r="M559" i="1"/>
  <c r="L559" i="1"/>
  <c r="N559" i="1"/>
  <c r="K559" i="1"/>
  <c r="J559" i="1"/>
  <c r="I559" i="1"/>
  <c r="AE559" i="1" s="1"/>
  <c r="G559" i="1" a="1"/>
  <c r="G559" i="1" s="1"/>
  <c r="F559" i="1"/>
  <c r="E559" i="1"/>
  <c r="D559" i="1"/>
  <c r="AN560" i="1"/>
  <c r="AM560" i="1"/>
  <c r="AO560" i="1"/>
  <c r="AP560" i="1" s="1"/>
  <c r="Z560" i="1"/>
  <c r="Y560" i="1"/>
  <c r="W560" i="1"/>
  <c r="V560" i="1"/>
  <c r="AA560" i="1"/>
  <c r="X560" i="1"/>
  <c r="AB560" i="1" s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AE560" i="1" s="1"/>
  <c r="G560" i="1" a="1"/>
  <c r="G560" i="1" s="1"/>
  <c r="F560" i="1"/>
  <c r="E560" i="1"/>
  <c r="D560" i="1"/>
  <c r="AO561" i="1"/>
  <c r="AN561" i="1"/>
  <c r="AM561" i="1"/>
  <c r="Z561" i="1"/>
  <c r="Y561" i="1"/>
  <c r="AA561" i="1"/>
  <c r="X561" i="1"/>
  <c r="AB561" i="1" s="1"/>
  <c r="W561" i="1"/>
  <c r="V561" i="1"/>
  <c r="U561" i="1"/>
  <c r="T561" i="1"/>
  <c r="S561" i="1"/>
  <c r="R561" i="1"/>
  <c r="Q561" i="1"/>
  <c r="P561" i="1"/>
  <c r="O561" i="1"/>
  <c r="M561" i="1"/>
  <c r="L561" i="1"/>
  <c r="N561" i="1"/>
  <c r="K561" i="1"/>
  <c r="J561" i="1"/>
  <c r="I561" i="1"/>
  <c r="AE561" i="1" s="1"/>
  <c r="G561" i="1" a="1"/>
  <c r="G561" i="1" s="1"/>
  <c r="F561" i="1"/>
  <c r="E561" i="1"/>
  <c r="D561" i="1"/>
  <c r="AN562" i="1"/>
  <c r="AM562" i="1"/>
  <c r="AO562" i="1"/>
  <c r="AP562" i="1" s="1"/>
  <c r="AA562" i="1"/>
  <c r="Z562" i="1"/>
  <c r="Y562" i="1"/>
  <c r="AC562" i="1" s="1"/>
  <c r="W562" i="1"/>
  <c r="V562" i="1"/>
  <c r="X562" i="1"/>
  <c r="AB562" i="1" s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AE562" i="1" s="1"/>
  <c r="G562" i="1" a="1"/>
  <c r="G562" i="1" s="1"/>
  <c r="F562" i="1"/>
  <c r="E562" i="1"/>
  <c r="D562" i="1"/>
  <c r="AN563" i="1"/>
  <c r="AM563" i="1"/>
  <c r="AO563" i="1"/>
  <c r="AP563" i="1" s="1"/>
  <c r="Z563" i="1"/>
  <c r="Y563" i="1"/>
  <c r="X563" i="1"/>
  <c r="AB563" i="1" s="1"/>
  <c r="W563" i="1"/>
  <c r="V563" i="1"/>
  <c r="AA563" i="1"/>
  <c r="U563" i="1"/>
  <c r="T563" i="1"/>
  <c r="S563" i="1"/>
  <c r="R563" i="1"/>
  <c r="Q563" i="1"/>
  <c r="P563" i="1"/>
  <c r="O563" i="1"/>
  <c r="M563" i="1"/>
  <c r="L563" i="1"/>
  <c r="N563" i="1"/>
  <c r="K563" i="1"/>
  <c r="J563" i="1"/>
  <c r="I563" i="1"/>
  <c r="AE563" i="1" s="1"/>
  <c r="G563" i="1" a="1"/>
  <c r="G563" i="1" s="1"/>
  <c r="F563" i="1"/>
  <c r="E563" i="1"/>
  <c r="D563" i="1"/>
  <c r="AO564" i="1"/>
  <c r="AN564" i="1"/>
  <c r="AM564" i="1"/>
  <c r="Z564" i="1"/>
  <c r="Y564" i="1"/>
  <c r="AA564" i="1"/>
  <c r="W564" i="1"/>
  <c r="V564" i="1"/>
  <c r="X564" i="1"/>
  <c r="AB564" i="1" s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AE564" i="1" s="1"/>
  <c r="G564" i="1" a="1"/>
  <c r="G564" i="1" s="1"/>
  <c r="F564" i="1"/>
  <c r="E564" i="1"/>
  <c r="D564" i="1"/>
  <c r="AN565" i="1"/>
  <c r="AM565" i="1"/>
  <c r="AO565" i="1"/>
  <c r="AP565" i="1" s="1"/>
  <c r="AA565" i="1"/>
  <c r="Z565" i="1"/>
  <c r="Y565" i="1"/>
  <c r="AC565" i="1" s="1"/>
  <c r="X565" i="1"/>
  <c r="AB565" i="1" s="1"/>
  <c r="W565" i="1"/>
  <c r="V565" i="1"/>
  <c r="U565" i="1"/>
  <c r="T565" i="1"/>
  <c r="S565" i="1"/>
  <c r="R565" i="1"/>
  <c r="Q565" i="1"/>
  <c r="P565" i="1"/>
  <c r="O565" i="1"/>
  <c r="M565" i="1"/>
  <c r="L565" i="1"/>
  <c r="N565" i="1"/>
  <c r="K565" i="1"/>
  <c r="J565" i="1"/>
  <c r="I565" i="1"/>
  <c r="AE565" i="1" s="1"/>
  <c r="G565" i="1" a="1"/>
  <c r="G565" i="1" s="1"/>
  <c r="F565" i="1"/>
  <c r="E565" i="1"/>
  <c r="D565" i="1"/>
  <c r="AO566" i="1"/>
  <c r="AN566" i="1"/>
  <c r="AM566" i="1"/>
  <c r="Z566" i="1"/>
  <c r="Y566" i="1"/>
  <c r="W566" i="1"/>
  <c r="V566" i="1"/>
  <c r="AA566" i="1"/>
  <c r="X566" i="1"/>
  <c r="AB566" i="1" s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AE566" i="1" s="1"/>
  <c r="G566" i="1" a="1"/>
  <c r="G566" i="1" s="1"/>
  <c r="F566" i="1"/>
  <c r="E566" i="1"/>
  <c r="D566" i="1"/>
  <c r="AN567" i="1"/>
  <c r="AM567" i="1"/>
  <c r="AO567" i="1"/>
  <c r="AP567" i="1" s="1"/>
  <c r="Z567" i="1"/>
  <c r="Y567" i="1"/>
  <c r="AA567" i="1"/>
  <c r="X567" i="1"/>
  <c r="AB567" i="1" s="1"/>
  <c r="W567" i="1"/>
  <c r="V567" i="1"/>
  <c r="U567" i="1"/>
  <c r="T567" i="1"/>
  <c r="S567" i="1"/>
  <c r="R567" i="1"/>
  <c r="Q567" i="1"/>
  <c r="P567" i="1"/>
  <c r="O567" i="1"/>
  <c r="M567" i="1"/>
  <c r="L567" i="1"/>
  <c r="N567" i="1"/>
  <c r="K567" i="1"/>
  <c r="J567" i="1"/>
  <c r="I567" i="1"/>
  <c r="AE567" i="1" s="1"/>
  <c r="G567" i="1" a="1"/>
  <c r="G567" i="1" s="1"/>
  <c r="F567" i="1"/>
  <c r="E567" i="1"/>
  <c r="D567" i="1"/>
  <c r="AO568" i="1"/>
  <c r="AN568" i="1"/>
  <c r="AM568" i="1"/>
  <c r="AA568" i="1"/>
  <c r="Z568" i="1"/>
  <c r="Y568" i="1"/>
  <c r="W568" i="1"/>
  <c r="V568" i="1"/>
  <c r="X568" i="1"/>
  <c r="AB568" i="1" s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AE568" i="1" s="1"/>
  <c r="G568" i="1" a="1"/>
  <c r="G568" i="1" s="1"/>
  <c r="F568" i="1"/>
  <c r="E568" i="1"/>
  <c r="D568" i="1"/>
  <c r="AN569" i="1"/>
  <c r="AM569" i="1"/>
  <c r="AO569" i="1"/>
  <c r="Z569" i="1"/>
  <c r="Y569" i="1"/>
  <c r="X569" i="1"/>
  <c r="AB569" i="1" s="1"/>
  <c r="W569" i="1"/>
  <c r="V569" i="1"/>
  <c r="U569" i="1"/>
  <c r="AA569" i="1"/>
  <c r="T569" i="1"/>
  <c r="S569" i="1"/>
  <c r="R569" i="1"/>
  <c r="Q569" i="1"/>
  <c r="P569" i="1"/>
  <c r="O569" i="1"/>
  <c r="M569" i="1"/>
  <c r="L569" i="1"/>
  <c r="N569" i="1"/>
  <c r="K569" i="1"/>
  <c r="J569" i="1"/>
  <c r="I569" i="1"/>
  <c r="AE569" i="1" s="1"/>
  <c r="G569" i="1" a="1"/>
  <c r="G569" i="1" s="1"/>
  <c r="F569" i="1"/>
  <c r="E569" i="1"/>
  <c r="D569" i="1"/>
  <c r="AO570" i="1"/>
  <c r="AN570" i="1"/>
  <c r="AM570" i="1"/>
  <c r="Z570" i="1"/>
  <c r="Y570" i="1"/>
  <c r="AA570" i="1"/>
  <c r="W570" i="1"/>
  <c r="V570" i="1"/>
  <c r="U570" i="1"/>
  <c r="X570" i="1"/>
  <c r="AB570" i="1" s="1"/>
  <c r="T570" i="1"/>
  <c r="S570" i="1"/>
  <c r="R570" i="1"/>
  <c r="Q570" i="1"/>
  <c r="P570" i="1"/>
  <c r="O570" i="1"/>
  <c r="N570" i="1"/>
  <c r="M570" i="1"/>
  <c r="L570" i="1"/>
  <c r="K570" i="1"/>
  <c r="J570" i="1"/>
  <c r="I570" i="1"/>
  <c r="AE570" i="1" s="1"/>
  <c r="G570" i="1" a="1"/>
  <c r="G570" i="1" s="1"/>
  <c r="F570" i="1"/>
  <c r="E570" i="1"/>
  <c r="D570" i="1"/>
  <c r="AN571" i="1"/>
  <c r="AM571" i="1"/>
  <c r="AO571" i="1"/>
  <c r="AP571" i="1" s="1"/>
  <c r="AA571" i="1"/>
  <c r="Z571" i="1"/>
  <c r="Y571" i="1"/>
  <c r="AC571" i="1" s="1"/>
  <c r="X571" i="1"/>
  <c r="AB571" i="1" s="1"/>
  <c r="W571" i="1"/>
  <c r="V571" i="1"/>
  <c r="U571" i="1"/>
  <c r="T571" i="1"/>
  <c r="S571" i="1"/>
  <c r="R571" i="1"/>
  <c r="Q571" i="1"/>
  <c r="P571" i="1"/>
  <c r="O571" i="1"/>
  <c r="M571" i="1"/>
  <c r="L571" i="1"/>
  <c r="N571" i="1"/>
  <c r="K571" i="1"/>
  <c r="J571" i="1"/>
  <c r="I571" i="1"/>
  <c r="AE571" i="1" s="1"/>
  <c r="G571" i="1" a="1"/>
  <c r="G571" i="1" s="1"/>
  <c r="F571" i="1"/>
  <c r="E571" i="1"/>
  <c r="D571" i="1"/>
  <c r="AO572" i="1"/>
  <c r="AN572" i="1"/>
  <c r="AM572" i="1"/>
  <c r="Z572" i="1"/>
  <c r="Y572" i="1"/>
  <c r="W572" i="1"/>
  <c r="V572" i="1"/>
  <c r="U572" i="1"/>
  <c r="AA572" i="1"/>
  <c r="X572" i="1"/>
  <c r="AB572" i="1" s="1"/>
  <c r="T572" i="1"/>
  <c r="S572" i="1"/>
  <c r="R572" i="1"/>
  <c r="Q572" i="1"/>
  <c r="P572" i="1"/>
  <c r="O572" i="1"/>
  <c r="N572" i="1"/>
  <c r="M572" i="1"/>
  <c r="L572" i="1"/>
  <c r="K572" i="1"/>
  <c r="J572" i="1"/>
  <c r="I572" i="1"/>
  <c r="AE572" i="1" s="1"/>
  <c r="G572" i="1" a="1"/>
  <c r="G572" i="1" s="1"/>
  <c r="F572" i="1"/>
  <c r="E572" i="1"/>
  <c r="D572" i="1"/>
  <c r="AN573" i="1"/>
  <c r="AM573" i="1"/>
  <c r="AO573" i="1"/>
  <c r="AP573" i="1" s="1"/>
  <c r="AA573" i="1"/>
  <c r="Z573" i="1"/>
  <c r="Y573" i="1"/>
  <c r="AC573" i="1" s="1"/>
  <c r="X573" i="1"/>
  <c r="AB573" i="1" s="1"/>
  <c r="W573" i="1"/>
  <c r="V573" i="1"/>
  <c r="U573" i="1"/>
  <c r="T573" i="1"/>
  <c r="S573" i="1"/>
  <c r="R573" i="1"/>
  <c r="Q573" i="1"/>
  <c r="P573" i="1"/>
  <c r="O573" i="1"/>
  <c r="M573" i="1"/>
  <c r="L573" i="1"/>
  <c r="N573" i="1"/>
  <c r="K573" i="1"/>
  <c r="J573" i="1"/>
  <c r="I573" i="1"/>
  <c r="AE573" i="1" s="1"/>
  <c r="G573" i="1" a="1"/>
  <c r="G573" i="1" s="1"/>
  <c r="F573" i="1"/>
  <c r="E573" i="1"/>
  <c r="D573" i="1"/>
  <c r="AO574" i="1"/>
  <c r="AN574" i="1"/>
  <c r="AM574" i="1"/>
  <c r="Z574" i="1"/>
  <c r="Y574" i="1"/>
  <c r="AA574" i="1"/>
  <c r="W574" i="1"/>
  <c r="V574" i="1"/>
  <c r="U574" i="1"/>
  <c r="X574" i="1"/>
  <c r="AB574" i="1" s="1"/>
  <c r="T574" i="1"/>
  <c r="S574" i="1"/>
  <c r="R574" i="1"/>
  <c r="Q574" i="1"/>
  <c r="P574" i="1"/>
  <c r="O574" i="1"/>
  <c r="N574" i="1"/>
  <c r="M574" i="1"/>
  <c r="L574" i="1"/>
  <c r="K574" i="1"/>
  <c r="J574" i="1"/>
  <c r="I574" i="1"/>
  <c r="AE574" i="1" s="1"/>
  <c r="G574" i="1" a="1"/>
  <c r="G574" i="1" s="1"/>
  <c r="F574" i="1"/>
  <c r="E574" i="1"/>
  <c r="D574" i="1"/>
  <c r="AN575" i="1"/>
  <c r="AM575" i="1"/>
  <c r="AO575" i="1"/>
  <c r="AP575" i="1" s="1"/>
  <c r="Z575" i="1"/>
  <c r="Y575" i="1"/>
  <c r="X575" i="1"/>
  <c r="W575" i="1"/>
  <c r="V575" i="1"/>
  <c r="U575" i="1"/>
  <c r="AA575" i="1"/>
  <c r="T575" i="1"/>
  <c r="S575" i="1"/>
  <c r="R575" i="1"/>
  <c r="Q575" i="1"/>
  <c r="P575" i="1"/>
  <c r="O575" i="1"/>
  <c r="M575" i="1"/>
  <c r="L575" i="1"/>
  <c r="N575" i="1"/>
  <c r="K575" i="1"/>
  <c r="J575" i="1"/>
  <c r="I575" i="1"/>
  <c r="G575" i="1" a="1"/>
  <c r="G575" i="1" s="1"/>
  <c r="F575" i="1"/>
  <c r="E575" i="1"/>
  <c r="D575" i="1"/>
  <c r="AO576" i="1"/>
  <c r="AN576" i="1"/>
  <c r="AM576" i="1"/>
  <c r="AA576" i="1"/>
  <c r="Z576" i="1"/>
  <c r="Y576" i="1"/>
  <c r="AC576" i="1" s="1"/>
  <c r="W576" i="1"/>
  <c r="V576" i="1"/>
  <c r="U576" i="1"/>
  <c r="X576" i="1"/>
  <c r="AB576" i="1" s="1"/>
  <c r="T576" i="1"/>
  <c r="S576" i="1"/>
  <c r="R576" i="1"/>
  <c r="Q576" i="1"/>
  <c r="P576" i="1"/>
  <c r="O576" i="1"/>
  <c r="N576" i="1"/>
  <c r="M576" i="1"/>
  <c r="L576" i="1"/>
  <c r="K576" i="1"/>
  <c r="J576" i="1"/>
  <c r="I576" i="1"/>
  <c r="AE576" i="1" s="1"/>
  <c r="G576" i="1" a="1"/>
  <c r="G576" i="1" s="1"/>
  <c r="F576" i="1"/>
  <c r="E576" i="1"/>
  <c r="D576" i="1"/>
  <c r="AN577" i="1"/>
  <c r="AM577" i="1"/>
  <c r="AO577" i="1"/>
  <c r="Z577" i="1"/>
  <c r="Y577" i="1"/>
  <c r="AA577" i="1"/>
  <c r="X577" i="1"/>
  <c r="W577" i="1"/>
  <c r="V577" i="1"/>
  <c r="U577" i="1"/>
  <c r="T577" i="1"/>
  <c r="S577" i="1"/>
  <c r="R577" i="1"/>
  <c r="Q577" i="1"/>
  <c r="P577" i="1"/>
  <c r="O577" i="1"/>
  <c r="M577" i="1"/>
  <c r="L577" i="1"/>
  <c r="N577" i="1"/>
  <c r="K577" i="1"/>
  <c r="J577" i="1"/>
  <c r="I577" i="1"/>
  <c r="G577" i="1" a="1"/>
  <c r="G577" i="1" s="1"/>
  <c r="F577" i="1"/>
  <c r="E577" i="1"/>
  <c r="D577" i="1"/>
  <c r="AO578" i="1"/>
  <c r="AN578" i="1"/>
  <c r="AM578" i="1"/>
  <c r="Z578" i="1"/>
  <c r="Y578" i="1"/>
  <c r="W578" i="1"/>
  <c r="V578" i="1"/>
  <c r="U578" i="1"/>
  <c r="AA578" i="1"/>
  <c r="X578" i="1"/>
  <c r="AB578" i="1" s="1"/>
  <c r="T578" i="1"/>
  <c r="S578" i="1"/>
  <c r="R578" i="1"/>
  <c r="Q578" i="1"/>
  <c r="P578" i="1"/>
  <c r="O578" i="1"/>
  <c r="N578" i="1"/>
  <c r="M578" i="1"/>
  <c r="L578" i="1"/>
  <c r="K578" i="1"/>
  <c r="J578" i="1"/>
  <c r="I578" i="1"/>
  <c r="AE578" i="1" s="1"/>
  <c r="G578" i="1" a="1"/>
  <c r="G578" i="1" s="1"/>
  <c r="F578" i="1"/>
  <c r="E578" i="1"/>
  <c r="D578" i="1"/>
  <c r="AN579" i="1"/>
  <c r="AM579" i="1"/>
  <c r="AO579" i="1"/>
  <c r="AP579" i="1" s="1"/>
  <c r="AA579" i="1"/>
  <c r="Z579" i="1"/>
  <c r="Y579" i="1"/>
  <c r="AC579" i="1" s="1"/>
  <c r="X579" i="1"/>
  <c r="AB579" i="1" s="1"/>
  <c r="W579" i="1"/>
  <c r="V579" i="1"/>
  <c r="U579" i="1"/>
  <c r="T579" i="1"/>
  <c r="S579" i="1"/>
  <c r="R579" i="1"/>
  <c r="Q579" i="1"/>
  <c r="P579" i="1"/>
  <c r="O579" i="1"/>
  <c r="M579" i="1"/>
  <c r="L579" i="1"/>
  <c r="N579" i="1"/>
  <c r="K579" i="1"/>
  <c r="J579" i="1"/>
  <c r="I579" i="1"/>
  <c r="AE579" i="1" s="1"/>
  <c r="G579" i="1" a="1"/>
  <c r="G579" i="1" s="1"/>
  <c r="F579" i="1"/>
  <c r="E579" i="1"/>
  <c r="D579" i="1"/>
  <c r="AO580" i="1"/>
  <c r="AN580" i="1"/>
  <c r="AM580" i="1"/>
  <c r="Z580" i="1"/>
  <c r="Y580" i="1"/>
  <c r="AA580" i="1"/>
  <c r="W580" i="1"/>
  <c r="V580" i="1"/>
  <c r="U580" i="1"/>
  <c r="X580" i="1"/>
  <c r="AB580" i="1" s="1"/>
  <c r="T580" i="1"/>
  <c r="S580" i="1"/>
  <c r="R580" i="1"/>
  <c r="Q580" i="1"/>
  <c r="P580" i="1"/>
  <c r="O580" i="1"/>
  <c r="M580" i="1"/>
  <c r="L580" i="1"/>
  <c r="N580" i="1"/>
  <c r="K580" i="1"/>
  <c r="J580" i="1"/>
  <c r="I580" i="1"/>
  <c r="AE580" i="1" s="1"/>
  <c r="G580" i="1" a="1"/>
  <c r="G580" i="1" s="1"/>
  <c r="F580" i="1"/>
  <c r="E580" i="1"/>
  <c r="D580" i="1"/>
  <c r="AN581" i="1"/>
  <c r="AM581" i="1"/>
  <c r="AO581" i="1"/>
  <c r="AP581" i="1" s="1"/>
  <c r="Z581" i="1"/>
  <c r="Y581" i="1"/>
  <c r="X581" i="1"/>
  <c r="AB581" i="1" s="1"/>
  <c r="W581" i="1"/>
  <c r="V581" i="1"/>
  <c r="U581" i="1"/>
  <c r="AA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AE581" i="1" s="1"/>
  <c r="G581" i="1" a="1"/>
  <c r="G581" i="1" s="1"/>
  <c r="F581" i="1"/>
  <c r="E581" i="1"/>
  <c r="D581" i="1"/>
  <c r="AO582" i="1"/>
  <c r="AN582" i="1"/>
  <c r="AM582" i="1"/>
  <c r="AA582" i="1"/>
  <c r="Z582" i="1"/>
  <c r="Y582" i="1"/>
  <c r="W582" i="1"/>
  <c r="V582" i="1"/>
  <c r="U582" i="1"/>
  <c r="X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G582" i="1" a="1"/>
  <c r="G582" i="1" s="1"/>
  <c r="F582" i="1"/>
  <c r="E582" i="1"/>
  <c r="D582" i="1"/>
  <c r="AO583" i="1"/>
  <c r="AN583" i="1"/>
  <c r="AM583" i="1"/>
  <c r="Z583" i="1"/>
  <c r="Y583" i="1"/>
  <c r="AA583" i="1"/>
  <c r="X583" i="1"/>
  <c r="AB583" i="1" s="1"/>
  <c r="W583" i="1"/>
  <c r="V583" i="1"/>
  <c r="U583" i="1"/>
  <c r="T583" i="1"/>
  <c r="S583" i="1"/>
  <c r="R583" i="1"/>
  <c r="Q583" i="1"/>
  <c r="P583" i="1"/>
  <c r="O583" i="1"/>
  <c r="M583" i="1"/>
  <c r="L583" i="1"/>
  <c r="N583" i="1"/>
  <c r="K583" i="1"/>
  <c r="J583" i="1"/>
  <c r="I583" i="1"/>
  <c r="AE583" i="1" s="1"/>
  <c r="G583" i="1" a="1"/>
  <c r="G583" i="1" s="1"/>
  <c r="F583" i="1"/>
  <c r="E583" i="1"/>
  <c r="D583" i="1"/>
  <c r="AN584" i="1"/>
  <c r="AM584" i="1"/>
  <c r="AO584" i="1"/>
  <c r="AP584" i="1" s="1"/>
  <c r="AA584" i="1"/>
  <c r="Z584" i="1"/>
  <c r="Y584" i="1"/>
  <c r="AC584" i="1" s="1"/>
  <c r="W584" i="1"/>
  <c r="V584" i="1"/>
  <c r="U584" i="1"/>
  <c r="X584" i="1"/>
  <c r="AB584" i="1" s="1"/>
  <c r="T584" i="1"/>
  <c r="S584" i="1"/>
  <c r="R584" i="1"/>
  <c r="Q584" i="1"/>
  <c r="P584" i="1"/>
  <c r="O584" i="1"/>
  <c r="M584" i="1"/>
  <c r="L584" i="1"/>
  <c r="N584" i="1"/>
  <c r="K584" i="1"/>
  <c r="J584" i="1"/>
  <c r="I584" i="1"/>
  <c r="AE584" i="1" s="1"/>
  <c r="G584" i="1" a="1"/>
  <c r="G584" i="1" s="1"/>
  <c r="F584" i="1"/>
  <c r="E584" i="1"/>
  <c r="D584" i="1"/>
  <c r="AN585" i="1"/>
  <c r="AM585" i="1"/>
  <c r="AO585" i="1"/>
  <c r="Z585" i="1"/>
  <c r="Y585" i="1"/>
  <c r="X585" i="1"/>
  <c r="AB585" i="1" s="1"/>
  <c r="W585" i="1"/>
  <c r="V585" i="1"/>
  <c r="U585" i="1"/>
  <c r="AA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AE585" i="1" s="1"/>
  <c r="G585" i="1" a="1"/>
  <c r="G585" i="1" s="1"/>
  <c r="F585" i="1"/>
  <c r="E585" i="1"/>
  <c r="D585" i="1"/>
  <c r="AO586" i="1"/>
  <c r="AN586" i="1"/>
  <c r="AM586" i="1"/>
  <c r="Z586" i="1"/>
  <c r="Y586" i="1"/>
  <c r="AA586" i="1"/>
  <c r="W586" i="1"/>
  <c r="V586" i="1"/>
  <c r="U586" i="1"/>
  <c r="X586" i="1"/>
  <c r="AB586" i="1" s="1"/>
  <c r="T586" i="1"/>
  <c r="S586" i="1"/>
  <c r="R586" i="1"/>
  <c r="Q586" i="1"/>
  <c r="P586" i="1"/>
  <c r="O586" i="1"/>
  <c r="N586" i="1"/>
  <c r="M586" i="1"/>
  <c r="L586" i="1"/>
  <c r="K586" i="1"/>
  <c r="J586" i="1"/>
  <c r="I586" i="1"/>
  <c r="AE586" i="1" s="1"/>
  <c r="G586" i="1" a="1"/>
  <c r="G586" i="1" s="1"/>
  <c r="F586" i="1"/>
  <c r="E586" i="1"/>
  <c r="D586" i="1"/>
  <c r="AO587" i="1"/>
  <c r="AN587" i="1"/>
  <c r="AM587" i="1"/>
  <c r="AA587" i="1"/>
  <c r="Z587" i="1"/>
  <c r="Y587" i="1"/>
  <c r="AC587" i="1" s="1"/>
  <c r="X587" i="1"/>
  <c r="AB587" i="1" s="1"/>
  <c r="W587" i="1"/>
  <c r="V587" i="1"/>
  <c r="U587" i="1"/>
  <c r="T587" i="1"/>
  <c r="S587" i="1"/>
  <c r="R587" i="1"/>
  <c r="Q587" i="1"/>
  <c r="P587" i="1"/>
  <c r="O587" i="1"/>
  <c r="M587" i="1"/>
  <c r="L587" i="1"/>
  <c r="N587" i="1"/>
  <c r="K587" i="1"/>
  <c r="J587" i="1"/>
  <c r="I587" i="1"/>
  <c r="AE587" i="1" s="1"/>
  <c r="G587" i="1" a="1"/>
  <c r="G587" i="1" s="1"/>
  <c r="F587" i="1"/>
  <c r="E587" i="1"/>
  <c r="D587" i="1"/>
  <c r="AN588" i="1"/>
  <c r="AM588" i="1"/>
  <c r="AO588" i="1"/>
  <c r="AP588" i="1" s="1"/>
  <c r="Z588" i="1"/>
  <c r="Y588" i="1"/>
  <c r="W588" i="1"/>
  <c r="V588" i="1"/>
  <c r="U588" i="1"/>
  <c r="AA588" i="1"/>
  <c r="X588" i="1"/>
  <c r="AB588" i="1" s="1"/>
  <c r="T588" i="1"/>
  <c r="S588" i="1"/>
  <c r="R588" i="1"/>
  <c r="Q588" i="1"/>
  <c r="P588" i="1"/>
  <c r="O588" i="1"/>
  <c r="M588" i="1"/>
  <c r="L588" i="1"/>
  <c r="N588" i="1"/>
  <c r="K588" i="1"/>
  <c r="J588" i="1"/>
  <c r="I588" i="1"/>
  <c r="AE588" i="1" s="1"/>
  <c r="G588" i="1" a="1"/>
  <c r="G588" i="1" s="1"/>
  <c r="F588" i="1"/>
  <c r="E588" i="1"/>
  <c r="D588" i="1"/>
  <c r="AN589" i="1"/>
  <c r="AM589" i="1"/>
  <c r="AO589" i="1"/>
  <c r="Z589" i="1"/>
  <c r="Y589" i="1"/>
  <c r="AA589" i="1"/>
  <c r="W589" i="1"/>
  <c r="V589" i="1"/>
  <c r="U589" i="1"/>
  <c r="X589" i="1"/>
  <c r="AB589" i="1" s="1"/>
  <c r="T589" i="1"/>
  <c r="S589" i="1"/>
  <c r="R589" i="1"/>
  <c r="Q589" i="1"/>
  <c r="P589" i="1"/>
  <c r="O589" i="1"/>
  <c r="N589" i="1"/>
  <c r="M589" i="1"/>
  <c r="L589" i="1"/>
  <c r="K589" i="1"/>
  <c r="J589" i="1"/>
  <c r="I589" i="1"/>
  <c r="AE589" i="1" s="1"/>
  <c r="G589" i="1" a="1"/>
  <c r="G589" i="1" s="1"/>
  <c r="F589" i="1"/>
  <c r="E589" i="1"/>
  <c r="D589" i="1"/>
  <c r="AO590" i="1"/>
  <c r="AN590" i="1"/>
  <c r="AM590" i="1"/>
  <c r="AA590" i="1"/>
  <c r="Z590" i="1"/>
  <c r="Y590" i="1"/>
  <c r="X590" i="1"/>
  <c r="AB590" i="1" s="1"/>
  <c r="W590" i="1"/>
  <c r="V590" i="1"/>
  <c r="U590" i="1"/>
  <c r="T590" i="1"/>
  <c r="S590" i="1"/>
  <c r="R590" i="1"/>
  <c r="Q590" i="1"/>
  <c r="P590" i="1"/>
  <c r="O590" i="1"/>
  <c r="M590" i="1"/>
  <c r="L590" i="1"/>
  <c r="N590" i="1"/>
  <c r="K590" i="1"/>
  <c r="J590" i="1"/>
  <c r="I590" i="1"/>
  <c r="AE590" i="1" s="1"/>
  <c r="G590" i="1" a="1"/>
  <c r="G590" i="1" s="1"/>
  <c r="F590" i="1"/>
  <c r="E590" i="1"/>
  <c r="D590" i="1"/>
  <c r="AN591" i="1"/>
  <c r="AM591" i="1"/>
  <c r="AO591" i="1"/>
  <c r="Z591" i="1"/>
  <c r="Y591" i="1"/>
  <c r="W591" i="1"/>
  <c r="V591" i="1"/>
  <c r="U591" i="1"/>
  <c r="AA591" i="1"/>
  <c r="X591" i="1"/>
  <c r="AB591" i="1" s="1"/>
  <c r="T591" i="1"/>
  <c r="S591" i="1"/>
  <c r="R591" i="1"/>
  <c r="Q591" i="1"/>
  <c r="P591" i="1"/>
  <c r="O591" i="1"/>
  <c r="N591" i="1"/>
  <c r="M591" i="1"/>
  <c r="L591" i="1"/>
  <c r="K591" i="1"/>
  <c r="J591" i="1"/>
  <c r="I591" i="1"/>
  <c r="AE591" i="1" s="1"/>
  <c r="G591" i="1" a="1"/>
  <c r="G591" i="1" s="1"/>
  <c r="F591" i="1"/>
  <c r="E591" i="1"/>
  <c r="D591" i="1"/>
  <c r="AO592" i="1"/>
  <c r="AN592" i="1"/>
  <c r="AM592" i="1"/>
  <c r="AA592" i="1"/>
  <c r="Z592" i="1"/>
  <c r="Y592" i="1"/>
  <c r="AC592" i="1" s="1"/>
  <c r="X592" i="1"/>
  <c r="AB592" i="1" s="1"/>
  <c r="W592" i="1"/>
  <c r="V592" i="1"/>
  <c r="U592" i="1"/>
  <c r="T592" i="1"/>
  <c r="S592" i="1"/>
  <c r="R592" i="1"/>
  <c r="Q592" i="1"/>
  <c r="P592" i="1"/>
  <c r="O592" i="1"/>
  <c r="M592" i="1"/>
  <c r="L592" i="1"/>
  <c r="N592" i="1"/>
  <c r="K592" i="1"/>
  <c r="J592" i="1"/>
  <c r="I592" i="1"/>
  <c r="G592" i="1" a="1"/>
  <c r="G592" i="1" s="1"/>
  <c r="F592" i="1"/>
  <c r="E592" i="1"/>
  <c r="D592" i="1"/>
  <c r="AO593" i="1"/>
  <c r="AN593" i="1"/>
  <c r="AM593" i="1"/>
  <c r="Z593" i="1"/>
  <c r="Y593" i="1"/>
  <c r="AA593" i="1"/>
  <c r="W593" i="1"/>
  <c r="V593" i="1"/>
  <c r="U593" i="1"/>
  <c r="X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G593" i="1" a="1"/>
  <c r="G593" i="1" s="1"/>
  <c r="F593" i="1"/>
  <c r="E593" i="1"/>
  <c r="D593" i="1"/>
  <c r="AN594" i="1"/>
  <c r="AM594" i="1"/>
  <c r="AO594" i="1"/>
  <c r="AP594" i="1" s="1"/>
  <c r="Z594" i="1"/>
  <c r="Y594" i="1"/>
  <c r="X594" i="1"/>
  <c r="W594" i="1"/>
  <c r="V594" i="1"/>
  <c r="U594" i="1"/>
  <c r="AA594" i="1"/>
  <c r="T594" i="1"/>
  <c r="S594" i="1"/>
  <c r="R594" i="1"/>
  <c r="Q594" i="1"/>
  <c r="P594" i="1"/>
  <c r="O594" i="1"/>
  <c r="M594" i="1"/>
  <c r="L594" i="1"/>
  <c r="N594" i="1"/>
  <c r="K594" i="1"/>
  <c r="J594" i="1"/>
  <c r="I594" i="1"/>
  <c r="G594" i="1" a="1"/>
  <c r="G594" i="1" s="1"/>
  <c r="F594" i="1"/>
  <c r="H594" i="1" s="1"/>
  <c r="E594" i="1"/>
  <c r="D594" i="1"/>
  <c r="AO595" i="1"/>
  <c r="AN595" i="1"/>
  <c r="AM595" i="1"/>
  <c r="AA595" i="1"/>
  <c r="Z595" i="1"/>
  <c r="Y595" i="1"/>
  <c r="AC595" i="1" s="1"/>
  <c r="W595" i="1"/>
  <c r="V595" i="1"/>
  <c r="U595" i="1"/>
  <c r="X595" i="1"/>
  <c r="AB595" i="1" s="1"/>
  <c r="T595" i="1"/>
  <c r="S595" i="1"/>
  <c r="R595" i="1"/>
  <c r="Q595" i="1"/>
  <c r="P595" i="1"/>
  <c r="O595" i="1"/>
  <c r="N595" i="1"/>
  <c r="M595" i="1"/>
  <c r="L595" i="1"/>
  <c r="K595" i="1"/>
  <c r="J595" i="1"/>
  <c r="I595" i="1"/>
  <c r="AE595" i="1" s="1"/>
  <c r="G595" i="1" a="1"/>
  <c r="G595" i="1" s="1"/>
  <c r="F595" i="1"/>
  <c r="H595" i="1" s="1"/>
  <c r="E595" i="1"/>
  <c r="D595" i="1"/>
  <c r="AN596" i="1"/>
  <c r="AM596" i="1"/>
  <c r="AO596" i="1"/>
  <c r="AP596" i="1" s="1"/>
  <c r="Z596" i="1"/>
  <c r="Y596" i="1"/>
  <c r="AA596" i="1"/>
  <c r="X596" i="1"/>
  <c r="AB596" i="1" s="1"/>
  <c r="W596" i="1"/>
  <c r="V596" i="1"/>
  <c r="U596" i="1"/>
  <c r="T596" i="1"/>
  <c r="S596" i="1"/>
  <c r="R596" i="1"/>
  <c r="Q596" i="1"/>
  <c r="P596" i="1"/>
  <c r="O596" i="1"/>
  <c r="M596" i="1"/>
  <c r="L596" i="1"/>
  <c r="N596" i="1"/>
  <c r="K596" i="1"/>
  <c r="J596" i="1"/>
  <c r="I596" i="1"/>
  <c r="AE596" i="1" s="1"/>
  <c r="G596" i="1" a="1"/>
  <c r="G596" i="1" s="1"/>
  <c r="F596" i="1"/>
  <c r="H596" i="1" s="1"/>
  <c r="E596" i="1"/>
  <c r="D596" i="1"/>
  <c r="AO597" i="1"/>
  <c r="AN597" i="1"/>
  <c r="AM597" i="1"/>
  <c r="Z597" i="1"/>
  <c r="Y597" i="1"/>
  <c r="W597" i="1"/>
  <c r="V597" i="1"/>
  <c r="U597" i="1"/>
  <c r="AA597" i="1"/>
  <c r="X597" i="1"/>
  <c r="AB597" i="1" s="1"/>
  <c r="T597" i="1"/>
  <c r="S597" i="1"/>
  <c r="R597" i="1"/>
  <c r="Q597" i="1"/>
  <c r="P597" i="1"/>
  <c r="O597" i="1"/>
  <c r="N597" i="1"/>
  <c r="M597" i="1"/>
  <c r="L597" i="1"/>
  <c r="K597" i="1"/>
  <c r="J597" i="1"/>
  <c r="I597" i="1"/>
  <c r="AE597" i="1" s="1"/>
  <c r="G597" i="1" a="1"/>
  <c r="G597" i="1" s="1"/>
  <c r="F597" i="1"/>
  <c r="H597" i="1" s="1"/>
  <c r="E597" i="1"/>
  <c r="D597" i="1"/>
  <c r="AN598" i="1"/>
  <c r="AM598" i="1"/>
  <c r="AO598" i="1"/>
  <c r="AP598" i="1" s="1"/>
  <c r="AA598" i="1"/>
  <c r="Z598" i="1"/>
  <c r="Y598" i="1"/>
  <c r="AC598" i="1" s="1"/>
  <c r="X598" i="1"/>
  <c r="AB598" i="1" s="1"/>
  <c r="W598" i="1"/>
  <c r="V598" i="1"/>
  <c r="U598" i="1"/>
  <c r="T598" i="1"/>
  <c r="S598" i="1"/>
  <c r="R598" i="1"/>
  <c r="Q598" i="1"/>
  <c r="P598" i="1"/>
  <c r="O598" i="1"/>
  <c r="M598" i="1"/>
  <c r="L598" i="1"/>
  <c r="N598" i="1"/>
  <c r="K598" i="1"/>
  <c r="J598" i="1"/>
  <c r="I598" i="1"/>
  <c r="AE598" i="1" s="1"/>
  <c r="G598" i="1" a="1"/>
  <c r="G598" i="1" s="1"/>
  <c r="F598" i="1"/>
  <c r="H598" i="1" s="1"/>
  <c r="E598" i="1"/>
  <c r="D598" i="1"/>
  <c r="AO599" i="1"/>
  <c r="AN599" i="1"/>
  <c r="AM599" i="1"/>
  <c r="Z599" i="1"/>
  <c r="Y599" i="1"/>
  <c r="AA599" i="1"/>
  <c r="W599" i="1"/>
  <c r="V599" i="1"/>
  <c r="U599" i="1"/>
  <c r="X599" i="1"/>
  <c r="AB599" i="1" s="1"/>
  <c r="T599" i="1"/>
  <c r="S599" i="1"/>
  <c r="R599" i="1"/>
  <c r="Q599" i="1"/>
  <c r="P599" i="1"/>
  <c r="O599" i="1"/>
  <c r="N599" i="1"/>
  <c r="M599" i="1"/>
  <c r="L599" i="1"/>
  <c r="K599" i="1"/>
  <c r="J599" i="1"/>
  <c r="I599" i="1"/>
  <c r="AE599" i="1" s="1"/>
  <c r="G599" i="1" a="1"/>
  <c r="G599" i="1" s="1"/>
  <c r="F599" i="1"/>
  <c r="H599" i="1" s="1"/>
  <c r="E599" i="1"/>
  <c r="D599" i="1"/>
  <c r="AN600" i="1"/>
  <c r="AM600" i="1"/>
  <c r="AO600" i="1"/>
  <c r="AP600" i="1" s="1"/>
  <c r="Z600" i="1"/>
  <c r="Y600" i="1"/>
  <c r="X600" i="1"/>
  <c r="AB600" i="1" s="1"/>
  <c r="W600" i="1"/>
  <c r="V600" i="1"/>
  <c r="U600" i="1"/>
  <c r="AA600" i="1"/>
  <c r="T600" i="1"/>
  <c r="S600" i="1"/>
  <c r="R600" i="1"/>
  <c r="Q600" i="1"/>
  <c r="P600" i="1"/>
  <c r="O600" i="1"/>
  <c r="M600" i="1"/>
  <c r="L600" i="1"/>
  <c r="N600" i="1"/>
  <c r="K600" i="1"/>
  <c r="J600" i="1"/>
  <c r="I600" i="1"/>
  <c r="AE600" i="1" s="1"/>
  <c r="G600" i="1" a="1"/>
  <c r="G600" i="1" s="1"/>
  <c r="F600" i="1"/>
  <c r="H600" i="1" s="1"/>
  <c r="E600" i="1"/>
  <c r="D600" i="1"/>
  <c r="AO601" i="1"/>
  <c r="AN601" i="1"/>
  <c r="AM601" i="1"/>
  <c r="AA601" i="1"/>
  <c r="Z601" i="1"/>
  <c r="Y601" i="1"/>
  <c r="AC601" i="1" s="1"/>
  <c r="W601" i="1"/>
  <c r="V601" i="1"/>
  <c r="U601" i="1"/>
  <c r="X601" i="1"/>
  <c r="AB601" i="1" s="1"/>
  <c r="T601" i="1"/>
  <c r="S601" i="1"/>
  <c r="R601" i="1"/>
  <c r="Q601" i="1"/>
  <c r="P601" i="1"/>
  <c r="O601" i="1"/>
  <c r="N601" i="1"/>
  <c r="M601" i="1"/>
  <c r="L601" i="1"/>
  <c r="K601" i="1"/>
  <c r="J601" i="1"/>
  <c r="I601" i="1"/>
  <c r="AE601" i="1" s="1"/>
  <c r="G601" i="1" a="1"/>
  <c r="G601" i="1" s="1"/>
  <c r="F601" i="1"/>
  <c r="H601" i="1" s="1"/>
  <c r="E601" i="1"/>
  <c r="D601" i="1"/>
  <c r="AN602" i="1"/>
  <c r="AM602" i="1"/>
  <c r="AO602" i="1"/>
  <c r="AP602" i="1" s="1"/>
  <c r="Z602" i="1"/>
  <c r="Y602" i="1"/>
  <c r="AA602" i="1"/>
  <c r="X602" i="1"/>
  <c r="AB602" i="1" s="1"/>
  <c r="W602" i="1"/>
  <c r="V602" i="1"/>
  <c r="U602" i="1"/>
  <c r="T602" i="1"/>
  <c r="S602" i="1"/>
  <c r="R602" i="1"/>
  <c r="Q602" i="1"/>
  <c r="P602" i="1"/>
  <c r="O602" i="1"/>
  <c r="M602" i="1"/>
  <c r="L602" i="1"/>
  <c r="N602" i="1"/>
  <c r="K602" i="1"/>
  <c r="J602" i="1"/>
  <c r="I602" i="1"/>
  <c r="AE602" i="1" s="1"/>
  <c r="G602" i="1" a="1"/>
  <c r="G602" i="1" s="1"/>
  <c r="F602" i="1"/>
  <c r="H602" i="1" s="1"/>
  <c r="E602" i="1"/>
  <c r="D602" i="1"/>
  <c r="AO603" i="1"/>
  <c r="AN603" i="1"/>
  <c r="AM603" i="1"/>
  <c r="Z603" i="1"/>
  <c r="Y603" i="1"/>
  <c r="W603" i="1"/>
  <c r="V603" i="1"/>
  <c r="U603" i="1"/>
  <c r="AA603" i="1"/>
  <c r="X603" i="1"/>
  <c r="AB603" i="1" s="1"/>
  <c r="T603" i="1"/>
  <c r="S603" i="1"/>
  <c r="R603" i="1"/>
  <c r="Q603" i="1"/>
  <c r="P603" i="1"/>
  <c r="O603" i="1"/>
  <c r="N603" i="1"/>
  <c r="M603" i="1"/>
  <c r="L603" i="1"/>
  <c r="K603" i="1"/>
  <c r="J603" i="1"/>
  <c r="I603" i="1"/>
  <c r="AE603" i="1" s="1"/>
  <c r="G603" i="1" a="1"/>
  <c r="G603" i="1" s="1"/>
  <c r="F603" i="1"/>
  <c r="H603" i="1" s="1"/>
  <c r="E603" i="1"/>
  <c r="D603" i="1"/>
  <c r="AN604" i="1"/>
  <c r="AM604" i="1"/>
  <c r="AO604" i="1"/>
  <c r="AP604" i="1" s="1"/>
  <c r="AA604" i="1"/>
  <c r="Z604" i="1"/>
  <c r="Y604" i="1"/>
  <c r="AC604" i="1" s="1"/>
  <c r="X604" i="1"/>
  <c r="AB604" i="1" s="1"/>
  <c r="W604" i="1"/>
  <c r="V604" i="1"/>
  <c r="U604" i="1"/>
  <c r="T604" i="1"/>
  <c r="S604" i="1"/>
  <c r="R604" i="1"/>
  <c r="Q604" i="1"/>
  <c r="P604" i="1"/>
  <c r="O604" i="1"/>
  <c r="M604" i="1"/>
  <c r="L604" i="1"/>
  <c r="N604" i="1"/>
  <c r="K604" i="1"/>
  <c r="J604" i="1"/>
  <c r="I604" i="1"/>
  <c r="AE604" i="1" s="1"/>
  <c r="G604" i="1" a="1"/>
  <c r="G604" i="1" s="1"/>
  <c r="F604" i="1"/>
  <c r="H604" i="1" s="1"/>
  <c r="E604" i="1"/>
  <c r="D604" i="1"/>
  <c r="AO605" i="1"/>
  <c r="AN605" i="1"/>
  <c r="AM605" i="1"/>
  <c r="Z605" i="1"/>
  <c r="Y605" i="1"/>
  <c r="W605" i="1"/>
  <c r="V605" i="1"/>
  <c r="U605" i="1"/>
  <c r="AA605" i="1"/>
  <c r="X605" i="1"/>
  <c r="AB605" i="1" s="1"/>
  <c r="T605" i="1"/>
  <c r="S605" i="1"/>
  <c r="R605" i="1"/>
  <c r="Q605" i="1"/>
  <c r="P605" i="1"/>
  <c r="O605" i="1"/>
  <c r="M605" i="1"/>
  <c r="L605" i="1"/>
  <c r="N605" i="1"/>
  <c r="K605" i="1"/>
  <c r="J605" i="1"/>
  <c r="I605" i="1"/>
  <c r="AE605" i="1" s="1"/>
  <c r="G605" i="1" a="1"/>
  <c r="G605" i="1" s="1"/>
  <c r="F605" i="1"/>
  <c r="H605" i="1" s="1"/>
  <c r="E605" i="1"/>
  <c r="D605" i="1"/>
  <c r="AN606" i="1"/>
  <c r="AM606" i="1"/>
  <c r="AO606" i="1"/>
  <c r="AP606" i="1" s="1"/>
  <c r="Z606" i="1"/>
  <c r="Y606" i="1"/>
  <c r="AA606" i="1"/>
  <c r="X606" i="1"/>
  <c r="AB606" i="1" s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AE606" i="1" s="1"/>
  <c r="G606" i="1" a="1"/>
  <c r="G606" i="1" s="1"/>
  <c r="F606" i="1"/>
  <c r="H606" i="1" s="1"/>
  <c r="E606" i="1"/>
  <c r="D606" i="1"/>
  <c r="AO607" i="1"/>
  <c r="AN607" i="1"/>
  <c r="AM607" i="1"/>
  <c r="AA607" i="1"/>
  <c r="Z607" i="1"/>
  <c r="Y607" i="1"/>
  <c r="AC607" i="1" s="1"/>
  <c r="W607" i="1"/>
  <c r="V607" i="1"/>
  <c r="U607" i="1"/>
  <c r="X607" i="1"/>
  <c r="AB607" i="1" s="1"/>
  <c r="T607" i="1"/>
  <c r="S607" i="1"/>
  <c r="R607" i="1"/>
  <c r="Q607" i="1"/>
  <c r="P607" i="1"/>
  <c r="O607" i="1"/>
  <c r="M607" i="1"/>
  <c r="L607" i="1"/>
  <c r="N607" i="1"/>
  <c r="K607" i="1"/>
  <c r="J607" i="1"/>
  <c r="I607" i="1"/>
  <c r="AE607" i="1" s="1"/>
  <c r="G607" i="1" a="1"/>
  <c r="G607" i="1" s="1"/>
  <c r="F607" i="1"/>
  <c r="H607" i="1" s="1"/>
  <c r="E607" i="1"/>
  <c r="D607" i="1"/>
  <c r="AN608" i="1"/>
  <c r="AM608" i="1"/>
  <c r="AO608" i="1"/>
  <c r="AP608" i="1" s="1"/>
  <c r="Z608" i="1"/>
  <c r="Y608" i="1"/>
  <c r="X608" i="1"/>
  <c r="AB608" i="1" s="1"/>
  <c r="W608" i="1"/>
  <c r="V608" i="1"/>
  <c r="U608" i="1"/>
  <c r="AA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AE608" i="1" s="1"/>
  <c r="G608" i="1" a="1"/>
  <c r="G608" i="1" s="1"/>
  <c r="F608" i="1"/>
  <c r="H608" i="1" s="1"/>
  <c r="E608" i="1"/>
  <c r="D608" i="1"/>
  <c r="AO609" i="1"/>
  <c r="AN609" i="1"/>
  <c r="AM609" i="1"/>
  <c r="Z609" i="1"/>
  <c r="Y609" i="1"/>
  <c r="AA609" i="1"/>
  <c r="W609" i="1"/>
  <c r="V609" i="1"/>
  <c r="U609" i="1"/>
  <c r="X609" i="1"/>
  <c r="AB609" i="1" s="1"/>
  <c r="T609" i="1"/>
  <c r="S609" i="1"/>
  <c r="R609" i="1"/>
  <c r="Q609" i="1"/>
  <c r="P609" i="1"/>
  <c r="O609" i="1"/>
  <c r="M609" i="1"/>
  <c r="L609" i="1"/>
  <c r="N609" i="1"/>
  <c r="K609" i="1"/>
  <c r="J609" i="1"/>
  <c r="I609" i="1"/>
  <c r="AE609" i="1" s="1"/>
  <c r="G609" i="1" a="1"/>
  <c r="G609" i="1" s="1"/>
  <c r="F609" i="1"/>
  <c r="H609" i="1" s="1"/>
  <c r="E609" i="1"/>
  <c r="D609" i="1"/>
  <c r="AN610" i="1"/>
  <c r="AM610" i="1"/>
  <c r="AO610" i="1"/>
  <c r="AP610" i="1" s="1"/>
  <c r="AA610" i="1"/>
  <c r="Z610" i="1"/>
  <c r="Y610" i="1"/>
  <c r="AC610" i="1" s="1"/>
  <c r="X610" i="1"/>
  <c r="AB610" i="1" s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AE610" i="1" s="1"/>
  <c r="G610" i="1" a="1"/>
  <c r="G610" i="1" s="1"/>
  <c r="F610" i="1"/>
  <c r="H610" i="1" s="1"/>
  <c r="E610" i="1"/>
  <c r="D610" i="1"/>
  <c r="AO611" i="1"/>
  <c r="AN611" i="1"/>
  <c r="AM611" i="1"/>
  <c r="Z611" i="1"/>
  <c r="Y611" i="1"/>
  <c r="W611" i="1"/>
  <c r="V611" i="1"/>
  <c r="U611" i="1"/>
  <c r="AA611" i="1"/>
  <c r="X611" i="1"/>
  <c r="AB611" i="1" s="1"/>
  <c r="T611" i="1"/>
  <c r="S611" i="1"/>
  <c r="R611" i="1"/>
  <c r="Q611" i="1"/>
  <c r="P611" i="1"/>
  <c r="O611" i="1"/>
  <c r="M611" i="1"/>
  <c r="L611" i="1"/>
  <c r="N611" i="1"/>
  <c r="K611" i="1"/>
  <c r="J611" i="1"/>
  <c r="I611" i="1"/>
  <c r="AE611" i="1" s="1"/>
  <c r="G611" i="1" a="1"/>
  <c r="G611" i="1" s="1"/>
  <c r="F611" i="1"/>
  <c r="H611" i="1" s="1"/>
  <c r="E611" i="1"/>
  <c r="D611" i="1"/>
  <c r="AN612" i="1"/>
  <c r="AM612" i="1"/>
  <c r="AO612" i="1"/>
  <c r="AP612" i="1" s="1"/>
  <c r="Z612" i="1"/>
  <c r="Y612" i="1"/>
  <c r="AA612" i="1"/>
  <c r="X612" i="1"/>
  <c r="AB612" i="1" s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AE612" i="1" s="1"/>
  <c r="G612" i="1" a="1"/>
  <c r="G612" i="1" s="1"/>
  <c r="F612" i="1"/>
  <c r="H612" i="1" s="1"/>
  <c r="E612" i="1"/>
  <c r="D612" i="1"/>
  <c r="AO613" i="1"/>
  <c r="AN613" i="1"/>
  <c r="AM613" i="1"/>
  <c r="AA613" i="1"/>
  <c r="Z613" i="1"/>
  <c r="Y613" i="1"/>
  <c r="AC613" i="1" s="1"/>
  <c r="W613" i="1"/>
  <c r="V613" i="1"/>
  <c r="U613" i="1"/>
  <c r="X613" i="1"/>
  <c r="AB613" i="1" s="1"/>
  <c r="T613" i="1"/>
  <c r="S613" i="1"/>
  <c r="R613" i="1"/>
  <c r="Q613" i="1"/>
  <c r="P613" i="1"/>
  <c r="O613" i="1"/>
  <c r="M613" i="1"/>
  <c r="L613" i="1"/>
  <c r="N613" i="1"/>
  <c r="K613" i="1"/>
  <c r="J613" i="1"/>
  <c r="I613" i="1"/>
  <c r="AE613" i="1" s="1"/>
  <c r="G613" i="1" a="1"/>
  <c r="G613" i="1" s="1"/>
  <c r="F613" i="1"/>
  <c r="H613" i="1" s="1"/>
  <c r="E613" i="1"/>
  <c r="D613" i="1"/>
  <c r="AN614" i="1"/>
  <c r="AM614" i="1"/>
  <c r="AO614" i="1"/>
  <c r="AP614" i="1" s="1"/>
  <c r="Z614" i="1"/>
  <c r="Y614" i="1"/>
  <c r="X614" i="1"/>
  <c r="AB614" i="1" s="1"/>
  <c r="W614" i="1"/>
  <c r="V614" i="1"/>
  <c r="U614" i="1"/>
  <c r="AA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AE614" i="1" s="1"/>
  <c r="G614" i="1" a="1"/>
  <c r="G614" i="1" s="1"/>
  <c r="F614" i="1"/>
  <c r="H614" i="1" s="1"/>
  <c r="E614" i="1"/>
  <c r="D614" i="1"/>
  <c r="AO615" i="1"/>
  <c r="AN615" i="1"/>
  <c r="AM615" i="1"/>
  <c r="Z615" i="1"/>
  <c r="Y615" i="1"/>
  <c r="AA615" i="1"/>
  <c r="W615" i="1"/>
  <c r="V615" i="1"/>
  <c r="U615" i="1"/>
  <c r="X615" i="1"/>
  <c r="AB615" i="1" s="1"/>
  <c r="T615" i="1"/>
  <c r="S615" i="1"/>
  <c r="R615" i="1"/>
  <c r="Q615" i="1"/>
  <c r="P615" i="1"/>
  <c r="O615" i="1"/>
  <c r="M615" i="1"/>
  <c r="L615" i="1"/>
  <c r="N615" i="1"/>
  <c r="K615" i="1"/>
  <c r="J615" i="1"/>
  <c r="I615" i="1"/>
  <c r="AE615" i="1" s="1"/>
  <c r="G615" i="1" a="1"/>
  <c r="G615" i="1" s="1"/>
  <c r="F615" i="1"/>
  <c r="H615" i="1" s="1"/>
  <c r="E615" i="1"/>
  <c r="D615" i="1"/>
  <c r="AN616" i="1"/>
  <c r="AM616" i="1"/>
  <c r="AO616" i="1"/>
  <c r="AP616" i="1" s="1"/>
  <c r="AA616" i="1"/>
  <c r="Z616" i="1"/>
  <c r="Y616" i="1"/>
  <c r="AC616" i="1" s="1"/>
  <c r="X616" i="1"/>
  <c r="AB616" i="1" s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AE616" i="1" s="1"/>
  <c r="G616" i="1" a="1"/>
  <c r="G616" i="1" s="1"/>
  <c r="F616" i="1"/>
  <c r="H616" i="1" s="1"/>
  <c r="E616" i="1"/>
  <c r="D616" i="1"/>
  <c r="AO617" i="1"/>
  <c r="AN617" i="1"/>
  <c r="AM617" i="1"/>
  <c r="Z617" i="1"/>
  <c r="Y617" i="1"/>
  <c r="W617" i="1"/>
  <c r="V617" i="1"/>
  <c r="U617" i="1"/>
  <c r="AA617" i="1"/>
  <c r="X617" i="1"/>
  <c r="AB617" i="1" s="1"/>
  <c r="T617" i="1"/>
  <c r="S617" i="1"/>
  <c r="R617" i="1"/>
  <c r="Q617" i="1"/>
  <c r="P617" i="1"/>
  <c r="O617" i="1"/>
  <c r="M617" i="1"/>
  <c r="L617" i="1"/>
  <c r="N617" i="1"/>
  <c r="K617" i="1"/>
  <c r="J617" i="1"/>
  <c r="I617" i="1"/>
  <c r="AE617" i="1" s="1"/>
  <c r="G617" i="1" a="1"/>
  <c r="G617" i="1" s="1"/>
  <c r="F617" i="1"/>
  <c r="H617" i="1" s="1"/>
  <c r="E617" i="1"/>
  <c r="D617" i="1"/>
  <c r="AN618" i="1"/>
  <c r="AM618" i="1"/>
  <c r="AO618" i="1"/>
  <c r="AP618" i="1" s="1"/>
  <c r="Z618" i="1"/>
  <c r="Y618" i="1"/>
  <c r="AA618" i="1"/>
  <c r="X618" i="1"/>
  <c r="AB618" i="1" s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AE618" i="1" s="1"/>
  <c r="G618" i="1" a="1"/>
  <c r="G618" i="1" s="1"/>
  <c r="F618" i="1"/>
  <c r="H618" i="1" s="1"/>
  <c r="E618" i="1"/>
  <c r="D618" i="1"/>
  <c r="AO619" i="1"/>
  <c r="AN619" i="1"/>
  <c r="AM619" i="1"/>
  <c r="AA619" i="1"/>
  <c r="Z619" i="1"/>
  <c r="Y619" i="1"/>
  <c r="AC619" i="1" s="1"/>
  <c r="W619" i="1"/>
  <c r="V619" i="1"/>
  <c r="U619" i="1"/>
  <c r="X619" i="1"/>
  <c r="AB619" i="1" s="1"/>
  <c r="T619" i="1"/>
  <c r="S619" i="1"/>
  <c r="R619" i="1"/>
  <c r="Q619" i="1"/>
  <c r="P619" i="1"/>
  <c r="O619" i="1"/>
  <c r="M619" i="1"/>
  <c r="L619" i="1"/>
  <c r="N619" i="1"/>
  <c r="K619" i="1"/>
  <c r="J619" i="1"/>
  <c r="I619" i="1"/>
  <c r="AE619" i="1" s="1"/>
  <c r="G619" i="1" a="1"/>
  <c r="G619" i="1" s="1"/>
  <c r="F619" i="1"/>
  <c r="H619" i="1" s="1"/>
  <c r="E619" i="1"/>
  <c r="D619" i="1"/>
  <c r="AN620" i="1"/>
  <c r="AM620" i="1"/>
  <c r="AO620" i="1"/>
  <c r="AP620" i="1" s="1"/>
  <c r="Z620" i="1"/>
  <c r="Y620" i="1"/>
  <c r="X620" i="1"/>
  <c r="AB620" i="1" s="1"/>
  <c r="W620" i="1"/>
  <c r="V620" i="1"/>
  <c r="U620" i="1"/>
  <c r="AA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AE620" i="1" s="1"/>
  <c r="G620" i="1" a="1"/>
  <c r="G620" i="1" s="1"/>
  <c r="F620" i="1"/>
  <c r="H620" i="1" s="1"/>
  <c r="E620" i="1"/>
  <c r="D620" i="1"/>
  <c r="AO621" i="1"/>
  <c r="AN621" i="1"/>
  <c r="AM621" i="1"/>
  <c r="Z621" i="1"/>
  <c r="Y621" i="1"/>
  <c r="AA621" i="1"/>
  <c r="W621" i="1"/>
  <c r="V621" i="1"/>
  <c r="U621" i="1"/>
  <c r="X621" i="1"/>
  <c r="AB621" i="1" s="1"/>
  <c r="T621" i="1"/>
  <c r="S621" i="1"/>
  <c r="R621" i="1"/>
  <c r="Q621" i="1"/>
  <c r="P621" i="1"/>
  <c r="O621" i="1"/>
  <c r="M621" i="1"/>
  <c r="L621" i="1"/>
  <c r="N621" i="1"/>
  <c r="K621" i="1"/>
  <c r="J621" i="1"/>
  <c r="I621" i="1"/>
  <c r="AE621" i="1" s="1"/>
  <c r="G621" i="1" a="1"/>
  <c r="G621" i="1" s="1"/>
  <c r="F621" i="1"/>
  <c r="H621" i="1" s="1"/>
  <c r="E621" i="1"/>
  <c r="D621" i="1"/>
  <c r="AN622" i="1"/>
  <c r="AM622" i="1"/>
  <c r="AO622" i="1"/>
  <c r="AP622" i="1" s="1"/>
  <c r="AA622" i="1"/>
  <c r="Z622" i="1"/>
  <c r="Y622" i="1"/>
  <c r="AC622" i="1" s="1"/>
  <c r="X622" i="1"/>
  <c r="AB622" i="1" s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AE622" i="1" s="1"/>
  <c r="G622" i="1" a="1"/>
  <c r="G622" i="1" s="1"/>
  <c r="F622" i="1"/>
  <c r="H622" i="1" s="1"/>
  <c r="E622" i="1"/>
  <c r="D622" i="1"/>
  <c r="AO623" i="1"/>
  <c r="AN623" i="1"/>
  <c r="AM623" i="1"/>
  <c r="Z623" i="1"/>
  <c r="Y623" i="1"/>
  <c r="W623" i="1"/>
  <c r="V623" i="1"/>
  <c r="U623" i="1"/>
  <c r="AA623" i="1"/>
  <c r="X623" i="1"/>
  <c r="AB623" i="1" s="1"/>
  <c r="T623" i="1"/>
  <c r="S623" i="1"/>
  <c r="R623" i="1"/>
  <c r="Q623" i="1"/>
  <c r="P623" i="1"/>
  <c r="O623" i="1"/>
  <c r="M623" i="1"/>
  <c r="L623" i="1"/>
  <c r="N623" i="1"/>
  <c r="K623" i="1"/>
  <c r="J623" i="1"/>
  <c r="I623" i="1"/>
  <c r="AE623" i="1" s="1"/>
  <c r="G623" i="1" a="1"/>
  <c r="G623" i="1" s="1"/>
  <c r="F623" i="1"/>
  <c r="H623" i="1" s="1"/>
  <c r="E623" i="1"/>
  <c r="D623" i="1"/>
  <c r="AN624" i="1"/>
  <c r="AM624" i="1"/>
  <c r="AO624" i="1"/>
  <c r="AP624" i="1" s="1"/>
  <c r="AA624" i="1"/>
  <c r="Z624" i="1"/>
  <c r="Y624" i="1"/>
  <c r="AC624" i="1" s="1"/>
  <c r="X624" i="1"/>
  <c r="AB624" i="1" s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AE624" i="1" s="1"/>
  <c r="G624" i="1" a="1"/>
  <c r="G624" i="1" s="1"/>
  <c r="F624" i="1"/>
  <c r="H624" i="1" s="1"/>
  <c r="E624" i="1"/>
  <c r="D624" i="1"/>
  <c r="AO625" i="1"/>
  <c r="AN625" i="1"/>
  <c r="AM625" i="1"/>
  <c r="Z625" i="1"/>
  <c r="Y625" i="1"/>
  <c r="AA625" i="1"/>
  <c r="W625" i="1"/>
  <c r="V625" i="1"/>
  <c r="U625" i="1"/>
  <c r="X625" i="1"/>
  <c r="AB625" i="1" s="1"/>
  <c r="T625" i="1"/>
  <c r="S625" i="1"/>
  <c r="R625" i="1"/>
  <c r="Q625" i="1"/>
  <c r="P625" i="1"/>
  <c r="O625" i="1"/>
  <c r="M625" i="1"/>
  <c r="L625" i="1"/>
  <c r="N625" i="1"/>
  <c r="K625" i="1"/>
  <c r="J625" i="1"/>
  <c r="I625" i="1"/>
  <c r="AE625" i="1" s="1"/>
  <c r="G625" i="1" a="1"/>
  <c r="G625" i="1" s="1"/>
  <c r="F625" i="1"/>
  <c r="H625" i="1" s="1"/>
  <c r="E625" i="1"/>
  <c r="D625" i="1"/>
  <c r="AN626" i="1"/>
  <c r="AM626" i="1"/>
  <c r="AO626" i="1"/>
  <c r="AP626" i="1" s="1"/>
  <c r="Z626" i="1"/>
  <c r="Y626" i="1"/>
  <c r="X626" i="1"/>
  <c r="AB626" i="1" s="1"/>
  <c r="W626" i="1"/>
  <c r="V626" i="1"/>
  <c r="U626" i="1"/>
  <c r="AA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AE626" i="1" s="1"/>
  <c r="G626" i="1" a="1"/>
  <c r="G626" i="1" s="1"/>
  <c r="F626" i="1"/>
  <c r="H626" i="1" s="1"/>
  <c r="E626" i="1"/>
  <c r="D626" i="1"/>
  <c r="AO627" i="1"/>
  <c r="AN627" i="1"/>
  <c r="AM627" i="1"/>
  <c r="AA627" i="1"/>
  <c r="Z627" i="1"/>
  <c r="Y627" i="1"/>
  <c r="AC627" i="1" s="1"/>
  <c r="W627" i="1"/>
  <c r="V627" i="1"/>
  <c r="U627" i="1"/>
  <c r="X627" i="1"/>
  <c r="AB627" i="1" s="1"/>
  <c r="T627" i="1"/>
  <c r="S627" i="1"/>
  <c r="R627" i="1"/>
  <c r="Q627" i="1"/>
  <c r="P627" i="1"/>
  <c r="O627" i="1"/>
  <c r="M627" i="1"/>
  <c r="L627" i="1"/>
  <c r="N627" i="1"/>
  <c r="K627" i="1"/>
  <c r="J627" i="1"/>
  <c r="I627" i="1"/>
  <c r="AE627" i="1" s="1"/>
  <c r="G627" i="1" a="1"/>
  <c r="G627" i="1" s="1"/>
  <c r="F627" i="1"/>
  <c r="H627" i="1" s="1"/>
  <c r="E627" i="1"/>
  <c r="D627" i="1"/>
  <c r="AN628" i="1"/>
  <c r="AM628" i="1"/>
  <c r="AO628" i="1"/>
  <c r="AP628" i="1" s="1"/>
  <c r="Z628" i="1"/>
  <c r="Y628" i="1"/>
  <c r="AA628" i="1"/>
  <c r="X628" i="1"/>
  <c r="AB628" i="1" s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AE628" i="1" s="1"/>
  <c r="G628" i="1" a="1"/>
  <c r="G628" i="1" s="1"/>
  <c r="F628" i="1"/>
  <c r="H628" i="1" s="1"/>
  <c r="E628" i="1"/>
  <c r="D628" i="1"/>
  <c r="AO629" i="1"/>
  <c r="AN629" i="1"/>
  <c r="AM629" i="1"/>
  <c r="Z629" i="1"/>
  <c r="Y629" i="1"/>
  <c r="W629" i="1"/>
  <c r="V629" i="1"/>
  <c r="U629" i="1"/>
  <c r="AA629" i="1"/>
  <c r="X629" i="1"/>
  <c r="AB629" i="1" s="1"/>
  <c r="T629" i="1"/>
  <c r="S629" i="1"/>
  <c r="R629" i="1"/>
  <c r="Q629" i="1"/>
  <c r="P629" i="1"/>
  <c r="O629" i="1"/>
  <c r="M629" i="1"/>
  <c r="L629" i="1"/>
  <c r="N629" i="1"/>
  <c r="K629" i="1"/>
  <c r="J629" i="1"/>
  <c r="I629" i="1"/>
  <c r="AE629" i="1" s="1"/>
  <c r="G629" i="1" a="1"/>
  <c r="G629" i="1" s="1"/>
  <c r="F629" i="1"/>
  <c r="H629" i="1" s="1"/>
  <c r="E629" i="1"/>
  <c r="D629" i="1"/>
  <c r="AN630" i="1"/>
  <c r="AM630" i="1"/>
  <c r="AO630" i="1"/>
  <c r="AP630" i="1" s="1"/>
  <c r="AA630" i="1"/>
  <c r="Z630" i="1"/>
  <c r="Y630" i="1"/>
  <c r="AC630" i="1" s="1"/>
  <c r="X630" i="1"/>
  <c r="AB630" i="1" s="1"/>
  <c r="W630" i="1"/>
  <c r="V630" i="1"/>
  <c r="U630" i="1"/>
  <c r="T630" i="1"/>
  <c r="S630" i="1"/>
  <c r="R630" i="1"/>
  <c r="Q630" i="1"/>
  <c r="P630" i="1"/>
  <c r="O630" i="1"/>
  <c r="M630" i="1"/>
  <c r="L630" i="1"/>
  <c r="N630" i="1"/>
  <c r="K630" i="1"/>
  <c r="J630" i="1"/>
  <c r="I630" i="1"/>
  <c r="AE630" i="1" s="1"/>
  <c r="G630" i="1" a="1"/>
  <c r="G630" i="1" s="1"/>
  <c r="F630" i="1"/>
  <c r="H630" i="1" s="1"/>
  <c r="E630" i="1"/>
  <c r="D630" i="1"/>
  <c r="AO631" i="1"/>
  <c r="AN631" i="1"/>
  <c r="AM631" i="1"/>
  <c r="Z631" i="1"/>
  <c r="Y631" i="1"/>
  <c r="AA631" i="1"/>
  <c r="W631" i="1"/>
  <c r="V631" i="1"/>
  <c r="U631" i="1"/>
  <c r="X631" i="1"/>
  <c r="AB631" i="1" s="1"/>
  <c r="T631" i="1"/>
  <c r="S631" i="1"/>
  <c r="R631" i="1"/>
  <c r="Q631" i="1"/>
  <c r="P631" i="1"/>
  <c r="O631" i="1"/>
  <c r="N631" i="1"/>
  <c r="M631" i="1"/>
  <c r="L631" i="1"/>
  <c r="K631" i="1"/>
  <c r="J631" i="1"/>
  <c r="I631" i="1"/>
  <c r="AE631" i="1" s="1"/>
  <c r="G631" i="1" a="1"/>
  <c r="G631" i="1" s="1"/>
  <c r="F631" i="1"/>
  <c r="H631" i="1" s="1"/>
  <c r="E631" i="1"/>
  <c r="D631" i="1"/>
  <c r="AN632" i="1"/>
  <c r="AM632" i="1"/>
  <c r="AO632" i="1"/>
  <c r="AP632" i="1" s="1"/>
  <c r="Z632" i="1"/>
  <c r="Y632" i="1"/>
  <c r="X632" i="1"/>
  <c r="AB632" i="1" s="1"/>
  <c r="W632" i="1"/>
  <c r="V632" i="1"/>
  <c r="U632" i="1"/>
  <c r="AA632" i="1"/>
  <c r="T632" i="1"/>
  <c r="S632" i="1"/>
  <c r="R632" i="1"/>
  <c r="Q632" i="1"/>
  <c r="P632" i="1"/>
  <c r="O632" i="1"/>
  <c r="M632" i="1"/>
  <c r="L632" i="1"/>
  <c r="N632" i="1"/>
  <c r="K632" i="1"/>
  <c r="J632" i="1"/>
  <c r="I632" i="1"/>
  <c r="AE632" i="1" s="1"/>
  <c r="G632" i="1" a="1"/>
  <c r="G632" i="1" s="1"/>
  <c r="F632" i="1"/>
  <c r="H632" i="1" s="1"/>
  <c r="E632" i="1"/>
  <c r="D632" i="1"/>
  <c r="AO633" i="1"/>
  <c r="AN633" i="1"/>
  <c r="AM633" i="1"/>
  <c r="AA633" i="1"/>
  <c r="Z633" i="1"/>
  <c r="Y633" i="1"/>
  <c r="AC633" i="1" s="1"/>
  <c r="W633" i="1"/>
  <c r="V633" i="1"/>
  <c r="U633" i="1"/>
  <c r="X633" i="1"/>
  <c r="AB633" i="1" s="1"/>
  <c r="T633" i="1"/>
  <c r="S633" i="1"/>
  <c r="R633" i="1"/>
  <c r="Q633" i="1"/>
  <c r="P633" i="1"/>
  <c r="O633" i="1"/>
  <c r="N633" i="1"/>
  <c r="M633" i="1"/>
  <c r="L633" i="1"/>
  <c r="K633" i="1"/>
  <c r="J633" i="1"/>
  <c r="I633" i="1"/>
  <c r="AE633" i="1" s="1"/>
  <c r="G633" i="1" a="1"/>
  <c r="G633" i="1" s="1"/>
  <c r="F633" i="1"/>
  <c r="H633" i="1" s="1"/>
  <c r="E633" i="1"/>
  <c r="D633" i="1"/>
  <c r="AN634" i="1"/>
  <c r="AM634" i="1"/>
  <c r="AO634" i="1"/>
  <c r="AP634" i="1" s="1"/>
  <c r="Z634" i="1"/>
  <c r="Y634" i="1"/>
  <c r="X634" i="1"/>
  <c r="AB634" i="1" s="1"/>
  <c r="W634" i="1"/>
  <c r="V634" i="1"/>
  <c r="U634" i="1"/>
  <c r="AA634" i="1"/>
  <c r="T634" i="1"/>
  <c r="S634" i="1"/>
  <c r="R634" i="1"/>
  <c r="Q634" i="1"/>
  <c r="P634" i="1"/>
  <c r="O634" i="1"/>
  <c r="M634" i="1"/>
  <c r="L634" i="1"/>
  <c r="N634" i="1"/>
  <c r="K634" i="1"/>
  <c r="J634" i="1"/>
  <c r="I634" i="1"/>
  <c r="AE634" i="1" s="1"/>
  <c r="G634" i="1" a="1"/>
  <c r="G634" i="1" s="1"/>
  <c r="F634" i="1"/>
  <c r="H634" i="1" s="1"/>
  <c r="E634" i="1"/>
  <c r="D634" i="1"/>
  <c r="AO635" i="1"/>
  <c r="AN635" i="1"/>
  <c r="AM635" i="1"/>
  <c r="Z635" i="1"/>
  <c r="Y635" i="1"/>
  <c r="AA635" i="1"/>
  <c r="W635" i="1"/>
  <c r="V635" i="1"/>
  <c r="U635" i="1"/>
  <c r="X635" i="1"/>
  <c r="AB635" i="1" s="1"/>
  <c r="T635" i="1"/>
  <c r="S635" i="1"/>
  <c r="R635" i="1"/>
  <c r="Q635" i="1"/>
  <c r="P635" i="1"/>
  <c r="O635" i="1"/>
  <c r="N635" i="1"/>
  <c r="M635" i="1"/>
  <c r="L635" i="1"/>
  <c r="K635" i="1"/>
  <c r="J635" i="1"/>
  <c r="I635" i="1"/>
  <c r="AE635" i="1" s="1"/>
  <c r="G635" i="1" a="1"/>
  <c r="G635" i="1" s="1"/>
  <c r="F635" i="1"/>
  <c r="H635" i="1" s="1"/>
  <c r="E635" i="1"/>
  <c r="D635" i="1"/>
  <c r="AN636" i="1"/>
  <c r="AM636" i="1"/>
  <c r="AO636" i="1"/>
  <c r="AP636" i="1" s="1"/>
  <c r="AA636" i="1"/>
  <c r="Z636" i="1"/>
  <c r="Y636" i="1"/>
  <c r="AC636" i="1" s="1"/>
  <c r="X636" i="1"/>
  <c r="AB636" i="1" s="1"/>
  <c r="W636" i="1"/>
  <c r="V636" i="1"/>
  <c r="U636" i="1"/>
  <c r="T636" i="1"/>
  <c r="S636" i="1"/>
  <c r="R636" i="1"/>
  <c r="Q636" i="1"/>
  <c r="P636" i="1"/>
  <c r="O636" i="1"/>
  <c r="M636" i="1"/>
  <c r="L636" i="1"/>
  <c r="N636" i="1"/>
  <c r="K636" i="1"/>
  <c r="J636" i="1"/>
  <c r="I636" i="1"/>
  <c r="AE636" i="1" s="1"/>
  <c r="G636" i="1" a="1"/>
  <c r="G636" i="1" s="1"/>
  <c r="F636" i="1"/>
  <c r="H636" i="1" s="1"/>
  <c r="E636" i="1"/>
  <c r="D636" i="1"/>
  <c r="AO637" i="1"/>
  <c r="AN637" i="1"/>
  <c r="AM637" i="1"/>
  <c r="Z637" i="1"/>
  <c r="Y637" i="1"/>
  <c r="W637" i="1"/>
  <c r="V637" i="1"/>
  <c r="U637" i="1"/>
  <c r="AA637" i="1"/>
  <c r="X637" i="1"/>
  <c r="AB637" i="1" s="1"/>
  <c r="T637" i="1"/>
  <c r="S637" i="1"/>
  <c r="R637" i="1"/>
  <c r="Q637" i="1"/>
  <c r="P637" i="1"/>
  <c r="O637" i="1"/>
  <c r="N637" i="1"/>
  <c r="M637" i="1"/>
  <c r="L637" i="1"/>
  <c r="K637" i="1"/>
  <c r="J637" i="1"/>
  <c r="I637" i="1"/>
  <c r="AE637" i="1" s="1"/>
  <c r="G637" i="1" a="1"/>
  <c r="G637" i="1" s="1"/>
  <c r="F637" i="1"/>
  <c r="H637" i="1" s="1"/>
  <c r="E637" i="1"/>
  <c r="D637" i="1"/>
  <c r="AN638" i="1"/>
  <c r="AM638" i="1"/>
  <c r="AO638" i="1"/>
  <c r="AP638" i="1" s="1"/>
  <c r="Z638" i="1"/>
  <c r="Y638" i="1"/>
  <c r="AA638" i="1"/>
  <c r="X638" i="1"/>
  <c r="AB638" i="1" s="1"/>
  <c r="W638" i="1"/>
  <c r="V638" i="1"/>
  <c r="U638" i="1"/>
  <c r="T638" i="1"/>
  <c r="S638" i="1"/>
  <c r="R638" i="1"/>
  <c r="Q638" i="1"/>
  <c r="P638" i="1"/>
  <c r="O638" i="1"/>
  <c r="M638" i="1"/>
  <c r="L638" i="1"/>
  <c r="N638" i="1"/>
  <c r="K638" i="1"/>
  <c r="J638" i="1"/>
  <c r="I638" i="1"/>
  <c r="AE638" i="1" s="1"/>
  <c r="G638" i="1" a="1"/>
  <c r="G638" i="1" s="1"/>
  <c r="F638" i="1"/>
  <c r="H638" i="1" s="1"/>
  <c r="E638" i="1"/>
  <c r="D638" i="1"/>
  <c r="AO639" i="1"/>
  <c r="AN639" i="1"/>
  <c r="AM639" i="1"/>
  <c r="AA639" i="1"/>
  <c r="Z639" i="1"/>
  <c r="Y639" i="1"/>
  <c r="AC639" i="1" s="1"/>
  <c r="W639" i="1"/>
  <c r="V639" i="1"/>
  <c r="U639" i="1"/>
  <c r="X639" i="1"/>
  <c r="AB639" i="1" s="1"/>
  <c r="T639" i="1"/>
  <c r="S639" i="1"/>
  <c r="R639" i="1"/>
  <c r="Q639" i="1"/>
  <c r="P639" i="1"/>
  <c r="O639" i="1"/>
  <c r="M639" i="1"/>
  <c r="L639" i="1"/>
  <c r="N639" i="1"/>
  <c r="K639" i="1"/>
  <c r="J639" i="1"/>
  <c r="I639" i="1"/>
  <c r="AE639" i="1" s="1"/>
  <c r="G639" i="1" a="1"/>
  <c r="G639" i="1" s="1"/>
  <c r="F639" i="1"/>
  <c r="H639" i="1" s="1"/>
  <c r="E639" i="1"/>
  <c r="D639" i="1"/>
  <c r="AN640" i="1"/>
  <c r="AM640" i="1"/>
  <c r="AO640" i="1"/>
  <c r="AP640" i="1" s="1"/>
  <c r="Z640" i="1"/>
  <c r="Y640" i="1"/>
  <c r="X640" i="1"/>
  <c r="AB640" i="1" s="1"/>
  <c r="W640" i="1"/>
  <c r="V640" i="1"/>
  <c r="U640" i="1"/>
  <c r="AA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AE640" i="1" s="1"/>
  <c r="G640" i="1" a="1"/>
  <c r="G640" i="1" s="1"/>
  <c r="F640" i="1"/>
  <c r="E640" i="1"/>
  <c r="D640" i="1"/>
  <c r="AO641" i="1"/>
  <c r="AN641" i="1"/>
  <c r="AM641" i="1"/>
  <c r="Z641" i="1"/>
  <c r="Y641" i="1"/>
  <c r="AA641" i="1"/>
  <c r="W641" i="1"/>
  <c r="V641" i="1"/>
  <c r="U641" i="1"/>
  <c r="X641" i="1"/>
  <c r="AB641" i="1" s="1"/>
  <c r="T641" i="1"/>
  <c r="S641" i="1"/>
  <c r="R641" i="1"/>
  <c r="Q641" i="1"/>
  <c r="P641" i="1"/>
  <c r="O641" i="1"/>
  <c r="N641" i="1"/>
  <c r="M641" i="1"/>
  <c r="L641" i="1"/>
  <c r="K641" i="1"/>
  <c r="J641" i="1"/>
  <c r="I641" i="1"/>
  <c r="AE641" i="1" s="1"/>
  <c r="G641" i="1" a="1"/>
  <c r="G641" i="1" s="1"/>
  <c r="F641" i="1"/>
  <c r="E641" i="1"/>
  <c r="D641" i="1"/>
  <c r="AN642" i="1"/>
  <c r="AM642" i="1"/>
  <c r="AO642" i="1"/>
  <c r="AP642" i="1" s="1"/>
  <c r="AA642" i="1"/>
  <c r="Z642" i="1"/>
  <c r="Y642" i="1"/>
  <c r="AC642" i="1" s="1"/>
  <c r="X642" i="1"/>
  <c r="AB642" i="1" s="1"/>
  <c r="W642" i="1"/>
  <c r="V642" i="1"/>
  <c r="U642" i="1"/>
  <c r="T642" i="1"/>
  <c r="S642" i="1"/>
  <c r="R642" i="1"/>
  <c r="Q642" i="1"/>
  <c r="P642" i="1"/>
  <c r="O642" i="1"/>
  <c r="M642" i="1"/>
  <c r="L642" i="1"/>
  <c r="N642" i="1"/>
  <c r="K642" i="1"/>
  <c r="J642" i="1"/>
  <c r="I642" i="1"/>
  <c r="AE642" i="1" s="1"/>
  <c r="G642" i="1" a="1"/>
  <c r="G642" i="1" s="1"/>
  <c r="F642" i="1"/>
  <c r="E642" i="1"/>
  <c r="D642" i="1"/>
  <c r="AO643" i="1"/>
  <c r="AN643" i="1"/>
  <c r="AM643" i="1"/>
  <c r="Z643" i="1"/>
  <c r="Y643" i="1"/>
  <c r="W643" i="1"/>
  <c r="V643" i="1"/>
  <c r="U643" i="1"/>
  <c r="AA643" i="1"/>
  <c r="X643" i="1"/>
  <c r="AB643" i="1" s="1"/>
  <c r="T643" i="1"/>
  <c r="S643" i="1"/>
  <c r="R643" i="1"/>
  <c r="Q643" i="1"/>
  <c r="P643" i="1"/>
  <c r="O643" i="1"/>
  <c r="M643" i="1"/>
  <c r="L643" i="1"/>
  <c r="N643" i="1"/>
  <c r="K643" i="1"/>
  <c r="J643" i="1"/>
  <c r="I643" i="1"/>
  <c r="AE643" i="1" s="1"/>
  <c r="G643" i="1" a="1"/>
  <c r="G643" i="1" s="1"/>
  <c r="F643" i="1"/>
  <c r="E643" i="1"/>
  <c r="D643" i="1"/>
  <c r="AN644" i="1"/>
  <c r="AM644" i="1"/>
  <c r="AO644" i="1"/>
  <c r="AP644" i="1" s="1"/>
  <c r="Z644" i="1"/>
  <c r="Y644" i="1"/>
  <c r="AA644" i="1"/>
  <c r="X644" i="1"/>
  <c r="AB644" i="1" s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AE644" i="1" s="1"/>
  <c r="G644" i="1" a="1"/>
  <c r="G644" i="1" s="1"/>
  <c r="F644" i="1"/>
  <c r="E644" i="1"/>
  <c r="D644" i="1"/>
  <c r="AO645" i="1"/>
  <c r="AN645" i="1"/>
  <c r="AM645" i="1"/>
  <c r="AA645" i="1"/>
  <c r="Z645" i="1"/>
  <c r="Y645" i="1"/>
  <c r="AC645" i="1" s="1"/>
  <c r="W645" i="1"/>
  <c r="V645" i="1"/>
  <c r="U645" i="1"/>
  <c r="X645" i="1"/>
  <c r="AB645" i="1" s="1"/>
  <c r="T645" i="1"/>
  <c r="S645" i="1"/>
  <c r="R645" i="1"/>
  <c r="Q645" i="1"/>
  <c r="P645" i="1"/>
  <c r="O645" i="1"/>
  <c r="M645" i="1"/>
  <c r="L645" i="1"/>
  <c r="N645" i="1"/>
  <c r="K645" i="1"/>
  <c r="J645" i="1"/>
  <c r="I645" i="1"/>
  <c r="AE645" i="1" s="1"/>
  <c r="G645" i="1" a="1"/>
  <c r="G645" i="1" s="1"/>
  <c r="F645" i="1"/>
  <c r="E645" i="1"/>
  <c r="D645" i="1"/>
  <c r="AN646" i="1"/>
  <c r="AM646" i="1"/>
  <c r="AO646" i="1"/>
  <c r="AP646" i="1" s="1"/>
  <c r="Z646" i="1"/>
  <c r="Y646" i="1"/>
  <c r="X646" i="1"/>
  <c r="AB646" i="1" s="1"/>
  <c r="W646" i="1"/>
  <c r="V646" i="1"/>
  <c r="U646" i="1"/>
  <c r="AA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AE646" i="1" s="1"/>
  <c r="G646" i="1" a="1"/>
  <c r="G646" i="1" s="1"/>
  <c r="F646" i="1"/>
  <c r="E646" i="1"/>
  <c r="D646" i="1"/>
  <c r="AO647" i="1"/>
  <c r="AN647" i="1"/>
  <c r="AM647" i="1"/>
  <c r="AA647" i="1"/>
  <c r="Z647" i="1"/>
  <c r="Y647" i="1"/>
  <c r="AC647" i="1" s="1"/>
  <c r="W647" i="1"/>
  <c r="V647" i="1"/>
  <c r="U647" i="1"/>
  <c r="X647" i="1"/>
  <c r="AB647" i="1" s="1"/>
  <c r="T647" i="1"/>
  <c r="S647" i="1"/>
  <c r="R647" i="1"/>
  <c r="Q647" i="1"/>
  <c r="P647" i="1"/>
  <c r="O647" i="1"/>
  <c r="M647" i="1"/>
  <c r="L647" i="1"/>
  <c r="N647" i="1"/>
  <c r="K647" i="1"/>
  <c r="J647" i="1"/>
  <c r="I647" i="1"/>
  <c r="AE647" i="1" s="1"/>
  <c r="G647" i="1" a="1"/>
  <c r="G647" i="1" s="1"/>
  <c r="F647" i="1"/>
  <c r="E647" i="1"/>
  <c r="D647" i="1"/>
  <c r="AN648" i="1"/>
  <c r="AM648" i="1"/>
  <c r="AO648" i="1"/>
  <c r="AP648" i="1" s="1"/>
  <c r="Z648" i="1"/>
  <c r="Y648" i="1"/>
  <c r="AA648" i="1"/>
  <c r="X648" i="1"/>
  <c r="AB648" i="1" s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AE648" i="1" s="1"/>
  <c r="G648" i="1" a="1"/>
  <c r="G648" i="1" s="1"/>
  <c r="F648" i="1"/>
  <c r="E648" i="1"/>
  <c r="D648" i="1"/>
  <c r="AO649" i="1"/>
  <c r="AN649" i="1"/>
  <c r="AM649" i="1"/>
  <c r="Z649" i="1"/>
  <c r="Y649" i="1"/>
  <c r="W649" i="1"/>
  <c r="V649" i="1"/>
  <c r="U649" i="1"/>
  <c r="AA649" i="1"/>
  <c r="X649" i="1"/>
  <c r="AB649" i="1" s="1"/>
  <c r="T649" i="1"/>
  <c r="S649" i="1"/>
  <c r="R649" i="1"/>
  <c r="Q649" i="1"/>
  <c r="P649" i="1"/>
  <c r="O649" i="1"/>
  <c r="M649" i="1"/>
  <c r="L649" i="1"/>
  <c r="N649" i="1"/>
  <c r="K649" i="1"/>
  <c r="J649" i="1"/>
  <c r="I649" i="1"/>
  <c r="AE649" i="1" s="1"/>
  <c r="G649" i="1" a="1"/>
  <c r="G649" i="1" s="1"/>
  <c r="F649" i="1"/>
  <c r="E649" i="1"/>
  <c r="D649" i="1"/>
  <c r="AN650" i="1"/>
  <c r="AM650" i="1"/>
  <c r="AO650" i="1"/>
  <c r="AP650" i="1" s="1"/>
  <c r="AA650" i="1"/>
  <c r="Z650" i="1"/>
  <c r="Y650" i="1"/>
  <c r="AC650" i="1" s="1"/>
  <c r="X650" i="1"/>
  <c r="AB650" i="1" s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AE650" i="1" s="1"/>
  <c r="G650" i="1" a="1"/>
  <c r="G650" i="1" s="1"/>
  <c r="F650" i="1"/>
  <c r="E650" i="1"/>
  <c r="D650" i="1"/>
  <c r="AO651" i="1"/>
  <c r="AN651" i="1"/>
  <c r="AM651" i="1"/>
  <c r="Z651" i="1"/>
  <c r="Y651" i="1"/>
  <c r="AA651" i="1"/>
  <c r="W651" i="1"/>
  <c r="V651" i="1"/>
  <c r="U651" i="1"/>
  <c r="X651" i="1"/>
  <c r="T651" i="1"/>
  <c r="S651" i="1"/>
  <c r="R651" i="1"/>
  <c r="Q651" i="1"/>
  <c r="P651" i="1"/>
  <c r="O651" i="1"/>
  <c r="M651" i="1"/>
  <c r="L651" i="1"/>
  <c r="N651" i="1"/>
  <c r="K651" i="1"/>
  <c r="J651" i="1"/>
  <c r="I651" i="1"/>
  <c r="G651" i="1" a="1"/>
  <c r="G651" i="1" s="1"/>
  <c r="F651" i="1"/>
  <c r="H651" i="1" s="1"/>
  <c r="E651" i="1"/>
  <c r="D651" i="1"/>
  <c r="AN652" i="1"/>
  <c r="AM652" i="1"/>
  <c r="AO652" i="1"/>
  <c r="AP652" i="1" s="1"/>
  <c r="AA652" i="1"/>
  <c r="Z652" i="1"/>
  <c r="Y652" i="1"/>
  <c r="AC652" i="1" s="1"/>
  <c r="X652" i="1"/>
  <c r="AB652" i="1" s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AE652" i="1" s="1"/>
  <c r="G652" i="1" a="1"/>
  <c r="G652" i="1" s="1"/>
  <c r="F652" i="1"/>
  <c r="E652" i="1"/>
  <c r="D652" i="1"/>
  <c r="AO653" i="1"/>
  <c r="AN653" i="1"/>
  <c r="AM653" i="1"/>
  <c r="Z653" i="1"/>
  <c r="Y653" i="1"/>
  <c r="X653" i="1"/>
  <c r="AB653" i="1" s="1"/>
  <c r="W653" i="1"/>
  <c r="V653" i="1"/>
  <c r="U653" i="1"/>
  <c r="AA653" i="1"/>
  <c r="T653" i="1"/>
  <c r="S653" i="1"/>
  <c r="R653" i="1"/>
  <c r="Q653" i="1"/>
  <c r="P653" i="1"/>
  <c r="O653" i="1"/>
  <c r="M653" i="1"/>
  <c r="L653" i="1"/>
  <c r="N653" i="1"/>
  <c r="K653" i="1"/>
  <c r="J653" i="1"/>
  <c r="I653" i="1"/>
  <c r="AE653" i="1" s="1"/>
  <c r="G653" i="1" a="1"/>
  <c r="G653" i="1" s="1"/>
  <c r="F653" i="1"/>
  <c r="E653" i="1"/>
  <c r="D653" i="1"/>
  <c r="AN654" i="1"/>
  <c r="AM654" i="1"/>
  <c r="AO654" i="1"/>
  <c r="AP654" i="1" s="1"/>
  <c r="Z654" i="1"/>
  <c r="Y654" i="1"/>
  <c r="AA654" i="1"/>
  <c r="W654" i="1"/>
  <c r="V654" i="1"/>
  <c r="U654" i="1"/>
  <c r="X654" i="1"/>
  <c r="AB654" i="1" s="1"/>
  <c r="T654" i="1"/>
  <c r="S654" i="1"/>
  <c r="R654" i="1"/>
  <c r="Q654" i="1"/>
  <c r="P654" i="1"/>
  <c r="O654" i="1"/>
  <c r="N654" i="1"/>
  <c r="M654" i="1"/>
  <c r="L654" i="1"/>
  <c r="K654" i="1"/>
  <c r="J654" i="1"/>
  <c r="I654" i="1"/>
  <c r="AE654" i="1" s="1"/>
  <c r="G654" i="1" a="1"/>
  <c r="G654" i="1" s="1"/>
  <c r="F654" i="1"/>
  <c r="E654" i="1"/>
  <c r="D654" i="1"/>
  <c r="AO655" i="1"/>
  <c r="AN655" i="1"/>
  <c r="AM655" i="1"/>
  <c r="AA655" i="1"/>
  <c r="Z655" i="1"/>
  <c r="Y655" i="1"/>
  <c r="AC655" i="1" s="1"/>
  <c r="X655" i="1"/>
  <c r="AB655" i="1" s="1"/>
  <c r="W655" i="1"/>
  <c r="V655" i="1"/>
  <c r="U655" i="1"/>
  <c r="T655" i="1"/>
  <c r="S655" i="1"/>
  <c r="R655" i="1"/>
  <c r="Q655" i="1"/>
  <c r="P655" i="1"/>
  <c r="O655" i="1"/>
  <c r="M655" i="1"/>
  <c r="L655" i="1"/>
  <c r="N655" i="1"/>
  <c r="K655" i="1"/>
  <c r="J655" i="1"/>
  <c r="I655" i="1"/>
  <c r="AE655" i="1" s="1"/>
  <c r="G655" i="1" a="1"/>
  <c r="G655" i="1" s="1"/>
  <c r="F655" i="1"/>
  <c r="E655" i="1"/>
  <c r="D655" i="1"/>
  <c r="AN656" i="1"/>
  <c r="AM656" i="1"/>
  <c r="AO656" i="1"/>
  <c r="Z656" i="1"/>
  <c r="Y656" i="1"/>
  <c r="W656" i="1"/>
  <c r="V656" i="1"/>
  <c r="U656" i="1"/>
  <c r="AA656" i="1"/>
  <c r="X656" i="1"/>
  <c r="AB656" i="1" s="1"/>
  <c r="T656" i="1"/>
  <c r="S656" i="1"/>
  <c r="R656" i="1"/>
  <c r="Q656" i="1"/>
  <c r="P656" i="1"/>
  <c r="O656" i="1"/>
  <c r="N656" i="1"/>
  <c r="M656" i="1"/>
  <c r="L656" i="1"/>
  <c r="K656" i="1"/>
  <c r="J656" i="1"/>
  <c r="I656" i="1"/>
  <c r="AE656" i="1" s="1"/>
  <c r="G656" i="1" a="1"/>
  <c r="G656" i="1" s="1"/>
  <c r="F656" i="1"/>
  <c r="E656" i="1"/>
  <c r="D656" i="1"/>
  <c r="AN657" i="1"/>
  <c r="AM657" i="1"/>
  <c r="AO657" i="1"/>
  <c r="AP657" i="1" s="1"/>
  <c r="Z657" i="1"/>
  <c r="Y657" i="1"/>
  <c r="AA657" i="1"/>
  <c r="X657" i="1"/>
  <c r="AB657" i="1" s="1"/>
  <c r="W657" i="1"/>
  <c r="V657" i="1"/>
  <c r="U657" i="1"/>
  <c r="T657" i="1"/>
  <c r="S657" i="1"/>
  <c r="R657" i="1"/>
  <c r="Q657" i="1"/>
  <c r="P657" i="1"/>
  <c r="O657" i="1"/>
  <c r="M657" i="1"/>
  <c r="L657" i="1"/>
  <c r="N657" i="1"/>
  <c r="K657" i="1"/>
  <c r="J657" i="1"/>
  <c r="I657" i="1"/>
  <c r="AE657" i="1" s="1"/>
  <c r="G657" i="1" a="1"/>
  <c r="G657" i="1" s="1"/>
  <c r="F657" i="1"/>
  <c r="E657" i="1"/>
  <c r="D657" i="1"/>
  <c r="AO658" i="1"/>
  <c r="AN658" i="1"/>
  <c r="AM658" i="1"/>
  <c r="AA658" i="1"/>
  <c r="Z658" i="1"/>
  <c r="Y658" i="1"/>
  <c r="AC658" i="1" s="1"/>
  <c r="W658" i="1"/>
  <c r="V658" i="1"/>
  <c r="U658" i="1"/>
  <c r="X658" i="1"/>
  <c r="AB658" i="1" s="1"/>
  <c r="T658" i="1"/>
  <c r="S658" i="1"/>
  <c r="R658" i="1"/>
  <c r="Q658" i="1"/>
  <c r="P658" i="1"/>
  <c r="O658" i="1"/>
  <c r="M658" i="1"/>
  <c r="L658" i="1"/>
  <c r="N658" i="1"/>
  <c r="K658" i="1"/>
  <c r="J658" i="1"/>
  <c r="I658" i="1"/>
  <c r="AE658" i="1" s="1"/>
  <c r="G658" i="1" a="1"/>
  <c r="G658" i="1" s="1"/>
  <c r="F658" i="1"/>
  <c r="E658" i="1"/>
  <c r="D658" i="1"/>
  <c r="AN659" i="1"/>
  <c r="AM659" i="1"/>
  <c r="AO659" i="1"/>
  <c r="AP659" i="1" s="1"/>
  <c r="Z659" i="1"/>
  <c r="Y659" i="1"/>
  <c r="X659" i="1"/>
  <c r="AB659" i="1" s="1"/>
  <c r="W659" i="1"/>
  <c r="V659" i="1"/>
  <c r="U659" i="1"/>
  <c r="AA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AE659" i="1" s="1"/>
  <c r="G659" i="1" a="1"/>
  <c r="G659" i="1" s="1"/>
  <c r="F659" i="1"/>
  <c r="E659" i="1"/>
  <c r="D659" i="1"/>
  <c r="AO660" i="1"/>
  <c r="AN660" i="1"/>
  <c r="AM660" i="1"/>
  <c r="Z660" i="1"/>
  <c r="Y660" i="1"/>
  <c r="AA660" i="1"/>
  <c r="W660" i="1"/>
  <c r="V660" i="1"/>
  <c r="U660" i="1"/>
  <c r="X660" i="1"/>
  <c r="AB660" i="1" s="1"/>
  <c r="T660" i="1"/>
  <c r="S660" i="1"/>
  <c r="R660" i="1"/>
  <c r="Q660" i="1"/>
  <c r="P660" i="1"/>
  <c r="O660" i="1"/>
  <c r="M660" i="1"/>
  <c r="L660" i="1"/>
  <c r="N660" i="1"/>
  <c r="K660" i="1"/>
  <c r="J660" i="1"/>
  <c r="I660" i="1"/>
  <c r="AE660" i="1" s="1"/>
  <c r="G660" i="1" a="1"/>
  <c r="G660" i="1" s="1"/>
  <c r="F660" i="1"/>
  <c r="E660" i="1"/>
  <c r="D660" i="1"/>
  <c r="AN661" i="1"/>
  <c r="AM661" i="1"/>
  <c r="AO661" i="1"/>
  <c r="AP661" i="1" s="1"/>
  <c r="AA661" i="1"/>
  <c r="Z661" i="1"/>
  <c r="Y661" i="1"/>
  <c r="AC661" i="1" s="1"/>
  <c r="X661" i="1"/>
  <c r="AB661" i="1" s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AE661" i="1" s="1"/>
  <c r="G661" i="1" a="1"/>
  <c r="G661" i="1" s="1"/>
  <c r="F661" i="1"/>
  <c r="E661" i="1"/>
  <c r="D661" i="1"/>
  <c r="AO662" i="1"/>
  <c r="AN662" i="1"/>
  <c r="AM662" i="1"/>
  <c r="Z662" i="1"/>
  <c r="Y662" i="1"/>
  <c r="W662" i="1"/>
  <c r="V662" i="1"/>
  <c r="U662" i="1"/>
  <c r="AA662" i="1"/>
  <c r="X662" i="1"/>
  <c r="AB662" i="1" s="1"/>
  <c r="T662" i="1"/>
  <c r="S662" i="1"/>
  <c r="R662" i="1"/>
  <c r="Q662" i="1"/>
  <c r="P662" i="1"/>
  <c r="O662" i="1"/>
  <c r="M662" i="1"/>
  <c r="L662" i="1"/>
  <c r="N662" i="1"/>
  <c r="K662" i="1"/>
  <c r="J662" i="1"/>
  <c r="I662" i="1"/>
  <c r="AE662" i="1" s="1"/>
  <c r="G662" i="1" a="1"/>
  <c r="G662" i="1" s="1"/>
  <c r="F662" i="1"/>
  <c r="E662" i="1"/>
  <c r="D662" i="1"/>
  <c r="AN663" i="1"/>
  <c r="AM663" i="1"/>
  <c r="AO663" i="1"/>
  <c r="AP663" i="1" s="1"/>
  <c r="Z663" i="1"/>
  <c r="Y663" i="1"/>
  <c r="AA663" i="1"/>
  <c r="X663" i="1"/>
  <c r="AB663" i="1" s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AE663" i="1" s="1"/>
  <c r="G663" i="1" a="1"/>
  <c r="G663" i="1" s="1"/>
  <c r="F663" i="1"/>
  <c r="E663" i="1"/>
  <c r="D663" i="1"/>
  <c r="AO664" i="1"/>
  <c r="AN664" i="1"/>
  <c r="AM664" i="1"/>
  <c r="AA664" i="1"/>
  <c r="Z664" i="1"/>
  <c r="Y664" i="1"/>
  <c r="AC664" i="1" s="1"/>
  <c r="W664" i="1"/>
  <c r="V664" i="1"/>
  <c r="U664" i="1"/>
  <c r="X664" i="1"/>
  <c r="AB664" i="1" s="1"/>
  <c r="T664" i="1"/>
  <c r="S664" i="1"/>
  <c r="R664" i="1"/>
  <c r="Q664" i="1"/>
  <c r="P664" i="1"/>
  <c r="O664" i="1"/>
  <c r="M664" i="1"/>
  <c r="L664" i="1"/>
  <c r="N664" i="1"/>
  <c r="K664" i="1"/>
  <c r="J664" i="1"/>
  <c r="I664" i="1"/>
  <c r="G664" i="1" a="1"/>
  <c r="G664" i="1" s="1"/>
  <c r="F664" i="1"/>
  <c r="E664" i="1"/>
  <c r="D664" i="1"/>
  <c r="AN665" i="1"/>
  <c r="AM665" i="1"/>
  <c r="AO665" i="1"/>
  <c r="AP665" i="1" s="1"/>
  <c r="Z665" i="1"/>
  <c r="Y665" i="1"/>
  <c r="X665" i="1"/>
  <c r="AB665" i="1" s="1"/>
  <c r="W665" i="1"/>
  <c r="V665" i="1"/>
  <c r="U665" i="1"/>
  <c r="AA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AE665" i="1" s="1"/>
  <c r="G665" i="1" a="1"/>
  <c r="G665" i="1" s="1"/>
  <c r="F665" i="1"/>
  <c r="E665" i="1"/>
  <c r="D665" i="1"/>
  <c r="AO666" i="1"/>
  <c r="AN666" i="1"/>
  <c r="AM666" i="1"/>
  <c r="Z666" i="1"/>
  <c r="Y666" i="1"/>
  <c r="AA666" i="1"/>
  <c r="W666" i="1"/>
  <c r="V666" i="1"/>
  <c r="U666" i="1"/>
  <c r="X666" i="1"/>
  <c r="AB666" i="1" s="1"/>
  <c r="T666" i="1"/>
  <c r="S666" i="1"/>
  <c r="R666" i="1"/>
  <c r="Q666" i="1"/>
  <c r="P666" i="1"/>
  <c r="O666" i="1"/>
  <c r="M666" i="1"/>
  <c r="L666" i="1"/>
  <c r="N666" i="1"/>
  <c r="K666" i="1"/>
  <c r="J666" i="1"/>
  <c r="I666" i="1"/>
  <c r="AE666" i="1" s="1"/>
  <c r="G666" i="1" a="1"/>
  <c r="G666" i="1" s="1"/>
  <c r="F666" i="1"/>
  <c r="E666" i="1"/>
  <c r="D666" i="1"/>
  <c r="AN667" i="1"/>
  <c r="AM667" i="1"/>
  <c r="AO667" i="1"/>
  <c r="AP667" i="1" s="1"/>
  <c r="AA667" i="1"/>
  <c r="Z667" i="1"/>
  <c r="Y667" i="1"/>
  <c r="AC667" i="1" s="1"/>
  <c r="X667" i="1"/>
  <c r="AB667" i="1" s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AE667" i="1" s="1"/>
  <c r="G667" i="1" a="1"/>
  <c r="G667" i="1" s="1"/>
  <c r="F667" i="1"/>
  <c r="E667" i="1"/>
  <c r="D667" i="1"/>
  <c r="AO668" i="1"/>
  <c r="AN668" i="1"/>
  <c r="AM668" i="1"/>
  <c r="Z668" i="1"/>
  <c r="Y668" i="1"/>
  <c r="W668" i="1"/>
  <c r="V668" i="1"/>
  <c r="U668" i="1"/>
  <c r="AA668" i="1"/>
  <c r="X668" i="1"/>
  <c r="AB668" i="1" s="1"/>
  <c r="T668" i="1"/>
  <c r="S668" i="1"/>
  <c r="R668" i="1"/>
  <c r="Q668" i="1"/>
  <c r="P668" i="1"/>
  <c r="O668" i="1"/>
  <c r="M668" i="1"/>
  <c r="L668" i="1"/>
  <c r="N668" i="1"/>
  <c r="K668" i="1"/>
  <c r="J668" i="1"/>
  <c r="I668" i="1"/>
  <c r="AE668" i="1" s="1"/>
  <c r="G668" i="1" a="1"/>
  <c r="G668" i="1" s="1"/>
  <c r="F668" i="1"/>
  <c r="E668" i="1"/>
  <c r="D668" i="1"/>
  <c r="AN669" i="1"/>
  <c r="AM669" i="1"/>
  <c r="AO669" i="1"/>
  <c r="Z669" i="1"/>
  <c r="Y669" i="1"/>
  <c r="AA669" i="1"/>
  <c r="X669" i="1"/>
  <c r="AB669" i="1" s="1"/>
  <c r="W669" i="1"/>
  <c r="V669" i="1"/>
  <c r="U669" i="1"/>
  <c r="T669" i="1"/>
  <c r="S669" i="1"/>
  <c r="R669" i="1"/>
  <c r="Q669" i="1"/>
  <c r="P669" i="1"/>
  <c r="O669" i="1"/>
  <c r="M669" i="1"/>
  <c r="L669" i="1"/>
  <c r="N669" i="1"/>
  <c r="K669" i="1"/>
  <c r="J669" i="1"/>
  <c r="I669" i="1"/>
  <c r="AE669" i="1" s="1"/>
  <c r="G669" i="1" a="1"/>
  <c r="G669" i="1" s="1"/>
  <c r="F669" i="1"/>
  <c r="E669" i="1"/>
  <c r="D669" i="1"/>
  <c r="AO670" i="1"/>
  <c r="AN670" i="1"/>
  <c r="AM670" i="1"/>
  <c r="AA670" i="1"/>
  <c r="Z670" i="1"/>
  <c r="Y670" i="1"/>
  <c r="AC670" i="1" s="1"/>
  <c r="W670" i="1"/>
  <c r="V670" i="1"/>
  <c r="U670" i="1"/>
  <c r="X670" i="1"/>
  <c r="AB670" i="1" s="1"/>
  <c r="T670" i="1"/>
  <c r="S670" i="1"/>
  <c r="R670" i="1"/>
  <c r="Q670" i="1"/>
  <c r="P670" i="1"/>
  <c r="O670" i="1"/>
  <c r="N670" i="1"/>
  <c r="M670" i="1"/>
  <c r="L670" i="1"/>
  <c r="K670" i="1"/>
  <c r="J670" i="1"/>
  <c r="I670" i="1"/>
  <c r="AE670" i="1" s="1"/>
  <c r="G670" i="1" a="1"/>
  <c r="G670" i="1" s="1"/>
  <c r="F670" i="1"/>
  <c r="E670" i="1"/>
  <c r="D670" i="1"/>
  <c r="AN671" i="1"/>
  <c r="AM671" i="1"/>
  <c r="AO671" i="1"/>
  <c r="Z671" i="1"/>
  <c r="Y671" i="1"/>
  <c r="X671" i="1"/>
  <c r="AB671" i="1" s="1"/>
  <c r="W671" i="1"/>
  <c r="V671" i="1"/>
  <c r="U671" i="1"/>
  <c r="AA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AE671" i="1" s="1"/>
  <c r="G671" i="1" a="1"/>
  <c r="G671" i="1" s="1"/>
  <c r="F671" i="1"/>
  <c r="E671" i="1"/>
  <c r="D671" i="1"/>
  <c r="AO672" i="1"/>
  <c r="AN672" i="1"/>
  <c r="AM672" i="1"/>
  <c r="AA672" i="1"/>
  <c r="Z672" i="1"/>
  <c r="Y672" i="1"/>
  <c r="AC672" i="1" s="1"/>
  <c r="W672" i="1"/>
  <c r="V672" i="1"/>
  <c r="U672" i="1"/>
  <c r="X672" i="1"/>
  <c r="T672" i="1"/>
  <c r="S672" i="1"/>
  <c r="R672" i="1"/>
  <c r="Q672" i="1"/>
  <c r="P672" i="1"/>
  <c r="O672" i="1"/>
  <c r="M672" i="1"/>
  <c r="L672" i="1"/>
  <c r="N672" i="1"/>
  <c r="K672" i="1"/>
  <c r="J672" i="1"/>
  <c r="I672" i="1"/>
  <c r="G672" i="1" a="1"/>
  <c r="G672" i="1" s="1"/>
  <c r="F672" i="1"/>
  <c r="E672" i="1"/>
  <c r="D672" i="1"/>
  <c r="AN673" i="1"/>
  <c r="AM673" i="1"/>
  <c r="AO673" i="1"/>
  <c r="AP673" i="1" s="1"/>
  <c r="Z673" i="1"/>
  <c r="Y673" i="1"/>
  <c r="AA673" i="1"/>
  <c r="X673" i="1"/>
  <c r="AB673" i="1" s="1"/>
  <c r="W673" i="1"/>
  <c r="V673" i="1"/>
  <c r="U673" i="1"/>
  <c r="T673" i="1"/>
  <c r="S673" i="1"/>
  <c r="R673" i="1"/>
  <c r="Q673" i="1"/>
  <c r="P673" i="1"/>
  <c r="O673" i="1"/>
  <c r="M673" i="1"/>
  <c r="L673" i="1"/>
  <c r="N673" i="1"/>
  <c r="K673" i="1"/>
  <c r="J673" i="1"/>
  <c r="I673" i="1"/>
  <c r="G673" i="1" a="1"/>
  <c r="G673" i="1" s="1"/>
  <c r="F673" i="1"/>
  <c r="E673" i="1"/>
  <c r="D673" i="1"/>
  <c r="AO674" i="1"/>
  <c r="AN674" i="1"/>
  <c r="AM674" i="1"/>
  <c r="Z674" i="1"/>
  <c r="Y674" i="1"/>
  <c r="W674" i="1"/>
  <c r="V674" i="1"/>
  <c r="U674" i="1"/>
  <c r="AA674" i="1"/>
  <c r="X674" i="1"/>
  <c r="AB674" i="1" s="1"/>
  <c r="T674" i="1"/>
  <c r="S674" i="1"/>
  <c r="R674" i="1"/>
  <c r="Q674" i="1"/>
  <c r="P674" i="1"/>
  <c r="O674" i="1"/>
  <c r="N674" i="1"/>
  <c r="M674" i="1"/>
  <c r="L674" i="1"/>
  <c r="K674" i="1"/>
  <c r="J674" i="1"/>
  <c r="I674" i="1"/>
  <c r="AE674" i="1" s="1"/>
  <c r="G674" i="1" a="1"/>
  <c r="G674" i="1" s="1"/>
  <c r="F674" i="1"/>
  <c r="E674" i="1"/>
  <c r="D674" i="1"/>
  <c r="AN675" i="1"/>
  <c r="AM675" i="1"/>
  <c r="AO675" i="1"/>
  <c r="AP675" i="1" s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M675" i="1"/>
  <c r="L675" i="1"/>
  <c r="N675" i="1"/>
  <c r="K675" i="1"/>
  <c r="J675" i="1"/>
  <c r="I675" i="1"/>
  <c r="G675" i="1" a="1"/>
  <c r="G675" i="1" s="1"/>
  <c r="F675" i="1"/>
  <c r="H675" i="1" s="1"/>
  <c r="E675" i="1"/>
  <c r="D675" i="1"/>
  <c r="AO676" i="1"/>
  <c r="AN676" i="1"/>
  <c r="AM676" i="1"/>
  <c r="Z676" i="1"/>
  <c r="Y676" i="1"/>
  <c r="AA676" i="1"/>
  <c r="W676" i="1"/>
  <c r="V676" i="1"/>
  <c r="U676" i="1"/>
  <c r="X676" i="1"/>
  <c r="AB676" i="1" s="1"/>
  <c r="T676" i="1"/>
  <c r="S676" i="1"/>
  <c r="R676" i="1"/>
  <c r="Q676" i="1"/>
  <c r="P676" i="1"/>
  <c r="O676" i="1"/>
  <c r="N676" i="1"/>
  <c r="M676" i="1"/>
  <c r="L676" i="1"/>
  <c r="K676" i="1"/>
  <c r="J676" i="1"/>
  <c r="I676" i="1"/>
  <c r="AE676" i="1" s="1"/>
  <c r="G676" i="1" a="1"/>
  <c r="G676" i="1" s="1"/>
  <c r="F676" i="1"/>
  <c r="H676" i="1" s="1"/>
  <c r="E676" i="1"/>
  <c r="D676" i="1"/>
  <c r="AN677" i="1"/>
  <c r="AM677" i="1"/>
  <c r="AO677" i="1"/>
  <c r="AP677" i="1" s="1"/>
  <c r="Z677" i="1"/>
  <c r="Y677" i="1"/>
  <c r="X677" i="1"/>
  <c r="AB677" i="1" s="1"/>
  <c r="W677" i="1"/>
  <c r="V677" i="1"/>
  <c r="U677" i="1"/>
  <c r="AA677" i="1"/>
  <c r="T677" i="1"/>
  <c r="S677" i="1"/>
  <c r="R677" i="1"/>
  <c r="Q677" i="1"/>
  <c r="P677" i="1"/>
  <c r="O677" i="1"/>
  <c r="M677" i="1"/>
  <c r="L677" i="1"/>
  <c r="N677" i="1"/>
  <c r="K677" i="1"/>
  <c r="J677" i="1"/>
  <c r="I677" i="1"/>
  <c r="AE677" i="1" s="1"/>
  <c r="G677" i="1" a="1"/>
  <c r="G677" i="1" s="1"/>
  <c r="F677" i="1"/>
  <c r="H677" i="1" s="1"/>
  <c r="E677" i="1"/>
  <c r="D677" i="1"/>
  <c r="AO678" i="1"/>
  <c r="AN678" i="1"/>
  <c r="AM678" i="1"/>
  <c r="AA678" i="1"/>
  <c r="Z678" i="1"/>
  <c r="Y678" i="1"/>
  <c r="AC678" i="1" s="1"/>
  <c r="W678" i="1"/>
  <c r="V678" i="1"/>
  <c r="U678" i="1"/>
  <c r="X678" i="1"/>
  <c r="AB678" i="1" s="1"/>
  <c r="T678" i="1"/>
  <c r="S678" i="1"/>
  <c r="R678" i="1"/>
  <c r="Q678" i="1"/>
  <c r="P678" i="1"/>
  <c r="O678" i="1"/>
  <c r="N678" i="1"/>
  <c r="M678" i="1"/>
  <c r="L678" i="1"/>
  <c r="K678" i="1"/>
  <c r="J678" i="1"/>
  <c r="I678" i="1"/>
  <c r="AE678" i="1" s="1"/>
  <c r="G678" i="1" a="1"/>
  <c r="G678" i="1" s="1"/>
  <c r="F678" i="1"/>
  <c r="H678" i="1" s="1"/>
  <c r="E678" i="1"/>
  <c r="D678" i="1"/>
  <c r="AN679" i="1"/>
  <c r="AM679" i="1"/>
  <c r="AO679" i="1"/>
  <c r="AP679" i="1" s="1"/>
  <c r="Z679" i="1"/>
  <c r="Y679" i="1"/>
  <c r="AA679" i="1"/>
  <c r="X679" i="1"/>
  <c r="AB679" i="1" s="1"/>
  <c r="W679" i="1"/>
  <c r="V679" i="1"/>
  <c r="U679" i="1"/>
  <c r="T679" i="1"/>
  <c r="S679" i="1"/>
  <c r="R679" i="1"/>
  <c r="Q679" i="1"/>
  <c r="P679" i="1"/>
  <c r="O679" i="1"/>
  <c r="M679" i="1"/>
  <c r="L679" i="1"/>
  <c r="N679" i="1"/>
  <c r="K679" i="1"/>
  <c r="J679" i="1"/>
  <c r="I679" i="1"/>
  <c r="AE679" i="1" s="1"/>
  <c r="G679" i="1" a="1"/>
  <c r="G679" i="1" s="1"/>
  <c r="F679" i="1"/>
  <c r="H679" i="1" s="1"/>
  <c r="E679" i="1"/>
  <c r="D679" i="1"/>
  <c r="AO680" i="1"/>
  <c r="AN680" i="1"/>
  <c r="AM680" i="1"/>
  <c r="AA680" i="1"/>
  <c r="Z680" i="1"/>
  <c r="Y680" i="1"/>
  <c r="AC680" i="1" s="1"/>
  <c r="W680" i="1"/>
  <c r="V680" i="1"/>
  <c r="U680" i="1"/>
  <c r="X680" i="1"/>
  <c r="AB680" i="1" s="1"/>
  <c r="T680" i="1"/>
  <c r="S680" i="1"/>
  <c r="R680" i="1"/>
  <c r="Q680" i="1"/>
  <c r="P680" i="1"/>
  <c r="O680" i="1"/>
  <c r="N680" i="1"/>
  <c r="M680" i="1"/>
  <c r="L680" i="1"/>
  <c r="K680" i="1"/>
  <c r="J680" i="1"/>
  <c r="I680" i="1"/>
  <c r="AE680" i="1" s="1"/>
  <c r="G680" i="1" a="1"/>
  <c r="G680" i="1" s="1"/>
  <c r="F680" i="1"/>
  <c r="H680" i="1" s="1"/>
  <c r="E680" i="1"/>
  <c r="D680" i="1"/>
  <c r="AN681" i="1"/>
  <c r="AM681" i="1"/>
  <c r="AO681" i="1"/>
  <c r="AP681" i="1" s="1"/>
  <c r="Z681" i="1"/>
  <c r="Y681" i="1"/>
  <c r="X681" i="1"/>
  <c r="AB681" i="1" s="1"/>
  <c r="W681" i="1"/>
  <c r="V681" i="1"/>
  <c r="U681" i="1"/>
  <c r="AA681" i="1"/>
  <c r="T681" i="1"/>
  <c r="S681" i="1"/>
  <c r="R681" i="1"/>
  <c r="Q681" i="1"/>
  <c r="P681" i="1"/>
  <c r="O681" i="1"/>
  <c r="M681" i="1"/>
  <c r="L681" i="1"/>
  <c r="N681" i="1"/>
  <c r="K681" i="1"/>
  <c r="J681" i="1"/>
  <c r="I681" i="1"/>
  <c r="AE681" i="1" s="1"/>
  <c r="G681" i="1" a="1"/>
  <c r="G681" i="1" s="1"/>
  <c r="F681" i="1"/>
  <c r="H681" i="1" s="1"/>
  <c r="E681" i="1"/>
  <c r="D681" i="1"/>
  <c r="AO682" i="1"/>
  <c r="AN682" i="1"/>
  <c r="AM682" i="1"/>
  <c r="Z682" i="1"/>
  <c r="Y682" i="1"/>
  <c r="AA682" i="1"/>
  <c r="W682" i="1"/>
  <c r="V682" i="1"/>
  <c r="U682" i="1"/>
  <c r="X682" i="1"/>
  <c r="AB682" i="1" s="1"/>
  <c r="T682" i="1"/>
  <c r="S682" i="1"/>
  <c r="R682" i="1"/>
  <c r="Q682" i="1"/>
  <c r="P682" i="1"/>
  <c r="O682" i="1"/>
  <c r="N682" i="1"/>
  <c r="M682" i="1"/>
  <c r="L682" i="1"/>
  <c r="K682" i="1"/>
  <c r="J682" i="1"/>
  <c r="I682" i="1"/>
  <c r="AE682" i="1" s="1"/>
  <c r="G682" i="1" a="1"/>
  <c r="G682" i="1" s="1"/>
  <c r="F682" i="1"/>
  <c r="H682" i="1" s="1"/>
  <c r="E682" i="1"/>
  <c r="D682" i="1"/>
  <c r="AN683" i="1"/>
  <c r="AM683" i="1"/>
  <c r="AO683" i="1"/>
  <c r="AP683" i="1" s="1"/>
  <c r="AA683" i="1"/>
  <c r="Z683" i="1"/>
  <c r="Y683" i="1"/>
  <c r="AC683" i="1" s="1"/>
  <c r="X683" i="1"/>
  <c r="AB683" i="1" s="1"/>
  <c r="W683" i="1"/>
  <c r="V683" i="1"/>
  <c r="U683" i="1"/>
  <c r="T683" i="1"/>
  <c r="S683" i="1"/>
  <c r="R683" i="1"/>
  <c r="Q683" i="1"/>
  <c r="P683" i="1"/>
  <c r="O683" i="1"/>
  <c r="M683" i="1"/>
  <c r="L683" i="1"/>
  <c r="N683" i="1"/>
  <c r="K683" i="1"/>
  <c r="J683" i="1"/>
  <c r="I683" i="1"/>
  <c r="AE683" i="1" s="1"/>
  <c r="G683" i="1" a="1"/>
  <c r="G683" i="1" s="1"/>
  <c r="F683" i="1"/>
  <c r="H683" i="1" s="1"/>
  <c r="E683" i="1"/>
  <c r="D683" i="1"/>
  <c r="AO684" i="1"/>
  <c r="AN684" i="1"/>
  <c r="AM684" i="1"/>
  <c r="Z684" i="1"/>
  <c r="Y684" i="1"/>
  <c r="W684" i="1"/>
  <c r="V684" i="1"/>
  <c r="U684" i="1"/>
  <c r="AA684" i="1"/>
  <c r="X684" i="1"/>
  <c r="AB684" i="1" s="1"/>
  <c r="T684" i="1"/>
  <c r="S684" i="1"/>
  <c r="R684" i="1"/>
  <c r="Q684" i="1"/>
  <c r="P684" i="1"/>
  <c r="O684" i="1"/>
  <c r="N684" i="1"/>
  <c r="M684" i="1"/>
  <c r="L684" i="1"/>
  <c r="K684" i="1"/>
  <c r="J684" i="1"/>
  <c r="I684" i="1"/>
  <c r="AE684" i="1" s="1"/>
  <c r="G684" i="1" a="1"/>
  <c r="G684" i="1" s="1"/>
  <c r="F684" i="1"/>
  <c r="H684" i="1" s="1"/>
  <c r="E684" i="1"/>
  <c r="D684" i="1"/>
  <c r="AN685" i="1"/>
  <c r="AM685" i="1"/>
  <c r="AO685" i="1"/>
  <c r="AP685" i="1" s="1"/>
  <c r="Z685" i="1"/>
  <c r="Y685" i="1"/>
  <c r="AA685" i="1"/>
  <c r="X685" i="1"/>
  <c r="AB685" i="1" s="1"/>
  <c r="W685" i="1"/>
  <c r="V685" i="1"/>
  <c r="U685" i="1"/>
  <c r="T685" i="1"/>
  <c r="S685" i="1"/>
  <c r="R685" i="1"/>
  <c r="Q685" i="1"/>
  <c r="P685" i="1"/>
  <c r="O685" i="1"/>
  <c r="M685" i="1"/>
  <c r="L685" i="1"/>
  <c r="N685" i="1"/>
  <c r="K685" i="1"/>
  <c r="J685" i="1"/>
  <c r="I685" i="1"/>
  <c r="AE685" i="1" s="1"/>
  <c r="G685" i="1" a="1"/>
  <c r="G685" i="1" s="1"/>
  <c r="F685" i="1"/>
  <c r="H685" i="1" s="1"/>
  <c r="E685" i="1"/>
  <c r="D685" i="1"/>
  <c r="AO686" i="1"/>
  <c r="AN686" i="1"/>
  <c r="AM686" i="1"/>
  <c r="AA686" i="1"/>
  <c r="Z686" i="1"/>
  <c r="Y686" i="1"/>
  <c r="AC686" i="1" s="1"/>
  <c r="W686" i="1"/>
  <c r="V686" i="1"/>
  <c r="U686" i="1"/>
  <c r="X686" i="1"/>
  <c r="AB686" i="1" s="1"/>
  <c r="T686" i="1"/>
  <c r="S686" i="1"/>
  <c r="R686" i="1"/>
  <c r="Q686" i="1"/>
  <c r="P686" i="1"/>
  <c r="O686" i="1"/>
  <c r="N686" i="1"/>
  <c r="M686" i="1"/>
  <c r="L686" i="1"/>
  <c r="K686" i="1"/>
  <c r="J686" i="1"/>
  <c r="I686" i="1"/>
  <c r="AE686" i="1" s="1"/>
  <c r="G686" i="1" a="1"/>
  <c r="G686" i="1" s="1"/>
  <c r="F686" i="1"/>
  <c r="H686" i="1" s="1"/>
  <c r="E686" i="1"/>
  <c r="D686" i="1"/>
  <c r="AN687" i="1"/>
  <c r="AM687" i="1"/>
  <c r="AO687" i="1"/>
  <c r="AP687" i="1" s="1"/>
  <c r="Z687" i="1"/>
  <c r="Y687" i="1"/>
  <c r="X687" i="1"/>
  <c r="AB687" i="1" s="1"/>
  <c r="W687" i="1"/>
  <c r="V687" i="1"/>
  <c r="U687" i="1"/>
  <c r="AA687" i="1"/>
  <c r="T687" i="1"/>
  <c r="S687" i="1"/>
  <c r="R687" i="1"/>
  <c r="Q687" i="1"/>
  <c r="P687" i="1"/>
  <c r="O687" i="1"/>
  <c r="M687" i="1"/>
  <c r="L687" i="1"/>
  <c r="N687" i="1"/>
  <c r="K687" i="1"/>
  <c r="J687" i="1"/>
  <c r="I687" i="1"/>
  <c r="AE687" i="1" s="1"/>
  <c r="G687" i="1" a="1"/>
  <c r="G687" i="1" s="1"/>
  <c r="F687" i="1"/>
  <c r="H687" i="1" s="1"/>
  <c r="E687" i="1"/>
  <c r="D687" i="1"/>
  <c r="AO688" i="1"/>
  <c r="AN688" i="1"/>
  <c r="AM688" i="1"/>
  <c r="AA688" i="1"/>
  <c r="Z688" i="1"/>
  <c r="Y688" i="1"/>
  <c r="AC688" i="1" s="1"/>
  <c r="W688" i="1"/>
  <c r="V688" i="1"/>
  <c r="U688" i="1"/>
  <c r="X688" i="1"/>
  <c r="AB688" i="1" s="1"/>
  <c r="T688" i="1"/>
  <c r="S688" i="1"/>
  <c r="R688" i="1"/>
  <c r="Q688" i="1"/>
  <c r="P688" i="1"/>
  <c r="O688" i="1"/>
  <c r="N688" i="1"/>
  <c r="M688" i="1"/>
  <c r="L688" i="1"/>
  <c r="K688" i="1"/>
  <c r="J688" i="1"/>
  <c r="I688" i="1"/>
  <c r="AE688" i="1" s="1"/>
  <c r="G688" i="1" a="1"/>
  <c r="G688" i="1" s="1"/>
  <c r="F688" i="1"/>
  <c r="H688" i="1" s="1"/>
  <c r="E688" i="1"/>
  <c r="D688" i="1"/>
  <c r="AN689" i="1"/>
  <c r="AM689" i="1"/>
  <c r="AO689" i="1"/>
  <c r="AP689" i="1" s="1"/>
  <c r="Z689" i="1"/>
  <c r="Y689" i="1"/>
  <c r="AA689" i="1"/>
  <c r="X689" i="1"/>
  <c r="AB689" i="1" s="1"/>
  <c r="W689" i="1"/>
  <c r="V689" i="1"/>
  <c r="U689" i="1"/>
  <c r="T689" i="1"/>
  <c r="S689" i="1"/>
  <c r="R689" i="1"/>
  <c r="Q689" i="1"/>
  <c r="P689" i="1"/>
  <c r="O689" i="1"/>
  <c r="M689" i="1"/>
  <c r="L689" i="1"/>
  <c r="N689" i="1"/>
  <c r="K689" i="1"/>
  <c r="J689" i="1"/>
  <c r="I689" i="1"/>
  <c r="AE689" i="1" s="1"/>
  <c r="G689" i="1" a="1"/>
  <c r="G689" i="1" s="1"/>
  <c r="F689" i="1"/>
  <c r="H689" i="1" s="1"/>
  <c r="E689" i="1"/>
  <c r="D689" i="1"/>
  <c r="AO690" i="1"/>
  <c r="AN690" i="1"/>
  <c r="AM690" i="1"/>
  <c r="Z690" i="1"/>
  <c r="Y690" i="1"/>
  <c r="W690" i="1"/>
  <c r="V690" i="1"/>
  <c r="U690" i="1"/>
  <c r="AA690" i="1"/>
  <c r="X690" i="1"/>
  <c r="AB690" i="1" s="1"/>
  <c r="T690" i="1"/>
  <c r="S690" i="1"/>
  <c r="R690" i="1"/>
  <c r="Q690" i="1"/>
  <c r="P690" i="1"/>
  <c r="O690" i="1"/>
  <c r="N690" i="1"/>
  <c r="M690" i="1"/>
  <c r="L690" i="1"/>
  <c r="K690" i="1"/>
  <c r="J690" i="1"/>
  <c r="I690" i="1"/>
  <c r="AE690" i="1" s="1"/>
  <c r="G690" i="1" a="1"/>
  <c r="G690" i="1" s="1"/>
  <c r="F690" i="1"/>
  <c r="H690" i="1" s="1"/>
  <c r="E690" i="1"/>
  <c r="D690" i="1"/>
  <c r="AN691" i="1"/>
  <c r="AM691" i="1"/>
  <c r="AO691" i="1"/>
  <c r="AP691" i="1" s="1"/>
  <c r="AA691" i="1"/>
  <c r="Z691" i="1"/>
  <c r="Y691" i="1"/>
  <c r="AC691" i="1" s="1"/>
  <c r="X691" i="1"/>
  <c r="AB691" i="1" s="1"/>
  <c r="W691" i="1"/>
  <c r="V691" i="1"/>
  <c r="U691" i="1"/>
  <c r="T691" i="1"/>
  <c r="S691" i="1"/>
  <c r="R691" i="1"/>
  <c r="Q691" i="1"/>
  <c r="P691" i="1"/>
  <c r="O691" i="1"/>
  <c r="M691" i="1"/>
  <c r="L691" i="1"/>
  <c r="N691" i="1"/>
  <c r="K691" i="1"/>
  <c r="J691" i="1"/>
  <c r="I691" i="1"/>
  <c r="AE691" i="1" s="1"/>
  <c r="G691" i="1" a="1"/>
  <c r="G691" i="1" s="1"/>
  <c r="F691" i="1"/>
  <c r="H691" i="1" s="1"/>
  <c r="E691" i="1"/>
  <c r="D691" i="1"/>
  <c r="AO692" i="1"/>
  <c r="AN692" i="1"/>
  <c r="AM692" i="1"/>
  <c r="Z692" i="1"/>
  <c r="Y692" i="1"/>
  <c r="AA692" i="1"/>
  <c r="W692" i="1"/>
  <c r="V692" i="1"/>
  <c r="U692" i="1"/>
  <c r="X692" i="1"/>
  <c r="AB692" i="1" s="1"/>
  <c r="T692" i="1"/>
  <c r="S692" i="1"/>
  <c r="R692" i="1"/>
  <c r="Q692" i="1"/>
  <c r="P692" i="1"/>
  <c r="O692" i="1"/>
  <c r="M692" i="1"/>
  <c r="L692" i="1"/>
  <c r="N692" i="1"/>
  <c r="K692" i="1"/>
  <c r="J692" i="1"/>
  <c r="I692" i="1"/>
  <c r="AE692" i="1" s="1"/>
  <c r="G692" i="1" a="1"/>
  <c r="G692" i="1" s="1"/>
  <c r="F692" i="1"/>
  <c r="H692" i="1" s="1"/>
  <c r="E692" i="1"/>
  <c r="D692" i="1"/>
  <c r="AN693" i="1"/>
  <c r="AM693" i="1"/>
  <c r="AO693" i="1"/>
  <c r="AP693" i="1" s="1"/>
  <c r="Z693" i="1"/>
  <c r="Y693" i="1"/>
  <c r="X693" i="1"/>
  <c r="AB693" i="1" s="1"/>
  <c r="W693" i="1"/>
  <c r="V693" i="1"/>
  <c r="U693" i="1"/>
  <c r="AA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AE693" i="1" s="1"/>
  <c r="G693" i="1" a="1"/>
  <c r="G693" i="1" s="1"/>
  <c r="F693" i="1"/>
  <c r="H693" i="1" s="1"/>
  <c r="E693" i="1"/>
  <c r="D693" i="1"/>
  <c r="AO694" i="1"/>
  <c r="AN694" i="1"/>
  <c r="AM694" i="1"/>
  <c r="AA694" i="1"/>
  <c r="Z694" i="1"/>
  <c r="Y694" i="1"/>
  <c r="AC694" i="1" s="1"/>
  <c r="W694" i="1"/>
  <c r="V694" i="1"/>
  <c r="U694" i="1"/>
  <c r="X694" i="1"/>
  <c r="AB694" i="1" s="1"/>
  <c r="T694" i="1"/>
  <c r="S694" i="1"/>
  <c r="R694" i="1"/>
  <c r="Q694" i="1"/>
  <c r="P694" i="1"/>
  <c r="O694" i="1"/>
  <c r="M694" i="1"/>
  <c r="L694" i="1"/>
  <c r="N694" i="1"/>
  <c r="K694" i="1"/>
  <c r="J694" i="1"/>
  <c r="I694" i="1"/>
  <c r="AE694" i="1" s="1"/>
  <c r="G694" i="1" a="1"/>
  <c r="G694" i="1" s="1"/>
  <c r="F694" i="1"/>
  <c r="H694" i="1" s="1"/>
  <c r="E694" i="1"/>
  <c r="D694" i="1"/>
  <c r="AM695" i="1"/>
  <c r="AO695" i="1"/>
  <c r="AP695" i="1" s="1"/>
  <c r="AN695" i="1"/>
  <c r="Z695" i="1"/>
  <c r="Y695" i="1"/>
  <c r="AA695" i="1"/>
  <c r="X695" i="1"/>
  <c r="AB695" i="1" s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AE695" i="1" s="1"/>
  <c r="G695" i="1" a="1"/>
  <c r="G695" i="1" s="1"/>
  <c r="F695" i="1"/>
  <c r="H695" i="1" s="1"/>
  <c r="E695" i="1"/>
  <c r="D695" i="1"/>
  <c r="AO696" i="1"/>
  <c r="AM696" i="1"/>
  <c r="AN696" i="1"/>
  <c r="AA696" i="1"/>
  <c r="Z696" i="1"/>
  <c r="Y696" i="1"/>
  <c r="AC696" i="1" s="1"/>
  <c r="W696" i="1"/>
  <c r="V696" i="1"/>
  <c r="U696" i="1"/>
  <c r="X696" i="1"/>
  <c r="AB696" i="1" s="1"/>
  <c r="T696" i="1"/>
  <c r="S696" i="1"/>
  <c r="R696" i="1"/>
  <c r="Q696" i="1"/>
  <c r="P696" i="1"/>
  <c r="O696" i="1"/>
  <c r="M696" i="1"/>
  <c r="L696" i="1"/>
  <c r="N696" i="1"/>
  <c r="K696" i="1"/>
  <c r="J696" i="1"/>
  <c r="I696" i="1"/>
  <c r="AE696" i="1" s="1"/>
  <c r="G696" i="1" a="1"/>
  <c r="G696" i="1" s="1"/>
  <c r="F696" i="1"/>
  <c r="H696" i="1" s="1"/>
  <c r="E696" i="1"/>
  <c r="D696" i="1"/>
  <c r="AM697" i="1"/>
  <c r="AO697" i="1"/>
  <c r="AP697" i="1" s="1"/>
  <c r="AN697" i="1"/>
  <c r="Z697" i="1"/>
  <c r="Y697" i="1"/>
  <c r="X697" i="1"/>
  <c r="AB697" i="1" s="1"/>
  <c r="W697" i="1"/>
  <c r="V697" i="1"/>
  <c r="U697" i="1"/>
  <c r="AA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AE697" i="1" s="1"/>
  <c r="G697" i="1" a="1"/>
  <c r="G697" i="1" s="1"/>
  <c r="F697" i="1"/>
  <c r="H697" i="1" s="1"/>
  <c r="E697" i="1"/>
  <c r="D697" i="1"/>
  <c r="AO698" i="1"/>
  <c r="AM698" i="1"/>
  <c r="AN698" i="1"/>
  <c r="Z698" i="1"/>
  <c r="Y698" i="1"/>
  <c r="AA698" i="1"/>
  <c r="W698" i="1"/>
  <c r="V698" i="1"/>
  <c r="U698" i="1"/>
  <c r="X698" i="1"/>
  <c r="AB698" i="1" s="1"/>
  <c r="T698" i="1"/>
  <c r="S698" i="1"/>
  <c r="R698" i="1"/>
  <c r="Q698" i="1"/>
  <c r="P698" i="1"/>
  <c r="O698" i="1"/>
  <c r="M698" i="1"/>
  <c r="L698" i="1"/>
  <c r="N698" i="1"/>
  <c r="K698" i="1"/>
  <c r="J698" i="1"/>
  <c r="I698" i="1"/>
  <c r="AE698" i="1" s="1"/>
  <c r="G698" i="1" a="1"/>
  <c r="G698" i="1" s="1"/>
  <c r="F698" i="1"/>
  <c r="H698" i="1" s="1"/>
  <c r="E698" i="1"/>
  <c r="D698" i="1"/>
  <c r="AM699" i="1"/>
  <c r="AO699" i="1"/>
  <c r="AP699" i="1" s="1"/>
  <c r="AN699" i="1"/>
  <c r="AA699" i="1"/>
  <c r="Z699" i="1"/>
  <c r="Y699" i="1"/>
  <c r="AC699" i="1" s="1"/>
  <c r="X699" i="1"/>
  <c r="AB699" i="1" s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AE699" i="1" s="1"/>
  <c r="G699" i="1" a="1"/>
  <c r="G699" i="1" s="1"/>
  <c r="F699" i="1"/>
  <c r="H699" i="1" s="1"/>
  <c r="E699" i="1"/>
  <c r="D699" i="1"/>
  <c r="AO700" i="1"/>
  <c r="AM700" i="1"/>
  <c r="AN700" i="1"/>
  <c r="Z700" i="1"/>
  <c r="Y700" i="1"/>
  <c r="W700" i="1"/>
  <c r="V700" i="1"/>
  <c r="U700" i="1"/>
  <c r="AA700" i="1"/>
  <c r="X700" i="1"/>
  <c r="AB700" i="1" s="1"/>
  <c r="T700" i="1"/>
  <c r="S700" i="1"/>
  <c r="R700" i="1"/>
  <c r="Q700" i="1"/>
  <c r="P700" i="1"/>
  <c r="O700" i="1"/>
  <c r="M700" i="1"/>
  <c r="L700" i="1"/>
  <c r="N700" i="1"/>
  <c r="K700" i="1"/>
  <c r="J700" i="1"/>
  <c r="I700" i="1"/>
  <c r="AE700" i="1" s="1"/>
  <c r="G700" i="1" a="1"/>
  <c r="G700" i="1" s="1"/>
  <c r="F700" i="1"/>
  <c r="H700" i="1" s="1"/>
  <c r="E700" i="1"/>
  <c r="D700" i="1"/>
  <c r="AM701" i="1"/>
  <c r="AO701" i="1"/>
  <c r="AP701" i="1" s="1"/>
  <c r="AN701" i="1"/>
  <c r="Z701" i="1"/>
  <c r="Y701" i="1"/>
  <c r="AA701" i="1"/>
  <c r="X701" i="1"/>
  <c r="AB701" i="1" s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AE701" i="1" s="1"/>
  <c r="G701" i="1" a="1"/>
  <c r="G701" i="1" s="1"/>
  <c r="F701" i="1"/>
  <c r="H701" i="1" s="1"/>
  <c r="E701" i="1"/>
  <c r="D701" i="1"/>
  <c r="AO702" i="1"/>
  <c r="AM702" i="1"/>
  <c r="AN702" i="1"/>
  <c r="AA702" i="1"/>
  <c r="Z702" i="1"/>
  <c r="Y702" i="1"/>
  <c r="AC702" i="1" s="1"/>
  <c r="W702" i="1"/>
  <c r="V702" i="1"/>
  <c r="U702" i="1"/>
  <c r="X702" i="1"/>
  <c r="AB702" i="1" s="1"/>
  <c r="T702" i="1"/>
  <c r="S702" i="1"/>
  <c r="R702" i="1"/>
  <c r="Q702" i="1"/>
  <c r="P702" i="1"/>
  <c r="O702" i="1"/>
  <c r="M702" i="1"/>
  <c r="L702" i="1"/>
  <c r="N702" i="1"/>
  <c r="K702" i="1"/>
  <c r="J702" i="1"/>
  <c r="I702" i="1"/>
  <c r="AE702" i="1" s="1"/>
  <c r="G702" i="1" a="1"/>
  <c r="G702" i="1" s="1"/>
  <c r="F702" i="1"/>
  <c r="H702" i="1" s="1"/>
  <c r="E702" i="1"/>
  <c r="D702" i="1"/>
  <c r="AM703" i="1"/>
  <c r="AO703" i="1"/>
  <c r="AP703" i="1" s="1"/>
  <c r="AN703" i="1"/>
  <c r="Z703" i="1"/>
  <c r="Y703" i="1"/>
  <c r="X703" i="1"/>
  <c r="AB703" i="1" s="1"/>
  <c r="W703" i="1"/>
  <c r="V703" i="1"/>
  <c r="U703" i="1"/>
  <c r="AA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AE703" i="1" s="1"/>
  <c r="G703" i="1" a="1"/>
  <c r="G703" i="1" s="1"/>
  <c r="F703" i="1"/>
  <c r="H703" i="1" s="1"/>
  <c r="E703" i="1"/>
  <c r="D703" i="1"/>
  <c r="AO704" i="1"/>
  <c r="AM704" i="1"/>
  <c r="AN704" i="1"/>
  <c r="Z704" i="1"/>
  <c r="Y704" i="1"/>
  <c r="AA704" i="1"/>
  <c r="W704" i="1"/>
  <c r="V704" i="1"/>
  <c r="U704" i="1"/>
  <c r="X704" i="1"/>
  <c r="AB704" i="1" s="1"/>
  <c r="T704" i="1"/>
  <c r="S704" i="1"/>
  <c r="R704" i="1"/>
  <c r="Q704" i="1"/>
  <c r="P704" i="1"/>
  <c r="O704" i="1"/>
  <c r="M704" i="1"/>
  <c r="L704" i="1"/>
  <c r="N704" i="1"/>
  <c r="K704" i="1"/>
  <c r="J704" i="1"/>
  <c r="I704" i="1"/>
  <c r="AE704" i="1" s="1"/>
  <c r="G704" i="1" a="1"/>
  <c r="G704" i="1" s="1"/>
  <c r="F704" i="1"/>
  <c r="H704" i="1" s="1"/>
  <c r="E704" i="1"/>
  <c r="D704" i="1"/>
  <c r="AN705" i="1"/>
  <c r="AM705" i="1"/>
  <c r="AO705" i="1"/>
  <c r="AP705" i="1" s="1"/>
  <c r="AA705" i="1"/>
  <c r="Z705" i="1"/>
  <c r="Y705" i="1"/>
  <c r="AC705" i="1" s="1"/>
  <c r="X705" i="1"/>
  <c r="AB705" i="1" s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AE705" i="1" s="1"/>
  <c r="G705" i="1" a="1"/>
  <c r="G705" i="1" s="1"/>
  <c r="F705" i="1"/>
  <c r="H705" i="1" s="1"/>
  <c r="E705" i="1"/>
  <c r="D705" i="1"/>
  <c r="AO706" i="1"/>
  <c r="AM706" i="1"/>
  <c r="AN706" i="1"/>
  <c r="Z706" i="1"/>
  <c r="Y706" i="1"/>
  <c r="W706" i="1"/>
  <c r="V706" i="1"/>
  <c r="U706" i="1"/>
  <c r="AA706" i="1"/>
  <c r="X706" i="1"/>
  <c r="AB706" i="1" s="1"/>
  <c r="T706" i="1"/>
  <c r="S706" i="1"/>
  <c r="R706" i="1"/>
  <c r="Q706" i="1"/>
  <c r="P706" i="1"/>
  <c r="O706" i="1"/>
  <c r="M706" i="1"/>
  <c r="L706" i="1"/>
  <c r="N706" i="1"/>
  <c r="K706" i="1"/>
  <c r="J706" i="1"/>
  <c r="I706" i="1"/>
  <c r="AE706" i="1" s="1"/>
  <c r="G706" i="1" a="1"/>
  <c r="G706" i="1" s="1"/>
  <c r="F706" i="1"/>
  <c r="H706" i="1" s="1"/>
  <c r="E706" i="1"/>
  <c r="D706" i="1"/>
  <c r="AM707" i="1"/>
  <c r="AO707" i="1"/>
  <c r="AP707" i="1" s="1"/>
  <c r="AN707" i="1"/>
  <c r="Z707" i="1"/>
  <c r="Y707" i="1"/>
  <c r="AA707" i="1"/>
  <c r="X707" i="1"/>
  <c r="AB707" i="1" s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AE707" i="1" s="1"/>
  <c r="G707" i="1" a="1"/>
  <c r="G707" i="1" s="1"/>
  <c r="F707" i="1"/>
  <c r="H707" i="1" s="1"/>
  <c r="E707" i="1"/>
  <c r="D707" i="1"/>
  <c r="AO708" i="1"/>
  <c r="AN708" i="1"/>
  <c r="AM708" i="1"/>
  <c r="AA708" i="1"/>
  <c r="Z708" i="1"/>
  <c r="Y708" i="1"/>
  <c r="AC708" i="1" s="1"/>
  <c r="W708" i="1"/>
  <c r="V708" i="1"/>
  <c r="U708" i="1"/>
  <c r="X708" i="1"/>
  <c r="AB708" i="1" s="1"/>
  <c r="T708" i="1"/>
  <c r="S708" i="1"/>
  <c r="R708" i="1"/>
  <c r="Q708" i="1"/>
  <c r="P708" i="1"/>
  <c r="O708" i="1"/>
  <c r="M708" i="1"/>
  <c r="L708" i="1"/>
  <c r="N708" i="1"/>
  <c r="K708" i="1"/>
  <c r="J708" i="1"/>
  <c r="I708" i="1"/>
  <c r="AE708" i="1" s="1"/>
  <c r="G708" i="1" a="1"/>
  <c r="G708" i="1" s="1"/>
  <c r="F708" i="1"/>
  <c r="H708" i="1" s="1"/>
  <c r="E708" i="1"/>
  <c r="D708" i="1"/>
  <c r="AM709" i="1"/>
  <c r="AO709" i="1"/>
  <c r="AP709" i="1" s="1"/>
  <c r="AN709" i="1"/>
  <c r="Z709" i="1"/>
  <c r="Y709" i="1"/>
  <c r="X709" i="1"/>
  <c r="AB709" i="1" s="1"/>
  <c r="W709" i="1"/>
  <c r="V709" i="1"/>
  <c r="U709" i="1"/>
  <c r="AA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AE709" i="1" s="1"/>
  <c r="G709" i="1" a="1"/>
  <c r="G709" i="1" s="1"/>
  <c r="F709" i="1"/>
  <c r="H709" i="1" s="1"/>
  <c r="E709" i="1"/>
  <c r="D709" i="1"/>
  <c r="AO710" i="1"/>
  <c r="AN710" i="1"/>
  <c r="AM710" i="1"/>
  <c r="Z710" i="1"/>
  <c r="Y710" i="1"/>
  <c r="X710" i="1"/>
  <c r="AB710" i="1" s="1"/>
  <c r="AA710" i="1"/>
  <c r="W710" i="1"/>
  <c r="V710" i="1"/>
  <c r="U710" i="1"/>
  <c r="T710" i="1"/>
  <c r="S710" i="1"/>
  <c r="R710" i="1"/>
  <c r="Q710" i="1"/>
  <c r="P710" i="1"/>
  <c r="O710" i="1"/>
  <c r="M710" i="1"/>
  <c r="L710" i="1"/>
  <c r="N710" i="1"/>
  <c r="K710" i="1"/>
  <c r="J710" i="1"/>
  <c r="I710" i="1"/>
  <c r="AE710" i="1" s="1"/>
  <c r="G710" i="1" a="1"/>
  <c r="G710" i="1" s="1"/>
  <c r="F710" i="1"/>
  <c r="H710" i="1" s="1"/>
  <c r="E710" i="1"/>
  <c r="D710" i="1"/>
  <c r="AM711" i="1"/>
  <c r="AO711" i="1"/>
  <c r="AP711" i="1" s="1"/>
  <c r="AN711" i="1"/>
  <c r="AA711" i="1"/>
  <c r="Z711" i="1"/>
  <c r="Y711" i="1"/>
  <c r="AC711" i="1" s="1"/>
  <c r="X711" i="1"/>
  <c r="AB711" i="1" s="1"/>
  <c r="W711" i="1"/>
  <c r="V711" i="1"/>
  <c r="U711" i="1"/>
  <c r="T711" i="1"/>
  <c r="S711" i="1"/>
  <c r="R711" i="1"/>
  <c r="Q711" i="1"/>
  <c r="P711" i="1"/>
  <c r="O711" i="1"/>
  <c r="M711" i="1"/>
  <c r="L711" i="1"/>
  <c r="N711" i="1"/>
  <c r="K711" i="1"/>
  <c r="J711" i="1"/>
  <c r="I711" i="1"/>
  <c r="AE711" i="1" s="1"/>
  <c r="G711" i="1" a="1"/>
  <c r="G711" i="1" s="1"/>
  <c r="F711" i="1"/>
  <c r="H711" i="1" s="1"/>
  <c r="E711" i="1"/>
  <c r="D711" i="1"/>
  <c r="AO712" i="1"/>
  <c r="AN712" i="1"/>
  <c r="AM712" i="1"/>
  <c r="Z712" i="1"/>
  <c r="Y712" i="1"/>
  <c r="X712" i="1"/>
  <c r="AB712" i="1" s="1"/>
  <c r="W712" i="1"/>
  <c r="V712" i="1"/>
  <c r="U712" i="1"/>
  <c r="AA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AE712" i="1" s="1"/>
  <c r="G712" i="1" a="1"/>
  <c r="G712" i="1" s="1"/>
  <c r="F712" i="1"/>
  <c r="E712" i="1"/>
  <c r="D712" i="1"/>
  <c r="AM713" i="1"/>
  <c r="AO713" i="1"/>
  <c r="AP713" i="1" s="1"/>
  <c r="AN713" i="1"/>
  <c r="Z713" i="1"/>
  <c r="Y713" i="1"/>
  <c r="X713" i="1"/>
  <c r="AB713" i="1" s="1"/>
  <c r="AA713" i="1"/>
  <c r="W713" i="1"/>
  <c r="V713" i="1"/>
  <c r="U713" i="1"/>
  <c r="T713" i="1"/>
  <c r="S713" i="1"/>
  <c r="R713" i="1"/>
  <c r="Q713" i="1"/>
  <c r="P713" i="1"/>
  <c r="O713" i="1"/>
  <c r="M713" i="1"/>
  <c r="L713" i="1"/>
  <c r="N713" i="1"/>
  <c r="K713" i="1"/>
  <c r="J713" i="1"/>
  <c r="I713" i="1"/>
  <c r="AE713" i="1" s="1"/>
  <c r="G713" i="1" a="1"/>
  <c r="G713" i="1" s="1"/>
  <c r="F713" i="1"/>
  <c r="E713" i="1"/>
  <c r="D713" i="1"/>
  <c r="AO714" i="1"/>
  <c r="AN714" i="1"/>
  <c r="AM714" i="1"/>
  <c r="AA714" i="1"/>
  <c r="Z714" i="1"/>
  <c r="Y714" i="1"/>
  <c r="AC714" i="1" s="1"/>
  <c r="X714" i="1"/>
  <c r="AB714" i="1" s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AE714" i="1" s="1"/>
  <c r="G714" i="1" a="1"/>
  <c r="G714" i="1" s="1"/>
  <c r="F714" i="1"/>
  <c r="E714" i="1"/>
  <c r="D714" i="1"/>
  <c r="AM715" i="1"/>
  <c r="AO715" i="1"/>
  <c r="AP715" i="1" s="1"/>
  <c r="AN715" i="1"/>
  <c r="Z715" i="1"/>
  <c r="Y715" i="1"/>
  <c r="X715" i="1"/>
  <c r="AB715" i="1" s="1"/>
  <c r="W715" i="1"/>
  <c r="V715" i="1"/>
  <c r="U715" i="1"/>
  <c r="AA715" i="1"/>
  <c r="T715" i="1"/>
  <c r="S715" i="1"/>
  <c r="R715" i="1"/>
  <c r="Q715" i="1"/>
  <c r="P715" i="1"/>
  <c r="O715" i="1"/>
  <c r="M715" i="1"/>
  <c r="L715" i="1"/>
  <c r="N715" i="1"/>
  <c r="K715" i="1"/>
  <c r="J715" i="1"/>
  <c r="I715" i="1"/>
  <c r="AE715" i="1" s="1"/>
  <c r="G715" i="1" a="1"/>
  <c r="G715" i="1" s="1"/>
  <c r="F715" i="1"/>
  <c r="E715" i="1"/>
  <c r="D715" i="1"/>
  <c r="AO716" i="1"/>
  <c r="AN716" i="1"/>
  <c r="AM716" i="1"/>
  <c r="Z716" i="1"/>
  <c r="Y716" i="1"/>
  <c r="X716" i="1"/>
  <c r="AB716" i="1" s="1"/>
  <c r="AA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AE716" i="1" s="1"/>
  <c r="G716" i="1" a="1"/>
  <c r="G716" i="1" s="1"/>
  <c r="F716" i="1"/>
  <c r="E716" i="1"/>
  <c r="D716" i="1"/>
  <c r="AM717" i="1"/>
  <c r="AO717" i="1"/>
  <c r="AP717" i="1" s="1"/>
  <c r="AN717" i="1"/>
  <c r="AA717" i="1"/>
  <c r="Z717" i="1"/>
  <c r="Y717" i="1"/>
  <c r="AC717" i="1" s="1"/>
  <c r="X717" i="1"/>
  <c r="AB717" i="1" s="1"/>
  <c r="W717" i="1"/>
  <c r="V717" i="1"/>
  <c r="U717" i="1"/>
  <c r="T717" i="1"/>
  <c r="S717" i="1"/>
  <c r="R717" i="1"/>
  <c r="Q717" i="1"/>
  <c r="P717" i="1"/>
  <c r="O717" i="1"/>
  <c r="M717" i="1"/>
  <c r="L717" i="1"/>
  <c r="N717" i="1"/>
  <c r="K717" i="1"/>
  <c r="J717" i="1"/>
  <c r="I717" i="1"/>
  <c r="AE717" i="1" s="1"/>
  <c r="G717" i="1" a="1"/>
  <c r="G717" i="1" s="1"/>
  <c r="F717" i="1"/>
  <c r="E717" i="1"/>
  <c r="D717" i="1"/>
  <c r="AO718" i="1"/>
  <c r="AN718" i="1"/>
  <c r="AM718" i="1"/>
  <c r="Z718" i="1"/>
  <c r="Y718" i="1"/>
  <c r="X718" i="1"/>
  <c r="AB718" i="1" s="1"/>
  <c r="W718" i="1"/>
  <c r="V718" i="1"/>
  <c r="U718" i="1"/>
  <c r="AA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AE718" i="1" s="1"/>
  <c r="G718" i="1" a="1"/>
  <c r="G718" i="1" s="1"/>
  <c r="F718" i="1"/>
  <c r="E718" i="1"/>
  <c r="D718" i="1"/>
  <c r="AM719" i="1"/>
  <c r="AO719" i="1"/>
  <c r="AP719" i="1" s="1"/>
  <c r="AN719" i="1"/>
  <c r="AA719" i="1"/>
  <c r="Z719" i="1"/>
  <c r="Y719" i="1"/>
  <c r="AC719" i="1" s="1"/>
  <c r="X719" i="1"/>
  <c r="W719" i="1"/>
  <c r="V719" i="1"/>
  <c r="U719" i="1"/>
  <c r="T719" i="1"/>
  <c r="S719" i="1"/>
  <c r="R719" i="1"/>
  <c r="Q719" i="1"/>
  <c r="P719" i="1"/>
  <c r="O719" i="1"/>
  <c r="M719" i="1"/>
  <c r="L719" i="1"/>
  <c r="N719" i="1"/>
  <c r="K719" i="1"/>
  <c r="J719" i="1"/>
  <c r="I719" i="1"/>
  <c r="G719" i="1" a="1"/>
  <c r="G719" i="1" s="1"/>
  <c r="F719" i="1"/>
  <c r="E719" i="1"/>
  <c r="D719" i="1"/>
  <c r="AO720" i="1"/>
  <c r="AN720" i="1"/>
  <c r="AM720" i="1"/>
  <c r="Z720" i="1"/>
  <c r="Y720" i="1"/>
  <c r="X720" i="1"/>
  <c r="AB720" i="1" s="1"/>
  <c r="AA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G720" i="1" a="1"/>
  <c r="G720" i="1" s="1"/>
  <c r="F720" i="1"/>
  <c r="H720" i="1" s="1"/>
  <c r="E720" i="1"/>
  <c r="D720" i="1"/>
  <c r="AM721" i="1"/>
  <c r="AO721" i="1"/>
  <c r="AP721" i="1" s="1"/>
  <c r="AN721" i="1"/>
  <c r="Z721" i="1"/>
  <c r="Y721" i="1"/>
  <c r="X721" i="1"/>
  <c r="AB721" i="1" s="1"/>
  <c r="W721" i="1"/>
  <c r="V721" i="1"/>
  <c r="U721" i="1"/>
  <c r="AA721" i="1"/>
  <c r="T721" i="1"/>
  <c r="S721" i="1"/>
  <c r="R721" i="1"/>
  <c r="Q721" i="1"/>
  <c r="P721" i="1"/>
  <c r="O721" i="1"/>
  <c r="M721" i="1"/>
  <c r="L721" i="1"/>
  <c r="N721" i="1"/>
  <c r="K721" i="1"/>
  <c r="J721" i="1"/>
  <c r="I721" i="1"/>
  <c r="AE721" i="1" s="1"/>
  <c r="G721" i="1" a="1"/>
  <c r="G721" i="1" s="1"/>
  <c r="F721" i="1"/>
  <c r="H721" i="1" s="1"/>
  <c r="E721" i="1"/>
  <c r="D721" i="1"/>
  <c r="AO722" i="1"/>
  <c r="AN722" i="1"/>
  <c r="AM722" i="1"/>
  <c r="AA722" i="1"/>
  <c r="Z722" i="1"/>
  <c r="Y722" i="1"/>
  <c r="AC722" i="1" s="1"/>
  <c r="X722" i="1"/>
  <c r="AB722" i="1" s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AE722" i="1" s="1"/>
  <c r="G722" i="1" a="1"/>
  <c r="G722" i="1" s="1"/>
  <c r="F722" i="1"/>
  <c r="H722" i="1" s="1"/>
  <c r="E722" i="1"/>
  <c r="D722" i="1"/>
  <c r="AM723" i="1"/>
  <c r="AO723" i="1"/>
  <c r="AP723" i="1" s="1"/>
  <c r="AN723" i="1"/>
  <c r="Z723" i="1"/>
  <c r="Y723" i="1"/>
  <c r="X723" i="1"/>
  <c r="AB723" i="1" s="1"/>
  <c r="AA723" i="1"/>
  <c r="W723" i="1"/>
  <c r="V723" i="1"/>
  <c r="U723" i="1"/>
  <c r="T723" i="1"/>
  <c r="S723" i="1"/>
  <c r="R723" i="1"/>
  <c r="Q723" i="1"/>
  <c r="P723" i="1"/>
  <c r="O723" i="1"/>
  <c r="M723" i="1"/>
  <c r="L723" i="1"/>
  <c r="N723" i="1"/>
  <c r="K723" i="1"/>
  <c r="J723" i="1"/>
  <c r="I723" i="1"/>
  <c r="AE723" i="1" s="1"/>
  <c r="G723" i="1" a="1"/>
  <c r="G723" i="1" s="1"/>
  <c r="F723" i="1"/>
  <c r="H723" i="1" s="1"/>
  <c r="E723" i="1"/>
  <c r="D723" i="1"/>
  <c r="AO724" i="1"/>
  <c r="AN724" i="1"/>
  <c r="AM724" i="1"/>
  <c r="Z724" i="1"/>
  <c r="Y724" i="1"/>
  <c r="X724" i="1"/>
  <c r="AB724" i="1" s="1"/>
  <c r="W724" i="1"/>
  <c r="V724" i="1"/>
  <c r="U724" i="1"/>
  <c r="AA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AE724" i="1" s="1"/>
  <c r="G724" i="1" a="1"/>
  <c r="G724" i="1" s="1"/>
  <c r="F724" i="1"/>
  <c r="H724" i="1" s="1"/>
  <c r="E724" i="1"/>
  <c r="D724" i="1"/>
  <c r="AM725" i="1"/>
  <c r="AO725" i="1"/>
  <c r="AP725" i="1" s="1"/>
  <c r="AN725" i="1"/>
  <c r="AA725" i="1"/>
  <c r="Z725" i="1"/>
  <c r="Y725" i="1"/>
  <c r="AC725" i="1" s="1"/>
  <c r="X725" i="1"/>
  <c r="AB725" i="1" s="1"/>
  <c r="W725" i="1"/>
  <c r="V725" i="1"/>
  <c r="U725" i="1"/>
  <c r="T725" i="1"/>
  <c r="S725" i="1"/>
  <c r="R725" i="1"/>
  <c r="Q725" i="1"/>
  <c r="P725" i="1"/>
  <c r="O725" i="1"/>
  <c r="M725" i="1"/>
  <c r="L725" i="1"/>
  <c r="N725" i="1"/>
  <c r="K725" i="1"/>
  <c r="J725" i="1"/>
  <c r="I725" i="1"/>
  <c r="AE725" i="1" s="1"/>
  <c r="G725" i="1" a="1"/>
  <c r="G725" i="1" s="1"/>
  <c r="F725" i="1"/>
  <c r="H725" i="1" s="1"/>
  <c r="E725" i="1"/>
  <c r="D725" i="1"/>
  <c r="AO726" i="1"/>
  <c r="AN726" i="1"/>
  <c r="AM726" i="1"/>
  <c r="Z726" i="1"/>
  <c r="Y726" i="1"/>
  <c r="X726" i="1"/>
  <c r="AB726" i="1" s="1"/>
  <c r="AA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AE726" i="1" s="1"/>
  <c r="G726" i="1" a="1"/>
  <c r="G726" i="1" s="1"/>
  <c r="F726" i="1"/>
  <c r="H726" i="1" s="1"/>
  <c r="E726" i="1"/>
  <c r="D726" i="1"/>
  <c r="AM727" i="1"/>
  <c r="AO727" i="1"/>
  <c r="AP727" i="1" s="1"/>
  <c r="AN727" i="1"/>
  <c r="Z727" i="1"/>
  <c r="Y727" i="1"/>
  <c r="X727" i="1"/>
  <c r="AB727" i="1" s="1"/>
  <c r="W727" i="1"/>
  <c r="V727" i="1"/>
  <c r="U727" i="1"/>
  <c r="AA727" i="1"/>
  <c r="T727" i="1"/>
  <c r="S727" i="1"/>
  <c r="R727" i="1"/>
  <c r="Q727" i="1"/>
  <c r="P727" i="1"/>
  <c r="O727" i="1"/>
  <c r="M727" i="1"/>
  <c r="L727" i="1"/>
  <c r="N727" i="1"/>
  <c r="K727" i="1"/>
  <c r="J727" i="1"/>
  <c r="I727" i="1"/>
  <c r="AE727" i="1" s="1"/>
  <c r="G727" i="1" a="1"/>
  <c r="G727" i="1" s="1"/>
  <c r="F727" i="1"/>
  <c r="H727" i="1" s="1"/>
  <c r="E727" i="1"/>
  <c r="D727" i="1"/>
  <c r="AO728" i="1"/>
  <c r="AN728" i="1"/>
  <c r="AM728" i="1"/>
  <c r="AA728" i="1"/>
  <c r="Z728" i="1"/>
  <c r="Y728" i="1"/>
  <c r="AC728" i="1" s="1"/>
  <c r="X728" i="1"/>
  <c r="AB728" i="1" s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AE728" i="1" s="1"/>
  <c r="G728" i="1" a="1"/>
  <c r="G728" i="1" s="1"/>
  <c r="F728" i="1"/>
  <c r="H728" i="1" s="1"/>
  <c r="E728" i="1"/>
  <c r="D728" i="1"/>
  <c r="AM729" i="1"/>
  <c r="AO729" i="1"/>
  <c r="AP729" i="1" s="1"/>
  <c r="AN729" i="1"/>
  <c r="Z729" i="1"/>
  <c r="Y729" i="1"/>
  <c r="X729" i="1"/>
  <c r="AB729" i="1" s="1"/>
  <c r="AA729" i="1"/>
  <c r="W729" i="1"/>
  <c r="V729" i="1"/>
  <c r="U729" i="1"/>
  <c r="T729" i="1"/>
  <c r="S729" i="1"/>
  <c r="R729" i="1"/>
  <c r="Q729" i="1"/>
  <c r="P729" i="1"/>
  <c r="O729" i="1"/>
  <c r="M729" i="1"/>
  <c r="L729" i="1"/>
  <c r="N729" i="1"/>
  <c r="K729" i="1"/>
  <c r="J729" i="1"/>
  <c r="I729" i="1"/>
  <c r="AE729" i="1" s="1"/>
  <c r="G729" i="1" a="1"/>
  <c r="G729" i="1" s="1"/>
  <c r="F729" i="1"/>
  <c r="H729" i="1" s="1"/>
  <c r="E729" i="1"/>
  <c r="D729" i="1"/>
  <c r="AO730" i="1"/>
  <c r="AN730" i="1"/>
  <c r="AM730" i="1"/>
  <c r="Z730" i="1"/>
  <c r="Y730" i="1"/>
  <c r="X730" i="1"/>
  <c r="AB730" i="1" s="1"/>
  <c r="W730" i="1"/>
  <c r="V730" i="1"/>
  <c r="U730" i="1"/>
  <c r="AA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AE730" i="1" s="1"/>
  <c r="G730" i="1" a="1"/>
  <c r="G730" i="1" s="1"/>
  <c r="F730" i="1"/>
  <c r="H730" i="1" s="1"/>
  <c r="E730" i="1"/>
  <c r="D730" i="1"/>
  <c r="AM731" i="1"/>
  <c r="AO731" i="1"/>
  <c r="AP731" i="1" s="1"/>
  <c r="AN731" i="1"/>
  <c r="AA731" i="1"/>
  <c r="Z731" i="1"/>
  <c r="Y731" i="1"/>
  <c r="AC731" i="1" s="1"/>
  <c r="X731" i="1"/>
  <c r="AB731" i="1" s="1"/>
  <c r="W731" i="1"/>
  <c r="V731" i="1"/>
  <c r="U731" i="1"/>
  <c r="T731" i="1"/>
  <c r="S731" i="1"/>
  <c r="R731" i="1"/>
  <c r="Q731" i="1"/>
  <c r="P731" i="1"/>
  <c r="O731" i="1"/>
  <c r="M731" i="1"/>
  <c r="L731" i="1"/>
  <c r="N731" i="1"/>
  <c r="K731" i="1"/>
  <c r="J731" i="1"/>
  <c r="I731" i="1"/>
  <c r="AE731" i="1" s="1"/>
  <c r="G731" i="1" a="1"/>
  <c r="G731" i="1" s="1"/>
  <c r="F731" i="1"/>
  <c r="H731" i="1" s="1"/>
  <c r="E731" i="1"/>
  <c r="D731" i="1"/>
  <c r="AO732" i="1"/>
  <c r="AN732" i="1"/>
  <c r="AM732" i="1"/>
  <c r="Z732" i="1"/>
  <c r="Y732" i="1"/>
  <c r="X732" i="1"/>
  <c r="AB732" i="1" s="1"/>
  <c r="AA732" i="1"/>
  <c r="W732" i="1"/>
  <c r="V732" i="1"/>
  <c r="U732" i="1"/>
  <c r="T732" i="1"/>
  <c r="S732" i="1"/>
  <c r="R732" i="1"/>
  <c r="Q732" i="1"/>
  <c r="P732" i="1"/>
  <c r="O732" i="1"/>
  <c r="M732" i="1"/>
  <c r="L732" i="1"/>
  <c r="N732" i="1"/>
  <c r="K732" i="1"/>
  <c r="J732" i="1"/>
  <c r="I732" i="1"/>
  <c r="AE732" i="1" s="1"/>
  <c r="G732" i="1" a="1"/>
  <c r="G732" i="1" s="1"/>
  <c r="F732" i="1"/>
  <c r="H732" i="1" s="1"/>
  <c r="E732" i="1"/>
  <c r="D732" i="1"/>
  <c r="AM733" i="1"/>
  <c r="AO733" i="1"/>
  <c r="AP733" i="1" s="1"/>
  <c r="AN733" i="1"/>
  <c r="Z733" i="1"/>
  <c r="Y733" i="1"/>
  <c r="X733" i="1"/>
  <c r="AB733" i="1" s="1"/>
  <c r="W733" i="1"/>
  <c r="V733" i="1"/>
  <c r="U733" i="1"/>
  <c r="AA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AE733" i="1" s="1"/>
  <c r="G733" i="1" a="1"/>
  <c r="G733" i="1" s="1"/>
  <c r="F733" i="1"/>
  <c r="H733" i="1" s="1"/>
  <c r="E733" i="1"/>
  <c r="D733" i="1"/>
  <c r="AO734" i="1"/>
  <c r="AN734" i="1"/>
  <c r="AM734" i="1"/>
  <c r="AA734" i="1"/>
  <c r="Z734" i="1"/>
  <c r="Y734" i="1"/>
  <c r="AC734" i="1" s="1"/>
  <c r="X734" i="1"/>
  <c r="AB734" i="1" s="1"/>
  <c r="W734" i="1"/>
  <c r="V734" i="1"/>
  <c r="U734" i="1"/>
  <c r="T734" i="1"/>
  <c r="S734" i="1"/>
  <c r="R734" i="1"/>
  <c r="Q734" i="1"/>
  <c r="P734" i="1"/>
  <c r="O734" i="1"/>
  <c r="M734" i="1"/>
  <c r="L734" i="1"/>
  <c r="N734" i="1"/>
  <c r="K734" i="1"/>
  <c r="J734" i="1"/>
  <c r="I734" i="1"/>
  <c r="AE734" i="1" s="1"/>
  <c r="G734" i="1" a="1"/>
  <c r="G734" i="1" s="1"/>
  <c r="F734" i="1"/>
  <c r="E734" i="1"/>
  <c r="D734" i="1"/>
  <c r="AM735" i="1"/>
  <c r="AO735" i="1"/>
  <c r="AP735" i="1" s="1"/>
  <c r="AN735" i="1"/>
  <c r="Z735" i="1"/>
  <c r="Y735" i="1"/>
  <c r="X735" i="1"/>
  <c r="AB735" i="1" s="1"/>
  <c r="AA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AE735" i="1" s="1"/>
  <c r="G735" i="1" a="1"/>
  <c r="G735" i="1" s="1"/>
  <c r="F735" i="1"/>
  <c r="E735" i="1"/>
  <c r="D735" i="1"/>
  <c r="AO736" i="1"/>
  <c r="AN736" i="1"/>
  <c r="AM736" i="1"/>
  <c r="Z736" i="1"/>
  <c r="Y736" i="1"/>
  <c r="X736" i="1"/>
  <c r="AB736" i="1" s="1"/>
  <c r="W736" i="1"/>
  <c r="V736" i="1"/>
  <c r="U736" i="1"/>
  <c r="AA736" i="1"/>
  <c r="T736" i="1"/>
  <c r="S736" i="1"/>
  <c r="R736" i="1"/>
  <c r="Q736" i="1"/>
  <c r="P736" i="1"/>
  <c r="O736" i="1"/>
  <c r="M736" i="1"/>
  <c r="L736" i="1"/>
  <c r="N736" i="1"/>
  <c r="K736" i="1"/>
  <c r="J736" i="1"/>
  <c r="I736" i="1"/>
  <c r="AE736" i="1" s="1"/>
  <c r="G736" i="1" a="1"/>
  <c r="G736" i="1" s="1"/>
  <c r="F736" i="1"/>
  <c r="E736" i="1"/>
  <c r="D736" i="1"/>
  <c r="AN737" i="1"/>
  <c r="AM737" i="1"/>
  <c r="AO737" i="1"/>
  <c r="AP737" i="1" s="1"/>
  <c r="AA737" i="1"/>
  <c r="Z737" i="1"/>
  <c r="Y737" i="1"/>
  <c r="AC737" i="1" s="1"/>
  <c r="X737" i="1"/>
  <c r="AB737" i="1" s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AE737" i="1" s="1"/>
  <c r="G737" i="1" a="1"/>
  <c r="G737" i="1" s="1"/>
  <c r="F737" i="1"/>
  <c r="E737" i="1"/>
  <c r="D737" i="1"/>
  <c r="AO738" i="1"/>
  <c r="AM738" i="1"/>
  <c r="AN738" i="1"/>
  <c r="Z738" i="1"/>
  <c r="Y738" i="1"/>
  <c r="X738" i="1"/>
  <c r="AB738" i="1" s="1"/>
  <c r="AA738" i="1"/>
  <c r="W738" i="1"/>
  <c r="V738" i="1"/>
  <c r="U738" i="1"/>
  <c r="T738" i="1"/>
  <c r="S738" i="1"/>
  <c r="R738" i="1"/>
  <c r="Q738" i="1"/>
  <c r="P738" i="1"/>
  <c r="O738" i="1"/>
  <c r="M738" i="1"/>
  <c r="L738" i="1"/>
  <c r="N738" i="1"/>
  <c r="K738" i="1"/>
  <c r="J738" i="1"/>
  <c r="I738" i="1"/>
  <c r="AE738" i="1" s="1"/>
  <c r="G738" i="1" a="1"/>
  <c r="G738" i="1" s="1"/>
  <c r="F738" i="1"/>
  <c r="E738" i="1"/>
  <c r="D738" i="1"/>
  <c r="AN739" i="1"/>
  <c r="AM739" i="1"/>
  <c r="AO739" i="1"/>
  <c r="AP739" i="1" s="1"/>
  <c r="Z739" i="1"/>
  <c r="Y739" i="1"/>
  <c r="X739" i="1"/>
  <c r="W739" i="1"/>
  <c r="V739" i="1"/>
  <c r="U739" i="1"/>
  <c r="AA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G739" i="1" a="1"/>
  <c r="G739" i="1" s="1"/>
  <c r="F739" i="1"/>
  <c r="E739" i="1"/>
  <c r="D739" i="1"/>
  <c r="AO740" i="1"/>
  <c r="AM740" i="1"/>
  <c r="AN740" i="1"/>
  <c r="AA740" i="1"/>
  <c r="Z740" i="1"/>
  <c r="Y740" i="1"/>
  <c r="AC740" i="1" s="1"/>
  <c r="X740" i="1"/>
  <c r="AB740" i="1" s="1"/>
  <c r="W740" i="1"/>
  <c r="V740" i="1"/>
  <c r="U740" i="1"/>
  <c r="T740" i="1"/>
  <c r="S740" i="1"/>
  <c r="R740" i="1"/>
  <c r="Q740" i="1"/>
  <c r="P740" i="1"/>
  <c r="O740" i="1"/>
  <c r="M740" i="1"/>
  <c r="L740" i="1"/>
  <c r="N740" i="1"/>
  <c r="K740" i="1"/>
  <c r="J740" i="1"/>
  <c r="I740" i="1"/>
  <c r="AE740" i="1" s="1"/>
  <c r="G740" i="1" a="1"/>
  <c r="G740" i="1" s="1"/>
  <c r="F740" i="1"/>
  <c r="E740" i="1"/>
  <c r="D740" i="1"/>
  <c r="AN741" i="1"/>
  <c r="AM741" i="1"/>
  <c r="AO741" i="1"/>
  <c r="AP741" i="1" s="1"/>
  <c r="Z741" i="1"/>
  <c r="Y741" i="1"/>
  <c r="X741" i="1"/>
  <c r="AB741" i="1" s="1"/>
  <c r="AA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AE741" i="1" s="1"/>
  <c r="G741" i="1" a="1"/>
  <c r="G741" i="1" s="1"/>
  <c r="F741" i="1"/>
  <c r="E741" i="1"/>
  <c r="D741" i="1"/>
  <c r="AO742" i="1"/>
  <c r="AM742" i="1"/>
  <c r="AN742" i="1"/>
  <c r="Z742" i="1"/>
  <c r="Y742" i="1"/>
  <c r="X742" i="1"/>
  <c r="AB742" i="1" s="1"/>
  <c r="W742" i="1"/>
  <c r="V742" i="1"/>
  <c r="U742" i="1"/>
  <c r="AA742" i="1"/>
  <c r="T742" i="1"/>
  <c r="S742" i="1"/>
  <c r="R742" i="1"/>
  <c r="Q742" i="1"/>
  <c r="P742" i="1"/>
  <c r="O742" i="1"/>
  <c r="M742" i="1"/>
  <c r="L742" i="1"/>
  <c r="N742" i="1"/>
  <c r="K742" i="1"/>
  <c r="J742" i="1"/>
  <c r="I742" i="1"/>
  <c r="AE742" i="1" s="1"/>
  <c r="G742" i="1" a="1"/>
  <c r="G742" i="1" s="1"/>
  <c r="F742" i="1"/>
  <c r="E742" i="1"/>
  <c r="D742" i="1"/>
  <c r="AN743" i="1"/>
  <c r="AM743" i="1"/>
  <c r="AO743" i="1"/>
  <c r="AP743" i="1" s="1"/>
  <c r="AA743" i="1"/>
  <c r="Z743" i="1"/>
  <c r="Y743" i="1"/>
  <c r="X743" i="1"/>
  <c r="AB743" i="1" s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AE743" i="1" s="1"/>
  <c r="G743" i="1" a="1"/>
  <c r="G743" i="1" s="1"/>
  <c r="F743" i="1"/>
  <c r="E743" i="1"/>
  <c r="D743" i="1"/>
  <c r="AO744" i="1"/>
  <c r="AM744" i="1"/>
  <c r="AN744" i="1"/>
  <c r="Z744" i="1"/>
  <c r="Y744" i="1"/>
  <c r="X744" i="1"/>
  <c r="AB744" i="1" s="1"/>
  <c r="AA744" i="1"/>
  <c r="W744" i="1"/>
  <c r="V744" i="1"/>
  <c r="U744" i="1"/>
  <c r="T744" i="1"/>
  <c r="S744" i="1"/>
  <c r="R744" i="1"/>
  <c r="Q744" i="1"/>
  <c r="P744" i="1"/>
  <c r="O744" i="1"/>
  <c r="M744" i="1"/>
  <c r="L744" i="1"/>
  <c r="N744" i="1"/>
  <c r="K744" i="1"/>
  <c r="J744" i="1"/>
  <c r="I744" i="1"/>
  <c r="AE744" i="1" s="1"/>
  <c r="G744" i="1" a="1"/>
  <c r="G744" i="1" s="1"/>
  <c r="F744" i="1"/>
  <c r="E744" i="1"/>
  <c r="D744" i="1"/>
  <c r="AN745" i="1"/>
  <c r="AM745" i="1"/>
  <c r="AO745" i="1"/>
  <c r="AP745" i="1" s="1"/>
  <c r="Z745" i="1"/>
  <c r="Y745" i="1"/>
  <c r="X745" i="1"/>
  <c r="AB745" i="1" s="1"/>
  <c r="W745" i="1"/>
  <c r="V745" i="1"/>
  <c r="U745" i="1"/>
  <c r="AA745" i="1"/>
  <c r="T745" i="1"/>
  <c r="S745" i="1"/>
  <c r="R745" i="1"/>
  <c r="Q745" i="1"/>
  <c r="P745" i="1"/>
  <c r="O745" i="1"/>
  <c r="M745" i="1"/>
  <c r="L745" i="1"/>
  <c r="N745" i="1"/>
  <c r="K745" i="1"/>
  <c r="J745" i="1"/>
  <c r="I745" i="1"/>
  <c r="AE745" i="1" s="1"/>
  <c r="G745" i="1" a="1"/>
  <c r="G745" i="1" s="1"/>
  <c r="F745" i="1"/>
  <c r="E745" i="1"/>
  <c r="D745" i="1"/>
  <c r="AO746" i="1"/>
  <c r="AM746" i="1"/>
  <c r="AN746" i="1"/>
  <c r="AA746" i="1"/>
  <c r="Z746" i="1"/>
  <c r="Y746" i="1"/>
  <c r="AC746" i="1" s="1"/>
  <c r="X746" i="1"/>
  <c r="AB746" i="1" s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G746" i="1" a="1"/>
  <c r="G746" i="1" s="1"/>
  <c r="F746" i="1"/>
  <c r="E746" i="1"/>
  <c r="D746" i="1"/>
  <c r="AN747" i="1"/>
  <c r="AM747" i="1"/>
  <c r="AO747" i="1"/>
  <c r="AP747" i="1" s="1"/>
  <c r="Z747" i="1"/>
  <c r="Y747" i="1"/>
  <c r="X747" i="1"/>
  <c r="AB747" i="1" s="1"/>
  <c r="AA747" i="1"/>
  <c r="W747" i="1"/>
  <c r="V747" i="1"/>
  <c r="U747" i="1"/>
  <c r="T747" i="1"/>
  <c r="S747" i="1"/>
  <c r="R747" i="1"/>
  <c r="Q747" i="1"/>
  <c r="P747" i="1"/>
  <c r="O747" i="1"/>
  <c r="M747" i="1"/>
  <c r="L747" i="1"/>
  <c r="N747" i="1"/>
  <c r="K747" i="1"/>
  <c r="J747" i="1"/>
  <c r="I747" i="1"/>
  <c r="AE747" i="1" s="1"/>
  <c r="G747" i="1" a="1"/>
  <c r="G747" i="1" s="1"/>
  <c r="F747" i="1"/>
  <c r="E747" i="1"/>
  <c r="D747" i="1"/>
  <c r="AO748" i="1"/>
  <c r="AM748" i="1"/>
  <c r="AN748" i="1"/>
  <c r="Z748" i="1"/>
  <c r="Y748" i="1"/>
  <c r="X748" i="1"/>
  <c r="AB748" i="1" s="1"/>
  <c r="W748" i="1"/>
  <c r="V748" i="1"/>
  <c r="U748" i="1"/>
  <c r="AA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AE748" i="1" s="1"/>
  <c r="G748" i="1" a="1"/>
  <c r="G748" i="1" s="1"/>
  <c r="F748" i="1"/>
  <c r="E748" i="1"/>
  <c r="D748" i="1"/>
  <c r="AN749" i="1"/>
  <c r="AM749" i="1"/>
  <c r="AO749" i="1"/>
  <c r="AP749" i="1" s="1"/>
  <c r="AA749" i="1"/>
  <c r="Z749" i="1"/>
  <c r="Y749" i="1"/>
  <c r="AC749" i="1" s="1"/>
  <c r="X749" i="1"/>
  <c r="AB749" i="1" s="1"/>
  <c r="W749" i="1"/>
  <c r="V749" i="1"/>
  <c r="U749" i="1"/>
  <c r="T749" i="1"/>
  <c r="S749" i="1"/>
  <c r="R749" i="1"/>
  <c r="Q749" i="1"/>
  <c r="P749" i="1"/>
  <c r="O749" i="1"/>
  <c r="M749" i="1"/>
  <c r="L749" i="1"/>
  <c r="N749" i="1"/>
  <c r="K749" i="1"/>
  <c r="J749" i="1"/>
  <c r="I749" i="1"/>
  <c r="AE749" i="1" s="1"/>
  <c r="G749" i="1" a="1"/>
  <c r="G749" i="1" s="1"/>
  <c r="F749" i="1"/>
  <c r="E749" i="1"/>
  <c r="D749" i="1"/>
  <c r="AO750" i="1"/>
  <c r="AM750" i="1"/>
  <c r="AN750" i="1"/>
  <c r="Z750" i="1"/>
  <c r="Y750" i="1"/>
  <c r="X750" i="1"/>
  <c r="AB750" i="1" s="1"/>
  <c r="AA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AE750" i="1" s="1"/>
  <c r="G750" i="1" a="1"/>
  <c r="G750" i="1" s="1"/>
  <c r="F750" i="1"/>
  <c r="E750" i="1"/>
  <c r="D750" i="1"/>
  <c r="AN751" i="1"/>
  <c r="AM751" i="1"/>
  <c r="AO751" i="1"/>
  <c r="Z751" i="1"/>
  <c r="Y751" i="1"/>
  <c r="X751" i="1"/>
  <c r="AB751" i="1" s="1"/>
  <c r="W751" i="1"/>
  <c r="V751" i="1"/>
  <c r="U751" i="1"/>
  <c r="AA751" i="1"/>
  <c r="T751" i="1"/>
  <c r="S751" i="1"/>
  <c r="R751" i="1"/>
  <c r="Q751" i="1"/>
  <c r="P751" i="1"/>
  <c r="O751" i="1"/>
  <c r="M751" i="1"/>
  <c r="L751" i="1"/>
  <c r="N751" i="1"/>
  <c r="K751" i="1"/>
  <c r="J751" i="1"/>
  <c r="I751" i="1"/>
  <c r="AE751" i="1" s="1"/>
  <c r="G751" i="1" a="1"/>
  <c r="G751" i="1" s="1"/>
  <c r="F751" i="1"/>
  <c r="E751" i="1"/>
  <c r="D751" i="1"/>
  <c r="AO752" i="1"/>
  <c r="AM752" i="1"/>
  <c r="AN752" i="1"/>
  <c r="AA752" i="1"/>
  <c r="Z752" i="1"/>
  <c r="Y752" i="1"/>
  <c r="AC752" i="1" s="1"/>
  <c r="X752" i="1"/>
  <c r="AB752" i="1" s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AE752" i="1" s="1"/>
  <c r="G752" i="1" a="1"/>
  <c r="G752" i="1" s="1"/>
  <c r="F752" i="1"/>
  <c r="E752" i="1"/>
  <c r="D752" i="1"/>
  <c r="AN753" i="1"/>
  <c r="AM753" i="1"/>
  <c r="AO753" i="1"/>
  <c r="Z753" i="1"/>
  <c r="Y753" i="1"/>
  <c r="X753" i="1"/>
  <c r="AB753" i="1" s="1"/>
  <c r="AA753" i="1"/>
  <c r="W753" i="1"/>
  <c r="V753" i="1"/>
  <c r="U753" i="1"/>
  <c r="T753" i="1"/>
  <c r="S753" i="1"/>
  <c r="R753" i="1"/>
  <c r="Q753" i="1"/>
  <c r="P753" i="1"/>
  <c r="O753" i="1"/>
  <c r="M753" i="1"/>
  <c r="L753" i="1"/>
  <c r="N753" i="1"/>
  <c r="K753" i="1"/>
  <c r="J753" i="1"/>
  <c r="I753" i="1"/>
  <c r="G753" i="1" a="1"/>
  <c r="G753" i="1" s="1"/>
  <c r="F753" i="1"/>
  <c r="E753" i="1"/>
  <c r="D753" i="1"/>
  <c r="AO754" i="1"/>
  <c r="AM754" i="1"/>
  <c r="AN754" i="1"/>
  <c r="Z754" i="1"/>
  <c r="Y754" i="1"/>
  <c r="X754" i="1"/>
  <c r="AB754" i="1" s="1"/>
  <c r="W754" i="1"/>
  <c r="V754" i="1"/>
  <c r="U754" i="1"/>
  <c r="AA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G754" i="1" a="1"/>
  <c r="G754" i="1" s="1"/>
  <c r="F754" i="1"/>
  <c r="E754" i="1"/>
  <c r="D754" i="1"/>
  <c r="AN755" i="1"/>
  <c r="AM755" i="1"/>
  <c r="AO755" i="1"/>
  <c r="AP755" i="1" s="1"/>
  <c r="AA755" i="1"/>
  <c r="Z755" i="1"/>
  <c r="Y755" i="1"/>
  <c r="X755" i="1"/>
  <c r="AB755" i="1" s="1"/>
  <c r="W755" i="1"/>
  <c r="V755" i="1"/>
  <c r="U755" i="1"/>
  <c r="T755" i="1"/>
  <c r="S755" i="1"/>
  <c r="R755" i="1"/>
  <c r="Q755" i="1"/>
  <c r="P755" i="1"/>
  <c r="O755" i="1"/>
  <c r="M755" i="1"/>
  <c r="L755" i="1"/>
  <c r="N755" i="1"/>
  <c r="K755" i="1"/>
  <c r="J755" i="1"/>
  <c r="I755" i="1"/>
  <c r="G755" i="1" a="1"/>
  <c r="G755" i="1" s="1"/>
  <c r="F755" i="1"/>
  <c r="E755" i="1"/>
  <c r="D755" i="1"/>
  <c r="AO756" i="1"/>
  <c r="AM756" i="1"/>
  <c r="AN756" i="1"/>
  <c r="Z756" i="1"/>
  <c r="Y756" i="1"/>
  <c r="X756" i="1"/>
  <c r="AB756" i="1" s="1"/>
  <c r="AA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AE756" i="1" s="1"/>
  <c r="G756" i="1" a="1"/>
  <c r="G756" i="1" s="1"/>
  <c r="F756" i="1"/>
  <c r="H756" i="1" s="1"/>
  <c r="E756" i="1"/>
  <c r="D756" i="1"/>
  <c r="AN757" i="1"/>
  <c r="AM757" i="1"/>
  <c r="AO757" i="1"/>
  <c r="AP757" i="1" s="1"/>
  <c r="Z757" i="1"/>
  <c r="Y757" i="1"/>
  <c r="X757" i="1"/>
  <c r="AB757" i="1" s="1"/>
  <c r="W757" i="1"/>
  <c r="V757" i="1"/>
  <c r="U757" i="1"/>
  <c r="AA757" i="1"/>
  <c r="T757" i="1"/>
  <c r="S757" i="1"/>
  <c r="R757" i="1"/>
  <c r="Q757" i="1"/>
  <c r="P757" i="1"/>
  <c r="O757" i="1"/>
  <c r="M757" i="1"/>
  <c r="L757" i="1"/>
  <c r="N757" i="1"/>
  <c r="K757" i="1"/>
  <c r="J757" i="1"/>
  <c r="I757" i="1"/>
  <c r="AE757" i="1" s="1"/>
  <c r="G757" i="1" a="1"/>
  <c r="G757" i="1" s="1"/>
  <c r="F757" i="1"/>
  <c r="H757" i="1" s="1"/>
  <c r="E757" i="1"/>
  <c r="D757" i="1"/>
  <c r="AO758" i="1"/>
  <c r="AM758" i="1"/>
  <c r="AN758" i="1"/>
  <c r="AA758" i="1"/>
  <c r="Z758" i="1"/>
  <c r="Y758" i="1"/>
  <c r="AC758" i="1" s="1"/>
  <c r="X758" i="1"/>
  <c r="AB758" i="1" s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AE758" i="1" s="1"/>
  <c r="G758" i="1" a="1"/>
  <c r="G758" i="1" s="1"/>
  <c r="F758" i="1"/>
  <c r="H758" i="1" s="1"/>
  <c r="E758" i="1"/>
  <c r="D758" i="1"/>
  <c r="AM759" i="1"/>
  <c r="AO759" i="1"/>
  <c r="AP759" i="1" s="1"/>
  <c r="AN759" i="1"/>
  <c r="Z759" i="1"/>
  <c r="Y759" i="1"/>
  <c r="X759" i="1"/>
  <c r="AB759" i="1" s="1"/>
  <c r="AA759" i="1"/>
  <c r="W759" i="1"/>
  <c r="V759" i="1"/>
  <c r="U759" i="1"/>
  <c r="T759" i="1"/>
  <c r="S759" i="1"/>
  <c r="R759" i="1"/>
  <c r="Q759" i="1"/>
  <c r="P759" i="1"/>
  <c r="O759" i="1"/>
  <c r="M759" i="1"/>
  <c r="L759" i="1"/>
  <c r="N759" i="1"/>
  <c r="K759" i="1"/>
  <c r="J759" i="1"/>
  <c r="I759" i="1"/>
  <c r="AE759" i="1" s="1"/>
  <c r="G759" i="1" a="1"/>
  <c r="G759" i="1" s="1"/>
  <c r="F759" i="1"/>
  <c r="H759" i="1" s="1"/>
  <c r="E759" i="1"/>
  <c r="D759" i="1"/>
  <c r="AO760" i="1"/>
  <c r="AN760" i="1"/>
  <c r="AM760" i="1"/>
  <c r="Z760" i="1"/>
  <c r="Y760" i="1"/>
  <c r="X760" i="1"/>
  <c r="AB760" i="1" s="1"/>
  <c r="W760" i="1"/>
  <c r="V760" i="1"/>
  <c r="U760" i="1"/>
  <c r="AA760" i="1"/>
  <c r="T760" i="1"/>
  <c r="S760" i="1"/>
  <c r="R760" i="1"/>
  <c r="Q760" i="1"/>
  <c r="P760" i="1"/>
  <c r="O760" i="1"/>
  <c r="M760" i="1"/>
  <c r="L760" i="1"/>
  <c r="N760" i="1"/>
  <c r="K760" i="1"/>
  <c r="J760" i="1"/>
  <c r="I760" i="1"/>
  <c r="AE760" i="1" s="1"/>
  <c r="G760" i="1" a="1"/>
  <c r="G760" i="1" s="1"/>
  <c r="F760" i="1"/>
  <c r="H760" i="1" s="1"/>
  <c r="E760" i="1"/>
  <c r="D760" i="1"/>
  <c r="AM761" i="1"/>
  <c r="AO761" i="1"/>
  <c r="AP761" i="1" s="1"/>
  <c r="AN761" i="1"/>
  <c r="AA761" i="1"/>
  <c r="Z761" i="1"/>
  <c r="Y761" i="1"/>
  <c r="AC761" i="1" s="1"/>
  <c r="X761" i="1"/>
  <c r="AB761" i="1" s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AE761" i="1" s="1"/>
  <c r="G761" i="1" a="1"/>
  <c r="G761" i="1" s="1"/>
  <c r="F761" i="1"/>
  <c r="H761" i="1" s="1"/>
  <c r="E761" i="1"/>
  <c r="D761" i="1"/>
  <c r="AO762" i="1"/>
  <c r="AN762" i="1"/>
  <c r="AM762" i="1"/>
  <c r="Z762" i="1"/>
  <c r="Y762" i="1"/>
  <c r="X762" i="1"/>
  <c r="AB762" i="1" s="1"/>
  <c r="AA762" i="1"/>
  <c r="W762" i="1"/>
  <c r="V762" i="1"/>
  <c r="U762" i="1"/>
  <c r="T762" i="1"/>
  <c r="S762" i="1"/>
  <c r="R762" i="1"/>
  <c r="Q762" i="1"/>
  <c r="P762" i="1"/>
  <c r="O762" i="1"/>
  <c r="M762" i="1"/>
  <c r="L762" i="1"/>
  <c r="N762" i="1"/>
  <c r="K762" i="1"/>
  <c r="J762" i="1"/>
  <c r="I762" i="1"/>
  <c r="AE762" i="1" s="1"/>
  <c r="G762" i="1" a="1"/>
  <c r="G762" i="1" s="1"/>
  <c r="F762" i="1"/>
  <c r="H762" i="1" s="1"/>
  <c r="E762" i="1"/>
  <c r="D762" i="1"/>
  <c r="AM763" i="1"/>
  <c r="AO763" i="1"/>
  <c r="AP763" i="1" s="1"/>
  <c r="AN763" i="1"/>
  <c r="Z763" i="1"/>
  <c r="Y763" i="1"/>
  <c r="X763" i="1"/>
  <c r="AB763" i="1" s="1"/>
  <c r="W763" i="1"/>
  <c r="V763" i="1"/>
  <c r="U763" i="1"/>
  <c r="AA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AE763" i="1" s="1"/>
  <c r="G763" i="1" a="1"/>
  <c r="G763" i="1" s="1"/>
  <c r="F763" i="1"/>
  <c r="H763" i="1" s="1"/>
  <c r="E763" i="1"/>
  <c r="D763" i="1"/>
  <c r="AO764" i="1"/>
  <c r="AN764" i="1"/>
  <c r="AM764" i="1"/>
  <c r="AA764" i="1"/>
  <c r="Z764" i="1"/>
  <c r="Y764" i="1"/>
  <c r="AC764" i="1" s="1"/>
  <c r="X764" i="1"/>
  <c r="AB764" i="1" s="1"/>
  <c r="W764" i="1"/>
  <c r="V764" i="1"/>
  <c r="U764" i="1"/>
  <c r="T764" i="1"/>
  <c r="S764" i="1"/>
  <c r="R764" i="1"/>
  <c r="Q764" i="1"/>
  <c r="P764" i="1"/>
  <c r="O764" i="1"/>
  <c r="M764" i="1"/>
  <c r="L764" i="1"/>
  <c r="N764" i="1"/>
  <c r="K764" i="1"/>
  <c r="J764" i="1"/>
  <c r="I764" i="1"/>
  <c r="AE764" i="1" s="1"/>
  <c r="G764" i="1" a="1"/>
  <c r="G764" i="1" s="1"/>
  <c r="F764" i="1"/>
  <c r="H764" i="1" s="1"/>
  <c r="E764" i="1"/>
  <c r="D764" i="1"/>
  <c r="AM765" i="1"/>
  <c r="AO765" i="1"/>
  <c r="AP765" i="1" s="1"/>
  <c r="AN765" i="1"/>
  <c r="Z765" i="1"/>
  <c r="Y765" i="1"/>
  <c r="X765" i="1"/>
  <c r="AB765" i="1" s="1"/>
  <c r="AA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AE765" i="1" s="1"/>
  <c r="G765" i="1" a="1"/>
  <c r="G765" i="1" s="1"/>
  <c r="F765" i="1"/>
  <c r="H765" i="1" s="1"/>
  <c r="E765" i="1"/>
  <c r="D765" i="1"/>
  <c r="AO766" i="1"/>
  <c r="AN766" i="1"/>
  <c r="AM766" i="1"/>
  <c r="Z766" i="1"/>
  <c r="Y766" i="1"/>
  <c r="X766" i="1"/>
  <c r="AB766" i="1" s="1"/>
  <c r="W766" i="1"/>
  <c r="V766" i="1"/>
  <c r="U766" i="1"/>
  <c r="AA766" i="1"/>
  <c r="T766" i="1"/>
  <c r="S766" i="1"/>
  <c r="R766" i="1"/>
  <c r="Q766" i="1"/>
  <c r="P766" i="1"/>
  <c r="O766" i="1"/>
  <c r="M766" i="1"/>
  <c r="L766" i="1"/>
  <c r="N766" i="1"/>
  <c r="K766" i="1"/>
  <c r="J766" i="1"/>
  <c r="I766" i="1"/>
  <c r="AE766" i="1" s="1"/>
  <c r="G766" i="1" a="1"/>
  <c r="G766" i="1" s="1"/>
  <c r="F766" i="1"/>
  <c r="H766" i="1" s="1"/>
  <c r="E766" i="1"/>
  <c r="D766" i="1"/>
  <c r="AM767" i="1"/>
  <c r="AO767" i="1"/>
  <c r="AP767" i="1" s="1"/>
  <c r="AN767" i="1"/>
  <c r="AA767" i="1"/>
  <c r="Z767" i="1"/>
  <c r="Y767" i="1"/>
  <c r="AC767" i="1" s="1"/>
  <c r="X767" i="1"/>
  <c r="AB767" i="1" s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AE767" i="1" s="1"/>
  <c r="G767" i="1" a="1"/>
  <c r="G767" i="1" s="1"/>
  <c r="F767" i="1"/>
  <c r="H767" i="1" s="1"/>
  <c r="E767" i="1"/>
  <c r="D767" i="1"/>
  <c r="AO768" i="1"/>
  <c r="AN768" i="1"/>
  <c r="AM768" i="1"/>
  <c r="Z768" i="1"/>
  <c r="Y768" i="1"/>
  <c r="X768" i="1"/>
  <c r="AB768" i="1" s="1"/>
  <c r="AA768" i="1"/>
  <c r="W768" i="1"/>
  <c r="V768" i="1"/>
  <c r="U768" i="1"/>
  <c r="T768" i="1"/>
  <c r="S768" i="1"/>
  <c r="R768" i="1"/>
  <c r="Q768" i="1"/>
  <c r="P768" i="1"/>
  <c r="O768" i="1"/>
  <c r="M768" i="1"/>
  <c r="L768" i="1"/>
  <c r="N768" i="1"/>
  <c r="K768" i="1"/>
  <c r="J768" i="1"/>
  <c r="I768" i="1"/>
  <c r="AE768" i="1" s="1"/>
  <c r="G768" i="1" a="1"/>
  <c r="G768" i="1" s="1"/>
  <c r="F768" i="1"/>
  <c r="H768" i="1" s="1"/>
  <c r="E768" i="1"/>
  <c r="D768" i="1"/>
  <c r="AM769" i="1"/>
  <c r="AO769" i="1"/>
  <c r="AP769" i="1" s="1"/>
  <c r="AN769" i="1"/>
  <c r="AA769" i="1"/>
  <c r="Z769" i="1"/>
  <c r="Y769" i="1"/>
  <c r="AC769" i="1" s="1"/>
  <c r="X769" i="1"/>
  <c r="AB769" i="1" s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AE769" i="1" s="1"/>
  <c r="G769" i="1" a="1"/>
  <c r="G769" i="1" s="1"/>
  <c r="F769" i="1"/>
  <c r="H769" i="1" s="1"/>
  <c r="E769" i="1"/>
  <c r="D769" i="1"/>
  <c r="AO770" i="1"/>
  <c r="AN770" i="1"/>
  <c r="AM770" i="1"/>
  <c r="Z770" i="1"/>
  <c r="Y770" i="1"/>
  <c r="X770" i="1"/>
  <c r="AB770" i="1" s="1"/>
  <c r="W770" i="1"/>
  <c r="V770" i="1"/>
  <c r="U770" i="1"/>
  <c r="AA770" i="1"/>
  <c r="T770" i="1"/>
  <c r="S770" i="1"/>
  <c r="R770" i="1"/>
  <c r="Q770" i="1"/>
  <c r="P770" i="1"/>
  <c r="O770" i="1"/>
  <c r="M770" i="1"/>
  <c r="L770" i="1"/>
  <c r="N770" i="1"/>
  <c r="K770" i="1"/>
  <c r="J770" i="1"/>
  <c r="I770" i="1"/>
  <c r="AE770" i="1" s="1"/>
  <c r="G770" i="1" a="1"/>
  <c r="G770" i="1" s="1"/>
  <c r="F770" i="1"/>
  <c r="H770" i="1" s="1"/>
  <c r="E770" i="1"/>
  <c r="D770" i="1"/>
  <c r="AM771" i="1"/>
  <c r="AO771" i="1"/>
  <c r="AP771" i="1" s="1"/>
  <c r="AN771" i="1"/>
  <c r="Z771" i="1"/>
  <c r="Y771" i="1"/>
  <c r="X771" i="1"/>
  <c r="AB771" i="1" s="1"/>
  <c r="AA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AE771" i="1" s="1"/>
  <c r="G771" i="1" a="1"/>
  <c r="G771" i="1" s="1"/>
  <c r="F771" i="1"/>
  <c r="H771" i="1" s="1"/>
  <c r="E771" i="1"/>
  <c r="D771" i="1"/>
  <c r="AO772" i="1"/>
  <c r="AN772" i="1"/>
  <c r="AM772" i="1"/>
  <c r="AA772" i="1"/>
  <c r="Z772" i="1"/>
  <c r="Y772" i="1"/>
  <c r="AC772" i="1" s="1"/>
  <c r="X772" i="1"/>
  <c r="AB772" i="1" s="1"/>
  <c r="W772" i="1"/>
  <c r="V772" i="1"/>
  <c r="U772" i="1"/>
  <c r="T772" i="1"/>
  <c r="S772" i="1"/>
  <c r="R772" i="1"/>
  <c r="Q772" i="1"/>
  <c r="P772" i="1"/>
  <c r="O772" i="1"/>
  <c r="M772" i="1"/>
  <c r="L772" i="1"/>
  <c r="N772" i="1"/>
  <c r="K772" i="1"/>
  <c r="J772" i="1"/>
  <c r="I772" i="1"/>
  <c r="AE772" i="1" s="1"/>
  <c r="G772" i="1" a="1"/>
  <c r="G772" i="1" s="1"/>
  <c r="F772" i="1"/>
  <c r="H772" i="1" s="1"/>
  <c r="E772" i="1"/>
  <c r="D772" i="1"/>
  <c r="AM773" i="1"/>
  <c r="AO773" i="1"/>
  <c r="AP773" i="1" s="1"/>
  <c r="AN773" i="1"/>
  <c r="Z773" i="1"/>
  <c r="Y773" i="1"/>
  <c r="X773" i="1"/>
  <c r="AB773" i="1" s="1"/>
  <c r="W773" i="1"/>
  <c r="V773" i="1"/>
  <c r="U773" i="1"/>
  <c r="AA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AE773" i="1" s="1"/>
  <c r="G773" i="1" a="1"/>
  <c r="G773" i="1" s="1"/>
  <c r="F773" i="1"/>
  <c r="H773" i="1" s="1"/>
  <c r="E773" i="1"/>
  <c r="D773" i="1"/>
  <c r="AO774" i="1"/>
  <c r="AN774" i="1"/>
  <c r="AM774" i="1"/>
  <c r="Z774" i="1"/>
  <c r="Y774" i="1"/>
  <c r="X774" i="1"/>
  <c r="AB774" i="1" s="1"/>
  <c r="AA774" i="1"/>
  <c r="W774" i="1"/>
  <c r="V774" i="1"/>
  <c r="U774" i="1"/>
  <c r="T774" i="1"/>
  <c r="S774" i="1"/>
  <c r="R774" i="1"/>
  <c r="Q774" i="1"/>
  <c r="P774" i="1"/>
  <c r="O774" i="1"/>
  <c r="M774" i="1"/>
  <c r="L774" i="1"/>
  <c r="N774" i="1"/>
  <c r="K774" i="1"/>
  <c r="J774" i="1"/>
  <c r="I774" i="1"/>
  <c r="AE774" i="1" s="1"/>
  <c r="G774" i="1" a="1"/>
  <c r="G774" i="1" s="1"/>
  <c r="F774" i="1"/>
  <c r="H774" i="1" s="1"/>
  <c r="E774" i="1"/>
  <c r="D774" i="1"/>
  <c r="AM775" i="1"/>
  <c r="AO775" i="1"/>
  <c r="AP775" i="1" s="1"/>
  <c r="AN775" i="1"/>
  <c r="AA775" i="1"/>
  <c r="Z775" i="1"/>
  <c r="Y775" i="1"/>
  <c r="AC775" i="1" s="1"/>
  <c r="X775" i="1"/>
  <c r="AB775" i="1" s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AE775" i="1" s="1"/>
  <c r="G775" i="1" a="1"/>
  <c r="G775" i="1" s="1"/>
  <c r="F775" i="1"/>
  <c r="H775" i="1" s="1"/>
  <c r="E775" i="1"/>
  <c r="D775" i="1"/>
  <c r="AO776" i="1"/>
  <c r="AN776" i="1"/>
  <c r="AM776" i="1"/>
  <c r="Z776" i="1"/>
  <c r="Y776" i="1"/>
  <c r="X776" i="1"/>
  <c r="AB776" i="1" s="1"/>
  <c r="W776" i="1"/>
  <c r="V776" i="1"/>
  <c r="U776" i="1"/>
  <c r="AA776" i="1"/>
  <c r="T776" i="1"/>
  <c r="S776" i="1"/>
  <c r="R776" i="1"/>
  <c r="Q776" i="1"/>
  <c r="P776" i="1"/>
  <c r="O776" i="1"/>
  <c r="M776" i="1"/>
  <c r="L776" i="1"/>
  <c r="N776" i="1"/>
  <c r="K776" i="1"/>
  <c r="J776" i="1"/>
  <c r="I776" i="1"/>
  <c r="AE776" i="1" s="1"/>
  <c r="G776" i="1" a="1"/>
  <c r="G776" i="1" s="1"/>
  <c r="F776" i="1"/>
  <c r="H776" i="1" s="1"/>
  <c r="E776" i="1"/>
  <c r="D776" i="1"/>
  <c r="AM777" i="1"/>
  <c r="AO777" i="1"/>
  <c r="AP777" i="1" s="1"/>
  <c r="AN777" i="1"/>
  <c r="Z777" i="1"/>
  <c r="Y777" i="1"/>
  <c r="X777" i="1"/>
  <c r="AB777" i="1" s="1"/>
  <c r="AA777" i="1"/>
  <c r="W777" i="1"/>
  <c r="V777" i="1"/>
  <c r="U777" i="1"/>
  <c r="T777" i="1"/>
  <c r="S777" i="1"/>
  <c r="R777" i="1"/>
  <c r="Q777" i="1"/>
  <c r="P777" i="1"/>
  <c r="O777" i="1"/>
  <c r="M777" i="1"/>
  <c r="L777" i="1"/>
  <c r="N777" i="1"/>
  <c r="K777" i="1"/>
  <c r="J777" i="1"/>
  <c r="I777" i="1"/>
  <c r="AE777" i="1" s="1"/>
  <c r="G777" i="1" a="1"/>
  <c r="G777" i="1" s="1"/>
  <c r="F777" i="1"/>
  <c r="H777" i="1" s="1"/>
  <c r="E777" i="1"/>
  <c r="D777" i="1"/>
  <c r="AO778" i="1"/>
  <c r="AN778" i="1"/>
  <c r="AM778" i="1"/>
  <c r="AA778" i="1"/>
  <c r="Z778" i="1"/>
  <c r="Y778" i="1"/>
  <c r="AC778" i="1" s="1"/>
  <c r="X778" i="1"/>
  <c r="AB778" i="1" s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AE778" i="1" s="1"/>
  <c r="G778" i="1" a="1"/>
  <c r="G778" i="1" s="1"/>
  <c r="F778" i="1"/>
  <c r="H778" i="1" s="1"/>
  <c r="E778" i="1"/>
  <c r="D778" i="1"/>
  <c r="AM779" i="1"/>
  <c r="AO779" i="1"/>
  <c r="AP779" i="1" s="1"/>
  <c r="AN779" i="1"/>
  <c r="Z779" i="1"/>
  <c r="Y779" i="1"/>
  <c r="X779" i="1"/>
  <c r="AB779" i="1" s="1"/>
  <c r="W779" i="1"/>
  <c r="V779" i="1"/>
  <c r="U779" i="1"/>
  <c r="AA779" i="1"/>
  <c r="T779" i="1"/>
  <c r="S779" i="1"/>
  <c r="R779" i="1"/>
  <c r="Q779" i="1"/>
  <c r="P779" i="1"/>
  <c r="O779" i="1"/>
  <c r="M779" i="1"/>
  <c r="L779" i="1"/>
  <c r="N779" i="1"/>
  <c r="K779" i="1"/>
  <c r="J779" i="1"/>
  <c r="I779" i="1"/>
  <c r="AE779" i="1" s="1"/>
  <c r="G779" i="1" a="1"/>
  <c r="G779" i="1" s="1"/>
  <c r="F779" i="1"/>
  <c r="H779" i="1" s="1"/>
  <c r="E779" i="1"/>
  <c r="D779" i="1"/>
  <c r="AO780" i="1"/>
  <c r="AN780" i="1"/>
  <c r="AM780" i="1"/>
  <c r="Z780" i="1"/>
  <c r="Y780" i="1"/>
  <c r="X780" i="1"/>
  <c r="AB780" i="1" s="1"/>
  <c r="AA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AE780" i="1" s="1"/>
  <c r="G780" i="1" a="1"/>
  <c r="G780" i="1" s="1"/>
  <c r="F780" i="1"/>
  <c r="E780" i="1"/>
  <c r="D780" i="1"/>
  <c r="AM781" i="1"/>
  <c r="AO781" i="1"/>
  <c r="AP781" i="1" s="1"/>
  <c r="AN781" i="1"/>
  <c r="AA781" i="1"/>
  <c r="Z781" i="1"/>
  <c r="Y781" i="1"/>
  <c r="AC781" i="1" s="1"/>
  <c r="X781" i="1"/>
  <c r="AB781" i="1" s="1"/>
  <c r="W781" i="1"/>
  <c r="V781" i="1"/>
  <c r="U781" i="1"/>
  <c r="T781" i="1"/>
  <c r="S781" i="1"/>
  <c r="R781" i="1"/>
  <c r="Q781" i="1"/>
  <c r="P781" i="1"/>
  <c r="O781" i="1"/>
  <c r="M781" i="1"/>
  <c r="L781" i="1"/>
  <c r="N781" i="1"/>
  <c r="K781" i="1"/>
  <c r="J781" i="1"/>
  <c r="I781" i="1"/>
  <c r="AE781" i="1" s="1"/>
  <c r="G781" i="1" a="1"/>
  <c r="G781" i="1" s="1"/>
  <c r="F781" i="1"/>
  <c r="E781" i="1"/>
  <c r="D781" i="1"/>
  <c r="AO782" i="1"/>
  <c r="AN782" i="1"/>
  <c r="AM782" i="1"/>
  <c r="Z782" i="1"/>
  <c r="Y782" i="1"/>
  <c r="X782" i="1"/>
  <c r="AB782" i="1" s="1"/>
  <c r="W782" i="1"/>
  <c r="V782" i="1"/>
  <c r="U782" i="1"/>
  <c r="AA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AE782" i="1" s="1"/>
  <c r="G782" i="1" a="1"/>
  <c r="G782" i="1" s="1"/>
  <c r="F782" i="1"/>
  <c r="E782" i="1"/>
  <c r="D782" i="1"/>
  <c r="AM783" i="1"/>
  <c r="AO783" i="1"/>
  <c r="AP783" i="1" s="1"/>
  <c r="AN783" i="1"/>
  <c r="Z783" i="1"/>
  <c r="Y783" i="1"/>
  <c r="X783" i="1"/>
  <c r="AB783" i="1" s="1"/>
  <c r="AA783" i="1"/>
  <c r="W783" i="1"/>
  <c r="V783" i="1"/>
  <c r="U783" i="1"/>
  <c r="T783" i="1"/>
  <c r="S783" i="1"/>
  <c r="R783" i="1"/>
  <c r="Q783" i="1"/>
  <c r="P783" i="1"/>
  <c r="O783" i="1"/>
  <c r="M783" i="1"/>
  <c r="L783" i="1"/>
  <c r="N783" i="1"/>
  <c r="K783" i="1"/>
  <c r="J783" i="1"/>
  <c r="I783" i="1"/>
  <c r="AE783" i="1" s="1"/>
  <c r="G783" i="1" a="1"/>
  <c r="G783" i="1" s="1"/>
  <c r="F783" i="1"/>
  <c r="E783" i="1"/>
  <c r="D783" i="1"/>
  <c r="AO784" i="1"/>
  <c r="AN784" i="1"/>
  <c r="AM784" i="1"/>
  <c r="AA784" i="1"/>
  <c r="Z784" i="1"/>
  <c r="Y784" i="1"/>
  <c r="AC784" i="1" s="1"/>
  <c r="X784" i="1"/>
  <c r="AB784" i="1" s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AE784" i="1" s="1"/>
  <c r="G784" i="1" a="1"/>
  <c r="G784" i="1" s="1"/>
  <c r="F784" i="1"/>
  <c r="E784" i="1"/>
  <c r="D784" i="1"/>
  <c r="AM785" i="1"/>
  <c r="AO785" i="1"/>
  <c r="AP785" i="1" s="1"/>
  <c r="AN785" i="1"/>
  <c r="Z785" i="1"/>
  <c r="Y785" i="1"/>
  <c r="X785" i="1"/>
  <c r="AB785" i="1" s="1"/>
  <c r="W785" i="1"/>
  <c r="V785" i="1"/>
  <c r="U785" i="1"/>
  <c r="AA785" i="1"/>
  <c r="T785" i="1"/>
  <c r="S785" i="1"/>
  <c r="R785" i="1"/>
  <c r="Q785" i="1"/>
  <c r="P785" i="1"/>
  <c r="O785" i="1"/>
  <c r="M785" i="1"/>
  <c r="L785" i="1"/>
  <c r="N785" i="1"/>
  <c r="K785" i="1"/>
  <c r="J785" i="1"/>
  <c r="I785" i="1"/>
  <c r="AE785" i="1" s="1"/>
  <c r="G785" i="1" a="1"/>
  <c r="G785" i="1" s="1"/>
  <c r="F785" i="1"/>
  <c r="E785" i="1"/>
  <c r="D785" i="1"/>
  <c r="AO786" i="1"/>
  <c r="AN786" i="1"/>
  <c r="AM786" i="1"/>
  <c r="AA786" i="1"/>
  <c r="Z786" i="1"/>
  <c r="Y786" i="1"/>
  <c r="AC786" i="1" s="1"/>
  <c r="X786" i="1"/>
  <c r="AB786" i="1" s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AE786" i="1" s="1"/>
  <c r="G786" i="1" a="1"/>
  <c r="G786" i="1" s="1"/>
  <c r="F786" i="1"/>
  <c r="E786" i="1"/>
  <c r="D786" i="1"/>
  <c r="AM787" i="1"/>
  <c r="AO787" i="1"/>
  <c r="AP787" i="1" s="1"/>
  <c r="AN787" i="1"/>
  <c r="Z787" i="1"/>
  <c r="Y787" i="1"/>
  <c r="X787" i="1"/>
  <c r="AA787" i="1"/>
  <c r="W787" i="1"/>
  <c r="V787" i="1"/>
  <c r="U787" i="1"/>
  <c r="T787" i="1"/>
  <c r="S787" i="1"/>
  <c r="R787" i="1"/>
  <c r="Q787" i="1"/>
  <c r="P787" i="1"/>
  <c r="O787" i="1"/>
  <c r="M787" i="1"/>
  <c r="L787" i="1"/>
  <c r="K787" i="1"/>
  <c r="N787" i="1"/>
  <c r="J787" i="1"/>
  <c r="I787" i="1"/>
  <c r="G787" i="1" a="1"/>
  <c r="G787" i="1" s="1"/>
  <c r="F787" i="1"/>
  <c r="E787" i="1"/>
  <c r="D787" i="1"/>
  <c r="AO788" i="1"/>
  <c r="AN788" i="1"/>
  <c r="AM788" i="1"/>
  <c r="Z788" i="1"/>
  <c r="Y788" i="1"/>
  <c r="X788" i="1"/>
  <c r="AB788" i="1" s="1"/>
  <c r="W788" i="1"/>
  <c r="V788" i="1"/>
  <c r="U788" i="1"/>
  <c r="AA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AE788" i="1" s="1"/>
  <c r="G788" i="1" a="1"/>
  <c r="G788" i="1" s="1"/>
  <c r="F788" i="1"/>
  <c r="E788" i="1"/>
  <c r="D788" i="1"/>
  <c r="AM789" i="1"/>
  <c r="AO789" i="1"/>
  <c r="AP789" i="1" s="1"/>
  <c r="AN789" i="1"/>
  <c r="AA789" i="1"/>
  <c r="Z789" i="1"/>
  <c r="Y789" i="1"/>
  <c r="AC789" i="1" s="1"/>
  <c r="X789" i="1"/>
  <c r="AB789" i="1" s="1"/>
  <c r="W789" i="1"/>
  <c r="V789" i="1"/>
  <c r="U789" i="1"/>
  <c r="T789" i="1"/>
  <c r="S789" i="1"/>
  <c r="R789" i="1"/>
  <c r="Q789" i="1"/>
  <c r="P789" i="1"/>
  <c r="O789" i="1"/>
  <c r="M789" i="1"/>
  <c r="L789" i="1"/>
  <c r="K789" i="1"/>
  <c r="N789" i="1"/>
  <c r="J789" i="1"/>
  <c r="I789" i="1"/>
  <c r="AE789" i="1" s="1"/>
  <c r="G789" i="1" a="1"/>
  <c r="G789" i="1" s="1"/>
  <c r="F789" i="1"/>
  <c r="H789" i="1" s="1"/>
  <c r="E789" i="1"/>
  <c r="D789" i="1"/>
  <c r="AO790" i="1"/>
  <c r="AN790" i="1"/>
  <c r="AM790" i="1"/>
  <c r="Z790" i="1"/>
  <c r="Y790" i="1"/>
  <c r="X790" i="1"/>
  <c r="AB790" i="1" s="1"/>
  <c r="AA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AE790" i="1" s="1"/>
  <c r="G790" i="1" a="1"/>
  <c r="G790" i="1" s="1"/>
  <c r="F790" i="1"/>
  <c r="H790" i="1" s="1"/>
  <c r="E790" i="1"/>
  <c r="D790" i="1"/>
  <c r="AM791" i="1"/>
  <c r="AO791" i="1"/>
  <c r="AP791" i="1" s="1"/>
  <c r="AN791" i="1"/>
  <c r="Z791" i="1"/>
  <c r="Y791" i="1"/>
  <c r="X791" i="1"/>
  <c r="AB791" i="1" s="1"/>
  <c r="W791" i="1"/>
  <c r="V791" i="1"/>
  <c r="U791" i="1"/>
  <c r="AA791" i="1"/>
  <c r="T791" i="1"/>
  <c r="S791" i="1"/>
  <c r="R791" i="1"/>
  <c r="Q791" i="1"/>
  <c r="P791" i="1"/>
  <c r="O791" i="1"/>
  <c r="M791" i="1"/>
  <c r="L791" i="1"/>
  <c r="K791" i="1"/>
  <c r="N791" i="1"/>
  <c r="J791" i="1"/>
  <c r="I791" i="1"/>
  <c r="AE791" i="1" s="1"/>
  <c r="G791" i="1" a="1"/>
  <c r="G791" i="1" s="1"/>
  <c r="F791" i="1"/>
  <c r="H791" i="1" s="1"/>
  <c r="E791" i="1"/>
  <c r="D791" i="1"/>
  <c r="AO792" i="1"/>
  <c r="AN792" i="1"/>
  <c r="AM792" i="1"/>
  <c r="AA792" i="1"/>
  <c r="Z792" i="1"/>
  <c r="Y792" i="1"/>
  <c r="AC792" i="1" s="1"/>
  <c r="X792" i="1"/>
  <c r="AB792" i="1" s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AE792" i="1" s="1"/>
  <c r="G792" i="1" a="1"/>
  <c r="G792" i="1" s="1"/>
  <c r="F792" i="1"/>
  <c r="H792" i="1" s="1"/>
  <c r="E792" i="1"/>
  <c r="D792" i="1"/>
  <c r="AM793" i="1"/>
  <c r="AO793" i="1"/>
  <c r="AP793" i="1" s="1"/>
  <c r="AN793" i="1"/>
  <c r="Z793" i="1"/>
  <c r="Y793" i="1"/>
  <c r="X793" i="1"/>
  <c r="AB793" i="1" s="1"/>
  <c r="AA793" i="1"/>
  <c r="W793" i="1"/>
  <c r="V793" i="1"/>
  <c r="U793" i="1"/>
  <c r="T793" i="1"/>
  <c r="S793" i="1"/>
  <c r="R793" i="1"/>
  <c r="Q793" i="1"/>
  <c r="P793" i="1"/>
  <c r="O793" i="1"/>
  <c r="M793" i="1"/>
  <c r="L793" i="1"/>
  <c r="K793" i="1"/>
  <c r="N793" i="1"/>
  <c r="J793" i="1"/>
  <c r="I793" i="1"/>
  <c r="AE793" i="1" s="1"/>
  <c r="G793" i="1" a="1"/>
  <c r="G793" i="1" s="1"/>
  <c r="F793" i="1"/>
  <c r="H793" i="1" s="1"/>
  <c r="E793" i="1"/>
  <c r="D793" i="1"/>
  <c r="AO794" i="1"/>
  <c r="AN794" i="1"/>
  <c r="AM794" i="1"/>
  <c r="Z794" i="1"/>
  <c r="Y794" i="1"/>
  <c r="X794" i="1"/>
  <c r="AB794" i="1" s="1"/>
  <c r="W794" i="1"/>
  <c r="V794" i="1"/>
  <c r="U794" i="1"/>
  <c r="AA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AE794" i="1" s="1"/>
  <c r="G794" i="1" a="1"/>
  <c r="G794" i="1" s="1"/>
  <c r="F794" i="1"/>
  <c r="H794" i="1" s="1"/>
  <c r="E794" i="1"/>
  <c r="D794" i="1"/>
  <c r="AM795" i="1"/>
  <c r="AO795" i="1"/>
  <c r="AP795" i="1" s="1"/>
  <c r="AN795" i="1"/>
  <c r="AA795" i="1"/>
  <c r="Z795" i="1"/>
  <c r="Y795" i="1"/>
  <c r="AC795" i="1" s="1"/>
  <c r="X795" i="1"/>
  <c r="AB795" i="1" s="1"/>
  <c r="W795" i="1"/>
  <c r="V795" i="1"/>
  <c r="U795" i="1"/>
  <c r="T795" i="1"/>
  <c r="S795" i="1"/>
  <c r="R795" i="1"/>
  <c r="Q795" i="1"/>
  <c r="P795" i="1"/>
  <c r="O795" i="1"/>
  <c r="M795" i="1"/>
  <c r="L795" i="1"/>
  <c r="K795" i="1"/>
  <c r="N795" i="1"/>
  <c r="J795" i="1"/>
  <c r="I795" i="1"/>
  <c r="AE795" i="1" s="1"/>
  <c r="G795" i="1" a="1"/>
  <c r="G795" i="1" s="1"/>
  <c r="F795" i="1"/>
  <c r="H795" i="1" s="1"/>
  <c r="E795" i="1"/>
  <c r="D795" i="1"/>
  <c r="AO796" i="1"/>
  <c r="AN796" i="1"/>
  <c r="AM796" i="1"/>
  <c r="Z796" i="1"/>
  <c r="Y796" i="1"/>
  <c r="X796" i="1"/>
  <c r="AB796" i="1" s="1"/>
  <c r="AA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AE796" i="1" s="1"/>
  <c r="G796" i="1" a="1"/>
  <c r="G796" i="1" s="1"/>
  <c r="F796" i="1"/>
  <c r="H796" i="1" s="1"/>
  <c r="E796" i="1"/>
  <c r="D796" i="1"/>
  <c r="AM797" i="1"/>
  <c r="AO797" i="1"/>
  <c r="AP797" i="1" s="1"/>
  <c r="AN797" i="1"/>
  <c r="AA797" i="1"/>
  <c r="Z797" i="1"/>
  <c r="Y797" i="1"/>
  <c r="AC797" i="1" s="1"/>
  <c r="X797" i="1"/>
  <c r="AB797" i="1" s="1"/>
  <c r="W797" i="1"/>
  <c r="V797" i="1"/>
  <c r="U797" i="1"/>
  <c r="T797" i="1"/>
  <c r="S797" i="1"/>
  <c r="R797" i="1"/>
  <c r="Q797" i="1"/>
  <c r="P797" i="1"/>
  <c r="O797" i="1"/>
  <c r="M797" i="1"/>
  <c r="L797" i="1"/>
  <c r="K797" i="1"/>
  <c r="N797" i="1"/>
  <c r="J797" i="1"/>
  <c r="I797" i="1"/>
  <c r="AE797" i="1" s="1"/>
  <c r="G797" i="1" a="1"/>
  <c r="G797" i="1" s="1"/>
  <c r="F797" i="1"/>
  <c r="H797" i="1" s="1"/>
  <c r="E797" i="1"/>
  <c r="D797" i="1"/>
  <c r="AO798" i="1"/>
  <c r="AN798" i="1"/>
  <c r="AM798" i="1"/>
  <c r="Z798" i="1"/>
  <c r="Y798" i="1"/>
  <c r="X798" i="1"/>
  <c r="AB798" i="1" s="1"/>
  <c r="W798" i="1"/>
  <c r="V798" i="1"/>
  <c r="U798" i="1"/>
  <c r="AA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AE798" i="1" s="1"/>
  <c r="G798" i="1" a="1"/>
  <c r="G798" i="1" s="1"/>
  <c r="F798" i="1"/>
  <c r="H798" i="1" s="1"/>
  <c r="E798" i="1"/>
  <c r="D798" i="1"/>
  <c r="AM799" i="1"/>
  <c r="AO799" i="1"/>
  <c r="AP799" i="1" s="1"/>
  <c r="AN799" i="1"/>
  <c r="Z799" i="1"/>
  <c r="Y799" i="1"/>
  <c r="X799" i="1"/>
  <c r="AB799" i="1" s="1"/>
  <c r="AA799" i="1"/>
  <c r="W799" i="1"/>
  <c r="V799" i="1"/>
  <c r="U799" i="1"/>
  <c r="T799" i="1"/>
  <c r="S799" i="1"/>
  <c r="R799" i="1"/>
  <c r="Q799" i="1"/>
  <c r="P799" i="1"/>
  <c r="O799" i="1"/>
  <c r="M799" i="1"/>
  <c r="L799" i="1"/>
  <c r="K799" i="1"/>
  <c r="N799" i="1"/>
  <c r="J799" i="1"/>
  <c r="I799" i="1"/>
  <c r="AE799" i="1" s="1"/>
  <c r="G799" i="1" a="1"/>
  <c r="G799" i="1" s="1"/>
  <c r="F799" i="1"/>
  <c r="H799" i="1" s="1"/>
  <c r="E799" i="1"/>
  <c r="D799" i="1"/>
  <c r="AO800" i="1"/>
  <c r="AN800" i="1"/>
  <c r="AM800" i="1"/>
  <c r="AA800" i="1"/>
  <c r="Z800" i="1"/>
  <c r="Y800" i="1"/>
  <c r="AC800" i="1" s="1"/>
  <c r="X800" i="1"/>
  <c r="AB800" i="1" s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AE800" i="1" s="1"/>
  <c r="G800" i="1" a="1"/>
  <c r="G800" i="1" s="1"/>
  <c r="F800" i="1"/>
  <c r="H800" i="1" s="1"/>
  <c r="E800" i="1"/>
  <c r="D800" i="1"/>
  <c r="AN801" i="1"/>
  <c r="AM801" i="1"/>
  <c r="AO801" i="1"/>
  <c r="AP801" i="1" s="1"/>
  <c r="Z801" i="1"/>
  <c r="Y801" i="1"/>
  <c r="X801" i="1"/>
  <c r="AB801" i="1" s="1"/>
  <c r="W801" i="1"/>
  <c r="V801" i="1"/>
  <c r="U801" i="1"/>
  <c r="AA801" i="1"/>
  <c r="T801" i="1"/>
  <c r="S801" i="1"/>
  <c r="R801" i="1"/>
  <c r="Q801" i="1"/>
  <c r="P801" i="1"/>
  <c r="O801" i="1"/>
  <c r="M801" i="1"/>
  <c r="L801" i="1"/>
  <c r="K801" i="1"/>
  <c r="N801" i="1"/>
  <c r="J801" i="1"/>
  <c r="I801" i="1"/>
  <c r="AE801" i="1" s="1"/>
  <c r="G801" i="1" a="1"/>
  <c r="G801" i="1" s="1"/>
  <c r="F801" i="1"/>
  <c r="H801" i="1" s="1"/>
  <c r="E801" i="1"/>
  <c r="D801" i="1"/>
  <c r="AO802" i="1"/>
  <c r="AM802" i="1"/>
  <c r="AN802" i="1"/>
  <c r="Z802" i="1"/>
  <c r="Y802" i="1"/>
  <c r="X802" i="1"/>
  <c r="AB802" i="1" s="1"/>
  <c r="AA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AE802" i="1" s="1"/>
  <c r="G802" i="1" a="1"/>
  <c r="G802" i="1" s="1"/>
  <c r="F802" i="1"/>
  <c r="H802" i="1" s="1"/>
  <c r="E802" i="1"/>
  <c r="D802" i="1"/>
  <c r="AM803" i="1"/>
  <c r="AO803" i="1"/>
  <c r="AP803" i="1" s="1"/>
  <c r="AN803" i="1"/>
  <c r="AA803" i="1"/>
  <c r="Z803" i="1"/>
  <c r="Y803" i="1"/>
  <c r="AC803" i="1" s="1"/>
  <c r="X803" i="1"/>
  <c r="AB803" i="1" s="1"/>
  <c r="W803" i="1"/>
  <c r="V803" i="1"/>
  <c r="U803" i="1"/>
  <c r="T803" i="1"/>
  <c r="S803" i="1"/>
  <c r="R803" i="1"/>
  <c r="Q803" i="1"/>
  <c r="P803" i="1"/>
  <c r="O803" i="1"/>
  <c r="M803" i="1"/>
  <c r="L803" i="1"/>
  <c r="K803" i="1"/>
  <c r="N803" i="1"/>
  <c r="J803" i="1"/>
  <c r="I803" i="1"/>
  <c r="AE803" i="1" s="1"/>
  <c r="G803" i="1" a="1"/>
  <c r="G803" i="1" s="1"/>
  <c r="F803" i="1"/>
  <c r="H803" i="1" s="1"/>
  <c r="E803" i="1"/>
  <c r="D803" i="1"/>
  <c r="AO804" i="1"/>
  <c r="AN804" i="1"/>
  <c r="AM804" i="1"/>
  <c r="Z804" i="1"/>
  <c r="Y804" i="1"/>
  <c r="X804" i="1"/>
  <c r="AB804" i="1" s="1"/>
  <c r="W804" i="1"/>
  <c r="V804" i="1"/>
  <c r="U804" i="1"/>
  <c r="AA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AE804" i="1" s="1"/>
  <c r="G804" i="1" a="1"/>
  <c r="G804" i="1" s="1"/>
  <c r="F804" i="1"/>
  <c r="H804" i="1" s="1"/>
  <c r="E804" i="1"/>
  <c r="D804" i="1"/>
  <c r="AN805" i="1"/>
  <c r="AM805" i="1"/>
  <c r="AO805" i="1"/>
  <c r="AP805" i="1" s="1"/>
  <c r="Z805" i="1"/>
  <c r="Y805" i="1"/>
  <c r="X805" i="1"/>
  <c r="AB805" i="1" s="1"/>
  <c r="AA805" i="1"/>
  <c r="W805" i="1"/>
  <c r="V805" i="1"/>
  <c r="U805" i="1"/>
  <c r="T805" i="1"/>
  <c r="S805" i="1"/>
  <c r="R805" i="1"/>
  <c r="Q805" i="1"/>
  <c r="P805" i="1"/>
  <c r="O805" i="1"/>
  <c r="M805" i="1"/>
  <c r="L805" i="1"/>
  <c r="K805" i="1"/>
  <c r="N805" i="1"/>
  <c r="J805" i="1"/>
  <c r="I805" i="1"/>
  <c r="AE805" i="1" s="1"/>
  <c r="G805" i="1" a="1"/>
  <c r="G805" i="1" s="1"/>
  <c r="F805" i="1"/>
  <c r="H805" i="1" s="1"/>
  <c r="E805" i="1"/>
  <c r="D805" i="1"/>
  <c r="AO806" i="1"/>
  <c r="AM806" i="1"/>
  <c r="AN806" i="1"/>
  <c r="AA806" i="1"/>
  <c r="Z806" i="1"/>
  <c r="Y806" i="1"/>
  <c r="AC806" i="1" s="1"/>
  <c r="X806" i="1"/>
  <c r="AB806" i="1" s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AE806" i="1" s="1"/>
  <c r="G806" i="1" a="1"/>
  <c r="G806" i="1" s="1"/>
  <c r="F806" i="1"/>
  <c r="H806" i="1" s="1"/>
  <c r="E806" i="1"/>
  <c r="D806" i="1"/>
  <c r="AN807" i="1"/>
  <c r="AM807" i="1"/>
  <c r="AO807" i="1"/>
  <c r="AP807" i="1" s="1"/>
  <c r="Z807" i="1"/>
  <c r="Y807" i="1"/>
  <c r="X807" i="1"/>
  <c r="AB807" i="1" s="1"/>
  <c r="W807" i="1"/>
  <c r="V807" i="1"/>
  <c r="U807" i="1"/>
  <c r="AA807" i="1"/>
  <c r="T807" i="1"/>
  <c r="S807" i="1"/>
  <c r="R807" i="1"/>
  <c r="Q807" i="1"/>
  <c r="P807" i="1"/>
  <c r="O807" i="1"/>
  <c r="M807" i="1"/>
  <c r="L807" i="1"/>
  <c r="K807" i="1"/>
  <c r="N807" i="1"/>
  <c r="J807" i="1"/>
  <c r="I807" i="1"/>
  <c r="AE807" i="1" s="1"/>
  <c r="G807" i="1" a="1"/>
  <c r="G807" i="1" s="1"/>
  <c r="F807" i="1"/>
  <c r="H807" i="1" s="1"/>
  <c r="E807" i="1"/>
  <c r="D807" i="1"/>
  <c r="AO808" i="1"/>
  <c r="AM808" i="1"/>
  <c r="AN808" i="1"/>
  <c r="Z808" i="1"/>
  <c r="Y808" i="1"/>
  <c r="X808" i="1"/>
  <c r="AB808" i="1" s="1"/>
  <c r="AA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AE808" i="1" s="1"/>
  <c r="G808" i="1" a="1"/>
  <c r="G808" i="1" s="1"/>
  <c r="F808" i="1"/>
  <c r="H808" i="1" s="1"/>
  <c r="E808" i="1"/>
  <c r="D808" i="1"/>
  <c r="AN809" i="1"/>
  <c r="AM809" i="1"/>
  <c r="AO809" i="1"/>
  <c r="AP809" i="1" s="1"/>
  <c r="AA809" i="1"/>
  <c r="Z809" i="1"/>
  <c r="Y809" i="1"/>
  <c r="AC809" i="1" s="1"/>
  <c r="X809" i="1"/>
  <c r="AB809" i="1" s="1"/>
  <c r="W809" i="1"/>
  <c r="V809" i="1"/>
  <c r="U809" i="1"/>
  <c r="T809" i="1"/>
  <c r="S809" i="1"/>
  <c r="R809" i="1"/>
  <c r="Q809" i="1"/>
  <c r="P809" i="1"/>
  <c r="O809" i="1"/>
  <c r="M809" i="1"/>
  <c r="L809" i="1"/>
  <c r="K809" i="1"/>
  <c r="N809" i="1"/>
  <c r="J809" i="1"/>
  <c r="I809" i="1"/>
  <c r="AE809" i="1" s="1"/>
  <c r="G809" i="1" a="1"/>
  <c r="G809" i="1" s="1"/>
  <c r="F809" i="1"/>
  <c r="H809" i="1" s="1"/>
  <c r="E809" i="1"/>
  <c r="D809" i="1"/>
  <c r="AO810" i="1"/>
  <c r="AM810" i="1"/>
  <c r="AN810" i="1"/>
  <c r="Z810" i="1"/>
  <c r="Y810" i="1"/>
  <c r="X810" i="1"/>
  <c r="AB810" i="1" s="1"/>
  <c r="W810" i="1"/>
  <c r="V810" i="1"/>
  <c r="U810" i="1"/>
  <c r="AA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AE810" i="1" s="1"/>
  <c r="G810" i="1" a="1"/>
  <c r="G810" i="1" s="1"/>
  <c r="F810" i="1"/>
  <c r="H810" i="1" s="1"/>
  <c r="E810" i="1"/>
  <c r="D810" i="1"/>
  <c r="AN811" i="1"/>
  <c r="AM811" i="1"/>
  <c r="AO811" i="1"/>
  <c r="AP811" i="1" s="1"/>
  <c r="Z811" i="1"/>
  <c r="Y811" i="1"/>
  <c r="X811" i="1"/>
  <c r="AB811" i="1" s="1"/>
  <c r="AA811" i="1"/>
  <c r="W811" i="1"/>
  <c r="V811" i="1"/>
  <c r="U811" i="1"/>
  <c r="T811" i="1"/>
  <c r="S811" i="1"/>
  <c r="R811" i="1"/>
  <c r="Q811" i="1"/>
  <c r="P811" i="1"/>
  <c r="O811" i="1"/>
  <c r="M811" i="1"/>
  <c r="L811" i="1"/>
  <c r="K811" i="1"/>
  <c r="N811" i="1"/>
  <c r="J811" i="1"/>
  <c r="I811" i="1"/>
  <c r="AE811" i="1" s="1"/>
  <c r="G811" i="1" a="1"/>
  <c r="G811" i="1" s="1"/>
  <c r="F811" i="1"/>
  <c r="H811" i="1" s="1"/>
  <c r="E811" i="1"/>
  <c r="D811" i="1"/>
  <c r="AO812" i="1"/>
  <c r="AM812" i="1"/>
  <c r="AN812" i="1"/>
  <c r="AA812" i="1"/>
  <c r="Z812" i="1"/>
  <c r="Y812" i="1"/>
  <c r="AC812" i="1" s="1"/>
  <c r="X812" i="1"/>
  <c r="AB812" i="1" s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AE812" i="1" s="1"/>
  <c r="G812" i="1" a="1"/>
  <c r="G812" i="1" s="1"/>
  <c r="F812" i="1"/>
  <c r="H812" i="1" s="1"/>
  <c r="E812" i="1"/>
  <c r="D812" i="1"/>
  <c r="AN813" i="1"/>
  <c r="AM813" i="1"/>
  <c r="AO813" i="1"/>
  <c r="AP813" i="1" s="1"/>
  <c r="Z813" i="1"/>
  <c r="Y813" i="1"/>
  <c r="X813" i="1"/>
  <c r="AB813" i="1" s="1"/>
  <c r="W813" i="1"/>
  <c r="V813" i="1"/>
  <c r="U813" i="1"/>
  <c r="AA813" i="1"/>
  <c r="T813" i="1"/>
  <c r="S813" i="1"/>
  <c r="R813" i="1"/>
  <c r="Q813" i="1"/>
  <c r="P813" i="1"/>
  <c r="O813" i="1"/>
  <c r="M813" i="1"/>
  <c r="L813" i="1"/>
  <c r="K813" i="1"/>
  <c r="N813" i="1"/>
  <c r="J813" i="1"/>
  <c r="I813" i="1"/>
  <c r="AE813" i="1" s="1"/>
  <c r="G813" i="1" a="1"/>
  <c r="G813" i="1" s="1"/>
  <c r="F813" i="1"/>
  <c r="H813" i="1" s="1"/>
  <c r="E813" i="1"/>
  <c r="D813" i="1"/>
  <c r="AO814" i="1"/>
  <c r="AM814" i="1"/>
  <c r="AN814" i="1"/>
  <c r="AA814" i="1"/>
  <c r="Z814" i="1"/>
  <c r="Y814" i="1"/>
  <c r="AC814" i="1" s="1"/>
  <c r="X814" i="1"/>
  <c r="AB814" i="1" s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AE814" i="1" s="1"/>
  <c r="G814" i="1" a="1"/>
  <c r="G814" i="1" s="1"/>
  <c r="F814" i="1"/>
  <c r="H814" i="1" s="1"/>
  <c r="E814" i="1"/>
  <c r="D814" i="1"/>
  <c r="AN815" i="1"/>
  <c r="AM815" i="1"/>
  <c r="AO815" i="1"/>
  <c r="AP815" i="1" s="1"/>
  <c r="Z815" i="1"/>
  <c r="Y815" i="1"/>
  <c r="X815" i="1"/>
  <c r="AB815" i="1" s="1"/>
  <c r="AA815" i="1"/>
  <c r="W815" i="1"/>
  <c r="V815" i="1"/>
  <c r="U815" i="1"/>
  <c r="T815" i="1"/>
  <c r="S815" i="1"/>
  <c r="R815" i="1"/>
  <c r="Q815" i="1"/>
  <c r="P815" i="1"/>
  <c r="O815" i="1"/>
  <c r="M815" i="1"/>
  <c r="L815" i="1"/>
  <c r="K815" i="1"/>
  <c r="N815" i="1"/>
  <c r="J815" i="1"/>
  <c r="I815" i="1"/>
  <c r="AE815" i="1" s="1"/>
  <c r="G815" i="1" a="1"/>
  <c r="G815" i="1" s="1"/>
  <c r="F815" i="1"/>
  <c r="H815" i="1" s="1"/>
  <c r="E815" i="1"/>
  <c r="D815" i="1"/>
  <c r="AM816" i="1"/>
  <c r="AO816" i="1"/>
  <c r="AP816" i="1" s="1"/>
  <c r="AN816" i="1"/>
  <c r="Z816" i="1"/>
  <c r="Y816" i="1"/>
  <c r="X816" i="1"/>
  <c r="AB816" i="1" s="1"/>
  <c r="W816" i="1"/>
  <c r="V816" i="1"/>
  <c r="U816" i="1"/>
  <c r="AA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AE816" i="1" s="1"/>
  <c r="G816" i="1" a="1"/>
  <c r="G816" i="1" s="1"/>
  <c r="F816" i="1"/>
  <c r="H816" i="1" s="1"/>
  <c r="E816" i="1"/>
  <c r="D816" i="1"/>
  <c r="AO817" i="1"/>
  <c r="AN817" i="1"/>
  <c r="AM817" i="1"/>
  <c r="AA817" i="1"/>
  <c r="Z817" i="1"/>
  <c r="Y817" i="1"/>
  <c r="AC817" i="1" s="1"/>
  <c r="X817" i="1"/>
  <c r="AB817" i="1" s="1"/>
  <c r="W817" i="1"/>
  <c r="V817" i="1"/>
  <c r="U817" i="1"/>
  <c r="T817" i="1"/>
  <c r="S817" i="1"/>
  <c r="R817" i="1"/>
  <c r="Q817" i="1"/>
  <c r="P817" i="1"/>
  <c r="O817" i="1"/>
  <c r="M817" i="1"/>
  <c r="L817" i="1"/>
  <c r="K817" i="1"/>
  <c r="N817" i="1"/>
  <c r="J817" i="1"/>
  <c r="I817" i="1"/>
  <c r="AE817" i="1" s="1"/>
  <c r="G817" i="1" a="1"/>
  <c r="G817" i="1" s="1"/>
  <c r="F817" i="1"/>
  <c r="H817" i="1" s="1"/>
  <c r="E817" i="1"/>
  <c r="D817" i="1"/>
  <c r="AM818" i="1"/>
  <c r="AO818" i="1"/>
  <c r="AP818" i="1" s="1"/>
  <c r="AN818" i="1"/>
  <c r="Z818" i="1"/>
  <c r="Y818" i="1"/>
  <c r="X818" i="1"/>
  <c r="AB818" i="1" s="1"/>
  <c r="AA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AE818" i="1" s="1"/>
  <c r="G818" i="1" a="1"/>
  <c r="G818" i="1" s="1"/>
  <c r="F818" i="1"/>
  <c r="H818" i="1" s="1"/>
  <c r="E818" i="1"/>
  <c r="D818" i="1"/>
  <c r="AO281" i="1"/>
  <c r="AN281" i="1"/>
  <c r="AM281" i="1"/>
  <c r="AA281" i="1"/>
  <c r="Z281" i="1"/>
  <c r="Y281" i="1"/>
  <c r="W281" i="1"/>
  <c r="V281" i="1"/>
  <c r="U281" i="1"/>
  <c r="T281" i="1"/>
  <c r="S281" i="1"/>
  <c r="Q281" i="1"/>
  <c r="P281" i="1"/>
  <c r="O281" i="1"/>
  <c r="N281" i="1"/>
  <c r="M281" i="1"/>
  <c r="L281" i="1"/>
  <c r="J281" i="1"/>
  <c r="I281" i="1"/>
  <c r="G281" i="1" a="1"/>
  <c r="G281" i="1" s="1"/>
  <c r="E281" i="1"/>
  <c r="D281" i="1"/>
  <c r="AO282" i="1"/>
  <c r="AN282" i="1"/>
  <c r="AM282" i="1"/>
  <c r="AA282" i="1"/>
  <c r="Z282" i="1"/>
  <c r="Y282" i="1"/>
  <c r="W282" i="1"/>
  <c r="V282" i="1"/>
  <c r="U282" i="1"/>
  <c r="T282" i="1"/>
  <c r="S282" i="1"/>
  <c r="Q282" i="1"/>
  <c r="P282" i="1"/>
  <c r="O282" i="1"/>
  <c r="N282" i="1"/>
  <c r="M282" i="1"/>
  <c r="L282" i="1"/>
  <c r="J282" i="1"/>
  <c r="I282" i="1"/>
  <c r="G282" i="1" a="1"/>
  <c r="G282" i="1" s="1"/>
  <c r="E282" i="1"/>
  <c r="D282" i="1"/>
  <c r="AO283" i="1"/>
  <c r="AN283" i="1"/>
  <c r="AM283" i="1"/>
  <c r="AA283" i="1"/>
  <c r="Z283" i="1"/>
  <c r="Y283" i="1"/>
  <c r="W283" i="1"/>
  <c r="V283" i="1"/>
  <c r="U283" i="1"/>
  <c r="T283" i="1"/>
  <c r="S283" i="1"/>
  <c r="Q283" i="1"/>
  <c r="P283" i="1"/>
  <c r="O283" i="1"/>
  <c r="N283" i="1"/>
  <c r="M283" i="1"/>
  <c r="L283" i="1"/>
  <c r="J283" i="1"/>
  <c r="I283" i="1"/>
  <c r="G283" i="1" a="1"/>
  <c r="G283" i="1" s="1"/>
  <c r="E283" i="1"/>
  <c r="D283" i="1"/>
  <c r="AO284" i="1"/>
  <c r="AN284" i="1"/>
  <c r="AM284" i="1"/>
  <c r="AA284" i="1"/>
  <c r="Z284" i="1"/>
  <c r="Y284" i="1"/>
  <c r="W284" i="1"/>
  <c r="V284" i="1"/>
  <c r="U284" i="1"/>
  <c r="T284" i="1"/>
  <c r="S284" i="1"/>
  <c r="Q284" i="1"/>
  <c r="P284" i="1"/>
  <c r="O284" i="1"/>
  <c r="N284" i="1"/>
  <c r="M284" i="1"/>
  <c r="L284" i="1"/>
  <c r="J284" i="1"/>
  <c r="I284" i="1"/>
  <c r="G284" i="1" a="1"/>
  <c r="G284" i="1" s="1"/>
  <c r="E284" i="1"/>
  <c r="D284" i="1"/>
  <c r="AO285" i="1"/>
  <c r="AN285" i="1"/>
  <c r="AM285" i="1"/>
  <c r="AA285" i="1"/>
  <c r="Z285" i="1"/>
  <c r="Y285" i="1"/>
  <c r="W285" i="1"/>
  <c r="V285" i="1"/>
  <c r="U285" i="1"/>
  <c r="T285" i="1"/>
  <c r="S285" i="1"/>
  <c r="Q285" i="1"/>
  <c r="P285" i="1"/>
  <c r="O285" i="1"/>
  <c r="N285" i="1"/>
  <c r="M285" i="1"/>
  <c r="L285" i="1"/>
  <c r="J285" i="1"/>
  <c r="I285" i="1"/>
  <c r="G285" i="1" a="1"/>
  <c r="G285" i="1" s="1"/>
  <c r="E285" i="1"/>
  <c r="D285" i="1"/>
  <c r="AO286" i="1"/>
  <c r="AN286" i="1"/>
  <c r="AM286" i="1"/>
  <c r="Z286" i="1"/>
  <c r="Y286" i="1"/>
  <c r="W286" i="1"/>
  <c r="V286" i="1"/>
  <c r="U286" i="1"/>
  <c r="T286" i="1"/>
  <c r="S286" i="1"/>
  <c r="Q286" i="1"/>
  <c r="P286" i="1"/>
  <c r="O286" i="1"/>
  <c r="N286" i="1"/>
  <c r="M286" i="1"/>
  <c r="L286" i="1"/>
  <c r="J286" i="1"/>
  <c r="I286" i="1"/>
  <c r="G286" i="1" a="1"/>
  <c r="G286" i="1" s="1"/>
  <c r="E286" i="1"/>
  <c r="D286" i="1"/>
  <c r="AO287" i="1"/>
  <c r="AN287" i="1"/>
  <c r="AM287" i="1"/>
  <c r="Z287" i="1"/>
  <c r="Y287" i="1"/>
  <c r="W287" i="1"/>
  <c r="V287" i="1"/>
  <c r="U287" i="1"/>
  <c r="T287" i="1"/>
  <c r="S287" i="1"/>
  <c r="Q287" i="1"/>
  <c r="P287" i="1"/>
  <c r="O287" i="1"/>
  <c r="N287" i="1"/>
  <c r="M287" i="1"/>
  <c r="L287" i="1"/>
  <c r="J287" i="1"/>
  <c r="I287" i="1"/>
  <c r="G287" i="1" a="1"/>
  <c r="G287" i="1" s="1"/>
  <c r="E287" i="1"/>
  <c r="D287" i="1"/>
  <c r="AO288" i="1"/>
  <c r="AN288" i="1"/>
  <c r="AM288" i="1"/>
  <c r="Z288" i="1"/>
  <c r="Y288" i="1"/>
  <c r="W288" i="1"/>
  <c r="V288" i="1"/>
  <c r="U288" i="1"/>
  <c r="T288" i="1"/>
  <c r="S288" i="1"/>
  <c r="Q288" i="1"/>
  <c r="P288" i="1"/>
  <c r="O288" i="1"/>
  <c r="N288" i="1"/>
  <c r="M288" i="1"/>
  <c r="L288" i="1"/>
  <c r="J288" i="1"/>
  <c r="I288" i="1"/>
  <c r="G288" i="1" a="1"/>
  <c r="G288" i="1" s="1"/>
  <c r="E288" i="1"/>
  <c r="D288" i="1"/>
  <c r="AO289" i="1"/>
  <c r="AN289" i="1"/>
  <c r="AM289" i="1"/>
  <c r="Z289" i="1"/>
  <c r="Y289" i="1"/>
  <c r="W289" i="1"/>
  <c r="V289" i="1"/>
  <c r="U289" i="1"/>
  <c r="T289" i="1"/>
  <c r="S289" i="1"/>
  <c r="Q289" i="1"/>
  <c r="P289" i="1"/>
  <c r="O289" i="1"/>
  <c r="N289" i="1"/>
  <c r="M289" i="1"/>
  <c r="L289" i="1"/>
  <c r="J289" i="1"/>
  <c r="I289" i="1"/>
  <c r="G289" i="1" a="1"/>
  <c r="G289" i="1" s="1"/>
  <c r="E289" i="1"/>
  <c r="D289" i="1"/>
  <c r="AO290" i="1"/>
  <c r="AN290" i="1"/>
  <c r="AM290" i="1"/>
  <c r="Z290" i="1"/>
  <c r="Y290" i="1"/>
  <c r="W290" i="1"/>
  <c r="V290" i="1"/>
  <c r="U290" i="1"/>
  <c r="T290" i="1"/>
  <c r="S290" i="1"/>
  <c r="Q290" i="1"/>
  <c r="P290" i="1"/>
  <c r="O290" i="1"/>
  <c r="N290" i="1"/>
  <c r="M290" i="1"/>
  <c r="L290" i="1"/>
  <c r="J290" i="1"/>
  <c r="I290" i="1"/>
  <c r="G290" i="1" a="1"/>
  <c r="G290" i="1" s="1"/>
  <c r="E290" i="1"/>
  <c r="D290" i="1"/>
  <c r="AO291" i="1"/>
  <c r="AN291" i="1"/>
  <c r="AM291" i="1"/>
  <c r="Z291" i="1"/>
  <c r="Y291" i="1"/>
  <c r="W291" i="1"/>
  <c r="V291" i="1"/>
  <c r="U291" i="1"/>
  <c r="T291" i="1"/>
  <c r="S291" i="1"/>
  <c r="Q291" i="1"/>
  <c r="P291" i="1"/>
  <c r="O291" i="1"/>
  <c r="N291" i="1"/>
  <c r="M291" i="1"/>
  <c r="L291" i="1"/>
  <c r="J291" i="1"/>
  <c r="I291" i="1"/>
  <c r="G291" i="1" a="1"/>
  <c r="G291" i="1" s="1"/>
  <c r="E291" i="1"/>
  <c r="D291" i="1"/>
  <c r="AO292" i="1"/>
  <c r="AN292" i="1"/>
  <c r="AM292" i="1"/>
  <c r="Z292" i="1"/>
  <c r="Y292" i="1"/>
  <c r="W292" i="1"/>
  <c r="V292" i="1"/>
  <c r="U292" i="1"/>
  <c r="T292" i="1"/>
  <c r="S292" i="1"/>
  <c r="Q292" i="1"/>
  <c r="P292" i="1"/>
  <c r="O292" i="1"/>
  <c r="N292" i="1"/>
  <c r="M292" i="1"/>
  <c r="L292" i="1"/>
  <c r="J292" i="1"/>
  <c r="I292" i="1"/>
  <c r="G292" i="1" a="1"/>
  <c r="G292" i="1" s="1"/>
  <c r="E292" i="1"/>
  <c r="D292" i="1"/>
  <c r="AO293" i="1"/>
  <c r="AN293" i="1"/>
  <c r="AM293" i="1"/>
  <c r="Z293" i="1"/>
  <c r="Y293" i="1"/>
  <c r="W293" i="1"/>
  <c r="V293" i="1"/>
  <c r="U293" i="1"/>
  <c r="T293" i="1"/>
  <c r="S293" i="1"/>
  <c r="Q293" i="1"/>
  <c r="P293" i="1"/>
  <c r="O293" i="1"/>
  <c r="N293" i="1"/>
  <c r="M293" i="1"/>
  <c r="L293" i="1"/>
  <c r="J293" i="1"/>
  <c r="I293" i="1"/>
  <c r="G293" i="1" a="1"/>
  <c r="G293" i="1" s="1"/>
  <c r="E293" i="1"/>
  <c r="D293" i="1"/>
  <c r="AO294" i="1"/>
  <c r="AN294" i="1"/>
  <c r="AM294" i="1"/>
  <c r="Z294" i="1"/>
  <c r="Y294" i="1"/>
  <c r="W294" i="1"/>
  <c r="V294" i="1"/>
  <c r="U294" i="1"/>
  <c r="T294" i="1"/>
  <c r="S294" i="1"/>
  <c r="Q294" i="1"/>
  <c r="P294" i="1"/>
  <c r="O294" i="1"/>
  <c r="N294" i="1"/>
  <c r="M294" i="1"/>
  <c r="L294" i="1"/>
  <c r="J294" i="1"/>
  <c r="I294" i="1"/>
  <c r="G294" i="1" a="1"/>
  <c r="G294" i="1" s="1"/>
  <c r="E294" i="1"/>
  <c r="D294" i="1"/>
  <c r="AO295" i="1"/>
  <c r="AN295" i="1"/>
  <c r="AM295" i="1"/>
  <c r="Z295" i="1"/>
  <c r="Y295" i="1"/>
  <c r="W295" i="1"/>
  <c r="V295" i="1"/>
  <c r="U295" i="1"/>
  <c r="T295" i="1"/>
  <c r="S295" i="1"/>
  <c r="Q295" i="1"/>
  <c r="P295" i="1"/>
  <c r="O295" i="1"/>
  <c r="N295" i="1"/>
  <c r="M295" i="1"/>
  <c r="L295" i="1"/>
  <c r="J295" i="1"/>
  <c r="I295" i="1"/>
  <c r="G295" i="1" a="1"/>
  <c r="G295" i="1" s="1"/>
  <c r="E295" i="1"/>
  <c r="D295" i="1"/>
  <c r="AO296" i="1"/>
  <c r="AN296" i="1"/>
  <c r="AM296" i="1"/>
  <c r="Z296" i="1"/>
  <c r="Y296" i="1"/>
  <c r="W296" i="1"/>
  <c r="V296" i="1"/>
  <c r="U296" i="1"/>
  <c r="T296" i="1"/>
  <c r="S296" i="1"/>
  <c r="Q296" i="1"/>
  <c r="P296" i="1"/>
  <c r="O296" i="1"/>
  <c r="N296" i="1"/>
  <c r="M296" i="1"/>
  <c r="L296" i="1"/>
  <c r="J296" i="1"/>
  <c r="I296" i="1"/>
  <c r="G296" i="1" a="1"/>
  <c r="G296" i="1" s="1"/>
  <c r="E296" i="1"/>
  <c r="D296" i="1"/>
  <c r="X281" i="1"/>
  <c r="F281" i="1"/>
  <c r="K281" i="1"/>
  <c r="R281" i="1"/>
  <c r="F282" i="1"/>
  <c r="X282" i="1"/>
  <c r="K282" i="1"/>
  <c r="R282" i="1"/>
  <c r="F283" i="1"/>
  <c r="K283" i="1"/>
  <c r="X283" i="1"/>
  <c r="R283" i="1"/>
  <c r="F284" i="1"/>
  <c r="K284" i="1"/>
  <c r="X284" i="1"/>
  <c r="R284" i="1"/>
  <c r="R285" i="1"/>
  <c r="F285" i="1"/>
  <c r="X285" i="1"/>
  <c r="K285" i="1"/>
  <c r="K286" i="1"/>
  <c r="F286" i="1"/>
  <c r="X286" i="1"/>
  <c r="AA286" i="1"/>
  <c r="R286" i="1"/>
  <c r="X287" i="1"/>
  <c r="AA287" i="1"/>
  <c r="K287" i="1"/>
  <c r="R287" i="1"/>
  <c r="F287" i="1"/>
  <c r="F288" i="1"/>
  <c r="AA288" i="1"/>
  <c r="X288" i="1"/>
  <c r="R288" i="1"/>
  <c r="K288" i="1"/>
  <c r="K289" i="1"/>
  <c r="F289" i="1"/>
  <c r="X289" i="1"/>
  <c r="R289" i="1"/>
  <c r="AA289" i="1"/>
  <c r="K290" i="1"/>
  <c r="AA290" i="1"/>
  <c r="X290" i="1"/>
  <c r="R290" i="1"/>
  <c r="F290" i="1"/>
  <c r="K291" i="1"/>
  <c r="AA291" i="1"/>
  <c r="X291" i="1"/>
  <c r="R291" i="1"/>
  <c r="F291" i="1"/>
  <c r="K292" i="1"/>
  <c r="AA292" i="1"/>
  <c r="R292" i="1"/>
  <c r="X292" i="1"/>
  <c r="F292" i="1"/>
  <c r="AA293" i="1"/>
  <c r="X293" i="1"/>
  <c r="K293" i="1"/>
  <c r="R293" i="1"/>
  <c r="F293" i="1"/>
  <c r="K294" i="1"/>
  <c r="X294" i="1"/>
  <c r="R294" i="1"/>
  <c r="AA294" i="1"/>
  <c r="F294" i="1"/>
  <c r="K295" i="1"/>
  <c r="AA295" i="1"/>
  <c r="AC295" i="1" s="1"/>
  <c r="X295" i="1"/>
  <c r="AB295" i="1" s="1"/>
  <c r="AE295" i="1" s="1"/>
  <c r="R295" i="1"/>
  <c r="F295" i="1"/>
  <c r="K296" i="1"/>
  <c r="F296" i="1"/>
  <c r="X296" i="1"/>
  <c r="AB296" i="1" s="1"/>
  <c r="AE296" i="1" s="1"/>
  <c r="AA296" i="1"/>
  <c r="AC296" i="1" s="1"/>
  <c r="R296" i="1"/>
  <c r="AM128" i="1"/>
  <c r="AO128" i="1"/>
  <c r="AP128" i="1" s="1"/>
  <c r="AN128" i="1"/>
  <c r="AA128" i="1"/>
  <c r="Z128" i="1"/>
  <c r="Y128" i="1"/>
  <c r="AC128" i="1" s="1"/>
  <c r="W128" i="1"/>
  <c r="V128" i="1"/>
  <c r="X128" i="1"/>
  <c r="AB128" i="1" s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G128" i="1" a="1"/>
  <c r="G128" i="1" s="1"/>
  <c r="F128" i="1"/>
  <c r="E128" i="1"/>
  <c r="D128" i="1"/>
  <c r="AO129" i="1"/>
  <c r="AN129" i="1"/>
  <c r="AM129" i="1"/>
  <c r="AA129" i="1"/>
  <c r="Z129" i="1"/>
  <c r="Y129" i="1"/>
  <c r="AC129" i="1" s="1"/>
  <c r="X129" i="1"/>
  <c r="W129" i="1"/>
  <c r="V129" i="1"/>
  <c r="U129" i="1"/>
  <c r="T129" i="1"/>
  <c r="S129" i="1"/>
  <c r="Q129" i="1"/>
  <c r="P129" i="1"/>
  <c r="O129" i="1"/>
  <c r="N129" i="1"/>
  <c r="M129" i="1"/>
  <c r="L129" i="1"/>
  <c r="R129" i="1"/>
  <c r="K129" i="1"/>
  <c r="J129" i="1"/>
  <c r="I129" i="1"/>
  <c r="G129" i="1" a="1"/>
  <c r="G129" i="1" s="1"/>
  <c r="F129" i="1"/>
  <c r="E129" i="1"/>
  <c r="D129" i="1"/>
  <c r="AM130" i="1"/>
  <c r="AO130" i="1"/>
  <c r="AN130" i="1"/>
  <c r="AA130" i="1"/>
  <c r="Z130" i="1"/>
  <c r="Y130" i="1"/>
  <c r="AC130" i="1" s="1"/>
  <c r="X130" i="1"/>
  <c r="AB130" i="1" s="1"/>
  <c r="W130" i="1"/>
  <c r="V130" i="1"/>
  <c r="U130" i="1"/>
  <c r="T130" i="1"/>
  <c r="S130" i="1"/>
  <c r="Q130" i="1"/>
  <c r="P130" i="1"/>
  <c r="O130" i="1"/>
  <c r="R130" i="1"/>
  <c r="N130" i="1"/>
  <c r="M130" i="1"/>
  <c r="L130" i="1"/>
  <c r="K130" i="1"/>
  <c r="J130" i="1"/>
  <c r="I130" i="1"/>
  <c r="G130" i="1" a="1"/>
  <c r="G130" i="1" s="1"/>
  <c r="F130" i="1"/>
  <c r="H130" i="1" s="1"/>
  <c r="E130" i="1"/>
  <c r="D130" i="1"/>
  <c r="AO131" i="1"/>
  <c r="AN131" i="1"/>
  <c r="AM131" i="1"/>
  <c r="AA131" i="1"/>
  <c r="Z131" i="1"/>
  <c r="Y131" i="1"/>
  <c r="AC131" i="1" s="1"/>
  <c r="W131" i="1"/>
  <c r="V131" i="1"/>
  <c r="X131" i="1"/>
  <c r="AB131" i="1" s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AE131" i="1" s="1"/>
  <c r="G131" i="1" a="1"/>
  <c r="G131" i="1" s="1"/>
  <c r="F131" i="1"/>
  <c r="H131" i="1" s="1"/>
  <c r="E131" i="1"/>
  <c r="D131" i="1"/>
  <c r="AM132" i="1"/>
  <c r="AO132" i="1"/>
  <c r="AP132" i="1" s="1"/>
  <c r="AN132" i="1"/>
  <c r="AA132" i="1"/>
  <c r="Z132" i="1"/>
  <c r="Y132" i="1"/>
  <c r="AC132" i="1" s="1"/>
  <c r="W132" i="1"/>
  <c r="V132" i="1"/>
  <c r="X132" i="1"/>
  <c r="AB132" i="1" s="1"/>
  <c r="U132" i="1"/>
  <c r="T132" i="1"/>
  <c r="S132" i="1"/>
  <c r="Q132" i="1"/>
  <c r="P132" i="1"/>
  <c r="O132" i="1"/>
  <c r="N132" i="1"/>
  <c r="M132" i="1"/>
  <c r="L132" i="1"/>
  <c r="R132" i="1"/>
  <c r="K132" i="1"/>
  <c r="J132" i="1"/>
  <c r="I132" i="1"/>
  <c r="AE132" i="1" s="1"/>
  <c r="G132" i="1" a="1"/>
  <c r="G132" i="1" s="1"/>
  <c r="F132" i="1"/>
  <c r="E132" i="1"/>
  <c r="D132" i="1"/>
  <c r="AO133" i="1"/>
  <c r="AN133" i="1"/>
  <c r="AM133" i="1"/>
  <c r="AA133" i="1"/>
  <c r="Z133" i="1"/>
  <c r="Y133" i="1"/>
  <c r="AC133" i="1" s="1"/>
  <c r="X133" i="1"/>
  <c r="AB133" i="1" s="1"/>
  <c r="W133" i="1"/>
  <c r="V133" i="1"/>
  <c r="U133" i="1"/>
  <c r="T133" i="1"/>
  <c r="S133" i="1"/>
  <c r="Q133" i="1"/>
  <c r="P133" i="1"/>
  <c r="O133" i="1"/>
  <c r="R133" i="1"/>
  <c r="N133" i="1"/>
  <c r="M133" i="1"/>
  <c r="L133" i="1"/>
  <c r="K133" i="1"/>
  <c r="J133" i="1"/>
  <c r="I133" i="1"/>
  <c r="AE133" i="1" s="1"/>
  <c r="G133" i="1" a="1"/>
  <c r="G133" i="1" s="1"/>
  <c r="F133" i="1"/>
  <c r="E133" i="1"/>
  <c r="D133" i="1"/>
  <c r="AO134" i="1"/>
  <c r="AM134" i="1"/>
  <c r="AN134" i="1"/>
  <c r="AA134" i="1"/>
  <c r="Z134" i="1"/>
  <c r="Y134" i="1"/>
  <c r="AC134" i="1" s="1"/>
  <c r="X134" i="1"/>
  <c r="AB134" i="1" s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AE134" i="1" s="1"/>
  <c r="G134" i="1" a="1"/>
  <c r="G134" i="1" s="1"/>
  <c r="F134" i="1"/>
  <c r="E134" i="1"/>
  <c r="D134" i="1"/>
  <c r="AN135" i="1"/>
  <c r="AM135" i="1"/>
  <c r="AO135" i="1"/>
  <c r="AP135" i="1" s="1"/>
  <c r="AA135" i="1"/>
  <c r="Z135" i="1"/>
  <c r="Y135" i="1"/>
  <c r="AC135" i="1" s="1"/>
  <c r="W135" i="1"/>
  <c r="V135" i="1"/>
  <c r="X135" i="1"/>
  <c r="AB135" i="1" s="1"/>
  <c r="U135" i="1"/>
  <c r="T135" i="1"/>
  <c r="S135" i="1"/>
  <c r="Q135" i="1"/>
  <c r="P135" i="1"/>
  <c r="O135" i="1"/>
  <c r="N135" i="1"/>
  <c r="M135" i="1"/>
  <c r="L135" i="1"/>
  <c r="R135" i="1"/>
  <c r="K135" i="1"/>
  <c r="J135" i="1"/>
  <c r="I135" i="1"/>
  <c r="AE135" i="1" s="1"/>
  <c r="G135" i="1" a="1"/>
  <c r="G135" i="1" s="1"/>
  <c r="F135" i="1"/>
  <c r="E135" i="1"/>
  <c r="D135" i="1"/>
  <c r="AO136" i="1"/>
  <c r="AM136" i="1"/>
  <c r="AN136" i="1"/>
  <c r="AA136" i="1"/>
  <c r="Z136" i="1"/>
  <c r="Y136" i="1"/>
  <c r="X136" i="1"/>
  <c r="AB136" i="1" s="1"/>
  <c r="W136" i="1"/>
  <c r="V136" i="1"/>
  <c r="U136" i="1"/>
  <c r="T136" i="1"/>
  <c r="S136" i="1"/>
  <c r="Q136" i="1"/>
  <c r="P136" i="1"/>
  <c r="O136" i="1"/>
  <c r="R136" i="1"/>
  <c r="N136" i="1"/>
  <c r="M136" i="1"/>
  <c r="L136" i="1"/>
  <c r="K136" i="1"/>
  <c r="J136" i="1"/>
  <c r="I136" i="1"/>
  <c r="AE136" i="1" s="1"/>
  <c r="G136" i="1" a="1"/>
  <c r="G136" i="1" s="1"/>
  <c r="F136" i="1"/>
  <c r="E136" i="1"/>
  <c r="D136" i="1"/>
  <c r="AN137" i="1"/>
  <c r="AM137" i="1"/>
  <c r="AO137" i="1"/>
  <c r="AP137" i="1" s="1"/>
  <c r="AA137" i="1"/>
  <c r="Z137" i="1"/>
  <c r="Y137" i="1"/>
  <c r="AC137" i="1" s="1"/>
  <c r="W137" i="1"/>
  <c r="V137" i="1"/>
  <c r="X137" i="1"/>
  <c r="AB137" i="1" s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AE137" i="1" s="1"/>
  <c r="G137" i="1" a="1"/>
  <c r="G137" i="1" s="1"/>
  <c r="F137" i="1"/>
  <c r="E137" i="1"/>
  <c r="D137" i="1"/>
  <c r="AO138" i="1"/>
  <c r="AM138" i="1"/>
  <c r="AN138" i="1"/>
  <c r="AA138" i="1"/>
  <c r="Z138" i="1"/>
  <c r="Y138" i="1"/>
  <c r="AC138" i="1" s="1"/>
  <c r="X138" i="1"/>
  <c r="AB138" i="1" s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AE138" i="1" s="1"/>
  <c r="G138" i="1" a="1"/>
  <c r="G138" i="1" s="1"/>
  <c r="F138" i="1"/>
  <c r="E138" i="1"/>
  <c r="D138" i="1"/>
  <c r="AN139" i="1"/>
  <c r="AM139" i="1"/>
  <c r="AO139" i="1"/>
  <c r="AP139" i="1" s="1"/>
  <c r="AA139" i="1"/>
  <c r="Z139" i="1"/>
  <c r="Y139" i="1"/>
  <c r="AC139" i="1" s="1"/>
  <c r="W139" i="1"/>
  <c r="V139" i="1"/>
  <c r="X139" i="1"/>
  <c r="AB139" i="1" s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AE139" i="1" s="1"/>
  <c r="G139" i="1" a="1"/>
  <c r="G139" i="1" s="1"/>
  <c r="F139" i="1"/>
  <c r="E139" i="1"/>
  <c r="D139" i="1"/>
  <c r="AO140" i="1"/>
  <c r="AM140" i="1"/>
  <c r="AN140" i="1"/>
  <c r="AA140" i="1"/>
  <c r="Z140" i="1"/>
  <c r="Y140" i="1"/>
  <c r="AC140" i="1" s="1"/>
  <c r="W140" i="1"/>
  <c r="V140" i="1"/>
  <c r="X140" i="1"/>
  <c r="AB140" i="1" s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AE140" i="1" s="1"/>
  <c r="G140" i="1" a="1"/>
  <c r="G140" i="1" s="1"/>
  <c r="F140" i="1"/>
  <c r="E140" i="1"/>
  <c r="D140" i="1"/>
  <c r="AN141" i="1"/>
  <c r="AM141" i="1"/>
  <c r="AO141" i="1"/>
  <c r="AP141" i="1" s="1"/>
  <c r="AA141" i="1"/>
  <c r="Z141" i="1"/>
  <c r="Y141" i="1"/>
  <c r="AC141" i="1" s="1"/>
  <c r="X141" i="1"/>
  <c r="AB141" i="1" s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AE141" i="1" s="1"/>
  <c r="G141" i="1" a="1"/>
  <c r="G141" i="1" s="1"/>
  <c r="F141" i="1"/>
  <c r="E141" i="1"/>
  <c r="D141" i="1"/>
  <c r="AO142" i="1"/>
  <c r="AM142" i="1"/>
  <c r="AN142" i="1"/>
  <c r="AA142" i="1"/>
  <c r="Z142" i="1"/>
  <c r="Y142" i="1"/>
  <c r="AC142" i="1" s="1"/>
  <c r="W142" i="1"/>
  <c r="V142" i="1"/>
  <c r="X142" i="1"/>
  <c r="AB142" i="1" s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AE142" i="1" s="1"/>
  <c r="G142" i="1" a="1"/>
  <c r="G142" i="1" s="1"/>
  <c r="F142" i="1"/>
  <c r="E142" i="1"/>
  <c r="D142" i="1"/>
  <c r="AN143" i="1"/>
  <c r="AM143" i="1"/>
  <c r="AO143" i="1"/>
  <c r="AP143" i="1" s="1"/>
  <c r="AA143" i="1"/>
  <c r="Z143" i="1"/>
  <c r="Y143" i="1"/>
  <c r="AC143" i="1" s="1"/>
  <c r="X143" i="1"/>
  <c r="AB143" i="1" s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AE143" i="1" s="1"/>
  <c r="G143" i="1" a="1"/>
  <c r="G143" i="1" s="1"/>
  <c r="F143" i="1"/>
  <c r="E143" i="1"/>
  <c r="D143" i="1"/>
  <c r="AO144" i="1"/>
  <c r="AM144" i="1"/>
  <c r="AN144" i="1"/>
  <c r="AA144" i="1"/>
  <c r="Z144" i="1"/>
  <c r="Y144" i="1"/>
  <c r="AC144" i="1" s="1"/>
  <c r="W144" i="1"/>
  <c r="V144" i="1"/>
  <c r="X144" i="1"/>
  <c r="AB144" i="1" s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AE144" i="1" s="1"/>
  <c r="G144" i="1" a="1"/>
  <c r="G144" i="1" s="1"/>
  <c r="F144" i="1"/>
  <c r="E144" i="1"/>
  <c r="D144" i="1"/>
  <c r="AN145" i="1"/>
  <c r="AM145" i="1"/>
  <c r="AO145" i="1"/>
  <c r="AP145" i="1" s="1"/>
  <c r="AA145" i="1"/>
  <c r="Z145" i="1"/>
  <c r="Y145" i="1"/>
  <c r="AC145" i="1" s="1"/>
  <c r="X145" i="1"/>
  <c r="AB145" i="1" s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AE145" i="1" s="1"/>
  <c r="G145" i="1" a="1"/>
  <c r="G145" i="1" s="1"/>
  <c r="F145" i="1"/>
  <c r="E145" i="1"/>
  <c r="D145" i="1"/>
  <c r="AO146" i="1"/>
  <c r="AM146" i="1"/>
  <c r="AN146" i="1"/>
  <c r="AA146" i="1"/>
  <c r="Z146" i="1"/>
  <c r="Y146" i="1"/>
  <c r="AC146" i="1" s="1"/>
  <c r="W146" i="1"/>
  <c r="V146" i="1"/>
  <c r="X146" i="1"/>
  <c r="AB146" i="1" s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AE146" i="1" s="1"/>
  <c r="G146" i="1" a="1"/>
  <c r="G146" i="1" s="1"/>
  <c r="F146" i="1"/>
  <c r="E146" i="1"/>
  <c r="D146" i="1"/>
  <c r="AN147" i="1"/>
  <c r="AM147" i="1"/>
  <c r="AO147" i="1"/>
  <c r="AP147" i="1" s="1"/>
  <c r="AA147" i="1"/>
  <c r="Z147" i="1"/>
  <c r="Y147" i="1"/>
  <c r="AC147" i="1" s="1"/>
  <c r="X147" i="1"/>
  <c r="AB147" i="1" s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AE147" i="1" s="1"/>
  <c r="G147" i="1" a="1"/>
  <c r="G147" i="1" s="1"/>
  <c r="F147" i="1"/>
  <c r="E147" i="1"/>
  <c r="D147" i="1"/>
  <c r="AO148" i="1"/>
  <c r="AM148" i="1"/>
  <c r="AN148" i="1"/>
  <c r="AA148" i="1"/>
  <c r="Z148" i="1"/>
  <c r="Y148" i="1"/>
  <c r="AC148" i="1" s="1"/>
  <c r="W148" i="1"/>
  <c r="V148" i="1"/>
  <c r="X148" i="1"/>
  <c r="AB148" i="1" s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AE148" i="1" s="1"/>
  <c r="G148" i="1" a="1"/>
  <c r="G148" i="1" s="1"/>
  <c r="F148" i="1"/>
  <c r="E148" i="1"/>
  <c r="D148" i="1"/>
  <c r="AN149" i="1"/>
  <c r="AM149" i="1"/>
  <c r="AO149" i="1"/>
  <c r="AP149" i="1" s="1"/>
  <c r="AA149" i="1"/>
  <c r="Z149" i="1"/>
  <c r="Y149" i="1"/>
  <c r="AC149" i="1" s="1"/>
  <c r="X149" i="1"/>
  <c r="AB149" i="1" s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AE149" i="1" s="1"/>
  <c r="G149" i="1" a="1"/>
  <c r="G149" i="1" s="1"/>
  <c r="F149" i="1"/>
  <c r="E149" i="1"/>
  <c r="D149" i="1"/>
  <c r="AO150" i="1"/>
  <c r="AM150" i="1"/>
  <c r="AN150" i="1"/>
  <c r="AA150" i="1"/>
  <c r="Z150" i="1"/>
  <c r="Y150" i="1"/>
  <c r="AC150" i="1" s="1"/>
  <c r="W150" i="1"/>
  <c r="V150" i="1"/>
  <c r="X150" i="1"/>
  <c r="AB150" i="1" s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G150" i="1" a="1"/>
  <c r="G150" i="1" s="1"/>
  <c r="F150" i="1"/>
  <c r="E150" i="1"/>
  <c r="D150" i="1"/>
  <c r="AN151" i="1"/>
  <c r="AM151" i="1"/>
  <c r="AO151" i="1"/>
  <c r="AP151" i="1" s="1"/>
  <c r="AA151" i="1"/>
  <c r="Z151" i="1"/>
  <c r="Y151" i="1"/>
  <c r="AC151" i="1" s="1"/>
  <c r="X151" i="1"/>
  <c r="AB151" i="1" s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AE151" i="1" s="1"/>
  <c r="G151" i="1" a="1"/>
  <c r="G151" i="1" s="1"/>
  <c r="F151" i="1"/>
  <c r="E151" i="1"/>
  <c r="D151" i="1"/>
  <c r="AO152" i="1"/>
  <c r="AM152" i="1"/>
  <c r="AN152" i="1"/>
  <c r="AA152" i="1"/>
  <c r="Z152" i="1"/>
  <c r="Y152" i="1"/>
  <c r="AC152" i="1" s="1"/>
  <c r="W152" i="1"/>
  <c r="V152" i="1"/>
  <c r="X152" i="1"/>
  <c r="AB152" i="1" s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AE152" i="1" s="1"/>
  <c r="G152" i="1" a="1"/>
  <c r="G152" i="1" s="1"/>
  <c r="F152" i="1"/>
  <c r="E152" i="1"/>
  <c r="D152" i="1"/>
  <c r="AN153" i="1"/>
  <c r="AM153" i="1"/>
  <c r="AO153" i="1"/>
  <c r="AP153" i="1" s="1"/>
  <c r="AA153" i="1"/>
  <c r="Z153" i="1"/>
  <c r="Y153" i="1"/>
  <c r="AC153" i="1" s="1"/>
  <c r="X153" i="1"/>
  <c r="AB153" i="1" s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AE153" i="1" s="1"/>
  <c r="G153" i="1" a="1"/>
  <c r="G153" i="1" s="1"/>
  <c r="F153" i="1"/>
  <c r="E153" i="1"/>
  <c r="D153" i="1"/>
  <c r="AO154" i="1"/>
  <c r="AM154" i="1"/>
  <c r="AN154" i="1"/>
  <c r="AA154" i="1"/>
  <c r="Z154" i="1"/>
  <c r="Y154" i="1"/>
  <c r="AC154" i="1" s="1"/>
  <c r="W154" i="1"/>
  <c r="V154" i="1"/>
  <c r="X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G154" i="1" a="1"/>
  <c r="G154" i="1" s="1"/>
  <c r="F154" i="1"/>
  <c r="H154" i="1" s="1"/>
  <c r="E154" i="1"/>
  <c r="D154" i="1"/>
  <c r="AN155" i="1"/>
  <c r="AM155" i="1"/>
  <c r="AO155" i="1"/>
  <c r="AP155" i="1" s="1"/>
  <c r="AA155" i="1"/>
  <c r="Z155" i="1"/>
  <c r="Y155" i="1"/>
  <c r="AC155" i="1" s="1"/>
  <c r="W155" i="1"/>
  <c r="V155" i="1"/>
  <c r="X155" i="1"/>
  <c r="AB155" i="1" s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AE155" i="1" s="1"/>
  <c r="G155" i="1" a="1"/>
  <c r="G155" i="1" s="1"/>
  <c r="F155" i="1"/>
  <c r="H155" i="1" s="1"/>
  <c r="E155" i="1"/>
  <c r="D155" i="1"/>
  <c r="AO156" i="1"/>
  <c r="AM156" i="1"/>
  <c r="AN156" i="1"/>
  <c r="AA156" i="1"/>
  <c r="Z156" i="1"/>
  <c r="Y156" i="1"/>
  <c r="AC156" i="1" s="1"/>
  <c r="X156" i="1"/>
  <c r="AB156" i="1" s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AE156" i="1" s="1"/>
  <c r="G156" i="1" a="1"/>
  <c r="G156" i="1" s="1"/>
  <c r="F156" i="1"/>
  <c r="H156" i="1" s="1"/>
  <c r="E156" i="1"/>
  <c r="D156" i="1"/>
  <c r="AN157" i="1"/>
  <c r="AM157" i="1"/>
  <c r="AO157" i="1"/>
  <c r="AP157" i="1" s="1"/>
  <c r="AA157" i="1"/>
  <c r="Z157" i="1"/>
  <c r="Y157" i="1"/>
  <c r="AC157" i="1" s="1"/>
  <c r="W157" i="1"/>
  <c r="V157" i="1"/>
  <c r="X157" i="1"/>
  <c r="AB157" i="1" s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AE157" i="1" s="1"/>
  <c r="G157" i="1" a="1"/>
  <c r="G157" i="1" s="1"/>
  <c r="F157" i="1"/>
  <c r="H157" i="1" s="1"/>
  <c r="E157" i="1"/>
  <c r="D157" i="1"/>
  <c r="AO158" i="1"/>
  <c r="AM158" i="1"/>
  <c r="AN158" i="1"/>
  <c r="AA158" i="1"/>
  <c r="Z158" i="1"/>
  <c r="Y158" i="1"/>
  <c r="AC158" i="1" s="1"/>
  <c r="X158" i="1"/>
  <c r="AB158" i="1" s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AE158" i="1" s="1"/>
  <c r="G158" i="1" a="1"/>
  <c r="G158" i="1" s="1"/>
  <c r="F158" i="1"/>
  <c r="H158" i="1" s="1"/>
  <c r="E158" i="1"/>
  <c r="D158" i="1"/>
  <c r="AO159" i="1"/>
  <c r="AN159" i="1"/>
  <c r="AM159" i="1"/>
  <c r="AA159" i="1"/>
  <c r="Z159" i="1"/>
  <c r="Y159" i="1"/>
  <c r="AC159" i="1" s="1"/>
  <c r="X159" i="1"/>
  <c r="AB159" i="1" s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AE159" i="1" s="1"/>
  <c r="G159" i="1" a="1"/>
  <c r="G159" i="1" s="1"/>
  <c r="F159" i="1"/>
  <c r="H159" i="1" s="1"/>
  <c r="E159" i="1"/>
  <c r="D159" i="1"/>
  <c r="AM160" i="1"/>
  <c r="AO160" i="1"/>
  <c r="AP160" i="1" s="1"/>
  <c r="AN160" i="1"/>
  <c r="AA160" i="1"/>
  <c r="Z160" i="1"/>
  <c r="Y160" i="1"/>
  <c r="AC160" i="1" s="1"/>
  <c r="W160" i="1"/>
  <c r="V160" i="1"/>
  <c r="X160" i="1"/>
  <c r="AB160" i="1" s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AE160" i="1" s="1"/>
  <c r="G160" i="1" a="1"/>
  <c r="G160" i="1" s="1"/>
  <c r="F160" i="1"/>
  <c r="E160" i="1"/>
  <c r="D160" i="1"/>
  <c r="AO161" i="1"/>
  <c r="AN161" i="1"/>
  <c r="AM161" i="1"/>
  <c r="AA161" i="1"/>
  <c r="Z161" i="1"/>
  <c r="Y161" i="1"/>
  <c r="AC161" i="1" s="1"/>
  <c r="X161" i="1"/>
  <c r="AB161" i="1" s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AE161" i="1" s="1"/>
  <c r="G161" i="1" a="1"/>
  <c r="G161" i="1" s="1"/>
  <c r="F161" i="1"/>
  <c r="E161" i="1"/>
  <c r="D161" i="1"/>
  <c r="AM162" i="1"/>
  <c r="AO162" i="1"/>
  <c r="AP162" i="1" s="1"/>
  <c r="AN162" i="1"/>
  <c r="AA162" i="1"/>
  <c r="Z162" i="1"/>
  <c r="Y162" i="1"/>
  <c r="AC162" i="1" s="1"/>
  <c r="W162" i="1"/>
  <c r="V162" i="1"/>
  <c r="X162" i="1"/>
  <c r="AB162" i="1" s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AE162" i="1" s="1"/>
  <c r="G162" i="1" a="1"/>
  <c r="G162" i="1" s="1"/>
  <c r="F162" i="1"/>
  <c r="E162" i="1"/>
  <c r="D162" i="1"/>
  <c r="AO163" i="1"/>
  <c r="AN163" i="1"/>
  <c r="AM163" i="1"/>
  <c r="AA163" i="1"/>
  <c r="Z163" i="1"/>
  <c r="Y163" i="1"/>
  <c r="AC163" i="1" s="1"/>
  <c r="X163" i="1"/>
  <c r="AB163" i="1" s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AE163" i="1" s="1"/>
  <c r="G163" i="1" a="1"/>
  <c r="G163" i="1" s="1"/>
  <c r="F163" i="1"/>
  <c r="E163" i="1"/>
  <c r="D163" i="1"/>
  <c r="AM164" i="1"/>
  <c r="AO164" i="1"/>
  <c r="AP164" i="1" s="1"/>
  <c r="AN164" i="1"/>
  <c r="AA164" i="1"/>
  <c r="Z164" i="1"/>
  <c r="Y164" i="1"/>
  <c r="AC164" i="1" s="1"/>
  <c r="W164" i="1"/>
  <c r="V164" i="1"/>
  <c r="X164" i="1"/>
  <c r="AB164" i="1" s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AE164" i="1" s="1"/>
  <c r="G164" i="1" a="1"/>
  <c r="G164" i="1" s="1"/>
  <c r="F164" i="1"/>
  <c r="E164" i="1"/>
  <c r="D164" i="1"/>
  <c r="AO165" i="1"/>
  <c r="AN165" i="1"/>
  <c r="AM165" i="1"/>
  <c r="AA165" i="1"/>
  <c r="Z165" i="1"/>
  <c r="Y165" i="1"/>
  <c r="AC165" i="1" s="1"/>
  <c r="X165" i="1"/>
  <c r="AB165" i="1" s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AE165" i="1" s="1"/>
  <c r="G165" i="1" a="1"/>
  <c r="G165" i="1" s="1"/>
  <c r="F165" i="1"/>
  <c r="E165" i="1"/>
  <c r="D165" i="1"/>
  <c r="AM166" i="1"/>
  <c r="AO166" i="1"/>
  <c r="AP166" i="1" s="1"/>
  <c r="AN166" i="1"/>
  <c r="AA166" i="1"/>
  <c r="Z166" i="1"/>
  <c r="Y166" i="1"/>
  <c r="AC166" i="1" s="1"/>
  <c r="W166" i="1"/>
  <c r="V166" i="1"/>
  <c r="X166" i="1"/>
  <c r="AB166" i="1" s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AE166" i="1" s="1"/>
  <c r="G166" i="1" a="1"/>
  <c r="G166" i="1" s="1"/>
  <c r="F166" i="1"/>
  <c r="E166" i="1"/>
  <c r="D166" i="1"/>
  <c r="AO167" i="1"/>
  <c r="AN167" i="1"/>
  <c r="AM167" i="1"/>
  <c r="AA167" i="1"/>
  <c r="Z167" i="1"/>
  <c r="Y167" i="1"/>
  <c r="AC167" i="1" s="1"/>
  <c r="X167" i="1"/>
  <c r="AB167" i="1" s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AE167" i="1" s="1"/>
  <c r="G167" i="1" a="1"/>
  <c r="G167" i="1" s="1"/>
  <c r="F167" i="1"/>
  <c r="E167" i="1"/>
  <c r="D167" i="1"/>
  <c r="AM168" i="1"/>
  <c r="AO168" i="1"/>
  <c r="AP168" i="1" s="1"/>
  <c r="AN168" i="1"/>
  <c r="AA168" i="1"/>
  <c r="Z168" i="1"/>
  <c r="Y168" i="1"/>
  <c r="AC168" i="1" s="1"/>
  <c r="W168" i="1"/>
  <c r="V168" i="1"/>
  <c r="X168" i="1"/>
  <c r="AB168" i="1" s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AE168" i="1" s="1"/>
  <c r="G168" i="1" a="1"/>
  <c r="G168" i="1" s="1"/>
  <c r="F168" i="1"/>
  <c r="E168" i="1"/>
  <c r="D168" i="1"/>
  <c r="AO169" i="1"/>
  <c r="AN169" i="1"/>
  <c r="AM169" i="1"/>
  <c r="AA169" i="1"/>
  <c r="Z169" i="1"/>
  <c r="Y169" i="1"/>
  <c r="AC169" i="1" s="1"/>
  <c r="X169" i="1"/>
  <c r="AB169" i="1" s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AE169" i="1" s="1"/>
  <c r="G169" i="1" a="1"/>
  <c r="G169" i="1" s="1"/>
  <c r="F169" i="1"/>
  <c r="E169" i="1"/>
  <c r="D169" i="1"/>
  <c r="AM170" i="1"/>
  <c r="AO170" i="1"/>
  <c r="AP170" i="1" s="1"/>
  <c r="AN170" i="1"/>
  <c r="AA170" i="1"/>
  <c r="Z170" i="1"/>
  <c r="Y170" i="1"/>
  <c r="AC170" i="1" s="1"/>
  <c r="W170" i="1"/>
  <c r="V170" i="1"/>
  <c r="X170" i="1"/>
  <c r="AB170" i="1" s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AE170" i="1" s="1"/>
  <c r="G170" i="1" a="1"/>
  <c r="G170" i="1" s="1"/>
  <c r="F170" i="1"/>
  <c r="E170" i="1"/>
  <c r="D170" i="1"/>
  <c r="AO171" i="1"/>
  <c r="AN171" i="1"/>
  <c r="AM171" i="1"/>
  <c r="AA171" i="1"/>
  <c r="Z171" i="1"/>
  <c r="Y171" i="1"/>
  <c r="AC171" i="1" s="1"/>
  <c r="X171" i="1"/>
  <c r="AB171" i="1" s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AE171" i="1" s="1"/>
  <c r="G171" i="1" a="1"/>
  <c r="G171" i="1" s="1"/>
  <c r="F171" i="1"/>
  <c r="E171" i="1"/>
  <c r="D171" i="1"/>
  <c r="AO172" i="1"/>
  <c r="AM172" i="1"/>
  <c r="AN172" i="1"/>
  <c r="AA172" i="1"/>
  <c r="Z172" i="1"/>
  <c r="Y172" i="1"/>
  <c r="AC172" i="1" s="1"/>
  <c r="W172" i="1"/>
  <c r="V172" i="1"/>
  <c r="X172" i="1"/>
  <c r="AB172" i="1" s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AE172" i="1" s="1"/>
  <c r="G172" i="1" a="1"/>
  <c r="G172" i="1" s="1"/>
  <c r="F172" i="1"/>
  <c r="E172" i="1"/>
  <c r="D172" i="1"/>
  <c r="AN173" i="1"/>
  <c r="AM173" i="1"/>
  <c r="AO173" i="1"/>
  <c r="AA173" i="1"/>
  <c r="Z173" i="1"/>
  <c r="Y173" i="1"/>
  <c r="AC173" i="1" s="1"/>
  <c r="X173" i="1"/>
  <c r="AB173" i="1" s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AE173" i="1" s="1"/>
  <c r="G173" i="1" a="1"/>
  <c r="G173" i="1" s="1"/>
  <c r="F173" i="1"/>
  <c r="E173" i="1"/>
  <c r="D173" i="1"/>
  <c r="AO174" i="1"/>
  <c r="AM174" i="1"/>
  <c r="AN174" i="1"/>
  <c r="AA174" i="1"/>
  <c r="Z174" i="1"/>
  <c r="Y174" i="1"/>
  <c r="AC174" i="1" s="1"/>
  <c r="W174" i="1"/>
  <c r="V174" i="1"/>
  <c r="X174" i="1"/>
  <c r="AB174" i="1" s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AE174" i="1" s="1"/>
  <c r="G174" i="1" a="1"/>
  <c r="G174" i="1" s="1"/>
  <c r="F174" i="1"/>
  <c r="E174" i="1"/>
  <c r="D174" i="1"/>
  <c r="AN175" i="1"/>
  <c r="AM175" i="1"/>
  <c r="AO175" i="1"/>
  <c r="AP175" i="1" s="1"/>
  <c r="AA175" i="1"/>
  <c r="Z175" i="1"/>
  <c r="Y175" i="1"/>
  <c r="W175" i="1"/>
  <c r="V175" i="1"/>
  <c r="X175" i="1"/>
  <c r="AB175" i="1" s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AE175" i="1" s="1"/>
  <c r="G175" i="1" a="1"/>
  <c r="G175" i="1" s="1"/>
  <c r="F175" i="1"/>
  <c r="E175" i="1"/>
  <c r="D175" i="1"/>
  <c r="AO176" i="1"/>
  <c r="AM176" i="1"/>
  <c r="AN176" i="1"/>
  <c r="AA176" i="1"/>
  <c r="Z176" i="1"/>
  <c r="Y176" i="1"/>
  <c r="AC176" i="1" s="1"/>
  <c r="X176" i="1"/>
  <c r="AB176" i="1" s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AE176" i="1" s="1"/>
  <c r="G176" i="1" a="1"/>
  <c r="G176" i="1" s="1"/>
  <c r="F176" i="1"/>
  <c r="E176" i="1"/>
  <c r="D176" i="1"/>
  <c r="AN177" i="1"/>
  <c r="AM177" i="1"/>
  <c r="AO177" i="1"/>
  <c r="AP177" i="1" s="1"/>
  <c r="AA177" i="1"/>
  <c r="Z177" i="1"/>
  <c r="Y177" i="1"/>
  <c r="AC177" i="1" s="1"/>
  <c r="W177" i="1"/>
  <c r="V177" i="1"/>
  <c r="X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G177" i="1" a="1"/>
  <c r="G177" i="1" s="1"/>
  <c r="F177" i="1"/>
  <c r="H177" i="1" s="1"/>
  <c r="E177" i="1"/>
  <c r="D177" i="1"/>
  <c r="AO178" i="1"/>
  <c r="AM178" i="1"/>
  <c r="AN178" i="1"/>
  <c r="AA178" i="1"/>
  <c r="Z178" i="1"/>
  <c r="Y178" i="1"/>
  <c r="AC178" i="1" s="1"/>
  <c r="X178" i="1"/>
  <c r="AB178" i="1" s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AE178" i="1" s="1"/>
  <c r="G178" i="1" a="1"/>
  <c r="G178" i="1" s="1"/>
  <c r="F178" i="1"/>
  <c r="H178" i="1" s="1"/>
  <c r="E178" i="1"/>
  <c r="D178" i="1"/>
  <c r="AN179" i="1"/>
  <c r="AM179" i="1"/>
  <c r="AO179" i="1"/>
  <c r="AP179" i="1" s="1"/>
  <c r="AA179" i="1"/>
  <c r="Z179" i="1"/>
  <c r="Y179" i="1"/>
  <c r="AC179" i="1" s="1"/>
  <c r="W179" i="1"/>
  <c r="V179" i="1"/>
  <c r="X179" i="1"/>
  <c r="AB179" i="1" s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AE179" i="1" s="1"/>
  <c r="G179" i="1" a="1"/>
  <c r="G179" i="1" s="1"/>
  <c r="F179" i="1"/>
  <c r="H179" i="1" s="1"/>
  <c r="E179" i="1"/>
  <c r="D179" i="1"/>
  <c r="AO180" i="1"/>
  <c r="AM180" i="1"/>
  <c r="AN180" i="1"/>
  <c r="AA180" i="1"/>
  <c r="Z180" i="1"/>
  <c r="Y180" i="1"/>
  <c r="AC180" i="1" s="1"/>
  <c r="X180" i="1"/>
  <c r="AB180" i="1" s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AE180" i="1" s="1"/>
  <c r="G180" i="1" a="1"/>
  <c r="G180" i="1" s="1"/>
  <c r="F180" i="1"/>
  <c r="H180" i="1" s="1"/>
  <c r="E180" i="1"/>
  <c r="D180" i="1"/>
  <c r="AN181" i="1"/>
  <c r="AM181" i="1"/>
  <c r="AO181" i="1"/>
  <c r="AP181" i="1" s="1"/>
  <c r="AA181" i="1"/>
  <c r="Z181" i="1"/>
  <c r="Y181" i="1"/>
  <c r="AC181" i="1" s="1"/>
  <c r="W181" i="1"/>
  <c r="V181" i="1"/>
  <c r="X181" i="1"/>
  <c r="AB181" i="1" s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AE181" i="1" s="1"/>
  <c r="G181" i="1" a="1"/>
  <c r="G181" i="1" s="1"/>
  <c r="F181" i="1"/>
  <c r="H181" i="1" s="1"/>
  <c r="E181" i="1"/>
  <c r="D181" i="1"/>
  <c r="AO182" i="1"/>
  <c r="AM182" i="1"/>
  <c r="AN182" i="1"/>
  <c r="AA182" i="1"/>
  <c r="Z182" i="1"/>
  <c r="Y182" i="1"/>
  <c r="AC182" i="1" s="1"/>
  <c r="X182" i="1"/>
  <c r="AB182" i="1" s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AE182" i="1" s="1"/>
  <c r="G182" i="1" a="1"/>
  <c r="G182" i="1" s="1"/>
  <c r="F182" i="1"/>
  <c r="H182" i="1" s="1"/>
  <c r="E182" i="1"/>
  <c r="D182" i="1"/>
  <c r="AN183" i="1"/>
  <c r="AM183" i="1"/>
  <c r="AO183" i="1"/>
  <c r="AP183" i="1" s="1"/>
  <c r="AA183" i="1"/>
  <c r="Z183" i="1"/>
  <c r="Y183" i="1"/>
  <c r="AC183" i="1" s="1"/>
  <c r="W183" i="1"/>
  <c r="V183" i="1"/>
  <c r="X183" i="1"/>
  <c r="AB183" i="1" s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AE183" i="1" s="1"/>
  <c r="G183" i="1" a="1"/>
  <c r="G183" i="1" s="1"/>
  <c r="F183" i="1"/>
  <c r="H183" i="1" s="1"/>
  <c r="E183" i="1"/>
  <c r="D183" i="1"/>
  <c r="AO184" i="1"/>
  <c r="AM184" i="1"/>
  <c r="AN184" i="1"/>
  <c r="AA184" i="1"/>
  <c r="Z184" i="1"/>
  <c r="Y184" i="1"/>
  <c r="AC184" i="1" s="1"/>
  <c r="X184" i="1"/>
  <c r="AB184" i="1" s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AE184" i="1" s="1"/>
  <c r="G184" i="1" a="1"/>
  <c r="G184" i="1" s="1"/>
  <c r="F184" i="1"/>
  <c r="H184" i="1" s="1"/>
  <c r="E184" i="1"/>
  <c r="D184" i="1"/>
  <c r="AN185" i="1"/>
  <c r="AM185" i="1"/>
  <c r="AO185" i="1"/>
  <c r="AP185" i="1" s="1"/>
  <c r="AA185" i="1"/>
  <c r="Z185" i="1"/>
  <c r="Y185" i="1"/>
  <c r="AC185" i="1" s="1"/>
  <c r="W185" i="1"/>
  <c r="V185" i="1"/>
  <c r="X185" i="1"/>
  <c r="AB185" i="1" s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AE185" i="1" s="1"/>
  <c r="G185" i="1" a="1"/>
  <c r="G185" i="1" s="1"/>
  <c r="F185" i="1"/>
  <c r="H185" i="1" s="1"/>
  <c r="E185" i="1"/>
  <c r="D185" i="1"/>
  <c r="AO186" i="1"/>
  <c r="AM186" i="1"/>
  <c r="AN186" i="1"/>
  <c r="AA186" i="1"/>
  <c r="Z186" i="1"/>
  <c r="Y186" i="1"/>
  <c r="AC186" i="1" s="1"/>
  <c r="X186" i="1"/>
  <c r="AB186" i="1" s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AE186" i="1" s="1"/>
  <c r="G186" i="1" a="1"/>
  <c r="G186" i="1" s="1"/>
  <c r="F186" i="1"/>
  <c r="H186" i="1" s="1"/>
  <c r="E186" i="1"/>
  <c r="D186" i="1"/>
  <c r="AN187" i="1"/>
  <c r="AM187" i="1"/>
  <c r="AO187" i="1"/>
  <c r="AP187" i="1" s="1"/>
  <c r="AA187" i="1"/>
  <c r="Z187" i="1"/>
  <c r="Y187" i="1"/>
  <c r="AC187" i="1" s="1"/>
  <c r="W187" i="1"/>
  <c r="V187" i="1"/>
  <c r="U187" i="1"/>
  <c r="X187" i="1"/>
  <c r="AB187" i="1" s="1"/>
  <c r="T187" i="1"/>
  <c r="S187" i="1"/>
  <c r="R187" i="1"/>
  <c r="Q187" i="1"/>
  <c r="P187" i="1"/>
  <c r="O187" i="1"/>
  <c r="N187" i="1"/>
  <c r="M187" i="1"/>
  <c r="L187" i="1"/>
  <c r="K187" i="1"/>
  <c r="J187" i="1"/>
  <c r="I187" i="1"/>
  <c r="AE187" i="1" s="1"/>
  <c r="G187" i="1" a="1"/>
  <c r="G187" i="1" s="1"/>
  <c r="F187" i="1"/>
  <c r="H187" i="1" s="1"/>
  <c r="E187" i="1"/>
  <c r="D187" i="1"/>
  <c r="AO188" i="1"/>
  <c r="AN188" i="1"/>
  <c r="AM188" i="1"/>
  <c r="AA188" i="1"/>
  <c r="Z188" i="1"/>
  <c r="Y188" i="1"/>
  <c r="AC188" i="1" s="1"/>
  <c r="X188" i="1"/>
  <c r="AB188" i="1" s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AE188" i="1" s="1"/>
  <c r="G188" i="1" a="1"/>
  <c r="G188" i="1" s="1"/>
  <c r="F188" i="1"/>
  <c r="E188" i="1"/>
  <c r="D188" i="1"/>
  <c r="AM189" i="1"/>
  <c r="AO189" i="1"/>
  <c r="AP189" i="1" s="1"/>
  <c r="AN189" i="1"/>
  <c r="AA189" i="1"/>
  <c r="Z189" i="1"/>
  <c r="Y189" i="1"/>
  <c r="AC189" i="1" s="1"/>
  <c r="W189" i="1"/>
  <c r="V189" i="1"/>
  <c r="U189" i="1"/>
  <c r="X189" i="1"/>
  <c r="AB189" i="1" s="1"/>
  <c r="T189" i="1"/>
  <c r="S189" i="1"/>
  <c r="R189" i="1"/>
  <c r="Q189" i="1"/>
  <c r="P189" i="1"/>
  <c r="O189" i="1"/>
  <c r="N189" i="1"/>
  <c r="M189" i="1"/>
  <c r="L189" i="1"/>
  <c r="K189" i="1"/>
  <c r="J189" i="1"/>
  <c r="I189" i="1"/>
  <c r="AE189" i="1" s="1"/>
  <c r="G189" i="1" a="1"/>
  <c r="G189" i="1" s="1"/>
  <c r="F189" i="1"/>
  <c r="E189" i="1"/>
  <c r="D189" i="1"/>
  <c r="AO190" i="1"/>
  <c r="AN190" i="1"/>
  <c r="AM190" i="1"/>
  <c r="AA190" i="1"/>
  <c r="Z190" i="1"/>
  <c r="Y190" i="1"/>
  <c r="AC190" i="1" s="1"/>
  <c r="X190" i="1"/>
  <c r="AB190" i="1" s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AE190" i="1" s="1"/>
  <c r="G190" i="1" a="1"/>
  <c r="G190" i="1" s="1"/>
  <c r="F190" i="1"/>
  <c r="E190" i="1"/>
  <c r="D190" i="1"/>
  <c r="AM191" i="1"/>
  <c r="AO191" i="1"/>
  <c r="AP191" i="1" s="1"/>
  <c r="AN191" i="1"/>
  <c r="AA191" i="1"/>
  <c r="Z191" i="1"/>
  <c r="Y191" i="1"/>
  <c r="AC191" i="1" s="1"/>
  <c r="W191" i="1"/>
  <c r="V191" i="1"/>
  <c r="U191" i="1"/>
  <c r="X191" i="1"/>
  <c r="AB191" i="1" s="1"/>
  <c r="T191" i="1"/>
  <c r="S191" i="1"/>
  <c r="R191" i="1"/>
  <c r="Q191" i="1"/>
  <c r="P191" i="1"/>
  <c r="O191" i="1"/>
  <c r="N191" i="1"/>
  <c r="M191" i="1"/>
  <c r="L191" i="1"/>
  <c r="K191" i="1"/>
  <c r="J191" i="1"/>
  <c r="I191" i="1"/>
  <c r="AE191" i="1" s="1"/>
  <c r="G191" i="1" a="1"/>
  <c r="G191" i="1" s="1"/>
  <c r="F191" i="1"/>
  <c r="E191" i="1"/>
  <c r="D191" i="1"/>
  <c r="AO192" i="1"/>
  <c r="AN192" i="1"/>
  <c r="AM192" i="1"/>
  <c r="AA192" i="1"/>
  <c r="Z192" i="1"/>
  <c r="Y192" i="1"/>
  <c r="AC192" i="1" s="1"/>
  <c r="X192" i="1"/>
  <c r="AB192" i="1" s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AE192" i="1" s="1"/>
  <c r="G192" i="1" a="1"/>
  <c r="G192" i="1" s="1"/>
  <c r="F192" i="1"/>
  <c r="E192" i="1"/>
  <c r="D192" i="1"/>
  <c r="AM193" i="1"/>
  <c r="AO193" i="1"/>
  <c r="AP193" i="1" s="1"/>
  <c r="AN193" i="1"/>
  <c r="AA193" i="1"/>
  <c r="Z193" i="1"/>
  <c r="Y193" i="1"/>
  <c r="AC193" i="1" s="1"/>
  <c r="X193" i="1"/>
  <c r="AB193" i="1" s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AE193" i="1" s="1"/>
  <c r="G193" i="1" a="1"/>
  <c r="G193" i="1" s="1"/>
  <c r="F193" i="1"/>
  <c r="E193" i="1"/>
  <c r="D193" i="1"/>
  <c r="AO194" i="1"/>
  <c r="AN194" i="1"/>
  <c r="AM194" i="1"/>
  <c r="AA194" i="1"/>
  <c r="Z194" i="1"/>
  <c r="Y194" i="1"/>
  <c r="AC194" i="1" s="1"/>
  <c r="W194" i="1"/>
  <c r="V194" i="1"/>
  <c r="U194" i="1"/>
  <c r="X194" i="1"/>
  <c r="AB194" i="1" s="1"/>
  <c r="T194" i="1"/>
  <c r="S194" i="1"/>
  <c r="R194" i="1"/>
  <c r="Q194" i="1"/>
  <c r="P194" i="1"/>
  <c r="O194" i="1"/>
  <c r="N194" i="1"/>
  <c r="M194" i="1"/>
  <c r="L194" i="1"/>
  <c r="K194" i="1"/>
  <c r="J194" i="1"/>
  <c r="I194" i="1"/>
  <c r="AE194" i="1" s="1"/>
  <c r="G194" i="1" a="1"/>
  <c r="G194" i="1" s="1"/>
  <c r="F194" i="1"/>
  <c r="E194" i="1"/>
  <c r="D194" i="1"/>
  <c r="AM195" i="1"/>
  <c r="AO195" i="1"/>
  <c r="AP195" i="1" s="1"/>
  <c r="AN195" i="1"/>
  <c r="AA195" i="1"/>
  <c r="Z195" i="1"/>
  <c r="Y195" i="1"/>
  <c r="AC195" i="1" s="1"/>
  <c r="X195" i="1"/>
  <c r="AB195" i="1" s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AE195" i="1" s="1"/>
  <c r="G195" i="1" a="1"/>
  <c r="G195" i="1" s="1"/>
  <c r="F195" i="1"/>
  <c r="E195" i="1"/>
  <c r="D195" i="1"/>
  <c r="AO196" i="1"/>
  <c r="AN196" i="1"/>
  <c r="AM196" i="1"/>
  <c r="Z196" i="1"/>
  <c r="Y196" i="1"/>
  <c r="W196" i="1"/>
  <c r="V196" i="1"/>
  <c r="U196" i="1"/>
  <c r="AA196" i="1"/>
  <c r="X196" i="1"/>
  <c r="AB196" i="1" s="1"/>
  <c r="T196" i="1"/>
  <c r="S196" i="1"/>
  <c r="R196" i="1"/>
  <c r="Q196" i="1"/>
  <c r="P196" i="1"/>
  <c r="O196" i="1"/>
  <c r="N196" i="1"/>
  <c r="M196" i="1"/>
  <c r="L196" i="1"/>
  <c r="K196" i="1"/>
  <c r="J196" i="1"/>
  <c r="I196" i="1"/>
  <c r="AE196" i="1" s="1"/>
  <c r="G196" i="1" a="1"/>
  <c r="G196" i="1" s="1"/>
  <c r="F196" i="1"/>
  <c r="E196" i="1"/>
  <c r="D196" i="1"/>
  <c r="AO197" i="1"/>
  <c r="AM197" i="1"/>
  <c r="AN197" i="1"/>
  <c r="Z197" i="1"/>
  <c r="Y197" i="1"/>
  <c r="AA197" i="1"/>
  <c r="X197" i="1"/>
  <c r="AB197" i="1" s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AE197" i="1" s="1"/>
  <c r="G197" i="1" a="1"/>
  <c r="G197" i="1" s="1"/>
  <c r="F197" i="1"/>
  <c r="E197" i="1"/>
  <c r="D197" i="1"/>
  <c r="AN198" i="1"/>
  <c r="AM198" i="1"/>
  <c r="AO198" i="1"/>
  <c r="AP198" i="1" s="1"/>
  <c r="AA198" i="1"/>
  <c r="Z198" i="1"/>
  <c r="Y198" i="1"/>
  <c r="AC198" i="1" s="1"/>
  <c r="W198" i="1"/>
  <c r="V198" i="1"/>
  <c r="U198" i="1"/>
  <c r="X198" i="1"/>
  <c r="AB198" i="1" s="1"/>
  <c r="T198" i="1"/>
  <c r="S198" i="1"/>
  <c r="R198" i="1"/>
  <c r="Q198" i="1"/>
  <c r="P198" i="1"/>
  <c r="O198" i="1"/>
  <c r="N198" i="1"/>
  <c r="M198" i="1"/>
  <c r="L198" i="1"/>
  <c r="K198" i="1"/>
  <c r="J198" i="1"/>
  <c r="I198" i="1"/>
  <c r="AE198" i="1" s="1"/>
  <c r="G198" i="1" a="1"/>
  <c r="G198" i="1" s="1"/>
  <c r="F198" i="1"/>
  <c r="E198" i="1"/>
  <c r="D198" i="1"/>
  <c r="AO199" i="1"/>
  <c r="AM199" i="1"/>
  <c r="AN199" i="1"/>
  <c r="AA199" i="1"/>
  <c r="Z199" i="1"/>
  <c r="Y199" i="1"/>
  <c r="AC199" i="1" s="1"/>
  <c r="X199" i="1"/>
  <c r="AB199" i="1" s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AE199" i="1" s="1"/>
  <c r="G199" i="1" a="1"/>
  <c r="G199" i="1" s="1"/>
  <c r="F199" i="1"/>
  <c r="E199" i="1"/>
  <c r="D199" i="1"/>
  <c r="AN200" i="1"/>
  <c r="AM200" i="1"/>
  <c r="AO200" i="1"/>
  <c r="AP200" i="1" s="1"/>
  <c r="Z200" i="1"/>
  <c r="Y200" i="1"/>
  <c r="W200" i="1"/>
  <c r="V200" i="1"/>
  <c r="U200" i="1"/>
  <c r="AA200" i="1"/>
  <c r="X200" i="1"/>
  <c r="AB200" i="1" s="1"/>
  <c r="T200" i="1"/>
  <c r="S200" i="1"/>
  <c r="R200" i="1"/>
  <c r="Q200" i="1"/>
  <c r="P200" i="1"/>
  <c r="O200" i="1"/>
  <c r="N200" i="1"/>
  <c r="M200" i="1"/>
  <c r="L200" i="1"/>
  <c r="K200" i="1"/>
  <c r="J200" i="1"/>
  <c r="I200" i="1"/>
  <c r="AE200" i="1" s="1"/>
  <c r="G200" i="1" a="1"/>
  <c r="G200" i="1" s="1"/>
  <c r="F200" i="1"/>
  <c r="E200" i="1"/>
  <c r="D200" i="1"/>
  <c r="AO201" i="1"/>
  <c r="AM201" i="1"/>
  <c r="AN201" i="1"/>
  <c r="Z201" i="1"/>
  <c r="Y201" i="1"/>
  <c r="AA201" i="1"/>
  <c r="X201" i="1"/>
  <c r="AB201" i="1" s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AE201" i="1" s="1"/>
  <c r="G201" i="1" a="1"/>
  <c r="G201" i="1" s="1"/>
  <c r="F201" i="1"/>
  <c r="E201" i="1"/>
  <c r="D201" i="1"/>
  <c r="AN202" i="1"/>
  <c r="AM202" i="1"/>
  <c r="AO202" i="1"/>
  <c r="AP202" i="1" s="1"/>
  <c r="AA202" i="1"/>
  <c r="Z202" i="1"/>
  <c r="Y202" i="1"/>
  <c r="AC202" i="1" s="1"/>
  <c r="W202" i="1"/>
  <c r="V202" i="1"/>
  <c r="U202" i="1"/>
  <c r="X202" i="1"/>
  <c r="AB202" i="1" s="1"/>
  <c r="T202" i="1"/>
  <c r="S202" i="1"/>
  <c r="R202" i="1"/>
  <c r="Q202" i="1"/>
  <c r="P202" i="1"/>
  <c r="O202" i="1"/>
  <c r="N202" i="1"/>
  <c r="M202" i="1"/>
  <c r="L202" i="1"/>
  <c r="K202" i="1"/>
  <c r="J202" i="1"/>
  <c r="I202" i="1"/>
  <c r="AE202" i="1" s="1"/>
  <c r="G202" i="1" a="1"/>
  <c r="G202" i="1" s="1"/>
  <c r="F202" i="1"/>
  <c r="E202" i="1"/>
  <c r="D202" i="1"/>
  <c r="AO203" i="1"/>
  <c r="AM203" i="1"/>
  <c r="AN203" i="1"/>
  <c r="Z203" i="1"/>
  <c r="Y203" i="1"/>
  <c r="X203" i="1"/>
  <c r="AB203" i="1" s="1"/>
  <c r="W203" i="1"/>
  <c r="V203" i="1"/>
  <c r="U203" i="1"/>
  <c r="AA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AE203" i="1" s="1"/>
  <c r="G203" i="1" a="1"/>
  <c r="G203" i="1" s="1"/>
  <c r="F203" i="1"/>
  <c r="E203" i="1"/>
  <c r="D203" i="1"/>
  <c r="AN204" i="1"/>
  <c r="AM204" i="1"/>
  <c r="AO204" i="1"/>
  <c r="AP204" i="1" s="1"/>
  <c r="Z204" i="1"/>
  <c r="Y204" i="1"/>
  <c r="AA204" i="1"/>
  <c r="W204" i="1"/>
  <c r="V204" i="1"/>
  <c r="U204" i="1"/>
  <c r="X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G204" i="1" a="1"/>
  <c r="G204" i="1" s="1"/>
  <c r="F204" i="1"/>
  <c r="E204" i="1"/>
  <c r="D204" i="1"/>
  <c r="AO205" i="1"/>
  <c r="AM205" i="1"/>
  <c r="AN205" i="1"/>
  <c r="AA205" i="1"/>
  <c r="Z205" i="1"/>
  <c r="Y205" i="1"/>
  <c r="AC205" i="1" s="1"/>
  <c r="X205" i="1"/>
  <c r="AB205" i="1" s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AE205" i="1" s="1"/>
  <c r="G205" i="1" a="1"/>
  <c r="G205" i="1" s="1"/>
  <c r="F205" i="1"/>
  <c r="E205" i="1"/>
  <c r="D205" i="1"/>
  <c r="AN206" i="1"/>
  <c r="AM206" i="1"/>
  <c r="AO206" i="1"/>
  <c r="AP206" i="1" s="1"/>
  <c r="Z206" i="1"/>
  <c r="Y206" i="1"/>
  <c r="W206" i="1"/>
  <c r="V206" i="1"/>
  <c r="U206" i="1"/>
  <c r="AA206" i="1"/>
  <c r="X206" i="1"/>
  <c r="AB206" i="1" s="1"/>
  <c r="T206" i="1"/>
  <c r="S206" i="1"/>
  <c r="R206" i="1"/>
  <c r="Q206" i="1"/>
  <c r="P206" i="1"/>
  <c r="O206" i="1"/>
  <c r="N206" i="1"/>
  <c r="M206" i="1"/>
  <c r="L206" i="1"/>
  <c r="K206" i="1"/>
  <c r="J206" i="1"/>
  <c r="I206" i="1"/>
  <c r="AE206" i="1" s="1"/>
  <c r="G206" i="1" a="1"/>
  <c r="G206" i="1" s="1"/>
  <c r="F206" i="1"/>
  <c r="E206" i="1"/>
  <c r="D206" i="1"/>
  <c r="AO207" i="1"/>
  <c r="AN207" i="1"/>
  <c r="AM207" i="1"/>
  <c r="Z207" i="1"/>
  <c r="Y207" i="1"/>
  <c r="AA207" i="1"/>
  <c r="X207" i="1"/>
  <c r="AB207" i="1" s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AE207" i="1" s="1"/>
  <c r="G207" i="1" a="1"/>
  <c r="G207" i="1" s="1"/>
  <c r="F207" i="1"/>
  <c r="E207" i="1"/>
  <c r="D207" i="1"/>
  <c r="AM208" i="1"/>
  <c r="AO208" i="1"/>
  <c r="AP208" i="1" s="1"/>
  <c r="AN208" i="1"/>
  <c r="AA208" i="1"/>
  <c r="Z208" i="1"/>
  <c r="Y208" i="1"/>
  <c r="AC208" i="1" s="1"/>
  <c r="X208" i="1"/>
  <c r="AB208" i="1" s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AE208" i="1" s="1"/>
  <c r="G208" i="1" a="1"/>
  <c r="G208" i="1" s="1"/>
  <c r="F208" i="1"/>
  <c r="E208" i="1"/>
  <c r="D208" i="1"/>
  <c r="AO209" i="1"/>
  <c r="AN209" i="1"/>
  <c r="AM209" i="1"/>
  <c r="Z209" i="1"/>
  <c r="Y209" i="1"/>
  <c r="W209" i="1"/>
  <c r="V209" i="1"/>
  <c r="U209" i="1"/>
  <c r="AA209" i="1"/>
  <c r="X209" i="1"/>
  <c r="AB209" i="1" s="1"/>
  <c r="T209" i="1"/>
  <c r="S209" i="1"/>
  <c r="R209" i="1"/>
  <c r="Q209" i="1"/>
  <c r="P209" i="1"/>
  <c r="O209" i="1"/>
  <c r="N209" i="1"/>
  <c r="M209" i="1"/>
  <c r="L209" i="1"/>
  <c r="K209" i="1"/>
  <c r="J209" i="1"/>
  <c r="I209" i="1"/>
  <c r="G209" i="1" a="1"/>
  <c r="G209" i="1" s="1"/>
  <c r="F209" i="1"/>
  <c r="E209" i="1"/>
  <c r="D209" i="1"/>
  <c r="AM210" i="1"/>
  <c r="AO210" i="1"/>
  <c r="AN210" i="1"/>
  <c r="Z210" i="1"/>
  <c r="Y210" i="1"/>
  <c r="AA210" i="1"/>
  <c r="X210" i="1"/>
  <c r="AB210" i="1" s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G210" i="1" a="1"/>
  <c r="G210" i="1" s="1"/>
  <c r="F210" i="1"/>
  <c r="E210" i="1"/>
  <c r="D210" i="1"/>
  <c r="AO211" i="1"/>
  <c r="AN211" i="1"/>
  <c r="AM211" i="1"/>
  <c r="AA211" i="1"/>
  <c r="Z211" i="1"/>
  <c r="Y211" i="1"/>
  <c r="W211" i="1"/>
  <c r="V211" i="1"/>
  <c r="U211" i="1"/>
  <c r="X211" i="1"/>
  <c r="AB211" i="1" s="1"/>
  <c r="T211" i="1"/>
  <c r="S211" i="1"/>
  <c r="R211" i="1"/>
  <c r="Q211" i="1"/>
  <c r="P211" i="1"/>
  <c r="O211" i="1"/>
  <c r="N211" i="1"/>
  <c r="M211" i="1"/>
  <c r="L211" i="1"/>
  <c r="K211" i="1"/>
  <c r="J211" i="1"/>
  <c r="I211" i="1"/>
  <c r="AE211" i="1" s="1"/>
  <c r="G211" i="1" a="1"/>
  <c r="G211" i="1" s="1"/>
  <c r="F211" i="1"/>
  <c r="E211" i="1"/>
  <c r="D211" i="1"/>
  <c r="AM212" i="1"/>
  <c r="AO212" i="1"/>
  <c r="AP212" i="1" s="1"/>
  <c r="AN212" i="1"/>
  <c r="Z212" i="1"/>
  <c r="Y212" i="1"/>
  <c r="X212" i="1"/>
  <c r="AB212" i="1" s="1"/>
  <c r="W212" i="1"/>
  <c r="V212" i="1"/>
  <c r="U212" i="1"/>
  <c r="AA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AE212" i="1" s="1"/>
  <c r="G212" i="1" a="1"/>
  <c r="G212" i="1" s="1"/>
  <c r="F212" i="1"/>
  <c r="E212" i="1"/>
  <c r="D212" i="1"/>
  <c r="AO213" i="1"/>
  <c r="AN213" i="1"/>
  <c r="AM213" i="1"/>
  <c r="Z213" i="1"/>
  <c r="Y213" i="1"/>
  <c r="AA213" i="1"/>
  <c r="W213" i="1"/>
  <c r="V213" i="1"/>
  <c r="U213" i="1"/>
  <c r="X213" i="1"/>
  <c r="AB213" i="1" s="1"/>
  <c r="T213" i="1"/>
  <c r="S213" i="1"/>
  <c r="R213" i="1"/>
  <c r="Q213" i="1"/>
  <c r="P213" i="1"/>
  <c r="O213" i="1"/>
  <c r="N213" i="1"/>
  <c r="M213" i="1"/>
  <c r="L213" i="1"/>
  <c r="K213" i="1"/>
  <c r="J213" i="1"/>
  <c r="I213" i="1"/>
  <c r="AE213" i="1" s="1"/>
  <c r="G213" i="1" a="1"/>
  <c r="G213" i="1" s="1"/>
  <c r="F213" i="1"/>
  <c r="E213" i="1"/>
  <c r="D213" i="1"/>
  <c r="AM214" i="1"/>
  <c r="AO214" i="1"/>
  <c r="AP214" i="1" s="1"/>
  <c r="AN214" i="1"/>
  <c r="AA214" i="1"/>
  <c r="Z214" i="1"/>
  <c r="Y214" i="1"/>
  <c r="AC214" i="1" s="1"/>
  <c r="X214" i="1"/>
  <c r="AB214" i="1" s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AE214" i="1" s="1"/>
  <c r="G214" i="1" a="1"/>
  <c r="G214" i="1" s="1"/>
  <c r="F214" i="1"/>
  <c r="E214" i="1"/>
  <c r="D214" i="1"/>
  <c r="AO215" i="1"/>
  <c r="AN215" i="1"/>
  <c r="AM215" i="1"/>
  <c r="Z215" i="1"/>
  <c r="Y215" i="1"/>
  <c r="W215" i="1"/>
  <c r="V215" i="1"/>
  <c r="U215" i="1"/>
  <c r="AA215" i="1"/>
  <c r="X215" i="1"/>
  <c r="AB215" i="1" s="1"/>
  <c r="T215" i="1"/>
  <c r="S215" i="1"/>
  <c r="R215" i="1"/>
  <c r="Q215" i="1"/>
  <c r="P215" i="1"/>
  <c r="O215" i="1"/>
  <c r="N215" i="1"/>
  <c r="M215" i="1"/>
  <c r="L215" i="1"/>
  <c r="K215" i="1"/>
  <c r="J215" i="1"/>
  <c r="I215" i="1"/>
  <c r="AE215" i="1" s="1"/>
  <c r="G215" i="1" a="1"/>
  <c r="G215" i="1" s="1"/>
  <c r="F215" i="1"/>
  <c r="E215" i="1"/>
  <c r="D215" i="1"/>
  <c r="AN216" i="1"/>
  <c r="AM216" i="1"/>
  <c r="AO216" i="1"/>
  <c r="AP216" i="1" s="1"/>
  <c r="Z216" i="1"/>
  <c r="Y216" i="1"/>
  <c r="AA216" i="1"/>
  <c r="X216" i="1"/>
  <c r="AB216" i="1" s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AE216" i="1" s="1"/>
  <c r="G216" i="1" a="1"/>
  <c r="G216" i="1" s="1"/>
  <c r="F216" i="1"/>
  <c r="E216" i="1"/>
  <c r="D216" i="1"/>
  <c r="AO217" i="1"/>
  <c r="AM217" i="1"/>
  <c r="AN217" i="1"/>
  <c r="AA217" i="1"/>
  <c r="Z217" i="1"/>
  <c r="Y217" i="1"/>
  <c r="AC217" i="1" s="1"/>
  <c r="W217" i="1"/>
  <c r="V217" i="1"/>
  <c r="U217" i="1"/>
  <c r="X217" i="1"/>
  <c r="AB217" i="1" s="1"/>
  <c r="T217" i="1"/>
  <c r="S217" i="1"/>
  <c r="R217" i="1"/>
  <c r="Q217" i="1"/>
  <c r="P217" i="1"/>
  <c r="O217" i="1"/>
  <c r="N217" i="1"/>
  <c r="M217" i="1"/>
  <c r="L217" i="1"/>
  <c r="K217" i="1"/>
  <c r="J217" i="1"/>
  <c r="I217" i="1"/>
  <c r="AE217" i="1" s="1"/>
  <c r="G217" i="1" a="1"/>
  <c r="G217" i="1" s="1"/>
  <c r="F217" i="1"/>
  <c r="E217" i="1"/>
  <c r="D217" i="1"/>
  <c r="AN218" i="1"/>
  <c r="AM218" i="1"/>
  <c r="AO218" i="1"/>
  <c r="AP218" i="1" s="1"/>
  <c r="Z218" i="1"/>
  <c r="Y218" i="1"/>
  <c r="X218" i="1"/>
  <c r="AB218" i="1" s="1"/>
  <c r="W218" i="1"/>
  <c r="V218" i="1"/>
  <c r="U218" i="1"/>
  <c r="AA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AE218" i="1" s="1"/>
  <c r="G218" i="1" a="1"/>
  <c r="G218" i="1" s="1"/>
  <c r="F218" i="1"/>
  <c r="E218" i="1"/>
  <c r="D218" i="1"/>
  <c r="AO219" i="1"/>
  <c r="AM219" i="1"/>
  <c r="AN219" i="1"/>
  <c r="Z219" i="1"/>
  <c r="Y219" i="1"/>
  <c r="AA219" i="1"/>
  <c r="W219" i="1"/>
  <c r="V219" i="1"/>
  <c r="U219" i="1"/>
  <c r="X219" i="1"/>
  <c r="AB219" i="1" s="1"/>
  <c r="T219" i="1"/>
  <c r="S219" i="1"/>
  <c r="R219" i="1"/>
  <c r="Q219" i="1"/>
  <c r="P219" i="1"/>
  <c r="O219" i="1"/>
  <c r="N219" i="1"/>
  <c r="M219" i="1"/>
  <c r="L219" i="1"/>
  <c r="K219" i="1"/>
  <c r="J219" i="1"/>
  <c r="I219" i="1"/>
  <c r="AE219" i="1" s="1"/>
  <c r="G219" i="1" a="1"/>
  <c r="G219" i="1" s="1"/>
  <c r="F219" i="1"/>
  <c r="E219" i="1"/>
  <c r="D219" i="1"/>
  <c r="AN220" i="1"/>
  <c r="AM220" i="1"/>
  <c r="AO220" i="1"/>
  <c r="AP220" i="1" s="1"/>
  <c r="AA220" i="1"/>
  <c r="Z220" i="1"/>
  <c r="Y220" i="1"/>
  <c r="AC220" i="1" s="1"/>
  <c r="X220" i="1"/>
  <c r="AB220" i="1" s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AE220" i="1" s="1"/>
  <c r="G220" i="1" a="1"/>
  <c r="G220" i="1" s="1"/>
  <c r="F220" i="1"/>
  <c r="E220" i="1"/>
  <c r="D220" i="1"/>
  <c r="AO221" i="1"/>
  <c r="AM221" i="1"/>
  <c r="AN221" i="1"/>
  <c r="Z221" i="1"/>
  <c r="Y221" i="1"/>
  <c r="W221" i="1"/>
  <c r="V221" i="1"/>
  <c r="U221" i="1"/>
  <c r="AA221" i="1"/>
  <c r="X221" i="1"/>
  <c r="AB221" i="1" s="1"/>
  <c r="T221" i="1"/>
  <c r="S221" i="1"/>
  <c r="R221" i="1"/>
  <c r="Q221" i="1"/>
  <c r="P221" i="1"/>
  <c r="O221" i="1"/>
  <c r="N221" i="1"/>
  <c r="M221" i="1"/>
  <c r="L221" i="1"/>
  <c r="K221" i="1"/>
  <c r="J221" i="1"/>
  <c r="I221" i="1"/>
  <c r="AE221" i="1" s="1"/>
  <c r="G221" i="1" a="1"/>
  <c r="G221" i="1" s="1"/>
  <c r="F221" i="1"/>
  <c r="E221" i="1"/>
  <c r="D221" i="1"/>
  <c r="AN222" i="1"/>
  <c r="AM222" i="1"/>
  <c r="AO222" i="1"/>
  <c r="AP222" i="1" s="1"/>
  <c r="Z222" i="1"/>
  <c r="Y222" i="1"/>
  <c r="AA222" i="1"/>
  <c r="X222" i="1"/>
  <c r="AB222" i="1" s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AE222" i="1" s="1"/>
  <c r="G222" i="1" a="1"/>
  <c r="G222" i="1" s="1"/>
  <c r="F222" i="1"/>
  <c r="E222" i="1"/>
  <c r="D222" i="1"/>
  <c r="AO223" i="1"/>
  <c r="AM223" i="1"/>
  <c r="AN223" i="1"/>
  <c r="AA223" i="1"/>
  <c r="Z223" i="1"/>
  <c r="Y223" i="1"/>
  <c r="AC223" i="1" s="1"/>
  <c r="W223" i="1"/>
  <c r="V223" i="1"/>
  <c r="U223" i="1"/>
  <c r="X223" i="1"/>
  <c r="AB223" i="1" s="1"/>
  <c r="T223" i="1"/>
  <c r="S223" i="1"/>
  <c r="R223" i="1"/>
  <c r="Q223" i="1"/>
  <c r="P223" i="1"/>
  <c r="O223" i="1"/>
  <c r="N223" i="1"/>
  <c r="M223" i="1"/>
  <c r="L223" i="1"/>
  <c r="K223" i="1"/>
  <c r="J223" i="1"/>
  <c r="I223" i="1"/>
  <c r="AE223" i="1" s="1"/>
  <c r="G223" i="1" a="1"/>
  <c r="G223" i="1" s="1"/>
  <c r="F223" i="1"/>
  <c r="E223" i="1"/>
  <c r="D223" i="1"/>
  <c r="AN224" i="1"/>
  <c r="AM224" i="1"/>
  <c r="AO224" i="1"/>
  <c r="AP224" i="1" s="1"/>
  <c r="Z224" i="1"/>
  <c r="Y224" i="1"/>
  <c r="X224" i="1"/>
  <c r="AB224" i="1" s="1"/>
  <c r="W224" i="1"/>
  <c r="V224" i="1"/>
  <c r="U224" i="1"/>
  <c r="AA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AE224" i="1" s="1"/>
  <c r="G224" i="1" a="1"/>
  <c r="G224" i="1" s="1"/>
  <c r="F224" i="1"/>
  <c r="E224" i="1"/>
  <c r="D224" i="1"/>
  <c r="AO225" i="1"/>
  <c r="AM225" i="1"/>
  <c r="AN225" i="1"/>
  <c r="Z225" i="1"/>
  <c r="Y225" i="1"/>
  <c r="AA225" i="1"/>
  <c r="W225" i="1"/>
  <c r="V225" i="1"/>
  <c r="U225" i="1"/>
  <c r="X225" i="1"/>
  <c r="AB225" i="1" s="1"/>
  <c r="T225" i="1"/>
  <c r="S225" i="1"/>
  <c r="R225" i="1"/>
  <c r="Q225" i="1"/>
  <c r="P225" i="1"/>
  <c r="O225" i="1"/>
  <c r="N225" i="1"/>
  <c r="M225" i="1"/>
  <c r="L225" i="1"/>
  <c r="K225" i="1"/>
  <c r="J225" i="1"/>
  <c r="I225" i="1"/>
  <c r="AE225" i="1" s="1"/>
  <c r="G225" i="1" a="1"/>
  <c r="G225" i="1" s="1"/>
  <c r="F225" i="1"/>
  <c r="E225" i="1"/>
  <c r="D225" i="1"/>
  <c r="AN226" i="1"/>
  <c r="AM226" i="1"/>
  <c r="AO226" i="1"/>
  <c r="AP226" i="1" s="1"/>
  <c r="AA226" i="1"/>
  <c r="Z226" i="1"/>
  <c r="Y226" i="1"/>
  <c r="AC226" i="1" s="1"/>
  <c r="X226" i="1"/>
  <c r="AB226" i="1" s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AE226" i="1" s="1"/>
  <c r="G226" i="1" a="1"/>
  <c r="G226" i="1" s="1"/>
  <c r="F226" i="1"/>
  <c r="E226" i="1"/>
  <c r="D226" i="1"/>
  <c r="AO227" i="1"/>
  <c r="AM227" i="1"/>
  <c r="AN227" i="1"/>
  <c r="Z227" i="1"/>
  <c r="Y227" i="1"/>
  <c r="W227" i="1"/>
  <c r="V227" i="1"/>
  <c r="U227" i="1"/>
  <c r="AA227" i="1"/>
  <c r="X227" i="1"/>
  <c r="AB227" i="1" s="1"/>
  <c r="T227" i="1"/>
  <c r="S227" i="1"/>
  <c r="R227" i="1"/>
  <c r="Q227" i="1"/>
  <c r="P227" i="1"/>
  <c r="O227" i="1"/>
  <c r="N227" i="1"/>
  <c r="M227" i="1"/>
  <c r="L227" i="1"/>
  <c r="K227" i="1"/>
  <c r="J227" i="1"/>
  <c r="I227" i="1"/>
  <c r="AE227" i="1" s="1"/>
  <c r="G227" i="1" a="1"/>
  <c r="G227" i="1" s="1"/>
  <c r="F227" i="1"/>
  <c r="E227" i="1"/>
  <c r="D227" i="1"/>
  <c r="AN228" i="1"/>
  <c r="AM228" i="1"/>
  <c r="AO228" i="1"/>
  <c r="AP228" i="1" s="1"/>
  <c r="AA228" i="1"/>
  <c r="Z228" i="1"/>
  <c r="Y228" i="1"/>
  <c r="AC228" i="1" s="1"/>
  <c r="X228" i="1"/>
  <c r="AB228" i="1" s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AE228" i="1" s="1"/>
  <c r="G228" i="1" a="1"/>
  <c r="G228" i="1" s="1"/>
  <c r="F228" i="1"/>
  <c r="E228" i="1"/>
  <c r="D228" i="1"/>
  <c r="AO229" i="1"/>
  <c r="AM229" i="1"/>
  <c r="AN229" i="1"/>
  <c r="Z229" i="1"/>
  <c r="Y229" i="1"/>
  <c r="AA229" i="1"/>
  <c r="W229" i="1"/>
  <c r="V229" i="1"/>
  <c r="U229" i="1"/>
  <c r="X229" i="1"/>
  <c r="AB229" i="1" s="1"/>
  <c r="T229" i="1"/>
  <c r="S229" i="1"/>
  <c r="R229" i="1"/>
  <c r="Q229" i="1"/>
  <c r="P229" i="1"/>
  <c r="O229" i="1"/>
  <c r="N229" i="1"/>
  <c r="M229" i="1"/>
  <c r="L229" i="1"/>
  <c r="K229" i="1"/>
  <c r="J229" i="1"/>
  <c r="I229" i="1"/>
  <c r="AE229" i="1" s="1"/>
  <c r="G229" i="1" a="1"/>
  <c r="G229" i="1" s="1"/>
  <c r="F229" i="1"/>
  <c r="E229" i="1"/>
  <c r="D229" i="1"/>
  <c r="AN230" i="1"/>
  <c r="AM230" i="1"/>
  <c r="AO230" i="1"/>
  <c r="AP230" i="1" s="1"/>
  <c r="Z230" i="1"/>
  <c r="Y230" i="1"/>
  <c r="X230" i="1"/>
  <c r="AB230" i="1" s="1"/>
  <c r="W230" i="1"/>
  <c r="V230" i="1"/>
  <c r="U230" i="1"/>
  <c r="AA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AE230" i="1" s="1"/>
  <c r="G230" i="1" a="1"/>
  <c r="G230" i="1" s="1"/>
  <c r="F230" i="1"/>
  <c r="H230" i="1" s="1"/>
  <c r="E230" i="1"/>
  <c r="D230" i="1"/>
  <c r="AO231" i="1"/>
  <c r="AM231" i="1"/>
  <c r="AN231" i="1"/>
  <c r="AA231" i="1"/>
  <c r="Z231" i="1"/>
  <c r="Y231" i="1"/>
  <c r="AC231" i="1" s="1"/>
  <c r="W231" i="1"/>
  <c r="V231" i="1"/>
  <c r="U231" i="1"/>
  <c r="X231" i="1"/>
  <c r="AB231" i="1" s="1"/>
  <c r="T231" i="1"/>
  <c r="S231" i="1"/>
  <c r="R231" i="1"/>
  <c r="Q231" i="1"/>
  <c r="P231" i="1"/>
  <c r="O231" i="1"/>
  <c r="N231" i="1"/>
  <c r="M231" i="1"/>
  <c r="L231" i="1"/>
  <c r="K231" i="1"/>
  <c r="J231" i="1"/>
  <c r="I231" i="1"/>
  <c r="AE231" i="1" s="1"/>
  <c r="G231" i="1" a="1"/>
  <c r="G231" i="1" s="1"/>
  <c r="F231" i="1"/>
  <c r="H231" i="1" s="1"/>
  <c r="E231" i="1"/>
  <c r="D231" i="1"/>
  <c r="AN232" i="1"/>
  <c r="AM232" i="1"/>
  <c r="AO232" i="1"/>
  <c r="AP232" i="1" s="1"/>
  <c r="Z232" i="1"/>
  <c r="Y232" i="1"/>
  <c r="AA232" i="1"/>
  <c r="X232" i="1"/>
  <c r="AB232" i="1" s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AE232" i="1" s="1"/>
  <c r="G232" i="1" a="1"/>
  <c r="G232" i="1" s="1"/>
  <c r="F232" i="1"/>
  <c r="H232" i="1" s="1"/>
  <c r="E232" i="1"/>
  <c r="D232" i="1"/>
  <c r="AO233" i="1"/>
  <c r="AM233" i="1"/>
  <c r="AN233" i="1"/>
  <c r="Z233" i="1"/>
  <c r="Y233" i="1"/>
  <c r="W233" i="1"/>
  <c r="V233" i="1"/>
  <c r="U233" i="1"/>
  <c r="AA233" i="1"/>
  <c r="X233" i="1"/>
  <c r="AB233" i="1" s="1"/>
  <c r="T233" i="1"/>
  <c r="S233" i="1"/>
  <c r="R233" i="1"/>
  <c r="Q233" i="1"/>
  <c r="P233" i="1"/>
  <c r="O233" i="1"/>
  <c r="N233" i="1"/>
  <c r="M233" i="1"/>
  <c r="L233" i="1"/>
  <c r="K233" i="1"/>
  <c r="J233" i="1"/>
  <c r="I233" i="1"/>
  <c r="AE233" i="1" s="1"/>
  <c r="G233" i="1" a="1"/>
  <c r="G233" i="1" s="1"/>
  <c r="F233" i="1"/>
  <c r="H233" i="1" s="1"/>
  <c r="E233" i="1"/>
  <c r="D233" i="1"/>
  <c r="AN234" i="1"/>
  <c r="AM234" i="1"/>
  <c r="AO234" i="1"/>
  <c r="AP234" i="1" s="1"/>
  <c r="AA234" i="1"/>
  <c r="Z234" i="1"/>
  <c r="Y234" i="1"/>
  <c r="AC234" i="1" s="1"/>
  <c r="X234" i="1"/>
  <c r="AB234" i="1" s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AE234" i="1" s="1"/>
  <c r="G234" i="1" a="1"/>
  <c r="G234" i="1" s="1"/>
  <c r="F234" i="1"/>
  <c r="H234" i="1" s="1"/>
  <c r="E234" i="1"/>
  <c r="D234" i="1"/>
  <c r="AO235" i="1"/>
  <c r="AM235" i="1"/>
  <c r="AN235" i="1"/>
  <c r="Z235" i="1"/>
  <c r="Y235" i="1"/>
  <c r="AA235" i="1"/>
  <c r="W235" i="1"/>
  <c r="V235" i="1"/>
  <c r="U235" i="1"/>
  <c r="X235" i="1"/>
  <c r="AB235" i="1" s="1"/>
  <c r="T235" i="1"/>
  <c r="S235" i="1"/>
  <c r="R235" i="1"/>
  <c r="Q235" i="1"/>
  <c r="P235" i="1"/>
  <c r="O235" i="1"/>
  <c r="N235" i="1"/>
  <c r="M235" i="1"/>
  <c r="L235" i="1"/>
  <c r="K235" i="1"/>
  <c r="J235" i="1"/>
  <c r="I235" i="1"/>
  <c r="AE235" i="1" s="1"/>
  <c r="G235" i="1" a="1"/>
  <c r="G235" i="1" s="1"/>
  <c r="F235" i="1"/>
  <c r="H235" i="1" s="1"/>
  <c r="E235" i="1"/>
  <c r="D235" i="1"/>
  <c r="AN236" i="1"/>
  <c r="AM236" i="1"/>
  <c r="AO236" i="1"/>
  <c r="AP236" i="1" s="1"/>
  <c r="Z236" i="1"/>
  <c r="Y236" i="1"/>
  <c r="X236" i="1"/>
  <c r="AB236" i="1" s="1"/>
  <c r="W236" i="1"/>
  <c r="V236" i="1"/>
  <c r="U236" i="1"/>
  <c r="AA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AE236" i="1" s="1"/>
  <c r="G236" i="1" a="1"/>
  <c r="G236" i="1" s="1"/>
  <c r="F236" i="1"/>
  <c r="H236" i="1" s="1"/>
  <c r="E236" i="1"/>
  <c r="D236" i="1"/>
  <c r="AO237" i="1"/>
  <c r="AM237" i="1"/>
  <c r="AN237" i="1"/>
  <c r="AA237" i="1"/>
  <c r="Z237" i="1"/>
  <c r="Y237" i="1"/>
  <c r="AC237" i="1" s="1"/>
  <c r="X237" i="1"/>
  <c r="AB237" i="1" s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AE237" i="1" s="1"/>
  <c r="G237" i="1" a="1"/>
  <c r="G237" i="1" s="1"/>
  <c r="F237" i="1"/>
  <c r="H237" i="1" s="1"/>
  <c r="E237" i="1"/>
  <c r="D237" i="1"/>
  <c r="AN238" i="1"/>
  <c r="AM238" i="1"/>
  <c r="AO238" i="1"/>
  <c r="AP238" i="1" s="1"/>
  <c r="Z238" i="1"/>
  <c r="Y238" i="1"/>
  <c r="X238" i="1"/>
  <c r="AB238" i="1" s="1"/>
  <c r="AA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AE238" i="1" s="1"/>
  <c r="G238" i="1" a="1"/>
  <c r="G238" i="1" s="1"/>
  <c r="F238" i="1"/>
  <c r="H238" i="1" s="1"/>
  <c r="E238" i="1"/>
  <c r="D238" i="1"/>
  <c r="AO239" i="1"/>
  <c r="AM239" i="1"/>
  <c r="AN239" i="1"/>
  <c r="Z239" i="1"/>
  <c r="Y239" i="1"/>
  <c r="X239" i="1"/>
  <c r="AB239" i="1" s="1"/>
  <c r="W239" i="1"/>
  <c r="V239" i="1"/>
  <c r="U239" i="1"/>
  <c r="AA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AE239" i="1" s="1"/>
  <c r="G239" i="1" a="1"/>
  <c r="G239" i="1" s="1"/>
  <c r="F239" i="1"/>
  <c r="H239" i="1" s="1"/>
  <c r="E239" i="1"/>
  <c r="D239" i="1"/>
  <c r="AN240" i="1"/>
  <c r="AM240" i="1"/>
  <c r="AO240" i="1"/>
  <c r="AP240" i="1" s="1"/>
  <c r="AA240" i="1"/>
  <c r="Z240" i="1"/>
  <c r="Y240" i="1"/>
  <c r="AC240" i="1" s="1"/>
  <c r="X240" i="1"/>
  <c r="AB240" i="1" s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AE240" i="1" s="1"/>
  <c r="G240" i="1" a="1"/>
  <c r="G240" i="1" s="1"/>
  <c r="F240" i="1"/>
  <c r="E240" i="1"/>
  <c r="D240" i="1"/>
  <c r="AO241" i="1"/>
  <c r="AM241" i="1"/>
  <c r="AN241" i="1"/>
  <c r="Z241" i="1"/>
  <c r="Y241" i="1"/>
  <c r="X241" i="1"/>
  <c r="AB241" i="1" s="1"/>
  <c r="AA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AE241" i="1" s="1"/>
  <c r="G241" i="1" a="1"/>
  <c r="G241" i="1" s="1"/>
  <c r="F241" i="1"/>
  <c r="E241" i="1"/>
  <c r="D241" i="1"/>
  <c r="AN242" i="1"/>
  <c r="AM242" i="1"/>
  <c r="AO242" i="1"/>
  <c r="AP242" i="1" s="1"/>
  <c r="Z242" i="1"/>
  <c r="Y242" i="1"/>
  <c r="X242" i="1"/>
  <c r="AB242" i="1" s="1"/>
  <c r="W242" i="1"/>
  <c r="V242" i="1"/>
  <c r="U242" i="1"/>
  <c r="AA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AE242" i="1" s="1"/>
  <c r="G242" i="1" a="1"/>
  <c r="G242" i="1" s="1"/>
  <c r="F242" i="1"/>
  <c r="E242" i="1"/>
  <c r="D242" i="1"/>
  <c r="AO243" i="1"/>
  <c r="AN243" i="1"/>
  <c r="AM243" i="1"/>
  <c r="AA243" i="1"/>
  <c r="Z243" i="1"/>
  <c r="Y243" i="1"/>
  <c r="AC243" i="1" s="1"/>
  <c r="X243" i="1"/>
  <c r="AB243" i="1" s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AE243" i="1" s="1"/>
  <c r="G243" i="1" a="1"/>
  <c r="G243" i="1" s="1"/>
  <c r="F243" i="1"/>
  <c r="E243" i="1"/>
  <c r="D243" i="1"/>
  <c r="AM244" i="1"/>
  <c r="AO244" i="1"/>
  <c r="AP244" i="1" s="1"/>
  <c r="AN244" i="1"/>
  <c r="Z244" i="1"/>
  <c r="Y244" i="1"/>
  <c r="X244" i="1"/>
  <c r="AB244" i="1" s="1"/>
  <c r="AA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AE244" i="1" s="1"/>
  <c r="G244" i="1" a="1"/>
  <c r="G244" i="1" s="1"/>
  <c r="F244" i="1"/>
  <c r="E244" i="1"/>
  <c r="D244" i="1"/>
  <c r="AO245" i="1"/>
  <c r="AN245" i="1"/>
  <c r="AM245" i="1"/>
  <c r="AA245" i="1"/>
  <c r="Z245" i="1"/>
  <c r="Y245" i="1"/>
  <c r="AC245" i="1" s="1"/>
  <c r="X245" i="1"/>
  <c r="AB245" i="1" s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AE245" i="1" s="1"/>
  <c r="G245" i="1" a="1"/>
  <c r="G245" i="1" s="1"/>
  <c r="F245" i="1"/>
  <c r="E245" i="1"/>
  <c r="D245" i="1"/>
  <c r="AM246" i="1"/>
  <c r="AO246" i="1"/>
  <c r="AP246" i="1" s="1"/>
  <c r="AN246" i="1"/>
  <c r="Z246" i="1"/>
  <c r="Y246" i="1"/>
  <c r="X246" i="1"/>
  <c r="AB246" i="1" s="1"/>
  <c r="W246" i="1"/>
  <c r="V246" i="1"/>
  <c r="U246" i="1"/>
  <c r="AA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AE246" i="1" s="1"/>
  <c r="G246" i="1" a="1"/>
  <c r="G246" i="1" s="1"/>
  <c r="F246" i="1"/>
  <c r="E246" i="1"/>
  <c r="D246" i="1"/>
  <c r="AO247" i="1"/>
  <c r="AN247" i="1"/>
  <c r="AM247" i="1"/>
  <c r="Z247" i="1"/>
  <c r="Y247" i="1"/>
  <c r="X247" i="1"/>
  <c r="AB247" i="1" s="1"/>
  <c r="AA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AE247" i="1" s="1"/>
  <c r="G247" i="1" a="1"/>
  <c r="G247" i="1" s="1"/>
  <c r="F247" i="1"/>
  <c r="E247" i="1"/>
  <c r="D247" i="1"/>
  <c r="AM248" i="1"/>
  <c r="AO248" i="1"/>
  <c r="AP248" i="1" s="1"/>
  <c r="AN248" i="1"/>
  <c r="AA248" i="1"/>
  <c r="Z248" i="1"/>
  <c r="Y248" i="1"/>
  <c r="AC248" i="1" s="1"/>
  <c r="X248" i="1"/>
  <c r="AB248" i="1" s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AE248" i="1" s="1"/>
  <c r="G248" i="1" a="1"/>
  <c r="G248" i="1" s="1"/>
  <c r="F248" i="1"/>
  <c r="E248" i="1"/>
  <c r="D248" i="1"/>
  <c r="AO249" i="1"/>
  <c r="AN249" i="1"/>
  <c r="AM249" i="1"/>
  <c r="Z249" i="1"/>
  <c r="Y249" i="1"/>
  <c r="X249" i="1"/>
  <c r="AB249" i="1" s="1"/>
  <c r="W249" i="1"/>
  <c r="V249" i="1"/>
  <c r="U249" i="1"/>
  <c r="AA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AE249" i="1" s="1"/>
  <c r="G249" i="1" a="1"/>
  <c r="G249" i="1" s="1"/>
  <c r="F249" i="1"/>
  <c r="E249" i="1"/>
  <c r="D249" i="1"/>
  <c r="AM250" i="1"/>
  <c r="AO250" i="1"/>
  <c r="AN250" i="1"/>
  <c r="Z250" i="1"/>
  <c r="Y250" i="1"/>
  <c r="X250" i="1"/>
  <c r="AB250" i="1" s="1"/>
  <c r="AA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AE250" i="1" s="1"/>
  <c r="G250" i="1" a="1"/>
  <c r="G250" i="1" s="1"/>
  <c r="F250" i="1"/>
  <c r="E250" i="1"/>
  <c r="D250" i="1"/>
  <c r="AO251" i="1"/>
  <c r="AN251" i="1"/>
  <c r="AM251" i="1"/>
  <c r="AA251" i="1"/>
  <c r="Z251" i="1"/>
  <c r="Y251" i="1"/>
  <c r="AC251" i="1" s="1"/>
  <c r="X251" i="1"/>
  <c r="AB251" i="1" s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AE251" i="1" s="1"/>
  <c r="G251" i="1" a="1"/>
  <c r="G251" i="1" s="1"/>
  <c r="F251" i="1"/>
  <c r="E251" i="1"/>
  <c r="D251" i="1"/>
  <c r="AM252" i="1"/>
  <c r="AO252" i="1"/>
  <c r="AP252" i="1" s="1"/>
  <c r="AN252" i="1"/>
  <c r="Z252" i="1"/>
  <c r="Y252" i="1"/>
  <c r="X252" i="1"/>
  <c r="AB252" i="1" s="1"/>
  <c r="W252" i="1"/>
  <c r="V252" i="1"/>
  <c r="U252" i="1"/>
  <c r="AA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AE252" i="1" s="1"/>
  <c r="G252" i="1" a="1"/>
  <c r="G252" i="1" s="1"/>
  <c r="F252" i="1"/>
  <c r="E252" i="1"/>
  <c r="D252" i="1"/>
  <c r="AO253" i="1"/>
  <c r="AN253" i="1"/>
  <c r="AM253" i="1"/>
  <c r="Z253" i="1"/>
  <c r="Y253" i="1"/>
  <c r="X253" i="1"/>
  <c r="AB253" i="1" s="1"/>
  <c r="AA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AE253" i="1" s="1"/>
  <c r="G253" i="1" a="1"/>
  <c r="G253" i="1" s="1"/>
  <c r="F253" i="1"/>
  <c r="E253" i="1"/>
  <c r="D253" i="1"/>
  <c r="AM254" i="1"/>
  <c r="AO254" i="1"/>
  <c r="AP254" i="1" s="1"/>
  <c r="AN254" i="1"/>
  <c r="AA254" i="1"/>
  <c r="Z254" i="1"/>
  <c r="Y254" i="1"/>
  <c r="AC254" i="1" s="1"/>
  <c r="X254" i="1"/>
  <c r="AB254" i="1" s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AE254" i="1" s="1"/>
  <c r="G254" i="1" a="1"/>
  <c r="G254" i="1" s="1"/>
  <c r="F254" i="1"/>
  <c r="E254" i="1"/>
  <c r="D254" i="1"/>
  <c r="AO255" i="1"/>
  <c r="AN255" i="1"/>
  <c r="AM255" i="1"/>
  <c r="Z255" i="1"/>
  <c r="Y255" i="1"/>
  <c r="X255" i="1"/>
  <c r="AB255" i="1" s="1"/>
  <c r="W255" i="1"/>
  <c r="V255" i="1"/>
  <c r="U255" i="1"/>
  <c r="AA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AE255" i="1" s="1"/>
  <c r="G255" i="1" a="1"/>
  <c r="G255" i="1" s="1"/>
  <c r="F255" i="1"/>
  <c r="E255" i="1"/>
  <c r="D255" i="1"/>
  <c r="AM256" i="1"/>
  <c r="AO256" i="1"/>
  <c r="AP256" i="1" s="1"/>
  <c r="AN256" i="1"/>
  <c r="AA256" i="1"/>
  <c r="Z256" i="1"/>
  <c r="Y256" i="1"/>
  <c r="AC256" i="1" s="1"/>
  <c r="X256" i="1"/>
  <c r="AB256" i="1" s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AE256" i="1" s="1"/>
  <c r="G256" i="1" a="1"/>
  <c r="G256" i="1" s="1"/>
  <c r="F256" i="1"/>
  <c r="E256" i="1"/>
  <c r="D256" i="1"/>
  <c r="AO257" i="1"/>
  <c r="AN257" i="1"/>
  <c r="AM257" i="1"/>
  <c r="Z257" i="1"/>
  <c r="Y257" i="1"/>
  <c r="X257" i="1"/>
  <c r="AB257" i="1" s="1"/>
  <c r="AA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G257" i="1" a="1"/>
  <c r="G257" i="1" s="1"/>
  <c r="F257" i="1"/>
  <c r="H257" i="1" s="1"/>
  <c r="E257" i="1"/>
  <c r="D257" i="1"/>
  <c r="AM258" i="1"/>
  <c r="AO258" i="1"/>
  <c r="AP258" i="1" s="1"/>
  <c r="AN258" i="1"/>
  <c r="Z258" i="1"/>
  <c r="Y258" i="1"/>
  <c r="X258" i="1"/>
  <c r="AB258" i="1" s="1"/>
  <c r="W258" i="1"/>
  <c r="V258" i="1"/>
  <c r="U258" i="1"/>
  <c r="AA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AE258" i="1" s="1"/>
  <c r="G258" i="1" a="1"/>
  <c r="G258" i="1" s="1"/>
  <c r="F258" i="1"/>
  <c r="H258" i="1" s="1"/>
  <c r="E258" i="1"/>
  <c r="D258" i="1"/>
  <c r="AO259" i="1"/>
  <c r="AN259" i="1"/>
  <c r="AM259" i="1"/>
  <c r="AA259" i="1"/>
  <c r="Z259" i="1"/>
  <c r="Y259" i="1"/>
  <c r="AC259" i="1" s="1"/>
  <c r="X259" i="1"/>
  <c r="AB259" i="1" s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AE259" i="1" s="1"/>
  <c r="G259" i="1" a="1"/>
  <c r="G259" i="1" s="1"/>
  <c r="F259" i="1"/>
  <c r="H259" i="1" s="1"/>
  <c r="E259" i="1"/>
  <c r="D259" i="1"/>
  <c r="AN260" i="1"/>
  <c r="AM260" i="1"/>
  <c r="AO260" i="1"/>
  <c r="AP260" i="1" s="1"/>
  <c r="Z260" i="1"/>
  <c r="Y260" i="1"/>
  <c r="X260" i="1"/>
  <c r="AB260" i="1" s="1"/>
  <c r="AA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AE260" i="1" s="1"/>
  <c r="G260" i="1" a="1"/>
  <c r="G260" i="1" s="1"/>
  <c r="F260" i="1"/>
  <c r="H260" i="1" s="1"/>
  <c r="E260" i="1"/>
  <c r="D260" i="1"/>
  <c r="AO261" i="1"/>
  <c r="AM261" i="1"/>
  <c r="AN261" i="1"/>
  <c r="Z261" i="1"/>
  <c r="Y261" i="1"/>
  <c r="X261" i="1"/>
  <c r="AB261" i="1" s="1"/>
  <c r="W261" i="1"/>
  <c r="V261" i="1"/>
  <c r="U261" i="1"/>
  <c r="AA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AE261" i="1" s="1"/>
  <c r="G261" i="1" a="1"/>
  <c r="G261" i="1" s="1"/>
  <c r="F261" i="1"/>
  <c r="H261" i="1" s="1"/>
  <c r="E261" i="1"/>
  <c r="D261" i="1"/>
  <c r="AN262" i="1"/>
  <c r="AM262" i="1"/>
  <c r="AO262" i="1"/>
  <c r="AP262" i="1" s="1"/>
  <c r="AA262" i="1"/>
  <c r="Z262" i="1"/>
  <c r="Y262" i="1"/>
  <c r="AC262" i="1" s="1"/>
  <c r="X262" i="1"/>
  <c r="AB262" i="1" s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AE262" i="1" s="1"/>
  <c r="G262" i="1" a="1"/>
  <c r="G262" i="1" s="1"/>
  <c r="F262" i="1"/>
  <c r="H262" i="1" s="1"/>
  <c r="E262" i="1"/>
  <c r="D262" i="1"/>
  <c r="AO263" i="1"/>
  <c r="AM263" i="1"/>
  <c r="AN263" i="1"/>
  <c r="Z263" i="1"/>
  <c r="Y263" i="1"/>
  <c r="X263" i="1"/>
  <c r="AB263" i="1" s="1"/>
  <c r="W263" i="1"/>
  <c r="V263" i="1"/>
  <c r="U263" i="1"/>
  <c r="T263" i="1"/>
  <c r="S263" i="1"/>
  <c r="R263" i="1"/>
  <c r="AA263" i="1"/>
  <c r="Q263" i="1"/>
  <c r="P263" i="1"/>
  <c r="O263" i="1"/>
  <c r="N263" i="1"/>
  <c r="M263" i="1"/>
  <c r="L263" i="1"/>
  <c r="K263" i="1"/>
  <c r="J263" i="1"/>
  <c r="I263" i="1"/>
  <c r="AE263" i="1" s="1"/>
  <c r="G263" i="1" a="1"/>
  <c r="G263" i="1" s="1"/>
  <c r="F263" i="1"/>
  <c r="H263" i="1" s="1"/>
  <c r="E263" i="1"/>
  <c r="D263" i="1"/>
  <c r="AN264" i="1"/>
  <c r="AM264" i="1"/>
  <c r="AO264" i="1"/>
  <c r="AP264" i="1" s="1"/>
  <c r="Z264" i="1"/>
  <c r="Y264" i="1"/>
  <c r="X264" i="1"/>
  <c r="AB264" i="1" s="1"/>
  <c r="W264" i="1"/>
  <c r="V264" i="1"/>
  <c r="U264" i="1"/>
  <c r="T264" i="1"/>
  <c r="S264" i="1"/>
  <c r="R264" i="1"/>
  <c r="Q264" i="1"/>
  <c r="P264" i="1"/>
  <c r="O264" i="1"/>
  <c r="N264" i="1"/>
  <c r="M264" i="1"/>
  <c r="L264" i="1"/>
  <c r="AA264" i="1"/>
  <c r="K264" i="1"/>
  <c r="J264" i="1"/>
  <c r="I264" i="1"/>
  <c r="AE264" i="1" s="1"/>
  <c r="G264" i="1" a="1"/>
  <c r="G264" i="1" s="1"/>
  <c r="F264" i="1"/>
  <c r="H264" i="1" s="1"/>
  <c r="E264" i="1"/>
  <c r="D264" i="1"/>
  <c r="AO265" i="1"/>
  <c r="AM265" i="1"/>
  <c r="AN265" i="1"/>
  <c r="Z265" i="1"/>
  <c r="Y265" i="1"/>
  <c r="X265" i="1"/>
  <c r="AB265" i="1" s="1"/>
  <c r="W265" i="1"/>
  <c r="V265" i="1"/>
  <c r="U265" i="1"/>
  <c r="T265" i="1"/>
  <c r="S265" i="1"/>
  <c r="R265" i="1"/>
  <c r="Q265" i="1"/>
  <c r="P265" i="1"/>
  <c r="O265" i="1"/>
  <c r="AA265" i="1"/>
  <c r="N265" i="1"/>
  <c r="M265" i="1"/>
  <c r="L265" i="1"/>
  <c r="K265" i="1"/>
  <c r="J265" i="1"/>
  <c r="I265" i="1"/>
  <c r="AE265" i="1" s="1"/>
  <c r="G265" i="1" a="1"/>
  <c r="G265" i="1" s="1"/>
  <c r="F265" i="1"/>
  <c r="E265" i="1"/>
  <c r="D265" i="1"/>
  <c r="AO266" i="1"/>
  <c r="AN266" i="1"/>
  <c r="AM266" i="1"/>
  <c r="Z266" i="1"/>
  <c r="Y266" i="1"/>
  <c r="X266" i="1"/>
  <c r="AB266" i="1" s="1"/>
  <c r="AA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AE266" i="1" s="1"/>
  <c r="G266" i="1" a="1"/>
  <c r="G266" i="1" s="1"/>
  <c r="F266" i="1"/>
  <c r="E266" i="1"/>
  <c r="D266" i="1"/>
  <c r="AM267" i="1"/>
  <c r="AO267" i="1"/>
  <c r="AP267" i="1" s="1"/>
  <c r="AN267" i="1"/>
  <c r="Z267" i="1"/>
  <c r="Y267" i="1"/>
  <c r="X267" i="1"/>
  <c r="AB267" i="1" s="1"/>
  <c r="W267" i="1"/>
  <c r="V267" i="1"/>
  <c r="U267" i="1"/>
  <c r="AA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AE267" i="1" s="1"/>
  <c r="G267" i="1" a="1"/>
  <c r="G267" i="1" s="1"/>
  <c r="F267" i="1"/>
  <c r="E267" i="1"/>
  <c r="D267" i="1"/>
  <c r="AO268" i="1"/>
  <c r="AN268" i="1"/>
  <c r="AM268" i="1"/>
  <c r="AA268" i="1"/>
  <c r="Z268" i="1"/>
  <c r="Y268" i="1"/>
  <c r="AC268" i="1" s="1"/>
  <c r="X268" i="1"/>
  <c r="AB268" i="1" s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AE268" i="1" s="1"/>
  <c r="G268" i="1" a="1"/>
  <c r="G268" i="1" s="1"/>
  <c r="F268" i="1"/>
  <c r="E268" i="1"/>
  <c r="D268" i="1"/>
  <c r="AM269" i="1"/>
  <c r="AO269" i="1"/>
  <c r="AP269" i="1" s="1"/>
  <c r="AN269" i="1"/>
  <c r="Z269" i="1"/>
  <c r="Y269" i="1"/>
  <c r="X269" i="1"/>
  <c r="AB269" i="1" s="1"/>
  <c r="AA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AE269" i="1" s="1"/>
  <c r="G269" i="1" a="1"/>
  <c r="G269" i="1" s="1"/>
  <c r="F269" i="1"/>
  <c r="E269" i="1"/>
  <c r="D269" i="1"/>
  <c r="AO270" i="1"/>
  <c r="AN270" i="1"/>
  <c r="AM270" i="1"/>
  <c r="Z270" i="1"/>
  <c r="Y270" i="1"/>
  <c r="X270" i="1"/>
  <c r="AB270" i="1" s="1"/>
  <c r="W270" i="1"/>
  <c r="V270" i="1"/>
  <c r="U270" i="1"/>
  <c r="AA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AE270" i="1" s="1"/>
  <c r="G270" i="1" a="1"/>
  <c r="G270" i="1" s="1"/>
  <c r="F270" i="1"/>
  <c r="E270" i="1"/>
  <c r="D270" i="1"/>
  <c r="AM271" i="1"/>
  <c r="AO271" i="1"/>
  <c r="AP271" i="1" s="1"/>
  <c r="AN271" i="1"/>
  <c r="Z271" i="1"/>
  <c r="Y271" i="1"/>
  <c r="X271" i="1"/>
  <c r="AB271" i="1" s="1"/>
  <c r="W271" i="1"/>
  <c r="V271" i="1"/>
  <c r="U271" i="1"/>
  <c r="T271" i="1"/>
  <c r="S271" i="1"/>
  <c r="R271" i="1"/>
  <c r="Q271" i="1"/>
  <c r="P271" i="1"/>
  <c r="O271" i="1"/>
  <c r="AA271" i="1"/>
  <c r="N271" i="1"/>
  <c r="M271" i="1"/>
  <c r="L271" i="1"/>
  <c r="K271" i="1"/>
  <c r="J271" i="1"/>
  <c r="I271" i="1"/>
  <c r="AE271" i="1" s="1"/>
  <c r="G271" i="1" a="1"/>
  <c r="G271" i="1" s="1"/>
  <c r="F271" i="1"/>
  <c r="E271" i="1"/>
  <c r="D271" i="1"/>
  <c r="AO272" i="1"/>
  <c r="AN272" i="1"/>
  <c r="AM272" i="1"/>
  <c r="Z272" i="1"/>
  <c r="Y272" i="1"/>
  <c r="X272" i="1"/>
  <c r="AB272" i="1" s="1"/>
  <c r="W272" i="1"/>
  <c r="V272" i="1"/>
  <c r="U272" i="1"/>
  <c r="T272" i="1"/>
  <c r="S272" i="1"/>
  <c r="R272" i="1"/>
  <c r="AA272" i="1"/>
  <c r="Q272" i="1"/>
  <c r="P272" i="1"/>
  <c r="O272" i="1"/>
  <c r="N272" i="1"/>
  <c r="M272" i="1"/>
  <c r="L272" i="1"/>
  <c r="K272" i="1"/>
  <c r="J272" i="1"/>
  <c r="I272" i="1"/>
  <c r="AE272" i="1" s="1"/>
  <c r="G272" i="1" a="1"/>
  <c r="G272" i="1" s="1"/>
  <c r="F272" i="1"/>
  <c r="E272" i="1"/>
  <c r="D272" i="1"/>
  <c r="AM273" i="1"/>
  <c r="AO273" i="1"/>
  <c r="AP273" i="1" s="1"/>
  <c r="AN273" i="1"/>
  <c r="AA273" i="1"/>
  <c r="Z273" i="1"/>
  <c r="Y273" i="1"/>
  <c r="AC273" i="1" s="1"/>
  <c r="X273" i="1"/>
  <c r="AB273" i="1" s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AE273" i="1" s="1"/>
  <c r="G273" i="1" a="1"/>
  <c r="G273" i="1" s="1"/>
  <c r="F273" i="1"/>
  <c r="E273" i="1"/>
  <c r="D273" i="1"/>
  <c r="AO274" i="1"/>
  <c r="AN274" i="1"/>
  <c r="AM274" i="1"/>
  <c r="Z274" i="1"/>
  <c r="Y274" i="1"/>
  <c r="X274" i="1"/>
  <c r="AB274" i="1" s="1"/>
  <c r="W274" i="1"/>
  <c r="V274" i="1"/>
  <c r="U274" i="1"/>
  <c r="T274" i="1"/>
  <c r="S274" i="1"/>
  <c r="R274" i="1"/>
  <c r="Q274" i="1"/>
  <c r="P274" i="1"/>
  <c r="O274" i="1"/>
  <c r="N274" i="1"/>
  <c r="M274" i="1"/>
  <c r="L274" i="1"/>
  <c r="AA274" i="1"/>
  <c r="K274" i="1"/>
  <c r="J274" i="1"/>
  <c r="I274" i="1"/>
  <c r="AE274" i="1" s="1"/>
  <c r="G274" i="1" a="1"/>
  <c r="G274" i="1" s="1"/>
  <c r="F274" i="1"/>
  <c r="E274" i="1"/>
  <c r="D274" i="1"/>
  <c r="AM275" i="1"/>
  <c r="AO275" i="1"/>
  <c r="AP275" i="1" s="1"/>
  <c r="AN275" i="1"/>
  <c r="Z275" i="1"/>
  <c r="Y275" i="1"/>
  <c r="X275" i="1"/>
  <c r="AB275" i="1" s="1"/>
  <c r="AA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AE275" i="1" s="1"/>
  <c r="G275" i="1" a="1"/>
  <c r="G275" i="1" s="1"/>
  <c r="F275" i="1"/>
  <c r="E275" i="1"/>
  <c r="D275" i="1"/>
  <c r="AO276" i="1"/>
  <c r="AN276" i="1"/>
  <c r="AM276" i="1"/>
  <c r="Z276" i="1"/>
  <c r="Y276" i="1"/>
  <c r="X276" i="1"/>
  <c r="AB276" i="1" s="1"/>
  <c r="W276" i="1"/>
  <c r="V276" i="1"/>
  <c r="U276" i="1"/>
  <c r="AA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AE276" i="1" s="1"/>
  <c r="G276" i="1" a="1"/>
  <c r="G276" i="1" s="1"/>
  <c r="F276" i="1"/>
  <c r="E276" i="1"/>
  <c r="D276" i="1"/>
  <c r="AM277" i="1"/>
  <c r="AO277" i="1"/>
  <c r="AP277" i="1" s="1"/>
  <c r="AN277" i="1"/>
  <c r="Z277" i="1"/>
  <c r="Y277" i="1"/>
  <c r="X277" i="1"/>
  <c r="AB277" i="1" s="1"/>
  <c r="W277" i="1"/>
  <c r="V277" i="1"/>
  <c r="U277" i="1"/>
  <c r="T277" i="1"/>
  <c r="S277" i="1"/>
  <c r="R277" i="1"/>
  <c r="Q277" i="1"/>
  <c r="P277" i="1"/>
  <c r="O277" i="1"/>
  <c r="AA277" i="1"/>
  <c r="N277" i="1"/>
  <c r="M277" i="1"/>
  <c r="L277" i="1"/>
  <c r="K277" i="1"/>
  <c r="J277" i="1"/>
  <c r="I277" i="1"/>
  <c r="AE277" i="1" s="1"/>
  <c r="G277" i="1" a="1"/>
  <c r="G277" i="1" s="1"/>
  <c r="F277" i="1"/>
  <c r="E277" i="1"/>
  <c r="D277" i="1"/>
  <c r="AN278" i="1"/>
  <c r="AM278" i="1"/>
  <c r="AO278" i="1"/>
  <c r="AP278" i="1" s="1"/>
  <c r="AA278" i="1"/>
  <c r="Z278" i="1"/>
  <c r="Y278" i="1"/>
  <c r="AC278" i="1" s="1"/>
  <c r="X278" i="1"/>
  <c r="AB278" i="1" s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AE278" i="1" s="1"/>
  <c r="G278" i="1" a="1"/>
  <c r="G278" i="1" s="1"/>
  <c r="F278" i="1"/>
  <c r="E278" i="1"/>
  <c r="D278" i="1"/>
  <c r="AM279" i="1"/>
  <c r="AO279" i="1"/>
  <c r="AP279" i="1" s="1"/>
  <c r="AN279" i="1"/>
  <c r="Z279" i="1"/>
  <c r="Y279" i="1"/>
  <c r="X279" i="1"/>
  <c r="AB279" i="1" s="1"/>
  <c r="W279" i="1"/>
  <c r="V279" i="1"/>
  <c r="U279" i="1"/>
  <c r="T279" i="1"/>
  <c r="S279" i="1"/>
  <c r="R279" i="1"/>
  <c r="AA279" i="1"/>
  <c r="Q279" i="1"/>
  <c r="P279" i="1"/>
  <c r="O279" i="1"/>
  <c r="N279" i="1"/>
  <c r="M279" i="1"/>
  <c r="L279" i="1"/>
  <c r="K279" i="1"/>
  <c r="J279" i="1"/>
  <c r="I279" i="1"/>
  <c r="AE279" i="1" s="1"/>
  <c r="G279" i="1" a="1"/>
  <c r="G279" i="1" s="1"/>
  <c r="F279" i="1"/>
  <c r="E279" i="1"/>
  <c r="D279" i="1"/>
  <c r="AN280" i="1"/>
  <c r="AM280" i="1"/>
  <c r="AO280" i="1"/>
  <c r="AP280" i="1" s="1"/>
  <c r="Z280" i="1"/>
  <c r="Y280" i="1"/>
  <c r="X280" i="1"/>
  <c r="AB280" i="1" s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AA280" i="1"/>
  <c r="J280" i="1"/>
  <c r="I280" i="1"/>
  <c r="AE280" i="1" s="1"/>
  <c r="G280" i="1" a="1"/>
  <c r="G280" i="1" s="1"/>
  <c r="F280" i="1"/>
  <c r="E280" i="1"/>
  <c r="D280" i="1"/>
  <c r="AO297" i="1"/>
  <c r="AN297" i="1"/>
  <c r="AM297" i="1"/>
  <c r="AA297" i="1"/>
  <c r="Z297" i="1"/>
  <c r="Y297" i="1"/>
  <c r="AC297" i="1" s="1"/>
  <c r="X297" i="1"/>
  <c r="AB297" i="1" s="1"/>
  <c r="W297" i="1"/>
  <c r="V297" i="1"/>
  <c r="U297" i="1"/>
  <c r="T297" i="1"/>
  <c r="S297" i="1"/>
  <c r="R297" i="1"/>
  <c r="P297" i="1"/>
  <c r="O297" i="1"/>
  <c r="Q297" i="1"/>
  <c r="M297" i="1"/>
  <c r="L297" i="1"/>
  <c r="K297" i="1"/>
  <c r="N297" i="1"/>
  <c r="J297" i="1"/>
  <c r="I297" i="1"/>
  <c r="AE297" i="1" s="1"/>
  <c r="G297" i="1" a="1"/>
  <c r="G297" i="1" s="1"/>
  <c r="F297" i="1"/>
  <c r="E297" i="1"/>
  <c r="D297" i="1"/>
  <c r="AO298" i="1"/>
  <c r="AN298" i="1"/>
  <c r="AM298" i="1"/>
  <c r="AA298" i="1"/>
  <c r="Z298" i="1"/>
  <c r="Y298" i="1"/>
  <c r="AC298" i="1" s="1"/>
  <c r="X298" i="1"/>
  <c r="AB298" i="1" s="1"/>
  <c r="W298" i="1"/>
  <c r="V298" i="1"/>
  <c r="U298" i="1"/>
  <c r="T298" i="1"/>
  <c r="S298" i="1"/>
  <c r="R298" i="1"/>
  <c r="P298" i="1"/>
  <c r="O298" i="1"/>
  <c r="Q298" i="1"/>
  <c r="N298" i="1"/>
  <c r="M298" i="1"/>
  <c r="L298" i="1"/>
  <c r="K298" i="1"/>
  <c r="J298" i="1"/>
  <c r="I298" i="1"/>
  <c r="AE298" i="1" s="1"/>
  <c r="G298" i="1" a="1"/>
  <c r="G298" i="1" s="1"/>
  <c r="F298" i="1"/>
  <c r="E298" i="1"/>
  <c r="D298" i="1"/>
  <c r="AO299" i="1"/>
  <c r="AN299" i="1"/>
  <c r="AM299" i="1"/>
  <c r="AA299" i="1"/>
  <c r="Z299" i="1"/>
  <c r="Y299" i="1"/>
  <c r="AC299" i="1" s="1"/>
  <c r="X299" i="1"/>
  <c r="AB299" i="1" s="1"/>
  <c r="W299" i="1"/>
  <c r="V299" i="1"/>
  <c r="U299" i="1"/>
  <c r="T299" i="1"/>
  <c r="S299" i="1"/>
  <c r="R299" i="1"/>
  <c r="P299" i="1"/>
  <c r="O299" i="1"/>
  <c r="Q299" i="1"/>
  <c r="M299" i="1"/>
  <c r="L299" i="1"/>
  <c r="K299" i="1"/>
  <c r="N299" i="1"/>
  <c r="J299" i="1"/>
  <c r="I299" i="1"/>
  <c r="AE299" i="1" s="1"/>
  <c r="G299" i="1" a="1"/>
  <c r="G299" i="1" s="1"/>
  <c r="F299" i="1"/>
  <c r="E299" i="1"/>
  <c r="D299" i="1"/>
  <c r="AO300" i="1"/>
  <c r="AN300" i="1"/>
  <c r="AM300" i="1"/>
  <c r="AA300" i="1"/>
  <c r="Z300" i="1"/>
  <c r="Y300" i="1"/>
  <c r="AC300" i="1" s="1"/>
  <c r="X300" i="1"/>
  <c r="AB300" i="1" s="1"/>
  <c r="W300" i="1"/>
  <c r="V300" i="1"/>
  <c r="U300" i="1"/>
  <c r="T300" i="1"/>
  <c r="S300" i="1"/>
  <c r="R300" i="1"/>
  <c r="P300" i="1"/>
  <c r="O300" i="1"/>
  <c r="Q300" i="1"/>
  <c r="N300" i="1"/>
  <c r="M300" i="1"/>
  <c r="L300" i="1"/>
  <c r="K300" i="1"/>
  <c r="J300" i="1"/>
  <c r="I300" i="1"/>
  <c r="G300" i="1" a="1"/>
  <c r="G300" i="1" s="1"/>
  <c r="F300" i="1"/>
  <c r="E300" i="1"/>
  <c r="D300" i="1"/>
  <c r="AN301" i="1"/>
  <c r="AM301" i="1"/>
  <c r="AO301" i="1"/>
  <c r="AP301" i="1" s="1"/>
  <c r="AA301" i="1"/>
  <c r="Z301" i="1"/>
  <c r="Y301" i="1"/>
  <c r="AC301" i="1" s="1"/>
  <c r="X301" i="1"/>
  <c r="AB301" i="1" s="1"/>
  <c r="W301" i="1"/>
  <c r="V301" i="1"/>
  <c r="U301" i="1"/>
  <c r="T301" i="1"/>
  <c r="S301" i="1"/>
  <c r="R301" i="1"/>
  <c r="P301" i="1"/>
  <c r="O301" i="1"/>
  <c r="M301" i="1"/>
  <c r="L301" i="1"/>
  <c r="K301" i="1"/>
  <c r="Q301" i="1"/>
  <c r="N301" i="1"/>
  <c r="J301" i="1"/>
  <c r="I301" i="1"/>
  <c r="AE301" i="1" s="1"/>
  <c r="G301" i="1" a="1"/>
  <c r="G301" i="1" s="1"/>
  <c r="F301" i="1"/>
  <c r="E301" i="1"/>
  <c r="D301" i="1"/>
  <c r="AO302" i="1"/>
  <c r="AN302" i="1"/>
  <c r="AM302" i="1"/>
  <c r="AA302" i="1"/>
  <c r="Z302" i="1"/>
  <c r="Y302" i="1"/>
  <c r="AC302" i="1" s="1"/>
  <c r="X302" i="1"/>
  <c r="AB302" i="1" s="1"/>
  <c r="W302" i="1"/>
  <c r="V302" i="1"/>
  <c r="U302" i="1"/>
  <c r="T302" i="1"/>
  <c r="S302" i="1"/>
  <c r="R302" i="1"/>
  <c r="P302" i="1"/>
  <c r="O302" i="1"/>
  <c r="Q302" i="1"/>
  <c r="N302" i="1"/>
  <c r="M302" i="1"/>
  <c r="L302" i="1"/>
  <c r="K302" i="1"/>
  <c r="J302" i="1"/>
  <c r="I302" i="1"/>
  <c r="AE302" i="1" s="1"/>
  <c r="G302" i="1" a="1"/>
  <c r="G302" i="1" s="1"/>
  <c r="F302" i="1"/>
  <c r="E302" i="1"/>
  <c r="D302" i="1"/>
  <c r="AO303" i="1"/>
  <c r="AN303" i="1"/>
  <c r="AM303" i="1"/>
  <c r="AA303" i="1"/>
  <c r="Z303" i="1"/>
  <c r="Y303" i="1"/>
  <c r="AC303" i="1" s="1"/>
  <c r="X303" i="1"/>
  <c r="AB303" i="1" s="1"/>
  <c r="W303" i="1"/>
  <c r="V303" i="1"/>
  <c r="U303" i="1"/>
  <c r="T303" i="1"/>
  <c r="S303" i="1"/>
  <c r="R303" i="1"/>
  <c r="P303" i="1"/>
  <c r="O303" i="1"/>
  <c r="M303" i="1"/>
  <c r="L303" i="1"/>
  <c r="K303" i="1"/>
  <c r="Q303" i="1"/>
  <c r="N303" i="1"/>
  <c r="J303" i="1"/>
  <c r="I303" i="1"/>
  <c r="G303" i="1" a="1"/>
  <c r="G303" i="1" s="1"/>
  <c r="F303" i="1"/>
  <c r="E303" i="1"/>
  <c r="D303" i="1"/>
  <c r="AN304" i="1"/>
  <c r="AM304" i="1"/>
  <c r="AO304" i="1"/>
  <c r="AP304" i="1" s="1"/>
  <c r="AA304" i="1"/>
  <c r="Z304" i="1"/>
  <c r="Y304" i="1"/>
  <c r="AC304" i="1" s="1"/>
  <c r="X304" i="1"/>
  <c r="AB304" i="1" s="1"/>
  <c r="W304" i="1"/>
  <c r="V304" i="1"/>
  <c r="U304" i="1"/>
  <c r="T304" i="1"/>
  <c r="S304" i="1"/>
  <c r="R304" i="1"/>
  <c r="P304" i="1"/>
  <c r="O304" i="1"/>
  <c r="Q304" i="1"/>
  <c r="N304" i="1"/>
  <c r="M304" i="1"/>
  <c r="L304" i="1"/>
  <c r="K304" i="1"/>
  <c r="J304" i="1"/>
  <c r="I304" i="1"/>
  <c r="AE304" i="1" s="1"/>
  <c r="G304" i="1" a="1"/>
  <c r="G304" i="1" s="1"/>
  <c r="F304" i="1"/>
  <c r="E304" i="1"/>
  <c r="D304" i="1"/>
  <c r="AO305" i="1"/>
  <c r="AN305" i="1"/>
  <c r="AM305" i="1"/>
  <c r="AA305" i="1"/>
  <c r="Z305" i="1"/>
  <c r="Y305" i="1"/>
  <c r="AC305" i="1" s="1"/>
  <c r="X305" i="1"/>
  <c r="AB305" i="1" s="1"/>
  <c r="W305" i="1"/>
  <c r="V305" i="1"/>
  <c r="U305" i="1"/>
  <c r="T305" i="1"/>
  <c r="S305" i="1"/>
  <c r="R305" i="1"/>
  <c r="P305" i="1"/>
  <c r="O305" i="1"/>
  <c r="M305" i="1"/>
  <c r="L305" i="1"/>
  <c r="K305" i="1"/>
  <c r="Q305" i="1"/>
  <c r="N305" i="1"/>
  <c r="J305" i="1"/>
  <c r="I305" i="1"/>
  <c r="AE305" i="1" s="1"/>
  <c r="G305" i="1" a="1"/>
  <c r="G305" i="1" s="1"/>
  <c r="F305" i="1"/>
  <c r="E305" i="1"/>
  <c r="D305" i="1"/>
  <c r="AN306" i="1"/>
  <c r="AM306" i="1"/>
  <c r="AO306" i="1"/>
  <c r="AP306" i="1" s="1"/>
  <c r="AA306" i="1"/>
  <c r="Z306" i="1"/>
  <c r="Y306" i="1"/>
  <c r="AC306" i="1" s="1"/>
  <c r="X306" i="1"/>
  <c r="AB306" i="1" s="1"/>
  <c r="W306" i="1"/>
  <c r="V306" i="1"/>
  <c r="U306" i="1"/>
  <c r="T306" i="1"/>
  <c r="S306" i="1"/>
  <c r="R306" i="1"/>
  <c r="P306" i="1"/>
  <c r="O306" i="1"/>
  <c r="Q306" i="1"/>
  <c r="N306" i="1"/>
  <c r="M306" i="1"/>
  <c r="L306" i="1"/>
  <c r="K306" i="1"/>
  <c r="J306" i="1"/>
  <c r="I306" i="1"/>
  <c r="AE306" i="1" s="1"/>
  <c r="G306" i="1" a="1"/>
  <c r="G306" i="1" s="1"/>
  <c r="F306" i="1"/>
  <c r="E306" i="1"/>
  <c r="D306" i="1"/>
  <c r="AO307" i="1"/>
  <c r="AN307" i="1"/>
  <c r="AM307" i="1"/>
  <c r="AA307" i="1"/>
  <c r="Z307" i="1"/>
  <c r="Y307" i="1"/>
  <c r="AC307" i="1" s="1"/>
  <c r="X307" i="1"/>
  <c r="W307" i="1"/>
  <c r="V307" i="1"/>
  <c r="U307" i="1"/>
  <c r="T307" i="1"/>
  <c r="S307" i="1"/>
  <c r="R307" i="1"/>
  <c r="P307" i="1"/>
  <c r="O307" i="1"/>
  <c r="M307" i="1"/>
  <c r="L307" i="1"/>
  <c r="K307" i="1"/>
  <c r="Q307" i="1"/>
  <c r="N307" i="1"/>
  <c r="J307" i="1"/>
  <c r="I307" i="1"/>
  <c r="G307" i="1" a="1"/>
  <c r="G307" i="1" s="1"/>
  <c r="F307" i="1"/>
  <c r="E307" i="1"/>
  <c r="D307" i="1"/>
  <c r="AN308" i="1"/>
  <c r="AM308" i="1"/>
  <c r="AO308" i="1"/>
  <c r="AP308" i="1" s="1"/>
  <c r="AA308" i="1"/>
  <c r="Z308" i="1"/>
  <c r="Y308" i="1"/>
  <c r="X308" i="1"/>
  <c r="W308" i="1"/>
  <c r="V308" i="1"/>
  <c r="U308" i="1"/>
  <c r="T308" i="1"/>
  <c r="S308" i="1"/>
  <c r="R308" i="1"/>
  <c r="P308" i="1"/>
  <c r="O308" i="1"/>
  <c r="Q308" i="1"/>
  <c r="N308" i="1"/>
  <c r="M308" i="1"/>
  <c r="L308" i="1"/>
  <c r="K308" i="1"/>
  <c r="J308" i="1"/>
  <c r="I308" i="1"/>
  <c r="G308" i="1" a="1"/>
  <c r="G308" i="1" s="1"/>
  <c r="F308" i="1"/>
  <c r="H308" i="1" s="1"/>
  <c r="E308" i="1"/>
  <c r="D308" i="1"/>
  <c r="AO309" i="1"/>
  <c r="AN309" i="1"/>
  <c r="AM309" i="1"/>
  <c r="AA309" i="1"/>
  <c r="Z309" i="1"/>
  <c r="Y309" i="1"/>
  <c r="AC309" i="1" s="1"/>
  <c r="X309" i="1"/>
  <c r="AB309" i="1" s="1"/>
  <c r="W309" i="1"/>
  <c r="V309" i="1"/>
  <c r="U309" i="1"/>
  <c r="T309" i="1"/>
  <c r="S309" i="1"/>
  <c r="R309" i="1"/>
  <c r="P309" i="1"/>
  <c r="O309" i="1"/>
  <c r="M309" i="1"/>
  <c r="L309" i="1"/>
  <c r="K309" i="1"/>
  <c r="Q309" i="1"/>
  <c r="N309" i="1"/>
  <c r="J309" i="1"/>
  <c r="I309" i="1"/>
  <c r="AE309" i="1" s="1"/>
  <c r="G309" i="1" a="1"/>
  <c r="G309" i="1" s="1"/>
  <c r="F309" i="1"/>
  <c r="H309" i="1" s="1"/>
  <c r="E309" i="1"/>
  <c r="D309" i="1"/>
  <c r="AN310" i="1"/>
  <c r="AM310" i="1"/>
  <c r="AO310" i="1"/>
  <c r="AP310" i="1" s="1"/>
  <c r="AA310" i="1"/>
  <c r="Z310" i="1"/>
  <c r="Y310" i="1"/>
  <c r="AC310" i="1" s="1"/>
  <c r="X310" i="1"/>
  <c r="AB310" i="1" s="1"/>
  <c r="V310" i="1"/>
  <c r="U310" i="1"/>
  <c r="W310" i="1"/>
  <c r="T310" i="1"/>
  <c r="S310" i="1"/>
  <c r="R310" i="1"/>
  <c r="P310" i="1"/>
  <c r="O310" i="1"/>
  <c r="Q310" i="1"/>
  <c r="N310" i="1"/>
  <c r="M310" i="1"/>
  <c r="L310" i="1"/>
  <c r="K310" i="1"/>
  <c r="J310" i="1"/>
  <c r="I310" i="1"/>
  <c r="AE310" i="1" s="1"/>
  <c r="G310" i="1" a="1"/>
  <c r="G310" i="1" s="1"/>
  <c r="F310" i="1"/>
  <c r="H310" i="1" s="1"/>
  <c r="E310" i="1"/>
  <c r="D310" i="1"/>
  <c r="AO311" i="1"/>
  <c r="AN311" i="1"/>
  <c r="AM311" i="1"/>
  <c r="AA311" i="1"/>
  <c r="Z311" i="1"/>
  <c r="Y311" i="1"/>
  <c r="AC311" i="1" s="1"/>
  <c r="X311" i="1"/>
  <c r="AB311" i="1" s="1"/>
  <c r="W311" i="1"/>
  <c r="V311" i="1"/>
  <c r="U311" i="1"/>
  <c r="T311" i="1"/>
  <c r="S311" i="1"/>
  <c r="R311" i="1"/>
  <c r="P311" i="1"/>
  <c r="O311" i="1"/>
  <c r="M311" i="1"/>
  <c r="L311" i="1"/>
  <c r="K311" i="1"/>
  <c r="Q311" i="1"/>
  <c r="N311" i="1"/>
  <c r="J311" i="1"/>
  <c r="I311" i="1"/>
  <c r="AE311" i="1" s="1"/>
  <c r="G311" i="1" a="1"/>
  <c r="G311" i="1" s="1"/>
  <c r="F311" i="1"/>
  <c r="H311" i="1" s="1"/>
  <c r="E311" i="1"/>
  <c r="D311" i="1"/>
  <c r="AN312" i="1"/>
  <c r="AM312" i="1"/>
  <c r="AO312" i="1"/>
  <c r="AP312" i="1" s="1"/>
  <c r="AA312" i="1"/>
  <c r="Z312" i="1"/>
  <c r="Y312" i="1"/>
  <c r="AC312" i="1" s="1"/>
  <c r="X312" i="1"/>
  <c r="AB312" i="1" s="1"/>
  <c r="V312" i="1"/>
  <c r="U312" i="1"/>
  <c r="W312" i="1"/>
  <c r="T312" i="1"/>
  <c r="S312" i="1"/>
  <c r="R312" i="1"/>
  <c r="P312" i="1"/>
  <c r="O312" i="1"/>
  <c r="Q312" i="1"/>
  <c r="N312" i="1"/>
  <c r="M312" i="1"/>
  <c r="L312" i="1"/>
  <c r="K312" i="1"/>
  <c r="J312" i="1"/>
  <c r="I312" i="1"/>
  <c r="AE312" i="1" s="1"/>
  <c r="G312" i="1" a="1"/>
  <c r="G312" i="1" s="1"/>
  <c r="F312" i="1"/>
  <c r="E312" i="1"/>
  <c r="D312" i="1"/>
  <c r="AN313" i="1"/>
  <c r="AM313" i="1"/>
  <c r="AO313" i="1"/>
  <c r="AP313" i="1" s="1"/>
  <c r="AA313" i="1"/>
  <c r="Z313" i="1"/>
  <c r="Y313" i="1"/>
  <c r="AC313" i="1" s="1"/>
  <c r="X313" i="1"/>
  <c r="AB313" i="1" s="1"/>
  <c r="W313" i="1"/>
  <c r="V313" i="1"/>
  <c r="U313" i="1"/>
  <c r="T313" i="1"/>
  <c r="S313" i="1"/>
  <c r="R313" i="1"/>
  <c r="P313" i="1"/>
  <c r="O313" i="1"/>
  <c r="M313" i="1"/>
  <c r="L313" i="1"/>
  <c r="K313" i="1"/>
  <c r="Q313" i="1"/>
  <c r="N313" i="1"/>
  <c r="J313" i="1"/>
  <c r="I313" i="1"/>
  <c r="AE313" i="1" s="1"/>
  <c r="G313" i="1" a="1"/>
  <c r="G313" i="1" s="1"/>
  <c r="F313" i="1"/>
  <c r="E313" i="1"/>
  <c r="D313" i="1"/>
  <c r="AO314" i="1"/>
  <c r="AN314" i="1"/>
  <c r="AM314" i="1"/>
  <c r="AA314" i="1"/>
  <c r="Z314" i="1"/>
  <c r="Y314" i="1"/>
  <c r="AC314" i="1" s="1"/>
  <c r="X314" i="1"/>
  <c r="AB314" i="1" s="1"/>
  <c r="V314" i="1"/>
  <c r="U314" i="1"/>
  <c r="W314" i="1"/>
  <c r="T314" i="1"/>
  <c r="S314" i="1"/>
  <c r="R314" i="1"/>
  <c r="P314" i="1"/>
  <c r="O314" i="1"/>
  <c r="Q314" i="1"/>
  <c r="N314" i="1"/>
  <c r="M314" i="1"/>
  <c r="L314" i="1"/>
  <c r="K314" i="1"/>
  <c r="J314" i="1"/>
  <c r="I314" i="1"/>
  <c r="AE314" i="1" s="1"/>
  <c r="G314" i="1" a="1"/>
  <c r="G314" i="1" s="1"/>
  <c r="F314" i="1"/>
  <c r="E314" i="1"/>
  <c r="D314" i="1"/>
  <c r="AN315" i="1"/>
  <c r="AM315" i="1"/>
  <c r="AO315" i="1"/>
  <c r="AP315" i="1" s="1"/>
  <c r="AA315" i="1"/>
  <c r="Z315" i="1"/>
  <c r="Y315" i="1"/>
  <c r="AC315" i="1" s="1"/>
  <c r="X315" i="1"/>
  <c r="AB315" i="1" s="1"/>
  <c r="W315" i="1"/>
  <c r="V315" i="1"/>
  <c r="U315" i="1"/>
  <c r="T315" i="1"/>
  <c r="S315" i="1"/>
  <c r="R315" i="1"/>
  <c r="P315" i="1"/>
  <c r="O315" i="1"/>
  <c r="M315" i="1"/>
  <c r="L315" i="1"/>
  <c r="K315" i="1"/>
  <c r="Q315" i="1"/>
  <c r="N315" i="1"/>
  <c r="J315" i="1"/>
  <c r="I315" i="1"/>
  <c r="AE315" i="1" s="1"/>
  <c r="G315" i="1" a="1"/>
  <c r="G315" i="1" s="1"/>
  <c r="F315" i="1"/>
  <c r="E315" i="1"/>
  <c r="D315" i="1"/>
  <c r="AO316" i="1"/>
  <c r="AN316" i="1"/>
  <c r="AM316" i="1"/>
  <c r="AA316" i="1"/>
  <c r="Z316" i="1"/>
  <c r="Y316" i="1"/>
  <c r="AC316" i="1" s="1"/>
  <c r="X316" i="1"/>
  <c r="AB316" i="1" s="1"/>
  <c r="V316" i="1"/>
  <c r="U316" i="1"/>
  <c r="W316" i="1"/>
  <c r="T316" i="1"/>
  <c r="S316" i="1"/>
  <c r="R316" i="1"/>
  <c r="P316" i="1"/>
  <c r="O316" i="1"/>
  <c r="Q316" i="1"/>
  <c r="N316" i="1"/>
  <c r="M316" i="1"/>
  <c r="L316" i="1"/>
  <c r="K316" i="1"/>
  <c r="J316" i="1"/>
  <c r="I316" i="1"/>
  <c r="AE316" i="1" s="1"/>
  <c r="G316" i="1" a="1"/>
  <c r="G316" i="1" s="1"/>
  <c r="F316" i="1"/>
  <c r="E316" i="1"/>
  <c r="D316" i="1"/>
  <c r="AN317" i="1"/>
  <c r="AM317" i="1"/>
  <c r="AO317" i="1"/>
  <c r="AP317" i="1" s="1"/>
  <c r="AA317" i="1"/>
  <c r="Z317" i="1"/>
  <c r="Y317" i="1"/>
  <c r="AC317" i="1" s="1"/>
  <c r="X317" i="1"/>
  <c r="AB317" i="1" s="1"/>
  <c r="W317" i="1"/>
  <c r="V317" i="1"/>
  <c r="U317" i="1"/>
  <c r="T317" i="1"/>
  <c r="S317" i="1"/>
  <c r="R317" i="1"/>
  <c r="P317" i="1"/>
  <c r="O317" i="1"/>
  <c r="M317" i="1"/>
  <c r="L317" i="1"/>
  <c r="K317" i="1"/>
  <c r="Q317" i="1"/>
  <c r="N317" i="1"/>
  <c r="J317" i="1"/>
  <c r="I317" i="1"/>
  <c r="AE317" i="1" s="1"/>
  <c r="G317" i="1" a="1"/>
  <c r="G317" i="1" s="1"/>
  <c r="F317" i="1"/>
  <c r="E317" i="1"/>
  <c r="D317" i="1"/>
  <c r="AO318" i="1"/>
  <c r="AN318" i="1"/>
  <c r="AM318" i="1"/>
  <c r="AA318" i="1"/>
  <c r="Z318" i="1"/>
  <c r="Y318" i="1"/>
  <c r="AC318" i="1" s="1"/>
  <c r="X318" i="1"/>
  <c r="AB318" i="1" s="1"/>
  <c r="V318" i="1"/>
  <c r="U318" i="1"/>
  <c r="W318" i="1"/>
  <c r="T318" i="1"/>
  <c r="S318" i="1"/>
  <c r="R318" i="1"/>
  <c r="P318" i="1"/>
  <c r="O318" i="1"/>
  <c r="Q318" i="1"/>
  <c r="N318" i="1"/>
  <c r="M318" i="1"/>
  <c r="L318" i="1"/>
  <c r="K318" i="1"/>
  <c r="J318" i="1"/>
  <c r="I318" i="1"/>
  <c r="AE318" i="1" s="1"/>
  <c r="G318" i="1" a="1"/>
  <c r="G318" i="1" s="1"/>
  <c r="F318" i="1"/>
  <c r="E318" i="1"/>
  <c r="D318" i="1"/>
  <c r="AN319" i="1"/>
  <c r="AM319" i="1"/>
  <c r="AO319" i="1"/>
  <c r="AA319" i="1"/>
  <c r="Z319" i="1"/>
  <c r="Y319" i="1"/>
  <c r="AC319" i="1" s="1"/>
  <c r="X319" i="1"/>
  <c r="AB319" i="1" s="1"/>
  <c r="W319" i="1"/>
  <c r="V319" i="1"/>
  <c r="U319" i="1"/>
  <c r="T319" i="1"/>
  <c r="S319" i="1"/>
  <c r="R319" i="1"/>
  <c r="P319" i="1"/>
  <c r="O319" i="1"/>
  <c r="M319" i="1"/>
  <c r="L319" i="1"/>
  <c r="K319" i="1"/>
  <c r="Q319" i="1"/>
  <c r="N319" i="1"/>
  <c r="J319" i="1"/>
  <c r="I319" i="1"/>
  <c r="G319" i="1" a="1"/>
  <c r="G319" i="1" s="1"/>
  <c r="F319" i="1"/>
  <c r="E319" i="1"/>
  <c r="D319" i="1"/>
  <c r="AO320" i="1"/>
  <c r="AN320" i="1"/>
  <c r="AM320" i="1"/>
  <c r="AA320" i="1"/>
  <c r="Z320" i="1"/>
  <c r="Y320" i="1"/>
  <c r="AC320" i="1" s="1"/>
  <c r="X320" i="1"/>
  <c r="AB320" i="1" s="1"/>
  <c r="V320" i="1"/>
  <c r="U320" i="1"/>
  <c r="W320" i="1"/>
  <c r="T320" i="1"/>
  <c r="S320" i="1"/>
  <c r="R320" i="1"/>
  <c r="P320" i="1"/>
  <c r="O320" i="1"/>
  <c r="Q320" i="1"/>
  <c r="N320" i="1"/>
  <c r="M320" i="1"/>
  <c r="L320" i="1"/>
  <c r="K320" i="1"/>
  <c r="J320" i="1"/>
  <c r="I320" i="1"/>
  <c r="AE320" i="1" s="1"/>
  <c r="G320" i="1" a="1"/>
  <c r="G320" i="1" s="1"/>
  <c r="F320" i="1"/>
  <c r="E320" i="1"/>
  <c r="D320" i="1"/>
  <c r="AN321" i="1"/>
  <c r="AM321" i="1"/>
  <c r="AO321" i="1"/>
  <c r="AP321" i="1" s="1"/>
  <c r="AA321" i="1"/>
  <c r="Z321" i="1"/>
  <c r="Y321" i="1"/>
  <c r="X321" i="1"/>
  <c r="AB321" i="1" s="1"/>
  <c r="W321" i="1"/>
  <c r="V321" i="1"/>
  <c r="U321" i="1"/>
  <c r="T321" i="1"/>
  <c r="S321" i="1"/>
  <c r="R321" i="1"/>
  <c r="P321" i="1"/>
  <c r="O321" i="1"/>
  <c r="M321" i="1"/>
  <c r="L321" i="1"/>
  <c r="K321" i="1"/>
  <c r="Q321" i="1"/>
  <c r="N321" i="1"/>
  <c r="J321" i="1"/>
  <c r="I321" i="1"/>
  <c r="AE321" i="1" s="1"/>
  <c r="G321" i="1" a="1"/>
  <c r="G321" i="1" s="1"/>
  <c r="F321" i="1"/>
  <c r="E321" i="1"/>
  <c r="D321" i="1"/>
  <c r="AO322" i="1"/>
  <c r="AN322" i="1"/>
  <c r="AM322" i="1"/>
  <c r="AA322" i="1"/>
  <c r="Z322" i="1"/>
  <c r="Y322" i="1"/>
  <c r="AC322" i="1" s="1"/>
  <c r="X322" i="1"/>
  <c r="AB322" i="1" s="1"/>
  <c r="V322" i="1"/>
  <c r="U322" i="1"/>
  <c r="W322" i="1"/>
  <c r="T322" i="1"/>
  <c r="S322" i="1"/>
  <c r="R322" i="1"/>
  <c r="P322" i="1"/>
  <c r="O322" i="1"/>
  <c r="Q322" i="1"/>
  <c r="N322" i="1"/>
  <c r="M322" i="1"/>
  <c r="L322" i="1"/>
  <c r="K322" i="1"/>
  <c r="J322" i="1"/>
  <c r="I322" i="1"/>
  <c r="AE322" i="1" s="1"/>
  <c r="G322" i="1" a="1"/>
  <c r="G322" i="1" s="1"/>
  <c r="F322" i="1"/>
  <c r="E322" i="1"/>
  <c r="D322" i="1"/>
  <c r="AN323" i="1"/>
  <c r="AM323" i="1"/>
  <c r="AO323" i="1"/>
  <c r="AP323" i="1" s="1"/>
  <c r="AA323" i="1"/>
  <c r="Z323" i="1"/>
  <c r="Y323" i="1"/>
  <c r="AC323" i="1" s="1"/>
  <c r="X323" i="1"/>
  <c r="AB323" i="1" s="1"/>
  <c r="W323" i="1"/>
  <c r="V323" i="1"/>
  <c r="U323" i="1"/>
  <c r="T323" i="1"/>
  <c r="S323" i="1"/>
  <c r="R323" i="1"/>
  <c r="P323" i="1"/>
  <c r="O323" i="1"/>
  <c r="M323" i="1"/>
  <c r="L323" i="1"/>
  <c r="K323" i="1"/>
  <c r="Q323" i="1"/>
  <c r="N323" i="1"/>
  <c r="J323" i="1"/>
  <c r="I323" i="1"/>
  <c r="AE323" i="1" s="1"/>
  <c r="G323" i="1" a="1"/>
  <c r="G323" i="1" s="1"/>
  <c r="F323" i="1"/>
  <c r="E323" i="1"/>
  <c r="D323" i="1"/>
  <c r="AO324" i="1"/>
  <c r="AN324" i="1"/>
  <c r="AM324" i="1"/>
  <c r="AA324" i="1"/>
  <c r="Z324" i="1"/>
  <c r="Y324" i="1"/>
  <c r="AC324" i="1" s="1"/>
  <c r="X324" i="1"/>
  <c r="AB324" i="1" s="1"/>
  <c r="V324" i="1"/>
  <c r="U324" i="1"/>
  <c r="W324" i="1"/>
  <c r="T324" i="1"/>
  <c r="S324" i="1"/>
  <c r="R324" i="1"/>
  <c r="P324" i="1"/>
  <c r="O324" i="1"/>
  <c r="Q324" i="1"/>
  <c r="N324" i="1"/>
  <c r="M324" i="1"/>
  <c r="L324" i="1"/>
  <c r="K324" i="1"/>
  <c r="J324" i="1"/>
  <c r="I324" i="1"/>
  <c r="AE324" i="1" s="1"/>
  <c r="G324" i="1" a="1"/>
  <c r="G324" i="1" s="1"/>
  <c r="F324" i="1"/>
  <c r="E324" i="1"/>
  <c r="D324" i="1"/>
  <c r="AN325" i="1"/>
  <c r="AO325" i="1"/>
  <c r="AM325" i="1"/>
  <c r="AA325" i="1"/>
  <c r="Z325" i="1"/>
  <c r="Y325" i="1"/>
  <c r="AC325" i="1" s="1"/>
  <c r="X325" i="1"/>
  <c r="AB325" i="1" s="1"/>
  <c r="W325" i="1"/>
  <c r="V325" i="1"/>
  <c r="U325" i="1"/>
  <c r="T325" i="1"/>
  <c r="S325" i="1"/>
  <c r="R325" i="1"/>
  <c r="P325" i="1"/>
  <c r="O325" i="1"/>
  <c r="M325" i="1"/>
  <c r="L325" i="1"/>
  <c r="K325" i="1"/>
  <c r="Q325" i="1"/>
  <c r="N325" i="1"/>
  <c r="J325" i="1"/>
  <c r="I325" i="1"/>
  <c r="AE325" i="1" s="1"/>
  <c r="G325" i="1" a="1"/>
  <c r="G325" i="1" s="1"/>
  <c r="F325" i="1"/>
  <c r="E325" i="1"/>
  <c r="D325" i="1"/>
  <c r="AO326" i="1"/>
  <c r="AN326" i="1"/>
  <c r="AM326" i="1"/>
  <c r="AA326" i="1"/>
  <c r="Z326" i="1"/>
  <c r="Y326" i="1"/>
  <c r="AC326" i="1" s="1"/>
  <c r="X326" i="1"/>
  <c r="AB326" i="1" s="1"/>
  <c r="V326" i="1"/>
  <c r="U326" i="1"/>
  <c r="W326" i="1"/>
  <c r="T326" i="1"/>
  <c r="S326" i="1"/>
  <c r="R326" i="1"/>
  <c r="P326" i="1"/>
  <c r="O326" i="1"/>
  <c r="N326" i="1"/>
  <c r="Q326" i="1"/>
  <c r="M326" i="1"/>
  <c r="L326" i="1"/>
  <c r="K326" i="1"/>
  <c r="J326" i="1"/>
  <c r="I326" i="1"/>
  <c r="AE326" i="1" s="1"/>
  <c r="G326" i="1" a="1"/>
  <c r="G326" i="1" s="1"/>
  <c r="F326" i="1"/>
  <c r="E326" i="1"/>
  <c r="D326" i="1"/>
  <c r="AN327" i="1"/>
  <c r="AM327" i="1"/>
  <c r="AO327" i="1"/>
  <c r="AA327" i="1"/>
  <c r="Z327" i="1"/>
  <c r="Y327" i="1"/>
  <c r="AC327" i="1" s="1"/>
  <c r="X327" i="1"/>
  <c r="AB327" i="1" s="1"/>
  <c r="W327" i="1"/>
  <c r="V327" i="1"/>
  <c r="U327" i="1"/>
  <c r="T327" i="1"/>
  <c r="S327" i="1"/>
  <c r="R327" i="1"/>
  <c r="P327" i="1"/>
  <c r="O327" i="1"/>
  <c r="N327" i="1"/>
  <c r="M327" i="1"/>
  <c r="L327" i="1"/>
  <c r="K327" i="1"/>
  <c r="Q327" i="1"/>
  <c r="J327" i="1"/>
  <c r="I327" i="1"/>
  <c r="AE327" i="1" s="1"/>
  <c r="G327" i="1" a="1"/>
  <c r="G327" i="1" s="1"/>
  <c r="F327" i="1"/>
  <c r="H327" i="1" s="1"/>
  <c r="E327" i="1"/>
  <c r="D327" i="1"/>
  <c r="AO328" i="1"/>
  <c r="AN328" i="1"/>
  <c r="AM328" i="1"/>
  <c r="AA328" i="1"/>
  <c r="Z328" i="1"/>
  <c r="Y328" i="1"/>
  <c r="AC328" i="1" s="1"/>
  <c r="X328" i="1"/>
  <c r="AB328" i="1" s="1"/>
  <c r="V328" i="1"/>
  <c r="U328" i="1"/>
  <c r="W328" i="1"/>
  <c r="T328" i="1"/>
  <c r="S328" i="1"/>
  <c r="R328" i="1"/>
  <c r="P328" i="1"/>
  <c r="O328" i="1"/>
  <c r="N328" i="1"/>
  <c r="Q328" i="1"/>
  <c r="M328" i="1"/>
  <c r="L328" i="1"/>
  <c r="K328" i="1"/>
  <c r="J328" i="1"/>
  <c r="I328" i="1"/>
  <c r="AE328" i="1" s="1"/>
  <c r="G328" i="1" a="1"/>
  <c r="G328" i="1" s="1"/>
  <c r="F328" i="1"/>
  <c r="H328" i="1" s="1"/>
  <c r="E328" i="1"/>
  <c r="D328" i="1"/>
  <c r="AN329" i="1"/>
  <c r="AO329" i="1"/>
  <c r="AM329" i="1"/>
  <c r="AA329" i="1"/>
  <c r="Z329" i="1"/>
  <c r="Y329" i="1"/>
  <c r="AC329" i="1" s="1"/>
  <c r="X329" i="1"/>
  <c r="AB329" i="1" s="1"/>
  <c r="W329" i="1"/>
  <c r="V329" i="1"/>
  <c r="U329" i="1"/>
  <c r="T329" i="1"/>
  <c r="S329" i="1"/>
  <c r="R329" i="1"/>
  <c r="P329" i="1"/>
  <c r="O329" i="1"/>
  <c r="N329" i="1"/>
  <c r="M329" i="1"/>
  <c r="L329" i="1"/>
  <c r="K329" i="1"/>
  <c r="Q329" i="1"/>
  <c r="J329" i="1"/>
  <c r="I329" i="1"/>
  <c r="AE329" i="1" s="1"/>
  <c r="G329" i="1" a="1"/>
  <c r="G329" i="1" s="1"/>
  <c r="F329" i="1"/>
  <c r="H329" i="1" s="1"/>
  <c r="E329" i="1"/>
  <c r="D329" i="1"/>
  <c r="AO330" i="1"/>
  <c r="AN330" i="1"/>
  <c r="AM330" i="1"/>
  <c r="AA330" i="1"/>
  <c r="Z330" i="1"/>
  <c r="Y330" i="1"/>
  <c r="AC330" i="1" s="1"/>
  <c r="X330" i="1"/>
  <c r="AB330" i="1" s="1"/>
  <c r="V330" i="1"/>
  <c r="U330" i="1"/>
  <c r="W330" i="1"/>
  <c r="T330" i="1"/>
  <c r="S330" i="1"/>
  <c r="R330" i="1"/>
  <c r="P330" i="1"/>
  <c r="O330" i="1"/>
  <c r="N330" i="1"/>
  <c r="Q330" i="1"/>
  <c r="M330" i="1"/>
  <c r="L330" i="1"/>
  <c r="K330" i="1"/>
  <c r="J330" i="1"/>
  <c r="I330" i="1"/>
  <c r="AE330" i="1" s="1"/>
  <c r="G330" i="1" a="1"/>
  <c r="G330" i="1" s="1"/>
  <c r="F330" i="1"/>
  <c r="H330" i="1" s="1"/>
  <c r="E330" i="1"/>
  <c r="D330" i="1"/>
  <c r="AN331" i="1"/>
  <c r="AO331" i="1"/>
  <c r="AM331" i="1"/>
  <c r="AA331" i="1"/>
  <c r="Z331" i="1"/>
  <c r="Y331" i="1"/>
  <c r="AC331" i="1" s="1"/>
  <c r="X331" i="1"/>
  <c r="AB331" i="1" s="1"/>
  <c r="W331" i="1"/>
  <c r="V331" i="1"/>
  <c r="U331" i="1"/>
  <c r="T331" i="1"/>
  <c r="S331" i="1"/>
  <c r="R331" i="1"/>
  <c r="P331" i="1"/>
  <c r="O331" i="1"/>
  <c r="N331" i="1"/>
  <c r="M331" i="1"/>
  <c r="L331" i="1"/>
  <c r="K331" i="1"/>
  <c r="Q331" i="1"/>
  <c r="J331" i="1"/>
  <c r="I331" i="1"/>
  <c r="AE331" i="1" s="1"/>
  <c r="G331" i="1" a="1"/>
  <c r="G331" i="1" s="1"/>
  <c r="F331" i="1"/>
  <c r="H331" i="1" s="1"/>
  <c r="E331" i="1"/>
  <c r="D331" i="1"/>
  <c r="AO332" i="1"/>
  <c r="AN332" i="1"/>
  <c r="AM332" i="1"/>
  <c r="AA332" i="1"/>
  <c r="Z332" i="1"/>
  <c r="Y332" i="1"/>
  <c r="AC332" i="1" s="1"/>
  <c r="X332" i="1"/>
  <c r="AB332" i="1" s="1"/>
  <c r="V332" i="1"/>
  <c r="U332" i="1"/>
  <c r="W332" i="1"/>
  <c r="T332" i="1"/>
  <c r="S332" i="1"/>
  <c r="R332" i="1"/>
  <c r="P332" i="1"/>
  <c r="O332" i="1"/>
  <c r="N332" i="1"/>
  <c r="Q332" i="1"/>
  <c r="M332" i="1"/>
  <c r="L332" i="1"/>
  <c r="K332" i="1"/>
  <c r="J332" i="1"/>
  <c r="I332" i="1"/>
  <c r="AE332" i="1" s="1"/>
  <c r="G332" i="1" a="1"/>
  <c r="G332" i="1" s="1"/>
  <c r="F332" i="1"/>
  <c r="H332" i="1" s="1"/>
  <c r="E332" i="1"/>
  <c r="D332" i="1"/>
  <c r="AN333" i="1"/>
  <c r="AO333" i="1"/>
  <c r="AM333" i="1"/>
  <c r="AA333" i="1"/>
  <c r="Z333" i="1"/>
  <c r="Y333" i="1"/>
  <c r="AC333" i="1" s="1"/>
  <c r="X333" i="1"/>
  <c r="AB333" i="1" s="1"/>
  <c r="W333" i="1"/>
  <c r="V333" i="1"/>
  <c r="U333" i="1"/>
  <c r="T333" i="1"/>
  <c r="S333" i="1"/>
  <c r="R333" i="1"/>
  <c r="P333" i="1"/>
  <c r="O333" i="1"/>
  <c r="N333" i="1"/>
  <c r="M333" i="1"/>
  <c r="L333" i="1"/>
  <c r="K333" i="1"/>
  <c r="Q333" i="1"/>
  <c r="J333" i="1"/>
  <c r="I333" i="1"/>
  <c r="AE333" i="1" s="1"/>
  <c r="G333" i="1" a="1"/>
  <c r="G333" i="1" s="1"/>
  <c r="F333" i="1"/>
  <c r="H333" i="1" s="1"/>
  <c r="E333" i="1"/>
  <c r="D333" i="1"/>
  <c r="AO334" i="1"/>
  <c r="AN334" i="1"/>
  <c r="AM334" i="1"/>
  <c r="AA334" i="1"/>
  <c r="Z334" i="1"/>
  <c r="Y334" i="1"/>
  <c r="AC334" i="1" s="1"/>
  <c r="X334" i="1"/>
  <c r="AB334" i="1" s="1"/>
  <c r="V334" i="1"/>
  <c r="U334" i="1"/>
  <c r="W334" i="1"/>
  <c r="T334" i="1"/>
  <c r="S334" i="1"/>
  <c r="R334" i="1"/>
  <c r="P334" i="1"/>
  <c r="O334" i="1"/>
  <c r="N334" i="1"/>
  <c r="Q334" i="1"/>
  <c r="M334" i="1"/>
  <c r="L334" i="1"/>
  <c r="K334" i="1"/>
  <c r="J334" i="1"/>
  <c r="I334" i="1"/>
  <c r="AE334" i="1" s="1"/>
  <c r="G334" i="1" a="1"/>
  <c r="G334" i="1" s="1"/>
  <c r="F334" i="1"/>
  <c r="H334" i="1" s="1"/>
  <c r="E334" i="1"/>
  <c r="D334" i="1"/>
  <c r="AN335" i="1"/>
  <c r="AO335" i="1"/>
  <c r="AM335" i="1"/>
  <c r="AA335" i="1"/>
  <c r="Z335" i="1"/>
  <c r="Y335" i="1"/>
  <c r="AC335" i="1" s="1"/>
  <c r="X335" i="1"/>
  <c r="AB335" i="1" s="1"/>
  <c r="W335" i="1"/>
  <c r="V335" i="1"/>
  <c r="U335" i="1"/>
  <c r="T335" i="1"/>
  <c r="S335" i="1"/>
  <c r="R335" i="1"/>
  <c r="P335" i="1"/>
  <c r="O335" i="1"/>
  <c r="N335" i="1"/>
  <c r="M335" i="1"/>
  <c r="L335" i="1"/>
  <c r="K335" i="1"/>
  <c r="Q335" i="1"/>
  <c r="J335" i="1"/>
  <c r="I335" i="1"/>
  <c r="AE335" i="1" s="1"/>
  <c r="G335" i="1" a="1"/>
  <c r="G335" i="1" s="1"/>
  <c r="F335" i="1"/>
  <c r="H335" i="1" s="1"/>
  <c r="E335" i="1"/>
  <c r="D335" i="1"/>
  <c r="AO336" i="1"/>
  <c r="AN336" i="1"/>
  <c r="AM336" i="1"/>
  <c r="AA336" i="1"/>
  <c r="Z336" i="1"/>
  <c r="Y336" i="1"/>
  <c r="AC336" i="1" s="1"/>
  <c r="X336" i="1"/>
  <c r="AB336" i="1" s="1"/>
  <c r="V336" i="1"/>
  <c r="U336" i="1"/>
  <c r="W336" i="1"/>
  <c r="T336" i="1"/>
  <c r="S336" i="1"/>
  <c r="R336" i="1"/>
  <c r="P336" i="1"/>
  <c r="O336" i="1"/>
  <c r="N336" i="1"/>
  <c r="Q336" i="1"/>
  <c r="M336" i="1"/>
  <c r="L336" i="1"/>
  <c r="K336" i="1"/>
  <c r="J336" i="1"/>
  <c r="I336" i="1"/>
  <c r="AE336" i="1" s="1"/>
  <c r="G336" i="1" a="1"/>
  <c r="G336" i="1" s="1"/>
  <c r="F336" i="1"/>
  <c r="H336" i="1" s="1"/>
  <c r="E336" i="1"/>
  <c r="D336" i="1"/>
  <c r="AN337" i="1"/>
  <c r="AO337" i="1"/>
  <c r="AM337" i="1"/>
  <c r="AA337" i="1"/>
  <c r="Z337" i="1"/>
  <c r="Y337" i="1"/>
  <c r="AC337" i="1" s="1"/>
  <c r="X337" i="1"/>
  <c r="AB337" i="1" s="1"/>
  <c r="W337" i="1"/>
  <c r="V337" i="1"/>
  <c r="U337" i="1"/>
  <c r="T337" i="1"/>
  <c r="S337" i="1"/>
  <c r="R337" i="1"/>
  <c r="P337" i="1"/>
  <c r="O337" i="1"/>
  <c r="N337" i="1"/>
  <c r="M337" i="1"/>
  <c r="L337" i="1"/>
  <c r="K337" i="1"/>
  <c r="Q337" i="1"/>
  <c r="J337" i="1"/>
  <c r="I337" i="1"/>
  <c r="AE337" i="1" s="1"/>
  <c r="G337" i="1" a="1"/>
  <c r="G337" i="1" s="1"/>
  <c r="F337" i="1"/>
  <c r="H337" i="1" s="1"/>
  <c r="E337" i="1"/>
  <c r="D337" i="1"/>
  <c r="AO338" i="1"/>
  <c r="AN338" i="1"/>
  <c r="AM338" i="1"/>
  <c r="AA338" i="1"/>
  <c r="Z338" i="1"/>
  <c r="Y338" i="1"/>
  <c r="AC338" i="1" s="1"/>
  <c r="X338" i="1"/>
  <c r="AB338" i="1" s="1"/>
  <c r="V338" i="1"/>
  <c r="U338" i="1"/>
  <c r="W338" i="1"/>
  <c r="T338" i="1"/>
  <c r="S338" i="1"/>
  <c r="R338" i="1"/>
  <c r="P338" i="1"/>
  <c r="O338" i="1"/>
  <c r="N338" i="1"/>
  <c r="Q338" i="1"/>
  <c r="M338" i="1"/>
  <c r="L338" i="1"/>
  <c r="K338" i="1"/>
  <c r="J338" i="1"/>
  <c r="I338" i="1"/>
  <c r="AE338" i="1" s="1"/>
  <c r="G338" i="1" a="1"/>
  <c r="G338" i="1" s="1"/>
  <c r="F338" i="1"/>
  <c r="H338" i="1" s="1"/>
  <c r="E338" i="1"/>
  <c r="D338" i="1"/>
  <c r="AN339" i="1"/>
  <c r="AO339" i="1"/>
  <c r="AM339" i="1"/>
  <c r="AA339" i="1"/>
  <c r="Z339" i="1"/>
  <c r="Y339" i="1"/>
  <c r="AC339" i="1" s="1"/>
  <c r="X339" i="1"/>
  <c r="AB339" i="1" s="1"/>
  <c r="W339" i="1"/>
  <c r="V339" i="1"/>
  <c r="U339" i="1"/>
  <c r="T339" i="1"/>
  <c r="S339" i="1"/>
  <c r="R339" i="1"/>
  <c r="P339" i="1"/>
  <c r="O339" i="1"/>
  <c r="N339" i="1"/>
  <c r="M339" i="1"/>
  <c r="L339" i="1"/>
  <c r="K339" i="1"/>
  <c r="Q339" i="1"/>
  <c r="J339" i="1"/>
  <c r="I339" i="1"/>
  <c r="AE339" i="1" s="1"/>
  <c r="G339" i="1" a="1"/>
  <c r="G339" i="1" s="1"/>
  <c r="F339" i="1"/>
  <c r="H339" i="1" s="1"/>
  <c r="E339" i="1"/>
  <c r="D339" i="1"/>
  <c r="AO340" i="1"/>
  <c r="AM340" i="1"/>
  <c r="AN340" i="1"/>
  <c r="AA340" i="1"/>
  <c r="Z340" i="1"/>
  <c r="Y340" i="1"/>
  <c r="AC340" i="1" s="1"/>
  <c r="X340" i="1"/>
  <c r="AB340" i="1" s="1"/>
  <c r="V340" i="1"/>
  <c r="U340" i="1"/>
  <c r="W340" i="1"/>
  <c r="T340" i="1"/>
  <c r="S340" i="1"/>
  <c r="R340" i="1"/>
  <c r="P340" i="1"/>
  <c r="O340" i="1"/>
  <c r="N340" i="1"/>
  <c r="Q340" i="1"/>
  <c r="M340" i="1"/>
  <c r="L340" i="1"/>
  <c r="K340" i="1"/>
  <c r="J340" i="1"/>
  <c r="I340" i="1"/>
  <c r="AE340" i="1" s="1"/>
  <c r="G340" i="1" a="1"/>
  <c r="G340" i="1" s="1"/>
  <c r="F340" i="1"/>
  <c r="H340" i="1" s="1"/>
  <c r="E340" i="1"/>
  <c r="D340" i="1"/>
  <c r="AN341" i="1"/>
  <c r="AO341" i="1"/>
  <c r="AM341" i="1"/>
  <c r="AA341" i="1"/>
  <c r="Z341" i="1"/>
  <c r="Y341" i="1"/>
  <c r="AC341" i="1" s="1"/>
  <c r="X341" i="1"/>
  <c r="AB341" i="1" s="1"/>
  <c r="W341" i="1"/>
  <c r="V341" i="1"/>
  <c r="U341" i="1"/>
  <c r="T341" i="1"/>
  <c r="S341" i="1"/>
  <c r="R341" i="1"/>
  <c r="P341" i="1"/>
  <c r="O341" i="1"/>
  <c r="N341" i="1"/>
  <c r="M341" i="1"/>
  <c r="L341" i="1"/>
  <c r="K341" i="1"/>
  <c r="Q341" i="1"/>
  <c r="J341" i="1"/>
  <c r="I341" i="1"/>
  <c r="AE341" i="1" s="1"/>
  <c r="G341" i="1" a="1"/>
  <c r="G341" i="1" s="1"/>
  <c r="F341" i="1"/>
  <c r="H341" i="1" s="1"/>
  <c r="E341" i="1"/>
  <c r="D341" i="1"/>
  <c r="AO342" i="1"/>
  <c r="AN342" i="1"/>
  <c r="AM342" i="1"/>
  <c r="AA342" i="1"/>
  <c r="Z342" i="1"/>
  <c r="Y342" i="1"/>
  <c r="AC342" i="1" s="1"/>
  <c r="X342" i="1"/>
  <c r="AB342" i="1" s="1"/>
  <c r="V342" i="1"/>
  <c r="U342" i="1"/>
  <c r="W342" i="1"/>
  <c r="T342" i="1"/>
  <c r="S342" i="1"/>
  <c r="R342" i="1"/>
  <c r="P342" i="1"/>
  <c r="O342" i="1"/>
  <c r="N342" i="1"/>
  <c r="Q342" i="1"/>
  <c r="M342" i="1"/>
  <c r="L342" i="1"/>
  <c r="K342" i="1"/>
  <c r="J342" i="1"/>
  <c r="I342" i="1"/>
  <c r="AE342" i="1" s="1"/>
  <c r="G342" i="1" a="1"/>
  <c r="G342" i="1" s="1"/>
  <c r="F342" i="1"/>
  <c r="H342" i="1" s="1"/>
  <c r="E342" i="1"/>
  <c r="D342" i="1"/>
  <c r="AN343" i="1"/>
  <c r="AO343" i="1"/>
  <c r="AM343" i="1"/>
  <c r="AA343" i="1"/>
  <c r="Z343" i="1"/>
  <c r="Y343" i="1"/>
  <c r="AC343" i="1" s="1"/>
  <c r="X343" i="1"/>
  <c r="AB343" i="1" s="1"/>
  <c r="V343" i="1"/>
  <c r="U343" i="1"/>
  <c r="W343" i="1"/>
  <c r="T343" i="1"/>
  <c r="S343" i="1"/>
  <c r="R343" i="1"/>
  <c r="P343" i="1"/>
  <c r="O343" i="1"/>
  <c r="N343" i="1"/>
  <c r="M343" i="1"/>
  <c r="L343" i="1"/>
  <c r="K343" i="1"/>
  <c r="Q343" i="1"/>
  <c r="J343" i="1"/>
  <c r="I343" i="1"/>
  <c r="AE343" i="1" s="1"/>
  <c r="G343" i="1" a="1"/>
  <c r="G343" i="1" s="1"/>
  <c r="F343" i="1"/>
  <c r="H343" i="1" s="1"/>
  <c r="E343" i="1"/>
  <c r="D343" i="1"/>
  <c r="AO344" i="1"/>
  <c r="AM344" i="1"/>
  <c r="AN344" i="1"/>
  <c r="AA344" i="1"/>
  <c r="Z344" i="1"/>
  <c r="Y344" i="1"/>
  <c r="AC344" i="1" s="1"/>
  <c r="X344" i="1"/>
  <c r="AB344" i="1" s="1"/>
  <c r="W344" i="1"/>
  <c r="V344" i="1"/>
  <c r="U344" i="1"/>
  <c r="T344" i="1"/>
  <c r="S344" i="1"/>
  <c r="R344" i="1"/>
  <c r="P344" i="1"/>
  <c r="O344" i="1"/>
  <c r="N344" i="1"/>
  <c r="Q344" i="1"/>
  <c r="M344" i="1"/>
  <c r="L344" i="1"/>
  <c r="K344" i="1"/>
  <c r="J344" i="1"/>
  <c r="I344" i="1"/>
  <c r="AE344" i="1" s="1"/>
  <c r="G344" i="1" a="1"/>
  <c r="G344" i="1" s="1"/>
  <c r="F344" i="1"/>
  <c r="H344" i="1" s="1"/>
  <c r="E344" i="1"/>
  <c r="D344" i="1"/>
  <c r="AN345" i="1"/>
  <c r="AO345" i="1"/>
  <c r="AM345" i="1"/>
  <c r="AA345" i="1"/>
  <c r="Z345" i="1"/>
  <c r="Y345" i="1"/>
  <c r="AC345" i="1" s="1"/>
  <c r="X345" i="1"/>
  <c r="AB345" i="1" s="1"/>
  <c r="V345" i="1"/>
  <c r="U345" i="1"/>
  <c r="W345" i="1"/>
  <c r="T345" i="1"/>
  <c r="S345" i="1"/>
  <c r="R345" i="1"/>
  <c r="P345" i="1"/>
  <c r="O345" i="1"/>
  <c r="N345" i="1"/>
  <c r="M345" i="1"/>
  <c r="L345" i="1"/>
  <c r="K345" i="1"/>
  <c r="Q345" i="1"/>
  <c r="J345" i="1"/>
  <c r="I345" i="1"/>
  <c r="AE345" i="1" s="1"/>
  <c r="G345" i="1" a="1"/>
  <c r="G345" i="1" s="1"/>
  <c r="F345" i="1"/>
  <c r="H345" i="1" s="1"/>
  <c r="E345" i="1"/>
  <c r="D345" i="1"/>
  <c r="AO346" i="1"/>
  <c r="AM346" i="1"/>
  <c r="AN346" i="1"/>
  <c r="AA346" i="1"/>
  <c r="Z346" i="1"/>
  <c r="Y346" i="1"/>
  <c r="AC346" i="1" s="1"/>
  <c r="X346" i="1"/>
  <c r="AB346" i="1" s="1"/>
  <c r="W346" i="1"/>
  <c r="V346" i="1"/>
  <c r="U346" i="1"/>
  <c r="T346" i="1"/>
  <c r="S346" i="1"/>
  <c r="R346" i="1"/>
  <c r="P346" i="1"/>
  <c r="O346" i="1"/>
  <c r="N346" i="1"/>
  <c r="Q346" i="1"/>
  <c r="M346" i="1"/>
  <c r="L346" i="1"/>
  <c r="K346" i="1"/>
  <c r="J346" i="1"/>
  <c r="I346" i="1"/>
  <c r="AE346" i="1" s="1"/>
  <c r="G346" i="1" a="1"/>
  <c r="G346" i="1" s="1"/>
  <c r="F346" i="1"/>
  <c r="E346" i="1"/>
  <c r="D346" i="1"/>
  <c r="AN347" i="1"/>
  <c r="AO347" i="1"/>
  <c r="AM347" i="1"/>
  <c r="AA347" i="1"/>
  <c r="Z347" i="1"/>
  <c r="Y347" i="1"/>
  <c r="AC347" i="1" s="1"/>
  <c r="X347" i="1"/>
  <c r="AB347" i="1" s="1"/>
  <c r="V347" i="1"/>
  <c r="U347" i="1"/>
  <c r="W347" i="1"/>
  <c r="T347" i="1"/>
  <c r="S347" i="1"/>
  <c r="R347" i="1"/>
  <c r="P347" i="1"/>
  <c r="O347" i="1"/>
  <c r="N347" i="1"/>
  <c r="M347" i="1"/>
  <c r="L347" i="1"/>
  <c r="K347" i="1"/>
  <c r="Q347" i="1"/>
  <c r="J347" i="1"/>
  <c r="I347" i="1"/>
  <c r="AE347" i="1" s="1"/>
  <c r="G347" i="1" a="1"/>
  <c r="G347" i="1" s="1"/>
  <c r="F347" i="1"/>
  <c r="E347" i="1"/>
  <c r="D347" i="1"/>
  <c r="AO348" i="1"/>
  <c r="AM348" i="1"/>
  <c r="AN348" i="1"/>
  <c r="AA348" i="1"/>
  <c r="Z348" i="1"/>
  <c r="Y348" i="1"/>
  <c r="AC348" i="1" s="1"/>
  <c r="X348" i="1"/>
  <c r="AB348" i="1" s="1"/>
  <c r="W348" i="1"/>
  <c r="V348" i="1"/>
  <c r="U348" i="1"/>
  <c r="T348" i="1"/>
  <c r="S348" i="1"/>
  <c r="R348" i="1"/>
  <c r="P348" i="1"/>
  <c r="O348" i="1"/>
  <c r="N348" i="1"/>
  <c r="Q348" i="1"/>
  <c r="M348" i="1"/>
  <c r="L348" i="1"/>
  <c r="K348" i="1"/>
  <c r="J348" i="1"/>
  <c r="I348" i="1"/>
  <c r="AE348" i="1" s="1"/>
  <c r="G348" i="1" a="1"/>
  <c r="G348" i="1" s="1"/>
  <c r="F348" i="1"/>
  <c r="E348" i="1"/>
  <c r="D348" i="1"/>
  <c r="AN349" i="1"/>
  <c r="AO349" i="1"/>
  <c r="AM349" i="1"/>
  <c r="AA349" i="1"/>
  <c r="Z349" i="1"/>
  <c r="Y349" i="1"/>
  <c r="AC349" i="1" s="1"/>
  <c r="X349" i="1"/>
  <c r="AB349" i="1" s="1"/>
  <c r="V349" i="1"/>
  <c r="U349" i="1"/>
  <c r="W349" i="1"/>
  <c r="T349" i="1"/>
  <c r="S349" i="1"/>
  <c r="R349" i="1"/>
  <c r="P349" i="1"/>
  <c r="O349" i="1"/>
  <c r="N349" i="1"/>
  <c r="M349" i="1"/>
  <c r="L349" i="1"/>
  <c r="K349" i="1"/>
  <c r="Q349" i="1"/>
  <c r="J349" i="1"/>
  <c r="I349" i="1"/>
  <c r="AE349" i="1" s="1"/>
  <c r="G349" i="1" a="1"/>
  <c r="G349" i="1" s="1"/>
  <c r="F349" i="1"/>
  <c r="E349" i="1"/>
  <c r="D349" i="1"/>
  <c r="AO350" i="1"/>
  <c r="AM350" i="1"/>
  <c r="AN350" i="1"/>
  <c r="AA350" i="1"/>
  <c r="Z350" i="1"/>
  <c r="Y350" i="1"/>
  <c r="AC350" i="1" s="1"/>
  <c r="X350" i="1"/>
  <c r="AB350" i="1" s="1"/>
  <c r="W350" i="1"/>
  <c r="V350" i="1"/>
  <c r="U350" i="1"/>
  <c r="T350" i="1"/>
  <c r="S350" i="1"/>
  <c r="R350" i="1"/>
  <c r="P350" i="1"/>
  <c r="O350" i="1"/>
  <c r="N350" i="1"/>
  <c r="M350" i="1"/>
  <c r="L350" i="1"/>
  <c r="K350" i="1"/>
  <c r="Q350" i="1"/>
  <c r="J350" i="1"/>
  <c r="I350" i="1"/>
  <c r="AE350" i="1" s="1"/>
  <c r="G350" i="1" a="1"/>
  <c r="G350" i="1" s="1"/>
  <c r="F350" i="1"/>
  <c r="E350" i="1"/>
  <c r="D350" i="1"/>
  <c r="AN351" i="1"/>
  <c r="AO351" i="1"/>
  <c r="AM351" i="1"/>
  <c r="AA351" i="1"/>
  <c r="Z351" i="1"/>
  <c r="Y351" i="1"/>
  <c r="AC351" i="1" s="1"/>
  <c r="X351" i="1"/>
  <c r="AB351" i="1" s="1"/>
  <c r="V351" i="1"/>
  <c r="U351" i="1"/>
  <c r="W351" i="1"/>
  <c r="T351" i="1"/>
  <c r="S351" i="1"/>
  <c r="R351" i="1"/>
  <c r="P351" i="1"/>
  <c r="O351" i="1"/>
  <c r="N351" i="1"/>
  <c r="Q351" i="1"/>
  <c r="M351" i="1"/>
  <c r="L351" i="1"/>
  <c r="K351" i="1"/>
  <c r="J351" i="1"/>
  <c r="I351" i="1"/>
  <c r="AE351" i="1" s="1"/>
  <c r="G351" i="1" a="1"/>
  <c r="G351" i="1" s="1"/>
  <c r="F351" i="1"/>
  <c r="E351" i="1"/>
  <c r="D351" i="1"/>
  <c r="AO352" i="1"/>
  <c r="AM352" i="1"/>
  <c r="AN352" i="1"/>
  <c r="AA352" i="1"/>
  <c r="Z352" i="1"/>
  <c r="Y352" i="1"/>
  <c r="AC352" i="1" s="1"/>
  <c r="X352" i="1"/>
  <c r="AB352" i="1" s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AE352" i="1" s="1"/>
  <c r="G352" i="1" a="1"/>
  <c r="G352" i="1" s="1"/>
  <c r="F352" i="1"/>
  <c r="E352" i="1"/>
  <c r="D352" i="1"/>
  <c r="AN353" i="1"/>
  <c r="AO353" i="1"/>
  <c r="AM353" i="1"/>
  <c r="AA353" i="1"/>
  <c r="Z353" i="1"/>
  <c r="Y353" i="1"/>
  <c r="X353" i="1"/>
  <c r="AB353" i="1" s="1"/>
  <c r="V353" i="1"/>
  <c r="U353" i="1"/>
  <c r="W353" i="1"/>
  <c r="T353" i="1"/>
  <c r="S353" i="1"/>
  <c r="R353" i="1"/>
  <c r="P353" i="1"/>
  <c r="O353" i="1"/>
  <c r="N353" i="1"/>
  <c r="M353" i="1"/>
  <c r="L353" i="1"/>
  <c r="K353" i="1"/>
  <c r="Q353" i="1"/>
  <c r="J353" i="1"/>
  <c r="I353" i="1"/>
  <c r="AE353" i="1" s="1"/>
  <c r="G353" i="1" a="1"/>
  <c r="G353" i="1" s="1"/>
  <c r="F353" i="1"/>
  <c r="H353" i="1" s="1"/>
  <c r="E353" i="1"/>
  <c r="D353" i="1"/>
  <c r="AO354" i="1"/>
  <c r="AM354" i="1"/>
  <c r="AN354" i="1"/>
  <c r="AA354" i="1"/>
  <c r="Z354" i="1"/>
  <c r="Y354" i="1"/>
  <c r="AC354" i="1" s="1"/>
  <c r="X354" i="1"/>
  <c r="AB354" i="1" s="1"/>
  <c r="W354" i="1"/>
  <c r="V354" i="1"/>
  <c r="U354" i="1"/>
  <c r="T354" i="1"/>
  <c r="S354" i="1"/>
  <c r="R354" i="1"/>
  <c r="P354" i="1"/>
  <c r="O354" i="1"/>
  <c r="N354" i="1"/>
  <c r="Q354" i="1"/>
  <c r="M354" i="1"/>
  <c r="L354" i="1"/>
  <c r="K354" i="1"/>
  <c r="J354" i="1"/>
  <c r="I354" i="1"/>
  <c r="AE354" i="1" s="1"/>
  <c r="G354" i="1" a="1"/>
  <c r="G354" i="1" s="1"/>
  <c r="F354" i="1"/>
  <c r="H354" i="1" s="1"/>
  <c r="E354" i="1"/>
  <c r="D354" i="1"/>
  <c r="AN355" i="1"/>
  <c r="AO355" i="1"/>
  <c r="AM355" i="1"/>
  <c r="AA355" i="1"/>
  <c r="Z355" i="1"/>
  <c r="Y355" i="1"/>
  <c r="AC355" i="1" s="1"/>
  <c r="X355" i="1"/>
  <c r="AB355" i="1" s="1"/>
  <c r="V355" i="1"/>
  <c r="U355" i="1"/>
  <c r="W355" i="1"/>
  <c r="T355" i="1"/>
  <c r="S355" i="1"/>
  <c r="R355" i="1"/>
  <c r="P355" i="1"/>
  <c r="O355" i="1"/>
  <c r="N355" i="1"/>
  <c r="M355" i="1"/>
  <c r="L355" i="1"/>
  <c r="K355" i="1"/>
  <c r="Q355" i="1"/>
  <c r="J355" i="1"/>
  <c r="I355" i="1"/>
  <c r="AE355" i="1" s="1"/>
  <c r="G355" i="1" a="1"/>
  <c r="G355" i="1" s="1"/>
  <c r="F355" i="1"/>
  <c r="H355" i="1" s="1"/>
  <c r="E355" i="1"/>
  <c r="D355" i="1"/>
  <c r="AO356" i="1"/>
  <c r="AN356" i="1"/>
  <c r="AM356" i="1"/>
  <c r="AA356" i="1"/>
  <c r="Z356" i="1"/>
  <c r="Y356" i="1"/>
  <c r="AC356" i="1" s="1"/>
  <c r="X356" i="1"/>
  <c r="AB356" i="1" s="1"/>
  <c r="W356" i="1"/>
  <c r="V356" i="1"/>
  <c r="U356" i="1"/>
  <c r="T356" i="1"/>
  <c r="S356" i="1"/>
  <c r="R356" i="1"/>
  <c r="P356" i="1"/>
  <c r="O356" i="1"/>
  <c r="N356" i="1"/>
  <c r="Q356" i="1"/>
  <c r="M356" i="1"/>
  <c r="L356" i="1"/>
  <c r="K356" i="1"/>
  <c r="J356" i="1"/>
  <c r="I356" i="1"/>
  <c r="AE356" i="1" s="1"/>
  <c r="G356" i="1" a="1"/>
  <c r="G356" i="1" s="1"/>
  <c r="F356" i="1"/>
  <c r="H356" i="1" s="1"/>
  <c r="E356" i="1"/>
  <c r="D356" i="1"/>
  <c r="AO357" i="1"/>
  <c r="AN357" i="1"/>
  <c r="AM357" i="1"/>
  <c r="AA357" i="1"/>
  <c r="Z357" i="1"/>
  <c r="Y357" i="1"/>
  <c r="AC357" i="1" s="1"/>
  <c r="X357" i="1"/>
  <c r="AB357" i="1" s="1"/>
  <c r="V357" i="1"/>
  <c r="U357" i="1"/>
  <c r="W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AE357" i="1" s="1"/>
  <c r="G357" i="1" a="1"/>
  <c r="G357" i="1" s="1"/>
  <c r="F357" i="1"/>
  <c r="H357" i="1" s="1"/>
  <c r="E357" i="1"/>
  <c r="D357" i="1"/>
  <c r="AO358" i="1"/>
  <c r="AN358" i="1"/>
  <c r="AM358" i="1"/>
  <c r="AA358" i="1"/>
  <c r="Z358" i="1"/>
  <c r="Y358" i="1"/>
  <c r="AC358" i="1" s="1"/>
  <c r="X358" i="1"/>
  <c r="AB358" i="1" s="1"/>
  <c r="W358" i="1"/>
  <c r="V358" i="1"/>
  <c r="U358" i="1"/>
  <c r="T358" i="1"/>
  <c r="S358" i="1"/>
  <c r="R358" i="1"/>
  <c r="P358" i="1"/>
  <c r="O358" i="1"/>
  <c r="N358" i="1"/>
  <c r="M358" i="1"/>
  <c r="L358" i="1"/>
  <c r="K358" i="1"/>
  <c r="Q358" i="1"/>
  <c r="J358" i="1"/>
  <c r="I358" i="1"/>
  <c r="AE358" i="1" s="1"/>
  <c r="G358" i="1" a="1"/>
  <c r="G358" i="1" s="1"/>
  <c r="F358" i="1"/>
  <c r="H358" i="1" s="1"/>
  <c r="E358" i="1"/>
  <c r="D358" i="1"/>
  <c r="AN359" i="1"/>
  <c r="AM359" i="1"/>
  <c r="AO359" i="1"/>
  <c r="AP359" i="1" s="1"/>
  <c r="AA359" i="1"/>
  <c r="Z359" i="1"/>
  <c r="Y359" i="1"/>
  <c r="AC359" i="1" s="1"/>
  <c r="X359" i="1"/>
  <c r="AB359" i="1" s="1"/>
  <c r="V359" i="1"/>
  <c r="U359" i="1"/>
  <c r="W359" i="1"/>
  <c r="T359" i="1"/>
  <c r="S359" i="1"/>
  <c r="R359" i="1"/>
  <c r="P359" i="1"/>
  <c r="O359" i="1"/>
  <c r="N359" i="1"/>
  <c r="Q359" i="1"/>
  <c r="M359" i="1"/>
  <c r="L359" i="1"/>
  <c r="K359" i="1"/>
  <c r="J359" i="1"/>
  <c r="I359" i="1"/>
  <c r="AE359" i="1" s="1"/>
  <c r="G359" i="1" a="1"/>
  <c r="G359" i="1" s="1"/>
  <c r="F359" i="1"/>
  <c r="H359" i="1" s="1"/>
  <c r="E359" i="1"/>
  <c r="D359" i="1"/>
  <c r="AO360" i="1"/>
  <c r="AN360" i="1"/>
  <c r="AM360" i="1"/>
  <c r="AA360" i="1"/>
  <c r="Z360" i="1"/>
  <c r="Y360" i="1"/>
  <c r="AC360" i="1" s="1"/>
  <c r="X360" i="1"/>
  <c r="AB360" i="1" s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AE360" i="1" s="1"/>
  <c r="G360" i="1" a="1"/>
  <c r="G360" i="1" s="1"/>
  <c r="F360" i="1"/>
  <c r="H360" i="1" s="1"/>
  <c r="E360" i="1"/>
  <c r="D360" i="1"/>
  <c r="AN361" i="1"/>
  <c r="AM361" i="1"/>
  <c r="AO361" i="1"/>
  <c r="AP361" i="1" s="1"/>
  <c r="AA361" i="1"/>
  <c r="Z361" i="1"/>
  <c r="Y361" i="1"/>
  <c r="AC361" i="1" s="1"/>
  <c r="X361" i="1"/>
  <c r="AB361" i="1" s="1"/>
  <c r="V361" i="1"/>
  <c r="U361" i="1"/>
  <c r="W361" i="1"/>
  <c r="T361" i="1"/>
  <c r="S361" i="1"/>
  <c r="R361" i="1"/>
  <c r="P361" i="1"/>
  <c r="O361" i="1"/>
  <c r="N361" i="1"/>
  <c r="M361" i="1"/>
  <c r="L361" i="1"/>
  <c r="K361" i="1"/>
  <c r="Q361" i="1"/>
  <c r="J361" i="1"/>
  <c r="I361" i="1"/>
  <c r="AE361" i="1" s="1"/>
  <c r="G361" i="1" a="1"/>
  <c r="G361" i="1" s="1"/>
  <c r="F361" i="1"/>
  <c r="H361" i="1" s="1"/>
  <c r="E361" i="1"/>
  <c r="D361" i="1"/>
  <c r="AO362" i="1"/>
  <c r="AN362" i="1"/>
  <c r="AM362" i="1"/>
  <c r="AA362" i="1"/>
  <c r="Z362" i="1"/>
  <c r="Y362" i="1"/>
  <c r="AC362" i="1" s="1"/>
  <c r="X362" i="1"/>
  <c r="AB362" i="1" s="1"/>
  <c r="W362" i="1"/>
  <c r="V362" i="1"/>
  <c r="U362" i="1"/>
  <c r="T362" i="1"/>
  <c r="S362" i="1"/>
  <c r="R362" i="1"/>
  <c r="P362" i="1"/>
  <c r="O362" i="1"/>
  <c r="N362" i="1"/>
  <c r="Q362" i="1"/>
  <c r="M362" i="1"/>
  <c r="L362" i="1"/>
  <c r="K362" i="1"/>
  <c r="J362" i="1"/>
  <c r="I362" i="1"/>
  <c r="AE362" i="1" s="1"/>
  <c r="G362" i="1" a="1"/>
  <c r="G362" i="1" s="1"/>
  <c r="F362" i="1"/>
  <c r="H362" i="1" s="1"/>
  <c r="E362" i="1"/>
  <c r="D362" i="1"/>
  <c r="AN363" i="1"/>
  <c r="AM363" i="1"/>
  <c r="AO363" i="1"/>
  <c r="AP363" i="1" s="1"/>
  <c r="AA363" i="1"/>
  <c r="Z363" i="1"/>
  <c r="Y363" i="1"/>
  <c r="AC363" i="1" s="1"/>
  <c r="X363" i="1"/>
  <c r="AB363" i="1" s="1"/>
  <c r="V363" i="1"/>
  <c r="U363" i="1"/>
  <c r="W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AE363" i="1" s="1"/>
  <c r="G363" i="1" a="1"/>
  <c r="G363" i="1" s="1"/>
  <c r="F363" i="1"/>
  <c r="H363" i="1" s="1"/>
  <c r="E363" i="1"/>
  <c r="D363" i="1"/>
  <c r="AO364" i="1"/>
  <c r="AN364" i="1"/>
  <c r="AM364" i="1"/>
  <c r="AA364" i="1"/>
  <c r="Z364" i="1"/>
  <c r="Y364" i="1"/>
  <c r="AC364" i="1" s="1"/>
  <c r="X364" i="1"/>
  <c r="AB364" i="1" s="1"/>
  <c r="V364" i="1"/>
  <c r="U364" i="1"/>
  <c r="W364" i="1"/>
  <c r="T364" i="1"/>
  <c r="S364" i="1"/>
  <c r="R364" i="1"/>
  <c r="P364" i="1"/>
  <c r="O364" i="1"/>
  <c r="N364" i="1"/>
  <c r="M364" i="1"/>
  <c r="L364" i="1"/>
  <c r="K364" i="1"/>
  <c r="Q364" i="1"/>
  <c r="J364" i="1"/>
  <c r="I364" i="1"/>
  <c r="AE364" i="1" s="1"/>
  <c r="G364" i="1" a="1"/>
  <c r="G364" i="1" s="1"/>
  <c r="F364" i="1"/>
  <c r="E364" i="1"/>
  <c r="D364" i="1"/>
  <c r="AN365" i="1"/>
  <c r="AM365" i="1"/>
  <c r="AO365" i="1"/>
  <c r="AP365" i="1" s="1"/>
  <c r="AA365" i="1"/>
  <c r="Z365" i="1"/>
  <c r="Y365" i="1"/>
  <c r="AC365" i="1" s="1"/>
  <c r="X365" i="1"/>
  <c r="AB365" i="1" s="1"/>
  <c r="W365" i="1"/>
  <c r="V365" i="1"/>
  <c r="U365" i="1"/>
  <c r="T365" i="1"/>
  <c r="S365" i="1"/>
  <c r="R365" i="1"/>
  <c r="P365" i="1"/>
  <c r="O365" i="1"/>
  <c r="N365" i="1"/>
  <c r="Q365" i="1"/>
  <c r="M365" i="1"/>
  <c r="L365" i="1"/>
  <c r="K365" i="1"/>
  <c r="J365" i="1"/>
  <c r="I365" i="1"/>
  <c r="AE365" i="1" s="1"/>
  <c r="G365" i="1" a="1"/>
  <c r="G365" i="1" s="1"/>
  <c r="F365" i="1"/>
  <c r="E365" i="1"/>
  <c r="D365" i="1"/>
  <c r="C9" i="5"/>
  <c r="AE8" i="5"/>
  <c r="D8" i="5"/>
  <c r="D8" i="4"/>
  <c r="B8" i="4" s="1"/>
  <c r="H8" i="4"/>
  <c r="G8" i="1" a="1"/>
  <c r="G8" i="1" s="1"/>
  <c r="W106" i="1"/>
  <c r="G106" i="1" a="1"/>
  <c r="G106" i="1" s="1"/>
  <c r="W47" i="1"/>
  <c r="G47" i="1" a="1"/>
  <c r="G47" i="1" s="1"/>
  <c r="W48" i="1"/>
  <c r="G48" i="1" a="1"/>
  <c r="G48" i="1" s="1"/>
  <c r="T57" i="1"/>
  <c r="W57" i="1"/>
  <c r="T123" i="1"/>
  <c r="W123" i="1"/>
  <c r="W124" i="1"/>
  <c r="T124" i="1"/>
  <c r="T125" i="1"/>
  <c r="W125" i="1"/>
  <c r="T126" i="1"/>
  <c r="W126" i="1"/>
  <c r="T127" i="1"/>
  <c r="W127" i="1"/>
  <c r="T107" i="1"/>
  <c r="W107" i="1"/>
  <c r="T108" i="1"/>
  <c r="W108" i="1"/>
  <c r="T109" i="1"/>
  <c r="W109" i="1"/>
  <c r="T110" i="1"/>
  <c r="W110" i="1"/>
  <c r="T111" i="1"/>
  <c r="W111" i="1"/>
  <c r="T112" i="1"/>
  <c r="W112" i="1"/>
  <c r="T113" i="1"/>
  <c r="W113" i="1"/>
  <c r="T114" i="1"/>
  <c r="W114" i="1"/>
  <c r="T115" i="1"/>
  <c r="W115" i="1"/>
  <c r="T116" i="1"/>
  <c r="W116" i="1"/>
  <c r="T117" i="1"/>
  <c r="W117" i="1"/>
  <c r="T118" i="1"/>
  <c r="W118" i="1"/>
  <c r="T119" i="1"/>
  <c r="W119" i="1"/>
  <c r="T120" i="1"/>
  <c r="W120" i="1"/>
  <c r="T121" i="1"/>
  <c r="W121" i="1"/>
  <c r="T122" i="1"/>
  <c r="W122" i="1"/>
  <c r="T49" i="1"/>
  <c r="W49" i="1"/>
  <c r="T50" i="1"/>
  <c r="W50" i="1"/>
  <c r="T51" i="1"/>
  <c r="W51" i="1"/>
  <c r="T52" i="1"/>
  <c r="W52" i="1"/>
  <c r="T53" i="1"/>
  <c r="W53" i="1"/>
  <c r="T54" i="1"/>
  <c r="W54" i="1"/>
  <c r="T55" i="1"/>
  <c r="W55" i="1"/>
  <c r="T56" i="1"/>
  <c r="W56" i="1"/>
  <c r="T58" i="1"/>
  <c r="W58" i="1"/>
  <c r="T59" i="1"/>
  <c r="W59" i="1"/>
  <c r="T60" i="1"/>
  <c r="W60" i="1"/>
  <c r="T61" i="1"/>
  <c r="W61" i="1"/>
  <c r="T62" i="1"/>
  <c r="W62" i="1"/>
  <c r="T63" i="1"/>
  <c r="W63" i="1"/>
  <c r="T64" i="1"/>
  <c r="W64" i="1"/>
  <c r="T65" i="1"/>
  <c r="W65" i="1"/>
  <c r="T66" i="1"/>
  <c r="W66" i="1"/>
  <c r="T67" i="1"/>
  <c r="W67" i="1"/>
  <c r="T68" i="1"/>
  <c r="W68" i="1"/>
  <c r="T69" i="1"/>
  <c r="W69" i="1"/>
  <c r="T70" i="1"/>
  <c r="W70" i="1"/>
  <c r="T71" i="1"/>
  <c r="W71" i="1"/>
  <c r="T72" i="1"/>
  <c r="W72" i="1"/>
  <c r="T73" i="1"/>
  <c r="W73" i="1"/>
  <c r="T74" i="1"/>
  <c r="W74" i="1"/>
  <c r="T75" i="1"/>
  <c r="W75" i="1"/>
  <c r="T76" i="1"/>
  <c r="W76" i="1"/>
  <c r="T77" i="1"/>
  <c r="W77" i="1"/>
  <c r="T78" i="1"/>
  <c r="W78" i="1"/>
  <c r="T79" i="1"/>
  <c r="W79" i="1"/>
  <c r="T80" i="1"/>
  <c r="W80" i="1"/>
  <c r="T81" i="1"/>
  <c r="W81" i="1"/>
  <c r="T82" i="1"/>
  <c r="W82" i="1"/>
  <c r="T83" i="1"/>
  <c r="W83" i="1"/>
  <c r="T84" i="1"/>
  <c r="W84" i="1"/>
  <c r="T85" i="1"/>
  <c r="W85" i="1"/>
  <c r="T86" i="1"/>
  <c r="W86" i="1"/>
  <c r="T87" i="1"/>
  <c r="W87" i="1"/>
  <c r="T88" i="1"/>
  <c r="W88" i="1"/>
  <c r="T89" i="1"/>
  <c r="W89" i="1"/>
  <c r="T90" i="1"/>
  <c r="W90" i="1"/>
  <c r="T91" i="1"/>
  <c r="W91" i="1"/>
  <c r="T92" i="1"/>
  <c r="W92" i="1"/>
  <c r="T93" i="1"/>
  <c r="W93" i="1"/>
  <c r="T94" i="1"/>
  <c r="W94" i="1"/>
  <c r="T95" i="1"/>
  <c r="W95" i="1"/>
  <c r="T96" i="1"/>
  <c r="W96" i="1"/>
  <c r="T97" i="1"/>
  <c r="W97" i="1"/>
  <c r="T98" i="1"/>
  <c r="W98" i="1"/>
  <c r="T99" i="1"/>
  <c r="W99" i="1"/>
  <c r="T100" i="1"/>
  <c r="W100" i="1"/>
  <c r="T101" i="1"/>
  <c r="W101" i="1"/>
  <c r="T102" i="1"/>
  <c r="W102" i="1"/>
  <c r="T103" i="1"/>
  <c r="W103" i="1"/>
  <c r="T104" i="1"/>
  <c r="W104" i="1"/>
  <c r="T105" i="1"/>
  <c r="W105" i="1"/>
  <c r="T10" i="1"/>
  <c r="W10" i="1"/>
  <c r="T11" i="1"/>
  <c r="W11" i="1"/>
  <c r="T12" i="1"/>
  <c r="W12" i="1"/>
  <c r="T13" i="1"/>
  <c r="W13" i="1"/>
  <c r="T14" i="1"/>
  <c r="W14" i="1"/>
  <c r="T15" i="1"/>
  <c r="W15" i="1"/>
  <c r="T16" i="1"/>
  <c r="W16" i="1"/>
  <c r="T17" i="1"/>
  <c r="W17" i="1"/>
  <c r="T18" i="1"/>
  <c r="W18" i="1"/>
  <c r="T19" i="1"/>
  <c r="W19" i="1"/>
  <c r="T20" i="1"/>
  <c r="W20" i="1"/>
  <c r="T21" i="1"/>
  <c r="W21" i="1"/>
  <c r="T22" i="1"/>
  <c r="W22" i="1"/>
  <c r="T23" i="1"/>
  <c r="W23" i="1"/>
  <c r="T24" i="1"/>
  <c r="W24" i="1"/>
  <c r="T25" i="1"/>
  <c r="W25" i="1"/>
  <c r="T26" i="1"/>
  <c r="W26" i="1"/>
  <c r="T27" i="1"/>
  <c r="W27" i="1"/>
  <c r="T28" i="1"/>
  <c r="W28" i="1"/>
  <c r="T29" i="1"/>
  <c r="W29" i="1"/>
  <c r="T30" i="1"/>
  <c r="W30" i="1"/>
  <c r="T31" i="1"/>
  <c r="W31" i="1"/>
  <c r="T32" i="1"/>
  <c r="W32" i="1"/>
  <c r="T33" i="1"/>
  <c r="W33" i="1"/>
  <c r="T34" i="1"/>
  <c r="W34" i="1"/>
  <c r="T35" i="1"/>
  <c r="W35" i="1"/>
  <c r="T36" i="1"/>
  <c r="W36" i="1"/>
  <c r="T37" i="1"/>
  <c r="W37" i="1"/>
  <c r="T38" i="1"/>
  <c r="W38" i="1"/>
  <c r="T39" i="1"/>
  <c r="W39" i="1"/>
  <c r="T40" i="1"/>
  <c r="W40" i="1"/>
  <c r="T41" i="1"/>
  <c r="W41" i="1"/>
  <c r="T42" i="1"/>
  <c r="W42" i="1"/>
  <c r="T43" i="1"/>
  <c r="W43" i="1"/>
  <c r="T44" i="1"/>
  <c r="W44" i="1"/>
  <c r="T45" i="1"/>
  <c r="W45" i="1"/>
  <c r="T46" i="1"/>
  <c r="W46" i="1"/>
  <c r="T8" i="1"/>
  <c r="W8" i="1"/>
  <c r="T9" i="1"/>
  <c r="W9" i="1"/>
  <c r="Q106" i="1"/>
  <c r="T106" i="1"/>
  <c r="N47" i="1"/>
  <c r="Q47" i="1"/>
  <c r="T47" i="1"/>
  <c r="N48" i="1"/>
  <c r="Q48" i="1"/>
  <c r="T48" i="1"/>
  <c r="N123" i="1"/>
  <c r="Q123" i="1"/>
  <c r="N124" i="1"/>
  <c r="Q124" i="1"/>
  <c r="N125" i="1"/>
  <c r="Q125" i="1"/>
  <c r="N126" i="1"/>
  <c r="Q126" i="1"/>
  <c r="N127" i="1"/>
  <c r="Q127" i="1"/>
  <c r="N107" i="1"/>
  <c r="Q107" i="1"/>
  <c r="N108" i="1"/>
  <c r="Q108" i="1"/>
  <c r="N109" i="1"/>
  <c r="Q109" i="1"/>
  <c r="N110" i="1"/>
  <c r="Q110" i="1"/>
  <c r="N111" i="1"/>
  <c r="Q111" i="1"/>
  <c r="N112" i="1"/>
  <c r="Q112" i="1"/>
  <c r="N113" i="1"/>
  <c r="Q113" i="1"/>
  <c r="N114" i="1"/>
  <c r="Q114" i="1"/>
  <c r="N115" i="1"/>
  <c r="Q115" i="1"/>
  <c r="N116" i="1"/>
  <c r="Q116" i="1"/>
  <c r="N117" i="1"/>
  <c r="Q117" i="1"/>
  <c r="N118" i="1"/>
  <c r="Q118" i="1"/>
  <c r="N119" i="1"/>
  <c r="Q119" i="1"/>
  <c r="N120" i="1"/>
  <c r="Q120" i="1"/>
  <c r="N121" i="1"/>
  <c r="Q121" i="1"/>
  <c r="N122" i="1"/>
  <c r="Q122" i="1"/>
  <c r="N49" i="1"/>
  <c r="Q49" i="1"/>
  <c r="Q50" i="1"/>
  <c r="N50" i="1"/>
  <c r="Q51" i="1"/>
  <c r="N51" i="1"/>
  <c r="N52" i="1"/>
  <c r="Q52" i="1"/>
  <c r="Q53" i="1"/>
  <c r="N53" i="1"/>
  <c r="N54" i="1"/>
  <c r="Q54" i="1"/>
  <c r="N55" i="1"/>
  <c r="Q55" i="1"/>
  <c r="N56" i="1"/>
  <c r="Q56" i="1"/>
  <c r="N57" i="1"/>
  <c r="Q57" i="1"/>
  <c r="N58" i="1"/>
  <c r="Q58" i="1"/>
  <c r="N59" i="1"/>
  <c r="Q59" i="1"/>
  <c r="N60" i="1"/>
  <c r="Q60" i="1"/>
  <c r="N61" i="1"/>
  <c r="Q61" i="1"/>
  <c r="N62" i="1"/>
  <c r="Q62" i="1"/>
  <c r="Q63" i="1"/>
  <c r="N63" i="1"/>
  <c r="N64" i="1"/>
  <c r="Q64" i="1"/>
  <c r="N65" i="1"/>
  <c r="Q65" i="1"/>
  <c r="N66" i="1"/>
  <c r="Q66" i="1"/>
  <c r="Q67" i="1"/>
  <c r="N67" i="1"/>
  <c r="Q68" i="1"/>
  <c r="N68" i="1"/>
  <c r="N69" i="1"/>
  <c r="Q69" i="1"/>
  <c r="Q70" i="1"/>
  <c r="N70" i="1"/>
  <c r="Q71" i="1"/>
  <c r="N71" i="1"/>
  <c r="Q72" i="1"/>
  <c r="N72" i="1"/>
  <c r="Q73" i="1"/>
  <c r="N73" i="1"/>
  <c r="Q74" i="1"/>
  <c r="N74" i="1"/>
  <c r="N75" i="1"/>
  <c r="Q75" i="1"/>
  <c r="N76" i="1"/>
  <c r="Q76" i="1"/>
  <c r="Q77" i="1"/>
  <c r="N77" i="1"/>
  <c r="N78" i="1"/>
  <c r="Q78" i="1"/>
  <c r="N79" i="1"/>
  <c r="Q79" i="1"/>
  <c r="N80" i="1"/>
  <c r="Q80" i="1"/>
  <c r="Q81" i="1"/>
  <c r="N81" i="1"/>
  <c r="Q82" i="1"/>
  <c r="N82" i="1"/>
  <c r="Q83" i="1"/>
  <c r="N83" i="1"/>
  <c r="N84" i="1"/>
  <c r="Q84" i="1"/>
  <c r="N85" i="1"/>
  <c r="Q85" i="1"/>
  <c r="N86" i="1"/>
  <c r="Q86" i="1"/>
  <c r="N87" i="1"/>
  <c r="Q87" i="1"/>
  <c r="Q88" i="1"/>
  <c r="N88" i="1"/>
  <c r="N89" i="1"/>
  <c r="Q89" i="1"/>
  <c r="N90" i="1"/>
  <c r="Q90" i="1"/>
  <c r="N91" i="1"/>
  <c r="Q91" i="1"/>
  <c r="N92" i="1"/>
  <c r="Q92" i="1"/>
  <c r="N93" i="1"/>
  <c r="Q93" i="1"/>
  <c r="N94" i="1"/>
  <c r="Q94" i="1"/>
  <c r="N95" i="1"/>
  <c r="Q95" i="1"/>
  <c r="N96" i="1"/>
  <c r="Q96" i="1"/>
  <c r="N97" i="1"/>
  <c r="Q97" i="1"/>
  <c r="N98" i="1"/>
  <c r="Q98" i="1"/>
  <c r="N99" i="1"/>
  <c r="Q99" i="1"/>
  <c r="N100" i="1"/>
  <c r="Q100" i="1"/>
  <c r="N101" i="1"/>
  <c r="Q101" i="1"/>
  <c r="N102" i="1"/>
  <c r="Q102" i="1"/>
  <c r="N103" i="1"/>
  <c r="Q103" i="1"/>
  <c r="N104" i="1"/>
  <c r="Q104" i="1"/>
  <c r="N105" i="1"/>
  <c r="Q105" i="1"/>
  <c r="N10" i="1"/>
  <c r="Q10" i="1"/>
  <c r="N11" i="1"/>
  <c r="Q11" i="1"/>
  <c r="N12" i="1"/>
  <c r="Q12" i="1"/>
  <c r="N13" i="1"/>
  <c r="Q13" i="1"/>
  <c r="N14" i="1"/>
  <c r="Q14" i="1"/>
  <c r="N15" i="1"/>
  <c r="Q15" i="1"/>
  <c r="N16" i="1"/>
  <c r="Q16" i="1"/>
  <c r="N17" i="1"/>
  <c r="Q17" i="1"/>
  <c r="N18" i="1"/>
  <c r="Q18" i="1"/>
  <c r="N19" i="1"/>
  <c r="Q19" i="1"/>
  <c r="N20" i="1"/>
  <c r="Q20" i="1"/>
  <c r="N21" i="1"/>
  <c r="Q21" i="1"/>
  <c r="N22" i="1"/>
  <c r="Q22" i="1"/>
  <c r="N23" i="1"/>
  <c r="Q23" i="1"/>
  <c r="N24" i="1"/>
  <c r="Q24" i="1"/>
  <c r="N25" i="1"/>
  <c r="Q25" i="1"/>
  <c r="N26" i="1"/>
  <c r="Q26" i="1"/>
  <c r="N27" i="1"/>
  <c r="Q27" i="1"/>
  <c r="N28" i="1"/>
  <c r="Q28" i="1"/>
  <c r="N29" i="1"/>
  <c r="Q29" i="1"/>
  <c r="N30" i="1"/>
  <c r="Q30" i="1"/>
  <c r="N31" i="1"/>
  <c r="Q31" i="1"/>
  <c r="N32" i="1"/>
  <c r="Q32" i="1"/>
  <c r="N33" i="1"/>
  <c r="Q33" i="1"/>
  <c r="N34" i="1"/>
  <c r="Q34" i="1"/>
  <c r="N35" i="1"/>
  <c r="Q35" i="1"/>
  <c r="N36" i="1"/>
  <c r="Q36" i="1"/>
  <c r="N37" i="1"/>
  <c r="Q37" i="1"/>
  <c r="N38" i="1"/>
  <c r="Q38" i="1"/>
  <c r="N39" i="1"/>
  <c r="Q39" i="1"/>
  <c r="N40" i="1"/>
  <c r="Q40" i="1"/>
  <c r="N41" i="1"/>
  <c r="Q41" i="1"/>
  <c r="N42" i="1"/>
  <c r="Q42" i="1"/>
  <c r="N43" i="1"/>
  <c r="Q43" i="1"/>
  <c r="N44" i="1"/>
  <c r="Q44" i="1"/>
  <c r="N45" i="1"/>
  <c r="Q45" i="1"/>
  <c r="N46" i="1"/>
  <c r="Q46" i="1"/>
  <c r="N8" i="1"/>
  <c r="Q8" i="1"/>
  <c r="N9" i="1"/>
  <c r="Q9" i="1"/>
  <c r="F106" i="1"/>
  <c r="K106" i="1"/>
  <c r="N106" i="1"/>
  <c r="K123" i="1"/>
  <c r="K124" i="1"/>
  <c r="K125" i="1"/>
  <c r="K126" i="1"/>
  <c r="F108" i="1"/>
  <c r="H108" i="1" s="1"/>
  <c r="K108" i="1"/>
  <c r="F109" i="1"/>
  <c r="H109" i="1" s="1"/>
  <c r="K109" i="1"/>
  <c r="F110" i="1"/>
  <c r="H110" i="1" s="1"/>
  <c r="K110" i="1"/>
  <c r="F111" i="1"/>
  <c r="H111" i="1" s="1"/>
  <c r="K111" i="1"/>
  <c r="F112" i="1"/>
  <c r="H112" i="1" s="1"/>
  <c r="K112" i="1"/>
  <c r="F113" i="1"/>
  <c r="H113" i="1" s="1"/>
  <c r="K113" i="1"/>
  <c r="F114" i="1"/>
  <c r="H114" i="1" s="1"/>
  <c r="K114" i="1"/>
  <c r="F115" i="1"/>
  <c r="H115" i="1" s="1"/>
  <c r="K115" i="1"/>
  <c r="K117" i="1"/>
  <c r="F121" i="1"/>
  <c r="H121" i="1" s="1"/>
  <c r="K121" i="1"/>
  <c r="F122" i="1"/>
  <c r="H122" i="1" s="1"/>
  <c r="K122" i="1"/>
  <c r="F47" i="1"/>
  <c r="K47" i="1"/>
  <c r="F48" i="1"/>
  <c r="K48" i="1"/>
  <c r="F49" i="1"/>
  <c r="H49" i="1" s="1"/>
  <c r="K49" i="1"/>
  <c r="F50" i="1"/>
  <c r="H50" i="1" s="1"/>
  <c r="K50" i="1"/>
  <c r="F51" i="1"/>
  <c r="H51" i="1" s="1"/>
  <c r="K51" i="1"/>
  <c r="F52" i="1"/>
  <c r="H52" i="1" s="1"/>
  <c r="K52" i="1"/>
  <c r="F53" i="1"/>
  <c r="H53" i="1" s="1"/>
  <c r="K53" i="1"/>
  <c r="F54" i="1"/>
  <c r="H54" i="1" s="1"/>
  <c r="K54" i="1"/>
  <c r="F55" i="1"/>
  <c r="H55" i="1" s="1"/>
  <c r="K55" i="1"/>
  <c r="F56" i="1"/>
  <c r="H56" i="1" s="1"/>
  <c r="K56" i="1"/>
  <c r="F57" i="1"/>
  <c r="H57" i="1" s="1"/>
  <c r="K57" i="1"/>
  <c r="F70" i="1"/>
  <c r="H70" i="1" s="1"/>
  <c r="K70" i="1"/>
  <c r="F83" i="1"/>
  <c r="H83" i="1" s="1"/>
  <c r="K83" i="1"/>
  <c r="F84" i="1"/>
  <c r="H84" i="1" s="1"/>
  <c r="K84" i="1"/>
  <c r="F85" i="1"/>
  <c r="H85" i="1" s="1"/>
  <c r="K85" i="1"/>
  <c r="F86" i="1"/>
  <c r="H86" i="1" s="1"/>
  <c r="K86" i="1"/>
  <c r="F87" i="1"/>
  <c r="H87" i="1" s="1"/>
  <c r="K87" i="1"/>
  <c r="F88" i="1"/>
  <c r="H88" i="1" s="1"/>
  <c r="K88" i="1"/>
  <c r="F89" i="1"/>
  <c r="H89" i="1" s="1"/>
  <c r="K89" i="1"/>
  <c r="F90" i="1"/>
  <c r="H90" i="1" s="1"/>
  <c r="K90" i="1"/>
  <c r="F91" i="1"/>
  <c r="H91" i="1" s="1"/>
  <c r="K91" i="1"/>
  <c r="F92" i="1"/>
  <c r="H92" i="1" s="1"/>
  <c r="K92" i="1"/>
  <c r="F93" i="1"/>
  <c r="H93" i="1" s="1"/>
  <c r="K93" i="1"/>
  <c r="F94" i="1"/>
  <c r="H94" i="1" s="1"/>
  <c r="K94" i="1"/>
  <c r="F95" i="1"/>
  <c r="H95" i="1" s="1"/>
  <c r="K95" i="1"/>
  <c r="F96" i="1"/>
  <c r="H96" i="1" s="1"/>
  <c r="K96" i="1"/>
  <c r="F97" i="1"/>
  <c r="H97" i="1" s="1"/>
  <c r="K97" i="1"/>
  <c r="F98" i="1"/>
  <c r="H98" i="1" s="1"/>
  <c r="K98" i="1"/>
  <c r="F99" i="1"/>
  <c r="H99" i="1" s="1"/>
  <c r="K99" i="1"/>
  <c r="F100" i="1"/>
  <c r="H100" i="1" s="1"/>
  <c r="K100" i="1"/>
  <c r="F101" i="1"/>
  <c r="H101" i="1" s="1"/>
  <c r="K101" i="1"/>
  <c r="F102" i="1"/>
  <c r="H102" i="1" s="1"/>
  <c r="K102" i="1"/>
  <c r="F103" i="1"/>
  <c r="H103" i="1" s="1"/>
  <c r="K103" i="1"/>
  <c r="F104" i="1"/>
  <c r="H104" i="1" s="1"/>
  <c r="K104" i="1"/>
  <c r="F105" i="1"/>
  <c r="H105" i="1" s="1"/>
  <c r="K105" i="1"/>
  <c r="F24" i="1"/>
  <c r="H24" i="1" s="1"/>
  <c r="K24" i="1"/>
  <c r="F25" i="1"/>
  <c r="H25" i="1" s="1"/>
  <c r="K25" i="1"/>
  <c r="F26" i="1"/>
  <c r="H26" i="1" s="1"/>
  <c r="K26" i="1"/>
  <c r="F27" i="1"/>
  <c r="H27" i="1" s="1"/>
  <c r="K27" i="1"/>
  <c r="F28" i="1"/>
  <c r="H28" i="1" s="1"/>
  <c r="K28" i="1"/>
  <c r="F29" i="1"/>
  <c r="H29" i="1" s="1"/>
  <c r="K29" i="1"/>
  <c r="F30" i="1"/>
  <c r="H30" i="1" s="1"/>
  <c r="K30" i="1"/>
  <c r="F31" i="1"/>
  <c r="H31" i="1" s="1"/>
  <c r="K31" i="1"/>
  <c r="F32" i="1"/>
  <c r="H32" i="1" s="1"/>
  <c r="K32" i="1"/>
  <c r="F33" i="1"/>
  <c r="H33" i="1" s="1"/>
  <c r="K33" i="1"/>
  <c r="F127" i="1"/>
  <c r="H127" i="1" s="1"/>
  <c r="K127" i="1"/>
  <c r="F107" i="1"/>
  <c r="H107" i="1" s="1"/>
  <c r="K107" i="1"/>
  <c r="F116" i="1"/>
  <c r="H116" i="1" s="1"/>
  <c r="K116" i="1"/>
  <c r="F118" i="1"/>
  <c r="H118" i="1" s="1"/>
  <c r="K118" i="1"/>
  <c r="F119" i="1"/>
  <c r="H119" i="1" s="1"/>
  <c r="K119" i="1"/>
  <c r="F120" i="1"/>
  <c r="H120" i="1" s="1"/>
  <c r="K120" i="1"/>
  <c r="F58" i="1"/>
  <c r="H58" i="1" s="1"/>
  <c r="K58" i="1"/>
  <c r="F59" i="1"/>
  <c r="H59" i="1" s="1"/>
  <c r="K59" i="1"/>
  <c r="F60" i="1"/>
  <c r="H60" i="1" s="1"/>
  <c r="K60" i="1"/>
  <c r="F61" i="1"/>
  <c r="H61" i="1" s="1"/>
  <c r="K61" i="1"/>
  <c r="F62" i="1"/>
  <c r="H62" i="1" s="1"/>
  <c r="K62" i="1"/>
  <c r="F63" i="1"/>
  <c r="H63" i="1" s="1"/>
  <c r="K63" i="1"/>
  <c r="F64" i="1"/>
  <c r="H64" i="1" s="1"/>
  <c r="K64" i="1"/>
  <c r="F65" i="1"/>
  <c r="H65" i="1" s="1"/>
  <c r="K65" i="1"/>
  <c r="F66" i="1"/>
  <c r="H66" i="1" s="1"/>
  <c r="K66" i="1"/>
  <c r="F67" i="1"/>
  <c r="H67" i="1" s="1"/>
  <c r="K67" i="1"/>
  <c r="F68" i="1"/>
  <c r="H68" i="1" s="1"/>
  <c r="K68" i="1"/>
  <c r="F69" i="1"/>
  <c r="H69" i="1" s="1"/>
  <c r="K69" i="1"/>
  <c r="F71" i="1"/>
  <c r="H71" i="1" s="1"/>
  <c r="K71" i="1"/>
  <c r="F72" i="1"/>
  <c r="H72" i="1" s="1"/>
  <c r="K72" i="1"/>
  <c r="F73" i="1"/>
  <c r="H73" i="1" s="1"/>
  <c r="K73" i="1"/>
  <c r="F74" i="1"/>
  <c r="H74" i="1" s="1"/>
  <c r="K74" i="1"/>
  <c r="F75" i="1"/>
  <c r="H75" i="1" s="1"/>
  <c r="K75" i="1"/>
  <c r="F76" i="1"/>
  <c r="H76" i="1" s="1"/>
  <c r="K76" i="1"/>
  <c r="F77" i="1"/>
  <c r="H77" i="1" s="1"/>
  <c r="K77" i="1"/>
  <c r="F78" i="1"/>
  <c r="H78" i="1" s="1"/>
  <c r="K78" i="1"/>
  <c r="F79" i="1"/>
  <c r="H79" i="1" s="1"/>
  <c r="K79" i="1"/>
  <c r="F80" i="1"/>
  <c r="H80" i="1" s="1"/>
  <c r="K80" i="1"/>
  <c r="F81" i="1"/>
  <c r="H81" i="1" s="1"/>
  <c r="K81" i="1"/>
  <c r="F82" i="1"/>
  <c r="H82" i="1" s="1"/>
  <c r="K82" i="1"/>
  <c r="F10" i="1"/>
  <c r="H10" i="1" s="1"/>
  <c r="K10" i="1"/>
  <c r="F11" i="1"/>
  <c r="H11" i="1" s="1"/>
  <c r="K11" i="1"/>
  <c r="F12" i="1"/>
  <c r="H12" i="1" s="1"/>
  <c r="K12" i="1"/>
  <c r="F13" i="1"/>
  <c r="H13" i="1" s="1"/>
  <c r="K13" i="1"/>
  <c r="F14" i="1"/>
  <c r="H14" i="1" s="1"/>
  <c r="K14" i="1"/>
  <c r="F15" i="1"/>
  <c r="H15" i="1" s="1"/>
  <c r="K15" i="1"/>
  <c r="F16" i="1"/>
  <c r="H16" i="1" s="1"/>
  <c r="K16" i="1"/>
  <c r="F17" i="1"/>
  <c r="H17" i="1" s="1"/>
  <c r="K17" i="1"/>
  <c r="F18" i="1"/>
  <c r="H18" i="1" s="1"/>
  <c r="K18" i="1"/>
  <c r="F19" i="1"/>
  <c r="H19" i="1" s="1"/>
  <c r="K19" i="1"/>
  <c r="F20" i="1"/>
  <c r="H20" i="1" s="1"/>
  <c r="K20" i="1"/>
  <c r="F21" i="1"/>
  <c r="H21" i="1" s="1"/>
  <c r="K21" i="1"/>
  <c r="F22" i="1"/>
  <c r="H22" i="1" s="1"/>
  <c r="K22" i="1"/>
  <c r="F23" i="1"/>
  <c r="H23" i="1" s="1"/>
  <c r="K23" i="1"/>
  <c r="F34" i="1"/>
  <c r="H34" i="1" s="1"/>
  <c r="K34" i="1"/>
  <c r="F35" i="1"/>
  <c r="H35" i="1" s="1"/>
  <c r="K35" i="1"/>
  <c r="F36" i="1"/>
  <c r="H36" i="1" s="1"/>
  <c r="K36" i="1"/>
  <c r="F37" i="1"/>
  <c r="H37" i="1" s="1"/>
  <c r="K37" i="1"/>
  <c r="F38" i="1"/>
  <c r="H38" i="1" s="1"/>
  <c r="K38" i="1"/>
  <c r="F39" i="1"/>
  <c r="H39" i="1" s="1"/>
  <c r="K39" i="1"/>
  <c r="F40" i="1"/>
  <c r="H40" i="1" s="1"/>
  <c r="K40" i="1"/>
  <c r="F41" i="1"/>
  <c r="H41" i="1" s="1"/>
  <c r="K41" i="1"/>
  <c r="F42" i="1"/>
  <c r="H42" i="1" s="1"/>
  <c r="K42" i="1"/>
  <c r="F43" i="1"/>
  <c r="H43" i="1" s="1"/>
  <c r="K43" i="1"/>
  <c r="F44" i="1"/>
  <c r="H44" i="1" s="1"/>
  <c r="K44" i="1"/>
  <c r="F45" i="1"/>
  <c r="H45" i="1" s="1"/>
  <c r="K45" i="1"/>
  <c r="F46" i="1"/>
  <c r="H46" i="1" s="1"/>
  <c r="K46" i="1"/>
  <c r="F8" i="1"/>
  <c r="K8" i="1"/>
  <c r="F9" i="1"/>
  <c r="H9" i="1" s="1"/>
  <c r="K9" i="1"/>
  <c r="I123" i="1"/>
  <c r="F123" i="1"/>
  <c r="H123" i="1" s="1"/>
  <c r="I124" i="1"/>
  <c r="F124" i="1"/>
  <c r="H124" i="1" s="1"/>
  <c r="I125" i="1"/>
  <c r="F125" i="1"/>
  <c r="H125" i="1" s="1"/>
  <c r="I126" i="1"/>
  <c r="F126" i="1"/>
  <c r="H126" i="1" s="1"/>
  <c r="I117" i="1"/>
  <c r="F117" i="1"/>
  <c r="H117" i="1" s="1"/>
  <c r="I8" i="1"/>
  <c r="D8" i="1"/>
  <c r="V127" i="1"/>
  <c r="I127" i="1"/>
  <c r="V106" i="1"/>
  <c r="I106" i="1"/>
  <c r="V107" i="1"/>
  <c r="I107" i="1"/>
  <c r="V108" i="1"/>
  <c r="I108" i="1"/>
  <c r="V109" i="1"/>
  <c r="I109" i="1"/>
  <c r="V110" i="1"/>
  <c r="I110" i="1"/>
  <c r="V111" i="1"/>
  <c r="I111" i="1"/>
  <c r="V112" i="1"/>
  <c r="I112" i="1"/>
  <c r="V113" i="1"/>
  <c r="I113" i="1"/>
  <c r="V114" i="1"/>
  <c r="I114" i="1"/>
  <c r="V115" i="1"/>
  <c r="I115" i="1"/>
  <c r="V116" i="1"/>
  <c r="I116" i="1"/>
  <c r="V118" i="1"/>
  <c r="I118" i="1"/>
  <c r="V119" i="1"/>
  <c r="I119" i="1"/>
  <c r="V120" i="1"/>
  <c r="I120" i="1"/>
  <c r="V121" i="1"/>
  <c r="I121" i="1"/>
  <c r="V122" i="1"/>
  <c r="I122" i="1"/>
  <c r="V47" i="1"/>
  <c r="I47" i="1"/>
  <c r="V48" i="1"/>
  <c r="I48" i="1"/>
  <c r="V49" i="1"/>
  <c r="I49" i="1"/>
  <c r="V50" i="1"/>
  <c r="I50" i="1"/>
  <c r="U51" i="1"/>
  <c r="I51" i="1"/>
  <c r="V52" i="1"/>
  <c r="I52" i="1"/>
  <c r="V53" i="1"/>
  <c r="I53" i="1"/>
  <c r="V54" i="1"/>
  <c r="I54" i="1"/>
  <c r="V55" i="1"/>
  <c r="I55" i="1"/>
  <c r="V56" i="1"/>
  <c r="I56" i="1"/>
  <c r="V57" i="1"/>
  <c r="I57" i="1"/>
  <c r="V58" i="1"/>
  <c r="I58" i="1"/>
  <c r="V59" i="1"/>
  <c r="I59" i="1"/>
  <c r="V60" i="1"/>
  <c r="I60" i="1"/>
  <c r="V61" i="1"/>
  <c r="I61" i="1"/>
  <c r="V62" i="1"/>
  <c r="I62" i="1"/>
  <c r="V63" i="1"/>
  <c r="I63" i="1"/>
  <c r="V64" i="1"/>
  <c r="I64" i="1"/>
  <c r="V65" i="1"/>
  <c r="I65" i="1"/>
  <c r="V66" i="1"/>
  <c r="I66" i="1"/>
  <c r="V67" i="1"/>
  <c r="I67" i="1"/>
  <c r="V68" i="1"/>
  <c r="I68" i="1"/>
  <c r="V69" i="1"/>
  <c r="I69" i="1"/>
  <c r="V70" i="1"/>
  <c r="I70" i="1"/>
  <c r="V71" i="1"/>
  <c r="I71" i="1"/>
  <c r="V72" i="1"/>
  <c r="I72" i="1"/>
  <c r="V73" i="1"/>
  <c r="I73" i="1"/>
  <c r="V74" i="1"/>
  <c r="I74" i="1"/>
  <c r="V75" i="1"/>
  <c r="I75" i="1"/>
  <c r="V76" i="1"/>
  <c r="I76" i="1"/>
  <c r="V77" i="1"/>
  <c r="I77" i="1"/>
  <c r="V78" i="1"/>
  <c r="I78" i="1"/>
  <c r="V79" i="1"/>
  <c r="I79" i="1"/>
  <c r="V80" i="1"/>
  <c r="I80" i="1"/>
  <c r="V81" i="1"/>
  <c r="I81" i="1"/>
  <c r="V82" i="1"/>
  <c r="I82" i="1"/>
  <c r="V83" i="1"/>
  <c r="I83" i="1"/>
  <c r="V84" i="1"/>
  <c r="I84" i="1"/>
  <c r="V85" i="1"/>
  <c r="I85" i="1"/>
  <c r="V86" i="1"/>
  <c r="I86" i="1"/>
  <c r="V87" i="1"/>
  <c r="I87" i="1"/>
  <c r="V88" i="1"/>
  <c r="I88" i="1"/>
  <c r="V89" i="1"/>
  <c r="I89" i="1"/>
  <c r="V90" i="1"/>
  <c r="I90" i="1"/>
  <c r="V91" i="1"/>
  <c r="I91" i="1"/>
  <c r="V92" i="1"/>
  <c r="I92" i="1"/>
  <c r="V93" i="1"/>
  <c r="I93" i="1"/>
  <c r="V94" i="1"/>
  <c r="I94" i="1"/>
  <c r="V95" i="1"/>
  <c r="I95" i="1"/>
  <c r="V96" i="1"/>
  <c r="I96" i="1"/>
  <c r="V97" i="1"/>
  <c r="I97" i="1"/>
  <c r="V98" i="1"/>
  <c r="I98" i="1"/>
  <c r="V99" i="1"/>
  <c r="I99" i="1"/>
  <c r="V100" i="1"/>
  <c r="I100" i="1"/>
  <c r="V101" i="1"/>
  <c r="I101" i="1"/>
  <c r="V102" i="1"/>
  <c r="I102" i="1"/>
  <c r="V103" i="1"/>
  <c r="I103" i="1"/>
  <c r="V104" i="1"/>
  <c r="I104" i="1"/>
  <c r="V105" i="1"/>
  <c r="I105" i="1"/>
  <c r="V10" i="1"/>
  <c r="I10" i="1"/>
  <c r="V11" i="1"/>
  <c r="I11" i="1"/>
  <c r="V12" i="1"/>
  <c r="I12" i="1"/>
  <c r="V13" i="1"/>
  <c r="I13" i="1"/>
  <c r="V14" i="1"/>
  <c r="I14" i="1"/>
  <c r="V15" i="1"/>
  <c r="I15" i="1"/>
  <c r="V16" i="1"/>
  <c r="I16" i="1"/>
  <c r="V17" i="1"/>
  <c r="I17" i="1"/>
  <c r="V18" i="1"/>
  <c r="I18" i="1"/>
  <c r="V19" i="1"/>
  <c r="I19" i="1"/>
  <c r="V20" i="1"/>
  <c r="I20" i="1"/>
  <c r="V21" i="1"/>
  <c r="I21" i="1"/>
  <c r="V22" i="1"/>
  <c r="I22" i="1"/>
  <c r="V23" i="1"/>
  <c r="I23" i="1"/>
  <c r="V24" i="1"/>
  <c r="I24" i="1"/>
  <c r="V25" i="1"/>
  <c r="I25" i="1"/>
  <c r="V26" i="1"/>
  <c r="I26" i="1"/>
  <c r="V27" i="1"/>
  <c r="I27" i="1"/>
  <c r="V28" i="1"/>
  <c r="I28" i="1"/>
  <c r="V29" i="1"/>
  <c r="I29" i="1"/>
  <c r="V30" i="1"/>
  <c r="I30" i="1"/>
  <c r="V31" i="1"/>
  <c r="I31" i="1"/>
  <c r="V32" i="1"/>
  <c r="I32" i="1"/>
  <c r="V33" i="1"/>
  <c r="I33" i="1"/>
  <c r="V34" i="1"/>
  <c r="I34" i="1"/>
  <c r="V35" i="1"/>
  <c r="I35" i="1"/>
  <c r="V36" i="1"/>
  <c r="I36" i="1"/>
  <c r="V37" i="1"/>
  <c r="I37" i="1"/>
  <c r="V38" i="1"/>
  <c r="I38" i="1"/>
  <c r="V39" i="1"/>
  <c r="I39" i="1"/>
  <c r="V40" i="1"/>
  <c r="I40" i="1"/>
  <c r="V41" i="1"/>
  <c r="I41" i="1"/>
  <c r="V42" i="1"/>
  <c r="I42" i="1"/>
  <c r="V43" i="1"/>
  <c r="I43" i="1"/>
  <c r="V44" i="1"/>
  <c r="I44" i="1"/>
  <c r="V45" i="1"/>
  <c r="I45" i="1"/>
  <c r="V46" i="1"/>
  <c r="I46" i="1"/>
  <c r="V9" i="1"/>
  <c r="I9" i="1"/>
  <c r="V8" i="1"/>
  <c r="S123" i="1"/>
  <c r="V123" i="1"/>
  <c r="U123" i="1"/>
  <c r="S124" i="1"/>
  <c r="V124" i="1"/>
  <c r="U124" i="1"/>
  <c r="S125" i="1"/>
  <c r="V125" i="1"/>
  <c r="U125" i="1"/>
  <c r="V126" i="1"/>
  <c r="U126" i="1"/>
  <c r="U117" i="1"/>
  <c r="V117" i="1"/>
  <c r="R126" i="1"/>
  <c r="S126" i="1"/>
  <c r="S127" i="1"/>
  <c r="U127" i="1"/>
  <c r="S51" i="1"/>
  <c r="V51" i="1"/>
  <c r="S106" i="1"/>
  <c r="U106" i="1"/>
  <c r="S107" i="1"/>
  <c r="U107" i="1"/>
  <c r="S108" i="1"/>
  <c r="U108" i="1"/>
  <c r="S109" i="1"/>
  <c r="U109" i="1"/>
  <c r="S110" i="1"/>
  <c r="U110" i="1"/>
  <c r="S111" i="1"/>
  <c r="U111" i="1"/>
  <c r="S112" i="1"/>
  <c r="U112" i="1"/>
  <c r="S113" i="1"/>
  <c r="U113" i="1"/>
  <c r="S114" i="1"/>
  <c r="U114" i="1"/>
  <c r="S115" i="1"/>
  <c r="U115" i="1"/>
  <c r="S116" i="1"/>
  <c r="U116" i="1"/>
  <c r="S118" i="1"/>
  <c r="U118" i="1"/>
  <c r="S119" i="1"/>
  <c r="U119" i="1"/>
  <c r="S120" i="1"/>
  <c r="U120" i="1"/>
  <c r="S121" i="1"/>
  <c r="U121" i="1"/>
  <c r="S122" i="1"/>
  <c r="U122" i="1"/>
  <c r="S47" i="1"/>
  <c r="U47" i="1"/>
  <c r="S48" i="1"/>
  <c r="U48" i="1"/>
  <c r="S49" i="1"/>
  <c r="U49" i="1"/>
  <c r="S50" i="1"/>
  <c r="U50" i="1"/>
  <c r="S52" i="1"/>
  <c r="U52" i="1"/>
  <c r="S53" i="1"/>
  <c r="U53" i="1"/>
  <c r="S54" i="1"/>
  <c r="U54" i="1"/>
  <c r="S55" i="1"/>
  <c r="U55" i="1"/>
  <c r="S56" i="1"/>
  <c r="U56" i="1"/>
  <c r="S57" i="1"/>
  <c r="U57" i="1"/>
  <c r="S58" i="1"/>
  <c r="U58" i="1"/>
  <c r="S59" i="1"/>
  <c r="U59" i="1"/>
  <c r="S60" i="1"/>
  <c r="U60" i="1"/>
  <c r="S61" i="1"/>
  <c r="U61" i="1"/>
  <c r="S62" i="1"/>
  <c r="U62" i="1"/>
  <c r="S63" i="1"/>
  <c r="U63" i="1"/>
  <c r="S64" i="1"/>
  <c r="U64" i="1"/>
  <c r="U65" i="1"/>
  <c r="S65" i="1"/>
  <c r="S66" i="1"/>
  <c r="U66" i="1"/>
  <c r="S67" i="1"/>
  <c r="U67" i="1"/>
  <c r="S68" i="1"/>
  <c r="U68" i="1"/>
  <c r="S69" i="1"/>
  <c r="U69" i="1"/>
  <c r="S70" i="1"/>
  <c r="U70" i="1"/>
  <c r="S71" i="1"/>
  <c r="U71" i="1"/>
  <c r="S72" i="1"/>
  <c r="U72" i="1"/>
  <c r="S73" i="1"/>
  <c r="U73" i="1"/>
  <c r="U74" i="1"/>
  <c r="S74" i="1"/>
  <c r="U75" i="1"/>
  <c r="S75" i="1"/>
  <c r="S76" i="1"/>
  <c r="U76" i="1"/>
  <c r="S77" i="1"/>
  <c r="U77" i="1"/>
  <c r="U78" i="1"/>
  <c r="S78" i="1"/>
  <c r="R79" i="1"/>
  <c r="S79" i="1"/>
  <c r="U79" i="1"/>
  <c r="R80" i="1"/>
  <c r="U80" i="1"/>
  <c r="S80" i="1"/>
  <c r="R81" i="1"/>
  <c r="S81" i="1"/>
  <c r="U81" i="1"/>
  <c r="R82" i="1"/>
  <c r="U82" i="1"/>
  <c r="S82" i="1"/>
  <c r="R83" i="1"/>
  <c r="U83" i="1"/>
  <c r="S83" i="1"/>
  <c r="R84" i="1"/>
  <c r="S84" i="1"/>
  <c r="U84" i="1"/>
  <c r="R85" i="1"/>
  <c r="U85" i="1"/>
  <c r="S85" i="1"/>
  <c r="R86" i="1"/>
  <c r="S86" i="1"/>
  <c r="U86" i="1"/>
  <c r="R87" i="1"/>
  <c r="S87" i="1"/>
  <c r="U87" i="1"/>
  <c r="R88" i="1"/>
  <c r="S88" i="1"/>
  <c r="U88" i="1"/>
  <c r="S89" i="1"/>
  <c r="U89" i="1"/>
  <c r="S90" i="1"/>
  <c r="U90" i="1"/>
  <c r="S91" i="1"/>
  <c r="U91" i="1"/>
  <c r="S92" i="1"/>
  <c r="U92" i="1"/>
  <c r="S93" i="1"/>
  <c r="U93" i="1"/>
  <c r="S94" i="1"/>
  <c r="U94" i="1"/>
  <c r="S95" i="1"/>
  <c r="U95" i="1"/>
  <c r="S96" i="1"/>
  <c r="U96" i="1"/>
  <c r="S97" i="1"/>
  <c r="U97" i="1"/>
  <c r="S98" i="1"/>
  <c r="U98" i="1"/>
  <c r="S99" i="1"/>
  <c r="U99" i="1"/>
  <c r="S100" i="1"/>
  <c r="U100" i="1"/>
  <c r="S101" i="1"/>
  <c r="U101" i="1"/>
  <c r="S102" i="1"/>
  <c r="U102" i="1"/>
  <c r="S103" i="1"/>
  <c r="U103" i="1"/>
  <c r="S104" i="1"/>
  <c r="U104" i="1"/>
  <c r="S105" i="1"/>
  <c r="U105" i="1"/>
  <c r="S10" i="1"/>
  <c r="U10" i="1"/>
  <c r="S11" i="1"/>
  <c r="U11" i="1"/>
  <c r="S12" i="1"/>
  <c r="U12" i="1"/>
  <c r="S13" i="1"/>
  <c r="U13" i="1"/>
  <c r="S14" i="1"/>
  <c r="U14" i="1"/>
  <c r="S15" i="1"/>
  <c r="U15" i="1"/>
  <c r="S16" i="1"/>
  <c r="U16" i="1"/>
  <c r="S17" i="1"/>
  <c r="U17" i="1"/>
  <c r="S18" i="1"/>
  <c r="U18" i="1"/>
  <c r="S19" i="1"/>
  <c r="U19" i="1"/>
  <c r="S20" i="1"/>
  <c r="U20" i="1"/>
  <c r="S21" i="1"/>
  <c r="U21" i="1"/>
  <c r="S22" i="1"/>
  <c r="U22" i="1"/>
  <c r="S23" i="1"/>
  <c r="U23" i="1"/>
  <c r="S24" i="1"/>
  <c r="U24" i="1"/>
  <c r="S25" i="1"/>
  <c r="U25" i="1"/>
  <c r="S26" i="1"/>
  <c r="U26" i="1"/>
  <c r="S27" i="1"/>
  <c r="U27" i="1"/>
  <c r="S28" i="1"/>
  <c r="U28" i="1"/>
  <c r="S29" i="1"/>
  <c r="U29" i="1"/>
  <c r="S30" i="1"/>
  <c r="U30" i="1"/>
  <c r="S31" i="1"/>
  <c r="U31" i="1"/>
  <c r="S32" i="1"/>
  <c r="U32" i="1"/>
  <c r="S33" i="1"/>
  <c r="U33" i="1"/>
  <c r="S34" i="1"/>
  <c r="U34" i="1"/>
  <c r="S35" i="1"/>
  <c r="U35" i="1"/>
  <c r="S36" i="1"/>
  <c r="U36" i="1"/>
  <c r="S37" i="1"/>
  <c r="U37" i="1"/>
  <c r="S38" i="1"/>
  <c r="U38" i="1"/>
  <c r="S39" i="1"/>
  <c r="U39" i="1"/>
  <c r="S40" i="1"/>
  <c r="U40" i="1"/>
  <c r="S41" i="1"/>
  <c r="U41" i="1"/>
  <c r="S42" i="1"/>
  <c r="U42" i="1"/>
  <c r="S43" i="1"/>
  <c r="U43" i="1"/>
  <c r="S44" i="1"/>
  <c r="U44" i="1"/>
  <c r="S45" i="1"/>
  <c r="U45" i="1"/>
  <c r="S46" i="1"/>
  <c r="U46" i="1"/>
  <c r="S8" i="1"/>
  <c r="U8" i="1"/>
  <c r="S9" i="1"/>
  <c r="U9" i="1"/>
  <c r="R117" i="1"/>
  <c r="S117" i="1"/>
  <c r="P123" i="1"/>
  <c r="R123" i="1"/>
  <c r="P124" i="1"/>
  <c r="R124" i="1"/>
  <c r="P125" i="1"/>
  <c r="R125" i="1"/>
  <c r="P127" i="1"/>
  <c r="R127" i="1"/>
  <c r="P106" i="1"/>
  <c r="R106" i="1"/>
  <c r="P107" i="1"/>
  <c r="R107" i="1"/>
  <c r="P108" i="1"/>
  <c r="R108" i="1"/>
  <c r="P109" i="1"/>
  <c r="R109" i="1"/>
  <c r="P110" i="1"/>
  <c r="R110" i="1"/>
  <c r="P111" i="1"/>
  <c r="R111" i="1"/>
  <c r="P112" i="1"/>
  <c r="R112" i="1"/>
  <c r="P113" i="1"/>
  <c r="R113" i="1"/>
  <c r="P114" i="1"/>
  <c r="R114" i="1"/>
  <c r="P115" i="1"/>
  <c r="R115" i="1"/>
  <c r="P116" i="1"/>
  <c r="R116" i="1"/>
  <c r="P118" i="1"/>
  <c r="R118" i="1"/>
  <c r="P119" i="1"/>
  <c r="R119" i="1"/>
  <c r="P120" i="1"/>
  <c r="R120" i="1"/>
  <c r="P121" i="1"/>
  <c r="R121" i="1"/>
  <c r="P122" i="1"/>
  <c r="R122" i="1"/>
  <c r="P47" i="1"/>
  <c r="R47" i="1"/>
  <c r="R48" i="1"/>
  <c r="P48" i="1"/>
  <c r="P49" i="1"/>
  <c r="R49" i="1"/>
  <c r="P50" i="1"/>
  <c r="R50" i="1"/>
  <c r="P51" i="1"/>
  <c r="R51" i="1"/>
  <c r="P52" i="1"/>
  <c r="R52" i="1"/>
  <c r="P53" i="1"/>
  <c r="R53" i="1"/>
  <c r="P54" i="1"/>
  <c r="R54" i="1"/>
  <c r="P55" i="1"/>
  <c r="R55" i="1"/>
  <c r="P56" i="1"/>
  <c r="R56" i="1"/>
  <c r="P57" i="1"/>
  <c r="R57" i="1"/>
  <c r="P58" i="1"/>
  <c r="R58" i="1"/>
  <c r="P59" i="1"/>
  <c r="R59" i="1"/>
  <c r="P60" i="1"/>
  <c r="R60" i="1"/>
  <c r="P61" i="1"/>
  <c r="R61" i="1"/>
  <c r="P62" i="1"/>
  <c r="R62" i="1"/>
  <c r="P63" i="1"/>
  <c r="R63" i="1"/>
  <c r="P64" i="1"/>
  <c r="R64" i="1"/>
  <c r="P65" i="1"/>
  <c r="R65" i="1"/>
  <c r="P66" i="1"/>
  <c r="R66" i="1"/>
  <c r="P67" i="1"/>
  <c r="R67" i="1"/>
  <c r="P68" i="1"/>
  <c r="R68" i="1"/>
  <c r="P69" i="1"/>
  <c r="R69" i="1"/>
  <c r="P70" i="1"/>
  <c r="R70" i="1"/>
  <c r="P71" i="1"/>
  <c r="R71" i="1"/>
  <c r="P72" i="1"/>
  <c r="R72" i="1"/>
  <c r="P73" i="1"/>
  <c r="R73" i="1"/>
  <c r="P74" i="1"/>
  <c r="R74" i="1"/>
  <c r="P75" i="1"/>
  <c r="R75" i="1"/>
  <c r="P76" i="1"/>
  <c r="R76" i="1"/>
  <c r="P77" i="1"/>
  <c r="R77" i="1"/>
  <c r="P78" i="1"/>
  <c r="R78" i="1"/>
  <c r="P89" i="1"/>
  <c r="R89" i="1"/>
  <c r="P90" i="1"/>
  <c r="R90" i="1"/>
  <c r="P91" i="1"/>
  <c r="R91" i="1"/>
  <c r="P92" i="1"/>
  <c r="R92" i="1"/>
  <c r="P93" i="1"/>
  <c r="R93" i="1"/>
  <c r="P94" i="1"/>
  <c r="R94" i="1"/>
  <c r="P95" i="1"/>
  <c r="R95" i="1"/>
  <c r="P96" i="1"/>
  <c r="R96" i="1"/>
  <c r="P97" i="1"/>
  <c r="R97" i="1"/>
  <c r="P98" i="1"/>
  <c r="R98" i="1"/>
  <c r="P99" i="1"/>
  <c r="R99" i="1"/>
  <c r="P100" i="1"/>
  <c r="R100" i="1"/>
  <c r="P101" i="1"/>
  <c r="R101" i="1"/>
  <c r="P102" i="1"/>
  <c r="R102" i="1"/>
  <c r="P103" i="1"/>
  <c r="R103" i="1"/>
  <c r="P104" i="1"/>
  <c r="R104" i="1"/>
  <c r="P105" i="1"/>
  <c r="R105" i="1"/>
  <c r="P10" i="1"/>
  <c r="R10" i="1"/>
  <c r="P11" i="1"/>
  <c r="R11" i="1"/>
  <c r="P12" i="1"/>
  <c r="R12" i="1"/>
  <c r="P13" i="1"/>
  <c r="R13" i="1"/>
  <c r="P14" i="1"/>
  <c r="R14" i="1"/>
  <c r="P15" i="1"/>
  <c r="R15" i="1"/>
  <c r="P16" i="1"/>
  <c r="R16" i="1"/>
  <c r="P17" i="1"/>
  <c r="R17" i="1"/>
  <c r="P18" i="1"/>
  <c r="R18" i="1"/>
  <c r="P19" i="1"/>
  <c r="R19" i="1"/>
  <c r="P20" i="1"/>
  <c r="R20" i="1"/>
  <c r="P21" i="1"/>
  <c r="R21" i="1"/>
  <c r="P22" i="1"/>
  <c r="R22" i="1"/>
  <c r="P23" i="1"/>
  <c r="R23" i="1"/>
  <c r="P24" i="1"/>
  <c r="R24" i="1"/>
  <c r="P25" i="1"/>
  <c r="R25" i="1"/>
  <c r="P26" i="1"/>
  <c r="R26" i="1"/>
  <c r="P27" i="1"/>
  <c r="R27" i="1"/>
  <c r="P28" i="1"/>
  <c r="R28" i="1"/>
  <c r="P29" i="1"/>
  <c r="R29" i="1"/>
  <c r="P30" i="1"/>
  <c r="R30" i="1"/>
  <c r="P31" i="1"/>
  <c r="R31" i="1"/>
  <c r="P32" i="1"/>
  <c r="R32" i="1"/>
  <c r="P33" i="1"/>
  <c r="R33" i="1"/>
  <c r="P34" i="1"/>
  <c r="R34" i="1"/>
  <c r="R35" i="1"/>
  <c r="P35" i="1"/>
  <c r="P36" i="1"/>
  <c r="R36" i="1"/>
  <c r="R37" i="1"/>
  <c r="P37" i="1"/>
  <c r="P38" i="1"/>
  <c r="R38" i="1"/>
  <c r="R39" i="1"/>
  <c r="P39" i="1"/>
  <c r="R40" i="1"/>
  <c r="P40" i="1"/>
  <c r="R41" i="1"/>
  <c r="P41" i="1"/>
  <c r="R42" i="1"/>
  <c r="P42" i="1"/>
  <c r="P43" i="1"/>
  <c r="R43" i="1"/>
  <c r="P44" i="1"/>
  <c r="R44" i="1"/>
  <c r="P45" i="1"/>
  <c r="R45" i="1"/>
  <c r="R46" i="1"/>
  <c r="P46" i="1"/>
  <c r="P8" i="1"/>
  <c r="R8" i="1"/>
  <c r="P9" i="1"/>
  <c r="R9" i="1"/>
  <c r="M126" i="1"/>
  <c r="P126" i="1"/>
  <c r="O126" i="1"/>
  <c r="M117" i="1"/>
  <c r="P117" i="1"/>
  <c r="O117" i="1"/>
  <c r="O79" i="1"/>
  <c r="P79" i="1"/>
  <c r="M79" i="1"/>
  <c r="O80" i="1"/>
  <c r="P80" i="1"/>
  <c r="M80" i="1"/>
  <c r="O81" i="1"/>
  <c r="P81" i="1"/>
  <c r="M81" i="1"/>
  <c r="O82" i="1"/>
  <c r="P82" i="1"/>
  <c r="M82" i="1"/>
  <c r="O83" i="1"/>
  <c r="P83" i="1"/>
  <c r="M83" i="1"/>
  <c r="O84" i="1"/>
  <c r="P84" i="1"/>
  <c r="M84" i="1"/>
  <c r="O85" i="1"/>
  <c r="P85" i="1"/>
  <c r="M85" i="1"/>
  <c r="O86" i="1"/>
  <c r="P86" i="1"/>
  <c r="M86" i="1"/>
  <c r="O87" i="1"/>
  <c r="P87" i="1"/>
  <c r="M87" i="1"/>
  <c r="O88" i="1"/>
  <c r="M88" i="1"/>
  <c r="P88" i="1"/>
  <c r="M123" i="1"/>
  <c r="O123" i="1"/>
  <c r="M124" i="1"/>
  <c r="O124" i="1"/>
  <c r="M125" i="1"/>
  <c r="O125" i="1"/>
  <c r="M127" i="1"/>
  <c r="O127" i="1"/>
  <c r="M106" i="1"/>
  <c r="O106" i="1"/>
  <c r="M107" i="1"/>
  <c r="O107" i="1"/>
  <c r="M108" i="1"/>
  <c r="O108" i="1"/>
  <c r="M109" i="1"/>
  <c r="O109" i="1"/>
  <c r="M110" i="1"/>
  <c r="O110" i="1"/>
  <c r="M111" i="1"/>
  <c r="O111" i="1"/>
  <c r="M112" i="1"/>
  <c r="O112" i="1"/>
  <c r="M113" i="1"/>
  <c r="O113" i="1"/>
  <c r="M114" i="1"/>
  <c r="O114" i="1"/>
  <c r="M115" i="1"/>
  <c r="O115" i="1"/>
  <c r="M116" i="1"/>
  <c r="O116" i="1"/>
  <c r="M118" i="1"/>
  <c r="O118" i="1"/>
  <c r="M119" i="1"/>
  <c r="O119" i="1"/>
  <c r="M120" i="1"/>
  <c r="O120" i="1"/>
  <c r="M121" i="1"/>
  <c r="O121" i="1"/>
  <c r="M122" i="1"/>
  <c r="O122" i="1"/>
  <c r="M47" i="1"/>
  <c r="O47" i="1"/>
  <c r="M48" i="1"/>
  <c r="O48" i="1"/>
  <c r="M49" i="1"/>
  <c r="O49" i="1"/>
  <c r="M50" i="1"/>
  <c r="O50" i="1"/>
  <c r="M51" i="1"/>
  <c r="O51" i="1"/>
  <c r="M52" i="1"/>
  <c r="O52" i="1"/>
  <c r="M53" i="1"/>
  <c r="O53" i="1"/>
  <c r="M54" i="1"/>
  <c r="O54" i="1"/>
  <c r="M55" i="1"/>
  <c r="O55" i="1"/>
  <c r="M56" i="1"/>
  <c r="O56" i="1"/>
  <c r="M57" i="1"/>
  <c r="O57" i="1"/>
  <c r="M58" i="1"/>
  <c r="O58" i="1"/>
  <c r="M59" i="1"/>
  <c r="O59" i="1"/>
  <c r="M60" i="1"/>
  <c r="O60" i="1"/>
  <c r="M61" i="1"/>
  <c r="O61" i="1"/>
  <c r="M62" i="1"/>
  <c r="O62" i="1"/>
  <c r="M63" i="1"/>
  <c r="O63" i="1"/>
  <c r="M64" i="1"/>
  <c r="O64" i="1"/>
  <c r="M65" i="1"/>
  <c r="O65" i="1"/>
  <c r="M66" i="1"/>
  <c r="O66" i="1"/>
  <c r="M67" i="1"/>
  <c r="O67" i="1"/>
  <c r="M68" i="1"/>
  <c r="O68" i="1"/>
  <c r="M69" i="1"/>
  <c r="O69" i="1"/>
  <c r="M70" i="1"/>
  <c r="O70" i="1"/>
  <c r="M71" i="1"/>
  <c r="O71" i="1"/>
  <c r="M72" i="1"/>
  <c r="O72" i="1"/>
  <c r="M73" i="1"/>
  <c r="O73" i="1"/>
  <c r="M74" i="1"/>
  <c r="O74" i="1"/>
  <c r="M75" i="1"/>
  <c r="O75" i="1"/>
  <c r="M76" i="1"/>
  <c r="O76" i="1"/>
  <c r="M77" i="1"/>
  <c r="O77" i="1"/>
  <c r="O78" i="1"/>
  <c r="M78" i="1"/>
  <c r="M89" i="1"/>
  <c r="O89" i="1"/>
  <c r="M90" i="1"/>
  <c r="O90" i="1"/>
  <c r="M91" i="1"/>
  <c r="O91" i="1"/>
  <c r="M92" i="1"/>
  <c r="O92" i="1"/>
  <c r="M93" i="1"/>
  <c r="O93" i="1"/>
  <c r="M94" i="1"/>
  <c r="O94" i="1"/>
  <c r="M95" i="1"/>
  <c r="O95" i="1"/>
  <c r="M96" i="1"/>
  <c r="O96" i="1"/>
  <c r="M97" i="1"/>
  <c r="O97" i="1"/>
  <c r="M98" i="1"/>
  <c r="O98" i="1"/>
  <c r="M99" i="1"/>
  <c r="O99" i="1"/>
  <c r="M100" i="1"/>
  <c r="O100" i="1"/>
  <c r="M101" i="1"/>
  <c r="O101" i="1"/>
  <c r="M102" i="1"/>
  <c r="O102" i="1"/>
  <c r="M103" i="1"/>
  <c r="O103" i="1"/>
  <c r="M104" i="1"/>
  <c r="O104" i="1"/>
  <c r="M105" i="1"/>
  <c r="O105" i="1"/>
  <c r="M10" i="1"/>
  <c r="O10" i="1"/>
  <c r="M11" i="1"/>
  <c r="O11" i="1"/>
  <c r="M12" i="1"/>
  <c r="O12" i="1"/>
  <c r="M13" i="1"/>
  <c r="O13" i="1"/>
  <c r="M14" i="1"/>
  <c r="O14" i="1"/>
  <c r="M15" i="1"/>
  <c r="O15" i="1"/>
  <c r="M16" i="1"/>
  <c r="O16" i="1"/>
  <c r="M17" i="1"/>
  <c r="O17" i="1"/>
  <c r="M18" i="1"/>
  <c r="O18" i="1"/>
  <c r="M19" i="1"/>
  <c r="O19" i="1"/>
  <c r="M20" i="1"/>
  <c r="O20" i="1"/>
  <c r="M21" i="1"/>
  <c r="O21" i="1"/>
  <c r="M22" i="1"/>
  <c r="O22" i="1"/>
  <c r="M23" i="1"/>
  <c r="O23" i="1"/>
  <c r="M24" i="1"/>
  <c r="O24" i="1"/>
  <c r="M25" i="1"/>
  <c r="O25" i="1"/>
  <c r="M26" i="1"/>
  <c r="O26" i="1"/>
  <c r="M27" i="1"/>
  <c r="O27" i="1"/>
  <c r="M28" i="1"/>
  <c r="O28" i="1"/>
  <c r="M29" i="1"/>
  <c r="O29" i="1"/>
  <c r="M30" i="1"/>
  <c r="O30" i="1"/>
  <c r="M31" i="1"/>
  <c r="O31" i="1"/>
  <c r="M32" i="1"/>
  <c r="O32" i="1"/>
  <c r="M33" i="1"/>
  <c r="O33" i="1"/>
  <c r="M34" i="1"/>
  <c r="O34" i="1"/>
  <c r="M35" i="1"/>
  <c r="O35" i="1"/>
  <c r="M36" i="1"/>
  <c r="O36" i="1"/>
  <c r="M37" i="1"/>
  <c r="O37" i="1"/>
  <c r="M38" i="1"/>
  <c r="O38" i="1"/>
  <c r="M39" i="1"/>
  <c r="O39" i="1"/>
  <c r="M40" i="1"/>
  <c r="O40" i="1"/>
  <c r="M41" i="1"/>
  <c r="O41" i="1"/>
  <c r="M42" i="1"/>
  <c r="O42" i="1"/>
  <c r="M43" i="1"/>
  <c r="O43" i="1"/>
  <c r="M44" i="1"/>
  <c r="O44" i="1"/>
  <c r="M45" i="1"/>
  <c r="O45" i="1"/>
  <c r="M46" i="1"/>
  <c r="O46" i="1"/>
  <c r="M8" i="1"/>
  <c r="O8" i="1"/>
  <c r="M9" i="1"/>
  <c r="O9" i="1"/>
  <c r="L8" i="1"/>
  <c r="D107" i="1"/>
  <c r="L107" i="1"/>
  <c r="D56" i="1"/>
  <c r="L56" i="1"/>
  <c r="X123" i="1"/>
  <c r="L123" i="1"/>
  <c r="X124" i="1"/>
  <c r="L124" i="1"/>
  <c r="X125" i="1"/>
  <c r="L125" i="1"/>
  <c r="X126" i="1"/>
  <c r="L126" i="1"/>
  <c r="X127" i="1"/>
  <c r="L127" i="1"/>
  <c r="D106" i="1"/>
  <c r="L106" i="1"/>
  <c r="D108" i="1"/>
  <c r="L108" i="1"/>
  <c r="D109" i="1"/>
  <c r="L109" i="1"/>
  <c r="D110" i="1"/>
  <c r="L110" i="1"/>
  <c r="D111" i="1"/>
  <c r="L111" i="1"/>
  <c r="E112" i="1"/>
  <c r="L112" i="1"/>
  <c r="D113" i="1"/>
  <c r="L113" i="1"/>
  <c r="D114" i="1"/>
  <c r="L114" i="1"/>
  <c r="D115" i="1"/>
  <c r="L115" i="1"/>
  <c r="D116" i="1"/>
  <c r="L116" i="1"/>
  <c r="D117" i="1"/>
  <c r="L117" i="1"/>
  <c r="D118" i="1"/>
  <c r="L118" i="1"/>
  <c r="D119" i="1"/>
  <c r="L119" i="1"/>
  <c r="D120" i="1"/>
  <c r="L120" i="1"/>
  <c r="D121" i="1"/>
  <c r="L121" i="1"/>
  <c r="D122" i="1"/>
  <c r="L122" i="1"/>
  <c r="D47" i="1"/>
  <c r="L47" i="1"/>
  <c r="D48" i="1"/>
  <c r="L48" i="1"/>
  <c r="D49" i="1"/>
  <c r="L49" i="1"/>
  <c r="D50" i="1"/>
  <c r="L50" i="1"/>
  <c r="D51" i="1"/>
  <c r="L51" i="1"/>
  <c r="D52" i="1"/>
  <c r="L52" i="1"/>
  <c r="D53" i="1"/>
  <c r="L53" i="1"/>
  <c r="D54" i="1"/>
  <c r="L54" i="1"/>
  <c r="D55" i="1"/>
  <c r="L55" i="1"/>
  <c r="D57" i="1"/>
  <c r="L57" i="1"/>
  <c r="D58" i="1"/>
  <c r="L58" i="1"/>
  <c r="D59" i="1"/>
  <c r="L59" i="1"/>
  <c r="D60" i="1"/>
  <c r="L60" i="1"/>
  <c r="D61" i="1"/>
  <c r="L61" i="1"/>
  <c r="D62" i="1"/>
  <c r="L62" i="1"/>
  <c r="D63" i="1"/>
  <c r="L63" i="1"/>
  <c r="D64" i="1"/>
  <c r="L64" i="1"/>
  <c r="D65" i="1"/>
  <c r="L65" i="1"/>
  <c r="D66" i="1"/>
  <c r="L66" i="1"/>
  <c r="D67" i="1"/>
  <c r="L67" i="1"/>
  <c r="D68" i="1"/>
  <c r="L68" i="1"/>
  <c r="D69" i="1"/>
  <c r="L69" i="1"/>
  <c r="D70" i="1"/>
  <c r="L70" i="1"/>
  <c r="D71" i="1"/>
  <c r="L71" i="1"/>
  <c r="D72" i="1"/>
  <c r="L72" i="1"/>
  <c r="D73" i="1"/>
  <c r="L73" i="1"/>
  <c r="D74" i="1"/>
  <c r="L74" i="1"/>
  <c r="D75" i="1"/>
  <c r="L75" i="1"/>
  <c r="D76" i="1"/>
  <c r="L76" i="1"/>
  <c r="D77" i="1"/>
  <c r="L77" i="1"/>
  <c r="D78" i="1"/>
  <c r="L78" i="1"/>
  <c r="D79" i="1"/>
  <c r="L79" i="1"/>
  <c r="D80" i="1"/>
  <c r="L80" i="1"/>
  <c r="D81" i="1"/>
  <c r="L81" i="1"/>
  <c r="D82" i="1"/>
  <c r="L82" i="1"/>
  <c r="D83" i="1"/>
  <c r="L83" i="1"/>
  <c r="D84" i="1"/>
  <c r="L84" i="1"/>
  <c r="D85" i="1"/>
  <c r="L85" i="1"/>
  <c r="D86" i="1"/>
  <c r="L86" i="1"/>
  <c r="D87" i="1"/>
  <c r="L87" i="1"/>
  <c r="D88" i="1"/>
  <c r="L88" i="1"/>
  <c r="D89" i="1"/>
  <c r="L89" i="1"/>
  <c r="D90" i="1"/>
  <c r="L90" i="1"/>
  <c r="D91" i="1"/>
  <c r="L91" i="1"/>
  <c r="D92" i="1"/>
  <c r="L92" i="1"/>
  <c r="D93" i="1"/>
  <c r="L93" i="1"/>
  <c r="D94" i="1"/>
  <c r="L94" i="1"/>
  <c r="D95" i="1"/>
  <c r="L95" i="1"/>
  <c r="D96" i="1"/>
  <c r="L96" i="1"/>
  <c r="D97" i="1"/>
  <c r="L97" i="1"/>
  <c r="D98" i="1"/>
  <c r="L98" i="1"/>
  <c r="D99" i="1"/>
  <c r="L99" i="1"/>
  <c r="L100" i="1"/>
  <c r="D101" i="1"/>
  <c r="L101" i="1"/>
  <c r="D102" i="1"/>
  <c r="L102" i="1"/>
  <c r="D103" i="1"/>
  <c r="L103" i="1"/>
  <c r="D104" i="1"/>
  <c r="L104" i="1"/>
  <c r="D105" i="1"/>
  <c r="L105" i="1"/>
  <c r="D10" i="1"/>
  <c r="L10" i="1"/>
  <c r="D11" i="1"/>
  <c r="L11" i="1"/>
  <c r="D12" i="1"/>
  <c r="L12" i="1"/>
  <c r="D13" i="1"/>
  <c r="L13" i="1"/>
  <c r="D14" i="1"/>
  <c r="L14" i="1"/>
  <c r="D15" i="1"/>
  <c r="L15" i="1"/>
  <c r="D16" i="1"/>
  <c r="L16" i="1"/>
  <c r="D17" i="1"/>
  <c r="L17" i="1"/>
  <c r="D18" i="1"/>
  <c r="L18" i="1"/>
  <c r="D19" i="1"/>
  <c r="L19" i="1"/>
  <c r="D20" i="1"/>
  <c r="L20" i="1"/>
  <c r="D21" i="1"/>
  <c r="L21" i="1"/>
  <c r="D22" i="1"/>
  <c r="L22" i="1"/>
  <c r="D23" i="1"/>
  <c r="L23" i="1"/>
  <c r="D24" i="1"/>
  <c r="L24" i="1"/>
  <c r="D25" i="1"/>
  <c r="L25" i="1"/>
  <c r="D26" i="1"/>
  <c r="L26" i="1"/>
  <c r="D27" i="1"/>
  <c r="L27" i="1"/>
  <c r="D28" i="1"/>
  <c r="L28" i="1"/>
  <c r="D29" i="1"/>
  <c r="L29" i="1"/>
  <c r="D30" i="1"/>
  <c r="L30" i="1"/>
  <c r="D31" i="1"/>
  <c r="L31" i="1"/>
  <c r="D32" i="1"/>
  <c r="L32" i="1"/>
  <c r="D33" i="1"/>
  <c r="L33" i="1"/>
  <c r="D34" i="1"/>
  <c r="L34" i="1"/>
  <c r="D35" i="1"/>
  <c r="L35" i="1"/>
  <c r="D36" i="1"/>
  <c r="L36" i="1"/>
  <c r="D37" i="1"/>
  <c r="L37" i="1"/>
  <c r="D38" i="1"/>
  <c r="L38" i="1"/>
  <c r="D39" i="1"/>
  <c r="L39" i="1"/>
  <c r="D40" i="1"/>
  <c r="L40" i="1"/>
  <c r="D41" i="1"/>
  <c r="L41" i="1"/>
  <c r="D42" i="1"/>
  <c r="L42" i="1"/>
  <c r="D43" i="1"/>
  <c r="L43" i="1"/>
  <c r="D44" i="1"/>
  <c r="L44" i="1"/>
  <c r="D45" i="1"/>
  <c r="L45" i="1"/>
  <c r="D46" i="1"/>
  <c r="L46" i="1"/>
  <c r="D9" i="1"/>
  <c r="L9" i="1"/>
  <c r="E8" i="1"/>
  <c r="AO124" i="1"/>
  <c r="AO91" i="1"/>
  <c r="AO79" i="1"/>
  <c r="AO67" i="1"/>
  <c r="AO55" i="1"/>
  <c r="AO127" i="1"/>
  <c r="AO43" i="1"/>
  <c r="AO125" i="1"/>
  <c r="AO31" i="1"/>
  <c r="AO19" i="1"/>
  <c r="AO123" i="1"/>
  <c r="AO115" i="1"/>
  <c r="AO112" i="1"/>
  <c r="AO110" i="1"/>
  <c r="AO103" i="1"/>
  <c r="AO126" i="1"/>
  <c r="AO114" i="1"/>
  <c r="AO102" i="1"/>
  <c r="AO90" i="1"/>
  <c r="AO78" i="1"/>
  <c r="AO66" i="1"/>
  <c r="AO54" i="1"/>
  <c r="AO42" i="1"/>
  <c r="AO30" i="1"/>
  <c r="AO18" i="1"/>
  <c r="AO113" i="1"/>
  <c r="AO101" i="1"/>
  <c r="AO89" i="1"/>
  <c r="AO77" i="1"/>
  <c r="AO65" i="1"/>
  <c r="AO53" i="1"/>
  <c r="AO41" i="1"/>
  <c r="AO29" i="1"/>
  <c r="AO17" i="1"/>
  <c r="AO100" i="1"/>
  <c r="AO88" i="1"/>
  <c r="AO76" i="1"/>
  <c r="AO64" i="1"/>
  <c r="AO52" i="1"/>
  <c r="AO40" i="1"/>
  <c r="AO28" i="1"/>
  <c r="AO16" i="1"/>
  <c r="AO111" i="1"/>
  <c r="AO99" i="1"/>
  <c r="AO87" i="1"/>
  <c r="AO75" i="1"/>
  <c r="AO63" i="1"/>
  <c r="AO51" i="1"/>
  <c r="AO39" i="1"/>
  <c r="AO27" i="1"/>
  <c r="AO15" i="1"/>
  <c r="AO122" i="1"/>
  <c r="AO98" i="1"/>
  <c r="AO86" i="1"/>
  <c r="AO74" i="1"/>
  <c r="AO62" i="1"/>
  <c r="AO50" i="1"/>
  <c r="AO38" i="1"/>
  <c r="AO26" i="1"/>
  <c r="AO14" i="1"/>
  <c r="AO121" i="1"/>
  <c r="AO109" i="1"/>
  <c r="AO97" i="1"/>
  <c r="AO85" i="1"/>
  <c r="AO73" i="1"/>
  <c r="AO61" i="1"/>
  <c r="AO49" i="1"/>
  <c r="AO37" i="1"/>
  <c r="AO25" i="1"/>
  <c r="AO13" i="1"/>
  <c r="AO120" i="1"/>
  <c r="AO108" i="1"/>
  <c r="AO96" i="1"/>
  <c r="AO84" i="1"/>
  <c r="AO72" i="1"/>
  <c r="AO60" i="1"/>
  <c r="AO48" i="1"/>
  <c r="AO36" i="1"/>
  <c r="AO24" i="1"/>
  <c r="AO12" i="1"/>
  <c r="AO119" i="1"/>
  <c r="AO107" i="1"/>
  <c r="AO95" i="1"/>
  <c r="AO83" i="1"/>
  <c r="AO71" i="1"/>
  <c r="AO59" i="1"/>
  <c r="AO47" i="1"/>
  <c r="AO35" i="1"/>
  <c r="AO23" i="1"/>
  <c r="AO11" i="1"/>
  <c r="AO118" i="1"/>
  <c r="AO106" i="1"/>
  <c r="AO94" i="1"/>
  <c r="AO82" i="1"/>
  <c r="AO70" i="1"/>
  <c r="AO58" i="1"/>
  <c r="AO46" i="1"/>
  <c r="AO34" i="1"/>
  <c r="AO22" i="1"/>
  <c r="AO10" i="1"/>
  <c r="AO117" i="1"/>
  <c r="AO105" i="1"/>
  <c r="AO93" i="1"/>
  <c r="AO81" i="1"/>
  <c r="AO69" i="1"/>
  <c r="AO57" i="1"/>
  <c r="AO45" i="1"/>
  <c r="AO33" i="1"/>
  <c r="AO21" i="1"/>
  <c r="AO9" i="1"/>
  <c r="AO116" i="1"/>
  <c r="AO104" i="1"/>
  <c r="AO92" i="1"/>
  <c r="AO80" i="1"/>
  <c r="AO68" i="1"/>
  <c r="AO56" i="1"/>
  <c r="AO44" i="1"/>
  <c r="AO32" i="1"/>
  <c r="AO20" i="1"/>
  <c r="AO8" i="1"/>
  <c r="AN123" i="1"/>
  <c r="AN112" i="1"/>
  <c r="AN8" i="1"/>
  <c r="AN115" i="1"/>
  <c r="AN111" i="1"/>
  <c r="AN103" i="1"/>
  <c r="AN91" i="1"/>
  <c r="AN79" i="1"/>
  <c r="AN67" i="1"/>
  <c r="AN55" i="1"/>
  <c r="AN43" i="1"/>
  <c r="AN31" i="1"/>
  <c r="AN127" i="1"/>
  <c r="AN19" i="1"/>
  <c r="AN126" i="1"/>
  <c r="AN114" i="1"/>
  <c r="AN102" i="1"/>
  <c r="AN90" i="1"/>
  <c r="AN78" i="1"/>
  <c r="AN66" i="1"/>
  <c r="AN54" i="1"/>
  <c r="AN42" i="1"/>
  <c r="AN30" i="1"/>
  <c r="AN18" i="1"/>
  <c r="AN125" i="1"/>
  <c r="AN113" i="1"/>
  <c r="AN101" i="1"/>
  <c r="AN89" i="1"/>
  <c r="AN77" i="1"/>
  <c r="AN65" i="1"/>
  <c r="AN53" i="1"/>
  <c r="AN41" i="1"/>
  <c r="AN29" i="1"/>
  <c r="AN17" i="1"/>
  <c r="AN124" i="1"/>
  <c r="AN100" i="1"/>
  <c r="AN88" i="1"/>
  <c r="AN76" i="1"/>
  <c r="AN64" i="1"/>
  <c r="AN52" i="1"/>
  <c r="AN40" i="1"/>
  <c r="AN28" i="1"/>
  <c r="AN16" i="1"/>
  <c r="AN99" i="1"/>
  <c r="AN87" i="1"/>
  <c r="AN75" i="1"/>
  <c r="AN63" i="1"/>
  <c r="AN51" i="1"/>
  <c r="AN39" i="1"/>
  <c r="AN27" i="1"/>
  <c r="AN15" i="1"/>
  <c r="AN122" i="1"/>
  <c r="AN110" i="1"/>
  <c r="AN98" i="1"/>
  <c r="AN86" i="1"/>
  <c r="AN74" i="1"/>
  <c r="AN62" i="1"/>
  <c r="AN50" i="1"/>
  <c r="AN38" i="1"/>
  <c r="AN26" i="1"/>
  <c r="AN14" i="1"/>
  <c r="AN121" i="1"/>
  <c r="AN109" i="1"/>
  <c r="AN97" i="1"/>
  <c r="AN85" i="1"/>
  <c r="AN73" i="1"/>
  <c r="AN61" i="1"/>
  <c r="AN49" i="1"/>
  <c r="AN37" i="1"/>
  <c r="AN25" i="1"/>
  <c r="AN13" i="1"/>
  <c r="AN120" i="1"/>
  <c r="AN108" i="1"/>
  <c r="AN96" i="1"/>
  <c r="AN84" i="1"/>
  <c r="AN72" i="1"/>
  <c r="AN60" i="1"/>
  <c r="AN48" i="1"/>
  <c r="AN36" i="1"/>
  <c r="AN24" i="1"/>
  <c r="AN12" i="1"/>
  <c r="AN119" i="1"/>
  <c r="AN107" i="1"/>
  <c r="AN95" i="1"/>
  <c r="AN83" i="1"/>
  <c r="AN71" i="1"/>
  <c r="AN59" i="1"/>
  <c r="AN47" i="1"/>
  <c r="AN35" i="1"/>
  <c r="AN23" i="1"/>
  <c r="AN11" i="1"/>
  <c r="AM127" i="1"/>
  <c r="AN118" i="1"/>
  <c r="AN106" i="1"/>
  <c r="AN94" i="1"/>
  <c r="AN82" i="1"/>
  <c r="AN70" i="1"/>
  <c r="AN58" i="1"/>
  <c r="AN46" i="1"/>
  <c r="AN34" i="1"/>
  <c r="AN22" i="1"/>
  <c r="AN10" i="1"/>
  <c r="AM110" i="1"/>
  <c r="AN117" i="1"/>
  <c r="AN105" i="1"/>
  <c r="AN93" i="1"/>
  <c r="AN81" i="1"/>
  <c r="AN69" i="1"/>
  <c r="AN57" i="1"/>
  <c r="AN45" i="1"/>
  <c r="AN33" i="1"/>
  <c r="AN21" i="1"/>
  <c r="AN9" i="1"/>
  <c r="AM101" i="1"/>
  <c r="AN116" i="1"/>
  <c r="AN104" i="1"/>
  <c r="AN92" i="1"/>
  <c r="AN80" i="1"/>
  <c r="AN68" i="1"/>
  <c r="AN56" i="1"/>
  <c r="AN44" i="1"/>
  <c r="AN32" i="1"/>
  <c r="AN20" i="1"/>
  <c r="AM115" i="1"/>
  <c r="AM113" i="1"/>
  <c r="AM89" i="1"/>
  <c r="AM77" i="1"/>
  <c r="AM65" i="1"/>
  <c r="AM53" i="1"/>
  <c r="AM125" i="1"/>
  <c r="AM41" i="1"/>
  <c r="AM124" i="1"/>
  <c r="AM29" i="1"/>
  <c r="AM123" i="1"/>
  <c r="AM17" i="1"/>
  <c r="AM122" i="1"/>
  <c r="AM8" i="1"/>
  <c r="AM103" i="1"/>
  <c r="AM91" i="1"/>
  <c r="AM79" i="1"/>
  <c r="AM67" i="1"/>
  <c r="AM55" i="1"/>
  <c r="AM43" i="1"/>
  <c r="AM31" i="1"/>
  <c r="AM19" i="1"/>
  <c r="AM126" i="1"/>
  <c r="AM114" i="1"/>
  <c r="AM102" i="1"/>
  <c r="AM90" i="1"/>
  <c r="AM78" i="1"/>
  <c r="AM66" i="1"/>
  <c r="AM54" i="1"/>
  <c r="AM42" i="1"/>
  <c r="AM30" i="1"/>
  <c r="AM18" i="1"/>
  <c r="AM112" i="1"/>
  <c r="AM100" i="1"/>
  <c r="AM88" i="1"/>
  <c r="AM76" i="1"/>
  <c r="AM64" i="1"/>
  <c r="AM52" i="1"/>
  <c r="AM40" i="1"/>
  <c r="AM28" i="1"/>
  <c r="AM16" i="1"/>
  <c r="AM111" i="1"/>
  <c r="AM99" i="1"/>
  <c r="AM87" i="1"/>
  <c r="AM75" i="1"/>
  <c r="AM63" i="1"/>
  <c r="AM51" i="1"/>
  <c r="AM39" i="1"/>
  <c r="AM27" i="1"/>
  <c r="AM15" i="1"/>
  <c r="AM98" i="1"/>
  <c r="AM86" i="1"/>
  <c r="AM74" i="1"/>
  <c r="AM62" i="1"/>
  <c r="AM50" i="1"/>
  <c r="AM38" i="1"/>
  <c r="AM26" i="1"/>
  <c r="AM14" i="1"/>
  <c r="AM121" i="1"/>
  <c r="AM109" i="1"/>
  <c r="AM97" i="1"/>
  <c r="AM85" i="1"/>
  <c r="AM73" i="1"/>
  <c r="AM61" i="1"/>
  <c r="AM49" i="1"/>
  <c r="AM37" i="1"/>
  <c r="AM25" i="1"/>
  <c r="AM13" i="1"/>
  <c r="AM120" i="1"/>
  <c r="AM108" i="1"/>
  <c r="AM96" i="1"/>
  <c r="AM84" i="1"/>
  <c r="AM72" i="1"/>
  <c r="AM60" i="1"/>
  <c r="AM48" i="1"/>
  <c r="AM36" i="1"/>
  <c r="AM24" i="1"/>
  <c r="AM12" i="1"/>
  <c r="AM119" i="1"/>
  <c r="AM107" i="1"/>
  <c r="AM95" i="1"/>
  <c r="AM83" i="1"/>
  <c r="AM71" i="1"/>
  <c r="AM59" i="1"/>
  <c r="AM47" i="1"/>
  <c r="AM35" i="1"/>
  <c r="AM23" i="1"/>
  <c r="AM11" i="1"/>
  <c r="AM118" i="1"/>
  <c r="AM106" i="1"/>
  <c r="AM94" i="1"/>
  <c r="AM82" i="1"/>
  <c r="AM70" i="1"/>
  <c r="AM58" i="1"/>
  <c r="AM46" i="1"/>
  <c r="AM34" i="1"/>
  <c r="AM22" i="1"/>
  <c r="AM10" i="1"/>
  <c r="AM117" i="1"/>
  <c r="AM105" i="1"/>
  <c r="AM93" i="1"/>
  <c r="AM81" i="1"/>
  <c r="AM69" i="1"/>
  <c r="AM57" i="1"/>
  <c r="AM45" i="1"/>
  <c r="AM33" i="1"/>
  <c r="AM21" i="1"/>
  <c r="AM9" i="1"/>
  <c r="AM116" i="1"/>
  <c r="AM104" i="1"/>
  <c r="AM92" i="1"/>
  <c r="AM80" i="1"/>
  <c r="AM68" i="1"/>
  <c r="AM56" i="1"/>
  <c r="AM44" i="1"/>
  <c r="AM32" i="1"/>
  <c r="AM20" i="1"/>
  <c r="C9" i="4"/>
  <c r="AA127" i="1"/>
  <c r="AA125" i="1"/>
  <c r="AA115" i="1"/>
  <c r="AA123" i="1"/>
  <c r="AA113" i="1"/>
  <c r="AA103" i="1"/>
  <c r="AA91" i="1"/>
  <c r="AA79" i="1"/>
  <c r="AA67" i="1"/>
  <c r="AA55" i="1"/>
  <c r="AA43" i="1"/>
  <c r="AA31" i="1"/>
  <c r="AA126" i="1"/>
  <c r="AA19" i="1"/>
  <c r="AA114" i="1"/>
  <c r="AA102" i="1"/>
  <c r="AA90" i="1"/>
  <c r="AA78" i="1"/>
  <c r="AA66" i="1"/>
  <c r="AA54" i="1"/>
  <c r="AA42" i="1"/>
  <c r="AA30" i="1"/>
  <c r="AA18" i="1"/>
  <c r="AA101" i="1"/>
  <c r="AA89" i="1"/>
  <c r="AA77" i="1"/>
  <c r="AA65" i="1"/>
  <c r="AA53" i="1"/>
  <c r="AA41" i="1"/>
  <c r="AA29" i="1"/>
  <c r="AA17" i="1"/>
  <c r="AA124" i="1"/>
  <c r="AA112" i="1"/>
  <c r="AA100" i="1"/>
  <c r="AA88" i="1"/>
  <c r="AA76" i="1"/>
  <c r="AA64" i="1"/>
  <c r="AA52" i="1"/>
  <c r="AA40" i="1"/>
  <c r="AA28" i="1"/>
  <c r="AA16" i="1"/>
  <c r="AA111" i="1"/>
  <c r="AA99" i="1"/>
  <c r="AA87" i="1"/>
  <c r="AA75" i="1"/>
  <c r="AA63" i="1"/>
  <c r="AA51" i="1"/>
  <c r="AA39" i="1"/>
  <c r="AA27" i="1"/>
  <c r="AA15" i="1"/>
  <c r="AA122" i="1"/>
  <c r="AA110" i="1"/>
  <c r="AA98" i="1"/>
  <c r="AA86" i="1"/>
  <c r="AA74" i="1"/>
  <c r="AA62" i="1"/>
  <c r="AA50" i="1"/>
  <c r="AA38" i="1"/>
  <c r="AA26" i="1"/>
  <c r="AA14" i="1"/>
  <c r="AA121" i="1"/>
  <c r="AA109" i="1"/>
  <c r="AA97" i="1"/>
  <c r="AA85" i="1"/>
  <c r="AA73" i="1"/>
  <c r="AA61" i="1"/>
  <c r="AA49" i="1"/>
  <c r="AA37" i="1"/>
  <c r="AA25" i="1"/>
  <c r="AA13" i="1"/>
  <c r="AA120" i="1"/>
  <c r="AA108" i="1"/>
  <c r="AA96" i="1"/>
  <c r="AA84" i="1"/>
  <c r="AA72" i="1"/>
  <c r="AA60" i="1"/>
  <c r="AA48" i="1"/>
  <c r="AA36" i="1"/>
  <c r="AA24" i="1"/>
  <c r="AA12" i="1"/>
  <c r="AA119" i="1"/>
  <c r="AA107" i="1"/>
  <c r="AA95" i="1"/>
  <c r="AA83" i="1"/>
  <c r="AA71" i="1"/>
  <c r="AA59" i="1"/>
  <c r="AA47" i="1"/>
  <c r="AA35" i="1"/>
  <c r="AA23" i="1"/>
  <c r="AA11" i="1"/>
  <c r="AA118" i="1"/>
  <c r="AA106" i="1"/>
  <c r="AA94" i="1"/>
  <c r="AA82" i="1"/>
  <c r="AA70" i="1"/>
  <c r="AA58" i="1"/>
  <c r="AA46" i="1"/>
  <c r="AA34" i="1"/>
  <c r="AA22" i="1"/>
  <c r="AA10" i="1"/>
  <c r="AA117" i="1"/>
  <c r="AA105" i="1"/>
  <c r="AA93" i="1"/>
  <c r="AA81" i="1"/>
  <c r="AA69" i="1"/>
  <c r="AA57" i="1"/>
  <c r="AA45" i="1"/>
  <c r="AA33" i="1"/>
  <c r="AA21" i="1"/>
  <c r="AA9" i="1"/>
  <c r="AA116" i="1"/>
  <c r="AA104" i="1"/>
  <c r="AA92" i="1"/>
  <c r="AA80" i="1"/>
  <c r="AA68" i="1"/>
  <c r="AA56" i="1"/>
  <c r="AA44" i="1"/>
  <c r="AA32" i="1"/>
  <c r="AA20" i="1"/>
  <c r="AA8" i="1"/>
  <c r="Z127" i="1"/>
  <c r="Z126" i="1"/>
  <c r="Z125" i="1"/>
  <c r="Z124" i="1"/>
  <c r="Z77" i="1"/>
  <c r="Z67" i="1"/>
  <c r="Z65" i="1"/>
  <c r="Z123" i="1"/>
  <c r="Z55" i="1"/>
  <c r="Z115" i="1"/>
  <c r="Z53" i="1"/>
  <c r="Z114" i="1"/>
  <c r="Z43" i="1"/>
  <c r="Z113" i="1"/>
  <c r="Z41" i="1"/>
  <c r="Z103" i="1"/>
  <c r="Z31" i="1"/>
  <c r="Z101" i="1"/>
  <c r="Z29" i="1"/>
  <c r="Z91" i="1"/>
  <c r="Z19" i="1"/>
  <c r="Z89" i="1"/>
  <c r="Z17" i="1"/>
  <c r="Z79" i="1"/>
  <c r="Y8" i="1"/>
  <c r="Z102" i="1"/>
  <c r="Z90" i="1"/>
  <c r="Z78" i="1"/>
  <c r="Z66" i="1"/>
  <c r="Z54" i="1"/>
  <c r="Z42" i="1"/>
  <c r="Z30" i="1"/>
  <c r="Z18" i="1"/>
  <c r="Z112" i="1"/>
  <c r="Z100" i="1"/>
  <c r="Z88" i="1"/>
  <c r="Z76" i="1"/>
  <c r="Z64" i="1"/>
  <c r="Z52" i="1"/>
  <c r="Z40" i="1"/>
  <c r="Z28" i="1"/>
  <c r="Z16" i="1"/>
  <c r="Z111" i="1"/>
  <c r="Z99" i="1"/>
  <c r="Z87" i="1"/>
  <c r="Z75" i="1"/>
  <c r="Z63" i="1"/>
  <c r="Z51" i="1"/>
  <c r="Z39" i="1"/>
  <c r="Z27" i="1"/>
  <c r="Z15" i="1"/>
  <c r="Z122" i="1"/>
  <c r="Z110" i="1"/>
  <c r="Z98" i="1"/>
  <c r="Z86" i="1"/>
  <c r="Z74" i="1"/>
  <c r="Z62" i="1"/>
  <c r="Z50" i="1"/>
  <c r="Z38" i="1"/>
  <c r="Z26" i="1"/>
  <c r="Z14" i="1"/>
  <c r="Z121" i="1"/>
  <c r="Z109" i="1"/>
  <c r="Z97" i="1"/>
  <c r="Z85" i="1"/>
  <c r="Z73" i="1"/>
  <c r="Z61" i="1"/>
  <c r="Z49" i="1"/>
  <c r="Z37" i="1"/>
  <c r="Z25" i="1"/>
  <c r="Z13" i="1"/>
  <c r="Z120" i="1"/>
  <c r="Z108" i="1"/>
  <c r="Z96" i="1"/>
  <c r="Z84" i="1"/>
  <c r="Z72" i="1"/>
  <c r="Z60" i="1"/>
  <c r="Z48" i="1"/>
  <c r="Z36" i="1"/>
  <c r="Z24" i="1"/>
  <c r="Z12" i="1"/>
  <c r="Z119" i="1"/>
  <c r="Z107" i="1"/>
  <c r="Z95" i="1"/>
  <c r="Z83" i="1"/>
  <c r="Z71" i="1"/>
  <c r="Z59" i="1"/>
  <c r="Z47" i="1"/>
  <c r="Z35" i="1"/>
  <c r="Z23" i="1"/>
  <c r="Z11" i="1"/>
  <c r="Z118" i="1"/>
  <c r="Z106" i="1"/>
  <c r="Z94" i="1"/>
  <c r="Z82" i="1"/>
  <c r="Z70" i="1"/>
  <c r="Z58" i="1"/>
  <c r="Z46" i="1"/>
  <c r="Z34" i="1"/>
  <c r="Z22" i="1"/>
  <c r="Z10" i="1"/>
  <c r="Z117" i="1"/>
  <c r="Z105" i="1"/>
  <c r="Z93" i="1"/>
  <c r="Z81" i="1"/>
  <c r="Z69" i="1"/>
  <c r="Z57" i="1"/>
  <c r="Z45" i="1"/>
  <c r="Z33" i="1"/>
  <c r="Z21" i="1"/>
  <c r="Z9" i="1"/>
  <c r="Z116" i="1"/>
  <c r="Z104" i="1"/>
  <c r="Z92" i="1"/>
  <c r="Z80" i="1"/>
  <c r="Z68" i="1"/>
  <c r="Z56" i="1"/>
  <c r="Z44" i="1"/>
  <c r="Z32" i="1"/>
  <c r="Z20" i="1"/>
  <c r="Z8" i="1"/>
  <c r="X8" i="1"/>
  <c r="X113" i="1"/>
  <c r="X73" i="1"/>
  <c r="Y127" i="1"/>
  <c r="Y115" i="1"/>
  <c r="Y103" i="1"/>
  <c r="Y91" i="1"/>
  <c r="Y79" i="1"/>
  <c r="Y67" i="1"/>
  <c r="Y55" i="1"/>
  <c r="Y43" i="1"/>
  <c r="Y31" i="1"/>
  <c r="Y19" i="1"/>
  <c r="X112" i="1"/>
  <c r="X65" i="1"/>
  <c r="Y126" i="1"/>
  <c r="Y114" i="1"/>
  <c r="Y102" i="1"/>
  <c r="Y90" i="1"/>
  <c r="Y78" i="1"/>
  <c r="Y66" i="1"/>
  <c r="Y54" i="1"/>
  <c r="Y42" i="1"/>
  <c r="Y30" i="1"/>
  <c r="Y18" i="1"/>
  <c r="X111" i="1"/>
  <c r="X64" i="1"/>
  <c r="Y125" i="1"/>
  <c r="Y113" i="1"/>
  <c r="Y101" i="1"/>
  <c r="Y89" i="1"/>
  <c r="Y77" i="1"/>
  <c r="Y65" i="1"/>
  <c r="Y53" i="1"/>
  <c r="Y41" i="1"/>
  <c r="Y29" i="1"/>
  <c r="Y17" i="1"/>
  <c r="X107" i="1"/>
  <c r="X53" i="1"/>
  <c r="Y124" i="1"/>
  <c r="Y112" i="1"/>
  <c r="Y100" i="1"/>
  <c r="Y88" i="1"/>
  <c r="Y76" i="1"/>
  <c r="Y64" i="1"/>
  <c r="Y52" i="1"/>
  <c r="Y40" i="1"/>
  <c r="Y28" i="1"/>
  <c r="Y16" i="1"/>
  <c r="X101" i="1"/>
  <c r="X52" i="1"/>
  <c r="Y123" i="1"/>
  <c r="Y111" i="1"/>
  <c r="Y99" i="1"/>
  <c r="Y87" i="1"/>
  <c r="Y75" i="1"/>
  <c r="Y63" i="1"/>
  <c r="Y51" i="1"/>
  <c r="Y39" i="1"/>
  <c r="Y27" i="1"/>
  <c r="Y15" i="1"/>
  <c r="X100" i="1"/>
  <c r="X51" i="1"/>
  <c r="Y122" i="1"/>
  <c r="Y110" i="1"/>
  <c r="Y98" i="1"/>
  <c r="Y86" i="1"/>
  <c r="Y74" i="1"/>
  <c r="Y62" i="1"/>
  <c r="Y50" i="1"/>
  <c r="Y38" i="1"/>
  <c r="Y26" i="1"/>
  <c r="Y14" i="1"/>
  <c r="X97" i="1"/>
  <c r="X41" i="1"/>
  <c r="Y121" i="1"/>
  <c r="Y109" i="1"/>
  <c r="Y97" i="1"/>
  <c r="Y85" i="1"/>
  <c r="Y73" i="1"/>
  <c r="Y61" i="1"/>
  <c r="Y49" i="1"/>
  <c r="Y37" i="1"/>
  <c r="Y25" i="1"/>
  <c r="Y13" i="1"/>
  <c r="X89" i="1"/>
  <c r="X40" i="1"/>
  <c r="Y120" i="1"/>
  <c r="Y108" i="1"/>
  <c r="Y96" i="1"/>
  <c r="Y84" i="1"/>
  <c r="Y72" i="1"/>
  <c r="Y60" i="1"/>
  <c r="Y48" i="1"/>
  <c r="Y36" i="1"/>
  <c r="Y24" i="1"/>
  <c r="Y12" i="1"/>
  <c r="X88" i="1"/>
  <c r="X29" i="1"/>
  <c r="Y119" i="1"/>
  <c r="Y107" i="1"/>
  <c r="Y95" i="1"/>
  <c r="Y83" i="1"/>
  <c r="Y71" i="1"/>
  <c r="Y59" i="1"/>
  <c r="Y47" i="1"/>
  <c r="Y35" i="1"/>
  <c r="Y23" i="1"/>
  <c r="Y11" i="1"/>
  <c r="X85" i="1"/>
  <c r="X28" i="1"/>
  <c r="Y118" i="1"/>
  <c r="Y106" i="1"/>
  <c r="Y94" i="1"/>
  <c r="Y82" i="1"/>
  <c r="Y70" i="1"/>
  <c r="Y58" i="1"/>
  <c r="Y46" i="1"/>
  <c r="Y34" i="1"/>
  <c r="Y22" i="1"/>
  <c r="Y10" i="1"/>
  <c r="X77" i="1"/>
  <c r="X17" i="1"/>
  <c r="Y117" i="1"/>
  <c r="Y105" i="1"/>
  <c r="Y93" i="1"/>
  <c r="Y81" i="1"/>
  <c r="Y69" i="1"/>
  <c r="Y57" i="1"/>
  <c r="Y45" i="1"/>
  <c r="Y33" i="1"/>
  <c r="Y21" i="1"/>
  <c r="Y9" i="1"/>
  <c r="X119" i="1"/>
  <c r="X76" i="1"/>
  <c r="X16" i="1"/>
  <c r="Y116" i="1"/>
  <c r="Y104" i="1"/>
  <c r="Y92" i="1"/>
  <c r="Y80" i="1"/>
  <c r="Y68" i="1"/>
  <c r="Y56" i="1"/>
  <c r="Y44" i="1"/>
  <c r="Y32" i="1"/>
  <c r="Y20" i="1"/>
  <c r="X115" i="1"/>
  <c r="X103" i="1"/>
  <c r="X91" i="1"/>
  <c r="X79" i="1"/>
  <c r="X67" i="1"/>
  <c r="X55" i="1"/>
  <c r="X43" i="1"/>
  <c r="X31" i="1"/>
  <c r="X19" i="1"/>
  <c r="X114" i="1"/>
  <c r="X102" i="1"/>
  <c r="X90" i="1"/>
  <c r="X78" i="1"/>
  <c r="X66" i="1"/>
  <c r="X54" i="1"/>
  <c r="X42" i="1"/>
  <c r="X30" i="1"/>
  <c r="X18" i="1"/>
  <c r="X99" i="1"/>
  <c r="X87" i="1"/>
  <c r="X75" i="1"/>
  <c r="X63" i="1"/>
  <c r="X39" i="1"/>
  <c r="X27" i="1"/>
  <c r="X15" i="1"/>
  <c r="X122" i="1"/>
  <c r="X110" i="1"/>
  <c r="X98" i="1"/>
  <c r="X86" i="1"/>
  <c r="X74" i="1"/>
  <c r="X62" i="1"/>
  <c r="X50" i="1"/>
  <c r="X38" i="1"/>
  <c r="X26" i="1"/>
  <c r="X14" i="1"/>
  <c r="X61" i="1"/>
  <c r="X49" i="1"/>
  <c r="X37" i="1"/>
  <c r="X25" i="1"/>
  <c r="X13" i="1"/>
  <c r="X121" i="1"/>
  <c r="X109" i="1"/>
  <c r="X120" i="1"/>
  <c r="X108" i="1"/>
  <c r="X96" i="1"/>
  <c r="X84" i="1"/>
  <c r="X72" i="1"/>
  <c r="X60" i="1"/>
  <c r="X48" i="1"/>
  <c r="X36" i="1"/>
  <c r="X24" i="1"/>
  <c r="X12" i="1"/>
  <c r="X95" i="1"/>
  <c r="X83" i="1"/>
  <c r="X71" i="1"/>
  <c r="X59" i="1"/>
  <c r="X47" i="1"/>
  <c r="X35" i="1"/>
  <c r="X23" i="1"/>
  <c r="X11" i="1"/>
  <c r="X118" i="1"/>
  <c r="X106" i="1"/>
  <c r="X94" i="1"/>
  <c r="X82" i="1"/>
  <c r="X70" i="1"/>
  <c r="X58" i="1"/>
  <c r="X46" i="1"/>
  <c r="X34" i="1"/>
  <c r="X22" i="1"/>
  <c r="X10" i="1"/>
  <c r="X117" i="1"/>
  <c r="X105" i="1"/>
  <c r="X93" i="1"/>
  <c r="X81" i="1"/>
  <c r="X69" i="1"/>
  <c r="X57" i="1"/>
  <c r="X45" i="1"/>
  <c r="X33" i="1"/>
  <c r="X21" i="1"/>
  <c r="X9" i="1"/>
  <c r="X116" i="1"/>
  <c r="X104" i="1"/>
  <c r="X92" i="1"/>
  <c r="X80" i="1"/>
  <c r="X68" i="1"/>
  <c r="X56" i="1"/>
  <c r="X44" i="1"/>
  <c r="X32" i="1"/>
  <c r="X20" i="1"/>
  <c r="D127" i="1"/>
  <c r="E127" i="1"/>
  <c r="J127" i="1"/>
  <c r="D126" i="1"/>
  <c r="E126" i="1"/>
  <c r="J126" i="1"/>
  <c r="E125" i="1"/>
  <c r="J125" i="1"/>
  <c r="D125" i="1"/>
  <c r="E124" i="1"/>
  <c r="J124" i="1"/>
  <c r="D124" i="1"/>
  <c r="E123" i="1"/>
  <c r="J123" i="1"/>
  <c r="D123" i="1"/>
  <c r="J99" i="1"/>
  <c r="J75" i="1"/>
  <c r="J89" i="1"/>
  <c r="J87" i="1"/>
  <c r="J77" i="1"/>
  <c r="J65" i="1"/>
  <c r="J63" i="1"/>
  <c r="J115" i="1"/>
  <c r="J53" i="1"/>
  <c r="J114" i="1"/>
  <c r="J51" i="1"/>
  <c r="J113" i="1"/>
  <c r="J41" i="1"/>
  <c r="J111" i="1"/>
  <c r="J29" i="1"/>
  <c r="J101" i="1"/>
  <c r="J17" i="1"/>
  <c r="J103" i="1"/>
  <c r="J91" i="1"/>
  <c r="J79" i="1"/>
  <c r="J67" i="1"/>
  <c r="J55" i="1"/>
  <c r="J43" i="1"/>
  <c r="J31" i="1"/>
  <c r="J19" i="1"/>
  <c r="J102" i="1"/>
  <c r="J90" i="1"/>
  <c r="J78" i="1"/>
  <c r="J66" i="1"/>
  <c r="J54" i="1"/>
  <c r="J42" i="1"/>
  <c r="J30" i="1"/>
  <c r="J18" i="1"/>
  <c r="J112" i="1"/>
  <c r="J100" i="1"/>
  <c r="J88" i="1"/>
  <c r="J76" i="1"/>
  <c r="J64" i="1"/>
  <c r="J52" i="1"/>
  <c r="J40" i="1"/>
  <c r="J28" i="1"/>
  <c r="J16" i="1"/>
  <c r="J39" i="1"/>
  <c r="J27" i="1"/>
  <c r="J15" i="1"/>
  <c r="J122" i="1"/>
  <c r="J110" i="1"/>
  <c r="J98" i="1"/>
  <c r="J86" i="1"/>
  <c r="J74" i="1"/>
  <c r="J62" i="1"/>
  <c r="J50" i="1"/>
  <c r="J38" i="1"/>
  <c r="J26" i="1"/>
  <c r="J14" i="1"/>
  <c r="J121" i="1"/>
  <c r="J109" i="1"/>
  <c r="J97" i="1"/>
  <c r="J85" i="1"/>
  <c r="J73" i="1"/>
  <c r="J61" i="1"/>
  <c r="J49" i="1"/>
  <c r="J37" i="1"/>
  <c r="J25" i="1"/>
  <c r="J13" i="1"/>
  <c r="J120" i="1"/>
  <c r="J108" i="1"/>
  <c r="J96" i="1"/>
  <c r="J84" i="1"/>
  <c r="J72" i="1"/>
  <c r="J60" i="1"/>
  <c r="J48" i="1"/>
  <c r="J36" i="1"/>
  <c r="J24" i="1"/>
  <c r="J12" i="1"/>
  <c r="J119" i="1"/>
  <c r="J107" i="1"/>
  <c r="J95" i="1"/>
  <c r="J83" i="1"/>
  <c r="J71" i="1"/>
  <c r="J59" i="1"/>
  <c r="J47" i="1"/>
  <c r="J35" i="1"/>
  <c r="J23" i="1"/>
  <c r="J11" i="1"/>
  <c r="J118" i="1"/>
  <c r="J106" i="1"/>
  <c r="J94" i="1"/>
  <c r="J82" i="1"/>
  <c r="J70" i="1"/>
  <c r="J58" i="1"/>
  <c r="J46" i="1"/>
  <c r="J34" i="1"/>
  <c r="J22" i="1"/>
  <c r="J10" i="1"/>
  <c r="J117" i="1"/>
  <c r="J105" i="1"/>
  <c r="J93" i="1"/>
  <c r="J81" i="1"/>
  <c r="J69" i="1"/>
  <c r="J57" i="1"/>
  <c r="J45" i="1"/>
  <c r="J33" i="1"/>
  <c r="J21" i="1"/>
  <c r="J9" i="1"/>
  <c r="J116" i="1"/>
  <c r="J104" i="1"/>
  <c r="J92" i="1"/>
  <c r="J80" i="1"/>
  <c r="J68" i="1"/>
  <c r="J56" i="1"/>
  <c r="J44" i="1"/>
  <c r="J32" i="1"/>
  <c r="J20" i="1"/>
  <c r="J8" i="1"/>
  <c r="D112" i="1"/>
  <c r="E115" i="1"/>
  <c r="E90" i="1"/>
  <c r="E79" i="1"/>
  <c r="E78" i="1"/>
  <c r="E120" i="1"/>
  <c r="E84" i="1"/>
  <c r="E114" i="1"/>
  <c r="E113" i="1"/>
  <c r="E72" i="1"/>
  <c r="E67" i="1"/>
  <c r="E111" i="1"/>
  <c r="E43" i="1"/>
  <c r="E110" i="1"/>
  <c r="E42" i="1"/>
  <c r="E103" i="1"/>
  <c r="E31" i="1"/>
  <c r="E102" i="1"/>
  <c r="E30" i="1"/>
  <c r="E101" i="1"/>
  <c r="E19" i="1"/>
  <c r="E91" i="1"/>
  <c r="E18" i="1"/>
  <c r="D100" i="1"/>
  <c r="E100" i="1"/>
  <c r="E66" i="1"/>
  <c r="E54" i="1"/>
  <c r="E89" i="1"/>
  <c r="E77" i="1"/>
  <c r="E65" i="1"/>
  <c r="E53" i="1"/>
  <c r="E41" i="1"/>
  <c r="E29" i="1"/>
  <c r="E17" i="1"/>
  <c r="E88" i="1"/>
  <c r="E76" i="1"/>
  <c r="E64" i="1"/>
  <c r="E52" i="1"/>
  <c r="E40" i="1"/>
  <c r="E28" i="1"/>
  <c r="E16" i="1"/>
  <c r="E99" i="1"/>
  <c r="E87" i="1"/>
  <c r="E75" i="1"/>
  <c r="E63" i="1"/>
  <c r="E51" i="1"/>
  <c r="E39" i="1"/>
  <c r="E27" i="1"/>
  <c r="E15" i="1"/>
  <c r="E122" i="1"/>
  <c r="E98" i="1"/>
  <c r="E86" i="1"/>
  <c r="E74" i="1"/>
  <c r="E62" i="1"/>
  <c r="E50" i="1"/>
  <c r="E38" i="1"/>
  <c r="E26" i="1"/>
  <c r="E14" i="1"/>
  <c r="E121" i="1"/>
  <c r="E109" i="1"/>
  <c r="E97" i="1"/>
  <c r="E85" i="1"/>
  <c r="E73" i="1"/>
  <c r="E61" i="1"/>
  <c r="E49" i="1"/>
  <c r="E37" i="1"/>
  <c r="E25" i="1"/>
  <c r="E13" i="1"/>
  <c r="E60" i="1"/>
  <c r="E48" i="1"/>
  <c r="E24" i="1"/>
  <c r="E12" i="1"/>
  <c r="E108" i="1"/>
  <c r="E96" i="1"/>
  <c r="E36" i="1"/>
  <c r="E119" i="1"/>
  <c r="E107" i="1"/>
  <c r="E95" i="1"/>
  <c r="E83" i="1"/>
  <c r="E71" i="1"/>
  <c r="E59" i="1"/>
  <c r="E47" i="1"/>
  <c r="E35" i="1"/>
  <c r="E23" i="1"/>
  <c r="E11" i="1"/>
  <c r="E118" i="1"/>
  <c r="E106" i="1"/>
  <c r="E94" i="1"/>
  <c r="E82" i="1"/>
  <c r="E70" i="1"/>
  <c r="E58" i="1"/>
  <c r="E46" i="1"/>
  <c r="E34" i="1"/>
  <c r="E22" i="1"/>
  <c r="E10" i="1"/>
  <c r="E55" i="1"/>
  <c r="E117" i="1"/>
  <c r="E105" i="1"/>
  <c r="E93" i="1"/>
  <c r="E81" i="1"/>
  <c r="E69" i="1"/>
  <c r="E57" i="1"/>
  <c r="E45" i="1"/>
  <c r="E33" i="1"/>
  <c r="E21" i="1"/>
  <c r="E9" i="1"/>
  <c r="E116" i="1"/>
  <c r="E104" i="1"/>
  <c r="E92" i="1"/>
  <c r="E80" i="1"/>
  <c r="E68" i="1"/>
  <c r="E56" i="1"/>
  <c r="E44" i="1"/>
  <c r="E32" i="1"/>
  <c r="E20" i="1"/>
  <c r="H364" i="1" l="1"/>
  <c r="H267" i="1"/>
  <c r="H268" i="1"/>
  <c r="H270" i="1"/>
  <c r="H265" i="1"/>
  <c r="H271" i="1"/>
  <c r="H269" i="1"/>
  <c r="H266" i="1"/>
  <c r="AB672" i="1"/>
  <c r="AE672" i="1" s="1"/>
  <c r="AP130" i="1"/>
  <c r="AC211" i="1"/>
  <c r="H755" i="1"/>
  <c r="AC675" i="1"/>
  <c r="AB675" i="1"/>
  <c r="AE675" i="1" s="1"/>
  <c r="AD851" i="1"/>
  <c r="AD858" i="1"/>
  <c r="AD884" i="1"/>
  <c r="AD893" i="1"/>
  <c r="AB512" i="1"/>
  <c r="AD885" i="1"/>
  <c r="AD888" i="1"/>
  <c r="AD897" i="1"/>
  <c r="AD907" i="1"/>
  <c r="AE431" i="1"/>
  <c r="AP669" i="1"/>
  <c r="AD868" i="1"/>
  <c r="AD878" i="1"/>
  <c r="AD890" i="1"/>
  <c r="AD906" i="1"/>
  <c r="AC755" i="1"/>
  <c r="H734" i="1"/>
  <c r="H735" i="1"/>
  <c r="H737" i="1"/>
  <c r="AP585" i="1"/>
  <c r="H736" i="1"/>
  <c r="AB739" i="1"/>
  <c r="AE739" i="1" s="1"/>
  <c r="AD894" i="1"/>
  <c r="AP751" i="1"/>
  <c r="AP671" i="1"/>
  <c r="AC590" i="1"/>
  <c r="AD590" i="1" s="1"/>
  <c r="H204" i="1"/>
  <c r="AP210" i="1"/>
  <c r="AP589" i="1"/>
  <c r="AB594" i="1"/>
  <c r="H512" i="1"/>
  <c r="H205" i="1"/>
  <c r="H206" i="1"/>
  <c r="H207" i="1"/>
  <c r="H208" i="1"/>
  <c r="AB513" i="1"/>
  <c r="AE513" i="1" s="1"/>
  <c r="H592" i="1"/>
  <c r="AE594" i="1"/>
  <c r="AE755" i="1"/>
  <c r="AE130" i="1"/>
  <c r="AC308" i="1"/>
  <c r="AB308" i="1"/>
  <c r="AE308" i="1" s="1"/>
  <c r="H593" i="1"/>
  <c r="H674" i="1"/>
  <c r="H129" i="1"/>
  <c r="H905" i="1"/>
  <c r="H908" i="1"/>
  <c r="AE908" i="1"/>
  <c r="AB909" i="1"/>
  <c r="AE909" i="1" s="1"/>
  <c r="AC909" i="1"/>
  <c r="H909" i="1"/>
  <c r="H910" i="1"/>
  <c r="AB910" i="1"/>
  <c r="AE910" i="1" s="1"/>
  <c r="AC910" i="1"/>
  <c r="AD910" i="1" s="1"/>
  <c r="AB911" i="1"/>
  <c r="AE911" i="1" s="1"/>
  <c r="H911" i="1"/>
  <c r="AC911" i="1"/>
  <c r="AD911" i="1" s="1"/>
  <c r="AB912" i="1"/>
  <c r="AE912" i="1" s="1"/>
  <c r="H912" i="1"/>
  <c r="AC912" i="1"/>
  <c r="AD912" i="1" s="1"/>
  <c r="AB913" i="1"/>
  <c r="AE913" i="1" s="1"/>
  <c r="AC913" i="1"/>
  <c r="AD913" i="1" s="1"/>
  <c r="H913" i="1"/>
  <c r="H914" i="1"/>
  <c r="AB914" i="1"/>
  <c r="AE914" i="1" s="1"/>
  <c r="AC914" i="1"/>
  <c r="AB915" i="1"/>
  <c r="AE915" i="1" s="1"/>
  <c r="H915" i="1"/>
  <c r="AC915" i="1"/>
  <c r="AD915" i="1" s="1"/>
  <c r="AB916" i="1"/>
  <c r="AE916" i="1" s="1"/>
  <c r="AC916" i="1"/>
  <c r="H916" i="1"/>
  <c r="H917" i="1"/>
  <c r="AC917" i="1"/>
  <c r="AB917" i="1"/>
  <c r="AE917" i="1" s="1"/>
  <c r="H918" i="1"/>
  <c r="AC918" i="1"/>
  <c r="AB918" i="1"/>
  <c r="AE918" i="1" s="1"/>
  <c r="H919" i="1"/>
  <c r="AC919" i="1"/>
  <c r="AE430" i="1"/>
  <c r="AP498" i="1"/>
  <c r="H673" i="1"/>
  <c r="AB593" i="1"/>
  <c r="AE593" i="1" s="1"/>
  <c r="H754" i="1"/>
  <c r="AE210" i="1"/>
  <c r="H307" i="1"/>
  <c r="AD296" i="1"/>
  <c r="AD872" i="1"/>
  <c r="AD902" i="1"/>
  <c r="AB511" i="1"/>
  <c r="AE511" i="1" s="1"/>
  <c r="AE592" i="1"/>
  <c r="AE673" i="1"/>
  <c r="AE754" i="1"/>
  <c r="AB129" i="1"/>
  <c r="AD904" i="1"/>
  <c r="AP569" i="1"/>
  <c r="AC743" i="1"/>
  <c r="AD743" i="1" s="1"/>
  <c r="H128" i="1"/>
  <c r="AD870" i="1"/>
  <c r="H753" i="1"/>
  <c r="AD903" i="1"/>
  <c r="AD909" i="1"/>
  <c r="AD916" i="1"/>
  <c r="AP508" i="1"/>
  <c r="H589" i="1"/>
  <c r="AD905" i="1"/>
  <c r="AD908" i="1"/>
  <c r="AD914" i="1"/>
  <c r="AB502" i="1"/>
  <c r="AE502" i="1" s="1"/>
  <c r="H586" i="1"/>
  <c r="H748" i="1"/>
  <c r="AB931" i="1"/>
  <c r="AE931" i="1" s="1"/>
  <c r="H931" i="1"/>
  <c r="AC931" i="1"/>
  <c r="AD931" i="1" s="1"/>
  <c r="AB932" i="1"/>
  <c r="AE932" i="1" s="1"/>
  <c r="AC932" i="1"/>
  <c r="AD932" i="1" s="1"/>
  <c r="AP510" i="1"/>
  <c r="AP577" i="1"/>
  <c r="H582" i="1"/>
  <c r="H590" i="1"/>
  <c r="H591" i="1"/>
  <c r="H747" i="1"/>
  <c r="AE429" i="1"/>
  <c r="H664" i="1"/>
  <c r="H665" i="1"/>
  <c r="H666" i="1"/>
  <c r="H667" i="1"/>
  <c r="H668" i="1"/>
  <c r="H583" i="1"/>
  <c r="H585" i="1"/>
  <c r="H587" i="1"/>
  <c r="H588" i="1"/>
  <c r="H670" i="1"/>
  <c r="H672" i="1"/>
  <c r="H296" i="1"/>
  <c r="AE753" i="1"/>
  <c r="H295" i="1"/>
  <c r="AE128" i="1"/>
  <c r="H304" i="1"/>
  <c r="H306" i="1"/>
  <c r="AP591" i="1"/>
  <c r="H669" i="1"/>
  <c r="H671" i="1"/>
  <c r="AE209" i="1"/>
  <c r="H303" i="1"/>
  <c r="H305" i="1"/>
  <c r="AD579" i="1"/>
  <c r="H584" i="1"/>
  <c r="AB307" i="1"/>
  <c r="AD860" i="1"/>
  <c r="AD879" i="1"/>
  <c r="H746" i="1"/>
  <c r="H294" i="1"/>
  <c r="AP931" i="1"/>
  <c r="H749" i="1"/>
  <c r="H750" i="1"/>
  <c r="H751" i="1"/>
  <c r="H752" i="1"/>
  <c r="AP753" i="1"/>
  <c r="AB843" i="1"/>
  <c r="AE843" i="1" s="1"/>
  <c r="AC850" i="1"/>
  <c r="AB850" i="1"/>
  <c r="AE850" i="1" s="1"/>
  <c r="AP819" i="1"/>
  <c r="AP820" i="1"/>
  <c r="AC820" i="1"/>
  <c r="AD820" i="1" s="1"/>
  <c r="AP821" i="1"/>
  <c r="AP822" i="1"/>
  <c r="AC822" i="1"/>
  <c r="AD822" i="1" s="1"/>
  <c r="AP823" i="1"/>
  <c r="AC823" i="1"/>
  <c r="AD823" i="1" s="1"/>
  <c r="AP824" i="1"/>
  <c r="AC824" i="1"/>
  <c r="AD824" i="1" s="1"/>
  <c r="AP825" i="1"/>
  <c r="AP826" i="1"/>
  <c r="AP827" i="1"/>
  <c r="AC827" i="1"/>
  <c r="AD827" i="1" s="1"/>
  <c r="AP828" i="1"/>
  <c r="AC828" i="1"/>
  <c r="AD828" i="1" s="1"/>
  <c r="AP829" i="1"/>
  <c r="AP830" i="1"/>
  <c r="AC830" i="1"/>
  <c r="AD830" i="1" s="1"/>
  <c r="AP831" i="1"/>
  <c r="AC831" i="1"/>
  <c r="AD831" i="1" s="1"/>
  <c r="AP832" i="1"/>
  <c r="AC832" i="1"/>
  <c r="AD832" i="1" s="1"/>
  <c r="AP833" i="1"/>
  <c r="AC833" i="1"/>
  <c r="AD833" i="1" s="1"/>
  <c r="AP834" i="1"/>
  <c r="AP835" i="1"/>
  <c r="AC835" i="1"/>
  <c r="AD835" i="1" s="1"/>
  <c r="AP836" i="1"/>
  <c r="AC836" i="1"/>
  <c r="AD836" i="1" s="1"/>
  <c r="AP837" i="1"/>
  <c r="AC837" i="1"/>
  <c r="AD837" i="1" s="1"/>
  <c r="AP838" i="1"/>
  <c r="AC838" i="1"/>
  <c r="AD838" i="1" s="1"/>
  <c r="AP839" i="1"/>
  <c r="AP840" i="1"/>
  <c r="AC840" i="1"/>
  <c r="AD840" i="1" s="1"/>
  <c r="AP841" i="1"/>
  <c r="AC841" i="1"/>
  <c r="AD841" i="1" s="1"/>
  <c r="AP842" i="1"/>
  <c r="AC842" i="1"/>
  <c r="AD842" i="1" s="1"/>
  <c r="AP843" i="1"/>
  <c r="AC843" i="1"/>
  <c r="AP844" i="1"/>
  <c r="AP845" i="1"/>
  <c r="AC845" i="1"/>
  <c r="AD845" i="1" s="1"/>
  <c r="AP846" i="1"/>
  <c r="AC846" i="1"/>
  <c r="AD846" i="1" s="1"/>
  <c r="AP847" i="1"/>
  <c r="AP848" i="1"/>
  <c r="AC848" i="1"/>
  <c r="AD848" i="1" s="1"/>
  <c r="AP849" i="1"/>
  <c r="AC849" i="1"/>
  <c r="AD849" i="1" s="1"/>
  <c r="AP850" i="1"/>
  <c r="AP851" i="1"/>
  <c r="AP852" i="1"/>
  <c r="AP853" i="1"/>
  <c r="AP854" i="1"/>
  <c r="AP855" i="1"/>
  <c r="AP856" i="1"/>
  <c r="AP857" i="1"/>
  <c r="AP858" i="1"/>
  <c r="AP861" i="1"/>
  <c r="AP862" i="1"/>
  <c r="AP866" i="1"/>
  <c r="AP868" i="1"/>
  <c r="AP870" i="1"/>
  <c r="AP872" i="1"/>
  <c r="AP874" i="1"/>
  <c r="AP876" i="1"/>
  <c r="AP878" i="1"/>
  <c r="AP880" i="1"/>
  <c r="AP881" i="1"/>
  <c r="AP883" i="1"/>
  <c r="AP885" i="1"/>
  <c r="AP887" i="1"/>
  <c r="AP889" i="1"/>
  <c r="AP891" i="1"/>
  <c r="AP893" i="1"/>
  <c r="AP895" i="1"/>
  <c r="AP896" i="1"/>
  <c r="AP898" i="1"/>
  <c r="AP900" i="1"/>
  <c r="AP902" i="1"/>
  <c r="AP904" i="1"/>
  <c r="AP906" i="1"/>
  <c r="AP908" i="1"/>
  <c r="AP910" i="1"/>
  <c r="AP912" i="1"/>
  <c r="AP914" i="1"/>
  <c r="AP918" i="1"/>
  <c r="AP920" i="1"/>
  <c r="AP925" i="1"/>
  <c r="H563" i="1"/>
  <c r="H564" i="1"/>
  <c r="H743" i="1"/>
  <c r="AP932" i="1"/>
  <c r="AP933" i="1"/>
  <c r="AP934" i="1"/>
  <c r="AP935" i="1"/>
  <c r="AP936" i="1"/>
  <c r="AP937" i="1"/>
  <c r="AP938" i="1"/>
  <c r="AP939" i="1"/>
  <c r="AP940" i="1"/>
  <c r="AP941" i="1"/>
  <c r="AP942" i="1"/>
  <c r="AP943" i="1"/>
  <c r="AP944" i="1"/>
  <c r="AP945" i="1"/>
  <c r="AP946" i="1"/>
  <c r="AP947" i="1"/>
  <c r="AP948" i="1"/>
  <c r="AP949" i="1"/>
  <c r="AP950" i="1"/>
  <c r="AP951" i="1"/>
  <c r="AP952" i="1"/>
  <c r="AP953" i="1"/>
  <c r="AP954" i="1"/>
  <c r="AP955" i="1"/>
  <c r="AP956" i="1"/>
  <c r="AP957" i="1"/>
  <c r="AP958" i="1"/>
  <c r="AP959" i="1"/>
  <c r="AP960" i="1"/>
  <c r="AP961" i="1"/>
  <c r="AP962" i="1"/>
  <c r="AP963" i="1"/>
  <c r="AP964" i="1"/>
  <c r="AP965" i="1"/>
  <c r="AP966" i="1"/>
  <c r="AP967" i="1"/>
  <c r="AP968" i="1"/>
  <c r="AP969" i="1"/>
  <c r="AP970" i="1"/>
  <c r="AP971" i="1"/>
  <c r="AP972" i="1"/>
  <c r="AP973" i="1"/>
  <c r="AP974" i="1"/>
  <c r="AP975" i="1"/>
  <c r="AP976" i="1"/>
  <c r="AP977" i="1"/>
  <c r="AP978" i="1"/>
  <c r="AP979" i="1"/>
  <c r="AP980" i="1"/>
  <c r="AP981" i="1"/>
  <c r="AP982" i="1"/>
  <c r="AP983" i="1"/>
  <c r="AP984" i="1"/>
  <c r="AP985" i="1"/>
  <c r="AP986" i="1"/>
  <c r="AP987" i="1"/>
  <c r="AP988" i="1"/>
  <c r="AP989" i="1"/>
  <c r="AP990" i="1"/>
  <c r="AP991" i="1"/>
  <c r="AP992" i="1"/>
  <c r="AP993" i="1"/>
  <c r="AP994" i="1"/>
  <c r="AP995" i="1"/>
  <c r="AP996" i="1"/>
  <c r="AP997" i="1"/>
  <c r="AP998" i="1"/>
  <c r="AP999" i="1"/>
  <c r="AP1000" i="1"/>
  <c r="AP1001" i="1"/>
  <c r="AP1002" i="1"/>
  <c r="AP1003" i="1"/>
  <c r="AP1004" i="1"/>
  <c r="AP1005" i="1"/>
  <c r="AB919" i="1"/>
  <c r="AE919" i="1" s="1"/>
  <c r="AC920" i="1"/>
  <c r="AB920" i="1"/>
  <c r="AE920" i="1" s="1"/>
  <c r="H920" i="1"/>
  <c r="AB921" i="1"/>
  <c r="AE921" i="1" s="1"/>
  <c r="H921" i="1"/>
  <c r="AC921" i="1"/>
  <c r="AD921" i="1" s="1"/>
  <c r="AB922" i="1"/>
  <c r="AE922" i="1" s="1"/>
  <c r="H922" i="1"/>
  <c r="AC922" i="1"/>
  <c r="AD922" i="1" s="1"/>
  <c r="AC923" i="1"/>
  <c r="AB923" i="1"/>
  <c r="AE923" i="1" s="1"/>
  <c r="H923" i="1"/>
  <c r="AC924" i="1"/>
  <c r="AB924" i="1"/>
  <c r="AE924" i="1" s="1"/>
  <c r="H924" i="1"/>
  <c r="AB925" i="1"/>
  <c r="AE925" i="1" s="1"/>
  <c r="AC925" i="1"/>
  <c r="AD925" i="1" s="1"/>
  <c r="H925" i="1"/>
  <c r="H926" i="1"/>
  <c r="AC926" i="1"/>
  <c r="AB926" i="1"/>
  <c r="AE926" i="1" s="1"/>
  <c r="AB927" i="1"/>
  <c r="AE927" i="1" s="1"/>
  <c r="AC927" i="1"/>
  <c r="AD927" i="1" s="1"/>
  <c r="H927" i="1"/>
  <c r="H928" i="1"/>
  <c r="AC928" i="1"/>
  <c r="AB928" i="1"/>
  <c r="AE928" i="1" s="1"/>
  <c r="AB929" i="1"/>
  <c r="AE929" i="1" s="1"/>
  <c r="H929" i="1"/>
  <c r="AC929" i="1"/>
  <c r="AD929" i="1" s="1"/>
  <c r="H930" i="1"/>
  <c r="AB930" i="1"/>
  <c r="AE930" i="1" s="1"/>
  <c r="AC930" i="1"/>
  <c r="AD930" i="1" s="1"/>
  <c r="H932" i="1"/>
  <c r="H933" i="1"/>
  <c r="AC933" i="1"/>
  <c r="AB933" i="1"/>
  <c r="H934" i="1"/>
  <c r="AB934" i="1"/>
  <c r="AE934" i="1" s="1"/>
  <c r="AC934" i="1"/>
  <c r="AD934" i="1" s="1"/>
  <c r="AB935" i="1"/>
  <c r="AE935" i="1" s="1"/>
  <c r="H935" i="1"/>
  <c r="AC935" i="1"/>
  <c r="AD935" i="1" s="1"/>
  <c r="AB936" i="1"/>
  <c r="AE936" i="1" s="1"/>
  <c r="H936" i="1"/>
  <c r="AC936" i="1"/>
  <c r="AD936" i="1" s="1"/>
  <c r="AB937" i="1"/>
  <c r="AE937" i="1" s="1"/>
  <c r="H937" i="1"/>
  <c r="AC937" i="1"/>
  <c r="AD937" i="1" s="1"/>
  <c r="AB938" i="1"/>
  <c r="AE938" i="1" s="1"/>
  <c r="H938" i="1"/>
  <c r="AC938" i="1"/>
  <c r="AD938" i="1" s="1"/>
  <c r="H939" i="1"/>
  <c r="AB939" i="1"/>
  <c r="AE939" i="1" s="1"/>
  <c r="AC939" i="1"/>
  <c r="AD939" i="1" s="1"/>
  <c r="H940" i="1"/>
  <c r="AB940" i="1"/>
  <c r="AE940" i="1" s="1"/>
  <c r="AC940" i="1"/>
  <c r="AD940" i="1" s="1"/>
  <c r="AB941" i="1"/>
  <c r="AE941" i="1" s="1"/>
  <c r="H941" i="1"/>
  <c r="AC941" i="1"/>
  <c r="AD941" i="1" s="1"/>
  <c r="AB942" i="1"/>
  <c r="AE942" i="1" s="1"/>
  <c r="H942" i="1"/>
  <c r="AC942" i="1"/>
  <c r="AD942" i="1" s="1"/>
  <c r="AB943" i="1"/>
  <c r="AE943" i="1" s="1"/>
  <c r="AC943" i="1"/>
  <c r="AD943" i="1" s="1"/>
  <c r="H943" i="1"/>
  <c r="AC944" i="1"/>
  <c r="AB944" i="1"/>
  <c r="AE944" i="1" s="1"/>
  <c r="H944" i="1"/>
  <c r="AB945" i="1"/>
  <c r="AE945" i="1" s="1"/>
  <c r="AC945" i="1"/>
  <c r="AD945" i="1" s="1"/>
  <c r="H945" i="1"/>
  <c r="AB946" i="1"/>
  <c r="AE946" i="1" s="1"/>
  <c r="H946" i="1"/>
  <c r="AC946" i="1"/>
  <c r="AD946" i="1" s="1"/>
  <c r="H947" i="1"/>
  <c r="AB947" i="1"/>
  <c r="AE947" i="1" s="1"/>
  <c r="AC947" i="1"/>
  <c r="AD947" i="1" s="1"/>
  <c r="H948" i="1"/>
  <c r="AB948" i="1"/>
  <c r="AE948" i="1" s="1"/>
  <c r="AC948" i="1"/>
  <c r="AB949" i="1"/>
  <c r="AE949" i="1" s="1"/>
  <c r="H949" i="1"/>
  <c r="AC949" i="1"/>
  <c r="AD949" i="1" s="1"/>
  <c r="H950" i="1"/>
  <c r="AB950" i="1"/>
  <c r="AE950" i="1" s="1"/>
  <c r="AC950" i="1"/>
  <c r="AD950" i="1" s="1"/>
  <c r="H951" i="1"/>
  <c r="AB951" i="1"/>
  <c r="AE951" i="1" s="1"/>
  <c r="AC951" i="1"/>
  <c r="AD951" i="1" s="1"/>
  <c r="AB952" i="1"/>
  <c r="AE952" i="1" s="1"/>
  <c r="H952" i="1"/>
  <c r="AC952" i="1"/>
  <c r="AD952" i="1" s="1"/>
  <c r="AB953" i="1"/>
  <c r="AE953" i="1" s="1"/>
  <c r="H953" i="1"/>
  <c r="AC953" i="1"/>
  <c r="AD953" i="1" s="1"/>
  <c r="AB954" i="1"/>
  <c r="AE954" i="1" s="1"/>
  <c r="H954" i="1"/>
  <c r="AC954" i="1"/>
  <c r="AD954" i="1" s="1"/>
  <c r="AB955" i="1"/>
  <c r="AE955" i="1" s="1"/>
  <c r="H955" i="1"/>
  <c r="AC955" i="1"/>
  <c r="AD955" i="1" s="1"/>
  <c r="AB956" i="1"/>
  <c r="AE956" i="1" s="1"/>
  <c r="H956" i="1"/>
  <c r="AC956" i="1"/>
  <c r="AD956" i="1" s="1"/>
  <c r="AB957" i="1"/>
  <c r="AE957" i="1" s="1"/>
  <c r="H957" i="1"/>
  <c r="AC957" i="1"/>
  <c r="AD957" i="1" s="1"/>
  <c r="AB958" i="1"/>
  <c r="AE958" i="1" s="1"/>
  <c r="H958" i="1"/>
  <c r="AC958" i="1"/>
  <c r="AD958" i="1" s="1"/>
  <c r="AB959" i="1"/>
  <c r="AE959" i="1" s="1"/>
  <c r="AC959" i="1"/>
  <c r="AD959" i="1" s="1"/>
  <c r="H959" i="1"/>
  <c r="AB960" i="1"/>
  <c r="AE960" i="1" s="1"/>
  <c r="AC960" i="1"/>
  <c r="AD960" i="1" s="1"/>
  <c r="H960" i="1"/>
  <c r="AC961" i="1"/>
  <c r="H961" i="1"/>
  <c r="AB961" i="1"/>
  <c r="AE961" i="1" s="1"/>
  <c r="AC962" i="1"/>
  <c r="AB962" i="1"/>
  <c r="AE962" i="1" s="1"/>
  <c r="H962" i="1"/>
  <c r="H963" i="1"/>
  <c r="AC963" i="1"/>
  <c r="AB963" i="1"/>
  <c r="AE963" i="1" s="1"/>
  <c r="AC964" i="1"/>
  <c r="AB964" i="1"/>
  <c r="AE964" i="1" s="1"/>
  <c r="H964" i="1"/>
  <c r="AC965" i="1"/>
  <c r="H965" i="1"/>
  <c r="AB965" i="1"/>
  <c r="AE965" i="1" s="1"/>
  <c r="AB966" i="1"/>
  <c r="AE966" i="1" s="1"/>
  <c r="H966" i="1"/>
  <c r="AC966" i="1"/>
  <c r="AD966" i="1" s="1"/>
  <c r="H967" i="1"/>
  <c r="AB967" i="1"/>
  <c r="AE967" i="1" s="1"/>
  <c r="AC967" i="1"/>
  <c r="AD967" i="1" s="1"/>
  <c r="AB968" i="1"/>
  <c r="AE968" i="1" s="1"/>
  <c r="H968" i="1"/>
  <c r="AC968" i="1"/>
  <c r="AD968" i="1" s="1"/>
  <c r="H969" i="1"/>
  <c r="AB969" i="1"/>
  <c r="AE969" i="1" s="1"/>
  <c r="AC969" i="1"/>
  <c r="AD969" i="1" s="1"/>
  <c r="H970" i="1"/>
  <c r="AC970" i="1"/>
  <c r="AB970" i="1"/>
  <c r="AE970" i="1" s="1"/>
  <c r="H971" i="1"/>
  <c r="AB971" i="1"/>
  <c r="AE971" i="1" s="1"/>
  <c r="AC971" i="1"/>
  <c r="AD971" i="1" s="1"/>
  <c r="AC972" i="1"/>
  <c r="H972" i="1"/>
  <c r="AB972" i="1"/>
  <c r="H973" i="1"/>
  <c r="AB973" i="1"/>
  <c r="AE973" i="1" s="1"/>
  <c r="AC973" i="1"/>
  <c r="AD973" i="1" s="1"/>
  <c r="AB974" i="1"/>
  <c r="AE974" i="1" s="1"/>
  <c r="H974" i="1"/>
  <c r="AC974" i="1"/>
  <c r="AD974" i="1" s="1"/>
  <c r="AB975" i="1"/>
  <c r="AE975" i="1" s="1"/>
  <c r="H975" i="1"/>
  <c r="AC975" i="1"/>
  <c r="AB976" i="1"/>
  <c r="AE976" i="1" s="1"/>
  <c r="H976" i="1"/>
  <c r="AC976" i="1"/>
  <c r="AD976" i="1" s="1"/>
  <c r="AB977" i="1"/>
  <c r="AE977" i="1" s="1"/>
  <c r="H977" i="1"/>
  <c r="AC977" i="1"/>
  <c r="AD977" i="1" s="1"/>
  <c r="AB978" i="1"/>
  <c r="AE978" i="1" s="1"/>
  <c r="H978" i="1"/>
  <c r="AC978" i="1"/>
  <c r="AD978" i="1" s="1"/>
  <c r="H979" i="1"/>
  <c r="AB979" i="1"/>
  <c r="AE979" i="1" s="1"/>
  <c r="AC979" i="1"/>
  <c r="AD979" i="1" s="1"/>
  <c r="H980" i="1"/>
  <c r="AB980" i="1"/>
  <c r="AE980" i="1" s="1"/>
  <c r="AC980" i="1"/>
  <c r="AD980" i="1" s="1"/>
  <c r="H981" i="1"/>
  <c r="AB981" i="1"/>
  <c r="AE981" i="1" s="1"/>
  <c r="AC981" i="1"/>
  <c r="AD981" i="1" s="1"/>
  <c r="AB982" i="1"/>
  <c r="AE982" i="1" s="1"/>
  <c r="H982" i="1"/>
  <c r="AC982" i="1"/>
  <c r="H983" i="1"/>
  <c r="AB983" i="1"/>
  <c r="AE983" i="1" s="1"/>
  <c r="AC983" i="1"/>
  <c r="AD983" i="1" s="1"/>
  <c r="H984" i="1"/>
  <c r="AB984" i="1"/>
  <c r="AE984" i="1" s="1"/>
  <c r="AC984" i="1"/>
  <c r="AD984" i="1" s="1"/>
  <c r="H985" i="1"/>
  <c r="AB985" i="1"/>
  <c r="AE985" i="1" s="1"/>
  <c r="AC985" i="1"/>
  <c r="AD985" i="1" s="1"/>
  <c r="H986" i="1"/>
  <c r="AB986" i="1"/>
  <c r="AE986" i="1" s="1"/>
  <c r="AC986" i="1"/>
  <c r="AD986" i="1" s="1"/>
  <c r="AB987" i="1"/>
  <c r="AE987" i="1" s="1"/>
  <c r="H987" i="1"/>
  <c r="AC987" i="1"/>
  <c r="AD987" i="1" s="1"/>
  <c r="H988" i="1"/>
  <c r="AC988" i="1"/>
  <c r="AB988" i="1"/>
  <c r="AE988" i="1" s="1"/>
  <c r="AC989" i="1"/>
  <c r="H989" i="1"/>
  <c r="AB989" i="1"/>
  <c r="AE989" i="1" s="1"/>
  <c r="H990" i="1"/>
  <c r="AB990" i="1"/>
  <c r="AE990" i="1" s="1"/>
  <c r="AC990" i="1"/>
  <c r="AD990" i="1" s="1"/>
  <c r="AC991" i="1"/>
  <c r="AB991" i="1"/>
  <c r="AE991" i="1" s="1"/>
  <c r="H991" i="1"/>
  <c r="AB992" i="1"/>
  <c r="AE992" i="1" s="1"/>
  <c r="H992" i="1"/>
  <c r="AC992" i="1"/>
  <c r="AD992" i="1" s="1"/>
  <c r="AB993" i="1"/>
  <c r="AE993" i="1" s="1"/>
  <c r="H993" i="1"/>
  <c r="AC993" i="1"/>
  <c r="AD993" i="1" s="1"/>
  <c r="AC994" i="1"/>
  <c r="AB994" i="1"/>
  <c r="AE994" i="1" s="1"/>
  <c r="H994" i="1"/>
  <c r="AC995" i="1"/>
  <c r="H995" i="1"/>
  <c r="AB995" i="1"/>
  <c r="AE995" i="1" s="1"/>
  <c r="H996" i="1"/>
  <c r="AB996" i="1"/>
  <c r="AE996" i="1" s="1"/>
  <c r="AC996" i="1"/>
  <c r="AD996" i="1" s="1"/>
  <c r="AC997" i="1"/>
  <c r="AB997" i="1"/>
  <c r="AE997" i="1" s="1"/>
  <c r="H997" i="1"/>
  <c r="AC998" i="1"/>
  <c r="H998" i="1"/>
  <c r="AB998" i="1"/>
  <c r="AE998" i="1" s="1"/>
  <c r="AC999" i="1"/>
  <c r="AB999" i="1"/>
  <c r="AE999" i="1" s="1"/>
  <c r="H999" i="1"/>
  <c r="AB1000" i="1"/>
  <c r="AE1000" i="1" s="1"/>
  <c r="H1000" i="1"/>
  <c r="AC1000" i="1"/>
  <c r="AD1000" i="1" s="1"/>
  <c r="AB1001" i="1"/>
  <c r="AE1001" i="1" s="1"/>
  <c r="AC1001" i="1"/>
  <c r="AD1001" i="1" s="1"/>
  <c r="H1001" i="1"/>
  <c r="AB1002" i="1"/>
  <c r="AE1002" i="1" s="1"/>
  <c r="AC1002" i="1"/>
  <c r="AD1002" i="1" s="1"/>
  <c r="H1002" i="1"/>
  <c r="AB1003" i="1"/>
  <c r="AE1003" i="1" s="1"/>
  <c r="H1003" i="1"/>
  <c r="AC1003" i="1"/>
  <c r="AD1003" i="1" s="1"/>
  <c r="AC1004" i="1"/>
  <c r="AB1004" i="1"/>
  <c r="AE1004" i="1" s="1"/>
  <c r="H1004" i="1"/>
  <c r="AC1005" i="1"/>
  <c r="AB1005" i="1"/>
  <c r="AE1005" i="1" s="1"/>
  <c r="H1005" i="1"/>
  <c r="AC374" i="1"/>
  <c r="H476" i="1"/>
  <c r="H477" i="1"/>
  <c r="H559" i="1"/>
  <c r="H560" i="1"/>
  <c r="H561" i="1"/>
  <c r="H562" i="1"/>
  <c r="H662" i="1"/>
  <c r="H478" i="1"/>
  <c r="AC485" i="1"/>
  <c r="AD485" i="1" s="1"/>
  <c r="AE499" i="1"/>
  <c r="AP656" i="1"/>
  <c r="AC582" i="1"/>
  <c r="AB582" i="1"/>
  <c r="AE582" i="1" s="1"/>
  <c r="AC644" i="1"/>
  <c r="AD644" i="1" s="1"/>
  <c r="H657" i="1"/>
  <c r="H658" i="1"/>
  <c r="H661" i="1"/>
  <c r="H744" i="1"/>
  <c r="AE664" i="1"/>
  <c r="AC716" i="1"/>
  <c r="AD716" i="1" s="1"/>
  <c r="H738" i="1"/>
  <c r="AE746" i="1"/>
  <c r="AB281" i="1"/>
  <c r="AE281" i="1" s="1"/>
  <c r="H281" i="1"/>
  <c r="H282" i="1"/>
  <c r="AB282" i="1"/>
  <c r="AE282" i="1" s="1"/>
  <c r="H283" i="1"/>
  <c r="AB283" i="1"/>
  <c r="AE283" i="1" s="1"/>
  <c r="H284" i="1"/>
  <c r="AB284" i="1"/>
  <c r="AE284" i="1" s="1"/>
  <c r="H285" i="1"/>
  <c r="AB285" i="1"/>
  <c r="AE285" i="1" s="1"/>
  <c r="H286" i="1"/>
  <c r="AB286" i="1"/>
  <c r="AE286" i="1" s="1"/>
  <c r="AC286" i="1"/>
  <c r="AD286" i="1" s="1"/>
  <c r="AB287" i="1"/>
  <c r="AE287" i="1" s="1"/>
  <c r="AC287" i="1"/>
  <c r="AD287" i="1" s="1"/>
  <c r="H287" i="1"/>
  <c r="H288" i="1"/>
  <c r="AC288" i="1"/>
  <c r="AB288" i="1"/>
  <c r="AE288" i="1" s="1"/>
  <c r="H289" i="1"/>
  <c r="AB289" i="1"/>
  <c r="AE289" i="1" s="1"/>
  <c r="AC289" i="1"/>
  <c r="AD289" i="1" s="1"/>
  <c r="AC290" i="1"/>
  <c r="AB290" i="1"/>
  <c r="AE290" i="1" s="1"/>
  <c r="H290" i="1"/>
  <c r="AC291" i="1"/>
  <c r="AB291" i="1"/>
  <c r="AE291" i="1" s="1"/>
  <c r="H291" i="1"/>
  <c r="AC292" i="1"/>
  <c r="AB292" i="1"/>
  <c r="AE292" i="1" s="1"/>
  <c r="H292" i="1"/>
  <c r="AC293" i="1"/>
  <c r="AB293" i="1"/>
  <c r="AE293" i="1" s="1"/>
  <c r="H293" i="1"/>
  <c r="AB294" i="1"/>
  <c r="AE294" i="1" s="1"/>
  <c r="AC294" i="1"/>
  <c r="AD294" i="1" s="1"/>
  <c r="AD134" i="1"/>
  <c r="AD147" i="1"/>
  <c r="H272" i="1"/>
  <c r="H273" i="1"/>
  <c r="H300" i="1"/>
  <c r="H302" i="1"/>
  <c r="H365" i="1"/>
  <c r="AP919" i="1"/>
  <c r="AP922" i="1"/>
  <c r="AP582" i="1"/>
  <c r="H653" i="1"/>
  <c r="H654" i="1"/>
  <c r="H655" i="1"/>
  <c r="H659" i="1"/>
  <c r="AB204" i="1"/>
  <c r="AE204" i="1" s="1"/>
  <c r="H274" i="1"/>
  <c r="H275" i="1"/>
  <c r="H301" i="1"/>
  <c r="AP921" i="1"/>
  <c r="AP929" i="1"/>
  <c r="AP930" i="1"/>
  <c r="AD852" i="1"/>
  <c r="AD886" i="1"/>
  <c r="AC577" i="1"/>
  <c r="AB577" i="1"/>
  <c r="AE577" i="1" s="1"/>
  <c r="H656" i="1"/>
  <c r="H740" i="1"/>
  <c r="H741" i="1"/>
  <c r="H745" i="1"/>
  <c r="AE303" i="1"/>
  <c r="AP928" i="1"/>
  <c r="AD861" i="1"/>
  <c r="H660" i="1"/>
  <c r="AP859" i="1"/>
  <c r="AP860" i="1"/>
  <c r="AP863" i="1"/>
  <c r="AP864" i="1"/>
  <c r="AP865" i="1"/>
  <c r="AP867" i="1"/>
  <c r="AP869" i="1"/>
  <c r="AP871" i="1"/>
  <c r="AP873" i="1"/>
  <c r="AP875" i="1"/>
  <c r="AP877" i="1"/>
  <c r="AP879" i="1"/>
  <c r="AP882" i="1"/>
  <c r="AP884" i="1"/>
  <c r="AP886" i="1"/>
  <c r="AP888" i="1"/>
  <c r="AP890" i="1"/>
  <c r="AP892" i="1"/>
  <c r="AP894" i="1"/>
  <c r="AP897" i="1"/>
  <c r="AP899" i="1"/>
  <c r="AP901" i="1"/>
  <c r="AP903" i="1"/>
  <c r="AP905" i="1"/>
  <c r="AP907" i="1"/>
  <c r="AP909" i="1"/>
  <c r="AP911" i="1"/>
  <c r="AP913" i="1"/>
  <c r="AP915" i="1"/>
  <c r="AP916" i="1"/>
  <c r="AP917" i="1"/>
  <c r="AP923" i="1"/>
  <c r="AP924" i="1"/>
  <c r="AP926" i="1"/>
  <c r="AP927" i="1"/>
  <c r="H652" i="1"/>
  <c r="H663" i="1"/>
  <c r="H739" i="1"/>
  <c r="H742" i="1"/>
  <c r="AD819" i="1"/>
  <c r="AE819" i="1"/>
  <c r="AE820" i="1"/>
  <c r="AD821" i="1"/>
  <c r="AE821" i="1"/>
  <c r="AE822" i="1"/>
  <c r="AE823" i="1"/>
  <c r="AE824" i="1"/>
  <c r="AD825" i="1"/>
  <c r="AE825" i="1"/>
  <c r="AD826" i="1"/>
  <c r="AE826" i="1"/>
  <c r="AE827" i="1"/>
  <c r="AE828" i="1"/>
  <c r="AD829" i="1"/>
  <c r="AE829" i="1"/>
  <c r="AE830" i="1"/>
  <c r="AE831" i="1"/>
  <c r="AE832" i="1"/>
  <c r="AE833" i="1"/>
  <c r="AD834" i="1"/>
  <c r="AE834" i="1"/>
  <c r="AE835" i="1"/>
  <c r="AE836" i="1"/>
  <c r="AE837" i="1"/>
  <c r="AE838" i="1"/>
  <c r="AE839" i="1"/>
  <c r="AD839" i="1"/>
  <c r="AE840" i="1"/>
  <c r="AE841" i="1"/>
  <c r="AE842" i="1"/>
  <c r="AD844" i="1"/>
  <c r="AE844" i="1"/>
  <c r="AE845" i="1"/>
  <c r="AE846" i="1"/>
  <c r="AE847" i="1"/>
  <c r="AD847" i="1"/>
  <c r="AE848" i="1"/>
  <c r="AE849" i="1"/>
  <c r="AD855" i="1"/>
  <c r="AD856" i="1"/>
  <c r="AD859" i="1"/>
  <c r="AD862" i="1"/>
  <c r="AD863" i="1"/>
  <c r="AD864" i="1"/>
  <c r="AD865" i="1"/>
  <c r="AD866" i="1"/>
  <c r="AD869" i="1"/>
  <c r="AD873" i="1"/>
  <c r="AD874" i="1"/>
  <c r="AD875" i="1"/>
  <c r="AD876" i="1"/>
  <c r="AD877" i="1"/>
  <c r="AD880" i="1"/>
  <c r="AD881" i="1"/>
  <c r="AD882" i="1"/>
  <c r="AD887" i="1"/>
  <c r="AD889" i="1"/>
  <c r="AD891" i="1"/>
  <c r="AD892" i="1"/>
  <c r="AD896" i="1"/>
  <c r="AD898" i="1"/>
  <c r="AD899" i="1"/>
  <c r="AD900" i="1"/>
  <c r="AC366" i="1"/>
  <c r="AD366" i="1" s="1"/>
  <c r="H366" i="1"/>
  <c r="AC367" i="1"/>
  <c r="AD367" i="1" s="1"/>
  <c r="H368" i="1"/>
  <c r="AC369" i="1"/>
  <c r="AD369" i="1" s="1"/>
  <c r="H370" i="1"/>
  <c r="AC371" i="1"/>
  <c r="AD371" i="1" s="1"/>
  <c r="H372" i="1"/>
  <c r="AD373" i="1"/>
  <c r="H385" i="1"/>
  <c r="AC386" i="1"/>
  <c r="AD386" i="1" s="1"/>
  <c r="H387" i="1"/>
  <c r="AD388" i="1"/>
  <c r="H389" i="1"/>
  <c r="AC390" i="1"/>
  <c r="AD390" i="1" s="1"/>
  <c r="H391" i="1"/>
  <c r="AC392" i="1"/>
  <c r="AD392" i="1" s="1"/>
  <c r="AC396" i="1"/>
  <c r="AD396" i="1" s="1"/>
  <c r="H400" i="1"/>
  <c r="AC401" i="1"/>
  <c r="AD401" i="1" s="1"/>
  <c r="H401" i="1"/>
  <c r="AC402" i="1"/>
  <c r="AD402" i="1" s="1"/>
  <c r="H404" i="1"/>
  <c r="H423" i="1"/>
  <c r="AP424" i="1"/>
  <c r="AC424" i="1"/>
  <c r="AD424" i="1" s="1"/>
  <c r="H426" i="1"/>
  <c r="AC427" i="1"/>
  <c r="AD427" i="1" s="1"/>
  <c r="H431" i="1"/>
  <c r="AP432" i="1"/>
  <c r="AC432" i="1"/>
  <c r="AD432" i="1" s="1"/>
  <c r="H434" i="1"/>
  <c r="AC435" i="1"/>
  <c r="AD435" i="1" s="1"/>
  <c r="H436" i="1"/>
  <c r="AC437" i="1"/>
  <c r="AD437" i="1" s="1"/>
  <c r="H438" i="1"/>
  <c r="AD439" i="1"/>
  <c r="H440" i="1"/>
  <c r="AC441" i="1"/>
  <c r="AD441" i="1" s="1"/>
  <c r="H442" i="1"/>
  <c r="AC443" i="1"/>
  <c r="AD443" i="1" s="1"/>
  <c r="H481" i="1"/>
  <c r="AP482" i="1"/>
  <c r="AC482" i="1"/>
  <c r="AD482" i="1" s="1"/>
  <c r="H482" i="1"/>
  <c r="AC483" i="1"/>
  <c r="AD483" i="1" s="1"/>
  <c r="H483" i="1"/>
  <c r="AD484" i="1"/>
  <c r="H484" i="1"/>
  <c r="H485" i="1"/>
  <c r="AP486" i="1"/>
  <c r="AC486" i="1"/>
  <c r="AD486" i="1" s="1"/>
  <c r="H486" i="1"/>
  <c r="AD487" i="1"/>
  <c r="H490" i="1"/>
  <c r="AC491" i="1"/>
  <c r="AD491" i="1" s="1"/>
  <c r="H491" i="1"/>
  <c r="H495" i="1"/>
  <c r="AC496" i="1"/>
  <c r="AD496" i="1" s="1"/>
  <c r="H496" i="1"/>
  <c r="H497" i="1"/>
  <c r="H502" i="1"/>
  <c r="AP503" i="1"/>
  <c r="H503" i="1"/>
  <c r="AC504" i="1"/>
  <c r="AD504" i="1" s="1"/>
  <c r="H504" i="1"/>
  <c r="AP649" i="1"/>
  <c r="H716" i="1"/>
  <c r="AC718" i="1"/>
  <c r="AD718" i="1" s="1"/>
  <c r="H718" i="1"/>
  <c r="AB719" i="1"/>
  <c r="AD781" i="1"/>
  <c r="AB374" i="1"/>
  <c r="AC375" i="1"/>
  <c r="AD375" i="1" s="1"/>
  <c r="AD376" i="1"/>
  <c r="AC377" i="1"/>
  <c r="AD377" i="1" s="1"/>
  <c r="AC378" i="1"/>
  <c r="AD378" i="1" s="1"/>
  <c r="AD379" i="1"/>
  <c r="AC380" i="1"/>
  <c r="AD380" i="1" s="1"/>
  <c r="AC381" i="1"/>
  <c r="AD381" i="1" s="1"/>
  <c r="AD382" i="1"/>
  <c r="AC383" i="1"/>
  <c r="AD383" i="1" s="1"/>
  <c r="H392" i="1"/>
  <c r="AC393" i="1"/>
  <c r="AD393" i="1" s="1"/>
  <c r="H395" i="1"/>
  <c r="H396" i="1"/>
  <c r="AD397" i="1"/>
  <c r="H397" i="1"/>
  <c r="AC398" i="1"/>
  <c r="AD398" i="1" s="1"/>
  <c r="H398" i="1"/>
  <c r="AP399" i="1"/>
  <c r="AC399" i="1"/>
  <c r="AD399" i="1" s="1"/>
  <c r="H399" i="1"/>
  <c r="AD400" i="1"/>
  <c r="H402" i="1"/>
  <c r="AP403" i="1"/>
  <c r="AD403" i="1"/>
  <c r="AP405" i="1"/>
  <c r="AC405" i="1"/>
  <c r="AD405" i="1" s="1"/>
  <c r="H406" i="1"/>
  <c r="AP407" i="1"/>
  <c r="AC407" i="1"/>
  <c r="AD407" i="1" s="1"/>
  <c r="H408" i="1"/>
  <c r="AP409" i="1"/>
  <c r="AC409" i="1"/>
  <c r="AD409" i="1" s="1"/>
  <c r="H410" i="1"/>
  <c r="AD411" i="1"/>
  <c r="H411" i="1"/>
  <c r="AP412" i="1"/>
  <c r="AC412" i="1"/>
  <c r="AD412" i="1" s="1"/>
  <c r="H413" i="1"/>
  <c r="AP414" i="1"/>
  <c r="AD414" i="1"/>
  <c r="H415" i="1"/>
  <c r="AP416" i="1"/>
  <c r="AC416" i="1"/>
  <c r="AD416" i="1" s="1"/>
  <c r="H416" i="1"/>
  <c r="AD417" i="1"/>
  <c r="H417" i="1"/>
  <c r="AP418" i="1"/>
  <c r="AC418" i="1"/>
  <c r="AD418" i="1" s="1"/>
  <c r="H418" i="1"/>
  <c r="AC419" i="1"/>
  <c r="AD419" i="1" s="1"/>
  <c r="H420" i="1"/>
  <c r="AC421" i="1"/>
  <c r="AD421" i="1" s="1"/>
  <c r="H421" i="1"/>
  <c r="AP422" i="1"/>
  <c r="AC422" i="1"/>
  <c r="AD422" i="1" s="1"/>
  <c r="H424" i="1"/>
  <c r="AD425" i="1"/>
  <c r="H425" i="1"/>
  <c r="AP426" i="1"/>
  <c r="AC426" i="1"/>
  <c r="AD426" i="1" s="1"/>
  <c r="H428" i="1"/>
  <c r="AC429" i="1"/>
  <c r="AD429" i="1" s="1"/>
  <c r="H429" i="1"/>
  <c r="AP430" i="1"/>
  <c r="AC430" i="1"/>
  <c r="AD430" i="1" s="1"/>
  <c r="AP490" i="1"/>
  <c r="H494" i="1"/>
  <c r="H499" i="1"/>
  <c r="H500" i="1"/>
  <c r="H501" i="1"/>
  <c r="AC502" i="1"/>
  <c r="AD506" i="1"/>
  <c r="H506" i="1"/>
  <c r="H507" i="1"/>
  <c r="H567" i="1"/>
  <c r="AC568" i="1"/>
  <c r="AD568" i="1" s="1"/>
  <c r="AC569" i="1"/>
  <c r="AD569" i="1" s="1"/>
  <c r="H579" i="1"/>
  <c r="H580" i="1"/>
  <c r="AC581" i="1"/>
  <c r="AD581" i="1" s="1"/>
  <c r="H643" i="1"/>
  <c r="AD650" i="1"/>
  <c r="H650" i="1"/>
  <c r="AC651" i="1"/>
  <c r="H717" i="1"/>
  <c r="AP718" i="1"/>
  <c r="AC720" i="1"/>
  <c r="AD720" i="1" s="1"/>
  <c r="AP782" i="1"/>
  <c r="AC782" i="1"/>
  <c r="AD782" i="1" s="1"/>
  <c r="AE443" i="1"/>
  <c r="AP444" i="1"/>
  <c r="AC444" i="1"/>
  <c r="AD444" i="1" s="1"/>
  <c r="AD445" i="1"/>
  <c r="AP446" i="1"/>
  <c r="AC446" i="1"/>
  <c r="AD446" i="1" s="1"/>
  <c r="AC447" i="1"/>
  <c r="AD447" i="1" s="1"/>
  <c r="AD448" i="1"/>
  <c r="AP449" i="1"/>
  <c r="AC449" i="1"/>
  <c r="AD449" i="1" s="1"/>
  <c r="AC450" i="1"/>
  <c r="AD450" i="1" s="1"/>
  <c r="AP451" i="1"/>
  <c r="AD451" i="1"/>
  <c r="AC452" i="1"/>
  <c r="AD452" i="1" s="1"/>
  <c r="AP453" i="1"/>
  <c r="AC453" i="1"/>
  <c r="AD453" i="1" s="1"/>
  <c r="AD454" i="1"/>
  <c r="AP455" i="1"/>
  <c r="AC455" i="1"/>
  <c r="AD455" i="1" s="1"/>
  <c r="AD456" i="1"/>
  <c r="AC457" i="1"/>
  <c r="AD457" i="1" s="1"/>
  <c r="AP458" i="1"/>
  <c r="AD458" i="1"/>
  <c r="AD459" i="1"/>
  <c r="AP460" i="1"/>
  <c r="AC460" i="1"/>
  <c r="AD460" i="1" s="1"/>
  <c r="AD461" i="1"/>
  <c r="AP462" i="1"/>
  <c r="AC462" i="1"/>
  <c r="AD462" i="1" s="1"/>
  <c r="AD463" i="1"/>
  <c r="AP464" i="1"/>
  <c r="AC464" i="1"/>
  <c r="AD464" i="1" s="1"/>
  <c r="AD465" i="1"/>
  <c r="AP466" i="1"/>
  <c r="AC466" i="1"/>
  <c r="AD466" i="1" s="1"/>
  <c r="AC467" i="1"/>
  <c r="AD467" i="1" s="1"/>
  <c r="AP468" i="1"/>
  <c r="AD468" i="1"/>
  <c r="AC469" i="1"/>
  <c r="AD469" i="1" s="1"/>
  <c r="AP470" i="1"/>
  <c r="AC470" i="1"/>
  <c r="AD470" i="1" s="1"/>
  <c r="AD471" i="1"/>
  <c r="AP472" i="1"/>
  <c r="AC472" i="1"/>
  <c r="AD472" i="1" s="1"/>
  <c r="AD473" i="1"/>
  <c r="AP474" i="1"/>
  <c r="AC474" i="1"/>
  <c r="AD474" i="1" s="1"/>
  <c r="AC475" i="1"/>
  <c r="AD475" i="1" s="1"/>
  <c r="AP476" i="1"/>
  <c r="AD476" i="1"/>
  <c r="AC477" i="1"/>
  <c r="AD477" i="1" s="1"/>
  <c r="AP478" i="1"/>
  <c r="AD478" i="1"/>
  <c r="AC479" i="1"/>
  <c r="AD479" i="1" s="1"/>
  <c r="H479" i="1"/>
  <c r="AP480" i="1"/>
  <c r="AC480" i="1"/>
  <c r="AD480" i="1" s="1"/>
  <c r="H480" i="1"/>
  <c r="AD481" i="1"/>
  <c r="AP484" i="1"/>
  <c r="AP488" i="1"/>
  <c r="AC488" i="1"/>
  <c r="AD488" i="1" s="1"/>
  <c r="AP492" i="1"/>
  <c r="AC492" i="1"/>
  <c r="AD492" i="1" s="1"/>
  <c r="H492" i="1"/>
  <c r="AD493" i="1"/>
  <c r="AC500" i="1"/>
  <c r="AD500" i="1" s="1"/>
  <c r="AP505" i="1"/>
  <c r="AC505" i="1"/>
  <c r="AD505" i="1" s="1"/>
  <c r="H505" i="1"/>
  <c r="AP507" i="1"/>
  <c r="AC507" i="1"/>
  <c r="AD507" i="1" s="1"/>
  <c r="AC510" i="1"/>
  <c r="AD510" i="1" s="1"/>
  <c r="H510" i="1"/>
  <c r="H511" i="1"/>
  <c r="AP566" i="1"/>
  <c r="AC566" i="1"/>
  <c r="AD566" i="1" s="1"/>
  <c r="H570" i="1"/>
  <c r="AD571" i="1"/>
  <c r="H571" i="1"/>
  <c r="AC572" i="1"/>
  <c r="AD572" i="1" s="1"/>
  <c r="H572" i="1"/>
  <c r="AD573" i="1"/>
  <c r="H640" i="1"/>
  <c r="AP641" i="1"/>
  <c r="AC646" i="1"/>
  <c r="AD646" i="1" s="1"/>
  <c r="AP647" i="1"/>
  <c r="H647" i="1"/>
  <c r="H648" i="1"/>
  <c r="AC649" i="1"/>
  <c r="AD649" i="1" s="1"/>
  <c r="H783" i="1"/>
  <c r="AD784" i="1"/>
  <c r="AP513" i="1"/>
  <c r="AC513" i="1"/>
  <c r="AD514" i="1"/>
  <c r="AP515" i="1"/>
  <c r="AC515" i="1"/>
  <c r="AD515" i="1" s="1"/>
  <c r="AC516" i="1"/>
  <c r="AD516" i="1" s="1"/>
  <c r="AP517" i="1"/>
  <c r="AD517" i="1"/>
  <c r="AC518" i="1"/>
  <c r="AD518" i="1" s="1"/>
  <c r="AP519" i="1"/>
  <c r="AC519" i="1"/>
  <c r="AD519" i="1" s="1"/>
  <c r="AD520" i="1"/>
  <c r="AP521" i="1"/>
  <c r="AC521" i="1"/>
  <c r="AD521" i="1" s="1"/>
  <c r="AC522" i="1"/>
  <c r="AD522" i="1" s="1"/>
  <c r="AP523" i="1"/>
  <c r="AD523" i="1"/>
  <c r="AC524" i="1"/>
  <c r="AD524" i="1" s="1"/>
  <c r="AP525" i="1"/>
  <c r="AC525" i="1"/>
  <c r="AD525" i="1" s="1"/>
  <c r="AD526" i="1"/>
  <c r="AP527" i="1"/>
  <c r="AC527" i="1"/>
  <c r="AD527" i="1" s="1"/>
  <c r="AC528" i="1"/>
  <c r="AD528" i="1" s="1"/>
  <c r="AP529" i="1"/>
  <c r="AD529" i="1"/>
  <c r="AC530" i="1"/>
  <c r="AD530" i="1" s="1"/>
  <c r="AP531" i="1"/>
  <c r="AC531" i="1"/>
  <c r="AD531" i="1" s="1"/>
  <c r="AC532" i="1"/>
  <c r="AD532" i="1" s="1"/>
  <c r="AP533" i="1"/>
  <c r="AD533" i="1"/>
  <c r="AC534" i="1"/>
  <c r="AD534" i="1" s="1"/>
  <c r="AP535" i="1"/>
  <c r="AD535" i="1"/>
  <c r="AC536" i="1"/>
  <c r="AD536" i="1" s="1"/>
  <c r="AP537" i="1"/>
  <c r="AC537" i="1"/>
  <c r="AD537" i="1" s="1"/>
  <c r="AC538" i="1"/>
  <c r="AD538" i="1" s="1"/>
  <c r="AP539" i="1"/>
  <c r="AD539" i="1"/>
  <c r="AC540" i="1"/>
  <c r="AD540" i="1" s="1"/>
  <c r="AP541" i="1"/>
  <c r="AC541" i="1"/>
  <c r="AD541" i="1" s="1"/>
  <c r="AD542" i="1"/>
  <c r="AP543" i="1"/>
  <c r="AC543" i="1"/>
  <c r="AD543" i="1" s="1"/>
  <c r="AC544" i="1"/>
  <c r="AD544" i="1" s="1"/>
  <c r="AP545" i="1"/>
  <c r="AD545" i="1"/>
  <c r="AC546" i="1"/>
  <c r="AD546" i="1" s="1"/>
  <c r="AP547" i="1"/>
  <c r="AC547" i="1"/>
  <c r="AD547" i="1" s="1"/>
  <c r="AD548" i="1"/>
  <c r="AP549" i="1"/>
  <c r="AC549" i="1"/>
  <c r="AD549" i="1" s="1"/>
  <c r="AD550" i="1"/>
  <c r="AP551" i="1"/>
  <c r="AC551" i="1"/>
  <c r="AD551" i="1" s="1"/>
  <c r="AC552" i="1"/>
  <c r="AD552" i="1" s="1"/>
  <c r="AP553" i="1"/>
  <c r="AD553" i="1"/>
  <c r="AC554" i="1"/>
  <c r="AD554" i="1" s="1"/>
  <c r="AP555" i="1"/>
  <c r="AC555" i="1"/>
  <c r="AD555" i="1" s="1"/>
  <c r="AD556" i="1"/>
  <c r="AP557" i="1"/>
  <c r="AC557" i="1"/>
  <c r="AD557" i="1" s="1"/>
  <c r="AC558" i="1"/>
  <c r="AD558" i="1" s="1"/>
  <c r="AP559" i="1"/>
  <c r="AD559" i="1"/>
  <c r="AC560" i="1"/>
  <c r="AD560" i="1" s="1"/>
  <c r="AP561" i="1"/>
  <c r="AC561" i="1"/>
  <c r="AD561" i="1" s="1"/>
  <c r="AD562" i="1"/>
  <c r="AC563" i="1"/>
  <c r="AD563" i="1" s="1"/>
  <c r="AP564" i="1"/>
  <c r="AC564" i="1"/>
  <c r="AD564" i="1" s="1"/>
  <c r="AD565" i="1"/>
  <c r="AP572" i="1"/>
  <c r="H573" i="1"/>
  <c r="AC578" i="1"/>
  <c r="AD578" i="1" s="1"/>
  <c r="H581" i="1"/>
  <c r="AP643" i="1"/>
  <c r="AC643" i="1"/>
  <c r="AD643" i="1" s="1"/>
  <c r="H649" i="1"/>
  <c r="AP651" i="1"/>
  <c r="AC713" i="1"/>
  <c r="AD713" i="1" s="1"/>
  <c r="AD714" i="1"/>
  <c r="AC715" i="1"/>
  <c r="AD715" i="1" s="1"/>
  <c r="AP716" i="1"/>
  <c r="AD786" i="1"/>
  <c r="AB787" i="1"/>
  <c r="AE787" i="1" s="1"/>
  <c r="H787" i="1"/>
  <c r="AP788" i="1"/>
  <c r="H150" i="1"/>
  <c r="AP583" i="1"/>
  <c r="AC583" i="1"/>
  <c r="AD583" i="1" s="1"/>
  <c r="AD584" i="1"/>
  <c r="AC585" i="1"/>
  <c r="AD585" i="1" s="1"/>
  <c r="AP586" i="1"/>
  <c r="AC586" i="1"/>
  <c r="AD586" i="1" s="1"/>
  <c r="AP587" i="1"/>
  <c r="AD587" i="1"/>
  <c r="AC588" i="1"/>
  <c r="AD588" i="1" s="1"/>
  <c r="AC589" i="1"/>
  <c r="AD589" i="1" s="1"/>
  <c r="AP590" i="1"/>
  <c r="AC591" i="1"/>
  <c r="AD591" i="1" s="1"/>
  <c r="AP592" i="1"/>
  <c r="AD592" i="1"/>
  <c r="AP593" i="1"/>
  <c r="AC593" i="1"/>
  <c r="AC594" i="1"/>
  <c r="AP595" i="1"/>
  <c r="AD595" i="1"/>
  <c r="AC596" i="1"/>
  <c r="AD596" i="1" s="1"/>
  <c r="AP597" i="1"/>
  <c r="AC597" i="1"/>
  <c r="AD597" i="1" s="1"/>
  <c r="AD598" i="1"/>
  <c r="AP599" i="1"/>
  <c r="AC599" i="1"/>
  <c r="AD599" i="1" s="1"/>
  <c r="AC600" i="1"/>
  <c r="AD600" i="1" s="1"/>
  <c r="AP601" i="1"/>
  <c r="AD601" i="1"/>
  <c r="AC602" i="1"/>
  <c r="AD602" i="1" s="1"/>
  <c r="AP603" i="1"/>
  <c r="AC603" i="1"/>
  <c r="AD603" i="1" s="1"/>
  <c r="AD604" i="1"/>
  <c r="AP605" i="1"/>
  <c r="AC605" i="1"/>
  <c r="AD605" i="1" s="1"/>
  <c r="AC606" i="1"/>
  <c r="AD606" i="1" s="1"/>
  <c r="AP607" i="1"/>
  <c r="AD607" i="1"/>
  <c r="AC608" i="1"/>
  <c r="AD608" i="1" s="1"/>
  <c r="AP609" i="1"/>
  <c r="AC609" i="1"/>
  <c r="AD609" i="1" s="1"/>
  <c r="AD610" i="1"/>
  <c r="AP611" i="1"/>
  <c r="AC611" i="1"/>
  <c r="AD611" i="1" s="1"/>
  <c r="AC612" i="1"/>
  <c r="AD612" i="1" s="1"/>
  <c r="AP613" i="1"/>
  <c r="AD613" i="1"/>
  <c r="AC614" i="1"/>
  <c r="AD614" i="1" s="1"/>
  <c r="AP615" i="1"/>
  <c r="AC615" i="1"/>
  <c r="AD615" i="1" s="1"/>
  <c r="AD616" i="1"/>
  <c r="AP617" i="1"/>
  <c r="AC617" i="1"/>
  <c r="AD617" i="1" s="1"/>
  <c r="AC618" i="1"/>
  <c r="AD618" i="1" s="1"/>
  <c r="AP619" i="1"/>
  <c r="AD619" i="1"/>
  <c r="AC620" i="1"/>
  <c r="AD620" i="1" s="1"/>
  <c r="AP621" i="1"/>
  <c r="AC621" i="1"/>
  <c r="AD621" i="1" s="1"/>
  <c r="AD622" i="1"/>
  <c r="AP623" i="1"/>
  <c r="AC623" i="1"/>
  <c r="AD623" i="1" s="1"/>
  <c r="AD624" i="1"/>
  <c r="AP625" i="1"/>
  <c r="AC625" i="1"/>
  <c r="AD625" i="1" s="1"/>
  <c r="AC626" i="1"/>
  <c r="AD626" i="1" s="1"/>
  <c r="AP627" i="1"/>
  <c r="AD627" i="1"/>
  <c r="AC628" i="1"/>
  <c r="AD628" i="1" s="1"/>
  <c r="AP629" i="1"/>
  <c r="AC629" i="1"/>
  <c r="AD629" i="1" s="1"/>
  <c r="AD630" i="1"/>
  <c r="AP631" i="1"/>
  <c r="AC631" i="1"/>
  <c r="AD631" i="1" s="1"/>
  <c r="AC632" i="1"/>
  <c r="AD632" i="1" s="1"/>
  <c r="AP633" i="1"/>
  <c r="AD633" i="1"/>
  <c r="AC634" i="1"/>
  <c r="AD634" i="1" s="1"/>
  <c r="AP635" i="1"/>
  <c r="AC635" i="1"/>
  <c r="AD635" i="1" s="1"/>
  <c r="AD636" i="1"/>
  <c r="AP637" i="1"/>
  <c r="AC637" i="1"/>
  <c r="AD637" i="1" s="1"/>
  <c r="AC638" i="1"/>
  <c r="AD638" i="1" s="1"/>
  <c r="AP639" i="1"/>
  <c r="AD639" i="1"/>
  <c r="AC640" i="1"/>
  <c r="AD640" i="1" s="1"/>
  <c r="H644" i="1"/>
  <c r="AP645" i="1"/>
  <c r="H713" i="1"/>
  <c r="AP714" i="1"/>
  <c r="H719" i="1"/>
  <c r="AP720" i="1"/>
  <c r="H780" i="1"/>
  <c r="H781" i="1"/>
  <c r="H782" i="1"/>
  <c r="H784" i="1"/>
  <c r="H786" i="1"/>
  <c r="H788" i="1"/>
  <c r="AD789" i="1"/>
  <c r="H151" i="1"/>
  <c r="H152" i="1"/>
  <c r="AB651" i="1"/>
  <c r="AE651" i="1" s="1"/>
  <c r="AD652" i="1"/>
  <c r="AP653" i="1"/>
  <c r="AC653" i="1"/>
  <c r="AD653" i="1" s="1"/>
  <c r="AC654" i="1"/>
  <c r="AD654" i="1" s="1"/>
  <c r="AP655" i="1"/>
  <c r="AD655" i="1"/>
  <c r="AC656" i="1"/>
  <c r="AD656" i="1" s="1"/>
  <c r="AC657" i="1"/>
  <c r="AD657" i="1" s="1"/>
  <c r="AP658" i="1"/>
  <c r="AD658" i="1"/>
  <c r="AC659" i="1"/>
  <c r="AD659" i="1" s="1"/>
  <c r="AP660" i="1"/>
  <c r="AC660" i="1"/>
  <c r="AD660" i="1" s="1"/>
  <c r="AD661" i="1"/>
  <c r="AP662" i="1"/>
  <c r="AC662" i="1"/>
  <c r="AD662" i="1" s="1"/>
  <c r="AC663" i="1"/>
  <c r="AD663" i="1" s="1"/>
  <c r="AP664" i="1"/>
  <c r="AD664" i="1"/>
  <c r="AC665" i="1"/>
  <c r="AD665" i="1" s="1"/>
  <c r="AP666" i="1"/>
  <c r="AC666" i="1"/>
  <c r="AD666" i="1" s="1"/>
  <c r="AD667" i="1"/>
  <c r="AP668" i="1"/>
  <c r="AC668" i="1"/>
  <c r="AD668" i="1" s="1"/>
  <c r="AC669" i="1"/>
  <c r="AD669" i="1" s="1"/>
  <c r="AP670" i="1"/>
  <c r="AD670" i="1"/>
  <c r="AC671" i="1"/>
  <c r="AD671" i="1" s="1"/>
  <c r="AP672" i="1"/>
  <c r="AD672" i="1"/>
  <c r="AC673" i="1"/>
  <c r="AD673" i="1" s="1"/>
  <c r="AP674" i="1"/>
  <c r="AC674" i="1"/>
  <c r="AD674" i="1" s="1"/>
  <c r="AD675" i="1"/>
  <c r="AP676" i="1"/>
  <c r="AC676" i="1"/>
  <c r="AD676" i="1" s="1"/>
  <c r="AC677" i="1"/>
  <c r="AD677" i="1" s="1"/>
  <c r="AP678" i="1"/>
  <c r="AD678" i="1"/>
  <c r="AC679" i="1"/>
  <c r="AD679" i="1" s="1"/>
  <c r="AP680" i="1"/>
  <c r="AD680" i="1"/>
  <c r="AC681" i="1"/>
  <c r="AD681" i="1" s="1"/>
  <c r="AP682" i="1"/>
  <c r="AC682" i="1"/>
  <c r="AD682" i="1" s="1"/>
  <c r="AD683" i="1"/>
  <c r="AP684" i="1"/>
  <c r="AC684" i="1"/>
  <c r="AD684" i="1" s="1"/>
  <c r="AC685" i="1"/>
  <c r="AD685" i="1" s="1"/>
  <c r="AP686" i="1"/>
  <c r="AD686" i="1"/>
  <c r="AC687" i="1"/>
  <c r="AD687" i="1" s="1"/>
  <c r="AP688" i="1"/>
  <c r="AD688" i="1"/>
  <c r="AC689" i="1"/>
  <c r="AD689" i="1" s="1"/>
  <c r="AP690" i="1"/>
  <c r="AC690" i="1"/>
  <c r="AD690" i="1" s="1"/>
  <c r="AD691" i="1"/>
  <c r="AP692" i="1"/>
  <c r="AC692" i="1"/>
  <c r="AD692" i="1" s="1"/>
  <c r="AC693" i="1"/>
  <c r="AD693" i="1" s="1"/>
  <c r="AP694" i="1"/>
  <c r="AD694" i="1"/>
  <c r="AC695" i="1"/>
  <c r="AD695" i="1" s="1"/>
  <c r="AP696" i="1"/>
  <c r="AD696" i="1"/>
  <c r="AC697" i="1"/>
  <c r="AD697" i="1" s="1"/>
  <c r="AP698" i="1"/>
  <c r="AC698" i="1"/>
  <c r="AD698" i="1" s="1"/>
  <c r="AD699" i="1"/>
  <c r="AP700" i="1"/>
  <c r="AC700" i="1"/>
  <c r="AD700" i="1" s="1"/>
  <c r="AC701" i="1"/>
  <c r="AD701" i="1" s="1"/>
  <c r="AP702" i="1"/>
  <c r="AD702" i="1"/>
  <c r="AC703" i="1"/>
  <c r="AD703" i="1" s="1"/>
  <c r="AP704" i="1"/>
  <c r="AC704" i="1"/>
  <c r="AD704" i="1" s="1"/>
  <c r="AD705" i="1"/>
  <c r="AP706" i="1"/>
  <c r="AC706" i="1"/>
  <c r="AD706" i="1" s="1"/>
  <c r="AC707" i="1"/>
  <c r="AD707" i="1" s="1"/>
  <c r="AP708" i="1"/>
  <c r="AD708" i="1"/>
  <c r="AC709" i="1"/>
  <c r="AD709" i="1" s="1"/>
  <c r="AP710" i="1"/>
  <c r="AC710" i="1"/>
  <c r="AD710" i="1" s="1"/>
  <c r="AD711" i="1"/>
  <c r="AP712" i="1"/>
  <c r="AC712" i="1"/>
  <c r="AD712" i="1" s="1"/>
  <c r="H712" i="1"/>
  <c r="H714" i="1"/>
  <c r="H715" i="1"/>
  <c r="AD717" i="1"/>
  <c r="AC136" i="1"/>
  <c r="AD136" i="1" s="1"/>
  <c r="AE720" i="1"/>
  <c r="AC721" i="1"/>
  <c r="AD721" i="1" s="1"/>
  <c r="AP722" i="1"/>
  <c r="AD722" i="1"/>
  <c r="AC723" i="1"/>
  <c r="AD723" i="1" s="1"/>
  <c r="AP724" i="1"/>
  <c r="AC724" i="1"/>
  <c r="AD724" i="1" s="1"/>
  <c r="AD725" i="1"/>
  <c r="AP726" i="1"/>
  <c r="AC726" i="1"/>
  <c r="AD726" i="1" s="1"/>
  <c r="AC727" i="1"/>
  <c r="AD727" i="1" s="1"/>
  <c r="AP728" i="1"/>
  <c r="AD728" i="1"/>
  <c r="AC729" i="1"/>
  <c r="AD729" i="1" s="1"/>
  <c r="AP730" i="1"/>
  <c r="AC730" i="1"/>
  <c r="AD730" i="1" s="1"/>
  <c r="AD731" i="1"/>
  <c r="AP732" i="1"/>
  <c r="AC732" i="1"/>
  <c r="AD732" i="1" s="1"/>
  <c r="AC733" i="1"/>
  <c r="AD733" i="1" s="1"/>
  <c r="AP734" i="1"/>
  <c r="AD734" i="1"/>
  <c r="AC735" i="1"/>
  <c r="AD735" i="1" s="1"/>
  <c r="AP736" i="1"/>
  <c r="AC736" i="1"/>
  <c r="AD736" i="1" s="1"/>
  <c r="AD737" i="1"/>
  <c r="AP738" i="1"/>
  <c r="AC738" i="1"/>
  <c r="AD738" i="1" s="1"/>
  <c r="AC739" i="1"/>
  <c r="AD739" i="1" s="1"/>
  <c r="AP740" i="1"/>
  <c r="AD740" i="1"/>
  <c r="AC741" i="1"/>
  <c r="AD741" i="1" s="1"/>
  <c r="AP742" i="1"/>
  <c r="AC742" i="1"/>
  <c r="AD742" i="1" s="1"/>
  <c r="AP744" i="1"/>
  <c r="AC744" i="1"/>
  <c r="AD744" i="1" s="1"/>
  <c r="AC745" i="1"/>
  <c r="AD745" i="1" s="1"/>
  <c r="AP746" i="1"/>
  <c r="AD746" i="1"/>
  <c r="AC747" i="1"/>
  <c r="AD747" i="1" s="1"/>
  <c r="AP748" i="1"/>
  <c r="AC748" i="1"/>
  <c r="AD748" i="1" s="1"/>
  <c r="AD749" i="1"/>
  <c r="AP750" i="1"/>
  <c r="AC750" i="1"/>
  <c r="AD750" i="1" s="1"/>
  <c r="AC751" i="1"/>
  <c r="AD751" i="1" s="1"/>
  <c r="AP752" i="1"/>
  <c r="AD752" i="1"/>
  <c r="AC753" i="1"/>
  <c r="AD753" i="1" s="1"/>
  <c r="AP754" i="1"/>
  <c r="AC754" i="1"/>
  <c r="AD754" i="1" s="1"/>
  <c r="AD755" i="1"/>
  <c r="AP756" i="1"/>
  <c r="AC756" i="1"/>
  <c r="AD756" i="1" s="1"/>
  <c r="AC757" i="1"/>
  <c r="AD757" i="1" s="1"/>
  <c r="AP758" i="1"/>
  <c r="AD758" i="1"/>
  <c r="AC759" i="1"/>
  <c r="AD759" i="1" s="1"/>
  <c r="AP760" i="1"/>
  <c r="AC760" i="1"/>
  <c r="AD760" i="1" s="1"/>
  <c r="AD761" i="1"/>
  <c r="AP762" i="1"/>
  <c r="AC762" i="1"/>
  <c r="AD762" i="1" s="1"/>
  <c r="AC763" i="1"/>
  <c r="AD763" i="1" s="1"/>
  <c r="AP764" i="1"/>
  <c r="AD764" i="1"/>
  <c r="AC765" i="1"/>
  <c r="AD765" i="1" s="1"/>
  <c r="AP766" i="1"/>
  <c r="AC766" i="1"/>
  <c r="AD766" i="1" s="1"/>
  <c r="AD767" i="1"/>
  <c r="AP768" i="1"/>
  <c r="AC768" i="1"/>
  <c r="AD768" i="1" s="1"/>
  <c r="AD769" i="1"/>
  <c r="AP770" i="1"/>
  <c r="AC770" i="1"/>
  <c r="AD770" i="1" s="1"/>
  <c r="AC771" i="1"/>
  <c r="AD771" i="1" s="1"/>
  <c r="AP772" i="1"/>
  <c r="AD772" i="1"/>
  <c r="AC773" i="1"/>
  <c r="AD773" i="1" s="1"/>
  <c r="AP774" i="1"/>
  <c r="AC774" i="1"/>
  <c r="AD774" i="1" s="1"/>
  <c r="AD775" i="1"/>
  <c r="AP776" i="1"/>
  <c r="AC776" i="1"/>
  <c r="AD776" i="1" s="1"/>
  <c r="AC777" i="1"/>
  <c r="AD777" i="1" s="1"/>
  <c r="AP778" i="1"/>
  <c r="AD778" i="1"/>
  <c r="AC779" i="1"/>
  <c r="AD779" i="1" s="1"/>
  <c r="AP780" i="1"/>
  <c r="AC780" i="1"/>
  <c r="AD780" i="1" s="1"/>
  <c r="AC788" i="1"/>
  <c r="AD788" i="1" s="1"/>
  <c r="AP790" i="1"/>
  <c r="AC790" i="1"/>
  <c r="AD790" i="1" s="1"/>
  <c r="AC791" i="1"/>
  <c r="AD791" i="1" s="1"/>
  <c r="AP792" i="1"/>
  <c r="AD792" i="1"/>
  <c r="AC793" i="1"/>
  <c r="AD793" i="1" s="1"/>
  <c r="AP794" i="1"/>
  <c r="AC794" i="1"/>
  <c r="AD794" i="1" s="1"/>
  <c r="AD795" i="1"/>
  <c r="AP796" i="1"/>
  <c r="AC796" i="1"/>
  <c r="AD796" i="1" s="1"/>
  <c r="AD797" i="1"/>
  <c r="AP798" i="1"/>
  <c r="AC798" i="1"/>
  <c r="AD798" i="1" s="1"/>
  <c r="AC799" i="1"/>
  <c r="AD799" i="1" s="1"/>
  <c r="AP800" i="1"/>
  <c r="AD800" i="1"/>
  <c r="AC801" i="1"/>
  <c r="AD801" i="1" s="1"/>
  <c r="AP802" i="1"/>
  <c r="AC802" i="1"/>
  <c r="AD802" i="1" s="1"/>
  <c r="AD803" i="1"/>
  <c r="AP804" i="1"/>
  <c r="AC804" i="1"/>
  <c r="AD804" i="1" s="1"/>
  <c r="AC805" i="1"/>
  <c r="AD805" i="1" s="1"/>
  <c r="AP806" i="1"/>
  <c r="AD806" i="1"/>
  <c r="AC807" i="1"/>
  <c r="AD807" i="1" s="1"/>
  <c r="AP808" i="1"/>
  <c r="AC808" i="1"/>
  <c r="AD808" i="1" s="1"/>
  <c r="AD809" i="1"/>
  <c r="AP810" i="1"/>
  <c r="AC810" i="1"/>
  <c r="AD810" i="1" s="1"/>
  <c r="AC811" i="1"/>
  <c r="AD811" i="1" s="1"/>
  <c r="AP812" i="1"/>
  <c r="AD812" i="1"/>
  <c r="AC813" i="1"/>
  <c r="AD813" i="1" s="1"/>
  <c r="AP814" i="1"/>
  <c r="AD814" i="1"/>
  <c r="AC815" i="1"/>
  <c r="AD815" i="1" s="1"/>
  <c r="AC816" i="1"/>
  <c r="AD816" i="1" s="1"/>
  <c r="AP817" i="1"/>
  <c r="AD817" i="1"/>
  <c r="AC818" i="1"/>
  <c r="AD818" i="1" s="1"/>
  <c r="AP281" i="1"/>
  <c r="AC281" i="1"/>
  <c r="AP282" i="1"/>
  <c r="AC282" i="1"/>
  <c r="AP283" i="1"/>
  <c r="AC283" i="1"/>
  <c r="AP284" i="1"/>
  <c r="AC284" i="1"/>
  <c r="AP285" i="1"/>
  <c r="AC285" i="1"/>
  <c r="AP286" i="1"/>
  <c r="AP287" i="1"/>
  <c r="AP288" i="1"/>
  <c r="AP289" i="1"/>
  <c r="AP290" i="1"/>
  <c r="AP291" i="1"/>
  <c r="AP292" i="1"/>
  <c r="AP293" i="1"/>
  <c r="AP294" i="1"/>
  <c r="AP295" i="1"/>
  <c r="AP296" i="1"/>
  <c r="AP133" i="1"/>
  <c r="AD133" i="1"/>
  <c r="H153" i="1"/>
  <c r="AB154" i="1"/>
  <c r="AD161" i="1"/>
  <c r="AD173" i="1"/>
  <c r="AD190" i="1"/>
  <c r="AD192" i="1"/>
  <c r="AD193" i="1"/>
  <c r="AD195" i="1"/>
  <c r="AP197" i="1"/>
  <c r="AC219" i="1"/>
  <c r="AD219" i="1" s="1"/>
  <c r="AD220" i="1"/>
  <c r="AD226" i="1"/>
  <c r="AD228" i="1"/>
  <c r="H312" i="1"/>
  <c r="H314" i="1"/>
  <c r="H316" i="1"/>
  <c r="H317" i="1"/>
  <c r="AD318" i="1"/>
  <c r="AD243" i="1"/>
  <c r="AD254" i="1"/>
  <c r="AD256" i="1"/>
  <c r="AP299" i="1"/>
  <c r="AD299" i="1"/>
  <c r="AD300" i="1"/>
  <c r="H313" i="1"/>
  <c r="H315" i="1"/>
  <c r="AE319" i="1"/>
  <c r="AD320" i="1"/>
  <c r="AD322" i="1"/>
  <c r="AD324" i="1"/>
  <c r="AD325" i="1"/>
  <c r="AD348" i="1"/>
  <c r="AD349" i="1"/>
  <c r="AD351" i="1"/>
  <c r="H487" i="1"/>
  <c r="AC489" i="1"/>
  <c r="AD489" i="1" s="1"/>
  <c r="H493" i="1"/>
  <c r="AP494" i="1"/>
  <c r="AC494" i="1"/>
  <c r="AD494" i="1" s="1"/>
  <c r="AD498" i="1"/>
  <c r="H498" i="1"/>
  <c r="AP499" i="1"/>
  <c r="AC499" i="1"/>
  <c r="AD499" i="1" s="1"/>
  <c r="AD503" i="1"/>
  <c r="H565" i="1"/>
  <c r="H566" i="1"/>
  <c r="AC567" i="1"/>
  <c r="AD567" i="1" s="1"/>
  <c r="H568" i="1"/>
  <c r="H569" i="1"/>
  <c r="AP570" i="1"/>
  <c r="AC570" i="1"/>
  <c r="AD570" i="1" s="1"/>
  <c r="AP574" i="1"/>
  <c r="AC574" i="1"/>
  <c r="AD574" i="1" s="1"/>
  <c r="H574" i="1"/>
  <c r="AC575" i="1"/>
  <c r="AB575" i="1"/>
  <c r="AE575" i="1" s="1"/>
  <c r="AP576" i="1"/>
  <c r="AC641" i="1"/>
  <c r="AD641" i="1" s="1"/>
  <c r="H641" i="1"/>
  <c r="AD642" i="1"/>
  <c r="H642" i="1"/>
  <c r="AD645" i="1"/>
  <c r="H645" i="1"/>
  <c r="H646" i="1"/>
  <c r="AD647" i="1"/>
  <c r="AC648" i="1"/>
  <c r="AD648" i="1" s="1"/>
  <c r="AC783" i="1"/>
  <c r="AD783" i="1" s="1"/>
  <c r="AP784" i="1"/>
  <c r="AC785" i="1"/>
  <c r="AD785" i="1" s="1"/>
  <c r="H785" i="1"/>
  <c r="AP786" i="1"/>
  <c r="AC787" i="1"/>
  <c r="AD920" i="1"/>
  <c r="AD923" i="1"/>
  <c r="AD924" i="1"/>
  <c r="AD926" i="1"/>
  <c r="H367" i="1"/>
  <c r="AD368" i="1"/>
  <c r="H369" i="1"/>
  <c r="AC370" i="1"/>
  <c r="AD370" i="1" s="1"/>
  <c r="H371" i="1"/>
  <c r="AC372" i="1"/>
  <c r="AD372" i="1" s="1"/>
  <c r="H373" i="1"/>
  <c r="H383" i="1"/>
  <c r="AC384" i="1"/>
  <c r="AD384" i="1" s="1"/>
  <c r="H384" i="1"/>
  <c r="AD385" i="1"/>
  <c r="H386" i="1"/>
  <c r="AC387" i="1"/>
  <c r="AD387" i="1" s="1"/>
  <c r="H388" i="1"/>
  <c r="AC389" i="1"/>
  <c r="AD389" i="1" s="1"/>
  <c r="H390" i="1"/>
  <c r="AD391" i="1"/>
  <c r="H393" i="1"/>
  <c r="AD394" i="1"/>
  <c r="H394" i="1"/>
  <c r="AC395" i="1"/>
  <c r="AD395" i="1" s="1"/>
  <c r="H403" i="1"/>
  <c r="AC404" i="1"/>
  <c r="AD404" i="1" s="1"/>
  <c r="H405" i="1"/>
  <c r="AP406" i="1"/>
  <c r="AD406" i="1"/>
  <c r="H407" i="1"/>
  <c r="AD408" i="1"/>
  <c r="H409" i="1"/>
  <c r="AC410" i="1"/>
  <c r="AD410" i="1" s="1"/>
  <c r="H412" i="1"/>
  <c r="AC413" i="1"/>
  <c r="AD413" i="1" s="1"/>
  <c r="H414" i="1"/>
  <c r="AC415" i="1"/>
  <c r="AD415" i="1" s="1"/>
  <c r="H419" i="1"/>
  <c r="AP420" i="1"/>
  <c r="AD420" i="1"/>
  <c r="H422" i="1"/>
  <c r="AD423" i="1"/>
  <c r="H427" i="1"/>
  <c r="AP428" i="1"/>
  <c r="AD428" i="1"/>
  <c r="H430" i="1"/>
  <c r="AD431" i="1"/>
  <c r="H432" i="1"/>
  <c r="AD433" i="1"/>
  <c r="H433" i="1"/>
  <c r="AP434" i="1"/>
  <c r="AC434" i="1"/>
  <c r="AD434" i="1" s="1"/>
  <c r="H435" i="1"/>
  <c r="AP436" i="1"/>
  <c r="AD436" i="1"/>
  <c r="H437" i="1"/>
  <c r="AP438" i="1"/>
  <c r="AC438" i="1"/>
  <c r="AD438" i="1" s="1"/>
  <c r="H439" i="1"/>
  <c r="AP440" i="1"/>
  <c r="AC440" i="1"/>
  <c r="AD440" i="1" s="1"/>
  <c r="H441" i="1"/>
  <c r="AP442" i="1"/>
  <c r="AD442" i="1"/>
  <c r="H488" i="1"/>
  <c r="H489" i="1"/>
  <c r="AD490" i="1"/>
  <c r="AD495" i="1"/>
  <c r="AP497" i="1"/>
  <c r="AC497" i="1"/>
  <c r="AD497" i="1" s="1"/>
  <c r="AP501" i="1"/>
  <c r="AD501" i="1"/>
  <c r="AC508" i="1"/>
  <c r="AD508" i="1" s="1"/>
  <c r="H508" i="1"/>
  <c r="AP509" i="1"/>
  <c r="AD509" i="1"/>
  <c r="H509" i="1"/>
  <c r="AP511" i="1"/>
  <c r="AC511" i="1"/>
  <c r="AP568" i="1"/>
  <c r="H575" i="1"/>
  <c r="AD576" i="1"/>
  <c r="H576" i="1"/>
  <c r="H577" i="1"/>
  <c r="AP578" i="1"/>
  <c r="H578" i="1"/>
  <c r="AP580" i="1"/>
  <c r="AC580" i="1"/>
  <c r="AD580" i="1" s="1"/>
  <c r="AD295" i="1"/>
  <c r="AD128" i="1"/>
  <c r="AP129" i="1"/>
  <c r="AD130" i="1"/>
  <c r="AP131" i="1"/>
  <c r="AD131" i="1"/>
  <c r="AD132" i="1"/>
  <c r="H137" i="1"/>
  <c r="AP138" i="1"/>
  <c r="AD138" i="1"/>
  <c r="H138" i="1"/>
  <c r="AD139" i="1"/>
  <c r="H148" i="1"/>
  <c r="AD149" i="1"/>
  <c r="H149" i="1"/>
  <c r="AP150" i="1"/>
  <c r="AD150" i="1"/>
  <c r="H171" i="1"/>
  <c r="AP172" i="1"/>
  <c r="AD172" i="1"/>
  <c r="H176" i="1"/>
  <c r="H188" i="1"/>
  <c r="H189" i="1"/>
  <c r="AP190" i="1"/>
  <c r="H190" i="1"/>
  <c r="H191" i="1"/>
  <c r="AP192" i="1"/>
  <c r="H192" i="1"/>
  <c r="H193" i="1"/>
  <c r="AP194" i="1"/>
  <c r="H194" i="1"/>
  <c r="H200" i="1"/>
  <c r="AC212" i="1"/>
  <c r="AD212" i="1" s="1"/>
  <c r="H214" i="1"/>
  <c r="AC215" i="1"/>
  <c r="AD215" i="1" s="1"/>
  <c r="H221" i="1"/>
  <c r="AC222" i="1"/>
  <c r="AD222" i="1" s="1"/>
  <c r="AC279" i="1"/>
  <c r="AD279" i="1" s="1"/>
  <c r="H279" i="1"/>
  <c r="AC280" i="1"/>
  <c r="AD280" i="1" s="1"/>
  <c r="H347" i="1"/>
  <c r="H349" i="1"/>
  <c r="AP352" i="1"/>
  <c r="AD352" i="1"/>
  <c r="AE150" i="1"/>
  <c r="AD151" i="1"/>
  <c r="AP152" i="1"/>
  <c r="AD152" i="1"/>
  <c r="AD153" i="1"/>
  <c r="AP154" i="1"/>
  <c r="AD155" i="1"/>
  <c r="AP156" i="1"/>
  <c r="AD156" i="1"/>
  <c r="AD157" i="1"/>
  <c r="AP158" i="1"/>
  <c r="AD158" i="1"/>
  <c r="AP159" i="1"/>
  <c r="AD159" i="1"/>
  <c r="AD160" i="1"/>
  <c r="H160" i="1"/>
  <c r="AP161" i="1"/>
  <c r="H172" i="1"/>
  <c r="AD198" i="1"/>
  <c r="H198" i="1"/>
  <c r="AP199" i="1"/>
  <c r="AD199" i="1"/>
  <c r="AC203" i="1"/>
  <c r="AD203" i="1" s="1"/>
  <c r="H213" i="1"/>
  <c r="AD223" i="1"/>
  <c r="AC224" i="1"/>
  <c r="AD224" i="1" s="1"/>
  <c r="H244" i="1"/>
  <c r="AP245" i="1"/>
  <c r="AP249" i="1"/>
  <c r="AC249" i="1"/>
  <c r="AD249" i="1" s="1"/>
  <c r="H249" i="1"/>
  <c r="H250" i="1"/>
  <c r="H251" i="1"/>
  <c r="H255" i="1"/>
  <c r="H319" i="1"/>
  <c r="AB177" i="1"/>
  <c r="AP178" i="1"/>
  <c r="AD178" i="1"/>
  <c r="AD179" i="1"/>
  <c r="AP180" i="1"/>
  <c r="AD180" i="1"/>
  <c r="AD181" i="1"/>
  <c r="AP182" i="1"/>
  <c r="AD182" i="1"/>
  <c r="AD183" i="1"/>
  <c r="AP184" i="1"/>
  <c r="AD184" i="1"/>
  <c r="AD185" i="1"/>
  <c r="AP186" i="1"/>
  <c r="AD186" i="1"/>
  <c r="AD187" i="1"/>
  <c r="AP188" i="1"/>
  <c r="AD188" i="1"/>
  <c r="AD189" i="1"/>
  <c r="AD194" i="1"/>
  <c r="H199" i="1"/>
  <c r="AC200" i="1"/>
  <c r="AD200" i="1" s="1"/>
  <c r="H211" i="1"/>
  <c r="H220" i="1"/>
  <c r="AP221" i="1"/>
  <c r="AC221" i="1"/>
  <c r="AD221" i="1" s="1"/>
  <c r="AP227" i="1"/>
  <c r="AC227" i="1"/>
  <c r="AD227" i="1" s="1"/>
  <c r="H228" i="1"/>
  <c r="H229" i="1"/>
  <c r="AC230" i="1"/>
  <c r="AD230" i="1" s="1"/>
  <c r="AC241" i="1"/>
  <c r="AD241" i="1" s="1"/>
  <c r="H242" i="1"/>
  <c r="AP243" i="1"/>
  <c r="H243" i="1"/>
  <c r="AC244" i="1"/>
  <c r="AD244" i="1" s="1"/>
  <c r="AD245" i="1"/>
  <c r="AC246" i="1"/>
  <c r="AD246" i="1" s="1"/>
  <c r="H246" i="1"/>
  <c r="H247" i="1"/>
  <c r="AD248" i="1"/>
  <c r="AP319" i="1"/>
  <c r="AD319" i="1"/>
  <c r="AP348" i="1"/>
  <c r="AP350" i="1"/>
  <c r="AD350" i="1"/>
  <c r="H350" i="1"/>
  <c r="AC204" i="1"/>
  <c r="AP205" i="1"/>
  <c r="AD205" i="1"/>
  <c r="AC206" i="1"/>
  <c r="AD206" i="1" s="1"/>
  <c r="AP207" i="1"/>
  <c r="AC207" i="1"/>
  <c r="AD207" i="1" s="1"/>
  <c r="AD208" i="1"/>
  <c r="AP209" i="1"/>
  <c r="AC209" i="1"/>
  <c r="AD209" i="1" s="1"/>
  <c r="AC213" i="1"/>
  <c r="AD213" i="1" s="1"/>
  <c r="H219" i="1"/>
  <c r="AP225" i="1"/>
  <c r="AC225" i="1"/>
  <c r="AD225" i="1" s="1"/>
  <c r="H241" i="1"/>
  <c r="AC242" i="1"/>
  <c r="AD242" i="1" s="1"/>
  <c r="H245" i="1"/>
  <c r="AP247" i="1"/>
  <c r="AC247" i="1"/>
  <c r="AD247" i="1" s="1"/>
  <c r="AC257" i="1"/>
  <c r="AD257" i="1" s="1"/>
  <c r="AD278" i="1"/>
  <c r="H278" i="1"/>
  <c r="AP351" i="1"/>
  <c r="AP231" i="1"/>
  <c r="AD231" i="1"/>
  <c r="AC232" i="1"/>
  <c r="AD232" i="1" s="1"/>
  <c r="AP233" i="1"/>
  <c r="AC233" i="1"/>
  <c r="AD233" i="1" s="1"/>
  <c r="AD234" i="1"/>
  <c r="AP235" i="1"/>
  <c r="AC235" i="1"/>
  <c r="AD235" i="1" s="1"/>
  <c r="AC236" i="1"/>
  <c r="AD236" i="1" s="1"/>
  <c r="AP237" i="1"/>
  <c r="AD237" i="1"/>
  <c r="AC238" i="1"/>
  <c r="AD238" i="1" s="1"/>
  <c r="AP239" i="1"/>
  <c r="AC239" i="1"/>
  <c r="AD239" i="1" s="1"/>
  <c r="AD240" i="1"/>
  <c r="AP250" i="1"/>
  <c r="AP251" i="1"/>
  <c r="H256" i="1"/>
  <c r="AP257" i="1"/>
  <c r="AC277" i="1"/>
  <c r="AD277" i="1" s="1"/>
  <c r="H277" i="1"/>
  <c r="H280" i="1"/>
  <c r="AD297" i="1"/>
  <c r="H297" i="1"/>
  <c r="AP298" i="1"/>
  <c r="H298" i="1"/>
  <c r="AP324" i="1"/>
  <c r="AD326" i="1"/>
  <c r="H346" i="1"/>
  <c r="AP347" i="1"/>
  <c r="AP349" i="1"/>
  <c r="H351" i="1"/>
  <c r="H352" i="1"/>
  <c r="AP353" i="1"/>
  <c r="AC353" i="1"/>
  <c r="AD353" i="1" s="1"/>
  <c r="AE257" i="1"/>
  <c r="AC258" i="1"/>
  <c r="AD258" i="1" s="1"/>
  <c r="AP259" i="1"/>
  <c r="AD259" i="1"/>
  <c r="AC260" i="1"/>
  <c r="AD260" i="1" s="1"/>
  <c r="AP261" i="1"/>
  <c r="AC261" i="1"/>
  <c r="AD261" i="1" s="1"/>
  <c r="AD262" i="1"/>
  <c r="AP263" i="1"/>
  <c r="AC263" i="1"/>
  <c r="AD263" i="1" s="1"/>
  <c r="AC264" i="1"/>
  <c r="AD264" i="1" s="1"/>
  <c r="AP265" i="1"/>
  <c r="AC265" i="1"/>
  <c r="AD265" i="1" s="1"/>
  <c r="AP266" i="1"/>
  <c r="AC266" i="1"/>
  <c r="AD266" i="1" s="1"/>
  <c r="AC267" i="1"/>
  <c r="AD267" i="1" s="1"/>
  <c r="AP268" i="1"/>
  <c r="AD268" i="1"/>
  <c r="AC269" i="1"/>
  <c r="AD269" i="1" s="1"/>
  <c r="AP270" i="1"/>
  <c r="AC270" i="1"/>
  <c r="AD270" i="1" s="1"/>
  <c r="AC271" i="1"/>
  <c r="AD271" i="1" s="1"/>
  <c r="AP272" i="1"/>
  <c r="AC272" i="1"/>
  <c r="AD272" i="1" s="1"/>
  <c r="AD273" i="1"/>
  <c r="AP274" i="1"/>
  <c r="AC274" i="1"/>
  <c r="AD274" i="1" s="1"/>
  <c r="AC275" i="1"/>
  <c r="AD275" i="1" s="1"/>
  <c r="AP276" i="1"/>
  <c r="AC276" i="1"/>
  <c r="AD276" i="1" s="1"/>
  <c r="H276" i="1"/>
  <c r="AP300" i="1"/>
  <c r="H318" i="1"/>
  <c r="AP320" i="1"/>
  <c r="AC321" i="1"/>
  <c r="AD321" i="1" s="1"/>
  <c r="H321" i="1"/>
  <c r="AE300" i="1"/>
  <c r="AD301" i="1"/>
  <c r="AP302" i="1"/>
  <c r="AD302" i="1"/>
  <c r="AP303" i="1"/>
  <c r="AD303" i="1"/>
  <c r="AD304" i="1"/>
  <c r="AP305" i="1"/>
  <c r="AD305" i="1"/>
  <c r="AD306" i="1"/>
  <c r="AP307" i="1"/>
  <c r="AP309" i="1"/>
  <c r="AD309" i="1"/>
  <c r="AD310" i="1"/>
  <c r="AP311" i="1"/>
  <c r="AD311" i="1"/>
  <c r="AD312" i="1"/>
  <c r="AD313" i="1"/>
  <c r="AP314" i="1"/>
  <c r="AD314" i="1"/>
  <c r="AD315" i="1"/>
  <c r="AP316" i="1"/>
  <c r="AD316" i="1"/>
  <c r="AD317" i="1"/>
  <c r="H320" i="1"/>
  <c r="AP322" i="1"/>
  <c r="AP327" i="1"/>
  <c r="AD327" i="1"/>
  <c r="AP328" i="1"/>
  <c r="AD328" i="1"/>
  <c r="AP329" i="1"/>
  <c r="AD329" i="1"/>
  <c r="AP330" i="1"/>
  <c r="AD330" i="1"/>
  <c r="AP331" i="1"/>
  <c r="AD331" i="1"/>
  <c r="AP332" i="1"/>
  <c r="AD332" i="1"/>
  <c r="AP333" i="1"/>
  <c r="AD333" i="1"/>
  <c r="AP334" i="1"/>
  <c r="AD334" i="1"/>
  <c r="AP335" i="1"/>
  <c r="AD335" i="1"/>
  <c r="AP336" i="1"/>
  <c r="AD336" i="1"/>
  <c r="AP337" i="1"/>
  <c r="AD337" i="1"/>
  <c r="AP338" i="1"/>
  <c r="AD338" i="1"/>
  <c r="AP339" i="1"/>
  <c r="AD339" i="1"/>
  <c r="AP340" i="1"/>
  <c r="AD340" i="1"/>
  <c r="AP341" i="1"/>
  <c r="AD341" i="1"/>
  <c r="AP342" i="1"/>
  <c r="AD342" i="1"/>
  <c r="AP343" i="1"/>
  <c r="AD343" i="1"/>
  <c r="AP344" i="1"/>
  <c r="AD344" i="1"/>
  <c r="AP345" i="1"/>
  <c r="AD345" i="1"/>
  <c r="AP346" i="1"/>
  <c r="AD346" i="1"/>
  <c r="H348" i="1"/>
  <c r="AP354" i="1"/>
  <c r="AD354" i="1"/>
  <c r="AP355" i="1"/>
  <c r="AD355" i="1"/>
  <c r="AP356" i="1"/>
  <c r="AD356" i="1"/>
  <c r="AP357" i="1"/>
  <c r="AD357" i="1"/>
  <c r="AP358" i="1"/>
  <c r="AD358" i="1"/>
  <c r="AD359" i="1"/>
  <c r="AP360" i="1"/>
  <c r="AD360" i="1"/>
  <c r="AD361" i="1"/>
  <c r="AP362" i="1"/>
  <c r="AD362" i="1"/>
  <c r="AD363" i="1"/>
  <c r="AP364" i="1"/>
  <c r="AD364" i="1"/>
  <c r="AD365" i="1"/>
  <c r="H248" i="1"/>
  <c r="AD298" i="1"/>
  <c r="H322" i="1"/>
  <c r="AD323" i="1"/>
  <c r="H323" i="1"/>
  <c r="H133" i="1"/>
  <c r="H141" i="1"/>
  <c r="AP142" i="1"/>
  <c r="AD142" i="1"/>
  <c r="H142" i="1"/>
  <c r="AD143" i="1"/>
  <c r="H146" i="1"/>
  <c r="H147" i="1"/>
  <c r="AP148" i="1"/>
  <c r="AD148" i="1"/>
  <c r="AP173" i="1"/>
  <c r="H173" i="1"/>
  <c r="AP174" i="1"/>
  <c r="H174" i="1"/>
  <c r="AC175" i="1"/>
  <c r="AD175" i="1" s="1"/>
  <c r="AD191" i="1"/>
  <c r="H201" i="1"/>
  <c r="H202" i="1"/>
  <c r="AP203" i="1"/>
  <c r="H203" i="1"/>
  <c r="H209" i="1"/>
  <c r="H210" i="1"/>
  <c r="AP211" i="1"/>
  <c r="AD211" i="1"/>
  <c r="H217" i="1"/>
  <c r="AC218" i="1"/>
  <c r="AD218" i="1" s="1"/>
  <c r="H218" i="1"/>
  <c r="AP219" i="1"/>
  <c r="H226" i="1"/>
  <c r="H227" i="1"/>
  <c r="AC250" i="1"/>
  <c r="AD250" i="1" s="1"/>
  <c r="H254" i="1"/>
  <c r="AP255" i="1"/>
  <c r="AC255" i="1"/>
  <c r="AD255" i="1" s="1"/>
  <c r="H324" i="1"/>
  <c r="AP325" i="1"/>
  <c r="H325" i="1"/>
  <c r="AP326" i="1"/>
  <c r="H326" i="1"/>
  <c r="AD347" i="1"/>
  <c r="H132" i="1"/>
  <c r="AP134" i="1"/>
  <c r="H134" i="1"/>
  <c r="AD135" i="1"/>
  <c r="H135" i="1"/>
  <c r="AP136" i="1"/>
  <c r="H139" i="1"/>
  <c r="AP140" i="1"/>
  <c r="AD140" i="1"/>
  <c r="H143" i="1"/>
  <c r="AP144" i="1"/>
  <c r="AD144" i="1"/>
  <c r="H161" i="1"/>
  <c r="AD162" i="1"/>
  <c r="H162" i="1"/>
  <c r="AP163" i="1"/>
  <c r="AD163" i="1"/>
  <c r="H166" i="1"/>
  <c r="AP167" i="1"/>
  <c r="AD167" i="1"/>
  <c r="H167" i="1"/>
  <c r="AD168" i="1"/>
  <c r="AD170" i="1"/>
  <c r="AD174" i="1"/>
  <c r="H195" i="1"/>
  <c r="AP196" i="1"/>
  <c r="AC196" i="1"/>
  <c r="AD196" i="1" s="1"/>
  <c r="H196" i="1"/>
  <c r="AC197" i="1"/>
  <c r="AD197" i="1" s="1"/>
  <c r="AP201" i="1"/>
  <c r="AC201" i="1"/>
  <c r="AD201" i="1" s="1"/>
  <c r="AD202" i="1"/>
  <c r="H212" i="1"/>
  <c r="AP213" i="1"/>
  <c r="AD214" i="1"/>
  <c r="AP215" i="1"/>
  <c r="AC216" i="1"/>
  <c r="AD216" i="1" s="1"/>
  <c r="H222" i="1"/>
  <c r="AP223" i="1"/>
  <c r="H223" i="1"/>
  <c r="H224" i="1"/>
  <c r="H225" i="1"/>
  <c r="H136" i="1"/>
  <c r="AD137" i="1"/>
  <c r="H140" i="1"/>
  <c r="AD141" i="1"/>
  <c r="H144" i="1"/>
  <c r="AD145" i="1"/>
  <c r="H145" i="1"/>
  <c r="AP146" i="1"/>
  <c r="AD146" i="1"/>
  <c r="H163" i="1"/>
  <c r="AD164" i="1"/>
  <c r="H164" i="1"/>
  <c r="AP165" i="1"/>
  <c r="AD165" i="1"/>
  <c r="H165" i="1"/>
  <c r="AD166" i="1"/>
  <c r="H168" i="1"/>
  <c r="AP169" i="1"/>
  <c r="AD169" i="1"/>
  <c r="H169" i="1"/>
  <c r="H170" i="1"/>
  <c r="AP171" i="1"/>
  <c r="AD171" i="1"/>
  <c r="H175" i="1"/>
  <c r="AP176" i="1"/>
  <c r="AD176" i="1"/>
  <c r="H197" i="1"/>
  <c r="AC210" i="1"/>
  <c r="AD210" i="1" s="1"/>
  <c r="H215" i="1"/>
  <c r="H216" i="1"/>
  <c r="AP217" i="1"/>
  <c r="AD217" i="1"/>
  <c r="AP229" i="1"/>
  <c r="AC229" i="1"/>
  <c r="AD229" i="1" s="1"/>
  <c r="H240" i="1"/>
  <c r="AP241" i="1"/>
  <c r="AD251" i="1"/>
  <c r="AC252" i="1"/>
  <c r="AD252" i="1" s="1"/>
  <c r="H252" i="1"/>
  <c r="AP253" i="1"/>
  <c r="AC253" i="1"/>
  <c r="AD253" i="1" s="1"/>
  <c r="H253" i="1"/>
  <c r="AP297" i="1"/>
  <c r="H299" i="1"/>
  <c r="AP318" i="1"/>
  <c r="C10" i="5"/>
  <c r="AE9" i="5"/>
  <c r="D9" i="5"/>
  <c r="AC9" i="5" s="1"/>
  <c r="AD9" i="5" s="1"/>
  <c r="B8" i="5"/>
  <c r="AC8" i="5"/>
  <c r="AD8" i="5" s="1"/>
  <c r="U8" i="4"/>
  <c r="AI8" i="4"/>
  <c r="M8" i="4"/>
  <c r="N8" i="4"/>
  <c r="L8" i="4"/>
  <c r="F8" i="4"/>
  <c r="J8" i="4"/>
  <c r="AJ8" i="4"/>
  <c r="W8" i="4"/>
  <c r="V8" i="4"/>
  <c r="T8" i="4"/>
  <c r="K8" i="4"/>
  <c r="AE10" i="5"/>
  <c r="H106" i="1"/>
  <c r="H8" i="1"/>
  <c r="H47" i="1"/>
  <c r="H48" i="1"/>
  <c r="P9" i="5"/>
  <c r="AP59" i="1"/>
  <c r="AP47" i="1"/>
  <c r="AP35" i="1"/>
  <c r="AP23" i="1"/>
  <c r="AP71" i="1"/>
  <c r="AP119" i="1"/>
  <c r="AP83" i="1"/>
  <c r="AP95" i="1"/>
  <c r="AP107" i="1"/>
  <c r="AP24" i="1"/>
  <c r="AP53" i="1"/>
  <c r="AP41" i="1"/>
  <c r="AP29" i="1"/>
  <c r="AP17" i="1"/>
  <c r="AP122" i="1"/>
  <c r="I8" i="5"/>
  <c r="AP124" i="1"/>
  <c r="AP91" i="1"/>
  <c r="AP79" i="1"/>
  <c r="AP67" i="1"/>
  <c r="AP55" i="1"/>
  <c r="AP127" i="1"/>
  <c r="AP43" i="1"/>
  <c r="AP125" i="1"/>
  <c r="AP31" i="1"/>
  <c r="AP19" i="1"/>
  <c r="AP123" i="1"/>
  <c r="AP115" i="1"/>
  <c r="AP112" i="1"/>
  <c r="AP110" i="1"/>
  <c r="AP103" i="1"/>
  <c r="AP126" i="1"/>
  <c r="AP114" i="1"/>
  <c r="AP102" i="1"/>
  <c r="AP90" i="1"/>
  <c r="AP78" i="1"/>
  <c r="AP66" i="1"/>
  <c r="AP54" i="1"/>
  <c r="AP42" i="1"/>
  <c r="AP30" i="1"/>
  <c r="AP18" i="1"/>
  <c r="AP113" i="1"/>
  <c r="AP101" i="1"/>
  <c r="AP89" i="1"/>
  <c r="AP77" i="1"/>
  <c r="AP65" i="1"/>
  <c r="AP100" i="1"/>
  <c r="AP88" i="1"/>
  <c r="AP76" i="1"/>
  <c r="AP64" i="1"/>
  <c r="AP52" i="1"/>
  <c r="AP40" i="1"/>
  <c r="AP28" i="1"/>
  <c r="AP16" i="1"/>
  <c r="AP111" i="1"/>
  <c r="AP99" i="1"/>
  <c r="AP87" i="1"/>
  <c r="AP75" i="1"/>
  <c r="AP63" i="1"/>
  <c r="AP51" i="1"/>
  <c r="AP39" i="1"/>
  <c r="AP27" i="1"/>
  <c r="AP15" i="1"/>
  <c r="AP98" i="1"/>
  <c r="AP86" i="1"/>
  <c r="AP74" i="1"/>
  <c r="AP62" i="1"/>
  <c r="AP50" i="1"/>
  <c r="AP38" i="1"/>
  <c r="AP26" i="1"/>
  <c r="AP14" i="1"/>
  <c r="AP121" i="1"/>
  <c r="AP109" i="1"/>
  <c r="AP97" i="1"/>
  <c r="AP85" i="1"/>
  <c r="AP73" i="1"/>
  <c r="AP61" i="1"/>
  <c r="AP49" i="1"/>
  <c r="AP37" i="1"/>
  <c r="AP25" i="1"/>
  <c r="AP13" i="1"/>
  <c r="AP120" i="1"/>
  <c r="AP108" i="1"/>
  <c r="AP96" i="1"/>
  <c r="AP84" i="1"/>
  <c r="AP72" i="1"/>
  <c r="AP60" i="1"/>
  <c r="AP48" i="1"/>
  <c r="AP36" i="1"/>
  <c r="AP12" i="1"/>
  <c r="AP11" i="1"/>
  <c r="AP118" i="1"/>
  <c r="AP106" i="1"/>
  <c r="AP94" i="1"/>
  <c r="AP82" i="1"/>
  <c r="AP70" i="1"/>
  <c r="AP58" i="1"/>
  <c r="AP46" i="1"/>
  <c r="AP34" i="1"/>
  <c r="AP22" i="1"/>
  <c r="AP10" i="1"/>
  <c r="AP117" i="1"/>
  <c r="AP105" i="1"/>
  <c r="AP93" i="1"/>
  <c r="AP81" i="1"/>
  <c r="AP69" i="1"/>
  <c r="AP57" i="1"/>
  <c r="AP45" i="1"/>
  <c r="AP33" i="1"/>
  <c r="AP21" i="1"/>
  <c r="AP9" i="1"/>
  <c r="AP116" i="1"/>
  <c r="AP104" i="1"/>
  <c r="AP92" i="1"/>
  <c r="AP80" i="1"/>
  <c r="AP68" i="1"/>
  <c r="AP56" i="1"/>
  <c r="AP44" i="1"/>
  <c r="AP32" i="1"/>
  <c r="AP20" i="1"/>
  <c r="AP8" i="1"/>
  <c r="J8" i="5"/>
  <c r="K8" i="5"/>
  <c r="J9" i="5"/>
  <c r="P8" i="5"/>
  <c r="S8" i="4"/>
  <c r="N8" i="5"/>
  <c r="Q8" i="4"/>
  <c r="O8" i="5"/>
  <c r="R8" i="4"/>
  <c r="L8" i="5"/>
  <c r="O8" i="4"/>
  <c r="P8" i="4"/>
  <c r="M8" i="5"/>
  <c r="E8" i="4"/>
  <c r="E8" i="5"/>
  <c r="AB123" i="1"/>
  <c r="AE123" i="1" s="1"/>
  <c r="AB127" i="1"/>
  <c r="AE127" i="1" s="1"/>
  <c r="AB126" i="1"/>
  <c r="AE126" i="1" s="1"/>
  <c r="AB125" i="1"/>
  <c r="AE125" i="1" s="1"/>
  <c r="AB124" i="1"/>
  <c r="AE124" i="1" s="1"/>
  <c r="AB40" i="1"/>
  <c r="AE40" i="1" s="1"/>
  <c r="AB39" i="1"/>
  <c r="AE39" i="1" s="1"/>
  <c r="AB27" i="1"/>
  <c r="AE27" i="1" s="1"/>
  <c r="AB15" i="1"/>
  <c r="AE15" i="1" s="1"/>
  <c r="AB122" i="1"/>
  <c r="AE122" i="1" s="1"/>
  <c r="AB110" i="1"/>
  <c r="AE110" i="1" s="1"/>
  <c r="AB98" i="1"/>
  <c r="AE98" i="1" s="1"/>
  <c r="AB86" i="1"/>
  <c r="AE86" i="1" s="1"/>
  <c r="AB74" i="1"/>
  <c r="AE74" i="1" s="1"/>
  <c r="AB62" i="1"/>
  <c r="AE62" i="1" s="1"/>
  <c r="AB50" i="1"/>
  <c r="AE50" i="1" s="1"/>
  <c r="AB38" i="1"/>
  <c r="AE38" i="1" s="1"/>
  <c r="AB26" i="1"/>
  <c r="AE26" i="1" s="1"/>
  <c r="AB14" i="1"/>
  <c r="AE14" i="1" s="1"/>
  <c r="AC125" i="1"/>
  <c r="AC111" i="1"/>
  <c r="AC75" i="1"/>
  <c r="AC63" i="1"/>
  <c r="AC51" i="1"/>
  <c r="AC39" i="1"/>
  <c r="AC27" i="1"/>
  <c r="AC15" i="1"/>
  <c r="AB103" i="1"/>
  <c r="AE103" i="1" s="1"/>
  <c r="AB114" i="1"/>
  <c r="AE114" i="1" s="1"/>
  <c r="AC19" i="1"/>
  <c r="AC105" i="1"/>
  <c r="AC93" i="1"/>
  <c r="AC69" i="1"/>
  <c r="AC57" i="1"/>
  <c r="AC33" i="1"/>
  <c r="AC21" i="1"/>
  <c r="AC9" i="1"/>
  <c r="AC99" i="1"/>
  <c r="AB64" i="1"/>
  <c r="AC52" i="1"/>
  <c r="AK8" i="5"/>
  <c r="AJ8" i="5"/>
  <c r="AI8" i="5"/>
  <c r="AC64" i="1"/>
  <c r="AK8" i="4"/>
  <c r="AC71" i="1"/>
  <c r="AC89" i="1"/>
  <c r="AC126" i="1"/>
  <c r="AI9" i="5"/>
  <c r="AC77" i="1"/>
  <c r="AJ9" i="5"/>
  <c r="AC109" i="1"/>
  <c r="AB102" i="1"/>
  <c r="AE102" i="1" s="1"/>
  <c r="AC34" i="1"/>
  <c r="AB96" i="1"/>
  <c r="AE96" i="1" s="1"/>
  <c r="AC59" i="1"/>
  <c r="AB21" i="1"/>
  <c r="AE21" i="1" s="1"/>
  <c r="AB46" i="1"/>
  <c r="AE46" i="1" s="1"/>
  <c r="AB71" i="1"/>
  <c r="AE71" i="1" s="1"/>
  <c r="AB121" i="1"/>
  <c r="AE121" i="1" s="1"/>
  <c r="AB116" i="1"/>
  <c r="AE116" i="1" s="1"/>
  <c r="AB22" i="1"/>
  <c r="AE22" i="1" s="1"/>
  <c r="AB47" i="1"/>
  <c r="AE47" i="1" s="1"/>
  <c r="AC53" i="1"/>
  <c r="AC60" i="1"/>
  <c r="AC45" i="1"/>
  <c r="AC46" i="1"/>
  <c r="AC96" i="1"/>
  <c r="AC127" i="1"/>
  <c r="AC121" i="1"/>
  <c r="AC117" i="1"/>
  <c r="AC90" i="1"/>
  <c r="AC16" i="1"/>
  <c r="AC23" i="1"/>
  <c r="AC41" i="1"/>
  <c r="AC48" i="1"/>
  <c r="AC73" i="1"/>
  <c r="AC92" i="1"/>
  <c r="AC98" i="1"/>
  <c r="T8" i="5"/>
  <c r="AC113" i="1"/>
  <c r="C11" i="5"/>
  <c r="D10" i="5"/>
  <c r="AC10" i="5" s="1"/>
  <c r="AD10" i="5" s="1"/>
  <c r="AB66" i="1"/>
  <c r="AE66" i="1" s="1"/>
  <c r="AB28" i="1"/>
  <c r="AE28" i="1" s="1"/>
  <c r="AB77" i="1"/>
  <c r="AE77" i="1" s="1"/>
  <c r="AB85" i="1"/>
  <c r="AB60" i="1"/>
  <c r="AE60" i="1" s="1"/>
  <c r="AB104" i="1"/>
  <c r="AE104" i="1" s="1"/>
  <c r="AB10" i="1"/>
  <c r="AE10" i="1" s="1"/>
  <c r="AB35" i="1"/>
  <c r="AE35" i="1" s="1"/>
  <c r="AB31" i="1"/>
  <c r="AE31" i="1" s="1"/>
  <c r="Q8" i="5"/>
  <c r="H8" i="5"/>
  <c r="S8" i="5"/>
  <c r="F8" i="5"/>
  <c r="R8" i="5"/>
  <c r="G8" i="5"/>
  <c r="R9" i="5"/>
  <c r="G9" i="5"/>
  <c r="AC84" i="1"/>
  <c r="AC85" i="1"/>
  <c r="AC91" i="1"/>
  <c r="AC104" i="1"/>
  <c r="AC102" i="1"/>
  <c r="AC110" i="1"/>
  <c r="AC123" i="1"/>
  <c r="AB78" i="1"/>
  <c r="AE78" i="1" s="1"/>
  <c r="AB97" i="1"/>
  <c r="AE97" i="1" s="1"/>
  <c r="AB113" i="1"/>
  <c r="AC10" i="1"/>
  <c r="AB72" i="1"/>
  <c r="AE72" i="1" s="1"/>
  <c r="AC28" i="1"/>
  <c r="AC35" i="1"/>
  <c r="AC86" i="1"/>
  <c r="AB67" i="1"/>
  <c r="AE67" i="1" s="1"/>
  <c r="AC103" i="1"/>
  <c r="AB54" i="1"/>
  <c r="AE54" i="1" s="1"/>
  <c r="AB16" i="1"/>
  <c r="AE16" i="1" s="1"/>
  <c r="AB48" i="1"/>
  <c r="AB101" i="1"/>
  <c r="AE101" i="1" s="1"/>
  <c r="AC11" i="1"/>
  <c r="AB92" i="1"/>
  <c r="AB117" i="1"/>
  <c r="AE117" i="1" s="1"/>
  <c r="AB23" i="1"/>
  <c r="AE23" i="1" s="1"/>
  <c r="AC29" i="1"/>
  <c r="AC36" i="1"/>
  <c r="AC61" i="1"/>
  <c r="AC80" i="1"/>
  <c r="AC78" i="1"/>
  <c r="AB42" i="1"/>
  <c r="AE42" i="1" s="1"/>
  <c r="AC118" i="1"/>
  <c r="AB36" i="1"/>
  <c r="AE36" i="1" s="1"/>
  <c r="AB29" i="1"/>
  <c r="AE29" i="1" s="1"/>
  <c r="AB65" i="1"/>
  <c r="AE65" i="1" s="1"/>
  <c r="AB73" i="1"/>
  <c r="AE73" i="1" s="1"/>
  <c r="AB111" i="1"/>
  <c r="AB80" i="1"/>
  <c r="AB105" i="1"/>
  <c r="AB11" i="1"/>
  <c r="AE11" i="1" s="1"/>
  <c r="AB61" i="1"/>
  <c r="AE61" i="1" s="1"/>
  <c r="AC17" i="1"/>
  <c r="AC24" i="1"/>
  <c r="AC49" i="1"/>
  <c r="AC87" i="1"/>
  <c r="AC68" i="1"/>
  <c r="AC66" i="1"/>
  <c r="AC74" i="1"/>
  <c r="D9" i="4"/>
  <c r="H9" i="4" s="1"/>
  <c r="C10" i="4"/>
  <c r="AC22" i="1"/>
  <c r="AB84" i="1"/>
  <c r="AC40" i="1"/>
  <c r="AC47" i="1"/>
  <c r="AB9" i="1"/>
  <c r="AB34" i="1"/>
  <c r="AB59" i="1"/>
  <c r="AC65" i="1"/>
  <c r="AC72" i="1"/>
  <c r="AB109" i="1"/>
  <c r="AC97" i="1"/>
  <c r="AC116" i="1"/>
  <c r="AC114" i="1"/>
  <c r="AC115" i="1"/>
  <c r="AC122" i="1"/>
  <c r="AB99" i="1"/>
  <c r="AE99" i="1" s="1"/>
  <c r="AC79" i="1"/>
  <c r="AC88" i="1"/>
  <c r="AB41" i="1"/>
  <c r="AE41" i="1" s="1"/>
  <c r="AB52" i="1"/>
  <c r="AB90" i="1"/>
  <c r="AC56" i="1"/>
  <c r="AC54" i="1"/>
  <c r="AB87" i="1"/>
  <c r="AC62" i="1"/>
  <c r="AC67" i="1"/>
  <c r="AC106" i="1"/>
  <c r="AC124" i="1"/>
  <c r="AC12" i="1"/>
  <c r="AC18" i="1"/>
  <c r="AC37" i="1"/>
  <c r="AC43" i="1"/>
  <c r="AB30" i="1"/>
  <c r="AE30" i="1" s="1"/>
  <c r="AC95" i="1"/>
  <c r="AB24" i="1"/>
  <c r="AE24" i="1" s="1"/>
  <c r="AB91" i="1"/>
  <c r="AC120" i="1"/>
  <c r="AC81" i="1"/>
  <c r="AB68" i="1"/>
  <c r="AB93" i="1"/>
  <c r="AB118" i="1"/>
  <c r="AB49" i="1"/>
  <c r="AC70" i="1"/>
  <c r="AC20" i="1"/>
  <c r="AC26" i="1"/>
  <c r="AC44" i="1"/>
  <c r="AC38" i="1"/>
  <c r="AC42" i="1"/>
  <c r="AB19" i="1"/>
  <c r="AC50" i="1"/>
  <c r="AB18" i="1"/>
  <c r="AB55" i="1"/>
  <c r="AE55" i="1" s="1"/>
  <c r="AC94" i="1"/>
  <c r="AB12" i="1"/>
  <c r="AE12" i="1" s="1"/>
  <c r="AC112" i="1"/>
  <c r="AC119" i="1"/>
  <c r="AB56" i="1"/>
  <c r="AB81" i="1"/>
  <c r="AE81" i="1" s="1"/>
  <c r="AB106" i="1"/>
  <c r="AE106" i="1" s="1"/>
  <c r="AB37" i="1"/>
  <c r="AC25" i="1"/>
  <c r="AB75" i="1"/>
  <c r="AC55" i="1"/>
  <c r="AC58" i="1"/>
  <c r="AB120" i="1"/>
  <c r="AE120" i="1" s="1"/>
  <c r="AC76" i="1"/>
  <c r="AC82" i="1"/>
  <c r="AC83" i="1"/>
  <c r="AB20" i="1"/>
  <c r="AE20" i="1" s="1"/>
  <c r="AB45" i="1"/>
  <c r="AB70" i="1"/>
  <c r="AB95" i="1"/>
  <c r="AE95" i="1" s="1"/>
  <c r="AC100" i="1"/>
  <c r="AC101" i="1"/>
  <c r="AB79" i="1"/>
  <c r="AC107" i="1"/>
  <c r="AC108" i="1"/>
  <c r="AB51" i="1"/>
  <c r="AB88" i="1"/>
  <c r="AC13" i="1"/>
  <c r="AC14" i="1"/>
  <c r="AC32" i="1"/>
  <c r="AC30" i="1"/>
  <c r="AC31" i="1"/>
  <c r="AC8" i="1"/>
  <c r="AB63" i="1"/>
  <c r="AB43" i="1"/>
  <c r="AE43" i="1" s="1"/>
  <c r="AB33" i="1"/>
  <c r="AB58" i="1"/>
  <c r="AE58" i="1" s="1"/>
  <c r="AB83" i="1"/>
  <c r="AE83" i="1" s="1"/>
  <c r="AB32" i="1"/>
  <c r="AE32" i="1" s="1"/>
  <c r="AB57" i="1"/>
  <c r="AB82" i="1"/>
  <c r="AE82" i="1" s="1"/>
  <c r="AB13" i="1"/>
  <c r="AE13" i="1" s="1"/>
  <c r="AB44" i="1"/>
  <c r="AB69" i="1"/>
  <c r="AB94" i="1"/>
  <c r="AE94" i="1" s="1"/>
  <c r="AB25" i="1"/>
  <c r="AE25" i="1" s="1"/>
  <c r="AB76" i="1"/>
  <c r="AE76" i="1" s="1"/>
  <c r="AB17" i="1"/>
  <c r="AB53" i="1"/>
  <c r="AB115" i="1"/>
  <c r="AB119" i="1"/>
  <c r="AE119" i="1" s="1"/>
  <c r="AB89" i="1"/>
  <c r="AB100" i="1"/>
  <c r="AB107" i="1"/>
  <c r="AE107" i="1" s="1"/>
  <c r="AB112" i="1"/>
  <c r="AE112" i="1" s="1"/>
  <c r="AB108" i="1"/>
  <c r="AE108" i="1" s="1"/>
  <c r="AB8" i="1"/>
  <c r="AE8" i="1" s="1"/>
  <c r="AD843" i="1" l="1"/>
  <c r="AD948" i="1"/>
  <c r="AD928" i="1"/>
  <c r="AE512" i="1"/>
  <c r="AD512" i="1"/>
  <c r="AD944" i="1"/>
  <c r="AD965" i="1"/>
  <c r="AD594" i="1"/>
  <c r="AD308" i="1"/>
  <c r="AD917" i="1"/>
  <c r="AD918" i="1"/>
  <c r="AD919" i="1"/>
  <c r="AD997" i="1"/>
  <c r="AD1005" i="1"/>
  <c r="AD999" i="1"/>
  <c r="AD513" i="1"/>
  <c r="AD593" i="1"/>
  <c r="AE972" i="1"/>
  <c r="AD972" i="1"/>
  <c r="AD850" i="1"/>
  <c r="AD982" i="1"/>
  <c r="AD961" i="1"/>
  <c r="AD991" i="1"/>
  <c r="AD994" i="1"/>
  <c r="AD995" i="1"/>
  <c r="AD998" i="1"/>
  <c r="AD288" i="1"/>
  <c r="AD290" i="1"/>
  <c r="AD291" i="1"/>
  <c r="AD292" i="1"/>
  <c r="AD293" i="1"/>
  <c r="AD577" i="1"/>
  <c r="AD281" i="1"/>
  <c r="AD282" i="1"/>
  <c r="AD283" i="1"/>
  <c r="AD284" i="1"/>
  <c r="AD285" i="1"/>
  <c r="AD511" i="1"/>
  <c r="AE129" i="1"/>
  <c r="AD129" i="1"/>
  <c r="AD963" i="1"/>
  <c r="AD964" i="1"/>
  <c r="AD970" i="1"/>
  <c r="AD975" i="1"/>
  <c r="AD988" i="1"/>
  <c r="AD989" i="1"/>
  <c r="AD1004" i="1"/>
  <c r="AD582" i="1"/>
  <c r="AD502" i="1"/>
  <c r="AE307" i="1"/>
  <c r="AD307" i="1"/>
  <c r="AD962" i="1"/>
  <c r="AD651" i="1"/>
  <c r="AD204" i="1"/>
  <c r="AE933" i="1"/>
  <c r="AD933" i="1"/>
  <c r="AD719" i="1"/>
  <c r="AE719" i="1"/>
  <c r="AD374" i="1"/>
  <c r="AE374" i="1"/>
  <c r="AD575" i="1"/>
  <c r="AD787" i="1"/>
  <c r="AE154" i="1"/>
  <c r="AD154" i="1"/>
  <c r="AD177" i="1"/>
  <c r="AE177" i="1"/>
  <c r="G8" i="4"/>
  <c r="I8" i="4" s="1"/>
  <c r="Y8" i="4"/>
  <c r="F9" i="5"/>
  <c r="S9" i="5"/>
  <c r="H9" i="5"/>
  <c r="Q9" i="5"/>
  <c r="T9" i="5"/>
  <c r="V9" i="5" s="1"/>
  <c r="E9" i="5"/>
  <c r="AF9" i="5" s="1"/>
  <c r="AG9" i="5" s="1"/>
  <c r="Y9" i="5" s="1"/>
  <c r="B9" i="5"/>
  <c r="N9" i="5"/>
  <c r="O9" i="5"/>
  <c r="M9" i="5"/>
  <c r="L9" i="5"/>
  <c r="I9" i="5"/>
  <c r="K9" i="5"/>
  <c r="AK9" i="5"/>
  <c r="AL9" i="5" s="1"/>
  <c r="AF8" i="5"/>
  <c r="AG8" i="5" s="1"/>
  <c r="Y8" i="5" s="1"/>
  <c r="AL8" i="4"/>
  <c r="X8" i="4"/>
  <c r="AE11" i="5"/>
  <c r="AD126" i="1"/>
  <c r="P10" i="5"/>
  <c r="O10" i="5"/>
  <c r="N10" i="5"/>
  <c r="M10" i="5"/>
  <c r="L10" i="5"/>
  <c r="K10" i="5"/>
  <c r="J10" i="5"/>
  <c r="I10" i="5"/>
  <c r="J9" i="4"/>
  <c r="L9" i="4"/>
  <c r="S9" i="4"/>
  <c r="R9" i="4"/>
  <c r="Q9" i="4"/>
  <c r="P9" i="4"/>
  <c r="O9" i="4"/>
  <c r="N9" i="4"/>
  <c r="M9" i="4"/>
  <c r="AK10" i="5"/>
  <c r="B10" i="5"/>
  <c r="AD124" i="1"/>
  <c r="AD123" i="1"/>
  <c r="AD127" i="1"/>
  <c r="AD125" i="1"/>
  <c r="AD27" i="1"/>
  <c r="AD15" i="1"/>
  <c r="AD40" i="1"/>
  <c r="AD39" i="1"/>
  <c r="AD86" i="1"/>
  <c r="AD50" i="1"/>
  <c r="AD38" i="1"/>
  <c r="AD14" i="1"/>
  <c r="AD110" i="1"/>
  <c r="AD26" i="1"/>
  <c r="AD98" i="1"/>
  <c r="AD74" i="1"/>
  <c r="AD122" i="1"/>
  <c r="AD62" i="1"/>
  <c r="AD102" i="1"/>
  <c r="AD103" i="1"/>
  <c r="AD114" i="1"/>
  <c r="AD111" i="1"/>
  <c r="AD105" i="1"/>
  <c r="AD51" i="1"/>
  <c r="AD63" i="1"/>
  <c r="AD75" i="1"/>
  <c r="AD33" i="1"/>
  <c r="AD69" i="1"/>
  <c r="AD9" i="1"/>
  <c r="AD34" i="1"/>
  <c r="AD52" i="1"/>
  <c r="AD93" i="1"/>
  <c r="AD19" i="1"/>
  <c r="AD57" i="1"/>
  <c r="AL8" i="5"/>
  <c r="AD66" i="1"/>
  <c r="AD89" i="1"/>
  <c r="AD77" i="1"/>
  <c r="AD64" i="1"/>
  <c r="AE64" i="1"/>
  <c r="AD22" i="1"/>
  <c r="AD116" i="1"/>
  <c r="AD71" i="1"/>
  <c r="AD46" i="1"/>
  <c r="AD109" i="1"/>
  <c r="AD53" i="1"/>
  <c r="AJ9" i="4"/>
  <c r="AI9" i="4"/>
  <c r="AK9" i="4"/>
  <c r="AD59" i="1"/>
  <c r="AD96" i="1"/>
  <c r="AD45" i="1"/>
  <c r="AD21" i="1"/>
  <c r="AD121" i="1"/>
  <c r="AD28" i="1"/>
  <c r="AJ10" i="5"/>
  <c r="AI10" i="5"/>
  <c r="AD47" i="1"/>
  <c r="AD85" i="1"/>
  <c r="AE85" i="1"/>
  <c r="AD23" i="1"/>
  <c r="AD48" i="1"/>
  <c r="AD60" i="1"/>
  <c r="AD90" i="1"/>
  <c r="AD91" i="1"/>
  <c r="AD92" i="1"/>
  <c r="AD10" i="1"/>
  <c r="AD84" i="1"/>
  <c r="AD104" i="1"/>
  <c r="AD35" i="1"/>
  <c r="AD113" i="1"/>
  <c r="C12" i="5"/>
  <c r="D11" i="5"/>
  <c r="AC11" i="5" s="1"/>
  <c r="AD11" i="5" s="1"/>
  <c r="AE48" i="1"/>
  <c r="AD31" i="1"/>
  <c r="AE113" i="1"/>
  <c r="AE84" i="1"/>
  <c r="V8" i="5"/>
  <c r="AD41" i="1"/>
  <c r="U8" i="5"/>
  <c r="AB8" i="5" s="1"/>
  <c r="AH8" i="5" s="1"/>
  <c r="AD72" i="1"/>
  <c r="F10" i="5"/>
  <c r="E10" i="5"/>
  <c r="AF10" i="5" s="1"/>
  <c r="AG10" i="5" s="1"/>
  <c r="Y10" i="5" s="1"/>
  <c r="H10" i="5"/>
  <c r="Q10" i="5"/>
  <c r="T10" i="5"/>
  <c r="R10" i="5"/>
  <c r="G10" i="5"/>
  <c r="S10" i="5"/>
  <c r="AD67" i="1"/>
  <c r="AD68" i="1"/>
  <c r="AD54" i="1"/>
  <c r="AD65" i="1"/>
  <c r="AD16" i="1"/>
  <c r="AD78" i="1"/>
  <c r="AD87" i="1"/>
  <c r="AD42" i="1"/>
  <c r="AD36" i="1"/>
  <c r="AD101" i="1"/>
  <c r="AD80" i="1"/>
  <c r="AD29" i="1"/>
  <c r="AD49" i="1"/>
  <c r="B9" i="4"/>
  <c r="E9" i="4"/>
  <c r="W9" i="4"/>
  <c r="K9" i="4"/>
  <c r="U9" i="4"/>
  <c r="T9" i="4"/>
  <c r="V9" i="4"/>
  <c r="F9" i="4"/>
  <c r="AE105" i="1"/>
  <c r="AD97" i="1"/>
  <c r="AD99" i="1"/>
  <c r="AE52" i="1"/>
  <c r="AE109" i="1"/>
  <c r="AD117" i="1"/>
  <c r="AE111" i="1"/>
  <c r="AE92" i="1"/>
  <c r="AE90" i="1"/>
  <c r="AD115" i="1"/>
  <c r="AE80" i="1"/>
  <c r="C11" i="4"/>
  <c r="D10" i="4"/>
  <c r="H10" i="4" s="1"/>
  <c r="AD61" i="1"/>
  <c r="AD17" i="1"/>
  <c r="AD11" i="1"/>
  <c r="AD73" i="1"/>
  <c r="AD88" i="1"/>
  <c r="AE34" i="1"/>
  <c r="AE9" i="1"/>
  <c r="AE63" i="1"/>
  <c r="AD43" i="1"/>
  <c r="AE59" i="1"/>
  <c r="AD24" i="1"/>
  <c r="AD76" i="1"/>
  <c r="AD18" i="1"/>
  <c r="AE115" i="1"/>
  <c r="AE19" i="1"/>
  <c r="AD79" i="1"/>
  <c r="AD32" i="1"/>
  <c r="AE53" i="1"/>
  <c r="AE70" i="1"/>
  <c r="AD108" i="1"/>
  <c r="AD94" i="1"/>
  <c r="AD118" i="1"/>
  <c r="AE37" i="1"/>
  <c r="AD56" i="1"/>
  <c r="AE100" i="1"/>
  <c r="AE44" i="1"/>
  <c r="AE118" i="1"/>
  <c r="AE87" i="1"/>
  <c r="AD106" i="1"/>
  <c r="AE57" i="1"/>
  <c r="AE33" i="1"/>
  <c r="AE56" i="1"/>
  <c r="AE45" i="1"/>
  <c r="AE17" i="1"/>
  <c r="AE51" i="1"/>
  <c r="AE89" i="1"/>
  <c r="AE79" i="1"/>
  <c r="AE93" i="1"/>
  <c r="AE88" i="1"/>
  <c r="AE75" i="1"/>
  <c r="AE68" i="1"/>
  <c r="AE18" i="1"/>
  <c r="AD37" i="1"/>
  <c r="AE49" i="1"/>
  <c r="AE69" i="1"/>
  <c r="AE91" i="1"/>
  <c r="AD12" i="1"/>
  <c r="AD20" i="1"/>
  <c r="AD107" i="1"/>
  <c r="AD8" i="1"/>
  <c r="AD100" i="1"/>
  <c r="AD81" i="1"/>
  <c r="AD95" i="1"/>
  <c r="AD58" i="1"/>
  <c r="AD55" i="1"/>
  <c r="AD25" i="1"/>
  <c r="AD30" i="1"/>
  <c r="AD44" i="1"/>
  <c r="AD70" i="1"/>
  <c r="AD13" i="1"/>
  <c r="AD83" i="1"/>
  <c r="AD119" i="1"/>
  <c r="AD82" i="1"/>
  <c r="AD112" i="1"/>
  <c r="AD120" i="1"/>
  <c r="U9" i="5" l="1"/>
  <c r="AA8" i="4"/>
  <c r="Z8" i="4"/>
  <c r="AE12" i="5"/>
  <c r="X9" i="5"/>
  <c r="X8" i="5"/>
  <c r="G9" i="4"/>
  <c r="I9" i="4" s="1"/>
  <c r="AL10" i="5"/>
  <c r="B11" i="5"/>
  <c r="P11" i="5"/>
  <c r="O11" i="5"/>
  <c r="N11" i="5"/>
  <c r="M11" i="5"/>
  <c r="L11" i="5"/>
  <c r="K11" i="5"/>
  <c r="J11" i="5"/>
  <c r="I11" i="5"/>
  <c r="AJ10" i="4"/>
  <c r="L10" i="4"/>
  <c r="S10" i="4"/>
  <c r="R10" i="4"/>
  <c r="Q10" i="4"/>
  <c r="P10" i="4"/>
  <c r="O10" i="4"/>
  <c r="N10" i="4"/>
  <c r="M10" i="4"/>
  <c r="AK10" i="4"/>
  <c r="AL9" i="4"/>
  <c r="AI10" i="4"/>
  <c r="AK11" i="5"/>
  <c r="AJ11" i="5"/>
  <c r="AI11" i="5"/>
  <c r="V10" i="5"/>
  <c r="C13" i="5"/>
  <c r="D12" i="5"/>
  <c r="AC12" i="5" s="1"/>
  <c r="AD12" i="5" s="1"/>
  <c r="Y9" i="4"/>
  <c r="W8" i="5"/>
  <c r="T11" i="5"/>
  <c r="E11" i="5"/>
  <c r="AF11" i="5" s="1"/>
  <c r="AG11" i="5" s="1"/>
  <c r="Y11" i="5" s="1"/>
  <c r="R11" i="5"/>
  <c r="S11" i="5"/>
  <c r="F11" i="5"/>
  <c r="G11" i="5"/>
  <c r="Q11" i="5"/>
  <c r="U10" i="5"/>
  <c r="AB10" i="5" s="1"/>
  <c r="AH10" i="5" s="1"/>
  <c r="H11" i="5"/>
  <c r="X9" i="4"/>
  <c r="AA9" i="4" s="1"/>
  <c r="B10" i="4"/>
  <c r="W10" i="4"/>
  <c r="F10" i="4"/>
  <c r="K10" i="4"/>
  <c r="J10" i="4"/>
  <c r="V10" i="4"/>
  <c r="T10" i="4"/>
  <c r="U10" i="4"/>
  <c r="E10" i="4"/>
  <c r="C12" i="4"/>
  <c r="D11" i="4"/>
  <c r="H11" i="4" s="1"/>
  <c r="AB9" i="5" l="1"/>
  <c r="AH9" i="5" s="1"/>
  <c r="W9" i="5"/>
  <c r="AE13" i="5"/>
  <c r="X10" i="5"/>
  <c r="G10" i="4"/>
  <c r="I10" i="4" s="1"/>
  <c r="AK12" i="5"/>
  <c r="P12" i="5"/>
  <c r="O12" i="5"/>
  <c r="N12" i="5"/>
  <c r="M12" i="5"/>
  <c r="L12" i="5"/>
  <c r="K12" i="5"/>
  <c r="J12" i="5"/>
  <c r="I12" i="5"/>
  <c r="B11" i="4"/>
  <c r="S11" i="4"/>
  <c r="R11" i="4"/>
  <c r="Q11" i="4"/>
  <c r="P11" i="4"/>
  <c r="O11" i="4"/>
  <c r="N11" i="4"/>
  <c r="M11" i="4"/>
  <c r="L11" i="4"/>
  <c r="AL10" i="4"/>
  <c r="AI11" i="4"/>
  <c r="AK11" i="4"/>
  <c r="AL11" i="5"/>
  <c r="AJ11" i="4"/>
  <c r="B12" i="5"/>
  <c r="AJ12" i="5"/>
  <c r="AI12" i="5"/>
  <c r="S12" i="5"/>
  <c r="G12" i="5"/>
  <c r="T11" i="4"/>
  <c r="E11" i="4"/>
  <c r="T12" i="5"/>
  <c r="C14" i="5"/>
  <c r="D13" i="5"/>
  <c r="AC13" i="5" s="1"/>
  <c r="AD13" i="5" s="1"/>
  <c r="W10" i="5"/>
  <c r="U11" i="5"/>
  <c r="AB11" i="5" s="1"/>
  <c r="AH11" i="5" s="1"/>
  <c r="V11" i="5"/>
  <c r="H12" i="5"/>
  <c r="Y10" i="4"/>
  <c r="E12" i="5"/>
  <c r="AF12" i="5" s="1"/>
  <c r="AG12" i="5" s="1"/>
  <c r="Y12" i="5" s="1"/>
  <c r="R12" i="5"/>
  <c r="Q12" i="5"/>
  <c r="Z9" i="4"/>
  <c r="F12" i="5"/>
  <c r="X10" i="4"/>
  <c r="AA10" i="4" s="1"/>
  <c r="F11" i="4"/>
  <c r="U11" i="4"/>
  <c r="V11" i="4"/>
  <c r="W11" i="4"/>
  <c r="J11" i="4"/>
  <c r="K11" i="4"/>
  <c r="C13" i="4"/>
  <c r="D12" i="4"/>
  <c r="H12" i="4" s="1"/>
  <c r="AE14" i="5" l="1"/>
  <c r="G11" i="4"/>
  <c r="I11" i="4" s="1"/>
  <c r="AL12" i="5"/>
  <c r="AK13" i="5"/>
  <c r="P13" i="5"/>
  <c r="O13" i="5"/>
  <c r="N13" i="5"/>
  <c r="M13" i="5"/>
  <c r="L13" i="5"/>
  <c r="K13" i="5"/>
  <c r="J13" i="5"/>
  <c r="I13" i="5"/>
  <c r="B12" i="4"/>
  <c r="S12" i="4"/>
  <c r="R12" i="4"/>
  <c r="Q12" i="4"/>
  <c r="P12" i="4"/>
  <c r="O12" i="4"/>
  <c r="N12" i="4"/>
  <c r="M12" i="4"/>
  <c r="L12" i="4"/>
  <c r="AL11" i="4"/>
  <c r="U12" i="5"/>
  <c r="AB12" i="5" s="1"/>
  <c r="AH12" i="5" s="1"/>
  <c r="AI12" i="4"/>
  <c r="AJ12" i="4"/>
  <c r="AK12" i="4"/>
  <c r="AJ13" i="5"/>
  <c r="AI13" i="5"/>
  <c r="X11" i="4"/>
  <c r="AA11" i="4" s="1"/>
  <c r="V12" i="5"/>
  <c r="B13" i="5"/>
  <c r="C15" i="5"/>
  <c r="D14" i="5"/>
  <c r="AC14" i="5" s="1"/>
  <c r="AD14" i="5" s="1"/>
  <c r="W11" i="5"/>
  <c r="X11" i="5"/>
  <c r="J12" i="4"/>
  <c r="Z10" i="4"/>
  <c r="S13" i="5"/>
  <c r="E13" i="5"/>
  <c r="AF13" i="5" s="1"/>
  <c r="AG13" i="5" s="1"/>
  <c r="Y13" i="5" s="1"/>
  <c r="R13" i="5"/>
  <c r="F13" i="5"/>
  <c r="G13" i="5"/>
  <c r="Q13" i="5"/>
  <c r="H13" i="5"/>
  <c r="T13" i="5"/>
  <c r="T12" i="4"/>
  <c r="F12" i="4"/>
  <c r="U12" i="4"/>
  <c r="K12" i="4"/>
  <c r="V12" i="4"/>
  <c r="W12" i="4"/>
  <c r="E12" i="4"/>
  <c r="Y11" i="4"/>
  <c r="C14" i="4"/>
  <c r="D13" i="4"/>
  <c r="H13" i="4" s="1"/>
  <c r="AE15" i="5" l="1"/>
  <c r="X12" i="5"/>
  <c r="G12" i="4"/>
  <c r="I12" i="4" s="1"/>
  <c r="AL13" i="5"/>
  <c r="AK14" i="5"/>
  <c r="P14" i="5"/>
  <c r="O14" i="5"/>
  <c r="N14" i="5"/>
  <c r="M14" i="5"/>
  <c r="L14" i="5"/>
  <c r="K14" i="5"/>
  <c r="J14" i="5"/>
  <c r="I14" i="5"/>
  <c r="B13" i="4"/>
  <c r="S13" i="4"/>
  <c r="R13" i="4"/>
  <c r="Q13" i="4"/>
  <c r="P13" i="4"/>
  <c r="O13" i="4"/>
  <c r="N13" i="4"/>
  <c r="M13" i="4"/>
  <c r="L13" i="4"/>
  <c r="W12" i="5"/>
  <c r="AL12" i="4"/>
  <c r="AI13" i="4"/>
  <c r="AJ13" i="4"/>
  <c r="Z11" i="4"/>
  <c r="AK13" i="4"/>
  <c r="AJ14" i="5"/>
  <c r="AI14" i="5"/>
  <c r="B14" i="5"/>
  <c r="C16" i="5"/>
  <c r="D15" i="5"/>
  <c r="AC15" i="5" s="1"/>
  <c r="AD15" i="5" s="1"/>
  <c r="U13" i="5"/>
  <c r="AB13" i="5" s="1"/>
  <c r="AH13" i="5" s="1"/>
  <c r="V13" i="5"/>
  <c r="H14" i="5"/>
  <c r="R14" i="5"/>
  <c r="E14" i="5"/>
  <c r="AF14" i="5" s="1"/>
  <c r="AG14" i="5" s="1"/>
  <c r="Y14" i="5" s="1"/>
  <c r="G14" i="5"/>
  <c r="F14" i="5"/>
  <c r="T14" i="5"/>
  <c r="Q14" i="5"/>
  <c r="S14" i="5"/>
  <c r="V13" i="4"/>
  <c r="Y12" i="4"/>
  <c r="J13" i="4"/>
  <c r="T13" i="4"/>
  <c r="F13" i="4"/>
  <c r="W13" i="4"/>
  <c r="U13" i="4"/>
  <c r="K13" i="4"/>
  <c r="E13" i="4"/>
  <c r="X12" i="4"/>
  <c r="AA12" i="4" s="1"/>
  <c r="C15" i="4"/>
  <c r="D14" i="4"/>
  <c r="H14" i="4" s="1"/>
  <c r="AE16" i="5" l="1"/>
  <c r="G13" i="4"/>
  <c r="I13" i="4" s="1"/>
  <c r="X13" i="5"/>
  <c r="AL14" i="5"/>
  <c r="P15" i="5"/>
  <c r="O15" i="5"/>
  <c r="N15" i="5"/>
  <c r="M15" i="5"/>
  <c r="L15" i="5"/>
  <c r="K15" i="5"/>
  <c r="J15" i="5"/>
  <c r="I15" i="5"/>
  <c r="B14" i="4"/>
  <c r="S14" i="4"/>
  <c r="R14" i="4"/>
  <c r="Q14" i="4"/>
  <c r="P14" i="4"/>
  <c r="O14" i="4"/>
  <c r="N14" i="4"/>
  <c r="M14" i="4"/>
  <c r="L14" i="4"/>
  <c r="AK15" i="5"/>
  <c r="B15" i="5"/>
  <c r="AL13" i="4"/>
  <c r="AI14" i="4"/>
  <c r="AJ14" i="4"/>
  <c r="AK14" i="4"/>
  <c r="AJ15" i="5"/>
  <c r="AI15" i="5"/>
  <c r="W13" i="5"/>
  <c r="C17" i="5"/>
  <c r="D16" i="5"/>
  <c r="AC16" i="5" s="1"/>
  <c r="AD16" i="5" s="1"/>
  <c r="Z12" i="4"/>
  <c r="S15" i="5"/>
  <c r="Q15" i="5"/>
  <c r="R15" i="5"/>
  <c r="V14" i="5"/>
  <c r="W14" i="4"/>
  <c r="F15" i="5"/>
  <c r="U14" i="5"/>
  <c r="AB14" i="5" s="1"/>
  <c r="AH14" i="5" s="1"/>
  <c r="H15" i="5"/>
  <c r="Y13" i="4"/>
  <c r="T15" i="5"/>
  <c r="E15" i="5"/>
  <c r="AF15" i="5" s="1"/>
  <c r="AG15" i="5" s="1"/>
  <c r="Y15" i="5" s="1"/>
  <c r="G15" i="5"/>
  <c r="U14" i="4"/>
  <c r="K14" i="4"/>
  <c r="V14" i="4"/>
  <c r="E14" i="4"/>
  <c r="X13" i="4"/>
  <c r="AA13" i="4" s="1"/>
  <c r="F14" i="4"/>
  <c r="T14" i="4"/>
  <c r="J14" i="4"/>
  <c r="C16" i="4"/>
  <c r="D15" i="4"/>
  <c r="H15" i="4" s="1"/>
  <c r="AE17" i="5" l="1"/>
  <c r="G14" i="4"/>
  <c r="I14" i="4" s="1"/>
  <c r="P16" i="5"/>
  <c r="O16" i="5"/>
  <c r="N16" i="5"/>
  <c r="M16" i="5"/>
  <c r="L16" i="5"/>
  <c r="K16" i="5"/>
  <c r="J16" i="5"/>
  <c r="I16" i="5"/>
  <c r="B15" i="4"/>
  <c r="S15" i="4"/>
  <c r="R15" i="4"/>
  <c r="Q15" i="4"/>
  <c r="P15" i="4"/>
  <c r="O15" i="4"/>
  <c r="N15" i="4"/>
  <c r="M15" i="4"/>
  <c r="L15" i="4"/>
  <c r="AL15" i="5"/>
  <c r="AK16" i="5"/>
  <c r="G16" i="5"/>
  <c r="F16" i="5"/>
  <c r="AL14" i="4"/>
  <c r="AK15" i="4"/>
  <c r="AJ15" i="4"/>
  <c r="AI15" i="4"/>
  <c r="AJ16" i="5"/>
  <c r="AI16" i="5"/>
  <c r="U15" i="5"/>
  <c r="AB15" i="5" s="1"/>
  <c r="AH15" i="5" s="1"/>
  <c r="B16" i="5"/>
  <c r="W14" i="5"/>
  <c r="V15" i="5"/>
  <c r="C18" i="5"/>
  <c r="D17" i="5"/>
  <c r="AC17" i="5" s="1"/>
  <c r="AD17" i="5" s="1"/>
  <c r="Y14" i="4"/>
  <c r="X14" i="5"/>
  <c r="Q16" i="5"/>
  <c r="Z13" i="4"/>
  <c r="S16" i="5"/>
  <c r="X14" i="4"/>
  <c r="R16" i="5"/>
  <c r="V15" i="4"/>
  <c r="H16" i="5"/>
  <c r="T16" i="5"/>
  <c r="E16" i="5"/>
  <c r="AF16" i="5" s="1"/>
  <c r="AG16" i="5" s="1"/>
  <c r="Y16" i="5" s="1"/>
  <c r="U15" i="4"/>
  <c r="E15" i="4"/>
  <c r="F15" i="4"/>
  <c r="W15" i="4"/>
  <c r="T15" i="4"/>
  <c r="J15" i="4"/>
  <c r="K15" i="4"/>
  <c r="C17" i="4"/>
  <c r="D16" i="4"/>
  <c r="H16" i="4" s="1"/>
  <c r="AE18" i="5" l="1"/>
  <c r="X15" i="5"/>
  <c r="G15" i="4"/>
  <c r="I15" i="4" s="1"/>
  <c r="AL16" i="5"/>
  <c r="AK17" i="5"/>
  <c r="P17" i="5"/>
  <c r="O17" i="5"/>
  <c r="N17" i="5"/>
  <c r="M17" i="5"/>
  <c r="L17" i="5"/>
  <c r="K17" i="5"/>
  <c r="J17" i="5"/>
  <c r="I17" i="5"/>
  <c r="B16" i="4"/>
  <c r="S16" i="4"/>
  <c r="R16" i="4"/>
  <c r="Q16" i="4"/>
  <c r="P16" i="4"/>
  <c r="O16" i="4"/>
  <c r="N16" i="4"/>
  <c r="M16" i="4"/>
  <c r="L16" i="4"/>
  <c r="W15" i="5"/>
  <c r="AL15" i="4"/>
  <c r="AJ16" i="4"/>
  <c r="AI16" i="4"/>
  <c r="AK16" i="4"/>
  <c r="W16" i="4"/>
  <c r="AJ17" i="5"/>
  <c r="AI17" i="5"/>
  <c r="B17" i="5"/>
  <c r="Z14" i="4"/>
  <c r="U16" i="5"/>
  <c r="AB16" i="5" s="1"/>
  <c r="AH16" i="5" s="1"/>
  <c r="C19" i="5"/>
  <c r="D18" i="5"/>
  <c r="AC18" i="5" s="1"/>
  <c r="AD18" i="5" s="1"/>
  <c r="X15" i="4"/>
  <c r="AA15" i="4" s="1"/>
  <c r="E17" i="5"/>
  <c r="AF17" i="5" s="1"/>
  <c r="AG17" i="5" s="1"/>
  <c r="Y17" i="5" s="1"/>
  <c r="Q17" i="5"/>
  <c r="H17" i="5"/>
  <c r="F17" i="5"/>
  <c r="G17" i="5"/>
  <c r="V16" i="5"/>
  <c r="AA14" i="4"/>
  <c r="R17" i="5"/>
  <c r="S17" i="5"/>
  <c r="T17" i="5"/>
  <c r="Y15" i="4"/>
  <c r="F16" i="4"/>
  <c r="V16" i="4"/>
  <c r="T16" i="4"/>
  <c r="U16" i="4"/>
  <c r="K16" i="4"/>
  <c r="J16" i="4"/>
  <c r="E16" i="4"/>
  <c r="C18" i="4"/>
  <c r="D17" i="4"/>
  <c r="H17" i="4" s="1"/>
  <c r="AE19" i="5" l="1"/>
  <c r="X16" i="5"/>
  <c r="G16" i="4"/>
  <c r="I16" i="4" s="1"/>
  <c r="AL17" i="5"/>
  <c r="AK18" i="5"/>
  <c r="P18" i="5"/>
  <c r="O18" i="5"/>
  <c r="N18" i="5"/>
  <c r="M18" i="5"/>
  <c r="L18" i="5"/>
  <c r="K18" i="5"/>
  <c r="J18" i="5"/>
  <c r="I18" i="5"/>
  <c r="B17" i="4"/>
  <c r="S17" i="4"/>
  <c r="R17" i="4"/>
  <c r="Q17" i="4"/>
  <c r="P17" i="4"/>
  <c r="O17" i="4"/>
  <c r="N17" i="4"/>
  <c r="M17" i="4"/>
  <c r="L17" i="4"/>
  <c r="AL16" i="4"/>
  <c r="AJ17" i="4"/>
  <c r="AI17" i="4"/>
  <c r="AK17" i="4"/>
  <c r="Y16" i="4"/>
  <c r="AJ18" i="5"/>
  <c r="AI18" i="5"/>
  <c r="W16" i="5"/>
  <c r="Z15" i="4"/>
  <c r="B18" i="5"/>
  <c r="U17" i="5"/>
  <c r="AB17" i="5" s="1"/>
  <c r="AH17" i="5" s="1"/>
  <c r="C20" i="5"/>
  <c r="D19" i="5"/>
  <c r="AC19" i="5" s="1"/>
  <c r="AD19" i="5" s="1"/>
  <c r="Q18" i="5"/>
  <c r="R18" i="5"/>
  <c r="S18" i="5"/>
  <c r="V17" i="5"/>
  <c r="W17" i="4"/>
  <c r="F18" i="5"/>
  <c r="E18" i="5"/>
  <c r="AF18" i="5" s="1"/>
  <c r="AG18" i="5" s="1"/>
  <c r="Y18" i="5" s="1"/>
  <c r="G18" i="5"/>
  <c r="H18" i="5"/>
  <c r="T18" i="5"/>
  <c r="X16" i="4"/>
  <c r="AA16" i="4" s="1"/>
  <c r="E17" i="4"/>
  <c r="K17" i="4"/>
  <c r="T17" i="4"/>
  <c r="F17" i="4"/>
  <c r="J17" i="4"/>
  <c r="U17" i="4"/>
  <c r="V17" i="4"/>
  <c r="C19" i="4"/>
  <c r="D18" i="4"/>
  <c r="H18" i="4" s="1"/>
  <c r="AE20" i="5" l="1"/>
  <c r="X17" i="5"/>
  <c r="G17" i="4"/>
  <c r="I17" i="4" s="1"/>
  <c r="AL18" i="5"/>
  <c r="AK19" i="5"/>
  <c r="P19" i="5"/>
  <c r="O19" i="5"/>
  <c r="N19" i="5"/>
  <c r="M19" i="5"/>
  <c r="L19" i="5"/>
  <c r="K19" i="5"/>
  <c r="J19" i="5"/>
  <c r="I19" i="5"/>
  <c r="B18" i="4"/>
  <c r="S18" i="4"/>
  <c r="R18" i="4"/>
  <c r="Q18" i="4"/>
  <c r="P18" i="4"/>
  <c r="O18" i="4"/>
  <c r="N18" i="4"/>
  <c r="M18" i="4"/>
  <c r="L18" i="4"/>
  <c r="AL17" i="4"/>
  <c r="AK18" i="4"/>
  <c r="AJ18" i="4"/>
  <c r="AI18" i="4"/>
  <c r="U18" i="4"/>
  <c r="W17" i="5"/>
  <c r="AI19" i="5"/>
  <c r="AJ19" i="5"/>
  <c r="B19" i="5"/>
  <c r="C21" i="5"/>
  <c r="D20" i="5"/>
  <c r="AC20" i="5" s="1"/>
  <c r="AD20" i="5" s="1"/>
  <c r="V18" i="5"/>
  <c r="G19" i="5"/>
  <c r="T19" i="5"/>
  <c r="Y17" i="4"/>
  <c r="R19" i="5"/>
  <c r="Z16" i="4"/>
  <c r="F19" i="5"/>
  <c r="U18" i="5"/>
  <c r="AB18" i="5" s="1"/>
  <c r="AH18" i="5" s="1"/>
  <c r="E19" i="5"/>
  <c r="AF19" i="5" s="1"/>
  <c r="AG19" i="5" s="1"/>
  <c r="Y19" i="5" s="1"/>
  <c r="S19" i="5"/>
  <c r="H19" i="5"/>
  <c r="Q19" i="5"/>
  <c r="X17" i="4"/>
  <c r="AA17" i="4" s="1"/>
  <c r="F18" i="4"/>
  <c r="W18" i="4"/>
  <c r="T18" i="4"/>
  <c r="V18" i="4"/>
  <c r="K18" i="4"/>
  <c r="J18" i="4"/>
  <c r="E18" i="4"/>
  <c r="C20" i="4"/>
  <c r="D19" i="4"/>
  <c r="H19" i="4" s="1"/>
  <c r="AE21" i="5" l="1"/>
  <c r="G18" i="4"/>
  <c r="I18" i="4" s="1"/>
  <c r="AL19" i="5"/>
  <c r="AK20" i="5"/>
  <c r="P20" i="5"/>
  <c r="O20" i="5"/>
  <c r="N20" i="5"/>
  <c r="M20" i="5"/>
  <c r="L20" i="5"/>
  <c r="K20" i="5"/>
  <c r="J20" i="5"/>
  <c r="I20" i="5"/>
  <c r="B19" i="4"/>
  <c r="S19" i="4"/>
  <c r="R19" i="4"/>
  <c r="Q19" i="4"/>
  <c r="P19" i="4"/>
  <c r="O19" i="4"/>
  <c r="N19" i="4"/>
  <c r="M19" i="4"/>
  <c r="L19" i="4"/>
  <c r="AL18" i="4"/>
  <c r="Y18" i="4"/>
  <c r="AI19" i="4"/>
  <c r="AK19" i="4"/>
  <c r="AJ19" i="4"/>
  <c r="W18" i="5"/>
  <c r="AJ20" i="5"/>
  <c r="AI20" i="5"/>
  <c r="T20" i="5"/>
  <c r="E20" i="5"/>
  <c r="AF20" i="5" s="1"/>
  <c r="AG20" i="5" s="1"/>
  <c r="Y20" i="5" s="1"/>
  <c r="B20" i="5"/>
  <c r="S20" i="5"/>
  <c r="G20" i="5"/>
  <c r="C22" i="5"/>
  <c r="D21" i="5"/>
  <c r="AC21" i="5" s="1"/>
  <c r="AD21" i="5" s="1"/>
  <c r="V19" i="5"/>
  <c r="U19" i="5"/>
  <c r="AB19" i="5" s="1"/>
  <c r="AH19" i="5" s="1"/>
  <c r="Z17" i="4"/>
  <c r="Q20" i="5"/>
  <c r="F20" i="5"/>
  <c r="H20" i="5"/>
  <c r="R20" i="5"/>
  <c r="J19" i="4"/>
  <c r="X18" i="4"/>
  <c r="AA18" i="4" s="1"/>
  <c r="X18" i="5"/>
  <c r="U19" i="4"/>
  <c r="W19" i="4"/>
  <c r="T19" i="4"/>
  <c r="V19" i="4"/>
  <c r="E19" i="4"/>
  <c r="F19" i="4"/>
  <c r="K19" i="4"/>
  <c r="C21" i="4"/>
  <c r="D20" i="4"/>
  <c r="H20" i="4" s="1"/>
  <c r="AE22" i="5" l="1"/>
  <c r="G19" i="4"/>
  <c r="I19" i="4" s="1"/>
  <c r="X19" i="5"/>
  <c r="AL20" i="5"/>
  <c r="S21" i="5"/>
  <c r="P21" i="5"/>
  <c r="O21" i="5"/>
  <c r="N21" i="5"/>
  <c r="M21" i="5"/>
  <c r="L21" i="5"/>
  <c r="K21" i="5"/>
  <c r="J21" i="5"/>
  <c r="I21" i="5"/>
  <c r="B20" i="4"/>
  <c r="S20" i="4"/>
  <c r="R20" i="4"/>
  <c r="Q20" i="4"/>
  <c r="P20" i="4"/>
  <c r="O20" i="4"/>
  <c r="N20" i="4"/>
  <c r="M20" i="4"/>
  <c r="L20" i="4"/>
  <c r="J20" i="4"/>
  <c r="V20" i="5"/>
  <c r="AL19" i="4"/>
  <c r="AI20" i="4"/>
  <c r="AJ20" i="4"/>
  <c r="AK20" i="4"/>
  <c r="AK21" i="5"/>
  <c r="AJ21" i="5"/>
  <c r="AI21" i="5"/>
  <c r="F20" i="4"/>
  <c r="K20" i="4"/>
  <c r="U20" i="5"/>
  <c r="AB20" i="5" s="1"/>
  <c r="AH20" i="5" s="1"/>
  <c r="B21" i="5"/>
  <c r="T21" i="5"/>
  <c r="R21" i="5"/>
  <c r="W19" i="5"/>
  <c r="C23" i="5"/>
  <c r="D22" i="5"/>
  <c r="AC22" i="5" s="1"/>
  <c r="AD22" i="5" s="1"/>
  <c r="G21" i="5"/>
  <c r="Q21" i="5"/>
  <c r="F21" i="5"/>
  <c r="H21" i="5"/>
  <c r="Z18" i="4"/>
  <c r="E21" i="5"/>
  <c r="AF21" i="5" s="1"/>
  <c r="AG21" i="5" s="1"/>
  <c r="Y21" i="5" s="1"/>
  <c r="W20" i="4"/>
  <c r="U20" i="4"/>
  <c r="V20" i="4"/>
  <c r="E20" i="4"/>
  <c r="X19" i="4"/>
  <c r="AA19" i="4" s="1"/>
  <c r="T20" i="4"/>
  <c r="Y19" i="4"/>
  <c r="C22" i="4"/>
  <c r="D21" i="4"/>
  <c r="H21" i="4" s="1"/>
  <c r="AE23" i="5" l="1"/>
  <c r="X20" i="5"/>
  <c r="G20" i="4"/>
  <c r="I20" i="4" s="1"/>
  <c r="U21" i="5"/>
  <c r="AB21" i="5" s="1"/>
  <c r="AH21" i="5" s="1"/>
  <c r="AK22" i="5"/>
  <c r="P22" i="5"/>
  <c r="O22" i="5"/>
  <c r="N22" i="5"/>
  <c r="M22" i="5"/>
  <c r="L22" i="5"/>
  <c r="K22" i="5"/>
  <c r="J22" i="5"/>
  <c r="I22" i="5"/>
  <c r="B21" i="4"/>
  <c r="S21" i="4"/>
  <c r="R21" i="4"/>
  <c r="Q21" i="4"/>
  <c r="P21" i="4"/>
  <c r="O21" i="4"/>
  <c r="N21" i="4"/>
  <c r="M21" i="4"/>
  <c r="L21" i="4"/>
  <c r="AL20" i="4"/>
  <c r="AL21" i="5"/>
  <c r="W20" i="5"/>
  <c r="AI21" i="4"/>
  <c r="AJ21" i="4"/>
  <c r="AK21" i="4"/>
  <c r="Z19" i="4"/>
  <c r="AJ22" i="5"/>
  <c r="AI22" i="5"/>
  <c r="E22" i="5"/>
  <c r="AF22" i="5" s="1"/>
  <c r="AG22" i="5" s="1"/>
  <c r="Y22" i="5" s="1"/>
  <c r="V21" i="5"/>
  <c r="F22" i="5"/>
  <c r="B22" i="5"/>
  <c r="C24" i="5"/>
  <c r="D23" i="5"/>
  <c r="AC23" i="5" s="1"/>
  <c r="AD23" i="5" s="1"/>
  <c r="Y20" i="4"/>
  <c r="X20" i="4"/>
  <c r="AA20" i="4" s="1"/>
  <c r="F21" i="4"/>
  <c r="G22" i="5"/>
  <c r="H22" i="5"/>
  <c r="Q22" i="5"/>
  <c r="R22" i="5"/>
  <c r="S22" i="5"/>
  <c r="T22" i="5"/>
  <c r="T21" i="4"/>
  <c r="U21" i="4"/>
  <c r="J21" i="4"/>
  <c r="V21" i="4"/>
  <c r="E21" i="4"/>
  <c r="W21" i="4"/>
  <c r="K21" i="4"/>
  <c r="C23" i="4"/>
  <c r="D22" i="4"/>
  <c r="H22" i="4" s="1"/>
  <c r="AE24" i="5" l="1"/>
  <c r="G21" i="4"/>
  <c r="I21" i="4" s="1"/>
  <c r="X21" i="5"/>
  <c r="W21" i="5"/>
  <c r="AL22" i="5"/>
  <c r="AK23" i="5"/>
  <c r="P23" i="5"/>
  <c r="O23" i="5"/>
  <c r="N23" i="5"/>
  <c r="M23" i="5"/>
  <c r="L23" i="5"/>
  <c r="K23" i="5"/>
  <c r="J23" i="5"/>
  <c r="I23" i="5"/>
  <c r="B22" i="4"/>
  <c r="S22" i="4"/>
  <c r="R22" i="4"/>
  <c r="Q22" i="4"/>
  <c r="P22" i="4"/>
  <c r="O22" i="4"/>
  <c r="N22" i="4"/>
  <c r="M22" i="4"/>
  <c r="L22" i="4"/>
  <c r="AL21" i="4"/>
  <c r="AI22" i="4"/>
  <c r="AJ22" i="4"/>
  <c r="AK22" i="4"/>
  <c r="AJ23" i="5"/>
  <c r="AI23" i="5"/>
  <c r="B23" i="5"/>
  <c r="C25" i="5"/>
  <c r="D24" i="5"/>
  <c r="AC24" i="5" s="1"/>
  <c r="AD24" i="5" s="1"/>
  <c r="Z20" i="4"/>
  <c r="V22" i="5"/>
  <c r="K22" i="4"/>
  <c r="H23" i="5"/>
  <c r="V22" i="4"/>
  <c r="T22" i="4"/>
  <c r="F23" i="5"/>
  <c r="E23" i="5"/>
  <c r="AF23" i="5" s="1"/>
  <c r="AG23" i="5" s="1"/>
  <c r="Y23" i="5" s="1"/>
  <c r="G23" i="5"/>
  <c r="Q23" i="5"/>
  <c r="R23" i="5"/>
  <c r="T23" i="5"/>
  <c r="U22" i="5"/>
  <c r="AB22" i="5" s="1"/>
  <c r="AH22" i="5" s="1"/>
  <c r="S23" i="5"/>
  <c r="E22" i="4"/>
  <c r="Y21" i="4"/>
  <c r="F22" i="4"/>
  <c r="W22" i="4"/>
  <c r="U22" i="4"/>
  <c r="J22" i="4"/>
  <c r="X21" i="4"/>
  <c r="AA21" i="4" s="1"/>
  <c r="C24" i="4"/>
  <c r="D23" i="4"/>
  <c r="H23" i="4" s="1"/>
  <c r="AE25" i="5" l="1"/>
  <c r="X22" i="5"/>
  <c r="G22" i="4"/>
  <c r="I22" i="4" s="1"/>
  <c r="AL23" i="5"/>
  <c r="AK24" i="5"/>
  <c r="P24" i="5"/>
  <c r="O24" i="5"/>
  <c r="N24" i="5"/>
  <c r="M24" i="5"/>
  <c r="L24" i="5"/>
  <c r="K24" i="5"/>
  <c r="J24" i="5"/>
  <c r="I24" i="5"/>
  <c r="B23" i="4"/>
  <c r="S23" i="4"/>
  <c r="R23" i="4"/>
  <c r="Q23" i="4"/>
  <c r="P23" i="4"/>
  <c r="O23" i="4"/>
  <c r="N23" i="4"/>
  <c r="M23" i="4"/>
  <c r="L23" i="4"/>
  <c r="AL22" i="4"/>
  <c r="F23" i="4"/>
  <c r="AI23" i="4"/>
  <c r="AJ23" i="4"/>
  <c r="AK23" i="4"/>
  <c r="AJ24" i="5"/>
  <c r="AI24" i="5"/>
  <c r="B24" i="5"/>
  <c r="T24" i="5"/>
  <c r="C26" i="5"/>
  <c r="D25" i="5"/>
  <c r="AC25" i="5" s="1"/>
  <c r="AD25" i="5" s="1"/>
  <c r="X22" i="4"/>
  <c r="AA22" i="4" s="1"/>
  <c r="Z21" i="4"/>
  <c r="S24" i="5"/>
  <c r="F24" i="5"/>
  <c r="W22" i="5"/>
  <c r="G24" i="5"/>
  <c r="V23" i="5"/>
  <c r="Q24" i="5"/>
  <c r="E24" i="5"/>
  <c r="AF24" i="5" s="1"/>
  <c r="AG24" i="5" s="1"/>
  <c r="Y24" i="5" s="1"/>
  <c r="R24" i="5"/>
  <c r="H24" i="5"/>
  <c r="U23" i="5"/>
  <c r="AB23" i="5" s="1"/>
  <c r="AH23" i="5" s="1"/>
  <c r="Y22" i="4"/>
  <c r="V23" i="4"/>
  <c r="K23" i="4"/>
  <c r="J23" i="4"/>
  <c r="W23" i="4"/>
  <c r="T23" i="4"/>
  <c r="U23" i="4"/>
  <c r="E23" i="4"/>
  <c r="C25" i="4"/>
  <c r="D24" i="4"/>
  <c r="H24" i="4" s="1"/>
  <c r="AE26" i="5" l="1"/>
  <c r="X23" i="5"/>
  <c r="G23" i="4"/>
  <c r="I23" i="4" s="1"/>
  <c r="AL24" i="5"/>
  <c r="S25" i="5"/>
  <c r="P25" i="5"/>
  <c r="O25" i="5"/>
  <c r="N25" i="5"/>
  <c r="M25" i="5"/>
  <c r="L25" i="5"/>
  <c r="K25" i="5"/>
  <c r="J25" i="5"/>
  <c r="I25" i="5"/>
  <c r="B24" i="4"/>
  <c r="S24" i="4"/>
  <c r="R24" i="4"/>
  <c r="Q24" i="4"/>
  <c r="P24" i="4"/>
  <c r="O24" i="4"/>
  <c r="N24" i="4"/>
  <c r="M24" i="4"/>
  <c r="L24" i="4"/>
  <c r="AL23" i="4"/>
  <c r="B25" i="5"/>
  <c r="AI24" i="4"/>
  <c r="AJ24" i="4"/>
  <c r="AK24" i="4"/>
  <c r="R25" i="5"/>
  <c r="AK25" i="5"/>
  <c r="AJ25" i="5"/>
  <c r="AI25" i="5"/>
  <c r="V24" i="5"/>
  <c r="X23" i="4"/>
  <c r="AA23" i="4" s="1"/>
  <c r="U24" i="4"/>
  <c r="T25" i="5"/>
  <c r="C27" i="5"/>
  <c r="D26" i="5"/>
  <c r="AC26" i="5" s="1"/>
  <c r="AD26" i="5" s="1"/>
  <c r="Z22" i="4"/>
  <c r="Y23" i="4"/>
  <c r="U24" i="5"/>
  <c r="AB24" i="5" s="1"/>
  <c r="AH24" i="5" s="1"/>
  <c r="F25" i="5"/>
  <c r="G25" i="5"/>
  <c r="H25" i="5"/>
  <c r="W23" i="5"/>
  <c r="E25" i="5"/>
  <c r="AF25" i="5" s="1"/>
  <c r="AG25" i="5" s="1"/>
  <c r="Y25" i="5" s="1"/>
  <c r="Q25" i="5"/>
  <c r="T24" i="4"/>
  <c r="E24" i="4"/>
  <c r="K24" i="4"/>
  <c r="V24" i="4"/>
  <c r="F24" i="4"/>
  <c r="J24" i="4"/>
  <c r="W24" i="4"/>
  <c r="C26" i="4"/>
  <c r="D25" i="4"/>
  <c r="H25" i="4" s="1"/>
  <c r="AE27" i="5" l="1"/>
  <c r="X24" i="5"/>
  <c r="G24" i="4"/>
  <c r="I24" i="4" s="1"/>
  <c r="U25" i="5"/>
  <c r="AB25" i="5" s="1"/>
  <c r="AH25" i="5" s="1"/>
  <c r="B26" i="5"/>
  <c r="P26" i="5"/>
  <c r="O26" i="5"/>
  <c r="N26" i="5"/>
  <c r="M26" i="5"/>
  <c r="L26" i="5"/>
  <c r="K26" i="5"/>
  <c r="J26" i="5"/>
  <c r="I26" i="5"/>
  <c r="B25" i="4"/>
  <c r="S25" i="4"/>
  <c r="R25" i="4"/>
  <c r="Q25" i="4"/>
  <c r="P25" i="4"/>
  <c r="O25" i="4"/>
  <c r="N25" i="4"/>
  <c r="M25" i="4"/>
  <c r="L25" i="4"/>
  <c r="V25" i="5"/>
  <c r="AL24" i="4"/>
  <c r="AL25" i="5"/>
  <c r="AJ25" i="4"/>
  <c r="AK25" i="4"/>
  <c r="AI25" i="4"/>
  <c r="Y24" i="4"/>
  <c r="AK26" i="5"/>
  <c r="AJ26" i="5"/>
  <c r="AI26" i="5"/>
  <c r="R26" i="5"/>
  <c r="Q26" i="5"/>
  <c r="T26" i="5"/>
  <c r="Z23" i="4"/>
  <c r="C28" i="5"/>
  <c r="D27" i="5"/>
  <c r="AC27" i="5" s="1"/>
  <c r="AD27" i="5" s="1"/>
  <c r="W24" i="5"/>
  <c r="S26" i="5"/>
  <c r="H26" i="5"/>
  <c r="F26" i="5"/>
  <c r="G26" i="5"/>
  <c r="E26" i="5"/>
  <c r="AF26" i="5" s="1"/>
  <c r="AG26" i="5" s="1"/>
  <c r="Y26" i="5" s="1"/>
  <c r="W25" i="4"/>
  <c r="T25" i="4"/>
  <c r="V25" i="4"/>
  <c r="U25" i="4"/>
  <c r="F25" i="4"/>
  <c r="E25" i="4"/>
  <c r="J25" i="4"/>
  <c r="K25" i="4"/>
  <c r="X24" i="4"/>
  <c r="AA24" i="4" s="1"/>
  <c r="C27" i="4"/>
  <c r="D26" i="4"/>
  <c r="H26" i="4" s="1"/>
  <c r="AE28" i="5" l="1"/>
  <c r="X25" i="5"/>
  <c r="G25" i="4"/>
  <c r="I25" i="4" s="1"/>
  <c r="W25" i="5"/>
  <c r="AK27" i="5"/>
  <c r="P27" i="5"/>
  <c r="O27" i="5"/>
  <c r="N27" i="5"/>
  <c r="M27" i="5"/>
  <c r="L27" i="5"/>
  <c r="K27" i="5"/>
  <c r="J27" i="5"/>
  <c r="I27" i="5"/>
  <c r="B26" i="4"/>
  <c r="S26" i="4"/>
  <c r="R26" i="4"/>
  <c r="Q26" i="4"/>
  <c r="P26" i="4"/>
  <c r="O26" i="4"/>
  <c r="N26" i="4"/>
  <c r="M26" i="4"/>
  <c r="L26" i="4"/>
  <c r="AL26" i="5"/>
  <c r="AL25" i="4"/>
  <c r="AI26" i="4"/>
  <c r="AJ26" i="4"/>
  <c r="AK26" i="4"/>
  <c r="V26" i="5"/>
  <c r="U26" i="5"/>
  <c r="AB26" i="5" s="1"/>
  <c r="AH26" i="5" s="1"/>
  <c r="AJ27" i="5"/>
  <c r="AI27" i="5"/>
  <c r="B27" i="5"/>
  <c r="X25" i="4"/>
  <c r="AA25" i="4" s="1"/>
  <c r="E27" i="5"/>
  <c r="AF27" i="5" s="1"/>
  <c r="AG27" i="5" s="1"/>
  <c r="Y27" i="5" s="1"/>
  <c r="T27" i="5"/>
  <c r="C29" i="5"/>
  <c r="D28" i="5"/>
  <c r="AC28" i="5" s="1"/>
  <c r="AD28" i="5" s="1"/>
  <c r="Y25" i="4"/>
  <c r="Q27" i="5"/>
  <c r="F27" i="5"/>
  <c r="R27" i="5"/>
  <c r="Z24" i="4"/>
  <c r="S27" i="5"/>
  <c r="G27" i="5"/>
  <c r="H27" i="5"/>
  <c r="W26" i="4"/>
  <c r="K26" i="4"/>
  <c r="J26" i="4"/>
  <c r="V26" i="4"/>
  <c r="F26" i="4"/>
  <c r="U26" i="4"/>
  <c r="T26" i="4"/>
  <c r="E26" i="4"/>
  <c r="C28" i="4"/>
  <c r="D27" i="4"/>
  <c r="H27" i="4" s="1"/>
  <c r="AE29" i="5" l="1"/>
  <c r="G26" i="4"/>
  <c r="I26" i="4" s="1"/>
  <c r="AL27" i="5"/>
  <c r="AK28" i="5"/>
  <c r="P28" i="5"/>
  <c r="O28" i="5"/>
  <c r="N28" i="5"/>
  <c r="M28" i="5"/>
  <c r="L28" i="5"/>
  <c r="K28" i="5"/>
  <c r="J28" i="5"/>
  <c r="I28" i="5"/>
  <c r="B27" i="4"/>
  <c r="S27" i="4"/>
  <c r="R27" i="4"/>
  <c r="Q27" i="4"/>
  <c r="P27" i="4"/>
  <c r="O27" i="4"/>
  <c r="N27" i="4"/>
  <c r="M27" i="4"/>
  <c r="L27" i="4"/>
  <c r="AL26" i="4"/>
  <c r="W26" i="5"/>
  <c r="Z25" i="4"/>
  <c r="AJ27" i="4"/>
  <c r="AI27" i="4"/>
  <c r="AK27" i="4"/>
  <c r="Y26" i="4"/>
  <c r="V27" i="5"/>
  <c r="X26" i="5"/>
  <c r="AJ28" i="5"/>
  <c r="AI28" i="5"/>
  <c r="S28" i="5"/>
  <c r="B28" i="5"/>
  <c r="C30" i="5"/>
  <c r="D29" i="5"/>
  <c r="AC29" i="5" s="1"/>
  <c r="AD29" i="5" s="1"/>
  <c r="U27" i="5"/>
  <c r="AB27" i="5" s="1"/>
  <c r="AH27" i="5" s="1"/>
  <c r="E28" i="5"/>
  <c r="AF28" i="5" s="1"/>
  <c r="AG28" i="5" s="1"/>
  <c r="Y28" i="5" s="1"/>
  <c r="T28" i="5"/>
  <c r="H28" i="5"/>
  <c r="F28" i="5"/>
  <c r="G28" i="5"/>
  <c r="Q28" i="5"/>
  <c r="X26" i="4"/>
  <c r="R28" i="5"/>
  <c r="T27" i="4"/>
  <c r="K27" i="4"/>
  <c r="W27" i="4"/>
  <c r="E27" i="4"/>
  <c r="J27" i="4"/>
  <c r="V27" i="4"/>
  <c r="F27" i="4"/>
  <c r="U27" i="4"/>
  <c r="C29" i="4"/>
  <c r="D28" i="4"/>
  <c r="H28" i="4" s="1"/>
  <c r="AE30" i="5" l="1"/>
  <c r="G27" i="4"/>
  <c r="I27" i="4" s="1"/>
  <c r="AL28" i="5"/>
  <c r="AK29" i="5"/>
  <c r="P29" i="5"/>
  <c r="O29" i="5"/>
  <c r="N29" i="5"/>
  <c r="M29" i="5"/>
  <c r="L29" i="5"/>
  <c r="K29" i="5"/>
  <c r="J29" i="5"/>
  <c r="I29" i="5"/>
  <c r="B28" i="4"/>
  <c r="S28" i="4"/>
  <c r="R28" i="4"/>
  <c r="Q28" i="4"/>
  <c r="P28" i="4"/>
  <c r="O28" i="4"/>
  <c r="N28" i="4"/>
  <c r="M28" i="4"/>
  <c r="L28" i="4"/>
  <c r="AI28" i="4"/>
  <c r="AK28" i="4"/>
  <c r="AL27" i="4"/>
  <c r="W27" i="5"/>
  <c r="Z26" i="4"/>
  <c r="AJ28" i="4"/>
  <c r="Y27" i="4"/>
  <c r="U28" i="5"/>
  <c r="AB28" i="5" s="1"/>
  <c r="AH28" i="5" s="1"/>
  <c r="AJ29" i="5"/>
  <c r="AI29" i="5"/>
  <c r="B29" i="5"/>
  <c r="V28" i="5"/>
  <c r="C31" i="5"/>
  <c r="D30" i="5"/>
  <c r="AC30" i="5" s="1"/>
  <c r="AD30" i="5" s="1"/>
  <c r="X27" i="5"/>
  <c r="AA26" i="4"/>
  <c r="G29" i="5"/>
  <c r="Q29" i="5"/>
  <c r="S29" i="5"/>
  <c r="F29" i="5"/>
  <c r="H29" i="5"/>
  <c r="R29" i="5"/>
  <c r="T29" i="5"/>
  <c r="E29" i="5"/>
  <c r="AF29" i="5" s="1"/>
  <c r="AG29" i="5" s="1"/>
  <c r="Y29" i="5" s="1"/>
  <c r="X27" i="4"/>
  <c r="AA27" i="4" s="1"/>
  <c r="F28" i="4"/>
  <c r="T28" i="4"/>
  <c r="K28" i="4"/>
  <c r="W28" i="4"/>
  <c r="E28" i="4"/>
  <c r="V28" i="4"/>
  <c r="J28" i="4"/>
  <c r="U28" i="4"/>
  <c r="C30" i="4"/>
  <c r="D29" i="4"/>
  <c r="H29" i="4" s="1"/>
  <c r="AE31" i="5" l="1"/>
  <c r="X28" i="5"/>
  <c r="G28" i="4"/>
  <c r="I28" i="4" s="1"/>
  <c r="AL29" i="5"/>
  <c r="B30" i="5"/>
  <c r="P30" i="5"/>
  <c r="O30" i="5"/>
  <c r="N30" i="5"/>
  <c r="M30" i="5"/>
  <c r="L30" i="5"/>
  <c r="K30" i="5"/>
  <c r="J30" i="5"/>
  <c r="I30" i="5"/>
  <c r="B29" i="4"/>
  <c r="S29" i="4"/>
  <c r="R29" i="4"/>
  <c r="Q29" i="4"/>
  <c r="P29" i="4"/>
  <c r="O29" i="4"/>
  <c r="N29" i="4"/>
  <c r="M29" i="4"/>
  <c r="L29" i="4"/>
  <c r="AL28" i="4"/>
  <c r="W28" i="5"/>
  <c r="T29" i="4"/>
  <c r="AI29" i="4"/>
  <c r="AJ29" i="4"/>
  <c r="AK29" i="4"/>
  <c r="K29" i="4"/>
  <c r="W29" i="4"/>
  <c r="AK30" i="5"/>
  <c r="AJ30" i="5"/>
  <c r="AI30" i="5"/>
  <c r="D31" i="5"/>
  <c r="AC31" i="5" s="1"/>
  <c r="AD31" i="5" s="1"/>
  <c r="U29" i="5"/>
  <c r="AB29" i="5" s="1"/>
  <c r="AH29" i="5" s="1"/>
  <c r="Z27" i="4"/>
  <c r="E30" i="5"/>
  <c r="AF30" i="5" s="1"/>
  <c r="AG30" i="5" s="1"/>
  <c r="Y30" i="5" s="1"/>
  <c r="F30" i="5"/>
  <c r="G30" i="5"/>
  <c r="H30" i="5"/>
  <c r="Q30" i="5"/>
  <c r="V29" i="5"/>
  <c r="S30" i="5"/>
  <c r="T30" i="5"/>
  <c r="R30" i="5"/>
  <c r="X28" i="4"/>
  <c r="AA28" i="4" s="1"/>
  <c r="Y28" i="4"/>
  <c r="J29" i="4"/>
  <c r="U29" i="4"/>
  <c r="E29" i="4"/>
  <c r="V29" i="4"/>
  <c r="F29" i="4"/>
  <c r="C31" i="4"/>
  <c r="D30" i="4"/>
  <c r="H30" i="4" s="1"/>
  <c r="X29" i="5" l="1"/>
  <c r="G29" i="4"/>
  <c r="I29" i="4" s="1"/>
  <c r="P31" i="5"/>
  <c r="O31" i="5"/>
  <c r="N31" i="5"/>
  <c r="M31" i="5"/>
  <c r="L31" i="5"/>
  <c r="K31" i="5"/>
  <c r="J31" i="5"/>
  <c r="I31" i="5"/>
  <c r="S30" i="4"/>
  <c r="R30" i="4"/>
  <c r="Q30" i="4"/>
  <c r="P30" i="4"/>
  <c r="O30" i="4"/>
  <c r="N30" i="4"/>
  <c r="M30" i="4"/>
  <c r="L30" i="4"/>
  <c r="B30" i="4"/>
  <c r="V30" i="4"/>
  <c r="K30" i="4"/>
  <c r="B31" i="5"/>
  <c r="AK31" i="5"/>
  <c r="X29" i="4"/>
  <c r="AA29" i="4" s="1"/>
  <c r="AL29" i="4"/>
  <c r="AK30" i="4"/>
  <c r="AJ30" i="4"/>
  <c r="AL30" i="5"/>
  <c r="AI30" i="4"/>
  <c r="Y29" i="4"/>
  <c r="E30" i="4"/>
  <c r="U30" i="4"/>
  <c r="T30" i="4"/>
  <c r="F30" i="4"/>
  <c r="AJ31" i="5"/>
  <c r="AI31" i="5"/>
  <c r="W29" i="5"/>
  <c r="U30" i="5"/>
  <c r="AB30" i="5" s="1"/>
  <c r="AH30" i="5" s="1"/>
  <c r="Z28" i="4"/>
  <c r="E31" i="5"/>
  <c r="AF31" i="5" s="1"/>
  <c r="AG31" i="5" s="1"/>
  <c r="Y31" i="5" s="1"/>
  <c r="Q31" i="5"/>
  <c r="V30" i="5"/>
  <c r="F31" i="5"/>
  <c r="H31" i="5"/>
  <c r="R31" i="5"/>
  <c r="T31" i="5"/>
  <c r="G31" i="5"/>
  <c r="S31" i="5"/>
  <c r="W30" i="4"/>
  <c r="J30" i="4"/>
  <c r="C32" i="4"/>
  <c r="D31" i="4"/>
  <c r="H31" i="4" s="1"/>
  <c r="X30" i="5" l="1"/>
  <c r="G30" i="4"/>
  <c r="I30" i="4" s="1"/>
  <c r="X30" i="4"/>
  <c r="AA30" i="4" s="1"/>
  <c r="B31" i="4"/>
  <c r="S31" i="4"/>
  <c r="R31" i="4"/>
  <c r="Q31" i="4"/>
  <c r="P31" i="4"/>
  <c r="O31" i="4"/>
  <c r="N31" i="4"/>
  <c r="M31" i="4"/>
  <c r="L31" i="4"/>
  <c r="AL31" i="5"/>
  <c r="Z29" i="4"/>
  <c r="AL30" i="4"/>
  <c r="AI31" i="4"/>
  <c r="AK31" i="4"/>
  <c r="AJ31" i="4"/>
  <c r="Y30" i="4"/>
  <c r="E31" i="4"/>
  <c r="W31" i="4"/>
  <c r="V31" i="4"/>
  <c r="W30" i="5"/>
  <c r="U31" i="5"/>
  <c r="AB31" i="5" s="1"/>
  <c r="AH31" i="5" s="1"/>
  <c r="F31" i="4"/>
  <c r="U31" i="4"/>
  <c r="K31" i="4"/>
  <c r="T31" i="4"/>
  <c r="J31" i="4"/>
  <c r="V31" i="5"/>
  <c r="C33" i="4"/>
  <c r="D32" i="4"/>
  <c r="H32" i="4" s="1"/>
  <c r="X31" i="5" l="1"/>
  <c r="G31" i="4"/>
  <c r="I31" i="4" s="1"/>
  <c r="Z30" i="4"/>
  <c r="B32" i="4"/>
  <c r="S32" i="4"/>
  <c r="R32" i="4"/>
  <c r="Q32" i="4"/>
  <c r="P32" i="4"/>
  <c r="O32" i="4"/>
  <c r="N32" i="4"/>
  <c r="M32" i="4"/>
  <c r="L32" i="4"/>
  <c r="AL31" i="4"/>
  <c r="AI32" i="4"/>
  <c r="AJ32" i="4"/>
  <c r="AK32" i="4"/>
  <c r="T32" i="4"/>
  <c r="X31" i="4"/>
  <c r="AA31" i="4" s="1"/>
  <c r="Y31" i="4"/>
  <c r="W32" i="4"/>
  <c r="W31" i="5"/>
  <c r="E32" i="4"/>
  <c r="V32" i="4"/>
  <c r="K32" i="4"/>
  <c r="F32" i="4"/>
  <c r="J32" i="4"/>
  <c r="U32" i="4"/>
  <c r="C34" i="4"/>
  <c r="D33" i="4"/>
  <c r="H33" i="4" s="1"/>
  <c r="G32" i="4" l="1"/>
  <c r="I32" i="4" s="1"/>
  <c r="B33" i="4"/>
  <c r="S33" i="4"/>
  <c r="R33" i="4"/>
  <c r="Q33" i="4"/>
  <c r="P33" i="4"/>
  <c r="O33" i="4"/>
  <c r="N33" i="4"/>
  <c r="M33" i="4"/>
  <c r="L33" i="4"/>
  <c r="AL32" i="4"/>
  <c r="AI33" i="4"/>
  <c r="Z31" i="4"/>
  <c r="AJ33" i="4"/>
  <c r="AK33" i="4"/>
  <c r="X32" i="4"/>
  <c r="AA32" i="4" s="1"/>
  <c r="Y32" i="4"/>
  <c r="J33" i="4"/>
  <c r="V33" i="4"/>
  <c r="K33" i="4"/>
  <c r="U33" i="4"/>
  <c r="T33" i="4"/>
  <c r="F33" i="4"/>
  <c r="W33" i="4"/>
  <c r="E33" i="4"/>
  <c r="C35" i="4"/>
  <c r="D34" i="4"/>
  <c r="H34" i="4" s="1"/>
  <c r="Z32" i="4" l="1"/>
  <c r="G33" i="4"/>
  <c r="I33" i="4" s="1"/>
  <c r="B34" i="4"/>
  <c r="S34" i="4"/>
  <c r="R34" i="4"/>
  <c r="Q34" i="4"/>
  <c r="P34" i="4"/>
  <c r="O34" i="4"/>
  <c r="N34" i="4"/>
  <c r="M34" i="4"/>
  <c r="L34" i="4"/>
  <c r="AL33" i="4"/>
  <c r="AI34" i="4"/>
  <c r="AJ34" i="4"/>
  <c r="AK34" i="4"/>
  <c r="X33" i="4"/>
  <c r="AA33" i="4" s="1"/>
  <c r="T34" i="4"/>
  <c r="W34" i="4"/>
  <c r="K34" i="4"/>
  <c r="F34" i="4"/>
  <c r="Y33" i="4"/>
  <c r="V34" i="4"/>
  <c r="E34" i="4"/>
  <c r="J34" i="4"/>
  <c r="U34" i="4"/>
  <c r="C36" i="4"/>
  <c r="D35" i="4"/>
  <c r="H35" i="4" s="1"/>
  <c r="G34" i="4" l="1"/>
  <c r="I34" i="4" s="1"/>
  <c r="B35" i="4"/>
  <c r="S35" i="4"/>
  <c r="R35" i="4"/>
  <c r="Q35" i="4"/>
  <c r="P35" i="4"/>
  <c r="O35" i="4"/>
  <c r="N35" i="4"/>
  <c r="M35" i="4"/>
  <c r="L35" i="4"/>
  <c r="AL34" i="4"/>
  <c r="AK35" i="4"/>
  <c r="AI35" i="4"/>
  <c r="AJ35" i="4"/>
  <c r="V35" i="4"/>
  <c r="J35" i="4"/>
  <c r="Y34" i="4"/>
  <c r="K35" i="4"/>
  <c r="X34" i="4"/>
  <c r="AA34" i="4" s="1"/>
  <c r="Z33" i="4"/>
  <c r="U35" i="4"/>
  <c r="F35" i="4"/>
  <c r="E35" i="4"/>
  <c r="T35" i="4"/>
  <c r="W35" i="4"/>
  <c r="C37" i="4"/>
  <c r="D36" i="4"/>
  <c r="H36" i="4" s="1"/>
  <c r="G35" i="4" l="1"/>
  <c r="I35" i="4" s="1"/>
  <c r="B36" i="4"/>
  <c r="S36" i="4"/>
  <c r="R36" i="4"/>
  <c r="Q36" i="4"/>
  <c r="P36" i="4"/>
  <c r="O36" i="4"/>
  <c r="N36" i="4"/>
  <c r="M36" i="4"/>
  <c r="L36" i="4"/>
  <c r="AL35" i="4"/>
  <c r="AJ36" i="4"/>
  <c r="AI36" i="4"/>
  <c r="AK36" i="4"/>
  <c r="X35" i="4"/>
  <c r="AA35" i="4" s="1"/>
  <c r="Z34" i="4"/>
  <c r="Y35" i="4"/>
  <c r="J36" i="4"/>
  <c r="K36" i="4"/>
  <c r="V36" i="4"/>
  <c r="U36" i="4"/>
  <c r="W36" i="4"/>
  <c r="F36" i="4"/>
  <c r="T36" i="4"/>
  <c r="E36" i="4"/>
  <c r="C38" i="4"/>
  <c r="D37" i="4"/>
  <c r="H37" i="4" s="1"/>
  <c r="G36" i="4" l="1"/>
  <c r="I36" i="4" s="1"/>
  <c r="B37" i="4"/>
  <c r="S37" i="4"/>
  <c r="R37" i="4"/>
  <c r="Q37" i="4"/>
  <c r="P37" i="4"/>
  <c r="O37" i="4"/>
  <c r="N37" i="4"/>
  <c r="M37" i="4"/>
  <c r="L37" i="4"/>
  <c r="AJ37" i="4"/>
  <c r="AK37" i="4"/>
  <c r="AL36" i="4"/>
  <c r="AI37" i="4"/>
  <c r="Z35" i="4"/>
  <c r="X36" i="4"/>
  <c r="AA36" i="4" s="1"/>
  <c r="Y36" i="4"/>
  <c r="K37" i="4"/>
  <c r="E37" i="4"/>
  <c r="U37" i="4"/>
  <c r="T37" i="4"/>
  <c r="F37" i="4"/>
  <c r="V37" i="4"/>
  <c r="J37" i="4"/>
  <c r="W37" i="4"/>
  <c r="C39" i="4"/>
  <c r="D38" i="4"/>
  <c r="H38" i="4" s="1"/>
  <c r="G37" i="4" l="1"/>
  <c r="I37" i="4" s="1"/>
  <c r="B38" i="4"/>
  <c r="S38" i="4"/>
  <c r="R38" i="4"/>
  <c r="Q38" i="4"/>
  <c r="P38" i="4"/>
  <c r="O38" i="4"/>
  <c r="N38" i="4"/>
  <c r="M38" i="4"/>
  <c r="L38" i="4"/>
  <c r="AL37" i="4"/>
  <c r="AK38" i="4"/>
  <c r="AI38" i="4"/>
  <c r="AJ38" i="4"/>
  <c r="Z36" i="4"/>
  <c r="T38" i="4"/>
  <c r="K38" i="4"/>
  <c r="X37" i="4"/>
  <c r="AA37" i="4" s="1"/>
  <c r="E38" i="4"/>
  <c r="W38" i="4"/>
  <c r="Y37" i="4"/>
  <c r="J38" i="4"/>
  <c r="V38" i="4"/>
  <c r="F38" i="4"/>
  <c r="U38" i="4"/>
  <c r="C40" i="4"/>
  <c r="D39" i="4"/>
  <c r="H39" i="4" s="1"/>
  <c r="G38" i="4" l="1"/>
  <c r="I38" i="4" s="1"/>
  <c r="B39" i="4"/>
  <c r="S39" i="4"/>
  <c r="R39" i="4"/>
  <c r="Q39" i="4"/>
  <c r="P39" i="4"/>
  <c r="O39" i="4"/>
  <c r="N39" i="4"/>
  <c r="M39" i="4"/>
  <c r="L39" i="4"/>
  <c r="AL38" i="4"/>
  <c r="AJ39" i="4"/>
  <c r="AK39" i="4"/>
  <c r="AI39" i="4"/>
  <c r="V39" i="4"/>
  <c r="X38" i="4"/>
  <c r="AA38" i="4" s="1"/>
  <c r="Y38" i="4"/>
  <c r="Z37" i="4"/>
  <c r="T39" i="4"/>
  <c r="F39" i="4"/>
  <c r="U39" i="4"/>
  <c r="W39" i="4"/>
  <c r="K39" i="4"/>
  <c r="E39" i="4"/>
  <c r="J39" i="4"/>
  <c r="C41" i="4"/>
  <c r="D40" i="4"/>
  <c r="H40" i="4" s="1"/>
  <c r="G39" i="4" l="1"/>
  <c r="I39" i="4" s="1"/>
  <c r="B40" i="4"/>
  <c r="S40" i="4"/>
  <c r="R40" i="4"/>
  <c r="Q40" i="4"/>
  <c r="P40" i="4"/>
  <c r="O40" i="4"/>
  <c r="N40" i="4"/>
  <c r="M40" i="4"/>
  <c r="L40" i="4"/>
  <c r="AL39" i="4"/>
  <c r="X39" i="4"/>
  <c r="AA39" i="4" s="1"/>
  <c r="AI40" i="4"/>
  <c r="AK40" i="4"/>
  <c r="AJ40" i="4"/>
  <c r="Z38" i="4"/>
  <c r="Y39" i="4"/>
  <c r="U40" i="4"/>
  <c r="T40" i="4"/>
  <c r="K40" i="4"/>
  <c r="W40" i="4"/>
  <c r="J40" i="4"/>
  <c r="V40" i="4"/>
  <c r="E40" i="4"/>
  <c r="F40" i="4"/>
  <c r="C42" i="4"/>
  <c r="D41" i="4"/>
  <c r="H41" i="4" s="1"/>
  <c r="G40" i="4" l="1"/>
  <c r="I40" i="4" s="1"/>
  <c r="B41" i="4"/>
  <c r="S41" i="4"/>
  <c r="R41" i="4"/>
  <c r="Q41" i="4"/>
  <c r="P41" i="4"/>
  <c r="O41" i="4"/>
  <c r="N41" i="4"/>
  <c r="M41" i="4"/>
  <c r="L41" i="4"/>
  <c r="Z39" i="4"/>
  <c r="AL40" i="4"/>
  <c r="U41" i="4"/>
  <c r="AJ41" i="4"/>
  <c r="AI41" i="4"/>
  <c r="AK41" i="4"/>
  <c r="Y40" i="4"/>
  <c r="V41" i="4"/>
  <c r="W41" i="4"/>
  <c r="J41" i="4"/>
  <c r="E41" i="4"/>
  <c r="T41" i="4"/>
  <c r="K41" i="4"/>
  <c r="F41" i="4"/>
  <c r="X40" i="4"/>
  <c r="C43" i="4"/>
  <c r="D42" i="4"/>
  <c r="H42" i="4" s="1"/>
  <c r="G41" i="4" l="1"/>
  <c r="I41" i="4" s="1"/>
  <c r="B42" i="4"/>
  <c r="S42" i="4"/>
  <c r="R42" i="4"/>
  <c r="Q42" i="4"/>
  <c r="P42" i="4"/>
  <c r="O42" i="4"/>
  <c r="N42" i="4"/>
  <c r="M42" i="4"/>
  <c r="L42" i="4"/>
  <c r="AL41" i="4"/>
  <c r="Z40" i="4"/>
  <c r="AJ42" i="4"/>
  <c r="AK42" i="4"/>
  <c r="Y41" i="4"/>
  <c r="AI42" i="4"/>
  <c r="AA40" i="4"/>
  <c r="X41" i="4"/>
  <c r="AA41" i="4" s="1"/>
  <c r="W42" i="4"/>
  <c r="E42" i="4"/>
  <c r="F42" i="4"/>
  <c r="T42" i="4"/>
  <c r="K42" i="4"/>
  <c r="J42" i="4"/>
  <c r="V42" i="4"/>
  <c r="U42" i="4"/>
  <c r="C44" i="4"/>
  <c r="D43" i="4"/>
  <c r="H43" i="4" s="1"/>
  <c r="G42" i="4" l="1"/>
  <c r="I42" i="4" s="1"/>
  <c r="B43" i="4"/>
  <c r="S43" i="4"/>
  <c r="R43" i="4"/>
  <c r="Q43" i="4"/>
  <c r="P43" i="4"/>
  <c r="O43" i="4"/>
  <c r="N43" i="4"/>
  <c r="M43" i="4"/>
  <c r="L43" i="4"/>
  <c r="F43" i="4"/>
  <c r="AK43" i="4"/>
  <c r="AI43" i="4"/>
  <c r="AL42" i="4"/>
  <c r="AJ43" i="4"/>
  <c r="Z41" i="4"/>
  <c r="X42" i="4"/>
  <c r="AA42" i="4" s="1"/>
  <c r="T43" i="4"/>
  <c r="U43" i="4"/>
  <c r="V43" i="4"/>
  <c r="J43" i="4"/>
  <c r="E43" i="4"/>
  <c r="K43" i="4"/>
  <c r="Y42" i="4"/>
  <c r="W43" i="4"/>
  <c r="C45" i="4"/>
  <c r="D44" i="4"/>
  <c r="H44" i="4" s="1"/>
  <c r="G43" i="4" l="1"/>
  <c r="I43" i="4" s="1"/>
  <c r="B44" i="4"/>
  <c r="S44" i="4"/>
  <c r="R44" i="4"/>
  <c r="Q44" i="4"/>
  <c r="P44" i="4"/>
  <c r="O44" i="4"/>
  <c r="N44" i="4"/>
  <c r="M44" i="4"/>
  <c r="L44" i="4"/>
  <c r="AL43" i="4"/>
  <c r="F44" i="4"/>
  <c r="AI44" i="4"/>
  <c r="AJ44" i="4"/>
  <c r="AK44" i="4"/>
  <c r="V44" i="4"/>
  <c r="X43" i="4"/>
  <c r="AA43" i="4" s="1"/>
  <c r="Z42" i="4"/>
  <c r="J44" i="4"/>
  <c r="E44" i="4"/>
  <c r="U44" i="4"/>
  <c r="T44" i="4"/>
  <c r="W44" i="4"/>
  <c r="Y43" i="4"/>
  <c r="K44" i="4"/>
  <c r="C46" i="4"/>
  <c r="D45" i="4"/>
  <c r="H45" i="4" s="1"/>
  <c r="G44" i="4" l="1"/>
  <c r="I44" i="4" s="1"/>
  <c r="B45" i="4"/>
  <c r="S45" i="4"/>
  <c r="R45" i="4"/>
  <c r="Q45" i="4"/>
  <c r="P45" i="4"/>
  <c r="O45" i="4"/>
  <c r="N45" i="4"/>
  <c r="M45" i="4"/>
  <c r="L45" i="4"/>
  <c r="AL44" i="4"/>
  <c r="AI45" i="4"/>
  <c r="AJ45" i="4"/>
  <c r="X44" i="4"/>
  <c r="AA44" i="4" s="1"/>
  <c r="AK45" i="4"/>
  <c r="Z43" i="4"/>
  <c r="F45" i="4"/>
  <c r="T45" i="4"/>
  <c r="W45" i="4"/>
  <c r="Y44" i="4"/>
  <c r="E45" i="4"/>
  <c r="K45" i="4"/>
  <c r="V45" i="4"/>
  <c r="J45" i="4"/>
  <c r="U45" i="4"/>
  <c r="C47" i="4"/>
  <c r="D46" i="4"/>
  <c r="H46" i="4" s="1"/>
  <c r="G45" i="4" l="1"/>
  <c r="I45" i="4" s="1"/>
  <c r="B46" i="4"/>
  <c r="S46" i="4"/>
  <c r="R46" i="4"/>
  <c r="Q46" i="4"/>
  <c r="P46" i="4"/>
  <c r="O46" i="4"/>
  <c r="N46" i="4"/>
  <c r="M46" i="4"/>
  <c r="L46" i="4"/>
  <c r="Z44" i="4"/>
  <c r="AL45" i="4"/>
  <c r="AI46" i="4"/>
  <c r="AJ46" i="4"/>
  <c r="AK46" i="4"/>
  <c r="F46" i="4"/>
  <c r="J46" i="4"/>
  <c r="U46" i="4"/>
  <c r="E46" i="4"/>
  <c r="X45" i="4"/>
  <c r="AA45" i="4" s="1"/>
  <c r="Y45" i="4"/>
  <c r="T46" i="4"/>
  <c r="W46" i="4"/>
  <c r="K46" i="4"/>
  <c r="V46" i="4"/>
  <c r="C48" i="4"/>
  <c r="D47" i="4"/>
  <c r="H47" i="4" s="1"/>
  <c r="G46" i="4" l="1"/>
  <c r="I46" i="4" s="1"/>
  <c r="B47" i="4"/>
  <c r="S47" i="4"/>
  <c r="R47" i="4"/>
  <c r="Q47" i="4"/>
  <c r="P47" i="4"/>
  <c r="O47" i="4"/>
  <c r="N47" i="4"/>
  <c r="M47" i="4"/>
  <c r="L47" i="4"/>
  <c r="AL46" i="4"/>
  <c r="AJ47" i="4"/>
  <c r="AI47" i="4"/>
  <c r="AK47" i="4"/>
  <c r="Y46" i="4"/>
  <c r="Z45" i="4"/>
  <c r="W47" i="4"/>
  <c r="T47" i="4"/>
  <c r="F47" i="4"/>
  <c r="E47" i="4"/>
  <c r="X46" i="4"/>
  <c r="AA46" i="4" s="1"/>
  <c r="K47" i="4"/>
  <c r="J47" i="4"/>
  <c r="V47" i="4"/>
  <c r="U47" i="4"/>
  <c r="C49" i="4"/>
  <c r="D48" i="4"/>
  <c r="H48" i="4" s="1"/>
  <c r="G47" i="4" l="1"/>
  <c r="I47" i="4" s="1"/>
  <c r="B48" i="4"/>
  <c r="S48" i="4"/>
  <c r="R48" i="4"/>
  <c r="Q48" i="4"/>
  <c r="P48" i="4"/>
  <c r="O48" i="4"/>
  <c r="N48" i="4"/>
  <c r="M48" i="4"/>
  <c r="L48" i="4"/>
  <c r="AL47" i="4"/>
  <c r="AJ48" i="4"/>
  <c r="AI48" i="4"/>
  <c r="AK48" i="4"/>
  <c r="Y47" i="4"/>
  <c r="T48" i="4"/>
  <c r="W48" i="4"/>
  <c r="E48" i="4"/>
  <c r="U48" i="4"/>
  <c r="X47" i="4"/>
  <c r="AA47" i="4" s="1"/>
  <c r="Z46" i="4"/>
  <c r="K48" i="4"/>
  <c r="V48" i="4"/>
  <c r="F48" i="4"/>
  <c r="J48" i="4"/>
  <c r="C50" i="4"/>
  <c r="D49" i="4"/>
  <c r="H49" i="4" s="1"/>
  <c r="G48" i="4" l="1"/>
  <c r="I48" i="4" s="1"/>
  <c r="B49" i="4"/>
  <c r="S49" i="4"/>
  <c r="R49" i="4"/>
  <c r="Q49" i="4"/>
  <c r="P49" i="4"/>
  <c r="O49" i="4"/>
  <c r="N49" i="4"/>
  <c r="M49" i="4"/>
  <c r="L49" i="4"/>
  <c r="AL48" i="4"/>
  <c r="AJ49" i="4"/>
  <c r="AI49" i="4"/>
  <c r="AK49" i="4"/>
  <c r="Y48" i="4"/>
  <c r="Z47" i="4"/>
  <c r="X48" i="4"/>
  <c r="AA48" i="4" s="1"/>
  <c r="K49" i="4"/>
  <c r="V49" i="4"/>
  <c r="J49" i="4"/>
  <c r="U49" i="4"/>
  <c r="F49" i="4"/>
  <c r="E49" i="4"/>
  <c r="T49" i="4"/>
  <c r="W49" i="4"/>
  <c r="C51" i="4"/>
  <c r="D50" i="4"/>
  <c r="H50" i="4" s="1"/>
  <c r="G49" i="4" l="1"/>
  <c r="I49" i="4" s="1"/>
  <c r="B50" i="4"/>
  <c r="S50" i="4"/>
  <c r="R50" i="4"/>
  <c r="Q50" i="4"/>
  <c r="P50" i="4"/>
  <c r="O50" i="4"/>
  <c r="N50" i="4"/>
  <c r="M50" i="4"/>
  <c r="L50" i="4"/>
  <c r="AL49" i="4"/>
  <c r="AI50" i="4"/>
  <c r="AJ50" i="4"/>
  <c r="AK50" i="4"/>
  <c r="Z48" i="4"/>
  <c r="Y49" i="4"/>
  <c r="F50" i="4"/>
  <c r="U50" i="4"/>
  <c r="T50" i="4"/>
  <c r="K50" i="4"/>
  <c r="W50" i="4"/>
  <c r="X49" i="4"/>
  <c r="AA49" i="4" s="1"/>
  <c r="E50" i="4"/>
  <c r="J50" i="4"/>
  <c r="V50" i="4"/>
  <c r="C52" i="4"/>
  <c r="D51" i="4"/>
  <c r="H51" i="4" s="1"/>
  <c r="G50" i="4" l="1"/>
  <c r="I50" i="4" s="1"/>
  <c r="B51" i="4"/>
  <c r="S51" i="4"/>
  <c r="R51" i="4"/>
  <c r="Q51" i="4"/>
  <c r="P51" i="4"/>
  <c r="O51" i="4"/>
  <c r="N51" i="4"/>
  <c r="M51" i="4"/>
  <c r="L51" i="4"/>
  <c r="AL50" i="4"/>
  <c r="AJ51" i="4"/>
  <c r="AK51" i="4"/>
  <c r="AI51" i="4"/>
  <c r="Y50" i="4"/>
  <c r="X50" i="4"/>
  <c r="AA50" i="4" s="1"/>
  <c r="K51" i="4"/>
  <c r="W51" i="4"/>
  <c r="F51" i="4"/>
  <c r="J51" i="4"/>
  <c r="Z49" i="4"/>
  <c r="T51" i="4"/>
  <c r="V51" i="4"/>
  <c r="E51" i="4"/>
  <c r="U51" i="4"/>
  <c r="C53" i="4"/>
  <c r="D52" i="4"/>
  <c r="H52" i="4" s="1"/>
  <c r="G51" i="4" l="1"/>
  <c r="I51" i="4" s="1"/>
  <c r="B52" i="4"/>
  <c r="S52" i="4"/>
  <c r="R52" i="4"/>
  <c r="Q52" i="4"/>
  <c r="P52" i="4"/>
  <c r="O52" i="4"/>
  <c r="N52" i="4"/>
  <c r="M52" i="4"/>
  <c r="L52" i="4"/>
  <c r="AL51" i="4"/>
  <c r="AI52" i="4"/>
  <c r="AK52" i="4"/>
  <c r="AJ52" i="4"/>
  <c r="Z50" i="4"/>
  <c r="K52" i="4"/>
  <c r="W52" i="4"/>
  <c r="Y51" i="4"/>
  <c r="U52" i="4"/>
  <c r="F52" i="4"/>
  <c r="E52" i="4"/>
  <c r="T52" i="4"/>
  <c r="J52" i="4"/>
  <c r="V52" i="4"/>
  <c r="X51" i="4"/>
  <c r="C54" i="4"/>
  <c r="D53" i="4"/>
  <c r="H53" i="4" s="1"/>
  <c r="G52" i="4" l="1"/>
  <c r="I52" i="4" s="1"/>
  <c r="B53" i="4"/>
  <c r="S53" i="4"/>
  <c r="R53" i="4"/>
  <c r="Q53" i="4"/>
  <c r="P53" i="4"/>
  <c r="O53" i="4"/>
  <c r="N53" i="4"/>
  <c r="M53" i="4"/>
  <c r="L53" i="4"/>
  <c r="AL52" i="4"/>
  <c r="AJ53" i="4"/>
  <c r="AK53" i="4"/>
  <c r="AI53" i="4"/>
  <c r="K53" i="4"/>
  <c r="Y52" i="4"/>
  <c r="Z51" i="4"/>
  <c r="E53" i="4"/>
  <c r="U53" i="4"/>
  <c r="V53" i="4"/>
  <c r="W53" i="4"/>
  <c r="J53" i="4"/>
  <c r="X52" i="4"/>
  <c r="AA51" i="4"/>
  <c r="F53" i="4"/>
  <c r="T53" i="4"/>
  <c r="C55" i="4"/>
  <c r="D54" i="4"/>
  <c r="H54" i="4" s="1"/>
  <c r="G53" i="4" l="1"/>
  <c r="I53" i="4" s="1"/>
  <c r="B54" i="4"/>
  <c r="S54" i="4"/>
  <c r="R54" i="4"/>
  <c r="Q54" i="4"/>
  <c r="P54" i="4"/>
  <c r="O54" i="4"/>
  <c r="N54" i="4"/>
  <c r="M54" i="4"/>
  <c r="L54" i="4"/>
  <c r="AK54" i="4"/>
  <c r="Z52" i="4"/>
  <c r="AJ54" i="4"/>
  <c r="AL53" i="4"/>
  <c r="AI54" i="4"/>
  <c r="J54" i="4"/>
  <c r="AA52" i="4"/>
  <c r="X53" i="4"/>
  <c r="AA53" i="4" s="1"/>
  <c r="Y53" i="4"/>
  <c r="F54" i="4"/>
  <c r="T54" i="4"/>
  <c r="K54" i="4"/>
  <c r="W54" i="4"/>
  <c r="E54" i="4"/>
  <c r="V54" i="4"/>
  <c r="U54" i="4"/>
  <c r="C56" i="4"/>
  <c r="D55" i="4"/>
  <c r="H55" i="4" s="1"/>
  <c r="G54" i="4" l="1"/>
  <c r="I54" i="4" s="1"/>
  <c r="B55" i="4"/>
  <c r="S55" i="4"/>
  <c r="R55" i="4"/>
  <c r="Q55" i="4"/>
  <c r="P55" i="4"/>
  <c r="O55" i="4"/>
  <c r="N55" i="4"/>
  <c r="M55" i="4"/>
  <c r="L55" i="4"/>
  <c r="AL54" i="4"/>
  <c r="AK55" i="4"/>
  <c r="AI55" i="4"/>
  <c r="Z53" i="4"/>
  <c r="AJ55" i="4"/>
  <c r="K55" i="4"/>
  <c r="W55" i="4"/>
  <c r="J55" i="4"/>
  <c r="F55" i="4"/>
  <c r="E55" i="4"/>
  <c r="Y54" i="4"/>
  <c r="V55" i="4"/>
  <c r="X54" i="4"/>
  <c r="AA54" i="4" s="1"/>
  <c r="T55" i="4"/>
  <c r="U55" i="4"/>
  <c r="C57" i="4"/>
  <c r="D56" i="4"/>
  <c r="H56" i="4" s="1"/>
  <c r="G55" i="4" l="1"/>
  <c r="I55" i="4" s="1"/>
  <c r="B56" i="4"/>
  <c r="S56" i="4"/>
  <c r="R56" i="4"/>
  <c r="Q56" i="4"/>
  <c r="P56" i="4"/>
  <c r="O56" i="4"/>
  <c r="N56" i="4"/>
  <c r="M56" i="4"/>
  <c r="L56" i="4"/>
  <c r="AL55" i="4"/>
  <c r="AI56" i="4"/>
  <c r="AJ56" i="4"/>
  <c r="AK56" i="4"/>
  <c r="Y55" i="4"/>
  <c r="X55" i="4"/>
  <c r="AA55" i="4" s="1"/>
  <c r="Z54" i="4"/>
  <c r="W56" i="4"/>
  <c r="T56" i="4"/>
  <c r="K56" i="4"/>
  <c r="J56" i="4"/>
  <c r="E56" i="4"/>
  <c r="U56" i="4"/>
  <c r="F56" i="4"/>
  <c r="V56" i="4"/>
  <c r="C58" i="4"/>
  <c r="D57" i="4"/>
  <c r="H57" i="4" s="1"/>
  <c r="G56" i="4" l="1"/>
  <c r="I56" i="4" s="1"/>
  <c r="B57" i="4"/>
  <c r="S57" i="4"/>
  <c r="R57" i="4"/>
  <c r="Q57" i="4"/>
  <c r="P57" i="4"/>
  <c r="O57" i="4"/>
  <c r="N57" i="4"/>
  <c r="M57" i="4"/>
  <c r="L57" i="4"/>
  <c r="AL56" i="4"/>
  <c r="AJ57" i="4"/>
  <c r="AI57" i="4"/>
  <c r="AK57" i="4"/>
  <c r="Z55" i="4"/>
  <c r="Y56" i="4"/>
  <c r="X56" i="4"/>
  <c r="AA56" i="4" s="1"/>
  <c r="E57" i="4"/>
  <c r="K57" i="4"/>
  <c r="V57" i="4"/>
  <c r="J57" i="4"/>
  <c r="U57" i="4"/>
  <c r="F57" i="4"/>
  <c r="T57" i="4"/>
  <c r="W57" i="4"/>
  <c r="C59" i="4"/>
  <c r="D58" i="4"/>
  <c r="H58" i="4" s="1"/>
  <c r="G57" i="4" l="1"/>
  <c r="I57" i="4" s="1"/>
  <c r="B58" i="4"/>
  <c r="S58" i="4"/>
  <c r="R58" i="4"/>
  <c r="P58" i="4"/>
  <c r="Q58" i="4"/>
  <c r="O58" i="4"/>
  <c r="N58" i="4"/>
  <c r="M58" i="4"/>
  <c r="L58" i="4"/>
  <c r="AI58" i="4"/>
  <c r="AJ58" i="4"/>
  <c r="AL57" i="4"/>
  <c r="AK58" i="4"/>
  <c r="W58" i="4"/>
  <c r="K58" i="4"/>
  <c r="Z56" i="4"/>
  <c r="E58" i="4"/>
  <c r="T58" i="4"/>
  <c r="X57" i="4"/>
  <c r="AA57" i="4" s="1"/>
  <c r="Y57" i="4"/>
  <c r="J58" i="4"/>
  <c r="U58" i="4"/>
  <c r="V58" i="4"/>
  <c r="F58" i="4"/>
  <c r="C60" i="4"/>
  <c r="D59" i="4"/>
  <c r="H59" i="4" s="1"/>
  <c r="G58" i="4" l="1"/>
  <c r="I58" i="4" s="1"/>
  <c r="B59" i="4"/>
  <c r="S59" i="4"/>
  <c r="R59" i="4"/>
  <c r="P59" i="4"/>
  <c r="Q59" i="4"/>
  <c r="O59" i="4"/>
  <c r="N59" i="4"/>
  <c r="M59" i="4"/>
  <c r="L59" i="4"/>
  <c r="AL58" i="4"/>
  <c r="AI59" i="4"/>
  <c r="AJ59" i="4"/>
  <c r="AK59" i="4"/>
  <c r="Y58" i="4"/>
  <c r="Z57" i="4"/>
  <c r="X58" i="4"/>
  <c r="AA58" i="4" s="1"/>
  <c r="F59" i="4"/>
  <c r="T59" i="4"/>
  <c r="W59" i="4"/>
  <c r="J59" i="4"/>
  <c r="U59" i="4"/>
  <c r="E59" i="4"/>
  <c r="K59" i="4"/>
  <c r="V59" i="4"/>
  <c r="C61" i="4"/>
  <c r="D60" i="4"/>
  <c r="H60" i="4" s="1"/>
  <c r="G59" i="4" l="1"/>
  <c r="I59" i="4" s="1"/>
  <c r="B60" i="4"/>
  <c r="S60" i="4"/>
  <c r="R60" i="4"/>
  <c r="P60" i="4"/>
  <c r="Q60" i="4"/>
  <c r="O60" i="4"/>
  <c r="N60" i="4"/>
  <c r="M60" i="4"/>
  <c r="L60" i="4"/>
  <c r="AL59" i="4"/>
  <c r="AJ60" i="4"/>
  <c r="AI60" i="4"/>
  <c r="AK60" i="4"/>
  <c r="Z58" i="4"/>
  <c r="X59" i="4"/>
  <c r="AA59" i="4" s="1"/>
  <c r="Y59" i="4"/>
  <c r="V60" i="4"/>
  <c r="K60" i="4"/>
  <c r="F60" i="4"/>
  <c r="E60" i="4"/>
  <c r="J60" i="4"/>
  <c r="U60" i="4"/>
  <c r="T60" i="4"/>
  <c r="W60" i="4"/>
  <c r="C62" i="4"/>
  <c r="D61" i="4"/>
  <c r="H61" i="4" s="1"/>
  <c r="G60" i="4" l="1"/>
  <c r="I60" i="4" s="1"/>
  <c r="B61" i="4"/>
  <c r="S61" i="4"/>
  <c r="R61" i="4"/>
  <c r="P61" i="4"/>
  <c r="Q61" i="4"/>
  <c r="O61" i="4"/>
  <c r="N61" i="4"/>
  <c r="M61" i="4"/>
  <c r="L61" i="4"/>
  <c r="AL60" i="4"/>
  <c r="Z59" i="4"/>
  <c r="AJ61" i="4"/>
  <c r="AK61" i="4"/>
  <c r="AI61" i="4"/>
  <c r="U61" i="4"/>
  <c r="X60" i="4"/>
  <c r="AA60" i="4" s="1"/>
  <c r="K61" i="4"/>
  <c r="V61" i="4"/>
  <c r="J61" i="4"/>
  <c r="E61" i="4"/>
  <c r="T61" i="4"/>
  <c r="W61" i="4"/>
  <c r="F61" i="4"/>
  <c r="Y60" i="4"/>
  <c r="C63" i="4"/>
  <c r="D62" i="4"/>
  <c r="H62" i="4" s="1"/>
  <c r="G61" i="4" l="1"/>
  <c r="I61" i="4" s="1"/>
  <c r="B62" i="4"/>
  <c r="S62" i="4"/>
  <c r="R62" i="4"/>
  <c r="P62" i="4"/>
  <c r="Q62" i="4"/>
  <c r="O62" i="4"/>
  <c r="N62" i="4"/>
  <c r="M62" i="4"/>
  <c r="L62" i="4"/>
  <c r="Z60" i="4"/>
  <c r="AL61" i="4"/>
  <c r="X61" i="4"/>
  <c r="AA61" i="4" s="1"/>
  <c r="AI62" i="4"/>
  <c r="Y61" i="4"/>
  <c r="AJ62" i="4"/>
  <c r="AK62" i="4"/>
  <c r="J62" i="4"/>
  <c r="K62" i="4"/>
  <c r="F62" i="4"/>
  <c r="U62" i="4"/>
  <c r="T62" i="4"/>
  <c r="W62" i="4"/>
  <c r="V62" i="4"/>
  <c r="E62" i="4"/>
  <c r="C64" i="4"/>
  <c r="D63" i="4"/>
  <c r="H63" i="4" s="1"/>
  <c r="G62" i="4" l="1"/>
  <c r="I62" i="4" s="1"/>
  <c r="B63" i="4"/>
  <c r="S63" i="4"/>
  <c r="R63" i="4"/>
  <c r="P63" i="4"/>
  <c r="Q63" i="4"/>
  <c r="O63" i="4"/>
  <c r="N63" i="4"/>
  <c r="M63" i="4"/>
  <c r="L63" i="4"/>
  <c r="Z61" i="4"/>
  <c r="AL62" i="4"/>
  <c r="W63" i="4"/>
  <c r="AJ63" i="4"/>
  <c r="AK63" i="4"/>
  <c r="AI63" i="4"/>
  <c r="K63" i="4"/>
  <c r="Y62" i="4"/>
  <c r="V63" i="4"/>
  <c r="U63" i="4"/>
  <c r="E63" i="4"/>
  <c r="F63" i="4"/>
  <c r="T63" i="4"/>
  <c r="J63" i="4"/>
  <c r="X62" i="4"/>
  <c r="AA62" i="4" s="1"/>
  <c r="C65" i="4"/>
  <c r="D64" i="4"/>
  <c r="H64" i="4" s="1"/>
  <c r="G63" i="4" l="1"/>
  <c r="I63" i="4" s="1"/>
  <c r="B64" i="4"/>
  <c r="S64" i="4"/>
  <c r="R64" i="4"/>
  <c r="P64" i="4"/>
  <c r="Q64" i="4"/>
  <c r="O64" i="4"/>
  <c r="N64" i="4"/>
  <c r="M64" i="4"/>
  <c r="L64" i="4"/>
  <c r="Y63" i="4"/>
  <c r="AL63" i="4"/>
  <c r="AK64" i="4"/>
  <c r="AI64" i="4"/>
  <c r="AJ64" i="4"/>
  <c r="Z62" i="4"/>
  <c r="W64" i="4"/>
  <c r="F64" i="4"/>
  <c r="K64" i="4"/>
  <c r="J64" i="4"/>
  <c r="X63" i="4"/>
  <c r="V64" i="4"/>
  <c r="E64" i="4"/>
  <c r="U64" i="4"/>
  <c r="T64" i="4"/>
  <c r="C66" i="4"/>
  <c r="D65" i="4"/>
  <c r="H65" i="4" s="1"/>
  <c r="G64" i="4" l="1"/>
  <c r="I64" i="4" s="1"/>
  <c r="B65" i="4"/>
  <c r="S65" i="4"/>
  <c r="R65" i="4"/>
  <c r="P65" i="4"/>
  <c r="Q65" i="4"/>
  <c r="O65" i="4"/>
  <c r="N65" i="4"/>
  <c r="M65" i="4"/>
  <c r="L65" i="4"/>
  <c r="Z63" i="4"/>
  <c r="AL64" i="4"/>
  <c r="AJ65" i="4"/>
  <c r="AI65" i="4"/>
  <c r="AK65" i="4"/>
  <c r="X64" i="4"/>
  <c r="AA64" i="4" s="1"/>
  <c r="Y64" i="4"/>
  <c r="T65" i="4"/>
  <c r="V65" i="4"/>
  <c r="AA63" i="4"/>
  <c r="E65" i="4"/>
  <c r="U65" i="4"/>
  <c r="K65" i="4"/>
  <c r="J65" i="4"/>
  <c r="W65" i="4"/>
  <c r="F65" i="4"/>
  <c r="C67" i="4"/>
  <c r="D66" i="4"/>
  <c r="H66" i="4" s="1"/>
  <c r="G65" i="4" l="1"/>
  <c r="I65" i="4" s="1"/>
  <c r="S66" i="4"/>
  <c r="R66" i="4"/>
  <c r="P66" i="4"/>
  <c r="Q66" i="4"/>
  <c r="O66" i="4"/>
  <c r="N66" i="4"/>
  <c r="M66" i="4"/>
  <c r="L66" i="4"/>
  <c r="B66" i="4"/>
  <c r="K66" i="4"/>
  <c r="AL65" i="4"/>
  <c r="AK66" i="4"/>
  <c r="AJ66" i="4"/>
  <c r="Z64" i="4"/>
  <c r="AI66" i="4"/>
  <c r="X65" i="4"/>
  <c r="AA65" i="4" s="1"/>
  <c r="Y65" i="4"/>
  <c r="J66" i="4"/>
  <c r="V66" i="4"/>
  <c r="E66" i="4"/>
  <c r="U66" i="4"/>
  <c r="T66" i="4"/>
  <c r="W66" i="4"/>
  <c r="F66" i="4"/>
  <c r="C68" i="4"/>
  <c r="D67" i="4"/>
  <c r="H67" i="4" s="1"/>
  <c r="G66" i="4" l="1"/>
  <c r="I66" i="4" s="1"/>
  <c r="B67" i="4"/>
  <c r="S67" i="4"/>
  <c r="R67" i="4"/>
  <c r="P67" i="4"/>
  <c r="Q67" i="4"/>
  <c r="O67" i="4"/>
  <c r="N67" i="4"/>
  <c r="M67" i="4"/>
  <c r="L67" i="4"/>
  <c r="AL66" i="4"/>
  <c r="AK67" i="4"/>
  <c r="AI67" i="4"/>
  <c r="AJ67" i="4"/>
  <c r="Z65" i="4"/>
  <c r="T67" i="4"/>
  <c r="U67" i="4"/>
  <c r="X66" i="4"/>
  <c r="AA66" i="4" s="1"/>
  <c r="Y66" i="4"/>
  <c r="V67" i="4"/>
  <c r="F67" i="4"/>
  <c r="E67" i="4"/>
  <c r="K67" i="4"/>
  <c r="J67" i="4"/>
  <c r="W67" i="4"/>
  <c r="C69" i="4"/>
  <c r="D68" i="4"/>
  <c r="H68" i="4" s="1"/>
  <c r="G67" i="4" l="1"/>
  <c r="I67" i="4" s="1"/>
  <c r="S68" i="4"/>
  <c r="R68" i="4"/>
  <c r="P68" i="4"/>
  <c r="Q68" i="4"/>
  <c r="O68" i="4"/>
  <c r="N68" i="4"/>
  <c r="M68" i="4"/>
  <c r="L68" i="4"/>
  <c r="B68" i="4"/>
  <c r="AI68" i="4"/>
  <c r="U68" i="4"/>
  <c r="AJ68" i="4"/>
  <c r="AL67" i="4"/>
  <c r="AK68" i="4"/>
  <c r="V68" i="4"/>
  <c r="J68" i="4"/>
  <c r="Z66" i="4"/>
  <c r="Y67" i="4"/>
  <c r="X67" i="4"/>
  <c r="AA67" i="4" s="1"/>
  <c r="W68" i="4"/>
  <c r="E68" i="4"/>
  <c r="F68" i="4"/>
  <c r="T68" i="4"/>
  <c r="K68" i="4"/>
  <c r="C70" i="4"/>
  <c r="D69" i="4"/>
  <c r="H69" i="4" s="1"/>
  <c r="G68" i="4" l="1"/>
  <c r="I68" i="4" s="1"/>
  <c r="B69" i="4"/>
  <c r="S69" i="4"/>
  <c r="R69" i="4"/>
  <c r="P69" i="4"/>
  <c r="Q69" i="4"/>
  <c r="O69" i="4"/>
  <c r="N69" i="4"/>
  <c r="M69" i="4"/>
  <c r="L69" i="4"/>
  <c r="AL68" i="4"/>
  <c r="Y68" i="4"/>
  <c r="AI69" i="4"/>
  <c r="AJ69" i="4"/>
  <c r="X68" i="4"/>
  <c r="AA68" i="4" s="1"/>
  <c r="AK69" i="4"/>
  <c r="Z67" i="4"/>
  <c r="W69" i="4"/>
  <c r="T69" i="4"/>
  <c r="U69" i="4"/>
  <c r="F69" i="4"/>
  <c r="K69" i="4"/>
  <c r="V69" i="4"/>
  <c r="E69" i="4"/>
  <c r="J69" i="4"/>
  <c r="C71" i="4"/>
  <c r="D70" i="4"/>
  <c r="H70" i="4" s="1"/>
  <c r="G69" i="4" l="1"/>
  <c r="I69" i="4" s="1"/>
  <c r="B70" i="4"/>
  <c r="S70" i="4"/>
  <c r="R70" i="4"/>
  <c r="P70" i="4"/>
  <c r="Q70" i="4"/>
  <c r="O70" i="4"/>
  <c r="N70" i="4"/>
  <c r="M70" i="4"/>
  <c r="L70" i="4"/>
  <c r="AL69" i="4"/>
  <c r="AJ70" i="4"/>
  <c r="Z68" i="4"/>
  <c r="AI70" i="4"/>
  <c r="AK70" i="4"/>
  <c r="K70" i="4"/>
  <c r="F70" i="4"/>
  <c r="V70" i="4"/>
  <c r="U70" i="4"/>
  <c r="Y69" i="4"/>
  <c r="X69" i="4"/>
  <c r="J70" i="4"/>
  <c r="T70" i="4"/>
  <c r="W70" i="4"/>
  <c r="E70" i="4"/>
  <c r="C72" i="4"/>
  <c r="D71" i="4"/>
  <c r="H71" i="4" s="1"/>
  <c r="G70" i="4" l="1"/>
  <c r="I70" i="4" s="1"/>
  <c r="B71" i="4"/>
  <c r="S71" i="4"/>
  <c r="R71" i="4"/>
  <c r="P71" i="4"/>
  <c r="Q71" i="4"/>
  <c r="O71" i="4"/>
  <c r="N71" i="4"/>
  <c r="M71" i="4"/>
  <c r="L71" i="4"/>
  <c r="AL70" i="4"/>
  <c r="X70" i="4"/>
  <c r="AA70" i="4" s="1"/>
  <c r="AI71" i="4"/>
  <c r="Z69" i="4"/>
  <c r="AJ71" i="4"/>
  <c r="AK71" i="4"/>
  <c r="Y70" i="4"/>
  <c r="AA69" i="4"/>
  <c r="T71" i="4"/>
  <c r="K71" i="4"/>
  <c r="W71" i="4"/>
  <c r="V71" i="4"/>
  <c r="E71" i="4"/>
  <c r="J71" i="4"/>
  <c r="U71" i="4"/>
  <c r="F71" i="4"/>
  <c r="C73" i="4"/>
  <c r="D72" i="4"/>
  <c r="H72" i="4" s="1"/>
  <c r="G71" i="4" l="1"/>
  <c r="I71" i="4" s="1"/>
  <c r="B72" i="4"/>
  <c r="S72" i="4"/>
  <c r="R72" i="4"/>
  <c r="P72" i="4"/>
  <c r="Q72" i="4"/>
  <c r="O72" i="4"/>
  <c r="N72" i="4"/>
  <c r="M72" i="4"/>
  <c r="L72" i="4"/>
  <c r="Z70" i="4"/>
  <c r="AL71" i="4"/>
  <c r="AI72" i="4"/>
  <c r="AJ72" i="4"/>
  <c r="AK72" i="4"/>
  <c r="Y71" i="4"/>
  <c r="X71" i="4"/>
  <c r="AA71" i="4" s="1"/>
  <c r="J72" i="4"/>
  <c r="E72" i="4"/>
  <c r="W72" i="4"/>
  <c r="U72" i="4"/>
  <c r="F72" i="4"/>
  <c r="T72" i="4"/>
  <c r="K72" i="4"/>
  <c r="V72" i="4"/>
  <c r="C74" i="4"/>
  <c r="D73" i="4"/>
  <c r="H73" i="4" s="1"/>
  <c r="G72" i="4" l="1"/>
  <c r="I72" i="4" s="1"/>
  <c r="B73" i="4"/>
  <c r="P73" i="4"/>
  <c r="S73" i="4"/>
  <c r="R73" i="4"/>
  <c r="Q73" i="4"/>
  <c r="O73" i="4"/>
  <c r="N73" i="4"/>
  <c r="M73" i="4"/>
  <c r="L73" i="4"/>
  <c r="AL72" i="4"/>
  <c r="Z71" i="4"/>
  <c r="K73" i="4"/>
  <c r="V73" i="4"/>
  <c r="AJ73" i="4"/>
  <c r="AI73" i="4"/>
  <c r="AK73" i="4"/>
  <c r="X72" i="4"/>
  <c r="AA72" i="4" s="1"/>
  <c r="Y72" i="4"/>
  <c r="U73" i="4"/>
  <c r="T73" i="4"/>
  <c r="W73" i="4"/>
  <c r="E73" i="4"/>
  <c r="F73" i="4"/>
  <c r="J73" i="4"/>
  <c r="C75" i="4"/>
  <c r="D74" i="4"/>
  <c r="H74" i="4" s="1"/>
  <c r="G73" i="4" l="1"/>
  <c r="I73" i="4" s="1"/>
  <c r="B74" i="4"/>
  <c r="S74" i="4"/>
  <c r="R74" i="4"/>
  <c r="P74" i="4"/>
  <c r="Q74" i="4"/>
  <c r="O74" i="4"/>
  <c r="N74" i="4"/>
  <c r="M74" i="4"/>
  <c r="L74" i="4"/>
  <c r="X73" i="4"/>
  <c r="AA73" i="4" s="1"/>
  <c r="AL73" i="4"/>
  <c r="Z72" i="4"/>
  <c r="AJ74" i="4"/>
  <c r="AI74" i="4"/>
  <c r="AK74" i="4"/>
  <c r="Y73" i="4"/>
  <c r="U74" i="4"/>
  <c r="T74" i="4"/>
  <c r="K74" i="4"/>
  <c r="W74" i="4"/>
  <c r="J74" i="4"/>
  <c r="V74" i="4"/>
  <c r="E74" i="4"/>
  <c r="F74" i="4"/>
  <c r="C76" i="4"/>
  <c r="D75" i="4"/>
  <c r="H75" i="4" s="1"/>
  <c r="G74" i="4" l="1"/>
  <c r="I74" i="4" s="1"/>
  <c r="B75" i="4"/>
  <c r="P75" i="4"/>
  <c r="S75" i="4"/>
  <c r="R75" i="4"/>
  <c r="Q75" i="4"/>
  <c r="O75" i="4"/>
  <c r="N75" i="4"/>
  <c r="M75" i="4"/>
  <c r="L75" i="4"/>
  <c r="Z73" i="4"/>
  <c r="AL74" i="4"/>
  <c r="AJ75" i="4"/>
  <c r="T75" i="4"/>
  <c r="F75" i="4"/>
  <c r="Y74" i="4"/>
  <c r="AK75" i="4"/>
  <c r="AI75" i="4"/>
  <c r="W75" i="4"/>
  <c r="K75" i="4"/>
  <c r="X74" i="4"/>
  <c r="V75" i="4"/>
  <c r="J75" i="4"/>
  <c r="U75" i="4"/>
  <c r="E75" i="4"/>
  <c r="C77" i="4"/>
  <c r="D76" i="4"/>
  <c r="H76" i="4" s="1"/>
  <c r="G75" i="4" l="1"/>
  <c r="I75" i="4" s="1"/>
  <c r="B76" i="4"/>
  <c r="P76" i="4"/>
  <c r="S76" i="4"/>
  <c r="R76" i="4"/>
  <c r="Q76" i="4"/>
  <c r="O76" i="4"/>
  <c r="N76" i="4"/>
  <c r="M76" i="4"/>
  <c r="L76" i="4"/>
  <c r="X75" i="4"/>
  <c r="AA75" i="4" s="1"/>
  <c r="AL75" i="4"/>
  <c r="Z74" i="4"/>
  <c r="F76" i="4"/>
  <c r="AI76" i="4"/>
  <c r="AK76" i="4"/>
  <c r="AJ76" i="4"/>
  <c r="E76" i="4"/>
  <c r="K76" i="4"/>
  <c r="AA74" i="4"/>
  <c r="Y75" i="4"/>
  <c r="W76" i="4"/>
  <c r="J76" i="4"/>
  <c r="V76" i="4"/>
  <c r="U76" i="4"/>
  <c r="T76" i="4"/>
  <c r="C78" i="4"/>
  <c r="D77" i="4"/>
  <c r="H77" i="4" s="1"/>
  <c r="G76" i="4" l="1"/>
  <c r="I76" i="4" s="1"/>
  <c r="P77" i="4"/>
  <c r="S77" i="4"/>
  <c r="R77" i="4"/>
  <c r="Q77" i="4"/>
  <c r="O77" i="4"/>
  <c r="M77" i="4"/>
  <c r="N77" i="4"/>
  <c r="L77" i="4"/>
  <c r="B77" i="4"/>
  <c r="AI77" i="4"/>
  <c r="Z75" i="4"/>
  <c r="AL76" i="4"/>
  <c r="AJ77" i="4"/>
  <c r="AK77" i="4"/>
  <c r="T77" i="4"/>
  <c r="U77" i="4"/>
  <c r="X76" i="4"/>
  <c r="AA76" i="4" s="1"/>
  <c r="V77" i="4"/>
  <c r="Y76" i="4"/>
  <c r="K77" i="4"/>
  <c r="F77" i="4"/>
  <c r="E77" i="4"/>
  <c r="W77" i="4"/>
  <c r="J77" i="4"/>
  <c r="C79" i="4"/>
  <c r="D78" i="4"/>
  <c r="H78" i="4" s="1"/>
  <c r="G77" i="4" l="1"/>
  <c r="I77" i="4" s="1"/>
  <c r="B78" i="4"/>
  <c r="S78" i="4"/>
  <c r="R78" i="4"/>
  <c r="P78" i="4"/>
  <c r="Q78" i="4"/>
  <c r="O78" i="4"/>
  <c r="N78" i="4"/>
  <c r="M78" i="4"/>
  <c r="L78" i="4"/>
  <c r="AL77" i="4"/>
  <c r="AK78" i="4"/>
  <c r="AJ78" i="4"/>
  <c r="AI78" i="4"/>
  <c r="X77" i="4"/>
  <c r="AA77" i="4" s="1"/>
  <c r="Y77" i="4"/>
  <c r="Z76" i="4"/>
  <c r="U78" i="4"/>
  <c r="F78" i="4"/>
  <c r="T78" i="4"/>
  <c r="W78" i="4"/>
  <c r="E78" i="4"/>
  <c r="K78" i="4"/>
  <c r="J78" i="4"/>
  <c r="V78" i="4"/>
  <c r="C80" i="4"/>
  <c r="D79" i="4"/>
  <c r="H79" i="4" s="1"/>
  <c r="G78" i="4" l="1"/>
  <c r="I78" i="4" s="1"/>
  <c r="B79" i="4"/>
  <c r="P79" i="4"/>
  <c r="S79" i="4"/>
  <c r="R79" i="4"/>
  <c r="Q79" i="4"/>
  <c r="O79" i="4"/>
  <c r="M79" i="4"/>
  <c r="N79" i="4"/>
  <c r="L79" i="4"/>
  <c r="Z77" i="4"/>
  <c r="AK79" i="4"/>
  <c r="AL78" i="4"/>
  <c r="AI79" i="4"/>
  <c r="AJ79" i="4"/>
  <c r="X78" i="4"/>
  <c r="AA78" i="4" s="1"/>
  <c r="Y78" i="4"/>
  <c r="T79" i="4"/>
  <c r="V79" i="4"/>
  <c r="J79" i="4"/>
  <c r="K79" i="4"/>
  <c r="E79" i="4"/>
  <c r="W79" i="4"/>
  <c r="U79" i="4"/>
  <c r="F79" i="4"/>
  <c r="C81" i="4"/>
  <c r="D80" i="4"/>
  <c r="H80" i="4" s="1"/>
  <c r="G79" i="4" l="1"/>
  <c r="I79" i="4" s="1"/>
  <c r="B80" i="4"/>
  <c r="P80" i="4"/>
  <c r="S80" i="4"/>
  <c r="R80" i="4"/>
  <c r="Q80" i="4"/>
  <c r="O80" i="4"/>
  <c r="N80" i="4"/>
  <c r="M80" i="4"/>
  <c r="L80" i="4"/>
  <c r="AL79" i="4"/>
  <c r="AI80" i="4"/>
  <c r="AJ80" i="4"/>
  <c r="AK80" i="4"/>
  <c r="Z78" i="4"/>
  <c r="Y79" i="4"/>
  <c r="X79" i="4"/>
  <c r="AA79" i="4" s="1"/>
  <c r="K80" i="4"/>
  <c r="J80" i="4"/>
  <c r="V80" i="4"/>
  <c r="F80" i="4"/>
  <c r="U80" i="4"/>
  <c r="E80" i="4"/>
  <c r="T80" i="4"/>
  <c r="W80" i="4"/>
  <c r="C82" i="4"/>
  <c r="D81" i="4"/>
  <c r="H81" i="4" s="1"/>
  <c r="G80" i="4" l="1"/>
  <c r="I80" i="4" s="1"/>
  <c r="B81" i="4"/>
  <c r="P81" i="4"/>
  <c r="S81" i="4"/>
  <c r="R81" i="4"/>
  <c r="Q81" i="4"/>
  <c r="O81" i="4"/>
  <c r="M81" i="4"/>
  <c r="N81" i="4"/>
  <c r="L81" i="4"/>
  <c r="AL80" i="4"/>
  <c r="E81" i="4"/>
  <c r="AI81" i="4"/>
  <c r="AJ81" i="4"/>
  <c r="AK81" i="4"/>
  <c r="X80" i="4"/>
  <c r="AA80" i="4" s="1"/>
  <c r="J81" i="4"/>
  <c r="U81" i="4"/>
  <c r="Y80" i="4"/>
  <c r="Z79" i="4"/>
  <c r="W81" i="4"/>
  <c r="F81" i="4"/>
  <c r="T81" i="4"/>
  <c r="V81" i="4"/>
  <c r="K81" i="4"/>
  <c r="C83" i="4"/>
  <c r="D82" i="4"/>
  <c r="H82" i="4" s="1"/>
  <c r="G81" i="4" l="1"/>
  <c r="I81" i="4" s="1"/>
  <c r="B82" i="4"/>
  <c r="S82" i="4"/>
  <c r="R82" i="4"/>
  <c r="P82" i="4"/>
  <c r="Q82" i="4"/>
  <c r="O82" i="4"/>
  <c r="N82" i="4"/>
  <c r="M82" i="4"/>
  <c r="L82" i="4"/>
  <c r="AL81" i="4"/>
  <c r="AJ82" i="4"/>
  <c r="AI82" i="4"/>
  <c r="AK82" i="4"/>
  <c r="T82" i="4"/>
  <c r="Z80" i="4"/>
  <c r="V82" i="4"/>
  <c r="Y81" i="4"/>
  <c r="F82" i="4"/>
  <c r="E82" i="4"/>
  <c r="K82" i="4"/>
  <c r="J82" i="4"/>
  <c r="U82" i="4"/>
  <c r="X81" i="4"/>
  <c r="AA81" i="4" s="1"/>
  <c r="W82" i="4"/>
  <c r="C84" i="4"/>
  <c r="D83" i="4"/>
  <c r="H83" i="4" s="1"/>
  <c r="G82" i="4" l="1"/>
  <c r="I82" i="4" s="1"/>
  <c r="B83" i="4"/>
  <c r="P83" i="4"/>
  <c r="S83" i="4"/>
  <c r="R83" i="4"/>
  <c r="Q83" i="4"/>
  <c r="O83" i="4"/>
  <c r="M83" i="4"/>
  <c r="N83" i="4"/>
  <c r="L83" i="4"/>
  <c r="AL82" i="4"/>
  <c r="X82" i="4"/>
  <c r="AA82" i="4" s="1"/>
  <c r="AJ83" i="4"/>
  <c r="AI83" i="4"/>
  <c r="AK83" i="4"/>
  <c r="Z81" i="4"/>
  <c r="Y82" i="4"/>
  <c r="V83" i="4"/>
  <c r="E83" i="4"/>
  <c r="T83" i="4"/>
  <c r="K83" i="4"/>
  <c r="J83" i="4"/>
  <c r="F83" i="4"/>
  <c r="U83" i="4"/>
  <c r="W83" i="4"/>
  <c r="C85" i="4"/>
  <c r="D84" i="4"/>
  <c r="H84" i="4" s="1"/>
  <c r="G83" i="4" l="1"/>
  <c r="I83" i="4" s="1"/>
  <c r="B84" i="4"/>
  <c r="P84" i="4"/>
  <c r="S84" i="4"/>
  <c r="R84" i="4"/>
  <c r="Q84" i="4"/>
  <c r="O84" i="4"/>
  <c r="N84" i="4"/>
  <c r="M84" i="4"/>
  <c r="L84" i="4"/>
  <c r="AL83" i="4"/>
  <c r="Z82" i="4"/>
  <c r="AI84" i="4"/>
  <c r="X83" i="4"/>
  <c r="AA83" i="4" s="1"/>
  <c r="AJ84" i="4"/>
  <c r="AK84" i="4"/>
  <c r="T84" i="4"/>
  <c r="J84" i="4"/>
  <c r="F84" i="4"/>
  <c r="K84" i="4"/>
  <c r="E84" i="4"/>
  <c r="W84" i="4"/>
  <c r="V84" i="4"/>
  <c r="U84" i="4"/>
  <c r="Y83" i="4"/>
  <c r="C86" i="4"/>
  <c r="D85" i="4"/>
  <c r="H85" i="4" s="1"/>
  <c r="G84" i="4" l="1"/>
  <c r="I84" i="4" s="1"/>
  <c r="B85" i="4"/>
  <c r="S85" i="4"/>
  <c r="R85" i="4"/>
  <c r="P85" i="4"/>
  <c r="Q85" i="4"/>
  <c r="O85" i="4"/>
  <c r="M85" i="4"/>
  <c r="N85" i="4"/>
  <c r="L85" i="4"/>
  <c r="Z83" i="4"/>
  <c r="AL84" i="4"/>
  <c r="X84" i="4"/>
  <c r="AA84" i="4" s="1"/>
  <c r="AJ85" i="4"/>
  <c r="E85" i="4"/>
  <c r="AK85" i="4"/>
  <c r="AI85" i="4"/>
  <c r="W85" i="4"/>
  <c r="T85" i="4"/>
  <c r="K85" i="4"/>
  <c r="Y84" i="4"/>
  <c r="U85" i="4"/>
  <c r="V85" i="4"/>
  <c r="F85" i="4"/>
  <c r="J85" i="4"/>
  <c r="C87" i="4"/>
  <c r="D86" i="4"/>
  <c r="H86" i="4" s="1"/>
  <c r="G85" i="4" l="1"/>
  <c r="I85" i="4" s="1"/>
  <c r="B86" i="4"/>
  <c r="S86" i="4"/>
  <c r="R86" i="4"/>
  <c r="Q86" i="4"/>
  <c r="P86" i="4"/>
  <c r="O86" i="4"/>
  <c r="N86" i="4"/>
  <c r="M86" i="4"/>
  <c r="L86" i="4"/>
  <c r="AL85" i="4"/>
  <c r="Y85" i="4"/>
  <c r="AK86" i="4"/>
  <c r="AI86" i="4"/>
  <c r="Z84" i="4"/>
  <c r="AJ86" i="4"/>
  <c r="X85" i="4"/>
  <c r="AA85" i="4" s="1"/>
  <c r="T86" i="4"/>
  <c r="E86" i="4"/>
  <c r="U86" i="4"/>
  <c r="F86" i="4"/>
  <c r="K86" i="4"/>
  <c r="W86" i="4"/>
  <c r="J86" i="4"/>
  <c r="V86" i="4"/>
  <c r="C88" i="4"/>
  <c r="D87" i="4"/>
  <c r="H87" i="4" s="1"/>
  <c r="G86" i="4" l="1"/>
  <c r="I86" i="4" s="1"/>
  <c r="B87" i="4"/>
  <c r="S87" i="4"/>
  <c r="R87" i="4"/>
  <c r="Q87" i="4"/>
  <c r="P87" i="4"/>
  <c r="O87" i="4"/>
  <c r="M87" i="4"/>
  <c r="N87" i="4"/>
  <c r="L87" i="4"/>
  <c r="Z85" i="4"/>
  <c r="AI87" i="4"/>
  <c r="AJ87" i="4"/>
  <c r="AL86" i="4"/>
  <c r="AK87" i="4"/>
  <c r="X86" i="4"/>
  <c r="AA86" i="4" s="1"/>
  <c r="K87" i="4"/>
  <c r="U87" i="4"/>
  <c r="T87" i="4"/>
  <c r="E87" i="4"/>
  <c r="Y86" i="4"/>
  <c r="W87" i="4"/>
  <c r="F87" i="4"/>
  <c r="J87" i="4"/>
  <c r="V87" i="4"/>
  <c r="C89" i="4"/>
  <c r="D88" i="4"/>
  <c r="H88" i="4" s="1"/>
  <c r="G87" i="4" l="1"/>
  <c r="I87" i="4" s="1"/>
  <c r="B88" i="4"/>
  <c r="S88" i="4"/>
  <c r="R88" i="4"/>
  <c r="Q88" i="4"/>
  <c r="P88" i="4"/>
  <c r="O88" i="4"/>
  <c r="N88" i="4"/>
  <c r="M88" i="4"/>
  <c r="L88" i="4"/>
  <c r="AL87" i="4"/>
  <c r="Z86" i="4"/>
  <c r="AK88" i="4"/>
  <c r="K88" i="4"/>
  <c r="AI88" i="4"/>
  <c r="AJ88" i="4"/>
  <c r="Y87" i="4"/>
  <c r="X87" i="4"/>
  <c r="AA87" i="4" s="1"/>
  <c r="T88" i="4"/>
  <c r="E88" i="4"/>
  <c r="W88" i="4"/>
  <c r="F88" i="4"/>
  <c r="J88" i="4"/>
  <c r="V88" i="4"/>
  <c r="U88" i="4"/>
  <c r="C90" i="4"/>
  <c r="D89" i="4"/>
  <c r="H89" i="4" s="1"/>
  <c r="G88" i="4" l="1"/>
  <c r="I88" i="4" s="1"/>
  <c r="B89" i="4"/>
  <c r="S89" i="4"/>
  <c r="R89" i="4"/>
  <c r="Q89" i="4"/>
  <c r="P89" i="4"/>
  <c r="O89" i="4"/>
  <c r="M89" i="4"/>
  <c r="N89" i="4"/>
  <c r="L89" i="4"/>
  <c r="AL88" i="4"/>
  <c r="AJ89" i="4"/>
  <c r="AI89" i="4"/>
  <c r="AK89" i="4"/>
  <c r="U89" i="4"/>
  <c r="Z87" i="4"/>
  <c r="X88" i="4"/>
  <c r="AA88" i="4" s="1"/>
  <c r="V89" i="4"/>
  <c r="W89" i="4"/>
  <c r="K89" i="4"/>
  <c r="Y88" i="4"/>
  <c r="T89" i="4"/>
  <c r="F89" i="4"/>
  <c r="E89" i="4"/>
  <c r="J89" i="4"/>
  <c r="C91" i="4"/>
  <c r="D90" i="4"/>
  <c r="H90" i="4" s="1"/>
  <c r="G89" i="4" l="1"/>
  <c r="I89" i="4" s="1"/>
  <c r="B90" i="4"/>
  <c r="S90" i="4"/>
  <c r="R90" i="4"/>
  <c r="Q90" i="4"/>
  <c r="P90" i="4"/>
  <c r="O90" i="4"/>
  <c r="N90" i="4"/>
  <c r="M90" i="4"/>
  <c r="L90" i="4"/>
  <c r="Y89" i="4"/>
  <c r="AL89" i="4"/>
  <c r="AJ90" i="4"/>
  <c r="AK90" i="4"/>
  <c r="AI90" i="4"/>
  <c r="Z88" i="4"/>
  <c r="V90" i="4"/>
  <c r="U90" i="4"/>
  <c r="J90" i="4"/>
  <c r="T90" i="4"/>
  <c r="X89" i="4"/>
  <c r="E90" i="4"/>
  <c r="F90" i="4"/>
  <c r="K90" i="4"/>
  <c r="W90" i="4"/>
  <c r="C92" i="4"/>
  <c r="D91" i="4"/>
  <c r="H91" i="4" s="1"/>
  <c r="G90" i="4" l="1"/>
  <c r="I90" i="4" s="1"/>
  <c r="B91" i="4"/>
  <c r="S91" i="4"/>
  <c r="R91" i="4"/>
  <c r="Q91" i="4"/>
  <c r="P91" i="4"/>
  <c r="O91" i="4"/>
  <c r="M91" i="4"/>
  <c r="N91" i="4"/>
  <c r="L91" i="4"/>
  <c r="Z89" i="4"/>
  <c r="AL90" i="4"/>
  <c r="AK91" i="4"/>
  <c r="AI91" i="4"/>
  <c r="AJ91" i="4"/>
  <c r="F91" i="4"/>
  <c r="X90" i="4"/>
  <c r="AA90" i="4" s="1"/>
  <c r="Y90" i="4"/>
  <c r="AA89" i="4"/>
  <c r="T91" i="4"/>
  <c r="E91" i="4"/>
  <c r="U91" i="4"/>
  <c r="J91" i="4"/>
  <c r="V91" i="4"/>
  <c r="W91" i="4"/>
  <c r="K91" i="4"/>
  <c r="C93" i="4"/>
  <c r="D92" i="4"/>
  <c r="H92" i="4" s="1"/>
  <c r="G91" i="4" l="1"/>
  <c r="I91" i="4" s="1"/>
  <c r="B92" i="4"/>
  <c r="S92" i="4"/>
  <c r="R92" i="4"/>
  <c r="Q92" i="4"/>
  <c r="P92" i="4"/>
  <c r="O92" i="4"/>
  <c r="M92" i="4"/>
  <c r="N92" i="4"/>
  <c r="L92" i="4"/>
  <c r="Z90" i="4"/>
  <c r="AL91" i="4"/>
  <c r="AI92" i="4"/>
  <c r="AJ92" i="4"/>
  <c r="AK92" i="4"/>
  <c r="T92" i="4"/>
  <c r="X91" i="4"/>
  <c r="AA91" i="4" s="1"/>
  <c r="Y91" i="4"/>
  <c r="K92" i="4"/>
  <c r="F92" i="4"/>
  <c r="V92" i="4"/>
  <c r="J92" i="4"/>
  <c r="U92" i="4"/>
  <c r="W92" i="4"/>
  <c r="E92" i="4"/>
  <c r="C94" i="4"/>
  <c r="D93" i="4"/>
  <c r="H93" i="4" s="1"/>
  <c r="G92" i="4" l="1"/>
  <c r="I92" i="4" s="1"/>
  <c r="AL92" i="4"/>
  <c r="B93" i="4"/>
  <c r="S93" i="4"/>
  <c r="R93" i="4"/>
  <c r="Q93" i="4"/>
  <c r="P93" i="4"/>
  <c r="O93" i="4"/>
  <c r="N93" i="4"/>
  <c r="M93" i="4"/>
  <c r="L93" i="4"/>
  <c r="X92" i="4"/>
  <c r="AA92" i="4" s="1"/>
  <c r="Z91" i="4"/>
  <c r="AI93" i="4"/>
  <c r="AJ93" i="4"/>
  <c r="AK93" i="4"/>
  <c r="F93" i="4"/>
  <c r="W93" i="4"/>
  <c r="Y92" i="4"/>
  <c r="J93" i="4"/>
  <c r="U93" i="4"/>
  <c r="E93" i="4"/>
  <c r="T93" i="4"/>
  <c r="V93" i="4"/>
  <c r="K93" i="4"/>
  <c r="C95" i="4"/>
  <c r="D94" i="4"/>
  <c r="H94" i="4" s="1"/>
  <c r="G93" i="4" l="1"/>
  <c r="I93" i="4" s="1"/>
  <c r="B94" i="4"/>
  <c r="M94" i="4"/>
  <c r="S94" i="4"/>
  <c r="R94" i="4"/>
  <c r="Q94" i="4"/>
  <c r="P94" i="4"/>
  <c r="O94" i="4"/>
  <c r="N94" i="4"/>
  <c r="L94" i="4"/>
  <c r="Z92" i="4"/>
  <c r="AL93" i="4"/>
  <c r="AI94" i="4"/>
  <c r="U94" i="4"/>
  <c r="AJ94" i="4"/>
  <c r="AK94" i="4"/>
  <c r="Y93" i="4"/>
  <c r="J94" i="4"/>
  <c r="F94" i="4"/>
  <c r="T94" i="4"/>
  <c r="X93" i="4"/>
  <c r="V94" i="4"/>
  <c r="K94" i="4"/>
  <c r="E94" i="4"/>
  <c r="W94" i="4"/>
  <c r="C96" i="4"/>
  <c r="D95" i="4"/>
  <c r="H95" i="4" s="1"/>
  <c r="G94" i="4" l="1"/>
  <c r="I94" i="4" s="1"/>
  <c r="B95" i="4"/>
  <c r="M95" i="4"/>
  <c r="S95" i="4"/>
  <c r="R95" i="4"/>
  <c r="Q95" i="4"/>
  <c r="P95" i="4"/>
  <c r="O95" i="4"/>
  <c r="N95" i="4"/>
  <c r="L95" i="4"/>
  <c r="Y94" i="4"/>
  <c r="AL94" i="4"/>
  <c r="AJ95" i="4"/>
  <c r="AI95" i="4"/>
  <c r="AK95" i="4"/>
  <c r="E95" i="4"/>
  <c r="Z93" i="4"/>
  <c r="AA93" i="4"/>
  <c r="W95" i="4"/>
  <c r="T95" i="4"/>
  <c r="F95" i="4"/>
  <c r="X94" i="4"/>
  <c r="AA94" i="4" s="1"/>
  <c r="U95" i="4"/>
  <c r="V95" i="4"/>
  <c r="K95" i="4"/>
  <c r="J95" i="4"/>
  <c r="C97" i="4"/>
  <c r="D96" i="4"/>
  <c r="H96" i="4" s="1"/>
  <c r="G95" i="4" l="1"/>
  <c r="I95" i="4" s="1"/>
  <c r="B96" i="4"/>
  <c r="M96" i="4"/>
  <c r="S96" i="4"/>
  <c r="R96" i="4"/>
  <c r="Q96" i="4"/>
  <c r="P96" i="4"/>
  <c r="O96" i="4"/>
  <c r="N96" i="4"/>
  <c r="L96" i="4"/>
  <c r="AL95" i="4"/>
  <c r="AI96" i="4"/>
  <c r="AJ96" i="4"/>
  <c r="AK96" i="4"/>
  <c r="Y95" i="4"/>
  <c r="F96" i="4"/>
  <c r="W96" i="4"/>
  <c r="K96" i="4"/>
  <c r="V96" i="4"/>
  <c r="X95" i="4"/>
  <c r="AA95" i="4" s="1"/>
  <c r="Z94" i="4"/>
  <c r="J96" i="4"/>
  <c r="U96" i="4"/>
  <c r="E96" i="4"/>
  <c r="T96" i="4"/>
  <c r="C98" i="4"/>
  <c r="D97" i="4"/>
  <c r="H97" i="4" s="1"/>
  <c r="G96" i="4" l="1"/>
  <c r="I96" i="4" s="1"/>
  <c r="B97" i="4"/>
  <c r="M97" i="4"/>
  <c r="S97" i="4"/>
  <c r="R97" i="4"/>
  <c r="Q97" i="4"/>
  <c r="P97" i="4"/>
  <c r="O97" i="4"/>
  <c r="N97" i="4"/>
  <c r="L97" i="4"/>
  <c r="AL96" i="4"/>
  <c r="AJ97" i="4"/>
  <c r="AI97" i="4"/>
  <c r="X96" i="4"/>
  <c r="AA96" i="4" s="1"/>
  <c r="AK97" i="4"/>
  <c r="Y96" i="4"/>
  <c r="K97" i="4"/>
  <c r="V97" i="4"/>
  <c r="W97" i="4"/>
  <c r="E97" i="4"/>
  <c r="Z95" i="4"/>
  <c r="J97" i="4"/>
  <c r="F97" i="4"/>
  <c r="U97" i="4"/>
  <c r="T97" i="4"/>
  <c r="C99" i="4"/>
  <c r="D98" i="4"/>
  <c r="H98" i="4" s="1"/>
  <c r="G97" i="4" l="1"/>
  <c r="I97" i="4" s="1"/>
  <c r="B98" i="4"/>
  <c r="M98" i="4"/>
  <c r="S98" i="4"/>
  <c r="R98" i="4"/>
  <c r="Q98" i="4"/>
  <c r="P98" i="4"/>
  <c r="O98" i="4"/>
  <c r="N98" i="4"/>
  <c r="L98" i="4"/>
  <c r="AL97" i="4"/>
  <c r="Z96" i="4"/>
  <c r="AK98" i="4"/>
  <c r="AJ98" i="4"/>
  <c r="AI98" i="4"/>
  <c r="Y97" i="4"/>
  <c r="X97" i="4"/>
  <c r="AA97" i="4" s="1"/>
  <c r="V98" i="4"/>
  <c r="U98" i="4"/>
  <c r="F98" i="4"/>
  <c r="K98" i="4"/>
  <c r="T98" i="4"/>
  <c r="E98" i="4"/>
  <c r="W98" i="4"/>
  <c r="J98" i="4"/>
  <c r="C100" i="4"/>
  <c r="D99" i="4"/>
  <c r="H99" i="4" s="1"/>
  <c r="G98" i="4" l="1"/>
  <c r="I98" i="4" s="1"/>
  <c r="B99" i="4"/>
  <c r="S99" i="4"/>
  <c r="R99" i="4"/>
  <c r="Q99" i="4"/>
  <c r="P99" i="4"/>
  <c r="O99" i="4"/>
  <c r="M99" i="4"/>
  <c r="N99" i="4"/>
  <c r="L99" i="4"/>
  <c r="AL98" i="4"/>
  <c r="AJ99" i="4"/>
  <c r="AK99" i="4"/>
  <c r="X98" i="4"/>
  <c r="AA98" i="4" s="1"/>
  <c r="AI99" i="4"/>
  <c r="Z97" i="4"/>
  <c r="Y98" i="4"/>
  <c r="F99" i="4"/>
  <c r="U99" i="4"/>
  <c r="T99" i="4"/>
  <c r="K99" i="4"/>
  <c r="V99" i="4"/>
  <c r="J99" i="4"/>
  <c r="W99" i="4"/>
  <c r="E99" i="4"/>
  <c r="C101" i="4"/>
  <c r="D100" i="4"/>
  <c r="H100" i="4" s="1"/>
  <c r="G99" i="4" l="1"/>
  <c r="I99" i="4" s="1"/>
  <c r="B100" i="4"/>
  <c r="S100" i="4"/>
  <c r="R100" i="4"/>
  <c r="M100" i="4"/>
  <c r="Q100" i="4"/>
  <c r="P100" i="4"/>
  <c r="O100" i="4"/>
  <c r="N100" i="4"/>
  <c r="L100" i="4"/>
  <c r="Z98" i="4"/>
  <c r="AL99" i="4"/>
  <c r="AI100" i="4"/>
  <c r="AK100" i="4"/>
  <c r="AJ100" i="4"/>
  <c r="E100" i="4"/>
  <c r="J100" i="4"/>
  <c r="T100" i="4"/>
  <c r="K100" i="4"/>
  <c r="W100" i="4"/>
  <c r="X99" i="4"/>
  <c r="AA99" i="4" s="1"/>
  <c r="V100" i="4"/>
  <c r="U100" i="4"/>
  <c r="Y99" i="4"/>
  <c r="F100" i="4"/>
  <c r="C102" i="4"/>
  <c r="D101" i="4"/>
  <c r="H101" i="4" s="1"/>
  <c r="G100" i="4" l="1"/>
  <c r="I100" i="4" s="1"/>
  <c r="B101" i="4"/>
  <c r="S101" i="4"/>
  <c r="R101" i="4"/>
  <c r="Q101" i="4"/>
  <c r="P101" i="4"/>
  <c r="O101" i="4"/>
  <c r="N101" i="4"/>
  <c r="M101" i="4"/>
  <c r="L101" i="4"/>
  <c r="AL100" i="4"/>
  <c r="AJ101" i="4"/>
  <c r="AI101" i="4"/>
  <c r="AK101" i="4"/>
  <c r="Y100" i="4"/>
  <c r="J101" i="4"/>
  <c r="T101" i="4"/>
  <c r="Z99" i="4"/>
  <c r="U101" i="4"/>
  <c r="X100" i="4"/>
  <c r="AA100" i="4" s="1"/>
  <c r="V101" i="4"/>
  <c r="E101" i="4"/>
  <c r="W101" i="4"/>
  <c r="F101" i="4"/>
  <c r="K101" i="4"/>
  <c r="C103" i="4"/>
  <c r="D102" i="4"/>
  <c r="H102" i="4" s="1"/>
  <c r="G101" i="4" l="1"/>
  <c r="I101" i="4" s="1"/>
  <c r="B102" i="4"/>
  <c r="M102" i="4"/>
  <c r="S102" i="4"/>
  <c r="R102" i="4"/>
  <c r="Q102" i="4"/>
  <c r="P102" i="4"/>
  <c r="O102" i="4"/>
  <c r="N102" i="4"/>
  <c r="L102" i="4"/>
  <c r="AL101" i="4"/>
  <c r="X101" i="4"/>
  <c r="AA101" i="4" s="1"/>
  <c r="AK102" i="4"/>
  <c r="AJ102" i="4"/>
  <c r="AI102" i="4"/>
  <c r="Y101" i="4"/>
  <c r="T102" i="4"/>
  <c r="U102" i="4"/>
  <c r="E102" i="4"/>
  <c r="Z100" i="4"/>
  <c r="K102" i="4"/>
  <c r="V102" i="4"/>
  <c r="W102" i="4"/>
  <c r="J102" i="4"/>
  <c r="F102" i="4"/>
  <c r="C104" i="4"/>
  <c r="D103" i="4"/>
  <c r="H103" i="4" s="1"/>
  <c r="G102" i="4" l="1"/>
  <c r="I102" i="4" s="1"/>
  <c r="B103" i="4"/>
  <c r="M103" i="4"/>
  <c r="S103" i="4"/>
  <c r="R103" i="4"/>
  <c r="Q103" i="4"/>
  <c r="P103" i="4"/>
  <c r="O103" i="4"/>
  <c r="N103" i="4"/>
  <c r="L103" i="4"/>
  <c r="Z101" i="4"/>
  <c r="AL102" i="4"/>
  <c r="AK103" i="4"/>
  <c r="AI103" i="4"/>
  <c r="AJ103" i="4"/>
  <c r="X102" i="4"/>
  <c r="AA102" i="4" s="1"/>
  <c r="Y102" i="4"/>
  <c r="K103" i="4"/>
  <c r="J103" i="4"/>
  <c r="T103" i="4"/>
  <c r="F103" i="4"/>
  <c r="U103" i="4"/>
  <c r="E103" i="4"/>
  <c r="W103" i="4"/>
  <c r="V103" i="4"/>
  <c r="C105" i="4"/>
  <c r="D104" i="4"/>
  <c r="H104" i="4" s="1"/>
  <c r="G103" i="4" l="1"/>
  <c r="I103" i="4" s="1"/>
  <c r="B104" i="4"/>
  <c r="M104" i="4"/>
  <c r="S104" i="4"/>
  <c r="R104" i="4"/>
  <c r="Q104" i="4"/>
  <c r="P104" i="4"/>
  <c r="O104" i="4"/>
  <c r="N104" i="4"/>
  <c r="L104" i="4"/>
  <c r="Y103" i="4"/>
  <c r="Z102" i="4"/>
  <c r="AL103" i="4"/>
  <c r="AI104" i="4"/>
  <c r="AJ104" i="4"/>
  <c r="AK104" i="4"/>
  <c r="X103" i="4"/>
  <c r="AA103" i="4" s="1"/>
  <c r="J104" i="4"/>
  <c r="U104" i="4"/>
  <c r="T104" i="4"/>
  <c r="W104" i="4"/>
  <c r="V104" i="4"/>
  <c r="F104" i="4"/>
  <c r="K104" i="4"/>
  <c r="E104" i="4"/>
  <c r="C106" i="4"/>
  <c r="D105" i="4"/>
  <c r="H105" i="4" s="1"/>
  <c r="G104" i="4" l="1"/>
  <c r="I104" i="4" s="1"/>
  <c r="B105" i="4"/>
  <c r="M105" i="4"/>
  <c r="S105" i="4"/>
  <c r="R105" i="4"/>
  <c r="Q105" i="4"/>
  <c r="P105" i="4"/>
  <c r="O105" i="4"/>
  <c r="N105" i="4"/>
  <c r="L105" i="4"/>
  <c r="AL104" i="4"/>
  <c r="AI105" i="4"/>
  <c r="AJ105" i="4"/>
  <c r="AK105" i="4"/>
  <c r="Z103" i="4"/>
  <c r="X104" i="4"/>
  <c r="AA104" i="4" s="1"/>
  <c r="V105" i="4"/>
  <c r="J105" i="4"/>
  <c r="Y104" i="4"/>
  <c r="F105" i="4"/>
  <c r="K105" i="4"/>
  <c r="U105" i="4"/>
  <c r="T105" i="4"/>
  <c r="W105" i="4"/>
  <c r="E105" i="4"/>
  <c r="C107" i="4"/>
  <c r="D106" i="4"/>
  <c r="H106" i="4" s="1"/>
  <c r="G105" i="4" l="1"/>
  <c r="I105" i="4" s="1"/>
  <c r="B106" i="4"/>
  <c r="S106" i="4"/>
  <c r="R106" i="4"/>
  <c r="Q106" i="4"/>
  <c r="P106" i="4"/>
  <c r="O106" i="4"/>
  <c r="M106" i="4"/>
  <c r="N106" i="4"/>
  <c r="L106" i="4"/>
  <c r="AL105" i="4"/>
  <c r="AI106" i="4"/>
  <c r="AJ106" i="4"/>
  <c r="AK106" i="4"/>
  <c r="Z104" i="4"/>
  <c r="X105" i="4"/>
  <c r="AA105" i="4" s="1"/>
  <c r="J106" i="4"/>
  <c r="E106" i="4"/>
  <c r="U106" i="4"/>
  <c r="V106" i="4"/>
  <c r="K106" i="4"/>
  <c r="Y105" i="4"/>
  <c r="F106" i="4"/>
  <c r="T106" i="4"/>
  <c r="W106" i="4"/>
  <c r="C108" i="4"/>
  <c r="D107" i="4"/>
  <c r="H107" i="4" s="1"/>
  <c r="G106" i="4" l="1"/>
  <c r="I106" i="4" s="1"/>
  <c r="B107" i="4"/>
  <c r="M107" i="4"/>
  <c r="S107" i="4"/>
  <c r="R107" i="4"/>
  <c r="Q107" i="4"/>
  <c r="P107" i="4"/>
  <c r="O107" i="4"/>
  <c r="N107" i="4"/>
  <c r="L107" i="4"/>
  <c r="AL106" i="4"/>
  <c r="AJ107" i="4"/>
  <c r="Z105" i="4"/>
  <c r="AI107" i="4"/>
  <c r="AK107" i="4"/>
  <c r="F107" i="4"/>
  <c r="X106" i="4"/>
  <c r="AA106" i="4" s="1"/>
  <c r="Y106" i="4"/>
  <c r="U107" i="4"/>
  <c r="E107" i="4"/>
  <c r="T107" i="4"/>
  <c r="W107" i="4"/>
  <c r="K107" i="4"/>
  <c r="V107" i="4"/>
  <c r="J107" i="4"/>
  <c r="C109" i="4"/>
  <c r="D108" i="4"/>
  <c r="H108" i="4" s="1"/>
  <c r="G107" i="4" l="1"/>
  <c r="I107" i="4" s="1"/>
  <c r="B108" i="4"/>
  <c r="S108" i="4"/>
  <c r="R108" i="4"/>
  <c r="M108" i="4"/>
  <c r="Q108" i="4"/>
  <c r="P108" i="4"/>
  <c r="O108" i="4"/>
  <c r="N108" i="4"/>
  <c r="L108" i="4"/>
  <c r="AL107" i="4"/>
  <c r="Z106" i="4"/>
  <c r="AI108" i="4"/>
  <c r="AJ108" i="4"/>
  <c r="AK108" i="4"/>
  <c r="K108" i="4"/>
  <c r="V108" i="4"/>
  <c r="X107" i="4"/>
  <c r="AA107" i="4" s="1"/>
  <c r="Y107" i="4"/>
  <c r="J108" i="4"/>
  <c r="T108" i="4"/>
  <c r="U108" i="4"/>
  <c r="E108" i="4"/>
  <c r="W108" i="4"/>
  <c r="F108" i="4"/>
  <c r="C110" i="4"/>
  <c r="D109" i="4"/>
  <c r="H109" i="4" s="1"/>
  <c r="G108" i="4" l="1"/>
  <c r="I108" i="4" s="1"/>
  <c r="B109" i="4"/>
  <c r="S109" i="4"/>
  <c r="R109" i="4"/>
  <c r="Q109" i="4"/>
  <c r="P109" i="4"/>
  <c r="O109" i="4"/>
  <c r="N109" i="4"/>
  <c r="M109" i="4"/>
  <c r="L109" i="4"/>
  <c r="AL108" i="4"/>
  <c r="AI109" i="4"/>
  <c r="AJ109" i="4"/>
  <c r="AK109" i="4"/>
  <c r="X108" i="4"/>
  <c r="AA108" i="4" s="1"/>
  <c r="Z107" i="4"/>
  <c r="Y108" i="4"/>
  <c r="J109" i="4"/>
  <c r="U109" i="4"/>
  <c r="F109" i="4"/>
  <c r="W109" i="4"/>
  <c r="K109" i="4"/>
  <c r="T109" i="4"/>
  <c r="V109" i="4"/>
  <c r="E109" i="4"/>
  <c r="C111" i="4"/>
  <c r="D110" i="4"/>
  <c r="H110" i="4" s="1"/>
  <c r="G109" i="4" l="1"/>
  <c r="I109" i="4" s="1"/>
  <c r="B110" i="4"/>
  <c r="M110" i="4"/>
  <c r="S110" i="4"/>
  <c r="R110" i="4"/>
  <c r="Q110" i="4"/>
  <c r="P110" i="4"/>
  <c r="O110" i="4"/>
  <c r="N110" i="4"/>
  <c r="L110" i="4"/>
  <c r="AL109" i="4"/>
  <c r="AJ110" i="4"/>
  <c r="AK110" i="4"/>
  <c r="Z108" i="4"/>
  <c r="AI110" i="4"/>
  <c r="E110" i="4"/>
  <c r="K110" i="4"/>
  <c r="T110" i="4"/>
  <c r="W110" i="4"/>
  <c r="J110" i="4"/>
  <c r="U110" i="4"/>
  <c r="F110" i="4"/>
  <c r="V110" i="4"/>
  <c r="Y109" i="4"/>
  <c r="X109" i="4"/>
  <c r="AA109" i="4" s="1"/>
  <c r="C112" i="4"/>
  <c r="D111" i="4"/>
  <c r="H111" i="4" s="1"/>
  <c r="G110" i="4" l="1"/>
  <c r="I110" i="4" s="1"/>
  <c r="B111" i="4"/>
  <c r="M111" i="4"/>
  <c r="S111" i="4"/>
  <c r="R111" i="4"/>
  <c r="Q111" i="4"/>
  <c r="P111" i="4"/>
  <c r="O111" i="4"/>
  <c r="N111" i="4"/>
  <c r="L111" i="4"/>
  <c r="AL110" i="4"/>
  <c r="AJ111" i="4"/>
  <c r="AK111" i="4"/>
  <c r="AI111" i="4"/>
  <c r="Y110" i="4"/>
  <c r="X110" i="4"/>
  <c r="AA110" i="4" s="1"/>
  <c r="Z109" i="4"/>
  <c r="U111" i="4"/>
  <c r="K111" i="4"/>
  <c r="E111" i="4"/>
  <c r="F111" i="4"/>
  <c r="T111" i="4"/>
  <c r="W111" i="4"/>
  <c r="J111" i="4"/>
  <c r="V111" i="4"/>
  <c r="C113" i="4"/>
  <c r="D112" i="4"/>
  <c r="H112" i="4" s="1"/>
  <c r="G111" i="4" l="1"/>
  <c r="I111" i="4" s="1"/>
  <c r="B112" i="4"/>
  <c r="M112" i="4"/>
  <c r="S112" i="4"/>
  <c r="R112" i="4"/>
  <c r="Q112" i="4"/>
  <c r="P112" i="4"/>
  <c r="O112" i="4"/>
  <c r="N112" i="4"/>
  <c r="L112" i="4"/>
  <c r="AL111" i="4"/>
  <c r="Z110" i="4"/>
  <c r="AI112" i="4"/>
  <c r="AK112" i="4"/>
  <c r="AJ112" i="4"/>
  <c r="X111" i="4"/>
  <c r="AA111" i="4" s="1"/>
  <c r="Y111" i="4"/>
  <c r="J112" i="4"/>
  <c r="K112" i="4"/>
  <c r="W112" i="4"/>
  <c r="V112" i="4"/>
  <c r="E112" i="4"/>
  <c r="F112" i="4"/>
  <c r="U112" i="4"/>
  <c r="T112" i="4"/>
  <c r="C114" i="4"/>
  <c r="D113" i="4"/>
  <c r="H113" i="4" s="1"/>
  <c r="G112" i="4" l="1"/>
  <c r="I112" i="4" s="1"/>
  <c r="B113" i="4"/>
  <c r="M113" i="4"/>
  <c r="S113" i="4"/>
  <c r="R113" i="4"/>
  <c r="Q113" i="4"/>
  <c r="P113" i="4"/>
  <c r="O113" i="4"/>
  <c r="N113" i="4"/>
  <c r="L113" i="4"/>
  <c r="AL112" i="4"/>
  <c r="AI113" i="4"/>
  <c r="AJ113" i="4"/>
  <c r="AK113" i="4"/>
  <c r="Z111" i="4"/>
  <c r="X112" i="4"/>
  <c r="AA112" i="4" s="1"/>
  <c r="Y112" i="4"/>
  <c r="E113" i="4"/>
  <c r="V113" i="4"/>
  <c r="J113" i="4"/>
  <c r="T113" i="4"/>
  <c r="K113" i="4"/>
  <c r="F113" i="4"/>
  <c r="U113" i="4"/>
  <c r="W113" i="4"/>
  <c r="C115" i="4"/>
  <c r="D114" i="4"/>
  <c r="H114" i="4" s="1"/>
  <c r="G113" i="4" l="1"/>
  <c r="I113" i="4" s="1"/>
  <c r="B114" i="4"/>
  <c r="S114" i="4"/>
  <c r="R114" i="4"/>
  <c r="Q114" i="4"/>
  <c r="P114" i="4"/>
  <c r="O114" i="4"/>
  <c r="M114" i="4"/>
  <c r="N114" i="4"/>
  <c r="L114" i="4"/>
  <c r="AL113" i="4"/>
  <c r="AK114" i="4"/>
  <c r="AJ114" i="4"/>
  <c r="AI114" i="4"/>
  <c r="Z112" i="4"/>
  <c r="U114" i="4"/>
  <c r="T114" i="4"/>
  <c r="Y113" i="4"/>
  <c r="X113" i="4"/>
  <c r="AA113" i="4" s="1"/>
  <c r="K114" i="4"/>
  <c r="W114" i="4"/>
  <c r="V114" i="4"/>
  <c r="F114" i="4"/>
  <c r="E114" i="4"/>
  <c r="J114" i="4"/>
  <c r="C116" i="4"/>
  <c r="D115" i="4"/>
  <c r="H115" i="4" s="1"/>
  <c r="G114" i="4" l="1"/>
  <c r="I114" i="4" s="1"/>
  <c r="B115" i="4"/>
  <c r="M115" i="4"/>
  <c r="S115" i="4"/>
  <c r="R115" i="4"/>
  <c r="Q115" i="4"/>
  <c r="P115" i="4"/>
  <c r="O115" i="4"/>
  <c r="N115" i="4"/>
  <c r="L115" i="4"/>
  <c r="AL114" i="4"/>
  <c r="AK115" i="4"/>
  <c r="AI115" i="4"/>
  <c r="AJ115" i="4"/>
  <c r="Z113" i="4"/>
  <c r="X114" i="4"/>
  <c r="AA114" i="4" s="1"/>
  <c r="Y114" i="4"/>
  <c r="F115" i="4"/>
  <c r="U115" i="4"/>
  <c r="W115" i="4"/>
  <c r="V115" i="4"/>
  <c r="K115" i="4"/>
  <c r="T115" i="4"/>
  <c r="E115" i="4"/>
  <c r="J115" i="4"/>
  <c r="C117" i="4"/>
  <c r="D116" i="4"/>
  <c r="H116" i="4" s="1"/>
  <c r="G115" i="4" l="1"/>
  <c r="I115" i="4" s="1"/>
  <c r="B116" i="4"/>
  <c r="S116" i="4"/>
  <c r="R116" i="4"/>
  <c r="M116" i="4"/>
  <c r="Q116" i="4"/>
  <c r="P116" i="4"/>
  <c r="O116" i="4"/>
  <c r="N116" i="4"/>
  <c r="L116" i="4"/>
  <c r="AL115" i="4"/>
  <c r="AI116" i="4"/>
  <c r="AJ116" i="4"/>
  <c r="AK116" i="4"/>
  <c r="Z114" i="4"/>
  <c r="E116" i="4"/>
  <c r="F116" i="4"/>
  <c r="Y115" i="4"/>
  <c r="X115" i="4"/>
  <c r="AA115" i="4" s="1"/>
  <c r="K116" i="4"/>
  <c r="V116" i="4"/>
  <c r="J116" i="4"/>
  <c r="U116" i="4"/>
  <c r="T116" i="4"/>
  <c r="W116" i="4"/>
  <c r="C118" i="4"/>
  <c r="D117" i="4"/>
  <c r="H117" i="4" s="1"/>
  <c r="G116" i="4" l="1"/>
  <c r="I116" i="4" s="1"/>
  <c r="B117" i="4"/>
  <c r="M117" i="4"/>
  <c r="S117" i="4"/>
  <c r="R117" i="4"/>
  <c r="Q117" i="4"/>
  <c r="P117" i="4"/>
  <c r="O117" i="4"/>
  <c r="N117" i="4"/>
  <c r="L117" i="4"/>
  <c r="AL116" i="4"/>
  <c r="AI117" i="4"/>
  <c r="AJ117" i="4"/>
  <c r="AK117" i="4"/>
  <c r="J117" i="4"/>
  <c r="Z115" i="4"/>
  <c r="V117" i="4"/>
  <c r="X116" i="4"/>
  <c r="AA116" i="4" s="1"/>
  <c r="T117" i="4"/>
  <c r="W117" i="4"/>
  <c r="Y116" i="4"/>
  <c r="E117" i="4"/>
  <c r="K117" i="4"/>
  <c r="F117" i="4"/>
  <c r="U117" i="4"/>
  <c r="C119" i="4"/>
  <c r="D118" i="4"/>
  <c r="H118" i="4" s="1"/>
  <c r="G117" i="4" l="1"/>
  <c r="I117" i="4" s="1"/>
  <c r="B118" i="4"/>
  <c r="S118" i="4"/>
  <c r="R118" i="4"/>
  <c r="Q118" i="4"/>
  <c r="P118" i="4"/>
  <c r="O118" i="4"/>
  <c r="N118" i="4"/>
  <c r="M118" i="4"/>
  <c r="L118" i="4"/>
  <c r="AL117" i="4"/>
  <c r="AJ118" i="4"/>
  <c r="AI118" i="4"/>
  <c r="AK118" i="4"/>
  <c r="X117" i="4"/>
  <c r="AA117" i="4" s="1"/>
  <c r="Y117" i="4"/>
  <c r="Z116" i="4"/>
  <c r="E118" i="4"/>
  <c r="V118" i="4"/>
  <c r="U118" i="4"/>
  <c r="J118" i="4"/>
  <c r="T118" i="4"/>
  <c r="F118" i="4"/>
  <c r="W118" i="4"/>
  <c r="K118" i="4"/>
  <c r="C120" i="4"/>
  <c r="D119" i="4"/>
  <c r="H119" i="4" s="1"/>
  <c r="G118" i="4" l="1"/>
  <c r="I118" i="4" s="1"/>
  <c r="B119" i="4"/>
  <c r="M119" i="4"/>
  <c r="S119" i="4"/>
  <c r="R119" i="4"/>
  <c r="Q119" i="4"/>
  <c r="P119" i="4"/>
  <c r="O119" i="4"/>
  <c r="N119" i="4"/>
  <c r="L119" i="4"/>
  <c r="AJ119" i="4"/>
  <c r="AK119" i="4"/>
  <c r="AL118" i="4"/>
  <c r="AI119" i="4"/>
  <c r="Z117" i="4"/>
  <c r="K119" i="4"/>
  <c r="V119" i="4"/>
  <c r="J119" i="4"/>
  <c r="F119" i="4"/>
  <c r="U119" i="4"/>
  <c r="T119" i="4"/>
  <c r="W119" i="4"/>
  <c r="X118" i="4"/>
  <c r="AA118" i="4" s="1"/>
  <c r="E119" i="4"/>
  <c r="Y118" i="4"/>
  <c r="C121" i="4"/>
  <c r="D120" i="4"/>
  <c r="H120" i="4" s="1"/>
  <c r="G119" i="4" l="1"/>
  <c r="I119" i="4" s="1"/>
  <c r="B120" i="4"/>
  <c r="M120" i="4"/>
  <c r="S120" i="4"/>
  <c r="R120" i="4"/>
  <c r="Q120" i="4"/>
  <c r="P120" i="4"/>
  <c r="O120" i="4"/>
  <c r="N120" i="4"/>
  <c r="L120" i="4"/>
  <c r="AL119" i="4"/>
  <c r="AK120" i="4"/>
  <c r="AI120" i="4"/>
  <c r="X119" i="4"/>
  <c r="AA119" i="4" s="1"/>
  <c r="AJ120" i="4"/>
  <c r="J120" i="4"/>
  <c r="Z118" i="4"/>
  <c r="U120" i="4"/>
  <c r="T120" i="4"/>
  <c r="W120" i="4"/>
  <c r="E120" i="4"/>
  <c r="K120" i="4"/>
  <c r="F120" i="4"/>
  <c r="Y119" i="4"/>
  <c r="V120" i="4"/>
  <c r="C122" i="4"/>
  <c r="D121" i="4"/>
  <c r="H121" i="4" s="1"/>
  <c r="G120" i="4" l="1"/>
  <c r="I120" i="4" s="1"/>
  <c r="B121" i="4"/>
  <c r="M121" i="4"/>
  <c r="S121" i="4"/>
  <c r="R121" i="4"/>
  <c r="Q121" i="4"/>
  <c r="P121" i="4"/>
  <c r="O121" i="4"/>
  <c r="N121" i="4"/>
  <c r="L121" i="4"/>
  <c r="Z119" i="4"/>
  <c r="AL120" i="4"/>
  <c r="AI121" i="4"/>
  <c r="AJ121" i="4"/>
  <c r="AK121" i="4"/>
  <c r="W121" i="4"/>
  <c r="Y120" i="4"/>
  <c r="U121" i="4"/>
  <c r="X120" i="4"/>
  <c r="AA120" i="4" s="1"/>
  <c r="F121" i="4"/>
  <c r="E121" i="4"/>
  <c r="T121" i="4"/>
  <c r="J121" i="4"/>
  <c r="K121" i="4"/>
  <c r="V121" i="4"/>
  <c r="C123" i="4"/>
  <c r="D122" i="4"/>
  <c r="H122" i="4" s="1"/>
  <c r="G121" i="4" l="1"/>
  <c r="I121" i="4" s="1"/>
  <c r="B122" i="4"/>
  <c r="S122" i="4"/>
  <c r="R122" i="4"/>
  <c r="Q122" i="4"/>
  <c r="P122" i="4"/>
  <c r="O122" i="4"/>
  <c r="M122" i="4"/>
  <c r="N122" i="4"/>
  <c r="L122" i="4"/>
  <c r="AL121" i="4"/>
  <c r="AK122" i="4"/>
  <c r="AJ122" i="4"/>
  <c r="AI122" i="4"/>
  <c r="Y121" i="4"/>
  <c r="Z120" i="4"/>
  <c r="X121" i="4"/>
  <c r="AA121" i="4" s="1"/>
  <c r="V122" i="4"/>
  <c r="U122" i="4"/>
  <c r="F122" i="4"/>
  <c r="T122" i="4"/>
  <c r="K122" i="4"/>
  <c r="W122" i="4"/>
  <c r="E122" i="4"/>
  <c r="J122" i="4"/>
  <c r="C124" i="4"/>
  <c r="D123" i="4"/>
  <c r="H123" i="4" s="1"/>
  <c r="G122" i="4" l="1"/>
  <c r="I122" i="4" s="1"/>
  <c r="B123" i="4"/>
  <c r="M123" i="4"/>
  <c r="S123" i="4"/>
  <c r="R123" i="4"/>
  <c r="Q123" i="4"/>
  <c r="P123" i="4"/>
  <c r="O123" i="4"/>
  <c r="N123" i="4"/>
  <c r="L123" i="4"/>
  <c r="AI123" i="4"/>
  <c r="AK123" i="4"/>
  <c r="Z121" i="4"/>
  <c r="AL122" i="4"/>
  <c r="X122" i="4"/>
  <c r="AA122" i="4" s="1"/>
  <c r="AJ123" i="4"/>
  <c r="Y122" i="4"/>
  <c r="V123" i="4"/>
  <c r="W123" i="4"/>
  <c r="E123" i="4"/>
  <c r="J123" i="4"/>
  <c r="K123" i="4"/>
  <c r="U123" i="4"/>
  <c r="F123" i="4"/>
  <c r="T123" i="4"/>
  <c r="C125" i="4"/>
  <c r="D124" i="4"/>
  <c r="H124" i="4" s="1"/>
  <c r="G123" i="4" l="1"/>
  <c r="I123" i="4" s="1"/>
  <c r="B124" i="4"/>
  <c r="S124" i="4"/>
  <c r="M124" i="4"/>
  <c r="R124" i="4"/>
  <c r="Q124" i="4"/>
  <c r="P124" i="4"/>
  <c r="O124" i="4"/>
  <c r="N124" i="4"/>
  <c r="L124" i="4"/>
  <c r="Z122" i="4"/>
  <c r="AL123" i="4"/>
  <c r="AK124" i="4"/>
  <c r="AI124" i="4"/>
  <c r="AJ124" i="4"/>
  <c r="X123" i="4"/>
  <c r="AA123" i="4" s="1"/>
  <c r="J124" i="4"/>
  <c r="Y123" i="4"/>
  <c r="W124" i="4"/>
  <c r="V124" i="4"/>
  <c r="E124" i="4"/>
  <c r="U124" i="4"/>
  <c r="F124" i="4"/>
  <c r="T124" i="4"/>
  <c r="K124" i="4"/>
  <c r="C126" i="4"/>
  <c r="D125" i="4"/>
  <c r="H125" i="4" s="1"/>
  <c r="G124" i="4" l="1"/>
  <c r="I124" i="4" s="1"/>
  <c r="B125" i="4"/>
  <c r="M125" i="4"/>
  <c r="S125" i="4"/>
  <c r="R125" i="4"/>
  <c r="Q125" i="4"/>
  <c r="P125" i="4"/>
  <c r="O125" i="4"/>
  <c r="N125" i="4"/>
  <c r="L125" i="4"/>
  <c r="AL124" i="4"/>
  <c r="Z123" i="4"/>
  <c r="AK125" i="4"/>
  <c r="AJ125" i="4"/>
  <c r="AI125" i="4"/>
  <c r="Y124" i="4"/>
  <c r="K125" i="4"/>
  <c r="T125" i="4"/>
  <c r="X124" i="4"/>
  <c r="AA124" i="4" s="1"/>
  <c r="J125" i="4"/>
  <c r="V125" i="4"/>
  <c r="U125" i="4"/>
  <c r="W125" i="4"/>
  <c r="F125" i="4"/>
  <c r="E125" i="4"/>
  <c r="C127" i="4"/>
  <c r="C128" i="4" s="1"/>
  <c r="D126" i="4"/>
  <c r="H126" i="4" s="1"/>
  <c r="T128" i="4" l="1"/>
  <c r="P128" i="4"/>
  <c r="E128" i="4"/>
  <c r="F128" i="4"/>
  <c r="J128" i="4"/>
  <c r="N128" i="4"/>
  <c r="W128" i="4"/>
  <c r="R128" i="4"/>
  <c r="K128" i="4"/>
  <c r="L128" i="4"/>
  <c r="M128" i="4"/>
  <c r="O128" i="4"/>
  <c r="Q128" i="4"/>
  <c r="S128" i="4"/>
  <c r="U128" i="4"/>
  <c r="D128" i="4"/>
  <c r="V128" i="4" s="1"/>
  <c r="C129" i="4"/>
  <c r="G125" i="4"/>
  <c r="I125" i="4" s="1"/>
  <c r="B126" i="4"/>
  <c r="S126" i="4"/>
  <c r="R126" i="4"/>
  <c r="Q126" i="4"/>
  <c r="P126" i="4"/>
  <c r="O126" i="4"/>
  <c r="N126" i="4"/>
  <c r="M126" i="4"/>
  <c r="L126" i="4"/>
  <c r="AL125" i="4"/>
  <c r="AK126" i="4"/>
  <c r="AJ126" i="4"/>
  <c r="AI126" i="4"/>
  <c r="X125" i="4"/>
  <c r="AA125" i="4" s="1"/>
  <c r="Z124" i="4"/>
  <c r="K126" i="4"/>
  <c r="W126" i="4"/>
  <c r="Y125" i="4"/>
  <c r="J126" i="4"/>
  <c r="U126" i="4"/>
  <c r="T126" i="4"/>
  <c r="F126" i="4"/>
  <c r="E126" i="4"/>
  <c r="V126" i="4"/>
  <c r="D127" i="4"/>
  <c r="H127" i="4" s="1"/>
  <c r="AI128" i="4" l="1"/>
  <c r="AJ128" i="4"/>
  <c r="AK128" i="4"/>
  <c r="G128" i="4"/>
  <c r="Y128" i="4"/>
  <c r="C130" i="4"/>
  <c r="D129" i="4"/>
  <c r="X128" i="4"/>
  <c r="B128" i="4"/>
  <c r="H128" i="4"/>
  <c r="G126" i="4"/>
  <c r="I126" i="4" s="1"/>
  <c r="B127" i="4"/>
  <c r="M127" i="4"/>
  <c r="S127" i="4"/>
  <c r="R127" i="4"/>
  <c r="Q127" i="4"/>
  <c r="P127" i="4"/>
  <c r="O127" i="4"/>
  <c r="N127" i="4"/>
  <c r="L127" i="4"/>
  <c r="Z125" i="4"/>
  <c r="AJ127" i="4"/>
  <c r="AL126" i="4"/>
  <c r="AK127" i="4"/>
  <c r="J127" i="4"/>
  <c r="Y126" i="4"/>
  <c r="AI127" i="4"/>
  <c r="K127" i="4"/>
  <c r="X126" i="4"/>
  <c r="AA126" i="4" s="1"/>
  <c r="E127" i="4"/>
  <c r="F127" i="4"/>
  <c r="T127" i="4"/>
  <c r="V127" i="4"/>
  <c r="W127" i="4"/>
  <c r="U127" i="4"/>
  <c r="I128" i="4" l="1"/>
  <c r="AL128" i="4"/>
  <c r="T129" i="4"/>
  <c r="W129" i="4"/>
  <c r="R129" i="4"/>
  <c r="E129" i="4"/>
  <c r="Q129" i="4"/>
  <c r="AI129" i="4"/>
  <c r="P129" i="4"/>
  <c r="J129" i="4"/>
  <c r="K129" i="4"/>
  <c r="L129" i="4"/>
  <c r="M129" i="4"/>
  <c r="N129" i="4"/>
  <c r="O129" i="4"/>
  <c r="S129" i="4"/>
  <c r="U129" i="4"/>
  <c r="V129" i="4"/>
  <c r="AJ129" i="4"/>
  <c r="AK129" i="4"/>
  <c r="C131" i="4"/>
  <c r="D130" i="4"/>
  <c r="Z128" i="4"/>
  <c r="AA128" i="4"/>
  <c r="B129" i="4"/>
  <c r="F129" i="4"/>
  <c r="H129" i="4"/>
  <c r="G127" i="4"/>
  <c r="I127" i="4" s="1"/>
  <c r="AL127" i="4"/>
  <c r="Z126" i="4"/>
  <c r="Y127" i="4"/>
  <c r="X127" i="4"/>
  <c r="AA127" i="4" s="1"/>
  <c r="Y129" i="4" l="1"/>
  <c r="K130" i="4"/>
  <c r="E130" i="4"/>
  <c r="F130" i="4"/>
  <c r="H130" i="4"/>
  <c r="X129" i="4"/>
  <c r="AL129" i="4"/>
  <c r="O130" i="4"/>
  <c r="J130" i="4"/>
  <c r="L130" i="4"/>
  <c r="S130" i="4"/>
  <c r="N130" i="4"/>
  <c r="M130" i="4"/>
  <c r="G129" i="4"/>
  <c r="I129" i="4" s="1"/>
  <c r="P130" i="4"/>
  <c r="Q130" i="4"/>
  <c r="R130" i="4"/>
  <c r="T130" i="4"/>
  <c r="D131" i="4"/>
  <c r="C132" i="4"/>
  <c r="B130" i="4"/>
  <c r="U130" i="4"/>
  <c r="W130" i="4"/>
  <c r="AJ130" i="4"/>
  <c r="AK130" i="4"/>
  <c r="AI130" i="4"/>
  <c r="V130" i="4"/>
  <c r="Z127" i="4"/>
  <c r="G130" i="4" l="1"/>
  <c r="I130" i="4" s="1"/>
  <c r="S131" i="4"/>
  <c r="F131" i="4"/>
  <c r="X130" i="4"/>
  <c r="AA130" i="4" s="1"/>
  <c r="AA129" i="4"/>
  <c r="Z129" i="4"/>
  <c r="AL130" i="4"/>
  <c r="E131" i="4"/>
  <c r="O131" i="4"/>
  <c r="V131" i="4"/>
  <c r="H131" i="4"/>
  <c r="J131" i="4"/>
  <c r="K131" i="4"/>
  <c r="L131" i="4"/>
  <c r="AI131" i="4"/>
  <c r="M131" i="4"/>
  <c r="N131" i="4"/>
  <c r="P131" i="4"/>
  <c r="Q131" i="4"/>
  <c r="D132" i="4"/>
  <c r="C133" i="4"/>
  <c r="Y130" i="4"/>
  <c r="B131" i="4"/>
  <c r="R131" i="4"/>
  <c r="T131" i="4"/>
  <c r="U131" i="4"/>
  <c r="W131" i="4"/>
  <c r="AJ131" i="4"/>
  <c r="AK131" i="4"/>
  <c r="G131" i="4" l="1"/>
  <c r="I131" i="4" s="1"/>
  <c r="Z130" i="4"/>
  <c r="X131" i="4"/>
  <c r="AA131" i="4" s="1"/>
  <c r="AL131" i="4"/>
  <c r="K132" i="4"/>
  <c r="S132" i="4"/>
  <c r="H132" i="4"/>
  <c r="J132" i="4"/>
  <c r="E132" i="4"/>
  <c r="F132" i="4"/>
  <c r="M132" i="4"/>
  <c r="N132" i="4"/>
  <c r="P132" i="4"/>
  <c r="Q132" i="4"/>
  <c r="R132" i="4"/>
  <c r="U132" i="4"/>
  <c r="AJ132" i="4"/>
  <c r="T132" i="4"/>
  <c r="W132" i="4"/>
  <c r="D133" i="4"/>
  <c r="AK133" i="4" s="1"/>
  <c r="C134" i="4"/>
  <c r="Y131" i="4"/>
  <c r="B132" i="4"/>
  <c r="L132" i="4"/>
  <c r="AK132" i="4"/>
  <c r="O132" i="4"/>
  <c r="V132" i="4"/>
  <c r="AI132" i="4"/>
  <c r="Y132" i="4" l="1"/>
  <c r="Z131" i="4"/>
  <c r="G132" i="4"/>
  <c r="I132" i="4" s="1"/>
  <c r="X132" i="4"/>
  <c r="AA132" i="4" s="1"/>
  <c r="D134" i="4"/>
  <c r="C135" i="4"/>
  <c r="AL132" i="4"/>
  <c r="B133" i="4"/>
  <c r="S133" i="4"/>
  <c r="Q133" i="4"/>
  <c r="U133" i="4"/>
  <c r="AI133" i="4"/>
  <c r="AL133" i="4" s="1"/>
  <c r="H133" i="4"/>
  <c r="V133" i="4"/>
  <c r="M133" i="4"/>
  <c r="N133" i="4"/>
  <c r="P133" i="4"/>
  <c r="T133" i="4"/>
  <c r="AJ133" i="4"/>
  <c r="J133" i="4"/>
  <c r="K133" i="4"/>
  <c r="L133" i="4"/>
  <c r="O133" i="4"/>
  <c r="E133" i="4"/>
  <c r="F133" i="4"/>
  <c r="R133" i="4"/>
  <c r="W133" i="4"/>
  <c r="Z132" i="4" l="1"/>
  <c r="X133" i="4"/>
  <c r="AA133" i="4" s="1"/>
  <c r="O134" i="4"/>
  <c r="N134" i="4"/>
  <c r="P134" i="4"/>
  <c r="Q134" i="4"/>
  <c r="R134" i="4"/>
  <c r="T134" i="4"/>
  <c r="O135" i="4"/>
  <c r="D135" i="4"/>
  <c r="C136" i="4"/>
  <c r="Y133" i="4"/>
  <c r="G133" i="4"/>
  <c r="I133" i="4" s="1"/>
  <c r="B134" i="4"/>
  <c r="E134" i="4"/>
  <c r="H134" i="4"/>
  <c r="L134" i="4"/>
  <c r="M134" i="4"/>
  <c r="U134" i="4"/>
  <c r="W134" i="4"/>
  <c r="AJ134" i="4"/>
  <c r="AK134" i="4"/>
  <c r="S134" i="4"/>
  <c r="F134" i="4"/>
  <c r="AI134" i="4"/>
  <c r="V134" i="4"/>
  <c r="K134" i="4"/>
  <c r="J134" i="4"/>
  <c r="J135" i="4" l="1"/>
  <c r="S135" i="4"/>
  <c r="Z133" i="4"/>
  <c r="AL134" i="4"/>
  <c r="X134" i="4"/>
  <c r="AA134" i="4" s="1"/>
  <c r="E135" i="4"/>
  <c r="H135" i="4"/>
  <c r="AI135" i="4"/>
  <c r="K135" i="4"/>
  <c r="L135" i="4"/>
  <c r="M135" i="4"/>
  <c r="N135" i="4"/>
  <c r="C137" i="4"/>
  <c r="D136" i="4"/>
  <c r="Y134" i="4"/>
  <c r="G134" i="4"/>
  <c r="I134" i="4" s="1"/>
  <c r="B135" i="4"/>
  <c r="F135" i="4"/>
  <c r="P135" i="4"/>
  <c r="Q135" i="4"/>
  <c r="R135" i="4"/>
  <c r="T135" i="4"/>
  <c r="U135" i="4"/>
  <c r="W135" i="4"/>
  <c r="AJ135" i="4"/>
  <c r="AK135" i="4"/>
  <c r="V135" i="4"/>
  <c r="Z134" i="4" l="1"/>
  <c r="AL135" i="4"/>
  <c r="G135" i="4"/>
  <c r="I135" i="4" s="1"/>
  <c r="C138" i="4"/>
  <c r="D137" i="4"/>
  <c r="Y135" i="4"/>
  <c r="X135" i="4"/>
  <c r="B136" i="4"/>
  <c r="O136" i="4"/>
  <c r="V136" i="4"/>
  <c r="H136" i="4"/>
  <c r="J136" i="4"/>
  <c r="K136" i="4"/>
  <c r="F136" i="4"/>
  <c r="M136" i="4"/>
  <c r="P136" i="4"/>
  <c r="R136" i="4"/>
  <c r="U136" i="4"/>
  <c r="AJ136" i="4"/>
  <c r="AI136" i="4"/>
  <c r="S136" i="4"/>
  <c r="N136" i="4"/>
  <c r="Q136" i="4"/>
  <c r="T136" i="4"/>
  <c r="E136" i="4"/>
  <c r="L136" i="4"/>
  <c r="AK136" i="4"/>
  <c r="W136" i="4"/>
  <c r="AL136" i="4" l="1"/>
  <c r="C139" i="4"/>
  <c r="D138" i="4"/>
  <c r="Z135" i="4"/>
  <c r="AA135" i="4"/>
  <c r="Y136" i="4"/>
  <c r="X136" i="4"/>
  <c r="G136" i="4"/>
  <c r="I136" i="4" s="1"/>
  <c r="B137" i="4"/>
  <c r="M137" i="4"/>
  <c r="AI137" i="4"/>
  <c r="R137" i="4"/>
  <c r="V137" i="4"/>
  <c r="L137" i="4"/>
  <c r="K137" i="4"/>
  <c r="N137" i="4"/>
  <c r="Q137" i="4"/>
  <c r="U137" i="4"/>
  <c r="AJ137" i="4"/>
  <c r="E137" i="4"/>
  <c r="S137" i="4"/>
  <c r="J137" i="4"/>
  <c r="F137" i="4"/>
  <c r="H137" i="4"/>
  <c r="O137" i="4"/>
  <c r="P137" i="4"/>
  <c r="T137" i="4"/>
  <c r="W137" i="4"/>
  <c r="AK137" i="4"/>
  <c r="F138" i="4" l="1"/>
  <c r="S138" i="4"/>
  <c r="E138" i="4"/>
  <c r="H138" i="4"/>
  <c r="AI138" i="4"/>
  <c r="T138" i="4"/>
  <c r="U138" i="4"/>
  <c r="X137" i="4"/>
  <c r="AA137" i="4" s="1"/>
  <c r="D139" i="4"/>
  <c r="C140" i="4"/>
  <c r="AA136" i="4"/>
  <c r="Z136" i="4"/>
  <c r="AL137" i="4"/>
  <c r="Y137" i="4"/>
  <c r="G137" i="4"/>
  <c r="I137" i="4" s="1"/>
  <c r="B138" i="4"/>
  <c r="O138" i="4"/>
  <c r="J138" i="4"/>
  <c r="K138" i="4"/>
  <c r="L138" i="4"/>
  <c r="V138" i="4"/>
  <c r="M138" i="4"/>
  <c r="N138" i="4"/>
  <c r="P138" i="4"/>
  <c r="Q138" i="4"/>
  <c r="R138" i="4"/>
  <c r="W138" i="4"/>
  <c r="AJ138" i="4"/>
  <c r="AK138" i="4"/>
  <c r="G138" i="4" l="1"/>
  <c r="I138" i="4" s="1"/>
  <c r="X138" i="4"/>
  <c r="AA138" i="4" s="1"/>
  <c r="Y138" i="4"/>
  <c r="AL138" i="4"/>
  <c r="E139" i="4"/>
  <c r="F139" i="4"/>
  <c r="H139" i="4"/>
  <c r="Z137" i="4"/>
  <c r="AI139" i="4"/>
  <c r="N139" i="4"/>
  <c r="P139" i="4"/>
  <c r="Q139" i="4"/>
  <c r="D140" i="4"/>
  <c r="C141" i="4"/>
  <c r="B139" i="4"/>
  <c r="J139" i="4"/>
  <c r="K139" i="4"/>
  <c r="L139" i="4"/>
  <c r="M139" i="4"/>
  <c r="R139" i="4"/>
  <c r="T139" i="4"/>
  <c r="U139" i="4"/>
  <c r="W139" i="4"/>
  <c r="AJ139" i="4"/>
  <c r="AK139" i="4"/>
  <c r="V139" i="4"/>
  <c r="O139" i="4"/>
  <c r="S139" i="4"/>
  <c r="G139" i="4" l="1"/>
  <c r="I139" i="4" s="1"/>
  <c r="AL139" i="4"/>
  <c r="Z138" i="4"/>
  <c r="X139" i="4"/>
  <c r="AA139" i="4" s="1"/>
  <c r="E140" i="4"/>
  <c r="AI140" i="4"/>
  <c r="N140" i="4"/>
  <c r="P140" i="4"/>
  <c r="Q140" i="4"/>
  <c r="R140" i="4"/>
  <c r="T140" i="4"/>
  <c r="U140" i="4"/>
  <c r="W140" i="4"/>
  <c r="AJ140" i="4"/>
  <c r="AK140" i="4"/>
  <c r="S140" i="4"/>
  <c r="F140" i="4"/>
  <c r="D141" i="4"/>
  <c r="C142" i="4"/>
  <c r="Y139" i="4"/>
  <c r="B140" i="4"/>
  <c r="H140" i="4"/>
  <c r="L140" i="4"/>
  <c r="V140" i="4"/>
  <c r="J140" i="4"/>
  <c r="K140" i="4"/>
  <c r="M140" i="4"/>
  <c r="O140" i="4"/>
  <c r="G140" i="4" l="1"/>
  <c r="I140" i="4" s="1"/>
  <c r="AL140" i="4"/>
  <c r="X140" i="4"/>
  <c r="AA140" i="4" s="1"/>
  <c r="Y140" i="4"/>
  <c r="Z139" i="4"/>
  <c r="T141" i="4"/>
  <c r="V141" i="4"/>
  <c r="C143" i="4"/>
  <c r="D142" i="4"/>
  <c r="AK142" i="4" s="1"/>
  <c r="B141" i="4"/>
  <c r="F141" i="4"/>
  <c r="S141" i="4"/>
  <c r="L141" i="4"/>
  <c r="H141" i="4"/>
  <c r="N141" i="4"/>
  <c r="Q141" i="4"/>
  <c r="W141" i="4"/>
  <c r="AK141" i="4"/>
  <c r="E141" i="4"/>
  <c r="R141" i="4"/>
  <c r="J141" i="4"/>
  <c r="O141" i="4"/>
  <c r="AI141" i="4"/>
  <c r="K141" i="4"/>
  <c r="M141" i="4"/>
  <c r="P141" i="4"/>
  <c r="U141" i="4"/>
  <c r="AJ141" i="4"/>
  <c r="Z140" i="4" l="1"/>
  <c r="G141" i="4"/>
  <c r="I141" i="4" s="1"/>
  <c r="X141" i="4"/>
  <c r="Y141" i="4"/>
  <c r="C144" i="4"/>
  <c r="D143" i="4"/>
  <c r="AL141" i="4"/>
  <c r="B142" i="4"/>
  <c r="R142" i="4"/>
  <c r="T142" i="4"/>
  <c r="V142" i="4"/>
  <c r="O142" i="4"/>
  <c r="K142" i="4"/>
  <c r="S142" i="4"/>
  <c r="M142" i="4"/>
  <c r="P142" i="4"/>
  <c r="U142" i="4"/>
  <c r="AJ142" i="4"/>
  <c r="E142" i="4"/>
  <c r="H142" i="4"/>
  <c r="L142" i="4"/>
  <c r="N142" i="4"/>
  <c r="Q142" i="4"/>
  <c r="W142" i="4"/>
  <c r="F142" i="4"/>
  <c r="J142" i="4"/>
  <c r="AI142" i="4"/>
  <c r="AL142" i="4" s="1"/>
  <c r="G142" i="4" l="1"/>
  <c r="I142" i="4" s="1"/>
  <c r="AA141" i="4"/>
  <c r="Z141" i="4"/>
  <c r="X142" i="4"/>
  <c r="AA142" i="4" s="1"/>
  <c r="U143" i="4"/>
  <c r="W143" i="4"/>
  <c r="AJ143" i="4"/>
  <c r="AK143" i="4"/>
  <c r="E144" i="4"/>
  <c r="C145" i="4"/>
  <c r="H144" i="4"/>
  <c r="K144" i="4"/>
  <c r="V144" i="4"/>
  <c r="U144" i="4"/>
  <c r="O144" i="4"/>
  <c r="F144" i="4"/>
  <c r="AI144" i="4"/>
  <c r="D144" i="4"/>
  <c r="P144" i="4" s="1"/>
  <c r="Y142" i="4"/>
  <c r="B143" i="4"/>
  <c r="Q143" i="4"/>
  <c r="R143" i="4"/>
  <c r="T143" i="4"/>
  <c r="F143" i="4"/>
  <c r="J143" i="4"/>
  <c r="L143" i="4"/>
  <c r="AI143" i="4"/>
  <c r="N143" i="4"/>
  <c r="V143" i="4"/>
  <c r="E143" i="4"/>
  <c r="S143" i="4"/>
  <c r="H143" i="4"/>
  <c r="K143" i="4"/>
  <c r="O143" i="4"/>
  <c r="M143" i="4"/>
  <c r="P143" i="4"/>
  <c r="X143" i="4" l="1"/>
  <c r="AA143" i="4" s="1"/>
  <c r="Z142" i="4"/>
  <c r="Q144" i="4"/>
  <c r="T144" i="4"/>
  <c r="X144" i="4" s="1"/>
  <c r="W144" i="4"/>
  <c r="Y144" i="4" s="1"/>
  <c r="AJ144" i="4"/>
  <c r="Y143" i="4"/>
  <c r="AL143" i="4"/>
  <c r="J144" i="4"/>
  <c r="L144" i="4"/>
  <c r="M144" i="4"/>
  <c r="N144" i="4"/>
  <c r="AK144" i="4"/>
  <c r="AL144" i="4" s="1"/>
  <c r="D145" i="4"/>
  <c r="C146" i="4"/>
  <c r="G143" i="4"/>
  <c r="I143" i="4" s="1"/>
  <c r="G144" i="4"/>
  <c r="I144" i="4" s="1"/>
  <c r="B144" i="4"/>
  <c r="R144" i="4"/>
  <c r="S144" i="4"/>
  <c r="Z143" i="4" l="1"/>
  <c r="N145" i="4"/>
  <c r="Q145" i="4"/>
  <c r="R145" i="4"/>
  <c r="T145" i="4"/>
  <c r="U145" i="4"/>
  <c r="W145" i="4"/>
  <c r="AJ145" i="4"/>
  <c r="AK145" i="4"/>
  <c r="F145" i="4"/>
  <c r="O145" i="4"/>
  <c r="S145" i="4"/>
  <c r="V145" i="4"/>
  <c r="D146" i="4"/>
  <c r="E146" i="4"/>
  <c r="C147" i="4"/>
  <c r="AA144" i="4"/>
  <c r="Z144" i="4"/>
  <c r="B145" i="4"/>
  <c r="E145" i="4"/>
  <c r="H145" i="4"/>
  <c r="AI145" i="4"/>
  <c r="J145" i="4"/>
  <c r="K145" i="4"/>
  <c r="L145" i="4"/>
  <c r="M145" i="4"/>
  <c r="P145" i="4"/>
  <c r="X145" i="4" l="1"/>
  <c r="AA145" i="4" s="1"/>
  <c r="G145" i="4"/>
  <c r="I145" i="4" s="1"/>
  <c r="AL145" i="4"/>
  <c r="S146" i="4"/>
  <c r="AI146" i="4"/>
  <c r="V146" i="4"/>
  <c r="J146" i="4"/>
  <c r="K146" i="4"/>
  <c r="Y145" i="4"/>
  <c r="U146" i="4"/>
  <c r="AJ146" i="4"/>
  <c r="D147" i="4"/>
  <c r="C148" i="4"/>
  <c r="B146" i="4"/>
  <c r="F146" i="4"/>
  <c r="G146" i="4" s="1"/>
  <c r="O146" i="4"/>
  <c r="M146" i="4"/>
  <c r="P146" i="4"/>
  <c r="W146" i="4"/>
  <c r="L146" i="4"/>
  <c r="N146" i="4"/>
  <c r="R146" i="4"/>
  <c r="T146" i="4"/>
  <c r="AK146" i="4"/>
  <c r="H146" i="4"/>
  <c r="Q146" i="4"/>
  <c r="X146" i="4" l="1"/>
  <c r="AA146" i="4" s="1"/>
  <c r="Z145" i="4"/>
  <c r="AL146" i="4"/>
  <c r="Y146" i="4"/>
  <c r="C149" i="4"/>
  <c r="D148" i="4"/>
  <c r="Q148" i="4"/>
  <c r="I146" i="4"/>
  <c r="B147" i="4"/>
  <c r="O147" i="4"/>
  <c r="E147" i="4"/>
  <c r="S147" i="4"/>
  <c r="N147" i="4"/>
  <c r="M147" i="4"/>
  <c r="Q147" i="4"/>
  <c r="T147" i="4"/>
  <c r="U147" i="4"/>
  <c r="W147" i="4"/>
  <c r="AJ147" i="4"/>
  <c r="F147" i="4"/>
  <c r="AI147" i="4"/>
  <c r="L147" i="4"/>
  <c r="AK147" i="4"/>
  <c r="J147" i="4"/>
  <c r="R147" i="4"/>
  <c r="K147" i="4"/>
  <c r="H147" i="4"/>
  <c r="P147" i="4"/>
  <c r="V147" i="4"/>
  <c r="R148" i="4" l="1"/>
  <c r="T148" i="4"/>
  <c r="W148" i="4"/>
  <c r="J148" i="4"/>
  <c r="K148" i="4"/>
  <c r="O148" i="4"/>
  <c r="S148" i="4"/>
  <c r="M148" i="4"/>
  <c r="N148" i="4"/>
  <c r="AJ148" i="4"/>
  <c r="AK148" i="4"/>
  <c r="L148" i="4"/>
  <c r="Z146" i="4"/>
  <c r="AL147" i="4"/>
  <c r="U148" i="4"/>
  <c r="F148" i="4"/>
  <c r="V148" i="4"/>
  <c r="AI148" i="4"/>
  <c r="G147" i="4"/>
  <c r="I147" i="4" s="1"/>
  <c r="X147" i="4"/>
  <c r="AA147" i="4" s="1"/>
  <c r="D149" i="4"/>
  <c r="E149" i="4"/>
  <c r="C150" i="4"/>
  <c r="Y147" i="4"/>
  <c r="B148" i="4"/>
  <c r="H148" i="4"/>
  <c r="P148" i="4"/>
  <c r="E148" i="4"/>
  <c r="S149" i="4" l="1"/>
  <c r="H149" i="4"/>
  <c r="J149" i="4"/>
  <c r="AL148" i="4"/>
  <c r="Y148" i="4"/>
  <c r="X148" i="4"/>
  <c r="AA148" i="4" s="1"/>
  <c r="K149" i="4"/>
  <c r="L149" i="4"/>
  <c r="U149" i="4"/>
  <c r="W149" i="4"/>
  <c r="V149" i="4"/>
  <c r="AI149" i="4"/>
  <c r="N149" i="4"/>
  <c r="P149" i="4"/>
  <c r="Q149" i="4"/>
  <c r="R149" i="4"/>
  <c r="T149" i="4"/>
  <c r="AJ149" i="4"/>
  <c r="G148" i="4"/>
  <c r="I148" i="4" s="1"/>
  <c r="Z147" i="4"/>
  <c r="D150" i="4"/>
  <c r="C151" i="4"/>
  <c r="B149" i="4"/>
  <c r="AK149" i="4"/>
  <c r="F149" i="4"/>
  <c r="G149" i="4" s="1"/>
  <c r="O149" i="4"/>
  <c r="M149" i="4"/>
  <c r="I149" i="4" l="1"/>
  <c r="Z148" i="4"/>
  <c r="Y149" i="4"/>
  <c r="X149" i="4"/>
  <c r="AL149" i="4"/>
  <c r="U150" i="4"/>
  <c r="W150" i="4"/>
  <c r="AJ150" i="4"/>
  <c r="AK150" i="4"/>
  <c r="D151" i="4"/>
  <c r="C152" i="4"/>
  <c r="B150" i="4"/>
  <c r="AI150" i="4"/>
  <c r="O150" i="4"/>
  <c r="K150" i="4"/>
  <c r="F150" i="4"/>
  <c r="V150" i="4"/>
  <c r="N150" i="4"/>
  <c r="R150" i="4"/>
  <c r="S150" i="4"/>
  <c r="H150" i="4"/>
  <c r="M150" i="4"/>
  <c r="P150" i="4"/>
  <c r="E150" i="4"/>
  <c r="J150" i="4"/>
  <c r="Q150" i="4"/>
  <c r="T150" i="4"/>
  <c r="L150" i="4"/>
  <c r="AA149" i="4" l="1"/>
  <c r="Z149" i="4"/>
  <c r="Y150" i="4"/>
  <c r="G150" i="4"/>
  <c r="I150" i="4" s="1"/>
  <c r="E151" i="4"/>
  <c r="O151" i="4"/>
  <c r="H151" i="4"/>
  <c r="AL150" i="4"/>
  <c r="L151" i="4"/>
  <c r="AI151" i="4"/>
  <c r="AK151" i="4"/>
  <c r="C153" i="4"/>
  <c r="D152" i="4"/>
  <c r="X150" i="4"/>
  <c r="B151" i="4"/>
  <c r="J151" i="4"/>
  <c r="K151" i="4"/>
  <c r="M151" i="4"/>
  <c r="N151" i="4"/>
  <c r="P151" i="4"/>
  <c r="Q151" i="4"/>
  <c r="R151" i="4"/>
  <c r="S151" i="4"/>
  <c r="T151" i="4"/>
  <c r="F151" i="4"/>
  <c r="V151" i="4"/>
  <c r="U151" i="4"/>
  <c r="W151" i="4"/>
  <c r="AJ151" i="4"/>
  <c r="M152" i="4" l="1"/>
  <c r="T152" i="4"/>
  <c r="G151" i="4"/>
  <c r="I151" i="4" s="1"/>
  <c r="AL151" i="4"/>
  <c r="X151" i="4"/>
  <c r="AA151" i="4" s="1"/>
  <c r="N152" i="4"/>
  <c r="P152" i="4"/>
  <c r="Q152" i="4"/>
  <c r="U152" i="4"/>
  <c r="W152" i="4"/>
  <c r="AJ152" i="4"/>
  <c r="AK152" i="4"/>
  <c r="R152" i="4"/>
  <c r="S152" i="4"/>
  <c r="C154" i="4"/>
  <c r="D153" i="4"/>
  <c r="W153" i="4" s="1"/>
  <c r="AA150" i="4"/>
  <c r="Z150" i="4"/>
  <c r="Y151" i="4"/>
  <c r="B152" i="4"/>
  <c r="E152" i="4"/>
  <c r="AI152" i="4"/>
  <c r="L152" i="4"/>
  <c r="F152" i="4"/>
  <c r="H152" i="4"/>
  <c r="O152" i="4"/>
  <c r="V152" i="4"/>
  <c r="J152" i="4"/>
  <c r="K152" i="4"/>
  <c r="X152" i="4" l="1"/>
  <c r="AA152" i="4" s="1"/>
  <c r="G152" i="4"/>
  <c r="I152" i="4" s="1"/>
  <c r="Y152" i="4"/>
  <c r="AL152" i="4"/>
  <c r="Z151" i="4"/>
  <c r="AK153" i="4"/>
  <c r="AJ153" i="4"/>
  <c r="C155" i="4"/>
  <c r="D154" i="4"/>
  <c r="B153" i="4"/>
  <c r="L153" i="4"/>
  <c r="F153" i="4"/>
  <c r="V153" i="4"/>
  <c r="H153" i="4"/>
  <c r="J153" i="4"/>
  <c r="K153" i="4"/>
  <c r="O153" i="4"/>
  <c r="N153" i="4"/>
  <c r="P153" i="4"/>
  <c r="Q153" i="4"/>
  <c r="S153" i="4"/>
  <c r="AI153" i="4"/>
  <c r="U153" i="4"/>
  <c r="Y153" i="4" s="1"/>
  <c r="T153" i="4"/>
  <c r="M153" i="4"/>
  <c r="R153" i="4"/>
  <c r="E153" i="4"/>
  <c r="Z152" i="4" l="1"/>
  <c r="G153" i="4"/>
  <c r="I153" i="4" s="1"/>
  <c r="AK154" i="4"/>
  <c r="U154" i="4"/>
  <c r="T154" i="4"/>
  <c r="AL153" i="4"/>
  <c r="D155" i="4"/>
  <c r="C156" i="4"/>
  <c r="X153" i="4"/>
  <c r="B154" i="4"/>
  <c r="F154" i="4"/>
  <c r="O154" i="4"/>
  <c r="AI154" i="4"/>
  <c r="H154" i="4"/>
  <c r="AJ154" i="4"/>
  <c r="E154" i="4"/>
  <c r="V154" i="4"/>
  <c r="K154" i="4"/>
  <c r="M154" i="4"/>
  <c r="P154" i="4"/>
  <c r="W154" i="4"/>
  <c r="J154" i="4"/>
  <c r="L154" i="4"/>
  <c r="N154" i="4"/>
  <c r="Q154" i="4"/>
  <c r="R154" i="4"/>
  <c r="S154" i="4"/>
  <c r="M155" i="4" l="1"/>
  <c r="N155" i="4"/>
  <c r="P155" i="4"/>
  <c r="Q155" i="4"/>
  <c r="W155" i="4"/>
  <c r="AJ155" i="4"/>
  <c r="AK155" i="4"/>
  <c r="AL154" i="4"/>
  <c r="X154" i="4"/>
  <c r="Y154" i="4"/>
  <c r="O155" i="4"/>
  <c r="E155" i="4"/>
  <c r="F155" i="4"/>
  <c r="H155" i="4"/>
  <c r="AI155" i="4"/>
  <c r="D156" i="4"/>
  <c r="C157" i="4"/>
  <c r="Z153" i="4"/>
  <c r="AA153" i="4"/>
  <c r="G154" i="4"/>
  <c r="I154" i="4" s="1"/>
  <c r="B155" i="4"/>
  <c r="L155" i="4"/>
  <c r="J155" i="4"/>
  <c r="K155" i="4"/>
  <c r="V155" i="4"/>
  <c r="R155" i="4"/>
  <c r="S155" i="4"/>
  <c r="T155" i="4"/>
  <c r="U155" i="4"/>
  <c r="AL155" i="4" l="1"/>
  <c r="Y155" i="4"/>
  <c r="O156" i="4"/>
  <c r="E156" i="4"/>
  <c r="AI156" i="4"/>
  <c r="G155" i="4"/>
  <c r="I155" i="4" s="1"/>
  <c r="Z154" i="4"/>
  <c r="AA154" i="4"/>
  <c r="X155" i="4"/>
  <c r="AA155" i="4" s="1"/>
  <c r="B156" i="4"/>
  <c r="K156" i="4"/>
  <c r="M156" i="4"/>
  <c r="N156" i="4"/>
  <c r="P156" i="4"/>
  <c r="Q156" i="4"/>
  <c r="R156" i="4"/>
  <c r="S156" i="4"/>
  <c r="H156" i="4"/>
  <c r="J156" i="4"/>
  <c r="V156" i="4"/>
  <c r="T156" i="4"/>
  <c r="U156" i="4"/>
  <c r="W156" i="4"/>
  <c r="AJ156" i="4"/>
  <c r="AK156" i="4"/>
  <c r="F156" i="4"/>
  <c r="L156" i="4"/>
  <c r="D157" i="4"/>
  <c r="R157" i="4"/>
  <c r="C158" i="4"/>
  <c r="AL156" i="4" l="1"/>
  <c r="Z155" i="4"/>
  <c r="H157" i="4"/>
  <c r="J157" i="4"/>
  <c r="G156" i="4"/>
  <c r="I156" i="4" s="1"/>
  <c r="F157" i="4"/>
  <c r="M157" i="4"/>
  <c r="E157" i="4"/>
  <c r="T157" i="4"/>
  <c r="U157" i="4"/>
  <c r="W157" i="4"/>
  <c r="AJ157" i="4"/>
  <c r="AK157" i="4"/>
  <c r="AI157" i="4"/>
  <c r="O157" i="4"/>
  <c r="X156" i="4"/>
  <c r="AA156" i="4" s="1"/>
  <c r="Y156" i="4"/>
  <c r="C159" i="4"/>
  <c r="D158" i="4"/>
  <c r="B157" i="4"/>
  <c r="N157" i="4"/>
  <c r="K157" i="4"/>
  <c r="P157" i="4"/>
  <c r="Q157" i="4"/>
  <c r="V157" i="4"/>
  <c r="L157" i="4"/>
  <c r="S157" i="4"/>
  <c r="Y157" i="4" l="1"/>
  <c r="AL157" i="4"/>
  <c r="G157" i="4"/>
  <c r="I157" i="4" s="1"/>
  <c r="X157" i="4"/>
  <c r="AI158" i="4"/>
  <c r="K158" i="4"/>
  <c r="L158" i="4"/>
  <c r="O158" i="4"/>
  <c r="M158" i="4"/>
  <c r="N158" i="4"/>
  <c r="P158" i="4"/>
  <c r="Q158" i="4"/>
  <c r="R158" i="4"/>
  <c r="S158" i="4"/>
  <c r="T158" i="4"/>
  <c r="U158" i="4"/>
  <c r="W158" i="4"/>
  <c r="AJ158" i="4"/>
  <c r="AK158" i="4"/>
  <c r="AL158" i="4" s="1"/>
  <c r="F158" i="4"/>
  <c r="Z156" i="4"/>
  <c r="H158" i="4"/>
  <c r="E158" i="4"/>
  <c r="C160" i="4"/>
  <c r="D159" i="4"/>
  <c r="B158" i="4"/>
  <c r="V158" i="4"/>
  <c r="J158" i="4"/>
  <c r="Y158" i="4" l="1"/>
  <c r="G158" i="4"/>
  <c r="I158" i="4" s="1"/>
  <c r="Z157" i="4"/>
  <c r="AA157" i="4"/>
  <c r="X158" i="4"/>
  <c r="F159" i="4"/>
  <c r="L159" i="4"/>
  <c r="H159" i="4"/>
  <c r="V159" i="4"/>
  <c r="J159" i="4"/>
  <c r="C161" i="4"/>
  <c r="D160" i="4"/>
  <c r="B159" i="4"/>
  <c r="P159" i="4"/>
  <c r="K159" i="4"/>
  <c r="M159" i="4"/>
  <c r="N159" i="4"/>
  <c r="Q159" i="4"/>
  <c r="R159" i="4"/>
  <c r="S159" i="4"/>
  <c r="T159" i="4"/>
  <c r="U159" i="4"/>
  <c r="AJ159" i="4"/>
  <c r="AI159" i="4"/>
  <c r="O159" i="4"/>
  <c r="W159" i="4"/>
  <c r="AK159" i="4"/>
  <c r="E159" i="4"/>
  <c r="Z158" i="4" l="1"/>
  <c r="AA158" i="4"/>
  <c r="U160" i="4"/>
  <c r="F160" i="4"/>
  <c r="AL159" i="4"/>
  <c r="G159" i="4"/>
  <c r="I159" i="4" s="1"/>
  <c r="E160" i="4"/>
  <c r="O160" i="4"/>
  <c r="AI160" i="4"/>
  <c r="X159" i="4"/>
  <c r="AA159" i="4" s="1"/>
  <c r="H160" i="4"/>
  <c r="L160" i="4"/>
  <c r="J160" i="4"/>
  <c r="K160" i="4"/>
  <c r="M160" i="4"/>
  <c r="D161" i="4"/>
  <c r="C162" i="4"/>
  <c r="Y159" i="4"/>
  <c r="B160" i="4"/>
  <c r="N160" i="4"/>
  <c r="Q160" i="4"/>
  <c r="R160" i="4"/>
  <c r="W160" i="4"/>
  <c r="AJ160" i="4"/>
  <c r="AK160" i="4"/>
  <c r="V160" i="4"/>
  <c r="P160" i="4"/>
  <c r="S160" i="4"/>
  <c r="T160" i="4"/>
  <c r="Y160" i="4" l="1"/>
  <c r="G160" i="4"/>
  <c r="I160" i="4" s="1"/>
  <c r="E161" i="4"/>
  <c r="F161" i="4"/>
  <c r="AL160" i="4"/>
  <c r="Z159" i="4"/>
  <c r="H161" i="4"/>
  <c r="O161" i="4"/>
  <c r="J161" i="4"/>
  <c r="K161" i="4"/>
  <c r="B161" i="4"/>
  <c r="AI161" i="4"/>
  <c r="M161" i="4"/>
  <c r="N161" i="4"/>
  <c r="V161" i="4"/>
  <c r="P161" i="4"/>
  <c r="Q161" i="4"/>
  <c r="R161" i="4"/>
  <c r="S161" i="4"/>
  <c r="T161" i="4"/>
  <c r="U161" i="4"/>
  <c r="AJ161" i="4"/>
  <c r="AK161" i="4"/>
  <c r="L161" i="4"/>
  <c r="W161" i="4"/>
  <c r="D162" i="4"/>
  <c r="C163" i="4"/>
  <c r="X160" i="4"/>
  <c r="G161" i="4" l="1"/>
  <c r="I161" i="4" s="1"/>
  <c r="X161" i="4"/>
  <c r="AA161" i="4" s="1"/>
  <c r="AL161" i="4"/>
  <c r="Y161" i="4"/>
  <c r="P162" i="4"/>
  <c r="Q162" i="4"/>
  <c r="S162" i="4"/>
  <c r="R162" i="4"/>
  <c r="T162" i="4"/>
  <c r="U162" i="4"/>
  <c r="W162" i="4"/>
  <c r="AJ162" i="4"/>
  <c r="E163" i="4"/>
  <c r="F163" i="4"/>
  <c r="D163" i="4"/>
  <c r="C164" i="4"/>
  <c r="Z160" i="4"/>
  <c r="AA160" i="4"/>
  <c r="B162" i="4"/>
  <c r="AK162" i="4"/>
  <c r="AI162" i="4"/>
  <c r="F162" i="4"/>
  <c r="L162" i="4"/>
  <c r="E162" i="4"/>
  <c r="V162" i="4"/>
  <c r="O162" i="4"/>
  <c r="H162" i="4"/>
  <c r="J162" i="4"/>
  <c r="K162" i="4"/>
  <c r="N162" i="4"/>
  <c r="M162" i="4"/>
  <c r="O163" i="4" l="1"/>
  <c r="H163" i="4"/>
  <c r="AI163" i="4"/>
  <c r="J163" i="4"/>
  <c r="K163" i="4"/>
  <c r="L163" i="4"/>
  <c r="Z161" i="4"/>
  <c r="Y162" i="4"/>
  <c r="N163" i="4"/>
  <c r="Q163" i="4"/>
  <c r="S163" i="4"/>
  <c r="X162" i="4"/>
  <c r="AL162" i="4"/>
  <c r="G162" i="4"/>
  <c r="I162" i="4" s="1"/>
  <c r="V163" i="4"/>
  <c r="M163" i="4"/>
  <c r="P163" i="4"/>
  <c r="R163" i="4"/>
  <c r="T163" i="4"/>
  <c r="C165" i="4"/>
  <c r="D164" i="4"/>
  <c r="G163" i="4"/>
  <c r="B163" i="4"/>
  <c r="W163" i="4"/>
  <c r="AK163" i="4"/>
  <c r="U163" i="4"/>
  <c r="AJ163" i="4"/>
  <c r="I163" i="4" l="1"/>
  <c r="AL163" i="4"/>
  <c r="Y163" i="4"/>
  <c r="L164" i="4"/>
  <c r="J164" i="4"/>
  <c r="AK164" i="4"/>
  <c r="AA162" i="4"/>
  <c r="Z162" i="4"/>
  <c r="X163" i="4"/>
  <c r="F164" i="4"/>
  <c r="O164" i="4"/>
  <c r="C166" i="4"/>
  <c r="D165" i="4"/>
  <c r="B164" i="4"/>
  <c r="R164" i="4"/>
  <c r="Q164" i="4"/>
  <c r="S164" i="4"/>
  <c r="E164" i="4"/>
  <c r="AI164" i="4"/>
  <c r="K164" i="4"/>
  <c r="M164" i="4"/>
  <c r="N164" i="4"/>
  <c r="P164" i="4"/>
  <c r="T164" i="4"/>
  <c r="U164" i="4"/>
  <c r="W164" i="4"/>
  <c r="AJ164" i="4"/>
  <c r="V164" i="4"/>
  <c r="H164" i="4"/>
  <c r="AL164" i="4" l="1"/>
  <c r="G164" i="4"/>
  <c r="I164" i="4" s="1"/>
  <c r="Y164" i="4"/>
  <c r="Z163" i="4"/>
  <c r="AA163" i="4"/>
  <c r="E165" i="4"/>
  <c r="F165" i="4"/>
  <c r="L165" i="4"/>
  <c r="H165" i="4"/>
  <c r="C167" i="4"/>
  <c r="D166" i="4"/>
  <c r="X164" i="4"/>
  <c r="B165" i="4"/>
  <c r="O165" i="4"/>
  <c r="V165" i="4"/>
  <c r="J165" i="4"/>
  <c r="K165" i="4"/>
  <c r="M165" i="4"/>
  <c r="N165" i="4"/>
  <c r="R165" i="4"/>
  <c r="AI165" i="4"/>
  <c r="P165" i="4"/>
  <c r="Q165" i="4"/>
  <c r="S165" i="4"/>
  <c r="T165" i="4"/>
  <c r="U165" i="4"/>
  <c r="W165" i="4"/>
  <c r="AJ165" i="4"/>
  <c r="AK165" i="4"/>
  <c r="V166" i="4" l="1"/>
  <c r="F166" i="4"/>
  <c r="L166" i="4"/>
  <c r="G165" i="4"/>
  <c r="I165" i="4" s="1"/>
  <c r="C168" i="4"/>
  <c r="D167" i="4"/>
  <c r="P167" i="4"/>
  <c r="Z164" i="4"/>
  <c r="AA164" i="4"/>
  <c r="X165" i="4"/>
  <c r="AA165" i="4" s="1"/>
  <c r="Y165" i="4"/>
  <c r="AL165" i="4"/>
  <c r="B166" i="4"/>
  <c r="N166" i="4"/>
  <c r="W166" i="4"/>
  <c r="R166" i="4"/>
  <c r="Q166" i="4"/>
  <c r="AJ166" i="4"/>
  <c r="O166" i="4"/>
  <c r="H166" i="4"/>
  <c r="AI166" i="4"/>
  <c r="J166" i="4"/>
  <c r="K166" i="4"/>
  <c r="M166" i="4"/>
  <c r="P166" i="4"/>
  <c r="S166" i="4"/>
  <c r="E166" i="4"/>
  <c r="U166" i="4"/>
  <c r="T166" i="4"/>
  <c r="AK166" i="4"/>
  <c r="X166" i="4" l="1"/>
  <c r="AA166" i="4" s="1"/>
  <c r="G166" i="4"/>
  <c r="I166" i="4" s="1"/>
  <c r="Y166" i="4"/>
  <c r="Z165" i="4"/>
  <c r="AL166" i="4"/>
  <c r="V167" i="4"/>
  <c r="AI167" i="4"/>
  <c r="M167" i="4"/>
  <c r="N167" i="4"/>
  <c r="Q167" i="4"/>
  <c r="R167" i="4"/>
  <c r="S167" i="4"/>
  <c r="T167" i="4"/>
  <c r="U167" i="4"/>
  <c r="W167" i="4"/>
  <c r="D168" i="4"/>
  <c r="V168" i="4" s="1"/>
  <c r="C169" i="4"/>
  <c r="B167" i="4"/>
  <c r="H167" i="4"/>
  <c r="E167" i="4"/>
  <c r="F167" i="4"/>
  <c r="O167" i="4"/>
  <c r="J167" i="4"/>
  <c r="K167" i="4"/>
  <c r="AK167" i="4"/>
  <c r="AJ167" i="4"/>
  <c r="L167" i="4"/>
  <c r="Z166" i="4" l="1"/>
  <c r="AL167" i="4"/>
  <c r="X167" i="4"/>
  <c r="AA167" i="4" s="1"/>
  <c r="Y167" i="4"/>
  <c r="D169" i="4"/>
  <c r="C170" i="4"/>
  <c r="AK169" i="4"/>
  <c r="G167" i="4"/>
  <c r="I167" i="4" s="1"/>
  <c r="B168" i="4"/>
  <c r="M168" i="4"/>
  <c r="P168" i="4"/>
  <c r="T168" i="4"/>
  <c r="X168" i="4" s="1"/>
  <c r="AI168" i="4"/>
  <c r="N168" i="4"/>
  <c r="H168" i="4"/>
  <c r="L168" i="4"/>
  <c r="U168" i="4"/>
  <c r="AK168" i="4"/>
  <c r="S168" i="4"/>
  <c r="Q168" i="4"/>
  <c r="K168" i="4"/>
  <c r="E168" i="4"/>
  <c r="J168" i="4"/>
  <c r="R168" i="4"/>
  <c r="O168" i="4"/>
  <c r="W168" i="4"/>
  <c r="F168" i="4"/>
  <c r="AJ168" i="4"/>
  <c r="Z167" i="4" l="1"/>
  <c r="W169" i="4"/>
  <c r="U169" i="4"/>
  <c r="Y168" i="4"/>
  <c r="Z168" i="4" s="1"/>
  <c r="D170" i="4"/>
  <c r="U170" i="4"/>
  <c r="F170" i="4"/>
  <c r="C171" i="4"/>
  <c r="AL168" i="4"/>
  <c r="G168" i="4"/>
  <c r="I168" i="4" s="1"/>
  <c r="AA168" i="4"/>
  <c r="B169" i="4"/>
  <c r="E169" i="4"/>
  <c r="AI169" i="4"/>
  <c r="AL169" i="4" s="1"/>
  <c r="F169" i="4"/>
  <c r="J169" i="4"/>
  <c r="N169" i="4"/>
  <c r="Q169" i="4"/>
  <c r="V169" i="4"/>
  <c r="T169" i="4"/>
  <c r="AJ169" i="4"/>
  <c r="H169" i="4"/>
  <c r="K169" i="4"/>
  <c r="L169" i="4"/>
  <c r="M169" i="4"/>
  <c r="P169" i="4"/>
  <c r="O169" i="4"/>
  <c r="R169" i="4"/>
  <c r="S169" i="4"/>
  <c r="X169" i="4" l="1"/>
  <c r="Y169" i="4"/>
  <c r="L170" i="4"/>
  <c r="J170" i="4"/>
  <c r="W170" i="4"/>
  <c r="Y170" i="4" s="1"/>
  <c r="AJ170" i="4"/>
  <c r="AK170" i="4"/>
  <c r="V170" i="4"/>
  <c r="M170" i="4"/>
  <c r="N170" i="4"/>
  <c r="G169" i="4"/>
  <c r="I169" i="4" s="1"/>
  <c r="H170" i="4"/>
  <c r="P170" i="4"/>
  <c r="Q170" i="4"/>
  <c r="R170" i="4"/>
  <c r="S170" i="4"/>
  <c r="E170" i="4"/>
  <c r="G170" i="4" s="1"/>
  <c r="O170" i="4"/>
  <c r="D171" i="4"/>
  <c r="S171" i="4"/>
  <c r="C172" i="4"/>
  <c r="B170" i="4"/>
  <c r="K170" i="4"/>
  <c r="T170" i="4"/>
  <c r="AI170" i="4"/>
  <c r="AA169" i="4" l="1"/>
  <c r="Z169" i="4"/>
  <c r="AL170" i="4"/>
  <c r="I170" i="4"/>
  <c r="X170" i="4"/>
  <c r="C173" i="4"/>
  <c r="D172" i="4"/>
  <c r="B171" i="4"/>
  <c r="T171" i="4"/>
  <c r="U171" i="4"/>
  <c r="W171" i="4"/>
  <c r="AJ171" i="4"/>
  <c r="AK171" i="4"/>
  <c r="AI171" i="4"/>
  <c r="V171" i="4"/>
  <c r="K171" i="4"/>
  <c r="N171" i="4"/>
  <c r="P171" i="4"/>
  <c r="Q171" i="4"/>
  <c r="F171" i="4"/>
  <c r="H171" i="4"/>
  <c r="J171" i="4"/>
  <c r="M171" i="4"/>
  <c r="R171" i="4"/>
  <c r="E171" i="4"/>
  <c r="L171" i="4"/>
  <c r="O171" i="4"/>
  <c r="Y171" i="4" l="1"/>
  <c r="AA170" i="4"/>
  <c r="Z170" i="4"/>
  <c r="AL171" i="4"/>
  <c r="G171" i="4"/>
  <c r="I171" i="4" s="1"/>
  <c r="S172" i="4"/>
  <c r="F172" i="4"/>
  <c r="T172" i="4"/>
  <c r="E172" i="4"/>
  <c r="O172" i="4"/>
  <c r="K172" i="4"/>
  <c r="M172" i="4"/>
  <c r="H172" i="4"/>
  <c r="J172" i="4"/>
  <c r="L172" i="4"/>
  <c r="AI172" i="4"/>
  <c r="D173" i="4"/>
  <c r="C174" i="4"/>
  <c r="X171" i="4"/>
  <c r="B172" i="4"/>
  <c r="N172" i="4"/>
  <c r="P172" i="4"/>
  <c r="R172" i="4"/>
  <c r="Q172" i="4"/>
  <c r="U172" i="4"/>
  <c r="W172" i="4"/>
  <c r="AJ172" i="4"/>
  <c r="AK172" i="4"/>
  <c r="V172" i="4"/>
  <c r="G172" i="4" l="1"/>
  <c r="I172" i="4" s="1"/>
  <c r="Y172" i="4"/>
  <c r="J173" i="4"/>
  <c r="O173" i="4"/>
  <c r="P173" i="4"/>
  <c r="F173" i="4"/>
  <c r="K173" i="4"/>
  <c r="M173" i="4"/>
  <c r="Q173" i="4"/>
  <c r="S173" i="4"/>
  <c r="T173" i="4"/>
  <c r="V173" i="4"/>
  <c r="N173" i="4"/>
  <c r="R173" i="4"/>
  <c r="U173" i="4"/>
  <c r="AL172" i="4"/>
  <c r="X172" i="4"/>
  <c r="D174" i="4"/>
  <c r="C175" i="4"/>
  <c r="AA171" i="4"/>
  <c r="Z171" i="4"/>
  <c r="B173" i="4"/>
  <c r="W173" i="4"/>
  <c r="AJ173" i="4"/>
  <c r="H173" i="4"/>
  <c r="L173" i="4"/>
  <c r="AK173" i="4"/>
  <c r="AI173" i="4"/>
  <c r="E173" i="4"/>
  <c r="X173" i="4" l="1"/>
  <c r="AA173" i="4" s="1"/>
  <c r="G173" i="4"/>
  <c r="I173" i="4" s="1"/>
  <c r="Y173" i="4"/>
  <c r="L174" i="4"/>
  <c r="J174" i="4"/>
  <c r="K174" i="4"/>
  <c r="M174" i="4"/>
  <c r="N174" i="4"/>
  <c r="T174" i="4"/>
  <c r="U174" i="4"/>
  <c r="P174" i="4"/>
  <c r="Q174" i="4"/>
  <c r="R174" i="4"/>
  <c r="S174" i="4"/>
  <c r="AA172" i="4"/>
  <c r="Z172" i="4"/>
  <c r="E174" i="4"/>
  <c r="H174" i="4"/>
  <c r="W174" i="4"/>
  <c r="AJ174" i="4"/>
  <c r="AK174" i="4"/>
  <c r="AI174" i="4"/>
  <c r="F174" i="4"/>
  <c r="O174" i="4"/>
  <c r="D175" i="4"/>
  <c r="C176" i="4"/>
  <c r="AL173" i="4"/>
  <c r="B174" i="4"/>
  <c r="V174" i="4"/>
  <c r="Z173" i="4" l="1"/>
  <c r="G174" i="4"/>
  <c r="I174" i="4" s="1"/>
  <c r="Y174" i="4"/>
  <c r="AL174" i="4"/>
  <c r="X174" i="4"/>
  <c r="J175" i="4"/>
  <c r="K175" i="4"/>
  <c r="F175" i="4"/>
  <c r="Q175" i="4"/>
  <c r="R175" i="4"/>
  <c r="T175" i="4"/>
  <c r="W175" i="4"/>
  <c r="H175" i="4"/>
  <c r="AI175" i="4"/>
  <c r="E175" i="4"/>
  <c r="M175" i="4"/>
  <c r="N175" i="4"/>
  <c r="P175" i="4"/>
  <c r="S175" i="4"/>
  <c r="U175" i="4"/>
  <c r="C177" i="4"/>
  <c r="D176" i="4"/>
  <c r="B175" i="4"/>
  <c r="AJ175" i="4"/>
  <c r="AK175" i="4"/>
  <c r="L175" i="4"/>
  <c r="V175" i="4"/>
  <c r="O175" i="4"/>
  <c r="G175" i="4" l="1"/>
  <c r="I175" i="4"/>
  <c r="Y175" i="4"/>
  <c r="AA174" i="4"/>
  <c r="Z174" i="4"/>
  <c r="AL175" i="4"/>
  <c r="X175" i="4"/>
  <c r="C178" i="4"/>
  <c r="D177" i="4"/>
  <c r="F177" i="4" s="1"/>
  <c r="B176" i="4"/>
  <c r="N176" i="4"/>
  <c r="P176" i="4"/>
  <c r="R176" i="4"/>
  <c r="S176" i="4"/>
  <c r="T176" i="4"/>
  <c r="J176" i="4"/>
  <c r="V176" i="4"/>
  <c r="AJ176" i="4"/>
  <c r="AK176" i="4"/>
  <c r="L176" i="4"/>
  <c r="O176" i="4"/>
  <c r="E176" i="4"/>
  <c r="H176" i="4"/>
  <c r="Q176" i="4"/>
  <c r="M176" i="4"/>
  <c r="U176" i="4"/>
  <c r="W176" i="4"/>
  <c r="K176" i="4"/>
  <c r="AI176" i="4"/>
  <c r="F176" i="4"/>
  <c r="AL176" i="4" l="1"/>
  <c r="G176" i="4"/>
  <c r="I176" i="4" s="1"/>
  <c r="AA175" i="4"/>
  <c r="Z175" i="4"/>
  <c r="C179" i="4"/>
  <c r="D178" i="4"/>
  <c r="O178" i="4" s="1"/>
  <c r="Y176" i="4"/>
  <c r="X176" i="4"/>
  <c r="AA176" i="4" s="1"/>
  <c r="B177" i="4"/>
  <c r="E177" i="4"/>
  <c r="G177" i="4" s="1"/>
  <c r="J177" i="4"/>
  <c r="AI177" i="4"/>
  <c r="V177" i="4"/>
  <c r="M177" i="4"/>
  <c r="P177" i="4"/>
  <c r="S177" i="4"/>
  <c r="T177" i="4"/>
  <c r="O177" i="4"/>
  <c r="K177" i="4"/>
  <c r="N177" i="4"/>
  <c r="R177" i="4"/>
  <c r="L177" i="4"/>
  <c r="W177" i="4"/>
  <c r="H177" i="4"/>
  <c r="Q177" i="4"/>
  <c r="U177" i="4"/>
  <c r="AJ177" i="4"/>
  <c r="AK177" i="4"/>
  <c r="Y177" i="4" l="1"/>
  <c r="F178" i="4"/>
  <c r="K178" i="4"/>
  <c r="H178" i="4"/>
  <c r="X177" i="4"/>
  <c r="AI178" i="4"/>
  <c r="M178" i="4"/>
  <c r="L178" i="4"/>
  <c r="P178" i="4"/>
  <c r="R178" i="4"/>
  <c r="T178" i="4"/>
  <c r="U178" i="4"/>
  <c r="D179" i="4"/>
  <c r="H179" i="4"/>
  <c r="C180" i="4"/>
  <c r="Z176" i="4"/>
  <c r="I177" i="4"/>
  <c r="AL177" i="4"/>
  <c r="B178" i="4"/>
  <c r="E178" i="4"/>
  <c r="J178" i="4"/>
  <c r="N178" i="4"/>
  <c r="Q178" i="4"/>
  <c r="S178" i="4"/>
  <c r="W178" i="4"/>
  <c r="AJ178" i="4"/>
  <c r="AK178" i="4"/>
  <c r="V178" i="4"/>
  <c r="G178" i="4" l="1"/>
  <c r="I178" i="4" s="1"/>
  <c r="Y178" i="4"/>
  <c r="AL178" i="4"/>
  <c r="F179" i="4"/>
  <c r="E179" i="4"/>
  <c r="Z177" i="4"/>
  <c r="AA177" i="4"/>
  <c r="X178" i="4"/>
  <c r="AA178" i="4" s="1"/>
  <c r="C181" i="4"/>
  <c r="D180" i="4"/>
  <c r="B179" i="4"/>
  <c r="L179" i="4"/>
  <c r="S179" i="4"/>
  <c r="K179" i="4"/>
  <c r="N179" i="4"/>
  <c r="P179" i="4"/>
  <c r="Q179" i="4"/>
  <c r="R179" i="4"/>
  <c r="V179" i="4"/>
  <c r="T179" i="4"/>
  <c r="U179" i="4"/>
  <c r="W179" i="4"/>
  <c r="AJ179" i="4"/>
  <c r="J179" i="4"/>
  <c r="M179" i="4"/>
  <c r="AK179" i="4"/>
  <c r="O179" i="4"/>
  <c r="AI179" i="4"/>
  <c r="AJ180" i="4" l="1"/>
  <c r="P180" i="4"/>
  <c r="G179" i="4"/>
  <c r="I179" i="4" s="1"/>
  <c r="Z178" i="4"/>
  <c r="X179" i="4"/>
  <c r="AA179" i="4" s="1"/>
  <c r="D181" i="4"/>
  <c r="C182" i="4"/>
  <c r="AL179" i="4"/>
  <c r="Y179" i="4"/>
  <c r="B180" i="4"/>
  <c r="E180" i="4"/>
  <c r="L180" i="4"/>
  <c r="H180" i="4"/>
  <c r="O180" i="4"/>
  <c r="Q180" i="4"/>
  <c r="S180" i="4"/>
  <c r="K180" i="4"/>
  <c r="M180" i="4"/>
  <c r="U180" i="4"/>
  <c r="AI180" i="4"/>
  <c r="R180" i="4"/>
  <c r="J180" i="4"/>
  <c r="F180" i="4"/>
  <c r="N180" i="4"/>
  <c r="T180" i="4"/>
  <c r="W180" i="4"/>
  <c r="AK180" i="4"/>
  <c r="V180" i="4"/>
  <c r="Z179" i="4" l="1"/>
  <c r="X180" i="4"/>
  <c r="AA180" i="4" s="1"/>
  <c r="R181" i="4"/>
  <c r="U181" i="4"/>
  <c r="W181" i="4"/>
  <c r="C183" i="4"/>
  <c r="D182" i="4"/>
  <c r="V182" i="4" s="1"/>
  <c r="G180" i="4"/>
  <c r="I180" i="4" s="1"/>
  <c r="AL180" i="4"/>
  <c r="Y180" i="4"/>
  <c r="B181" i="4"/>
  <c r="O181" i="4"/>
  <c r="K181" i="4"/>
  <c r="V181" i="4"/>
  <c r="S181" i="4"/>
  <c r="H181" i="4"/>
  <c r="AI181" i="4"/>
  <c r="J181" i="4"/>
  <c r="T181" i="4"/>
  <c r="AJ181" i="4"/>
  <c r="AK181" i="4"/>
  <c r="M181" i="4"/>
  <c r="F181" i="4"/>
  <c r="L181" i="4"/>
  <c r="N181" i="4"/>
  <c r="P181" i="4"/>
  <c r="Q181" i="4"/>
  <c r="E181" i="4"/>
  <c r="Y181" i="4" l="1"/>
  <c r="G181" i="4"/>
  <c r="I181" i="4" s="1"/>
  <c r="X181" i="4"/>
  <c r="AA181" i="4" s="1"/>
  <c r="Z180" i="4"/>
  <c r="AL181" i="4"/>
  <c r="C184" i="4"/>
  <c r="D183" i="4"/>
  <c r="B182" i="4"/>
  <c r="L182" i="4"/>
  <c r="Q182" i="4"/>
  <c r="R182" i="4"/>
  <c r="S182" i="4"/>
  <c r="W182" i="4"/>
  <c r="AJ182" i="4"/>
  <c r="AK182" i="4"/>
  <c r="K182" i="4"/>
  <c r="N182" i="4"/>
  <c r="P182" i="4"/>
  <c r="T182" i="4"/>
  <c r="X182" i="4" s="1"/>
  <c r="U182" i="4"/>
  <c r="E182" i="4"/>
  <c r="F182" i="4"/>
  <c r="O182" i="4"/>
  <c r="AI182" i="4"/>
  <c r="H182" i="4"/>
  <c r="J182" i="4"/>
  <c r="M182" i="4"/>
  <c r="Z181" i="4" l="1"/>
  <c r="N183" i="4"/>
  <c r="Q183" i="4"/>
  <c r="G182" i="4"/>
  <c r="I182" i="4" s="1"/>
  <c r="R183" i="4"/>
  <c r="S183" i="4"/>
  <c r="T183" i="4"/>
  <c r="U183" i="4"/>
  <c r="W183" i="4"/>
  <c r="AJ183" i="4"/>
  <c r="E183" i="4"/>
  <c r="H183" i="4"/>
  <c r="AI183" i="4"/>
  <c r="C185" i="4"/>
  <c r="D184" i="4"/>
  <c r="AA182" i="4"/>
  <c r="Y182" i="4"/>
  <c r="Z182" i="4" s="1"/>
  <c r="AL182" i="4"/>
  <c r="B183" i="4"/>
  <c r="V183" i="4"/>
  <c r="J183" i="4"/>
  <c r="K183" i="4"/>
  <c r="L183" i="4"/>
  <c r="O183" i="4"/>
  <c r="M183" i="4"/>
  <c r="P183" i="4"/>
  <c r="AK183" i="4"/>
  <c r="F183" i="4"/>
  <c r="Y183" i="4" l="1"/>
  <c r="G183" i="4"/>
  <c r="I183" i="4" s="1"/>
  <c r="X183" i="4"/>
  <c r="W184" i="4"/>
  <c r="U184" i="4"/>
  <c r="O184" i="4"/>
  <c r="AL183" i="4"/>
  <c r="D185" i="4"/>
  <c r="C186" i="4"/>
  <c r="B184" i="4"/>
  <c r="E184" i="4"/>
  <c r="AI184" i="4"/>
  <c r="Q184" i="4"/>
  <c r="L184" i="4"/>
  <c r="R184" i="4"/>
  <c r="K184" i="4"/>
  <c r="T184" i="4"/>
  <c r="AJ184" i="4"/>
  <c r="AK184" i="4"/>
  <c r="V184" i="4"/>
  <c r="H184" i="4"/>
  <c r="M184" i="4"/>
  <c r="J184" i="4"/>
  <c r="S184" i="4"/>
  <c r="N184" i="4"/>
  <c r="F184" i="4"/>
  <c r="P184" i="4"/>
  <c r="Y184" i="4" l="1"/>
  <c r="X184" i="4"/>
  <c r="Z183" i="4"/>
  <c r="AA183" i="4"/>
  <c r="AL184" i="4"/>
  <c r="M185" i="4"/>
  <c r="N185" i="4"/>
  <c r="P185" i="4"/>
  <c r="Q185" i="4"/>
  <c r="R185" i="4"/>
  <c r="S185" i="4"/>
  <c r="T185" i="4"/>
  <c r="C187" i="4"/>
  <c r="D186" i="4"/>
  <c r="V186" i="4"/>
  <c r="G184" i="4"/>
  <c r="I184" i="4" s="1"/>
  <c r="B185" i="4"/>
  <c r="E185" i="4"/>
  <c r="L185" i="4"/>
  <c r="H185" i="4"/>
  <c r="O185" i="4"/>
  <c r="K185" i="4"/>
  <c r="V185" i="4"/>
  <c r="J185" i="4"/>
  <c r="U185" i="4"/>
  <c r="W185" i="4"/>
  <c r="AJ185" i="4"/>
  <c r="AK185" i="4"/>
  <c r="F185" i="4"/>
  <c r="AI185" i="4"/>
  <c r="Z184" i="4" l="1"/>
  <c r="AA184" i="4"/>
  <c r="X185" i="4"/>
  <c r="AA185" i="4" s="1"/>
  <c r="Y185" i="4"/>
  <c r="Z185" i="4" s="1"/>
  <c r="L186" i="4"/>
  <c r="O186" i="4"/>
  <c r="Q186" i="4"/>
  <c r="S186" i="4"/>
  <c r="D187" i="4"/>
  <c r="C188" i="4"/>
  <c r="AL185" i="4"/>
  <c r="G185" i="4"/>
  <c r="I185" i="4" s="1"/>
  <c r="B186" i="4"/>
  <c r="J186" i="4"/>
  <c r="AK186" i="4"/>
  <c r="N186" i="4"/>
  <c r="E186" i="4"/>
  <c r="P186" i="4"/>
  <c r="R186" i="4"/>
  <c r="T186" i="4"/>
  <c r="X186" i="4" s="1"/>
  <c r="AJ186" i="4"/>
  <c r="U186" i="4"/>
  <c r="M186" i="4"/>
  <c r="AI186" i="4"/>
  <c r="H186" i="4"/>
  <c r="K186" i="4"/>
  <c r="W186" i="4"/>
  <c r="F186" i="4"/>
  <c r="AA186" i="4" l="1"/>
  <c r="C189" i="4"/>
  <c r="D188" i="4"/>
  <c r="J188" i="4"/>
  <c r="K188" i="4"/>
  <c r="AL186" i="4"/>
  <c r="Y186" i="4"/>
  <c r="Z186" i="4" s="1"/>
  <c r="G186" i="4"/>
  <c r="I186" i="4" s="1"/>
  <c r="B187" i="4"/>
  <c r="V187" i="4"/>
  <c r="K187" i="4"/>
  <c r="M187" i="4"/>
  <c r="Q187" i="4"/>
  <c r="AI187" i="4"/>
  <c r="N187" i="4"/>
  <c r="F187" i="4"/>
  <c r="R187" i="4"/>
  <c r="T187" i="4"/>
  <c r="U187" i="4"/>
  <c r="AK187" i="4"/>
  <c r="P187" i="4"/>
  <c r="O187" i="4"/>
  <c r="L187" i="4"/>
  <c r="S187" i="4"/>
  <c r="W187" i="4"/>
  <c r="AJ187" i="4"/>
  <c r="H187" i="4"/>
  <c r="J187" i="4"/>
  <c r="E187" i="4"/>
  <c r="G187" i="4" l="1"/>
  <c r="I187" i="4" s="1"/>
  <c r="Y187" i="4"/>
  <c r="L188" i="4"/>
  <c r="M188" i="4"/>
  <c r="C190" i="4"/>
  <c r="D189" i="4"/>
  <c r="W189" i="4" s="1"/>
  <c r="X187" i="4"/>
  <c r="AL187" i="4"/>
  <c r="B188" i="4"/>
  <c r="O188" i="4"/>
  <c r="N188" i="4"/>
  <c r="Q188" i="4"/>
  <c r="S188" i="4"/>
  <c r="AJ188" i="4"/>
  <c r="W188" i="4"/>
  <c r="AI188" i="4"/>
  <c r="V188" i="4"/>
  <c r="F188" i="4"/>
  <c r="H188" i="4"/>
  <c r="P188" i="4"/>
  <c r="R188" i="4"/>
  <c r="U188" i="4"/>
  <c r="T188" i="4"/>
  <c r="AK188" i="4"/>
  <c r="E188" i="4"/>
  <c r="Y188" i="4" l="1"/>
  <c r="G188" i="4"/>
  <c r="I188" i="4" s="1"/>
  <c r="C191" i="4"/>
  <c r="D190" i="4"/>
  <c r="AA187" i="4"/>
  <c r="Z187" i="4"/>
  <c r="X188" i="4"/>
  <c r="AL188" i="4"/>
  <c r="B189" i="4"/>
  <c r="S189" i="4"/>
  <c r="AK189" i="4"/>
  <c r="F189" i="4"/>
  <c r="O189" i="4"/>
  <c r="AI189" i="4"/>
  <c r="K189" i="4"/>
  <c r="E189" i="4"/>
  <c r="H189" i="4"/>
  <c r="L189" i="4"/>
  <c r="V189" i="4"/>
  <c r="J189" i="4"/>
  <c r="M189" i="4"/>
  <c r="N189" i="4"/>
  <c r="P189" i="4"/>
  <c r="Q189" i="4"/>
  <c r="R189" i="4"/>
  <c r="T189" i="4"/>
  <c r="U189" i="4"/>
  <c r="Y189" i="4" s="1"/>
  <c r="AJ189" i="4"/>
  <c r="F190" i="4" l="1"/>
  <c r="R190" i="4"/>
  <c r="X189" i="4"/>
  <c r="S190" i="4"/>
  <c r="T190" i="4"/>
  <c r="E190" i="4"/>
  <c r="L190" i="4"/>
  <c r="H190" i="4"/>
  <c r="G189" i="4"/>
  <c r="I189" i="4" s="1"/>
  <c r="O190" i="4"/>
  <c r="J190" i="4"/>
  <c r="K190" i="4"/>
  <c r="M190" i="4"/>
  <c r="Q190" i="4"/>
  <c r="AI190" i="4"/>
  <c r="N190" i="4"/>
  <c r="P190" i="4"/>
  <c r="U190" i="4"/>
  <c r="W190" i="4"/>
  <c r="AJ190" i="4"/>
  <c r="D191" i="4"/>
  <c r="C192" i="4"/>
  <c r="Z188" i="4"/>
  <c r="AA188" i="4"/>
  <c r="AL189" i="4"/>
  <c r="B190" i="4"/>
  <c r="AK190" i="4"/>
  <c r="V190" i="4"/>
  <c r="G190" i="4" l="1"/>
  <c r="I190" i="4" s="1"/>
  <c r="R191" i="4"/>
  <c r="U191" i="4"/>
  <c r="P191" i="4"/>
  <c r="E191" i="4"/>
  <c r="H191" i="4"/>
  <c r="X190" i="4"/>
  <c r="AA190" i="4" s="1"/>
  <c r="AA189" i="4"/>
  <c r="Z189" i="4"/>
  <c r="Y190" i="4"/>
  <c r="N191" i="4"/>
  <c r="F191" i="4"/>
  <c r="AJ191" i="4"/>
  <c r="AK191" i="4"/>
  <c r="L191" i="4"/>
  <c r="AI191" i="4"/>
  <c r="O191" i="4"/>
  <c r="AL190" i="4"/>
  <c r="S191" i="4"/>
  <c r="T191" i="4"/>
  <c r="W191" i="4"/>
  <c r="Q191" i="4"/>
  <c r="D192" i="4"/>
  <c r="C193" i="4"/>
  <c r="B191" i="4"/>
  <c r="J191" i="4"/>
  <c r="K191" i="4"/>
  <c r="V191" i="4"/>
  <c r="M191" i="4"/>
  <c r="Y191" i="4" l="1"/>
  <c r="G191" i="4"/>
  <c r="I191" i="4" s="1"/>
  <c r="K192" i="4"/>
  <c r="F192" i="4"/>
  <c r="L192" i="4"/>
  <c r="E192" i="4"/>
  <c r="J192" i="4"/>
  <c r="O192" i="4"/>
  <c r="M192" i="4"/>
  <c r="AK192" i="4"/>
  <c r="V192" i="4"/>
  <c r="N192" i="4"/>
  <c r="U192" i="4"/>
  <c r="W192" i="4"/>
  <c r="AJ192" i="4"/>
  <c r="AI192" i="4"/>
  <c r="Z190" i="4"/>
  <c r="AL191" i="4"/>
  <c r="X191" i="4"/>
  <c r="P192" i="4"/>
  <c r="H192" i="4"/>
  <c r="D193" i="4"/>
  <c r="L193" i="4" s="1"/>
  <c r="C194" i="4"/>
  <c r="B192" i="4"/>
  <c r="Q192" i="4"/>
  <c r="R192" i="4"/>
  <c r="S192" i="4"/>
  <c r="T192" i="4"/>
  <c r="Y192" i="4" l="1"/>
  <c r="AL192" i="4"/>
  <c r="G192" i="4"/>
  <c r="I192" i="4" s="1"/>
  <c r="X192" i="4"/>
  <c r="Q193" i="4"/>
  <c r="R193" i="4"/>
  <c r="AA191" i="4"/>
  <c r="Z191" i="4"/>
  <c r="V193" i="4"/>
  <c r="J193" i="4"/>
  <c r="N193" i="4"/>
  <c r="AJ193" i="4"/>
  <c r="O193" i="4"/>
  <c r="AI193" i="4"/>
  <c r="K193" i="4"/>
  <c r="H193" i="4"/>
  <c r="U193" i="4"/>
  <c r="F193" i="4"/>
  <c r="M193" i="4"/>
  <c r="P193" i="4"/>
  <c r="S193" i="4"/>
  <c r="T193" i="4"/>
  <c r="W193" i="4"/>
  <c r="E193" i="4"/>
  <c r="C195" i="4"/>
  <c r="D194" i="4"/>
  <c r="B193" i="4"/>
  <c r="AK193" i="4"/>
  <c r="AA192" i="4" l="1"/>
  <c r="Z192" i="4"/>
  <c r="X193" i="4"/>
  <c r="AA193" i="4" s="1"/>
  <c r="G193" i="4"/>
  <c r="I193" i="4" s="1"/>
  <c r="R194" i="4"/>
  <c r="F194" i="4"/>
  <c r="T194" i="4"/>
  <c r="U194" i="4"/>
  <c r="W194" i="4"/>
  <c r="AL193" i="4"/>
  <c r="Y193" i="4"/>
  <c r="C196" i="4"/>
  <c r="D195" i="4"/>
  <c r="B194" i="4"/>
  <c r="K194" i="4"/>
  <c r="E194" i="4"/>
  <c r="H194" i="4"/>
  <c r="J194" i="4"/>
  <c r="P194" i="4"/>
  <c r="S194" i="4"/>
  <c r="AI194" i="4"/>
  <c r="AJ194" i="4"/>
  <c r="AK194" i="4"/>
  <c r="O194" i="4"/>
  <c r="L194" i="4"/>
  <c r="N194" i="4"/>
  <c r="Q194" i="4"/>
  <c r="V194" i="4"/>
  <c r="M194" i="4"/>
  <c r="Z193" i="4" l="1"/>
  <c r="Y194" i="4"/>
  <c r="G194" i="4"/>
  <c r="I194" i="4" s="1"/>
  <c r="X194" i="4"/>
  <c r="AA194" i="4" s="1"/>
  <c r="AL194" i="4"/>
  <c r="AI195" i="4"/>
  <c r="H195" i="4"/>
  <c r="O195" i="4"/>
  <c r="V195" i="4"/>
  <c r="J195" i="4"/>
  <c r="K195" i="4"/>
  <c r="M195" i="4"/>
  <c r="S195" i="4"/>
  <c r="E195" i="4"/>
  <c r="L195" i="4"/>
  <c r="C197" i="4"/>
  <c r="D196" i="4"/>
  <c r="B195" i="4"/>
  <c r="N195" i="4"/>
  <c r="Q195" i="4"/>
  <c r="T195" i="4"/>
  <c r="AK195" i="4"/>
  <c r="P195" i="4"/>
  <c r="R195" i="4"/>
  <c r="U195" i="4"/>
  <c r="W195" i="4"/>
  <c r="AJ195" i="4"/>
  <c r="F195" i="4"/>
  <c r="Z194" i="4" l="1"/>
  <c r="X195" i="4"/>
  <c r="AA195" i="4" s="1"/>
  <c r="AL195" i="4"/>
  <c r="G195" i="4"/>
  <c r="I195" i="4" s="1"/>
  <c r="D197" i="4"/>
  <c r="P197" i="4" s="1"/>
  <c r="C198" i="4"/>
  <c r="Y195" i="4"/>
  <c r="B196" i="4"/>
  <c r="L196" i="4"/>
  <c r="O196" i="4"/>
  <c r="E196" i="4"/>
  <c r="F196" i="4"/>
  <c r="H196" i="4"/>
  <c r="J196" i="4"/>
  <c r="K196" i="4"/>
  <c r="AI196" i="4"/>
  <c r="M196" i="4"/>
  <c r="N196" i="4"/>
  <c r="P196" i="4"/>
  <c r="Q196" i="4"/>
  <c r="R196" i="4"/>
  <c r="S196" i="4"/>
  <c r="T196" i="4"/>
  <c r="W196" i="4"/>
  <c r="AJ196" i="4"/>
  <c r="AK196" i="4"/>
  <c r="U196" i="4"/>
  <c r="V196" i="4"/>
  <c r="Z195" i="4" l="1"/>
  <c r="G196" i="4"/>
  <c r="I196" i="4" s="1"/>
  <c r="Y196" i="4"/>
  <c r="Q197" i="4"/>
  <c r="S197" i="4"/>
  <c r="T197" i="4"/>
  <c r="U197" i="4"/>
  <c r="W197" i="4"/>
  <c r="AJ197" i="4"/>
  <c r="C199" i="4"/>
  <c r="D198" i="4"/>
  <c r="AJ198" i="4" s="1"/>
  <c r="AL196" i="4"/>
  <c r="X196" i="4"/>
  <c r="B197" i="4"/>
  <c r="R197" i="4"/>
  <c r="AK197" i="4"/>
  <c r="F197" i="4"/>
  <c r="AI197" i="4"/>
  <c r="E197" i="4"/>
  <c r="L197" i="4"/>
  <c r="H197" i="4"/>
  <c r="O197" i="4"/>
  <c r="M197" i="4"/>
  <c r="K197" i="4"/>
  <c r="J197" i="4"/>
  <c r="V197" i="4"/>
  <c r="N197" i="4"/>
  <c r="Y197" i="4" l="1"/>
  <c r="G197" i="4"/>
  <c r="I197" i="4" s="1"/>
  <c r="AI198" i="4"/>
  <c r="AK198" i="4"/>
  <c r="AL198" i="4" s="1"/>
  <c r="X197" i="4"/>
  <c r="C200" i="4"/>
  <c r="D199" i="4"/>
  <c r="AA196" i="4"/>
  <c r="Z196" i="4"/>
  <c r="AL197" i="4"/>
  <c r="B198" i="4"/>
  <c r="J198" i="4"/>
  <c r="H198" i="4"/>
  <c r="R198" i="4"/>
  <c r="E198" i="4"/>
  <c r="S198" i="4"/>
  <c r="K198" i="4"/>
  <c r="M198" i="4"/>
  <c r="F198" i="4"/>
  <c r="P198" i="4"/>
  <c r="T198" i="4"/>
  <c r="L198" i="4"/>
  <c r="V198" i="4"/>
  <c r="O198" i="4"/>
  <c r="N198" i="4"/>
  <c r="Q198" i="4"/>
  <c r="U198" i="4"/>
  <c r="W198" i="4"/>
  <c r="T199" i="4" l="1"/>
  <c r="W199" i="4"/>
  <c r="AJ199" i="4"/>
  <c r="AK199" i="4"/>
  <c r="E199" i="4"/>
  <c r="J199" i="4"/>
  <c r="M199" i="4"/>
  <c r="P199" i="4"/>
  <c r="R199" i="4"/>
  <c r="AA197" i="4"/>
  <c r="Z197" i="4"/>
  <c r="C201" i="4"/>
  <c r="D200" i="4"/>
  <c r="G198" i="4"/>
  <c r="I198" i="4" s="1"/>
  <c r="X198" i="4"/>
  <c r="Y198" i="4"/>
  <c r="B199" i="4"/>
  <c r="H199" i="4"/>
  <c r="V199" i="4"/>
  <c r="F199" i="4"/>
  <c r="O199" i="4"/>
  <c r="L199" i="4"/>
  <c r="K199" i="4"/>
  <c r="N199" i="4"/>
  <c r="S199" i="4"/>
  <c r="U199" i="4"/>
  <c r="Y199" i="4" s="1"/>
  <c r="AI199" i="4"/>
  <c r="AL199" i="4" s="1"/>
  <c r="Q199" i="4"/>
  <c r="X199" i="4" l="1"/>
  <c r="Z199" i="4" s="1"/>
  <c r="M200" i="4"/>
  <c r="H200" i="4"/>
  <c r="O200" i="4"/>
  <c r="J200" i="4"/>
  <c r="K200" i="4"/>
  <c r="Q200" i="4"/>
  <c r="R200" i="4"/>
  <c r="S200" i="4"/>
  <c r="U200" i="4"/>
  <c r="AA199" i="4"/>
  <c r="G199" i="4"/>
  <c r="I199" i="4" s="1"/>
  <c r="N200" i="4"/>
  <c r="T200" i="4"/>
  <c r="P200" i="4"/>
  <c r="W200" i="4"/>
  <c r="C202" i="4"/>
  <c r="D201" i="4"/>
  <c r="AA198" i="4"/>
  <c r="Z198" i="4"/>
  <c r="B200" i="4"/>
  <c r="F200" i="4"/>
  <c r="L200" i="4"/>
  <c r="E200" i="4"/>
  <c r="V200" i="4"/>
  <c r="AI200" i="4"/>
  <c r="AJ200" i="4"/>
  <c r="AK200" i="4"/>
  <c r="Y200" i="4" l="1"/>
  <c r="X200" i="4"/>
  <c r="G200" i="4"/>
  <c r="I200" i="4" s="1"/>
  <c r="C203" i="4"/>
  <c r="D202" i="4"/>
  <c r="H202" i="4"/>
  <c r="W202" i="4"/>
  <c r="AJ202" i="4"/>
  <c r="AK202" i="4"/>
  <c r="V202" i="4"/>
  <c r="AL200" i="4"/>
  <c r="B201" i="4"/>
  <c r="E201" i="4"/>
  <c r="L201" i="4"/>
  <c r="O201" i="4"/>
  <c r="AI201" i="4"/>
  <c r="H201" i="4"/>
  <c r="V201" i="4"/>
  <c r="J201" i="4"/>
  <c r="K201" i="4"/>
  <c r="M201" i="4"/>
  <c r="N201" i="4"/>
  <c r="P201" i="4"/>
  <c r="Q201" i="4"/>
  <c r="R201" i="4"/>
  <c r="S201" i="4"/>
  <c r="T201" i="4"/>
  <c r="U201" i="4"/>
  <c r="W201" i="4"/>
  <c r="AJ201" i="4"/>
  <c r="AK201" i="4"/>
  <c r="F201" i="4"/>
  <c r="AA200" i="4" l="1"/>
  <c r="Z200" i="4"/>
  <c r="AL201" i="4"/>
  <c r="G201" i="4"/>
  <c r="I201" i="4" s="1"/>
  <c r="X201" i="4"/>
  <c r="AA201" i="4" s="1"/>
  <c r="Y201" i="4"/>
  <c r="F202" i="4"/>
  <c r="L202" i="4"/>
  <c r="D203" i="4"/>
  <c r="AI203" i="4"/>
  <c r="C204" i="4"/>
  <c r="B202" i="4"/>
  <c r="T202" i="4"/>
  <c r="X202" i="4" s="1"/>
  <c r="U202" i="4"/>
  <c r="Y202" i="4" s="1"/>
  <c r="E202" i="4"/>
  <c r="O202" i="4"/>
  <c r="K202" i="4"/>
  <c r="P202" i="4"/>
  <c r="Q202" i="4"/>
  <c r="S202" i="4"/>
  <c r="J202" i="4"/>
  <c r="M202" i="4"/>
  <c r="N202" i="4"/>
  <c r="AI202" i="4"/>
  <c r="AL202" i="4" s="1"/>
  <c r="R202" i="4"/>
  <c r="E203" i="4" l="1"/>
  <c r="F203" i="4"/>
  <c r="L203" i="4"/>
  <c r="K203" i="4"/>
  <c r="O203" i="4"/>
  <c r="P203" i="4"/>
  <c r="J203" i="4"/>
  <c r="H203" i="4"/>
  <c r="N203" i="4"/>
  <c r="Z201" i="4"/>
  <c r="AA202" i="4"/>
  <c r="G202" i="4"/>
  <c r="I202" i="4" s="1"/>
  <c r="M203" i="4"/>
  <c r="Q203" i="4"/>
  <c r="R203" i="4"/>
  <c r="S203" i="4"/>
  <c r="T203" i="4"/>
  <c r="U203" i="4"/>
  <c r="W203" i="4"/>
  <c r="AJ203" i="4"/>
  <c r="AK203" i="4"/>
  <c r="AL203" i="4" s="1"/>
  <c r="D204" i="4"/>
  <c r="AK204" i="4" s="1"/>
  <c r="C205" i="4"/>
  <c r="Z202" i="4"/>
  <c r="B203" i="4"/>
  <c r="V203" i="4"/>
  <c r="G203" i="4" l="1"/>
  <c r="I203" i="4" s="1"/>
  <c r="Y203" i="4"/>
  <c r="X203" i="4"/>
  <c r="D205" i="4"/>
  <c r="W205" i="4"/>
  <c r="C206" i="4"/>
  <c r="E205" i="4"/>
  <c r="B204" i="4"/>
  <c r="H204" i="4"/>
  <c r="J204" i="4"/>
  <c r="K204" i="4"/>
  <c r="N204" i="4"/>
  <c r="R204" i="4"/>
  <c r="U204" i="4"/>
  <c r="AJ204" i="4"/>
  <c r="O204" i="4"/>
  <c r="E204" i="4"/>
  <c r="V204" i="4"/>
  <c r="L204" i="4"/>
  <c r="AI204" i="4"/>
  <c r="AL204" i="4" s="1"/>
  <c r="M204" i="4"/>
  <c r="P204" i="4"/>
  <c r="Q204" i="4"/>
  <c r="T204" i="4"/>
  <c r="W204" i="4"/>
  <c r="F204" i="4"/>
  <c r="S204" i="4"/>
  <c r="AK205" i="4" l="1"/>
  <c r="AI205" i="4"/>
  <c r="X204" i="4"/>
  <c r="AA204" i="4" s="1"/>
  <c r="AA203" i="4"/>
  <c r="Z203" i="4"/>
  <c r="C207" i="4"/>
  <c r="D206" i="4"/>
  <c r="Y204" i="4"/>
  <c r="G204" i="4"/>
  <c r="I204" i="4" s="1"/>
  <c r="B205" i="4"/>
  <c r="F205" i="4"/>
  <c r="G205" i="4" s="1"/>
  <c r="L205" i="4"/>
  <c r="V205" i="4"/>
  <c r="H205" i="4"/>
  <c r="O205" i="4"/>
  <c r="J205" i="4"/>
  <c r="K205" i="4"/>
  <c r="M205" i="4"/>
  <c r="N205" i="4"/>
  <c r="P205" i="4"/>
  <c r="Q205" i="4"/>
  <c r="S205" i="4"/>
  <c r="T205" i="4"/>
  <c r="AJ205" i="4"/>
  <c r="R205" i="4"/>
  <c r="U205" i="4"/>
  <c r="Y205" i="4" s="1"/>
  <c r="AL205" i="4" l="1"/>
  <c r="Z204" i="4"/>
  <c r="H206" i="4"/>
  <c r="T206" i="4"/>
  <c r="F206" i="4"/>
  <c r="L206" i="4"/>
  <c r="AI206" i="4"/>
  <c r="K206" i="4"/>
  <c r="M206" i="4"/>
  <c r="E206" i="4"/>
  <c r="V206" i="4"/>
  <c r="J206" i="4"/>
  <c r="N206" i="4"/>
  <c r="O206" i="4"/>
  <c r="C208" i="4"/>
  <c r="D207" i="4"/>
  <c r="L207" i="4" s="1"/>
  <c r="I205" i="4"/>
  <c r="X205" i="4"/>
  <c r="B206" i="4"/>
  <c r="P206" i="4"/>
  <c r="Q206" i="4"/>
  <c r="R206" i="4"/>
  <c r="S206" i="4"/>
  <c r="U206" i="4"/>
  <c r="W206" i="4"/>
  <c r="AJ206" i="4"/>
  <c r="AK206" i="4"/>
  <c r="G206" i="4" l="1"/>
  <c r="I206" i="4" s="1"/>
  <c r="X206" i="4"/>
  <c r="AA206" i="4" s="1"/>
  <c r="AL206" i="4"/>
  <c r="D208" i="4"/>
  <c r="C209" i="4"/>
  <c r="F208" i="4"/>
  <c r="H208" i="4"/>
  <c r="AA205" i="4"/>
  <c r="Z205" i="4"/>
  <c r="Y206" i="4"/>
  <c r="B207" i="4"/>
  <c r="E207" i="4"/>
  <c r="J207" i="4"/>
  <c r="K207" i="4"/>
  <c r="Q207" i="4"/>
  <c r="U207" i="4"/>
  <c r="O207" i="4"/>
  <c r="T207" i="4"/>
  <c r="W207" i="4"/>
  <c r="V207" i="4"/>
  <c r="M207" i="4"/>
  <c r="P207" i="4"/>
  <c r="S207" i="4"/>
  <c r="AK207" i="4"/>
  <c r="F207" i="4"/>
  <c r="AI207" i="4"/>
  <c r="H207" i="4"/>
  <c r="N207" i="4"/>
  <c r="R207" i="4"/>
  <c r="AJ207" i="4"/>
  <c r="J208" i="4" l="1"/>
  <c r="W208" i="4"/>
  <c r="AJ208" i="4"/>
  <c r="AK208" i="4"/>
  <c r="Z206" i="4"/>
  <c r="AL207" i="4"/>
  <c r="X207" i="4"/>
  <c r="AA207" i="4" s="1"/>
  <c r="Y207" i="4"/>
  <c r="E208" i="4"/>
  <c r="G208" i="4" s="1"/>
  <c r="I208" i="4" s="1"/>
  <c r="N208" i="4"/>
  <c r="K208" i="4"/>
  <c r="L208" i="4"/>
  <c r="M208" i="4"/>
  <c r="P208" i="4"/>
  <c r="Q208" i="4"/>
  <c r="R208" i="4"/>
  <c r="S208" i="4"/>
  <c r="T208" i="4"/>
  <c r="D209" i="4"/>
  <c r="L209" i="4" s="1"/>
  <c r="C210" i="4"/>
  <c r="G207" i="4"/>
  <c r="I207" i="4" s="1"/>
  <c r="B208" i="4"/>
  <c r="U208" i="4"/>
  <c r="O208" i="4"/>
  <c r="AI208" i="4"/>
  <c r="V208" i="4"/>
  <c r="AL208" i="4" l="1"/>
  <c r="Y208" i="4"/>
  <c r="Z207" i="4"/>
  <c r="X208" i="4"/>
  <c r="AA208" i="4" s="1"/>
  <c r="V209" i="4"/>
  <c r="H209" i="4"/>
  <c r="J209" i="4"/>
  <c r="K209" i="4"/>
  <c r="N209" i="4"/>
  <c r="O209" i="4"/>
  <c r="D210" i="4"/>
  <c r="C211" i="4"/>
  <c r="B209" i="4"/>
  <c r="P209" i="4"/>
  <c r="Q209" i="4"/>
  <c r="R209" i="4"/>
  <c r="F209" i="4"/>
  <c r="W209" i="4"/>
  <c r="AJ209" i="4"/>
  <c r="E209" i="4"/>
  <c r="M209" i="4"/>
  <c r="T209" i="4"/>
  <c r="U209" i="4"/>
  <c r="AK209" i="4"/>
  <c r="AI209" i="4"/>
  <c r="S209" i="4"/>
  <c r="Z208" i="4" l="1"/>
  <c r="X209" i="4"/>
  <c r="AA209" i="4" s="1"/>
  <c r="T210" i="4"/>
  <c r="U210" i="4"/>
  <c r="W210" i="4"/>
  <c r="E210" i="4"/>
  <c r="D211" i="4"/>
  <c r="C212" i="4"/>
  <c r="G209" i="4"/>
  <c r="I209" i="4" s="1"/>
  <c r="Y209" i="4"/>
  <c r="AL209" i="4"/>
  <c r="B210" i="4"/>
  <c r="AI210" i="4"/>
  <c r="J210" i="4"/>
  <c r="K210" i="4"/>
  <c r="M210" i="4"/>
  <c r="N210" i="4"/>
  <c r="P210" i="4"/>
  <c r="Q210" i="4"/>
  <c r="R210" i="4"/>
  <c r="S210" i="4"/>
  <c r="AJ210" i="4"/>
  <c r="AK210" i="4"/>
  <c r="V210" i="4"/>
  <c r="L210" i="4"/>
  <c r="O210" i="4"/>
  <c r="F210" i="4"/>
  <c r="H210" i="4"/>
  <c r="G210" i="4" l="1"/>
  <c r="I210" i="4" s="1"/>
  <c r="J211" i="4"/>
  <c r="V211" i="4"/>
  <c r="F211" i="4"/>
  <c r="H211" i="4"/>
  <c r="K211" i="4"/>
  <c r="M211" i="4"/>
  <c r="N211" i="4"/>
  <c r="P211" i="4"/>
  <c r="Y210" i="4"/>
  <c r="AI211" i="4"/>
  <c r="Q211" i="4"/>
  <c r="R211" i="4"/>
  <c r="S211" i="4"/>
  <c r="T211" i="4"/>
  <c r="Z209" i="4"/>
  <c r="X210" i="4"/>
  <c r="C213" i="4"/>
  <c r="D212" i="4"/>
  <c r="AL210" i="4"/>
  <c r="B211" i="4"/>
  <c r="U211" i="4"/>
  <c r="W211" i="4"/>
  <c r="AJ211" i="4"/>
  <c r="AK211" i="4"/>
  <c r="E211" i="4"/>
  <c r="L211" i="4"/>
  <c r="O211" i="4"/>
  <c r="T212" i="4" l="1"/>
  <c r="J212" i="4"/>
  <c r="G211" i="4"/>
  <c r="I211" i="4" s="1"/>
  <c r="X211" i="4"/>
  <c r="AA211" i="4" s="1"/>
  <c r="AL211" i="4"/>
  <c r="Z210" i="4"/>
  <c r="AA210" i="4"/>
  <c r="U212" i="4"/>
  <c r="W212" i="4"/>
  <c r="Y211" i="4"/>
  <c r="AK212" i="4"/>
  <c r="E212" i="4"/>
  <c r="V212" i="4"/>
  <c r="C214" i="4"/>
  <c r="D213" i="4"/>
  <c r="B212" i="4"/>
  <c r="F212" i="4"/>
  <c r="H212" i="4"/>
  <c r="K212" i="4"/>
  <c r="O212" i="4"/>
  <c r="M212" i="4"/>
  <c r="N212" i="4"/>
  <c r="P212" i="4"/>
  <c r="Q212" i="4"/>
  <c r="R212" i="4"/>
  <c r="S212" i="4"/>
  <c r="AI212" i="4"/>
  <c r="AJ212" i="4"/>
  <c r="L212" i="4"/>
  <c r="X212" i="4" l="1"/>
  <c r="AA212" i="4" s="1"/>
  <c r="Z211" i="4"/>
  <c r="Y212" i="4"/>
  <c r="Z212" i="4" s="1"/>
  <c r="AL212" i="4"/>
  <c r="AI213" i="4"/>
  <c r="H213" i="4"/>
  <c r="G212" i="4"/>
  <c r="I212" i="4" s="1"/>
  <c r="V213" i="4"/>
  <c r="K213" i="4"/>
  <c r="C215" i="4"/>
  <c r="D214" i="4"/>
  <c r="B213" i="4"/>
  <c r="N213" i="4"/>
  <c r="Q213" i="4"/>
  <c r="F213" i="4"/>
  <c r="L213" i="4"/>
  <c r="J213" i="4"/>
  <c r="M213" i="4"/>
  <c r="P213" i="4"/>
  <c r="E213" i="4"/>
  <c r="R213" i="4"/>
  <c r="S213" i="4"/>
  <c r="T213" i="4"/>
  <c r="U213" i="4"/>
  <c r="AK213" i="4"/>
  <c r="W213" i="4"/>
  <c r="AJ213" i="4"/>
  <c r="O213" i="4"/>
  <c r="X213" i="4" l="1"/>
  <c r="AA213" i="4" s="1"/>
  <c r="Y213" i="4"/>
  <c r="AL213" i="4"/>
  <c r="G213" i="4"/>
  <c r="I213" i="4" s="1"/>
  <c r="D215" i="4"/>
  <c r="H215" i="4"/>
  <c r="O215" i="4"/>
  <c r="C216" i="4"/>
  <c r="B214" i="4"/>
  <c r="L214" i="4"/>
  <c r="AI214" i="4"/>
  <c r="E214" i="4"/>
  <c r="O214" i="4"/>
  <c r="F214" i="4"/>
  <c r="H214" i="4"/>
  <c r="J214" i="4"/>
  <c r="M214" i="4"/>
  <c r="N214" i="4"/>
  <c r="AK214" i="4"/>
  <c r="K214" i="4"/>
  <c r="V214" i="4"/>
  <c r="P214" i="4"/>
  <c r="Q214" i="4"/>
  <c r="R214" i="4"/>
  <c r="S214" i="4"/>
  <c r="T214" i="4"/>
  <c r="U214" i="4"/>
  <c r="W214" i="4"/>
  <c r="AJ214" i="4"/>
  <c r="Z213" i="4" l="1"/>
  <c r="J215" i="4"/>
  <c r="K215" i="4"/>
  <c r="V215" i="4"/>
  <c r="AI215" i="4"/>
  <c r="M215" i="4"/>
  <c r="AL214" i="4"/>
  <c r="L215" i="4"/>
  <c r="F215" i="4"/>
  <c r="N215" i="4"/>
  <c r="P215" i="4"/>
  <c r="Q215" i="4"/>
  <c r="X214" i="4"/>
  <c r="AA214" i="4" s="1"/>
  <c r="R215" i="4"/>
  <c r="S215" i="4"/>
  <c r="T215" i="4"/>
  <c r="D216" i="4"/>
  <c r="U216" i="4" s="1"/>
  <c r="C217" i="4"/>
  <c r="T216" i="4"/>
  <c r="Y214" i="4"/>
  <c r="G214" i="4"/>
  <c r="I214" i="4" s="1"/>
  <c r="B215" i="4"/>
  <c r="U215" i="4"/>
  <c r="W215" i="4"/>
  <c r="AJ215" i="4"/>
  <c r="AK215" i="4"/>
  <c r="E215" i="4"/>
  <c r="X215" i="4" l="1"/>
  <c r="AA215" i="4" s="1"/>
  <c r="AL215" i="4"/>
  <c r="G215" i="4"/>
  <c r="I215" i="4" s="1"/>
  <c r="R216" i="4"/>
  <c r="W216" i="4"/>
  <c r="Y216" i="4" s="1"/>
  <c r="AJ216" i="4"/>
  <c r="AK216" i="4"/>
  <c r="Z214" i="4"/>
  <c r="Y215" i="4"/>
  <c r="C218" i="4"/>
  <c r="D217" i="4"/>
  <c r="B216" i="4"/>
  <c r="J216" i="4"/>
  <c r="M216" i="4"/>
  <c r="P216" i="4"/>
  <c r="V216" i="4"/>
  <c r="X216" i="4" s="1"/>
  <c r="L216" i="4"/>
  <c r="O216" i="4"/>
  <c r="E216" i="4"/>
  <c r="AI216" i="4"/>
  <c r="F216" i="4"/>
  <c r="H216" i="4"/>
  <c r="K216" i="4"/>
  <c r="N216" i="4"/>
  <c r="Q216" i="4"/>
  <c r="S216" i="4"/>
  <c r="Z215" i="4" l="1"/>
  <c r="AL216" i="4"/>
  <c r="Z216" i="4"/>
  <c r="AJ217" i="4"/>
  <c r="N217" i="4"/>
  <c r="H217" i="4"/>
  <c r="P217" i="4"/>
  <c r="E217" i="4"/>
  <c r="AK217" i="4"/>
  <c r="C219" i="4"/>
  <c r="D218" i="4"/>
  <c r="G216" i="4"/>
  <c r="I216" i="4" s="1"/>
  <c r="AA216" i="4"/>
  <c r="B217" i="4"/>
  <c r="V217" i="4"/>
  <c r="J217" i="4"/>
  <c r="Q217" i="4"/>
  <c r="R217" i="4"/>
  <c r="S217" i="4"/>
  <c r="T217" i="4"/>
  <c r="U217" i="4"/>
  <c r="W217" i="4"/>
  <c r="AI217" i="4"/>
  <c r="L217" i="4"/>
  <c r="F217" i="4"/>
  <c r="K217" i="4"/>
  <c r="O217" i="4"/>
  <c r="M217" i="4"/>
  <c r="X217" i="4" l="1"/>
  <c r="AA217" i="4" s="1"/>
  <c r="AL217" i="4"/>
  <c r="Y217" i="4"/>
  <c r="G217" i="4"/>
  <c r="I217" i="4" s="1"/>
  <c r="C220" i="4"/>
  <c r="D219" i="4"/>
  <c r="B218" i="4"/>
  <c r="J218" i="4"/>
  <c r="K218" i="4"/>
  <c r="L218" i="4"/>
  <c r="M218" i="4"/>
  <c r="N218" i="4"/>
  <c r="P218" i="4"/>
  <c r="Q218" i="4"/>
  <c r="R218" i="4"/>
  <c r="S218" i="4"/>
  <c r="T218" i="4"/>
  <c r="W218" i="4"/>
  <c r="AK218" i="4"/>
  <c r="O218" i="4"/>
  <c r="H218" i="4"/>
  <c r="U218" i="4"/>
  <c r="AJ218" i="4"/>
  <c r="AI218" i="4"/>
  <c r="V218" i="4"/>
  <c r="E218" i="4"/>
  <c r="F218" i="4"/>
  <c r="Z217" i="4" l="1"/>
  <c r="G218" i="4"/>
  <c r="I218" i="4" s="1"/>
  <c r="Y218" i="4"/>
  <c r="AI219" i="4"/>
  <c r="F219" i="4"/>
  <c r="H219" i="4"/>
  <c r="O219" i="4"/>
  <c r="N219" i="4"/>
  <c r="K219" i="4"/>
  <c r="E219" i="4"/>
  <c r="M219" i="4"/>
  <c r="P219" i="4"/>
  <c r="J219" i="4"/>
  <c r="Q219" i="4"/>
  <c r="C221" i="4"/>
  <c r="D220" i="4"/>
  <c r="K220" i="4" s="1"/>
  <c r="X218" i="4"/>
  <c r="AL218" i="4"/>
  <c r="B219" i="4"/>
  <c r="R219" i="4"/>
  <c r="S219" i="4"/>
  <c r="T219" i="4"/>
  <c r="U219" i="4"/>
  <c r="W219" i="4"/>
  <c r="AJ219" i="4"/>
  <c r="AK219" i="4"/>
  <c r="V219" i="4"/>
  <c r="L219" i="4"/>
  <c r="G219" i="4" l="1"/>
  <c r="I219" i="4" s="1"/>
  <c r="X219" i="4"/>
  <c r="AA219" i="4" s="1"/>
  <c r="V220" i="4"/>
  <c r="R220" i="4"/>
  <c r="S220" i="4"/>
  <c r="T220" i="4"/>
  <c r="X220" i="4" s="1"/>
  <c r="Y219" i="4"/>
  <c r="AL219" i="4"/>
  <c r="D221" i="4"/>
  <c r="T221" i="4" s="1"/>
  <c r="S221" i="4"/>
  <c r="C222" i="4"/>
  <c r="AA218" i="4"/>
  <c r="Z218" i="4"/>
  <c r="B220" i="4"/>
  <c r="M220" i="4"/>
  <c r="N220" i="4"/>
  <c r="P220" i="4"/>
  <c r="Q220" i="4"/>
  <c r="U220" i="4"/>
  <c r="W220" i="4"/>
  <c r="AJ220" i="4"/>
  <c r="AK220" i="4"/>
  <c r="AI220" i="4"/>
  <c r="F220" i="4"/>
  <c r="E220" i="4"/>
  <c r="L220" i="4"/>
  <c r="O220" i="4"/>
  <c r="H220" i="4"/>
  <c r="J220" i="4"/>
  <c r="R221" i="4" l="1"/>
  <c r="U221" i="4"/>
  <c r="W221" i="4"/>
  <c r="AJ221" i="4"/>
  <c r="AK221" i="4"/>
  <c r="Z219" i="4"/>
  <c r="AA220" i="4"/>
  <c r="G220" i="4"/>
  <c r="I220" i="4" s="1"/>
  <c r="K221" i="4"/>
  <c r="J221" i="4"/>
  <c r="M221" i="4"/>
  <c r="P221" i="4"/>
  <c r="H221" i="4"/>
  <c r="AI221" i="4"/>
  <c r="N221" i="4"/>
  <c r="D222" i="4"/>
  <c r="S222" i="4" s="1"/>
  <c r="C223" i="4"/>
  <c r="Y220" i="4"/>
  <c r="Z220" i="4" s="1"/>
  <c r="AL220" i="4"/>
  <c r="B221" i="4"/>
  <c r="F221" i="4"/>
  <c r="V221" i="4"/>
  <c r="X221" i="4" s="1"/>
  <c r="Q221" i="4"/>
  <c r="E221" i="4"/>
  <c r="L221" i="4"/>
  <c r="O221" i="4"/>
  <c r="Y221" i="4" l="1"/>
  <c r="Z221" i="4" s="1"/>
  <c r="AL221" i="4"/>
  <c r="G221" i="4"/>
  <c r="I221" i="4" s="1"/>
  <c r="D223" i="4"/>
  <c r="P223" i="4" s="1"/>
  <c r="C224" i="4"/>
  <c r="AA221" i="4"/>
  <c r="B222" i="4"/>
  <c r="E222" i="4"/>
  <c r="V222" i="4"/>
  <c r="H222" i="4"/>
  <c r="L222" i="4"/>
  <c r="J222" i="4"/>
  <c r="K222" i="4"/>
  <c r="M222" i="4"/>
  <c r="T222" i="4"/>
  <c r="U222" i="4"/>
  <c r="AJ222" i="4"/>
  <c r="AK222" i="4"/>
  <c r="F222" i="4"/>
  <c r="AI222" i="4"/>
  <c r="N222" i="4"/>
  <c r="Q222" i="4"/>
  <c r="W222" i="4"/>
  <c r="R222" i="4"/>
  <c r="O222" i="4"/>
  <c r="P222" i="4"/>
  <c r="X222" i="4" l="1"/>
  <c r="AA222" i="4" s="1"/>
  <c r="Q223" i="4"/>
  <c r="H223" i="4"/>
  <c r="J223" i="4"/>
  <c r="L223" i="4"/>
  <c r="M223" i="4"/>
  <c r="N223" i="4"/>
  <c r="Y222" i="4"/>
  <c r="R223" i="4"/>
  <c r="S223" i="4"/>
  <c r="C225" i="4"/>
  <c r="D224" i="4"/>
  <c r="G222" i="4"/>
  <c r="I222" i="4" s="1"/>
  <c r="AL222" i="4"/>
  <c r="B223" i="4"/>
  <c r="T223" i="4"/>
  <c r="U223" i="4"/>
  <c r="W223" i="4"/>
  <c r="AJ223" i="4"/>
  <c r="AK223" i="4"/>
  <c r="O223" i="4"/>
  <c r="V223" i="4"/>
  <c r="E223" i="4"/>
  <c r="AI223" i="4"/>
  <c r="F223" i="4"/>
  <c r="K223" i="4"/>
  <c r="Z222" i="4" l="1"/>
  <c r="X223" i="4"/>
  <c r="AA223" i="4" s="1"/>
  <c r="AL223" i="4"/>
  <c r="V224" i="4"/>
  <c r="U224" i="4"/>
  <c r="W224" i="4"/>
  <c r="AJ224" i="4"/>
  <c r="AK224" i="4"/>
  <c r="AI224" i="4"/>
  <c r="L224" i="4"/>
  <c r="C226" i="4"/>
  <c r="D225" i="4"/>
  <c r="Y223" i="4"/>
  <c r="G223" i="4"/>
  <c r="I223" i="4" s="1"/>
  <c r="B224" i="4"/>
  <c r="E224" i="4"/>
  <c r="F224" i="4"/>
  <c r="O224" i="4"/>
  <c r="J224" i="4"/>
  <c r="H224" i="4"/>
  <c r="M224" i="4"/>
  <c r="Q224" i="4"/>
  <c r="T224" i="4"/>
  <c r="K224" i="4"/>
  <c r="N224" i="4"/>
  <c r="P224" i="4"/>
  <c r="R224" i="4"/>
  <c r="S224" i="4"/>
  <c r="X224" i="4" l="1"/>
  <c r="AA224" i="4" s="1"/>
  <c r="AL224" i="4"/>
  <c r="Z223" i="4"/>
  <c r="Y224" i="4"/>
  <c r="L225" i="4"/>
  <c r="M225" i="4"/>
  <c r="N225" i="4"/>
  <c r="P225" i="4"/>
  <c r="E225" i="4"/>
  <c r="AK225" i="4"/>
  <c r="O225" i="4"/>
  <c r="F225" i="4"/>
  <c r="U225" i="4"/>
  <c r="W225" i="4"/>
  <c r="AJ225" i="4"/>
  <c r="C227" i="4"/>
  <c r="D226" i="4"/>
  <c r="G224" i="4"/>
  <c r="I224" i="4" s="1"/>
  <c r="B225" i="4"/>
  <c r="AI225" i="4"/>
  <c r="V225" i="4"/>
  <c r="H225" i="4"/>
  <c r="J225" i="4"/>
  <c r="K225" i="4"/>
  <c r="Q225" i="4"/>
  <c r="R225" i="4"/>
  <c r="S225" i="4"/>
  <c r="T225" i="4"/>
  <c r="X225" i="4" l="1"/>
  <c r="AA225" i="4" s="1"/>
  <c r="Z224" i="4"/>
  <c r="G225" i="4"/>
  <c r="I225" i="4" s="1"/>
  <c r="Y225" i="4"/>
  <c r="AL225" i="4"/>
  <c r="L226" i="4"/>
  <c r="E226" i="4"/>
  <c r="F226" i="4"/>
  <c r="O226" i="4"/>
  <c r="H226" i="4"/>
  <c r="J226" i="4"/>
  <c r="K226" i="4"/>
  <c r="P226" i="4"/>
  <c r="D227" i="4"/>
  <c r="N227" i="4" s="1"/>
  <c r="C228" i="4"/>
  <c r="B226" i="4"/>
  <c r="V226" i="4"/>
  <c r="M226" i="4"/>
  <c r="N226" i="4"/>
  <c r="Q226" i="4"/>
  <c r="R226" i="4"/>
  <c r="S226" i="4"/>
  <c r="T226" i="4"/>
  <c r="AI226" i="4"/>
  <c r="U226" i="4"/>
  <c r="W226" i="4"/>
  <c r="AJ226" i="4"/>
  <c r="AK226" i="4"/>
  <c r="Z225" i="4" l="1"/>
  <c r="G226" i="4"/>
  <c r="I226" i="4" s="1"/>
  <c r="X226" i="4"/>
  <c r="AA226" i="4" s="1"/>
  <c r="Y226" i="4"/>
  <c r="AK227" i="4"/>
  <c r="O227" i="4"/>
  <c r="E227" i="4"/>
  <c r="D228" i="4"/>
  <c r="E228" i="4" s="1"/>
  <c r="C229" i="4"/>
  <c r="AL226" i="4"/>
  <c r="B227" i="4"/>
  <c r="P227" i="4"/>
  <c r="Q227" i="4"/>
  <c r="R227" i="4"/>
  <c r="S227" i="4"/>
  <c r="T227" i="4"/>
  <c r="U227" i="4"/>
  <c r="W227" i="4"/>
  <c r="AJ227" i="4"/>
  <c r="V227" i="4"/>
  <c r="F227" i="4"/>
  <c r="H227" i="4"/>
  <c r="L227" i="4"/>
  <c r="AI227" i="4"/>
  <c r="J227" i="4"/>
  <c r="K227" i="4"/>
  <c r="M227" i="4"/>
  <c r="Z226" i="4" l="1"/>
  <c r="AL227" i="4"/>
  <c r="G227" i="4"/>
  <c r="I227" i="4" s="1"/>
  <c r="X227" i="4"/>
  <c r="AA227" i="4" s="1"/>
  <c r="Y227" i="4"/>
  <c r="K228" i="4"/>
  <c r="L228" i="4"/>
  <c r="O228" i="4"/>
  <c r="M228" i="4"/>
  <c r="N228" i="4"/>
  <c r="P228" i="4"/>
  <c r="Q228" i="4"/>
  <c r="R228" i="4"/>
  <c r="S228" i="4"/>
  <c r="T228" i="4"/>
  <c r="AI228" i="4"/>
  <c r="U228" i="4"/>
  <c r="D229" i="4"/>
  <c r="C230" i="4"/>
  <c r="B228" i="4"/>
  <c r="F228" i="4"/>
  <c r="G228" i="4" s="1"/>
  <c r="H228" i="4"/>
  <c r="J228" i="4"/>
  <c r="W228" i="4"/>
  <c r="AJ228" i="4"/>
  <c r="AK228" i="4"/>
  <c r="V228" i="4"/>
  <c r="Z227" i="4" l="1"/>
  <c r="Y228" i="4"/>
  <c r="X228" i="4"/>
  <c r="AA228" i="4" s="1"/>
  <c r="AL228" i="4"/>
  <c r="V229" i="4"/>
  <c r="J229" i="4"/>
  <c r="K229" i="4"/>
  <c r="M229" i="4"/>
  <c r="N229" i="4"/>
  <c r="P229" i="4"/>
  <c r="Q229" i="4"/>
  <c r="R229" i="4"/>
  <c r="S229" i="4"/>
  <c r="E230" i="4"/>
  <c r="C231" i="4"/>
  <c r="D230" i="4"/>
  <c r="O230" i="4" s="1"/>
  <c r="I228" i="4"/>
  <c r="B229" i="4"/>
  <c r="L229" i="4"/>
  <c r="E229" i="4"/>
  <c r="T229" i="4"/>
  <c r="U229" i="4"/>
  <c r="AJ229" i="4"/>
  <c r="AK229" i="4"/>
  <c r="W229" i="4"/>
  <c r="AI229" i="4"/>
  <c r="F229" i="4"/>
  <c r="O229" i="4"/>
  <c r="H229" i="4"/>
  <c r="AI230" i="4" l="1"/>
  <c r="H230" i="4"/>
  <c r="K230" i="4"/>
  <c r="M230" i="4"/>
  <c r="P230" i="4"/>
  <c r="Z228" i="4"/>
  <c r="X229" i="4"/>
  <c r="AA229" i="4" s="1"/>
  <c r="S230" i="4"/>
  <c r="T230" i="4"/>
  <c r="W230" i="4"/>
  <c r="F230" i="4"/>
  <c r="G230" i="4" s="1"/>
  <c r="J230" i="4"/>
  <c r="N230" i="4"/>
  <c r="Q230" i="4"/>
  <c r="C232" i="4"/>
  <c r="D231" i="4"/>
  <c r="T231" i="4" s="1"/>
  <c r="Y229" i="4"/>
  <c r="G229" i="4"/>
  <c r="I229" i="4" s="1"/>
  <c r="AL229" i="4"/>
  <c r="B230" i="4"/>
  <c r="R230" i="4"/>
  <c r="U230" i="4"/>
  <c r="V230" i="4"/>
  <c r="AJ230" i="4"/>
  <c r="AK230" i="4"/>
  <c r="L230" i="4"/>
  <c r="I230" i="4" l="1"/>
  <c r="AL230" i="4"/>
  <c r="Z229" i="4"/>
  <c r="Y230" i="4"/>
  <c r="X230" i="4"/>
  <c r="AA230" i="4"/>
  <c r="R231" i="4"/>
  <c r="S231" i="4"/>
  <c r="U231" i="4"/>
  <c r="V231" i="4"/>
  <c r="X231" i="4" s="1"/>
  <c r="C233" i="4"/>
  <c r="D232" i="4"/>
  <c r="B231" i="4"/>
  <c r="K231" i="4"/>
  <c r="M231" i="4"/>
  <c r="Q231" i="4"/>
  <c r="E231" i="4"/>
  <c r="AJ231" i="4"/>
  <c r="AK231" i="4"/>
  <c r="H231" i="4"/>
  <c r="L231" i="4"/>
  <c r="F231" i="4"/>
  <c r="AI231" i="4"/>
  <c r="J231" i="4"/>
  <c r="O231" i="4"/>
  <c r="N231" i="4"/>
  <c r="P231" i="4"/>
  <c r="W231" i="4"/>
  <c r="Z230" i="4" l="1"/>
  <c r="AA231" i="4"/>
  <c r="W232" i="4"/>
  <c r="V232" i="4"/>
  <c r="Y231" i="4"/>
  <c r="Z231" i="4" s="1"/>
  <c r="D233" i="4"/>
  <c r="N233" i="4"/>
  <c r="C234" i="4"/>
  <c r="AL231" i="4"/>
  <c r="G231" i="4"/>
  <c r="I231" i="4" s="1"/>
  <c r="B232" i="4"/>
  <c r="L232" i="4"/>
  <c r="K232" i="4"/>
  <c r="N232" i="4"/>
  <c r="H232" i="4"/>
  <c r="F232" i="4"/>
  <c r="E232" i="4"/>
  <c r="M232" i="4"/>
  <c r="R232" i="4"/>
  <c r="T232" i="4"/>
  <c r="S232" i="4"/>
  <c r="AI232" i="4"/>
  <c r="U232" i="4"/>
  <c r="P232" i="4"/>
  <c r="J232" i="4"/>
  <c r="Q232" i="4"/>
  <c r="O232" i="4"/>
  <c r="AJ232" i="4"/>
  <c r="AK232" i="4"/>
  <c r="P233" i="4" l="1"/>
  <c r="Q233" i="4"/>
  <c r="R233" i="4"/>
  <c r="S233" i="4"/>
  <c r="G232" i="4"/>
  <c r="I232" i="4" s="1"/>
  <c r="T233" i="4"/>
  <c r="U233" i="4"/>
  <c r="Y232" i="4"/>
  <c r="X232" i="4"/>
  <c r="AA232" i="4" s="1"/>
  <c r="E233" i="4"/>
  <c r="M233" i="4"/>
  <c r="C235" i="4"/>
  <c r="D234" i="4"/>
  <c r="AL232" i="4"/>
  <c r="B233" i="4"/>
  <c r="V233" i="4"/>
  <c r="W233" i="4"/>
  <c r="AJ233" i="4"/>
  <c r="AK233" i="4"/>
  <c r="AI233" i="4"/>
  <c r="F233" i="4"/>
  <c r="H233" i="4"/>
  <c r="O233" i="4"/>
  <c r="J233" i="4"/>
  <c r="K233" i="4"/>
  <c r="L233" i="4"/>
  <c r="F234" i="4" l="1"/>
  <c r="O234" i="4"/>
  <c r="J234" i="4"/>
  <c r="E234" i="4"/>
  <c r="K234" i="4"/>
  <c r="M234" i="4"/>
  <c r="P234" i="4"/>
  <c r="Q234" i="4"/>
  <c r="R234" i="4"/>
  <c r="S234" i="4"/>
  <c r="U234" i="4"/>
  <c r="V234" i="4"/>
  <c r="W234" i="4"/>
  <c r="Z232" i="4"/>
  <c r="X233" i="4"/>
  <c r="AA233" i="4" s="1"/>
  <c r="Y233" i="4"/>
  <c r="G233" i="4"/>
  <c r="I233" i="4" s="1"/>
  <c r="T234" i="4"/>
  <c r="AJ234" i="4"/>
  <c r="AK234" i="4"/>
  <c r="L234" i="4"/>
  <c r="B234" i="4"/>
  <c r="H234" i="4"/>
  <c r="AI234" i="4"/>
  <c r="N234" i="4"/>
  <c r="D235" i="4"/>
  <c r="U235" i="4" s="1"/>
  <c r="C236" i="4"/>
  <c r="AL233" i="4"/>
  <c r="G234" i="4" l="1"/>
  <c r="I234" i="4" s="1"/>
  <c r="Z233" i="4"/>
  <c r="Y234" i="4"/>
  <c r="X234" i="4"/>
  <c r="AA234" i="4" s="1"/>
  <c r="AI235" i="4"/>
  <c r="F235" i="4"/>
  <c r="J235" i="4"/>
  <c r="L235" i="4"/>
  <c r="H235" i="4"/>
  <c r="Q235" i="4"/>
  <c r="AL234" i="4"/>
  <c r="K235" i="4"/>
  <c r="O235" i="4"/>
  <c r="M235" i="4"/>
  <c r="N235" i="4"/>
  <c r="P235" i="4"/>
  <c r="E235" i="4"/>
  <c r="D236" i="4"/>
  <c r="R236" i="4" s="1"/>
  <c r="C237" i="4"/>
  <c r="B235" i="4"/>
  <c r="R235" i="4"/>
  <c r="S235" i="4"/>
  <c r="T235" i="4"/>
  <c r="V235" i="4"/>
  <c r="W235" i="4"/>
  <c r="Y235" i="4" s="1"/>
  <c r="AJ235" i="4"/>
  <c r="AK235" i="4"/>
  <c r="Z234" i="4" l="1"/>
  <c r="G235" i="4"/>
  <c r="I235" i="4" s="1"/>
  <c r="AL235" i="4"/>
  <c r="E236" i="4"/>
  <c r="AI236" i="4"/>
  <c r="H236" i="4"/>
  <c r="S236" i="4"/>
  <c r="W236" i="4"/>
  <c r="F236" i="4"/>
  <c r="M236" i="4"/>
  <c r="J236" i="4"/>
  <c r="K236" i="4"/>
  <c r="N236" i="4"/>
  <c r="P236" i="4"/>
  <c r="L236" i="4"/>
  <c r="Q236" i="4"/>
  <c r="B236" i="4"/>
  <c r="O236" i="4"/>
  <c r="T236" i="4"/>
  <c r="U236" i="4"/>
  <c r="V236" i="4"/>
  <c r="AK236" i="4"/>
  <c r="AJ236" i="4"/>
  <c r="L237" i="4"/>
  <c r="D237" i="4"/>
  <c r="C238" i="4"/>
  <c r="X235" i="4"/>
  <c r="K237" i="4" l="1"/>
  <c r="M237" i="4"/>
  <c r="N237" i="4"/>
  <c r="P237" i="4"/>
  <c r="Q237" i="4"/>
  <c r="R237" i="4"/>
  <c r="S237" i="4"/>
  <c r="T237" i="4"/>
  <c r="U237" i="4"/>
  <c r="V237" i="4"/>
  <c r="G236" i="4"/>
  <c r="I236" i="4" s="1"/>
  <c r="X236" i="4"/>
  <c r="AA236" i="4" s="1"/>
  <c r="Y236" i="4"/>
  <c r="AL236" i="4"/>
  <c r="H237" i="4"/>
  <c r="W237" i="4"/>
  <c r="AJ237" i="4"/>
  <c r="D238" i="4"/>
  <c r="P238" i="4" s="1"/>
  <c r="C239" i="4"/>
  <c r="U238" i="4"/>
  <c r="Z235" i="4"/>
  <c r="AA235" i="4"/>
  <c r="B237" i="4"/>
  <c r="AK237" i="4"/>
  <c r="O237" i="4"/>
  <c r="AI237" i="4"/>
  <c r="E237" i="4"/>
  <c r="J237" i="4"/>
  <c r="F237" i="4"/>
  <c r="X237" i="4" l="1"/>
  <c r="AA237" i="4" s="1"/>
  <c r="Y237" i="4"/>
  <c r="Z236" i="4"/>
  <c r="G237" i="4"/>
  <c r="I237" i="4" s="1"/>
  <c r="L238" i="4"/>
  <c r="R238" i="4"/>
  <c r="O238" i="4"/>
  <c r="E238" i="4"/>
  <c r="F238" i="4"/>
  <c r="H238" i="4"/>
  <c r="J238" i="4"/>
  <c r="K238" i="4"/>
  <c r="M238" i="4"/>
  <c r="N238" i="4"/>
  <c r="Q238" i="4"/>
  <c r="S238" i="4"/>
  <c r="V238" i="4"/>
  <c r="W238" i="4"/>
  <c r="Y238" i="4" s="1"/>
  <c r="C240" i="4"/>
  <c r="D239" i="4"/>
  <c r="AL237" i="4"/>
  <c r="B238" i="4"/>
  <c r="T238" i="4"/>
  <c r="AI238" i="4"/>
  <c r="AK238" i="4"/>
  <c r="AJ238" i="4"/>
  <c r="Z237" i="4" l="1"/>
  <c r="AL238" i="4"/>
  <c r="G238" i="4"/>
  <c r="I238" i="4" s="1"/>
  <c r="X238" i="4"/>
  <c r="C241" i="4"/>
  <c r="D240" i="4"/>
  <c r="T240" i="4" s="1"/>
  <c r="B239" i="4"/>
  <c r="Q239" i="4"/>
  <c r="J239" i="4"/>
  <c r="K239" i="4"/>
  <c r="O239" i="4"/>
  <c r="M239" i="4"/>
  <c r="P239" i="4"/>
  <c r="R239" i="4"/>
  <c r="S239" i="4"/>
  <c r="U239" i="4"/>
  <c r="AI239" i="4"/>
  <c r="T239" i="4"/>
  <c r="AJ239" i="4"/>
  <c r="F239" i="4"/>
  <c r="N239" i="4"/>
  <c r="V239" i="4"/>
  <c r="AK239" i="4"/>
  <c r="E239" i="4"/>
  <c r="H239" i="4"/>
  <c r="W239" i="4"/>
  <c r="L239" i="4"/>
  <c r="G239" i="4" l="1"/>
  <c r="I239" i="4" s="1"/>
  <c r="AA238" i="4"/>
  <c r="Z238" i="4"/>
  <c r="P240" i="4"/>
  <c r="R240" i="4"/>
  <c r="U240" i="4"/>
  <c r="V240" i="4"/>
  <c r="X240" i="4" s="1"/>
  <c r="AA240" i="4" s="1"/>
  <c r="W240" i="4"/>
  <c r="AJ240" i="4"/>
  <c r="AK240" i="4"/>
  <c r="O240" i="4"/>
  <c r="AI240" i="4"/>
  <c r="K240" i="4"/>
  <c r="F240" i="4"/>
  <c r="H240" i="4"/>
  <c r="Q240" i="4"/>
  <c r="S240" i="4"/>
  <c r="D241" i="4"/>
  <c r="C242" i="4"/>
  <c r="AL239" i="4"/>
  <c r="X239" i="4"/>
  <c r="AA239" i="4" s="1"/>
  <c r="Y239" i="4"/>
  <c r="B240" i="4"/>
  <c r="J240" i="4"/>
  <c r="M240" i="4"/>
  <c r="N240" i="4"/>
  <c r="E240" i="4"/>
  <c r="L240" i="4"/>
  <c r="Z239" i="4" l="1"/>
  <c r="F241" i="4"/>
  <c r="O241" i="4"/>
  <c r="Y240" i="4"/>
  <c r="Z240" i="4" s="1"/>
  <c r="AL240" i="4"/>
  <c r="H241" i="4"/>
  <c r="K241" i="4"/>
  <c r="N241" i="4"/>
  <c r="R241" i="4"/>
  <c r="J241" i="4"/>
  <c r="E241" i="4"/>
  <c r="AI241" i="4"/>
  <c r="L241" i="4"/>
  <c r="P241" i="4"/>
  <c r="G240" i="4"/>
  <c r="I240" i="4" s="1"/>
  <c r="Q241" i="4"/>
  <c r="S241" i="4"/>
  <c r="T241" i="4"/>
  <c r="M241" i="4"/>
  <c r="V241" i="4"/>
  <c r="AK241" i="4"/>
  <c r="C243" i="4"/>
  <c r="D242" i="4"/>
  <c r="B241" i="4"/>
  <c r="U241" i="4"/>
  <c r="W241" i="4"/>
  <c r="AJ241" i="4"/>
  <c r="G241" i="4" l="1"/>
  <c r="I241" i="4" s="1"/>
  <c r="U242" i="4"/>
  <c r="V242" i="4"/>
  <c r="AL241" i="4"/>
  <c r="W242" i="4"/>
  <c r="AJ242" i="4"/>
  <c r="AI242" i="4"/>
  <c r="X241" i="4"/>
  <c r="AA241" i="4" s="1"/>
  <c r="L242" i="4"/>
  <c r="O242" i="4"/>
  <c r="F242" i="4"/>
  <c r="H242" i="4"/>
  <c r="E242" i="4"/>
  <c r="J242" i="4"/>
  <c r="K242" i="4"/>
  <c r="M242" i="4"/>
  <c r="AK242" i="4"/>
  <c r="B242" i="4"/>
  <c r="N242" i="4"/>
  <c r="P242" i="4"/>
  <c r="Q242" i="4"/>
  <c r="R242" i="4"/>
  <c r="S242" i="4"/>
  <c r="T242" i="4"/>
  <c r="D243" i="4"/>
  <c r="M243" i="4" s="1"/>
  <c r="R243" i="4"/>
  <c r="C244" i="4"/>
  <c r="Y241" i="4"/>
  <c r="P243" i="4" l="1"/>
  <c r="S243" i="4"/>
  <c r="U243" i="4"/>
  <c r="V243" i="4"/>
  <c r="AJ243" i="4"/>
  <c r="AK243" i="4"/>
  <c r="AL242" i="4"/>
  <c r="Y242" i="4"/>
  <c r="X242" i="4"/>
  <c r="AA242" i="4" s="1"/>
  <c r="Z241" i="4"/>
  <c r="K243" i="4"/>
  <c r="O243" i="4"/>
  <c r="L243" i="4"/>
  <c r="E243" i="4"/>
  <c r="AI243" i="4"/>
  <c r="G242" i="4"/>
  <c r="I242" i="4" s="1"/>
  <c r="N243" i="4"/>
  <c r="T243" i="4"/>
  <c r="D244" i="4"/>
  <c r="P244" i="4" s="1"/>
  <c r="C245" i="4"/>
  <c r="B243" i="4"/>
  <c r="Q243" i="4"/>
  <c r="W243" i="4"/>
  <c r="F243" i="4"/>
  <c r="H243" i="4"/>
  <c r="J243" i="4"/>
  <c r="AL243" i="4" l="1"/>
  <c r="Y243" i="4"/>
  <c r="X243" i="4"/>
  <c r="Z242" i="4"/>
  <c r="G243" i="4"/>
  <c r="I243" i="4" s="1"/>
  <c r="J244" i="4"/>
  <c r="O244" i="4"/>
  <c r="AA243" i="4"/>
  <c r="Z243" i="4"/>
  <c r="AI244" i="4"/>
  <c r="E244" i="4"/>
  <c r="L244" i="4"/>
  <c r="B244" i="4"/>
  <c r="Q244" i="4"/>
  <c r="R244" i="4"/>
  <c r="S244" i="4"/>
  <c r="T244" i="4"/>
  <c r="U244" i="4"/>
  <c r="H244" i="4"/>
  <c r="N244" i="4"/>
  <c r="V244" i="4"/>
  <c r="W244" i="4"/>
  <c r="AJ244" i="4"/>
  <c r="AK244" i="4"/>
  <c r="F244" i="4"/>
  <c r="K244" i="4"/>
  <c r="M244" i="4"/>
  <c r="D245" i="4"/>
  <c r="C246" i="4"/>
  <c r="AI245" i="4" l="1"/>
  <c r="F245" i="4"/>
  <c r="AL244" i="4"/>
  <c r="G244" i="4"/>
  <c r="I244" i="4" s="1"/>
  <c r="Y244" i="4"/>
  <c r="M245" i="4"/>
  <c r="H245" i="4"/>
  <c r="K245" i="4"/>
  <c r="L245" i="4"/>
  <c r="V245" i="4"/>
  <c r="W245" i="4"/>
  <c r="AJ245" i="4"/>
  <c r="E245" i="4"/>
  <c r="X244" i="4"/>
  <c r="N245" i="4"/>
  <c r="P245" i="4"/>
  <c r="Q245" i="4"/>
  <c r="D246" i="4"/>
  <c r="C247" i="4"/>
  <c r="B245" i="4"/>
  <c r="R245" i="4"/>
  <c r="S245" i="4"/>
  <c r="T245" i="4"/>
  <c r="U245" i="4"/>
  <c r="O245" i="4"/>
  <c r="J245" i="4"/>
  <c r="AK245" i="4"/>
  <c r="AL245" i="4" l="1"/>
  <c r="G245" i="4"/>
  <c r="I245" i="4" s="1"/>
  <c r="V246" i="4"/>
  <c r="W246" i="4"/>
  <c r="AJ246" i="4"/>
  <c r="AK246" i="4"/>
  <c r="X245" i="4"/>
  <c r="AA245" i="4" s="1"/>
  <c r="Y245" i="4"/>
  <c r="E246" i="4"/>
  <c r="T246" i="4"/>
  <c r="U246" i="4"/>
  <c r="Z244" i="4"/>
  <c r="AA244" i="4"/>
  <c r="AI246" i="4"/>
  <c r="L246" i="4"/>
  <c r="F246" i="4"/>
  <c r="H246" i="4"/>
  <c r="O246" i="4"/>
  <c r="D247" i="4"/>
  <c r="C248" i="4"/>
  <c r="B246" i="4"/>
  <c r="J246" i="4"/>
  <c r="K246" i="4"/>
  <c r="M246" i="4"/>
  <c r="N246" i="4"/>
  <c r="P246" i="4"/>
  <c r="Q246" i="4"/>
  <c r="R246" i="4"/>
  <c r="S246" i="4"/>
  <c r="Y246" i="4" l="1"/>
  <c r="Z245" i="4"/>
  <c r="X246" i="4"/>
  <c r="AA246" i="4" s="1"/>
  <c r="AL246" i="4"/>
  <c r="G246" i="4"/>
  <c r="I246" i="4"/>
  <c r="L247" i="4"/>
  <c r="E247" i="4"/>
  <c r="AI247" i="4"/>
  <c r="Q247" i="4"/>
  <c r="R247" i="4"/>
  <c r="S247" i="4"/>
  <c r="T247" i="4"/>
  <c r="C249" i="4"/>
  <c r="D248" i="4"/>
  <c r="B247" i="4"/>
  <c r="F247" i="4"/>
  <c r="H247" i="4"/>
  <c r="J247" i="4"/>
  <c r="K247" i="4"/>
  <c r="O247" i="4"/>
  <c r="M247" i="4"/>
  <c r="N247" i="4"/>
  <c r="P247" i="4"/>
  <c r="U247" i="4"/>
  <c r="V247" i="4"/>
  <c r="W247" i="4"/>
  <c r="AJ247" i="4"/>
  <c r="AK247" i="4"/>
  <c r="E248" i="4" l="1"/>
  <c r="U248" i="4"/>
  <c r="V248" i="4"/>
  <c r="Z246" i="4"/>
  <c r="P248" i="4"/>
  <c r="K248" i="4"/>
  <c r="H248" i="4"/>
  <c r="W248" i="4"/>
  <c r="Y248" i="4" s="1"/>
  <c r="Y247" i="4"/>
  <c r="G247" i="4"/>
  <c r="I247" i="4" s="1"/>
  <c r="X247" i="4"/>
  <c r="AL247" i="4"/>
  <c r="N248" i="4"/>
  <c r="R248" i="4"/>
  <c r="T248" i="4"/>
  <c r="C250" i="4"/>
  <c r="D249" i="4"/>
  <c r="O249" i="4" s="1"/>
  <c r="B248" i="4"/>
  <c r="AJ248" i="4"/>
  <c r="AK248" i="4"/>
  <c r="F248" i="4"/>
  <c r="G248" i="4" s="1"/>
  <c r="L248" i="4"/>
  <c r="J248" i="4"/>
  <c r="M248" i="4"/>
  <c r="Q248" i="4"/>
  <c r="S248" i="4"/>
  <c r="AI248" i="4"/>
  <c r="O248" i="4"/>
  <c r="X248" i="4" l="1"/>
  <c r="I248" i="4"/>
  <c r="Z247" i="4"/>
  <c r="AA247" i="4"/>
  <c r="J249" i="4"/>
  <c r="K249" i="4"/>
  <c r="L249" i="4"/>
  <c r="M249" i="4"/>
  <c r="N249" i="4"/>
  <c r="T249" i="4"/>
  <c r="C251" i="4"/>
  <c r="D250" i="4"/>
  <c r="V250" i="4" s="1"/>
  <c r="AL248" i="4"/>
  <c r="B249" i="4"/>
  <c r="P249" i="4"/>
  <c r="Q249" i="4"/>
  <c r="R249" i="4"/>
  <c r="S249" i="4"/>
  <c r="U249" i="4"/>
  <c r="V249" i="4"/>
  <c r="W249" i="4"/>
  <c r="AJ249" i="4"/>
  <c r="AK249" i="4"/>
  <c r="E249" i="4"/>
  <c r="AI249" i="4"/>
  <c r="F249" i="4"/>
  <c r="H249" i="4"/>
  <c r="Z248" i="4" l="1"/>
  <c r="AA248" i="4"/>
  <c r="G249" i="4"/>
  <c r="I249" i="4" s="1"/>
  <c r="X249" i="4"/>
  <c r="AA249" i="4" s="1"/>
  <c r="D251" i="4"/>
  <c r="C252" i="4"/>
  <c r="AL249" i="4"/>
  <c r="Y249" i="4"/>
  <c r="B250" i="4"/>
  <c r="W250" i="4"/>
  <c r="AJ250" i="4"/>
  <c r="L250" i="4"/>
  <c r="AI250" i="4"/>
  <c r="K250" i="4"/>
  <c r="P250" i="4"/>
  <c r="S250" i="4"/>
  <c r="AK250" i="4"/>
  <c r="U250" i="4"/>
  <c r="F250" i="4"/>
  <c r="E250" i="4"/>
  <c r="O250" i="4"/>
  <c r="H250" i="4"/>
  <c r="J250" i="4"/>
  <c r="M250" i="4"/>
  <c r="N250" i="4"/>
  <c r="Q250" i="4"/>
  <c r="R250" i="4"/>
  <c r="T250" i="4"/>
  <c r="X250" i="4" s="1"/>
  <c r="V251" i="4" l="1"/>
  <c r="W251" i="4"/>
  <c r="AJ251" i="4"/>
  <c r="Z249" i="4"/>
  <c r="G250" i="4"/>
  <c r="I250" i="4" s="1"/>
  <c r="D252" i="4"/>
  <c r="C253" i="4"/>
  <c r="Y250" i="4"/>
  <c r="Z250" i="4" s="1"/>
  <c r="AL250" i="4"/>
  <c r="AA250" i="4"/>
  <c r="B251" i="4"/>
  <c r="L251" i="4"/>
  <c r="E251" i="4"/>
  <c r="F251" i="4"/>
  <c r="H251" i="4"/>
  <c r="J251" i="4"/>
  <c r="N251" i="4"/>
  <c r="Q251" i="4"/>
  <c r="T251" i="4"/>
  <c r="K251" i="4"/>
  <c r="O251" i="4"/>
  <c r="M251" i="4"/>
  <c r="P251" i="4"/>
  <c r="U251" i="4"/>
  <c r="R251" i="4"/>
  <c r="S251" i="4"/>
  <c r="AI251" i="4"/>
  <c r="AK251" i="4"/>
  <c r="X251" i="4" l="1"/>
  <c r="AA251" i="4" s="1"/>
  <c r="Y251" i="4"/>
  <c r="R252" i="4"/>
  <c r="S252" i="4"/>
  <c r="E252" i="4"/>
  <c r="T252" i="4"/>
  <c r="G251" i="4"/>
  <c r="I251" i="4" s="1"/>
  <c r="F252" i="4"/>
  <c r="J252" i="4"/>
  <c r="K252" i="4"/>
  <c r="C254" i="4"/>
  <c r="D253" i="4"/>
  <c r="S253" i="4" s="1"/>
  <c r="AL251" i="4"/>
  <c r="B252" i="4"/>
  <c r="L252" i="4"/>
  <c r="H252" i="4"/>
  <c r="N252" i="4"/>
  <c r="P252" i="4"/>
  <c r="Q252" i="4"/>
  <c r="AI252" i="4"/>
  <c r="O252" i="4"/>
  <c r="M252" i="4"/>
  <c r="V252" i="4"/>
  <c r="AK252" i="4"/>
  <c r="U252" i="4"/>
  <c r="W252" i="4"/>
  <c r="AJ252" i="4"/>
  <c r="Z251" i="4" l="1"/>
  <c r="G252" i="4"/>
  <c r="I252" i="4" s="1"/>
  <c r="X252" i="4"/>
  <c r="AA252" i="4" s="1"/>
  <c r="AL252" i="4"/>
  <c r="T253" i="4"/>
  <c r="AJ253" i="4"/>
  <c r="AK253" i="4"/>
  <c r="C255" i="4"/>
  <c r="D254" i="4"/>
  <c r="Y252" i="4"/>
  <c r="B253" i="4"/>
  <c r="O253" i="4"/>
  <c r="U253" i="4"/>
  <c r="E253" i="4"/>
  <c r="J253" i="4"/>
  <c r="V253" i="4"/>
  <c r="W253" i="4"/>
  <c r="H253" i="4"/>
  <c r="F253" i="4"/>
  <c r="Q253" i="4"/>
  <c r="P253" i="4"/>
  <c r="L253" i="4"/>
  <c r="AI253" i="4"/>
  <c r="N253" i="4"/>
  <c r="R253" i="4"/>
  <c r="K253" i="4"/>
  <c r="M253" i="4"/>
  <c r="Z252" i="4" l="1"/>
  <c r="Y253" i="4"/>
  <c r="G253" i="4"/>
  <c r="I253" i="4" s="1"/>
  <c r="X253" i="4"/>
  <c r="AL253" i="4"/>
  <c r="O254" i="4"/>
  <c r="V254" i="4"/>
  <c r="W254" i="4"/>
  <c r="AJ254" i="4"/>
  <c r="AK254" i="4"/>
  <c r="C256" i="4"/>
  <c r="D255" i="4"/>
  <c r="B254" i="4"/>
  <c r="F254" i="4"/>
  <c r="AI254" i="4"/>
  <c r="Q254" i="4"/>
  <c r="T254" i="4"/>
  <c r="E254" i="4"/>
  <c r="L254" i="4"/>
  <c r="J254" i="4"/>
  <c r="M254" i="4"/>
  <c r="P254" i="4"/>
  <c r="S254" i="4"/>
  <c r="H254" i="4"/>
  <c r="K254" i="4"/>
  <c r="N254" i="4"/>
  <c r="R254" i="4"/>
  <c r="U254" i="4"/>
  <c r="AL254" i="4" l="1"/>
  <c r="X254" i="4"/>
  <c r="AA254" i="4" s="1"/>
  <c r="G254" i="4"/>
  <c r="I254" i="4" s="1"/>
  <c r="Y254" i="4"/>
  <c r="Z253" i="4"/>
  <c r="AA253" i="4"/>
  <c r="C257" i="4"/>
  <c r="D256" i="4"/>
  <c r="O256" i="4" s="1"/>
  <c r="B255" i="4"/>
  <c r="P255" i="4"/>
  <c r="K255" i="4"/>
  <c r="S255" i="4"/>
  <c r="AJ255" i="4"/>
  <c r="U255" i="4"/>
  <c r="Q255" i="4"/>
  <c r="R255" i="4"/>
  <c r="O255" i="4"/>
  <c r="V255" i="4"/>
  <c r="M255" i="4"/>
  <c r="W255" i="4"/>
  <c r="AK255" i="4"/>
  <c r="E255" i="4"/>
  <c r="F255" i="4"/>
  <c r="AI255" i="4"/>
  <c r="J255" i="4"/>
  <c r="N255" i="4"/>
  <c r="H255" i="4"/>
  <c r="T255" i="4"/>
  <c r="L255" i="4"/>
  <c r="Z254" i="4" l="1"/>
  <c r="G255" i="4"/>
  <c r="I255" i="4" s="1"/>
  <c r="AL255" i="4"/>
  <c r="X255" i="4"/>
  <c r="AA255" i="4" s="1"/>
  <c r="AI256" i="4"/>
  <c r="V256" i="4"/>
  <c r="AK256" i="4"/>
  <c r="U256" i="4"/>
  <c r="D257" i="4"/>
  <c r="C258" i="4"/>
  <c r="Y255" i="4"/>
  <c r="B256" i="4"/>
  <c r="H256" i="4"/>
  <c r="J256" i="4"/>
  <c r="K256" i="4"/>
  <c r="M256" i="4"/>
  <c r="N256" i="4"/>
  <c r="P256" i="4"/>
  <c r="Q256" i="4"/>
  <c r="R256" i="4"/>
  <c r="S256" i="4"/>
  <c r="T256" i="4"/>
  <c r="AJ256" i="4"/>
  <c r="E256" i="4"/>
  <c r="L256" i="4"/>
  <c r="F256" i="4"/>
  <c r="W256" i="4"/>
  <c r="L257" i="4" l="1"/>
  <c r="U257" i="4"/>
  <c r="Z255" i="4"/>
  <c r="AL256" i="4"/>
  <c r="X256" i="4"/>
  <c r="AA256" i="4" s="1"/>
  <c r="Y256" i="4"/>
  <c r="E257" i="4"/>
  <c r="H257" i="4"/>
  <c r="O257" i="4"/>
  <c r="J257" i="4"/>
  <c r="W257" i="4"/>
  <c r="Y257" i="4" s="1"/>
  <c r="AJ257" i="4"/>
  <c r="AK257" i="4"/>
  <c r="AI257" i="4"/>
  <c r="C259" i="4"/>
  <c r="D258" i="4"/>
  <c r="G256" i="4"/>
  <c r="I256" i="4" s="1"/>
  <c r="B257" i="4"/>
  <c r="K257" i="4"/>
  <c r="M257" i="4"/>
  <c r="N257" i="4"/>
  <c r="P257" i="4"/>
  <c r="Q257" i="4"/>
  <c r="R257" i="4"/>
  <c r="F257" i="4"/>
  <c r="S257" i="4"/>
  <c r="T257" i="4"/>
  <c r="V257" i="4"/>
  <c r="E258" i="4" l="1"/>
  <c r="AI258" i="4"/>
  <c r="H258" i="4"/>
  <c r="J258" i="4"/>
  <c r="K258" i="4"/>
  <c r="G257" i="4"/>
  <c r="I257" i="4" s="1"/>
  <c r="Z256" i="4"/>
  <c r="AL257" i="4"/>
  <c r="F258" i="4"/>
  <c r="G258" i="4" s="1"/>
  <c r="L258" i="4"/>
  <c r="O258" i="4"/>
  <c r="M258" i="4"/>
  <c r="N258" i="4"/>
  <c r="P258" i="4"/>
  <c r="Q258" i="4"/>
  <c r="R258" i="4"/>
  <c r="S258" i="4"/>
  <c r="T258" i="4"/>
  <c r="U258" i="4"/>
  <c r="C260" i="4"/>
  <c r="D259" i="4"/>
  <c r="X257" i="4"/>
  <c r="B258" i="4"/>
  <c r="V258" i="4"/>
  <c r="W258" i="4"/>
  <c r="AJ258" i="4"/>
  <c r="AK258" i="4"/>
  <c r="AL258" i="4" s="1"/>
  <c r="I258" i="4" l="1"/>
  <c r="W259" i="4"/>
  <c r="L259" i="4"/>
  <c r="Y258" i="4"/>
  <c r="X258" i="4"/>
  <c r="AA258" i="4" s="1"/>
  <c r="C261" i="4"/>
  <c r="D260" i="4"/>
  <c r="Z257" i="4"/>
  <c r="AA257" i="4"/>
  <c r="B259" i="4"/>
  <c r="F259" i="4"/>
  <c r="H259" i="4"/>
  <c r="E259" i="4"/>
  <c r="O259" i="4"/>
  <c r="AI259" i="4"/>
  <c r="J259" i="4"/>
  <c r="K259" i="4"/>
  <c r="M259" i="4"/>
  <c r="R259" i="4"/>
  <c r="T259" i="4"/>
  <c r="V259" i="4"/>
  <c r="N259" i="4"/>
  <c r="P259" i="4"/>
  <c r="Q259" i="4"/>
  <c r="S259" i="4"/>
  <c r="U259" i="4"/>
  <c r="AJ259" i="4"/>
  <c r="AK259" i="4"/>
  <c r="Y259" i="4" l="1"/>
  <c r="R260" i="4"/>
  <c r="S260" i="4"/>
  <c r="T260" i="4"/>
  <c r="U260" i="4"/>
  <c r="AL259" i="4"/>
  <c r="Z258" i="4"/>
  <c r="G259" i="4"/>
  <c r="I259" i="4" s="1"/>
  <c r="V260" i="4"/>
  <c r="W260" i="4"/>
  <c r="AJ260" i="4"/>
  <c r="AK260" i="4"/>
  <c r="AI260" i="4"/>
  <c r="D261" i="4"/>
  <c r="F261" i="4" s="1"/>
  <c r="C262" i="4"/>
  <c r="X259" i="4"/>
  <c r="B260" i="4"/>
  <c r="H260" i="4"/>
  <c r="E260" i="4"/>
  <c r="K260" i="4"/>
  <c r="J260" i="4"/>
  <c r="N260" i="4"/>
  <c r="Q260" i="4"/>
  <c r="F260" i="4"/>
  <c r="O260" i="4"/>
  <c r="L260" i="4"/>
  <c r="M260" i="4"/>
  <c r="P260" i="4"/>
  <c r="X260" i="4" l="1"/>
  <c r="AA260" i="4" s="1"/>
  <c r="Y260" i="4"/>
  <c r="E261" i="4"/>
  <c r="G261" i="4" s="1"/>
  <c r="L261" i="4"/>
  <c r="H261" i="4"/>
  <c r="O261" i="4"/>
  <c r="AI261" i="4"/>
  <c r="M261" i="4"/>
  <c r="N261" i="4"/>
  <c r="AL260" i="4"/>
  <c r="P261" i="4"/>
  <c r="Q261" i="4"/>
  <c r="R261" i="4"/>
  <c r="S261" i="4"/>
  <c r="T261" i="4"/>
  <c r="U261" i="4"/>
  <c r="C263" i="4"/>
  <c r="D262" i="4"/>
  <c r="AA259" i="4"/>
  <c r="Z259" i="4"/>
  <c r="G260" i="4"/>
  <c r="I260" i="4" s="1"/>
  <c r="B261" i="4"/>
  <c r="J261" i="4"/>
  <c r="K261" i="4"/>
  <c r="AK261" i="4"/>
  <c r="V261" i="4"/>
  <c r="W261" i="4"/>
  <c r="AJ261" i="4"/>
  <c r="Z260" i="4" l="1"/>
  <c r="I261" i="4"/>
  <c r="AL261" i="4"/>
  <c r="L262" i="4"/>
  <c r="U262" i="4"/>
  <c r="W262" i="4"/>
  <c r="AK262" i="4"/>
  <c r="T262" i="4"/>
  <c r="X261" i="4"/>
  <c r="AA261" i="4" s="1"/>
  <c r="Y261" i="4"/>
  <c r="D263" i="4"/>
  <c r="C264" i="4"/>
  <c r="B262" i="4"/>
  <c r="E262" i="4"/>
  <c r="O262" i="4"/>
  <c r="N262" i="4"/>
  <c r="P262" i="4"/>
  <c r="R262" i="4"/>
  <c r="AI262" i="4"/>
  <c r="J262" i="4"/>
  <c r="S262" i="4"/>
  <c r="F262" i="4"/>
  <c r="K262" i="4"/>
  <c r="M262" i="4"/>
  <c r="H262" i="4"/>
  <c r="Q262" i="4"/>
  <c r="V262" i="4"/>
  <c r="AJ262" i="4"/>
  <c r="Y262" i="4" l="1"/>
  <c r="X262" i="4"/>
  <c r="AA262" i="4" s="1"/>
  <c r="AL262" i="4"/>
  <c r="E263" i="4"/>
  <c r="AI263" i="4"/>
  <c r="F263" i="4"/>
  <c r="J263" i="4"/>
  <c r="K263" i="4"/>
  <c r="L263" i="4"/>
  <c r="M263" i="4"/>
  <c r="N263" i="4"/>
  <c r="P263" i="4"/>
  <c r="Q263" i="4"/>
  <c r="R263" i="4"/>
  <c r="S263" i="4"/>
  <c r="T263" i="4"/>
  <c r="AJ263" i="4"/>
  <c r="AK263" i="4"/>
  <c r="Z261" i="4"/>
  <c r="U263" i="4"/>
  <c r="V263" i="4"/>
  <c r="W263" i="4"/>
  <c r="C265" i="4"/>
  <c r="D264" i="4"/>
  <c r="AI264" i="4" s="1"/>
  <c r="G262" i="4"/>
  <c r="I262" i="4" s="1"/>
  <c r="B263" i="4"/>
  <c r="H263" i="4"/>
  <c r="O263" i="4"/>
  <c r="AL263" i="4" l="1"/>
  <c r="Z262" i="4"/>
  <c r="G263" i="4"/>
  <c r="I263" i="4" s="1"/>
  <c r="Y263" i="4"/>
  <c r="X263" i="4"/>
  <c r="U264" i="4"/>
  <c r="AK264" i="4"/>
  <c r="AL264" i="4" s="1"/>
  <c r="C266" i="4"/>
  <c r="D265" i="4"/>
  <c r="B264" i="4"/>
  <c r="N264" i="4"/>
  <c r="K264" i="4"/>
  <c r="P264" i="4"/>
  <c r="Q264" i="4"/>
  <c r="R264" i="4"/>
  <c r="S264" i="4"/>
  <c r="T264" i="4"/>
  <c r="V264" i="4"/>
  <c r="W264" i="4"/>
  <c r="L264" i="4"/>
  <c r="M264" i="4"/>
  <c r="E264" i="4"/>
  <c r="O264" i="4"/>
  <c r="F264" i="4"/>
  <c r="H264" i="4"/>
  <c r="J264" i="4"/>
  <c r="AJ264" i="4"/>
  <c r="G264" i="4" l="1"/>
  <c r="I264" i="4" s="1"/>
  <c r="Z263" i="4"/>
  <c r="AA263" i="4"/>
  <c r="X264" i="4"/>
  <c r="Y264" i="4"/>
  <c r="C267" i="4"/>
  <c r="D266" i="4"/>
  <c r="AJ266" i="4" s="1"/>
  <c r="B265" i="4"/>
  <c r="F265" i="4"/>
  <c r="J265" i="4"/>
  <c r="S265" i="4"/>
  <c r="E265" i="4"/>
  <c r="H265" i="4"/>
  <c r="L265" i="4"/>
  <c r="K265" i="4"/>
  <c r="T265" i="4"/>
  <c r="M265" i="4"/>
  <c r="P265" i="4"/>
  <c r="R265" i="4"/>
  <c r="U265" i="4"/>
  <c r="V265" i="4"/>
  <c r="W265" i="4"/>
  <c r="AJ265" i="4"/>
  <c r="N265" i="4"/>
  <c r="Q265" i="4"/>
  <c r="AK265" i="4"/>
  <c r="O265" i="4"/>
  <c r="AI265" i="4"/>
  <c r="AA264" i="4" l="1"/>
  <c r="Z264" i="4"/>
  <c r="S266" i="4"/>
  <c r="T266" i="4"/>
  <c r="U266" i="4"/>
  <c r="V266" i="4"/>
  <c r="W266" i="4"/>
  <c r="AK266" i="4"/>
  <c r="D267" i="4"/>
  <c r="F267" i="4" s="1"/>
  <c r="C268" i="4"/>
  <c r="AL265" i="4"/>
  <c r="G265" i="4"/>
  <c r="I265" i="4" s="1"/>
  <c r="X265" i="4"/>
  <c r="AA265" i="4" s="1"/>
  <c r="Y265" i="4"/>
  <c r="B266" i="4"/>
  <c r="H266" i="4"/>
  <c r="J266" i="4"/>
  <c r="O266" i="4"/>
  <c r="E266" i="4"/>
  <c r="L266" i="4"/>
  <c r="AI266" i="4"/>
  <c r="K266" i="4"/>
  <c r="M266" i="4"/>
  <c r="N266" i="4"/>
  <c r="P266" i="4"/>
  <c r="F266" i="4"/>
  <c r="Q266" i="4"/>
  <c r="R266" i="4"/>
  <c r="X266" i="4" l="1"/>
  <c r="AA266" i="4" s="1"/>
  <c r="Y266" i="4"/>
  <c r="Z265" i="4"/>
  <c r="AL266" i="4"/>
  <c r="L267" i="4"/>
  <c r="H267" i="4"/>
  <c r="U267" i="4"/>
  <c r="V267" i="4"/>
  <c r="W267" i="4"/>
  <c r="C269" i="4"/>
  <c r="D268" i="4"/>
  <c r="E268" i="4" s="1"/>
  <c r="G266" i="4"/>
  <c r="I266" i="4" s="1"/>
  <c r="B267" i="4"/>
  <c r="J267" i="4"/>
  <c r="P267" i="4"/>
  <c r="R267" i="4"/>
  <c r="O267" i="4"/>
  <c r="AK267" i="4"/>
  <c r="N267" i="4"/>
  <c r="S267" i="4"/>
  <c r="K267" i="4"/>
  <c r="AI267" i="4"/>
  <c r="E267" i="4"/>
  <c r="G267" i="4" s="1"/>
  <c r="M267" i="4"/>
  <c r="Q267" i="4"/>
  <c r="T267" i="4"/>
  <c r="AJ267" i="4"/>
  <c r="Z266" i="4" l="1"/>
  <c r="Y267" i="4"/>
  <c r="I267" i="4"/>
  <c r="X267" i="4"/>
  <c r="D269" i="4"/>
  <c r="C270" i="4"/>
  <c r="AL267" i="4"/>
  <c r="B268" i="4"/>
  <c r="H268" i="4"/>
  <c r="O268" i="4"/>
  <c r="J268" i="4"/>
  <c r="K268" i="4"/>
  <c r="L268" i="4"/>
  <c r="M268" i="4"/>
  <c r="N268" i="4"/>
  <c r="P268" i="4"/>
  <c r="Q268" i="4"/>
  <c r="R268" i="4"/>
  <c r="U268" i="4"/>
  <c r="F268" i="4"/>
  <c r="G268" i="4" s="1"/>
  <c r="W268" i="4"/>
  <c r="T268" i="4"/>
  <c r="AI268" i="4"/>
  <c r="AJ268" i="4"/>
  <c r="S268" i="4"/>
  <c r="V268" i="4"/>
  <c r="AK268" i="4"/>
  <c r="Y268" i="4" l="1"/>
  <c r="P269" i="4"/>
  <c r="AJ269" i="4"/>
  <c r="AK269" i="4"/>
  <c r="AL268" i="4"/>
  <c r="Z267" i="4"/>
  <c r="AA267" i="4"/>
  <c r="C271" i="4"/>
  <c r="D270" i="4"/>
  <c r="S270" i="4" s="1"/>
  <c r="Q270" i="4"/>
  <c r="X268" i="4"/>
  <c r="I268" i="4"/>
  <c r="B269" i="4"/>
  <c r="O269" i="4"/>
  <c r="E269" i="4"/>
  <c r="AI269" i="4"/>
  <c r="F269" i="4"/>
  <c r="L269" i="4"/>
  <c r="J269" i="4"/>
  <c r="M269" i="4"/>
  <c r="N269" i="4"/>
  <c r="V269" i="4"/>
  <c r="H269" i="4"/>
  <c r="K269" i="4"/>
  <c r="S269" i="4"/>
  <c r="T269" i="4"/>
  <c r="W269" i="4"/>
  <c r="R269" i="4"/>
  <c r="U269" i="4"/>
  <c r="Q269" i="4"/>
  <c r="F270" i="4" l="1"/>
  <c r="AI270" i="4"/>
  <c r="E270" i="4"/>
  <c r="AL269" i="4"/>
  <c r="Y269" i="4"/>
  <c r="K270" i="4"/>
  <c r="M270" i="4"/>
  <c r="V270" i="4"/>
  <c r="AJ270" i="4"/>
  <c r="AK270" i="4"/>
  <c r="H270" i="4"/>
  <c r="J270" i="4"/>
  <c r="O270" i="4"/>
  <c r="P270" i="4"/>
  <c r="U270" i="4"/>
  <c r="W270" i="4"/>
  <c r="N270" i="4"/>
  <c r="L270" i="4"/>
  <c r="C272" i="4"/>
  <c r="D271" i="4"/>
  <c r="Z268" i="4"/>
  <c r="AA268" i="4"/>
  <c r="G269" i="4"/>
  <c r="I269" i="4" s="1"/>
  <c r="X269" i="4"/>
  <c r="B270" i="4"/>
  <c r="R270" i="4"/>
  <c r="T270" i="4"/>
  <c r="AL270" i="4" l="1"/>
  <c r="G270" i="4"/>
  <c r="I270" i="4" s="1"/>
  <c r="AI271" i="4"/>
  <c r="E271" i="4"/>
  <c r="Y270" i="4"/>
  <c r="X270" i="4"/>
  <c r="AA270" i="4" s="1"/>
  <c r="T271" i="4"/>
  <c r="U271" i="4"/>
  <c r="V271" i="4"/>
  <c r="W271" i="4"/>
  <c r="D272" i="4"/>
  <c r="C273" i="4"/>
  <c r="AA269" i="4"/>
  <c r="Z269" i="4"/>
  <c r="B271" i="4"/>
  <c r="L271" i="4"/>
  <c r="O271" i="4"/>
  <c r="F271" i="4"/>
  <c r="H271" i="4"/>
  <c r="J271" i="4"/>
  <c r="K271" i="4"/>
  <c r="M271" i="4"/>
  <c r="N271" i="4"/>
  <c r="P271" i="4"/>
  <c r="Q271" i="4"/>
  <c r="R271" i="4"/>
  <c r="S271" i="4"/>
  <c r="AJ271" i="4"/>
  <c r="AK271" i="4"/>
  <c r="Z270" i="4" l="1"/>
  <c r="G271" i="4"/>
  <c r="I271" i="4" s="1"/>
  <c r="AL271" i="4"/>
  <c r="X271" i="4"/>
  <c r="AA271" i="4" s="1"/>
  <c r="Y271" i="4"/>
  <c r="N272" i="4"/>
  <c r="E272" i="4"/>
  <c r="F272" i="4"/>
  <c r="T272" i="4"/>
  <c r="AK272" i="4"/>
  <c r="W272" i="4"/>
  <c r="AJ272" i="4"/>
  <c r="C274" i="4"/>
  <c r="D273" i="4"/>
  <c r="B272" i="4"/>
  <c r="L272" i="4"/>
  <c r="J272" i="4"/>
  <c r="P272" i="4"/>
  <c r="S272" i="4"/>
  <c r="O272" i="4"/>
  <c r="U272" i="4"/>
  <c r="K272" i="4"/>
  <c r="Q272" i="4"/>
  <c r="AI272" i="4"/>
  <c r="M272" i="4"/>
  <c r="R272" i="4"/>
  <c r="V272" i="4"/>
  <c r="H272" i="4"/>
  <c r="G272" i="4" l="1"/>
  <c r="I272" i="4" s="1"/>
  <c r="Z271" i="4"/>
  <c r="Y272" i="4"/>
  <c r="AL272" i="4"/>
  <c r="X272" i="4"/>
  <c r="F273" i="4"/>
  <c r="H273" i="4"/>
  <c r="J273" i="4"/>
  <c r="K273" i="4"/>
  <c r="L273" i="4"/>
  <c r="M273" i="4"/>
  <c r="N273" i="4"/>
  <c r="R273" i="4"/>
  <c r="W273" i="4"/>
  <c r="AJ273" i="4"/>
  <c r="AK273" i="4"/>
  <c r="AI273" i="4"/>
  <c r="O273" i="4"/>
  <c r="C275" i="4"/>
  <c r="D274" i="4"/>
  <c r="AK274" i="4" s="1"/>
  <c r="B273" i="4"/>
  <c r="Q273" i="4"/>
  <c r="S273" i="4"/>
  <c r="U273" i="4"/>
  <c r="V273" i="4"/>
  <c r="P273" i="4"/>
  <c r="T273" i="4"/>
  <c r="E273" i="4"/>
  <c r="AL273" i="4" l="1"/>
  <c r="X273" i="4"/>
  <c r="AA273" i="4" s="1"/>
  <c r="Y273" i="4"/>
  <c r="G273" i="4"/>
  <c r="I273" i="4" s="1"/>
  <c r="AA272" i="4"/>
  <c r="Z272" i="4"/>
  <c r="C276" i="4"/>
  <c r="D275" i="4"/>
  <c r="B274" i="4"/>
  <c r="U274" i="4"/>
  <c r="W274" i="4"/>
  <c r="V274" i="4"/>
  <c r="L274" i="4"/>
  <c r="K274" i="4"/>
  <c r="M274" i="4"/>
  <c r="Q274" i="4"/>
  <c r="E274" i="4"/>
  <c r="T274" i="4"/>
  <c r="F274" i="4"/>
  <c r="J274" i="4"/>
  <c r="O274" i="4"/>
  <c r="N274" i="4"/>
  <c r="P274" i="4"/>
  <c r="R274" i="4"/>
  <c r="S274" i="4"/>
  <c r="H274" i="4"/>
  <c r="AI274" i="4"/>
  <c r="AL274" i="4" s="1"/>
  <c r="AJ274" i="4"/>
  <c r="H275" i="4" l="1"/>
  <c r="N275" i="4"/>
  <c r="K275" i="4"/>
  <c r="Z273" i="4"/>
  <c r="AK275" i="4"/>
  <c r="R275" i="4"/>
  <c r="F275" i="4"/>
  <c r="Y274" i="4"/>
  <c r="D276" i="4"/>
  <c r="C277" i="4"/>
  <c r="X274" i="4"/>
  <c r="G274" i="4"/>
  <c r="I274" i="4" s="1"/>
  <c r="B275" i="4"/>
  <c r="J275" i="4"/>
  <c r="M275" i="4"/>
  <c r="P275" i="4"/>
  <c r="Q275" i="4"/>
  <c r="S275" i="4"/>
  <c r="T275" i="4"/>
  <c r="V275" i="4"/>
  <c r="W275" i="4"/>
  <c r="AJ275" i="4"/>
  <c r="E275" i="4"/>
  <c r="L275" i="4"/>
  <c r="O275" i="4"/>
  <c r="U275" i="4"/>
  <c r="AI275" i="4"/>
  <c r="L276" i="4" l="1"/>
  <c r="E276" i="4"/>
  <c r="AL275" i="4"/>
  <c r="G275" i="4"/>
  <c r="I275" i="4" s="1"/>
  <c r="T276" i="4"/>
  <c r="AI276" i="4"/>
  <c r="Y275" i="4"/>
  <c r="J276" i="4"/>
  <c r="K276" i="4"/>
  <c r="M276" i="4"/>
  <c r="N276" i="4"/>
  <c r="P276" i="4"/>
  <c r="F276" i="4"/>
  <c r="G276" i="4" s="1"/>
  <c r="Q276" i="4"/>
  <c r="R276" i="4"/>
  <c r="U276" i="4"/>
  <c r="V276" i="4"/>
  <c r="W276" i="4"/>
  <c r="AJ276" i="4"/>
  <c r="C278" i="4"/>
  <c r="D277" i="4"/>
  <c r="J277" i="4" s="1"/>
  <c r="Z274" i="4"/>
  <c r="AA274" i="4"/>
  <c r="X275" i="4"/>
  <c r="B276" i="4"/>
  <c r="S276" i="4"/>
  <c r="AK276" i="4"/>
  <c r="H276" i="4"/>
  <c r="O276" i="4"/>
  <c r="X276" i="4" l="1"/>
  <c r="AA276" i="4" s="1"/>
  <c r="AL276" i="4"/>
  <c r="Y276" i="4"/>
  <c r="I276" i="4"/>
  <c r="C279" i="4"/>
  <c r="D278" i="4"/>
  <c r="M278" i="4" s="1"/>
  <c r="AA275" i="4"/>
  <c r="Z275" i="4"/>
  <c r="B277" i="4"/>
  <c r="K277" i="4"/>
  <c r="M277" i="4"/>
  <c r="N277" i="4"/>
  <c r="P277" i="4"/>
  <c r="Q277" i="4"/>
  <c r="R277" i="4"/>
  <c r="L277" i="4"/>
  <c r="S277" i="4"/>
  <c r="T277" i="4"/>
  <c r="U277" i="4"/>
  <c r="V277" i="4"/>
  <c r="W277" i="4"/>
  <c r="AJ277" i="4"/>
  <c r="AK277" i="4"/>
  <c r="O277" i="4"/>
  <c r="E277" i="4"/>
  <c r="AI277" i="4"/>
  <c r="F277" i="4"/>
  <c r="H277" i="4"/>
  <c r="Z276" i="4" l="1"/>
  <c r="AL277" i="4"/>
  <c r="H278" i="4"/>
  <c r="Q278" i="4"/>
  <c r="R278" i="4"/>
  <c r="S278" i="4"/>
  <c r="E278" i="4"/>
  <c r="F278" i="4"/>
  <c r="J278" i="4"/>
  <c r="K278" i="4"/>
  <c r="L278" i="4"/>
  <c r="O278" i="4"/>
  <c r="N278" i="4"/>
  <c r="P278" i="4"/>
  <c r="AI278" i="4"/>
  <c r="D279" i="4"/>
  <c r="U279" i="4"/>
  <c r="C280" i="4"/>
  <c r="X277" i="4"/>
  <c r="AA277" i="4" s="1"/>
  <c r="Y277" i="4"/>
  <c r="G277" i="4"/>
  <c r="I277" i="4" s="1"/>
  <c r="B278" i="4"/>
  <c r="T278" i="4"/>
  <c r="U278" i="4"/>
  <c r="V278" i="4"/>
  <c r="W278" i="4"/>
  <c r="AJ278" i="4"/>
  <c r="AK278" i="4"/>
  <c r="F279" i="4" l="1"/>
  <c r="V279" i="4"/>
  <c r="W279" i="4"/>
  <c r="Y279" i="4" s="1"/>
  <c r="AK279" i="4"/>
  <c r="AJ279" i="4"/>
  <c r="E279" i="4"/>
  <c r="G278" i="4"/>
  <c r="I278" i="4" s="1"/>
  <c r="H279" i="4"/>
  <c r="L279" i="4"/>
  <c r="O279" i="4"/>
  <c r="AI279" i="4"/>
  <c r="J279" i="4"/>
  <c r="K279" i="4"/>
  <c r="AL278" i="4"/>
  <c r="M279" i="4"/>
  <c r="N279" i="4"/>
  <c r="D280" i="4"/>
  <c r="C281" i="4"/>
  <c r="Z277" i="4"/>
  <c r="X278" i="4"/>
  <c r="AA278" i="4" s="1"/>
  <c r="Y278" i="4"/>
  <c r="B279" i="4"/>
  <c r="P279" i="4"/>
  <c r="Q279" i="4"/>
  <c r="R279" i="4"/>
  <c r="S279" i="4"/>
  <c r="T279" i="4"/>
  <c r="G279" i="4" l="1"/>
  <c r="I279" i="4" s="1"/>
  <c r="AL279" i="4"/>
  <c r="X279" i="4"/>
  <c r="Z278" i="4"/>
  <c r="L280" i="4"/>
  <c r="AJ280" i="4"/>
  <c r="AK280" i="4"/>
  <c r="C282" i="4"/>
  <c r="D281" i="4"/>
  <c r="B280" i="4"/>
  <c r="E280" i="4"/>
  <c r="K280" i="4"/>
  <c r="H280" i="4"/>
  <c r="M280" i="4"/>
  <c r="P280" i="4"/>
  <c r="Q280" i="4"/>
  <c r="F280" i="4"/>
  <c r="T280" i="4"/>
  <c r="J280" i="4"/>
  <c r="N280" i="4"/>
  <c r="S280" i="4"/>
  <c r="V280" i="4"/>
  <c r="O280" i="4"/>
  <c r="AI280" i="4"/>
  <c r="R280" i="4"/>
  <c r="U280" i="4"/>
  <c r="W280" i="4"/>
  <c r="AA279" i="4" l="1"/>
  <c r="Z279" i="4"/>
  <c r="AL280" i="4"/>
  <c r="C283" i="4"/>
  <c r="D282" i="4"/>
  <c r="Y280" i="4"/>
  <c r="G280" i="4"/>
  <c r="I280" i="4" s="1"/>
  <c r="X280" i="4"/>
  <c r="AA280" i="4" s="1"/>
  <c r="B281" i="4"/>
  <c r="L281" i="4"/>
  <c r="O281" i="4"/>
  <c r="H281" i="4"/>
  <c r="K281" i="4"/>
  <c r="J281" i="4"/>
  <c r="N281" i="4"/>
  <c r="Q281" i="4"/>
  <c r="S281" i="4"/>
  <c r="U281" i="4"/>
  <c r="AK281" i="4"/>
  <c r="W281" i="4"/>
  <c r="V281" i="4"/>
  <c r="AJ281" i="4"/>
  <c r="AI281" i="4"/>
  <c r="E281" i="4"/>
  <c r="F281" i="4"/>
  <c r="M281" i="4"/>
  <c r="P281" i="4"/>
  <c r="R281" i="4"/>
  <c r="T281" i="4"/>
  <c r="X281" i="4" l="1"/>
  <c r="AA281" i="4" s="1"/>
  <c r="Y281" i="4"/>
  <c r="AL281" i="4"/>
  <c r="G281" i="4"/>
  <c r="I281" i="4" s="1"/>
  <c r="S282" i="4"/>
  <c r="T282" i="4"/>
  <c r="U282" i="4"/>
  <c r="D283" i="4"/>
  <c r="C284" i="4"/>
  <c r="Z280" i="4"/>
  <c r="B282" i="4"/>
  <c r="E282" i="4"/>
  <c r="Q282" i="4"/>
  <c r="V282" i="4"/>
  <c r="W282" i="4"/>
  <c r="AJ282" i="4"/>
  <c r="AK282" i="4"/>
  <c r="L282" i="4"/>
  <c r="R282" i="4"/>
  <c r="J282" i="4"/>
  <c r="AI282" i="4"/>
  <c r="F282" i="4"/>
  <c r="H282" i="4"/>
  <c r="K282" i="4"/>
  <c r="O282" i="4"/>
  <c r="M282" i="4"/>
  <c r="N282" i="4"/>
  <c r="P282" i="4"/>
  <c r="Z281" i="4" l="1"/>
  <c r="J283" i="4"/>
  <c r="E283" i="4"/>
  <c r="F283" i="4"/>
  <c r="H283" i="4"/>
  <c r="O283" i="4"/>
  <c r="AI283" i="4"/>
  <c r="G282" i="4"/>
  <c r="I282" i="4" s="1"/>
  <c r="X282" i="4"/>
  <c r="AA282" i="4" s="1"/>
  <c r="Y282" i="4"/>
  <c r="AL282" i="4"/>
  <c r="D284" i="4"/>
  <c r="W284" i="4" s="1"/>
  <c r="C285" i="4"/>
  <c r="B283" i="4"/>
  <c r="S283" i="4"/>
  <c r="T283" i="4"/>
  <c r="U283" i="4"/>
  <c r="V283" i="4"/>
  <c r="W283" i="4"/>
  <c r="AJ283" i="4"/>
  <c r="AK283" i="4"/>
  <c r="K283" i="4"/>
  <c r="L283" i="4"/>
  <c r="M283" i="4"/>
  <c r="N283" i="4"/>
  <c r="P283" i="4"/>
  <c r="Q283" i="4"/>
  <c r="R283" i="4"/>
  <c r="Z282" i="4" l="1"/>
  <c r="G283" i="4"/>
  <c r="I283" i="4" s="1"/>
  <c r="AL283" i="4"/>
  <c r="X283" i="4"/>
  <c r="AA283" i="4" s="1"/>
  <c r="H284" i="4"/>
  <c r="E284" i="4"/>
  <c r="J284" i="4"/>
  <c r="K284" i="4"/>
  <c r="M284" i="4"/>
  <c r="N284" i="4"/>
  <c r="Q284" i="4"/>
  <c r="R284" i="4"/>
  <c r="S284" i="4"/>
  <c r="T284" i="4"/>
  <c r="U284" i="4"/>
  <c r="Y284" i="4" s="1"/>
  <c r="V284" i="4"/>
  <c r="P284" i="4"/>
  <c r="O284" i="4"/>
  <c r="C286" i="4"/>
  <c r="D285" i="4"/>
  <c r="W285" i="4" s="1"/>
  <c r="Y283" i="4"/>
  <c r="B284" i="4"/>
  <c r="L284" i="4"/>
  <c r="F284" i="4"/>
  <c r="AI284" i="4"/>
  <c r="AJ284" i="4"/>
  <c r="AK284" i="4"/>
  <c r="X284" i="4" l="1"/>
  <c r="G284" i="4"/>
  <c r="I284" i="4" s="1"/>
  <c r="Z283" i="4"/>
  <c r="AL284" i="4"/>
  <c r="AJ285" i="4"/>
  <c r="AK285" i="4"/>
  <c r="C287" i="4"/>
  <c r="D286" i="4"/>
  <c r="T286" i="4" s="1"/>
  <c r="B285" i="4"/>
  <c r="U285" i="4"/>
  <c r="Y285" i="4" s="1"/>
  <c r="V285" i="4"/>
  <c r="L285" i="4"/>
  <c r="AI285" i="4"/>
  <c r="E285" i="4"/>
  <c r="F285" i="4"/>
  <c r="H285" i="4"/>
  <c r="J285" i="4"/>
  <c r="K285" i="4"/>
  <c r="M285" i="4"/>
  <c r="N285" i="4"/>
  <c r="Q285" i="4"/>
  <c r="P285" i="4"/>
  <c r="O285" i="4"/>
  <c r="R285" i="4"/>
  <c r="S285" i="4"/>
  <c r="T285" i="4"/>
  <c r="AA284" i="4" l="1"/>
  <c r="Z284" i="4"/>
  <c r="AL285" i="4"/>
  <c r="Q286" i="4"/>
  <c r="S286" i="4"/>
  <c r="R286" i="4"/>
  <c r="X285" i="4"/>
  <c r="C288" i="4"/>
  <c r="D287" i="4"/>
  <c r="G285" i="4"/>
  <c r="I285" i="4" s="1"/>
  <c r="B286" i="4"/>
  <c r="L286" i="4"/>
  <c r="P286" i="4"/>
  <c r="V286" i="4"/>
  <c r="X286" i="4" s="1"/>
  <c r="U286" i="4"/>
  <c r="W286" i="4"/>
  <c r="E286" i="4"/>
  <c r="M286" i="4"/>
  <c r="AJ286" i="4"/>
  <c r="AI286" i="4"/>
  <c r="F286" i="4"/>
  <c r="H286" i="4"/>
  <c r="J286" i="4"/>
  <c r="K286" i="4"/>
  <c r="O286" i="4"/>
  <c r="N286" i="4"/>
  <c r="AK286" i="4"/>
  <c r="AL286" i="4" l="1"/>
  <c r="J287" i="4"/>
  <c r="H287" i="4"/>
  <c r="O287" i="4"/>
  <c r="G286" i="4"/>
  <c r="I286" i="4" s="1"/>
  <c r="Z285" i="4"/>
  <c r="AA285" i="4"/>
  <c r="D288" i="4"/>
  <c r="V288" i="4" s="1"/>
  <c r="C289" i="4"/>
  <c r="AA286" i="4"/>
  <c r="Y286" i="4"/>
  <c r="Z286" i="4" s="1"/>
  <c r="B287" i="4"/>
  <c r="E287" i="4"/>
  <c r="F287" i="4"/>
  <c r="S287" i="4"/>
  <c r="T287" i="4"/>
  <c r="U287" i="4"/>
  <c r="K287" i="4"/>
  <c r="M287" i="4"/>
  <c r="P287" i="4"/>
  <c r="R287" i="4"/>
  <c r="V287" i="4"/>
  <c r="W287" i="4"/>
  <c r="AJ287" i="4"/>
  <c r="AK287" i="4"/>
  <c r="L287" i="4"/>
  <c r="N287" i="4"/>
  <c r="Q287" i="4"/>
  <c r="AI287" i="4"/>
  <c r="X287" i="4" l="1"/>
  <c r="AA287" i="4" s="1"/>
  <c r="AL287" i="4"/>
  <c r="C290" i="4"/>
  <c r="D289" i="4"/>
  <c r="G287" i="4"/>
  <c r="I287" i="4" s="1"/>
  <c r="Y287" i="4"/>
  <c r="B288" i="4"/>
  <c r="O288" i="4"/>
  <c r="H288" i="4"/>
  <c r="J288" i="4"/>
  <c r="L288" i="4"/>
  <c r="Q288" i="4"/>
  <c r="AJ288" i="4"/>
  <c r="P288" i="4"/>
  <c r="W288" i="4"/>
  <c r="R288" i="4"/>
  <c r="F288" i="4"/>
  <c r="K288" i="4"/>
  <c r="N288" i="4"/>
  <c r="M288" i="4"/>
  <c r="U288" i="4"/>
  <c r="E288" i="4"/>
  <c r="T288" i="4"/>
  <c r="X288" i="4" s="1"/>
  <c r="AI288" i="4"/>
  <c r="S288" i="4"/>
  <c r="AK288" i="4"/>
  <c r="E289" i="4" l="1"/>
  <c r="F289" i="4"/>
  <c r="AL288" i="4"/>
  <c r="Z287" i="4"/>
  <c r="M289" i="4"/>
  <c r="N289" i="4"/>
  <c r="P289" i="4"/>
  <c r="Q289" i="4"/>
  <c r="R289" i="4"/>
  <c r="S289" i="4"/>
  <c r="T289" i="4"/>
  <c r="AJ289" i="4"/>
  <c r="U289" i="4"/>
  <c r="AA288" i="4"/>
  <c r="G288" i="4"/>
  <c r="I288" i="4" s="1"/>
  <c r="C291" i="4"/>
  <c r="D290" i="4"/>
  <c r="Y288" i="4"/>
  <c r="Z288" i="4" s="1"/>
  <c r="B289" i="4"/>
  <c r="H289" i="4"/>
  <c r="L289" i="4"/>
  <c r="J289" i="4"/>
  <c r="K289" i="4"/>
  <c r="V289" i="4"/>
  <c r="W289" i="4"/>
  <c r="AI289" i="4"/>
  <c r="AK289" i="4"/>
  <c r="O289" i="4"/>
  <c r="G289" i="4" l="1"/>
  <c r="I289" i="4" s="1"/>
  <c r="M290" i="4"/>
  <c r="N290" i="4"/>
  <c r="P290" i="4"/>
  <c r="T290" i="4"/>
  <c r="X289" i="4"/>
  <c r="AA289" i="4" s="1"/>
  <c r="Y289" i="4"/>
  <c r="Q290" i="4"/>
  <c r="R290" i="4"/>
  <c r="S290" i="4"/>
  <c r="E290" i="4"/>
  <c r="L290" i="4"/>
  <c r="AI290" i="4"/>
  <c r="F290" i="4"/>
  <c r="H290" i="4"/>
  <c r="J290" i="4"/>
  <c r="K290" i="4"/>
  <c r="O290" i="4"/>
  <c r="U290" i="4"/>
  <c r="V290" i="4"/>
  <c r="W290" i="4"/>
  <c r="B290" i="4"/>
  <c r="AJ290" i="4"/>
  <c r="AK290" i="4"/>
  <c r="C292" i="4"/>
  <c r="D291" i="4"/>
  <c r="AL289" i="4"/>
  <c r="X290" i="4" l="1"/>
  <c r="AA290" i="4" s="1"/>
  <c r="G290" i="4"/>
  <c r="I290" i="4" s="1"/>
  <c r="Z289" i="4"/>
  <c r="Y290" i="4"/>
  <c r="AL290" i="4"/>
  <c r="T291" i="4"/>
  <c r="R291" i="4"/>
  <c r="D292" i="4"/>
  <c r="E292" i="4" s="1"/>
  <c r="C293" i="4"/>
  <c r="B291" i="4"/>
  <c r="U291" i="4"/>
  <c r="V291" i="4"/>
  <c r="AK291" i="4"/>
  <c r="E291" i="4"/>
  <c r="L291" i="4"/>
  <c r="F291" i="4"/>
  <c r="H291" i="4"/>
  <c r="J291" i="4"/>
  <c r="N291" i="4"/>
  <c r="P291" i="4"/>
  <c r="W291" i="4"/>
  <c r="AJ291" i="4"/>
  <c r="AI291" i="4"/>
  <c r="O291" i="4"/>
  <c r="K291" i="4"/>
  <c r="S291" i="4"/>
  <c r="M291" i="4"/>
  <c r="Q291" i="4"/>
  <c r="Z290" i="4" l="1"/>
  <c r="Y291" i="4"/>
  <c r="AL291" i="4"/>
  <c r="X291" i="4"/>
  <c r="C294" i="4"/>
  <c r="D293" i="4"/>
  <c r="L293" i="4" s="1"/>
  <c r="G291" i="4"/>
  <c r="I291" i="4" s="1"/>
  <c r="B292" i="4"/>
  <c r="O292" i="4"/>
  <c r="F292" i="4"/>
  <c r="G292" i="4" s="1"/>
  <c r="H292" i="4"/>
  <c r="J292" i="4"/>
  <c r="M292" i="4"/>
  <c r="Q292" i="4"/>
  <c r="AI292" i="4"/>
  <c r="K292" i="4"/>
  <c r="N292" i="4"/>
  <c r="P292" i="4"/>
  <c r="R292" i="4"/>
  <c r="U292" i="4"/>
  <c r="V292" i="4"/>
  <c r="W292" i="4"/>
  <c r="AJ292" i="4"/>
  <c r="AK292" i="4"/>
  <c r="L292" i="4"/>
  <c r="S292" i="4"/>
  <c r="T292" i="4"/>
  <c r="AL292" i="4" l="1"/>
  <c r="X292" i="4"/>
  <c r="AA292" i="4" s="1"/>
  <c r="Z291" i="4"/>
  <c r="AA291" i="4"/>
  <c r="D294" i="4"/>
  <c r="T294" i="4"/>
  <c r="W294" i="4"/>
  <c r="AK294" i="4"/>
  <c r="C295" i="4"/>
  <c r="I292" i="4"/>
  <c r="Y292" i="4"/>
  <c r="B293" i="4"/>
  <c r="Q293" i="4"/>
  <c r="S293" i="4"/>
  <c r="AJ293" i="4"/>
  <c r="O293" i="4"/>
  <c r="E293" i="4"/>
  <c r="J293" i="4"/>
  <c r="P293" i="4"/>
  <c r="T293" i="4"/>
  <c r="V293" i="4"/>
  <c r="AK293" i="4"/>
  <c r="M293" i="4"/>
  <c r="H293" i="4"/>
  <c r="F293" i="4"/>
  <c r="K293" i="4"/>
  <c r="R293" i="4"/>
  <c r="U293" i="4"/>
  <c r="W293" i="4"/>
  <c r="AI293" i="4"/>
  <c r="N293" i="4"/>
  <c r="Z292" i="4" l="1"/>
  <c r="AL293" i="4"/>
  <c r="R294" i="4"/>
  <c r="U294" i="4"/>
  <c r="Y294" i="4" s="1"/>
  <c r="X293" i="4"/>
  <c r="AA293" i="4" s="1"/>
  <c r="D295" i="4"/>
  <c r="C296" i="4"/>
  <c r="G293" i="4"/>
  <c r="I293" i="4" s="1"/>
  <c r="Y293" i="4"/>
  <c r="B294" i="4"/>
  <c r="V294" i="4"/>
  <c r="X294" i="4" s="1"/>
  <c r="E294" i="4"/>
  <c r="AI294" i="4"/>
  <c r="AL294" i="4" s="1"/>
  <c r="AJ294" i="4"/>
  <c r="H294" i="4"/>
  <c r="L294" i="4"/>
  <c r="K294" i="4"/>
  <c r="M294" i="4"/>
  <c r="P294" i="4"/>
  <c r="S294" i="4"/>
  <c r="F294" i="4"/>
  <c r="J294" i="4"/>
  <c r="O294" i="4"/>
  <c r="N294" i="4"/>
  <c r="Q294" i="4"/>
  <c r="Z293" i="4" l="1"/>
  <c r="G294" i="4"/>
  <c r="I294" i="4" s="1"/>
  <c r="AA294" i="4"/>
  <c r="Z294" i="4"/>
  <c r="K295" i="4"/>
  <c r="N295" i="4"/>
  <c r="P295" i="4"/>
  <c r="Q295" i="4"/>
  <c r="R295" i="4"/>
  <c r="U295" i="4"/>
  <c r="S295" i="4"/>
  <c r="T295" i="4"/>
  <c r="D296" i="4"/>
  <c r="C297" i="4"/>
  <c r="B295" i="4"/>
  <c r="V295" i="4"/>
  <c r="W295" i="4"/>
  <c r="AI295" i="4"/>
  <c r="AK295" i="4"/>
  <c r="M295" i="4"/>
  <c r="AJ295" i="4"/>
  <c r="L295" i="4"/>
  <c r="E295" i="4"/>
  <c r="H295" i="4"/>
  <c r="F295" i="4"/>
  <c r="O295" i="4"/>
  <c r="J295" i="4"/>
  <c r="AL295" i="4" l="1"/>
  <c r="Y295" i="4"/>
  <c r="X295" i="4"/>
  <c r="L296" i="4"/>
  <c r="F296" i="4"/>
  <c r="H296" i="4"/>
  <c r="J296" i="4"/>
  <c r="K296" i="4"/>
  <c r="M296" i="4"/>
  <c r="N296" i="4"/>
  <c r="P296" i="4"/>
  <c r="Q296" i="4"/>
  <c r="O296" i="4"/>
  <c r="R296" i="4"/>
  <c r="S296" i="4"/>
  <c r="T296" i="4"/>
  <c r="V296" i="4"/>
  <c r="W296" i="4"/>
  <c r="E296" i="4"/>
  <c r="AJ296" i="4"/>
  <c r="U296" i="4"/>
  <c r="AI296" i="4"/>
  <c r="C298" i="4"/>
  <c r="D297" i="4"/>
  <c r="G295" i="4"/>
  <c r="I295" i="4" s="1"/>
  <c r="B296" i="4"/>
  <c r="AK296" i="4"/>
  <c r="G296" i="4" l="1"/>
  <c r="I296" i="4" s="1"/>
  <c r="X296" i="4"/>
  <c r="AA296" i="4" s="1"/>
  <c r="AA295" i="4"/>
  <c r="Z295" i="4"/>
  <c r="Y296" i="4"/>
  <c r="AL296" i="4"/>
  <c r="E297" i="4"/>
  <c r="M297" i="4"/>
  <c r="C299" i="4"/>
  <c r="D298" i="4"/>
  <c r="B297" i="4"/>
  <c r="K297" i="4"/>
  <c r="AI297" i="4"/>
  <c r="P297" i="4"/>
  <c r="R297" i="4"/>
  <c r="U297" i="4"/>
  <c r="W297" i="4"/>
  <c r="L297" i="4"/>
  <c r="H297" i="4"/>
  <c r="N297" i="4"/>
  <c r="T297" i="4"/>
  <c r="AK297" i="4"/>
  <c r="J297" i="4"/>
  <c r="F297" i="4"/>
  <c r="Q297" i="4"/>
  <c r="S297" i="4"/>
  <c r="V297" i="4"/>
  <c r="AJ297" i="4"/>
  <c r="O297" i="4"/>
  <c r="G297" i="4" l="1"/>
  <c r="I297" i="4" s="1"/>
  <c r="Z296" i="4"/>
  <c r="Y297" i="4"/>
  <c r="S298" i="4"/>
  <c r="W298" i="4"/>
  <c r="AJ298" i="4"/>
  <c r="C300" i="4"/>
  <c r="D299" i="4"/>
  <c r="X297" i="4"/>
  <c r="AL297" i="4"/>
  <c r="B298" i="4"/>
  <c r="AI298" i="4"/>
  <c r="J298" i="4"/>
  <c r="K298" i="4"/>
  <c r="L298" i="4"/>
  <c r="M298" i="4"/>
  <c r="N298" i="4"/>
  <c r="P298" i="4"/>
  <c r="T298" i="4"/>
  <c r="Q298" i="4"/>
  <c r="R298" i="4"/>
  <c r="U298" i="4"/>
  <c r="V298" i="4"/>
  <c r="AK298" i="4"/>
  <c r="E298" i="4"/>
  <c r="H298" i="4"/>
  <c r="F298" i="4"/>
  <c r="O298" i="4"/>
  <c r="AL298" i="4" l="1"/>
  <c r="Y298" i="4"/>
  <c r="E299" i="4"/>
  <c r="F299" i="4"/>
  <c r="L299" i="4"/>
  <c r="J299" i="4"/>
  <c r="K299" i="4"/>
  <c r="O299" i="4"/>
  <c r="M299" i="4"/>
  <c r="N299" i="4"/>
  <c r="P299" i="4"/>
  <c r="Q299" i="4"/>
  <c r="H299" i="4"/>
  <c r="R299" i="4"/>
  <c r="D300" i="4"/>
  <c r="F300" i="4" s="1"/>
  <c r="C301" i="4"/>
  <c r="Z297" i="4"/>
  <c r="AA297" i="4"/>
  <c r="X298" i="4"/>
  <c r="G298" i="4"/>
  <c r="I298" i="4" s="1"/>
  <c r="B299" i="4"/>
  <c r="S299" i="4"/>
  <c r="T299" i="4"/>
  <c r="U299" i="4"/>
  <c r="V299" i="4"/>
  <c r="W299" i="4"/>
  <c r="AI299" i="4"/>
  <c r="AJ299" i="4"/>
  <c r="AK299" i="4"/>
  <c r="AL299" i="4" l="1"/>
  <c r="N300" i="4"/>
  <c r="S300" i="4"/>
  <c r="T300" i="4"/>
  <c r="U300" i="4"/>
  <c r="V300" i="4"/>
  <c r="W300" i="4"/>
  <c r="AJ300" i="4"/>
  <c r="AK300" i="4"/>
  <c r="J300" i="4"/>
  <c r="R300" i="4"/>
  <c r="H300" i="4"/>
  <c r="M300" i="4"/>
  <c r="K300" i="4"/>
  <c r="G299" i="4"/>
  <c r="I299" i="4" s="1"/>
  <c r="Y299" i="4"/>
  <c r="P300" i="4"/>
  <c r="Q300" i="4"/>
  <c r="E300" i="4"/>
  <c r="G300" i="4" s="1"/>
  <c r="X299" i="4"/>
  <c r="AI300" i="4"/>
  <c r="O300" i="4"/>
  <c r="C302" i="4"/>
  <c r="D301" i="4"/>
  <c r="AI301" i="4"/>
  <c r="Z298" i="4"/>
  <c r="AA298" i="4"/>
  <c r="B300" i="4"/>
  <c r="L300" i="4"/>
  <c r="X300" i="4" l="1"/>
  <c r="AA300" i="4" s="1"/>
  <c r="Y300" i="4"/>
  <c r="I300" i="4"/>
  <c r="AL300" i="4"/>
  <c r="Z299" i="4"/>
  <c r="AA299" i="4"/>
  <c r="B301" i="4"/>
  <c r="F301" i="4"/>
  <c r="H301" i="4"/>
  <c r="O301" i="4"/>
  <c r="J301" i="4"/>
  <c r="K301" i="4"/>
  <c r="M301" i="4"/>
  <c r="N301" i="4"/>
  <c r="P301" i="4"/>
  <c r="Q301" i="4"/>
  <c r="L301" i="4"/>
  <c r="R301" i="4"/>
  <c r="S301" i="4"/>
  <c r="T301" i="4"/>
  <c r="U301" i="4"/>
  <c r="V301" i="4"/>
  <c r="W301" i="4"/>
  <c r="AJ301" i="4"/>
  <c r="AK301" i="4"/>
  <c r="AL301" i="4" s="1"/>
  <c r="E301" i="4"/>
  <c r="C303" i="4"/>
  <c r="D302" i="4"/>
  <c r="M302" i="4" s="1"/>
  <c r="Z300" i="4" l="1"/>
  <c r="G301" i="4"/>
  <c r="I301" i="4" s="1"/>
  <c r="Y301" i="4"/>
  <c r="X301" i="4"/>
  <c r="D303" i="4"/>
  <c r="C304" i="4"/>
  <c r="B302" i="4"/>
  <c r="T302" i="4"/>
  <c r="V302" i="4"/>
  <c r="AJ302" i="4"/>
  <c r="N302" i="4"/>
  <c r="S302" i="4"/>
  <c r="P302" i="4"/>
  <c r="R302" i="4"/>
  <c r="U302" i="4"/>
  <c r="W302" i="4"/>
  <c r="AK302" i="4"/>
  <c r="E302" i="4"/>
  <c r="F302" i="4"/>
  <c r="H302" i="4"/>
  <c r="AI302" i="4"/>
  <c r="J302" i="4"/>
  <c r="K302" i="4"/>
  <c r="O302" i="4"/>
  <c r="L302" i="4"/>
  <c r="Q302" i="4"/>
  <c r="K303" i="4" l="1"/>
  <c r="M303" i="4"/>
  <c r="N303" i="4"/>
  <c r="P303" i="4"/>
  <c r="AA301" i="4"/>
  <c r="Z301" i="4"/>
  <c r="Y302" i="4"/>
  <c r="G302" i="4"/>
  <c r="I302" i="4" s="1"/>
  <c r="Q303" i="4"/>
  <c r="R303" i="4"/>
  <c r="S303" i="4"/>
  <c r="T303" i="4"/>
  <c r="U303" i="4"/>
  <c r="V303" i="4"/>
  <c r="AI303" i="4"/>
  <c r="AJ303" i="4"/>
  <c r="AK303" i="4"/>
  <c r="O303" i="4"/>
  <c r="D304" i="4"/>
  <c r="C305" i="4"/>
  <c r="H304" i="4"/>
  <c r="O304" i="4"/>
  <c r="J304" i="4"/>
  <c r="U304" i="4"/>
  <c r="V304" i="4"/>
  <c r="AK304" i="4"/>
  <c r="AI304" i="4"/>
  <c r="X302" i="4"/>
  <c r="AL302" i="4"/>
  <c r="B303" i="4"/>
  <c r="W303" i="4"/>
  <c r="F303" i="4"/>
  <c r="H303" i="4"/>
  <c r="L303" i="4"/>
  <c r="J303" i="4"/>
  <c r="E303" i="4"/>
  <c r="W304" i="4" l="1"/>
  <c r="F304" i="4"/>
  <c r="P304" i="4"/>
  <c r="M304" i="4"/>
  <c r="Q304" i="4"/>
  <c r="R304" i="4"/>
  <c r="S304" i="4"/>
  <c r="K304" i="4"/>
  <c r="N304" i="4"/>
  <c r="L304" i="4"/>
  <c r="T304" i="4"/>
  <c r="X304" i="4" s="1"/>
  <c r="E304" i="4"/>
  <c r="G304" i="4" s="1"/>
  <c r="I304" i="4" s="1"/>
  <c r="X303" i="4"/>
  <c r="AA303" i="4" s="1"/>
  <c r="AL304" i="4"/>
  <c r="AL303" i="4"/>
  <c r="Y303" i="4"/>
  <c r="D305" i="4"/>
  <c r="C306" i="4"/>
  <c r="AA302" i="4"/>
  <c r="Z302" i="4"/>
  <c r="G303" i="4"/>
  <c r="I303" i="4" s="1"/>
  <c r="Y304" i="4"/>
  <c r="B304" i="4"/>
  <c r="AJ304" i="4"/>
  <c r="Z303" i="4" l="1"/>
  <c r="Z304" i="4"/>
  <c r="AA304" i="4"/>
  <c r="C307" i="4"/>
  <c r="D306" i="4"/>
  <c r="T306" i="4"/>
  <c r="B305" i="4"/>
  <c r="P305" i="4"/>
  <c r="T305" i="4"/>
  <c r="Q305" i="4"/>
  <c r="R305" i="4"/>
  <c r="S305" i="4"/>
  <c r="U305" i="4"/>
  <c r="V305" i="4"/>
  <c r="W305" i="4"/>
  <c r="AJ305" i="4"/>
  <c r="AK305" i="4"/>
  <c r="L305" i="4"/>
  <c r="F305" i="4"/>
  <c r="E305" i="4"/>
  <c r="AI305" i="4"/>
  <c r="H305" i="4"/>
  <c r="J305" i="4"/>
  <c r="K305" i="4"/>
  <c r="O305" i="4"/>
  <c r="M305" i="4"/>
  <c r="N305" i="4"/>
  <c r="AK306" i="4" l="1"/>
  <c r="U306" i="4"/>
  <c r="F306" i="4"/>
  <c r="Q306" i="4"/>
  <c r="R306" i="4"/>
  <c r="S306" i="4"/>
  <c r="W306" i="4"/>
  <c r="Y306" i="4" s="1"/>
  <c r="AJ306" i="4"/>
  <c r="X305" i="4"/>
  <c r="AA305" i="4" s="1"/>
  <c r="L306" i="4"/>
  <c r="H306" i="4"/>
  <c r="M306" i="4"/>
  <c r="O306" i="4"/>
  <c r="AI306" i="4"/>
  <c r="AL306" i="4" s="1"/>
  <c r="J306" i="4"/>
  <c r="K306" i="4"/>
  <c r="N306" i="4"/>
  <c r="E306" i="4"/>
  <c r="V306" i="4"/>
  <c r="X306" i="4" s="1"/>
  <c r="B306" i="4"/>
  <c r="P306" i="4"/>
  <c r="D307" i="4"/>
  <c r="C308" i="4"/>
  <c r="Y305" i="4"/>
  <c r="AL305" i="4"/>
  <c r="G305" i="4"/>
  <c r="I305" i="4" s="1"/>
  <c r="G306" i="4" l="1"/>
  <c r="I306" i="4" s="1"/>
  <c r="Z305" i="4"/>
  <c r="P307" i="4"/>
  <c r="AI307" i="4"/>
  <c r="M307" i="4"/>
  <c r="N307" i="4"/>
  <c r="Q307" i="4"/>
  <c r="R307" i="4"/>
  <c r="S307" i="4"/>
  <c r="T307" i="4"/>
  <c r="U307" i="4"/>
  <c r="V307" i="4"/>
  <c r="W307" i="4"/>
  <c r="E307" i="4"/>
  <c r="D308" i="4"/>
  <c r="C309" i="4"/>
  <c r="AA306" i="4"/>
  <c r="Z306" i="4"/>
  <c r="B307" i="4"/>
  <c r="AK307" i="4"/>
  <c r="L307" i="4"/>
  <c r="AJ307" i="4"/>
  <c r="F307" i="4"/>
  <c r="H307" i="4"/>
  <c r="O307" i="4"/>
  <c r="J307" i="4"/>
  <c r="K307" i="4"/>
  <c r="Y307" i="4" l="1"/>
  <c r="AL307" i="4"/>
  <c r="G307" i="4"/>
  <c r="I307" i="4" s="1"/>
  <c r="X307" i="4"/>
  <c r="AA307" i="4" s="1"/>
  <c r="AK308" i="4"/>
  <c r="AI308" i="4"/>
  <c r="D309" i="4"/>
  <c r="L309" i="4"/>
  <c r="C310" i="4"/>
  <c r="B308" i="4"/>
  <c r="P308" i="4"/>
  <c r="S308" i="4"/>
  <c r="M308" i="4"/>
  <c r="E308" i="4"/>
  <c r="F308" i="4"/>
  <c r="L308" i="4"/>
  <c r="J308" i="4"/>
  <c r="K308" i="4"/>
  <c r="R308" i="4"/>
  <c r="Q308" i="4"/>
  <c r="N308" i="4"/>
  <c r="AJ308" i="4"/>
  <c r="H308" i="4"/>
  <c r="O308" i="4"/>
  <c r="V308" i="4"/>
  <c r="U308" i="4"/>
  <c r="W308" i="4"/>
  <c r="T308" i="4"/>
  <c r="U309" i="4" l="1"/>
  <c r="M309" i="4"/>
  <c r="N309" i="4"/>
  <c r="P309" i="4"/>
  <c r="Q309" i="4"/>
  <c r="AL308" i="4"/>
  <c r="Z307" i="4"/>
  <c r="AI309" i="4"/>
  <c r="F309" i="4"/>
  <c r="H309" i="4"/>
  <c r="J309" i="4"/>
  <c r="K309" i="4"/>
  <c r="G308" i="4"/>
  <c r="I308" i="4" s="1"/>
  <c r="R309" i="4"/>
  <c r="S309" i="4"/>
  <c r="T309" i="4"/>
  <c r="D310" i="4"/>
  <c r="C311" i="4"/>
  <c r="Y308" i="4"/>
  <c r="X308" i="4"/>
  <c r="AA308" i="4" s="1"/>
  <c r="B309" i="4"/>
  <c r="E309" i="4"/>
  <c r="V309" i="4"/>
  <c r="W309" i="4"/>
  <c r="AJ309" i="4"/>
  <c r="AK309" i="4"/>
  <c r="O309" i="4"/>
  <c r="Y309" i="4" l="1"/>
  <c r="AL309" i="4"/>
  <c r="G309" i="4"/>
  <c r="I309" i="4" s="1"/>
  <c r="X309" i="4"/>
  <c r="J310" i="4"/>
  <c r="E310" i="4"/>
  <c r="L310" i="4"/>
  <c r="F310" i="4"/>
  <c r="H310" i="4"/>
  <c r="O310" i="4"/>
  <c r="AI310" i="4"/>
  <c r="N310" i="4"/>
  <c r="P310" i="4"/>
  <c r="Q310" i="4"/>
  <c r="R310" i="4"/>
  <c r="S310" i="4"/>
  <c r="T310" i="4"/>
  <c r="U310" i="4"/>
  <c r="V310" i="4"/>
  <c r="W310" i="4"/>
  <c r="M310" i="4"/>
  <c r="D311" i="4"/>
  <c r="T311" i="4" s="1"/>
  <c r="C312" i="4"/>
  <c r="Z308" i="4"/>
  <c r="B310" i="4"/>
  <c r="AJ310" i="4"/>
  <c r="AK310" i="4"/>
  <c r="K310" i="4"/>
  <c r="X310" i="4" l="1"/>
  <c r="G310" i="4"/>
  <c r="I310" i="4" s="1"/>
  <c r="AA309" i="4"/>
  <c r="Z309" i="4"/>
  <c r="Y310" i="4"/>
  <c r="AL310" i="4"/>
  <c r="C313" i="4"/>
  <c r="D312" i="4"/>
  <c r="B311" i="4"/>
  <c r="R311" i="4"/>
  <c r="AI311" i="4"/>
  <c r="L311" i="4"/>
  <c r="H311" i="4"/>
  <c r="E311" i="4"/>
  <c r="F311" i="4"/>
  <c r="J311" i="4"/>
  <c r="K311" i="4"/>
  <c r="O311" i="4"/>
  <c r="M311" i="4"/>
  <c r="N311" i="4"/>
  <c r="P311" i="4"/>
  <c r="S311" i="4"/>
  <c r="W311" i="4"/>
  <c r="AK311" i="4"/>
  <c r="Q311" i="4"/>
  <c r="U311" i="4"/>
  <c r="V311" i="4"/>
  <c r="X311" i="4" s="1"/>
  <c r="AJ311" i="4"/>
  <c r="AJ312" i="4" l="1"/>
  <c r="N312" i="4"/>
  <c r="F312" i="4"/>
  <c r="J312" i="4"/>
  <c r="AI312" i="4"/>
  <c r="Y311" i="4"/>
  <c r="Z311" i="4" s="1"/>
  <c r="AA310" i="4"/>
  <c r="Z310" i="4"/>
  <c r="AL311" i="4"/>
  <c r="K312" i="4"/>
  <c r="P312" i="4"/>
  <c r="Q312" i="4"/>
  <c r="R312" i="4"/>
  <c r="S312" i="4"/>
  <c r="T312" i="4"/>
  <c r="V312" i="4"/>
  <c r="W312" i="4"/>
  <c r="M312" i="4"/>
  <c r="AK312" i="4"/>
  <c r="C314" i="4"/>
  <c r="D313" i="4"/>
  <c r="G311" i="4"/>
  <c r="I311" i="4" s="1"/>
  <c r="AA311" i="4"/>
  <c r="B312" i="4"/>
  <c r="U312" i="4"/>
  <c r="L312" i="4"/>
  <c r="O312" i="4"/>
  <c r="H312" i="4"/>
  <c r="E312" i="4"/>
  <c r="G312" i="4" l="1"/>
  <c r="I312" i="4" s="1"/>
  <c r="AL312" i="4"/>
  <c r="E313" i="4"/>
  <c r="F313" i="4"/>
  <c r="H313" i="4"/>
  <c r="L313" i="4"/>
  <c r="J313" i="4"/>
  <c r="K313" i="4"/>
  <c r="AI313" i="4"/>
  <c r="X312" i="4"/>
  <c r="AA312" i="4" s="1"/>
  <c r="M313" i="4"/>
  <c r="N313" i="4"/>
  <c r="Y312" i="4"/>
  <c r="O313" i="4"/>
  <c r="S313" i="4"/>
  <c r="T313" i="4"/>
  <c r="U313" i="4"/>
  <c r="V313" i="4"/>
  <c r="W313" i="4"/>
  <c r="AJ313" i="4"/>
  <c r="AK313" i="4"/>
  <c r="C315" i="4"/>
  <c r="D314" i="4"/>
  <c r="B313" i="4"/>
  <c r="P313" i="4"/>
  <c r="Q313" i="4"/>
  <c r="R313" i="4"/>
  <c r="G313" i="4" l="1"/>
  <c r="I313" i="4" s="1"/>
  <c r="K314" i="4"/>
  <c r="M314" i="4"/>
  <c r="P314" i="4"/>
  <c r="Q314" i="4"/>
  <c r="AL313" i="4"/>
  <c r="Y313" i="4"/>
  <c r="Z312" i="4"/>
  <c r="X313" i="4"/>
  <c r="AI314" i="4"/>
  <c r="R314" i="4"/>
  <c r="S314" i="4"/>
  <c r="T314" i="4"/>
  <c r="O314" i="4"/>
  <c r="J314" i="4"/>
  <c r="L314" i="4"/>
  <c r="N314" i="4"/>
  <c r="U314" i="4"/>
  <c r="V314" i="4"/>
  <c r="W314" i="4"/>
  <c r="AJ314" i="4"/>
  <c r="AK314" i="4"/>
  <c r="B314" i="4"/>
  <c r="E314" i="4"/>
  <c r="F314" i="4"/>
  <c r="H314" i="4"/>
  <c r="C316" i="4"/>
  <c r="D315" i="4"/>
  <c r="O315" i="4" l="1"/>
  <c r="M315" i="4"/>
  <c r="AK315" i="4"/>
  <c r="X314" i="4"/>
  <c r="AA314" i="4"/>
  <c r="Y314" i="4"/>
  <c r="G314" i="4"/>
  <c r="I314" i="4" s="1"/>
  <c r="Z313" i="4"/>
  <c r="AA313" i="4"/>
  <c r="AL314" i="4"/>
  <c r="N315" i="4"/>
  <c r="P315" i="4"/>
  <c r="Q315" i="4"/>
  <c r="R315" i="4"/>
  <c r="S315" i="4"/>
  <c r="T315" i="4"/>
  <c r="U315" i="4"/>
  <c r="V315" i="4"/>
  <c r="W315" i="4"/>
  <c r="AI315" i="4"/>
  <c r="AJ315" i="4"/>
  <c r="L316" i="4"/>
  <c r="P316" i="4"/>
  <c r="C317" i="4"/>
  <c r="D316" i="4"/>
  <c r="B315" i="4"/>
  <c r="F315" i="4"/>
  <c r="H315" i="4"/>
  <c r="J315" i="4"/>
  <c r="K315" i="4"/>
  <c r="E315" i="4"/>
  <c r="L315" i="4"/>
  <c r="R316" i="4" l="1"/>
  <c r="H316" i="4"/>
  <c r="AI316" i="4"/>
  <c r="AL315" i="4"/>
  <c r="Z314" i="4"/>
  <c r="X315" i="4"/>
  <c r="AA315" i="4" s="1"/>
  <c r="Y315" i="4"/>
  <c r="N316" i="4"/>
  <c r="U316" i="4"/>
  <c r="J316" i="4"/>
  <c r="C318" i="4"/>
  <c r="D317" i="4"/>
  <c r="G315" i="4"/>
  <c r="I315" i="4" s="1"/>
  <c r="B316" i="4"/>
  <c r="E316" i="4"/>
  <c r="K316" i="4"/>
  <c r="M316" i="4"/>
  <c r="Q316" i="4"/>
  <c r="S316" i="4"/>
  <c r="T316" i="4"/>
  <c r="F316" i="4"/>
  <c r="V316" i="4"/>
  <c r="W316" i="4"/>
  <c r="AJ316" i="4"/>
  <c r="AK316" i="4"/>
  <c r="O316" i="4"/>
  <c r="AL316" i="4" l="1"/>
  <c r="Z315" i="4"/>
  <c r="J317" i="4"/>
  <c r="W317" i="4"/>
  <c r="AJ317" i="4"/>
  <c r="AK317" i="4"/>
  <c r="Y316" i="4"/>
  <c r="G316" i="4"/>
  <c r="I316" i="4" s="1"/>
  <c r="X316" i="4"/>
  <c r="C319" i="4"/>
  <c r="D318" i="4"/>
  <c r="B317" i="4"/>
  <c r="AI317" i="4"/>
  <c r="N317" i="4"/>
  <c r="O317" i="4"/>
  <c r="F317" i="4"/>
  <c r="T317" i="4"/>
  <c r="E317" i="4"/>
  <c r="H317" i="4"/>
  <c r="K317" i="4"/>
  <c r="M317" i="4"/>
  <c r="P317" i="4"/>
  <c r="Q317" i="4"/>
  <c r="R317" i="4"/>
  <c r="S317" i="4"/>
  <c r="U317" i="4"/>
  <c r="L317" i="4"/>
  <c r="V317" i="4"/>
  <c r="Y317" i="4" l="1"/>
  <c r="AL317" i="4"/>
  <c r="H318" i="4"/>
  <c r="Q318" i="4"/>
  <c r="K318" i="4"/>
  <c r="M318" i="4"/>
  <c r="N318" i="4"/>
  <c r="G317" i="4"/>
  <c r="I317" i="4" s="1"/>
  <c r="AA316" i="4"/>
  <c r="Z316" i="4"/>
  <c r="E318" i="4"/>
  <c r="F318" i="4"/>
  <c r="O318" i="4"/>
  <c r="P318" i="4"/>
  <c r="R318" i="4"/>
  <c r="S318" i="4"/>
  <c r="T318" i="4"/>
  <c r="D319" i="4"/>
  <c r="C320" i="4"/>
  <c r="X317" i="4"/>
  <c r="B318" i="4"/>
  <c r="J318" i="4"/>
  <c r="U318" i="4"/>
  <c r="V318" i="4"/>
  <c r="W318" i="4"/>
  <c r="AJ318" i="4"/>
  <c r="AK318" i="4"/>
  <c r="L318" i="4"/>
  <c r="AI318" i="4"/>
  <c r="E319" i="4" l="1"/>
  <c r="F319" i="4"/>
  <c r="G319" i="4" s="1"/>
  <c r="G318" i="4"/>
  <c r="I318" i="4" s="1"/>
  <c r="Y318" i="4"/>
  <c r="X318" i="4"/>
  <c r="L319" i="4"/>
  <c r="H319" i="4"/>
  <c r="N319" i="4"/>
  <c r="P319" i="4"/>
  <c r="Q319" i="4"/>
  <c r="J319" i="4"/>
  <c r="K319" i="4"/>
  <c r="O319" i="4"/>
  <c r="R319" i="4"/>
  <c r="T319" i="4"/>
  <c r="V319" i="4"/>
  <c r="AJ319" i="4"/>
  <c r="S319" i="4"/>
  <c r="U319" i="4"/>
  <c r="W319" i="4"/>
  <c r="AK319" i="4"/>
  <c r="M319" i="4"/>
  <c r="J320" i="4"/>
  <c r="N320" i="4"/>
  <c r="D320" i="4"/>
  <c r="E320" i="4"/>
  <c r="W320" i="4"/>
  <c r="C321" i="4"/>
  <c r="Z317" i="4"/>
  <c r="AA317" i="4"/>
  <c r="AL318" i="4"/>
  <c r="B319" i="4"/>
  <c r="AI319" i="4"/>
  <c r="I319" i="4" l="1"/>
  <c r="Q320" i="4"/>
  <c r="F320" i="4"/>
  <c r="G320" i="4" s="1"/>
  <c r="K320" i="4"/>
  <c r="X319" i="4"/>
  <c r="AA319" i="4" s="1"/>
  <c r="M320" i="4"/>
  <c r="AI320" i="4"/>
  <c r="AK320" i="4"/>
  <c r="O320" i="4"/>
  <c r="L320" i="4"/>
  <c r="Y319" i="4"/>
  <c r="AL319" i="4"/>
  <c r="Z318" i="4"/>
  <c r="AA318" i="4"/>
  <c r="P320" i="4"/>
  <c r="R320" i="4"/>
  <c r="S320" i="4"/>
  <c r="D321" i="4"/>
  <c r="C322" i="4"/>
  <c r="B320" i="4"/>
  <c r="T320" i="4"/>
  <c r="H320" i="4"/>
  <c r="U320" i="4"/>
  <c r="Y320" i="4" s="1"/>
  <c r="AJ320" i="4"/>
  <c r="V320" i="4"/>
  <c r="I320" i="4" l="1"/>
  <c r="Z319" i="4"/>
  <c r="AL320" i="4"/>
  <c r="J321" i="4"/>
  <c r="K321" i="4"/>
  <c r="P321" i="4"/>
  <c r="R321" i="4"/>
  <c r="E321" i="4"/>
  <c r="O321" i="4"/>
  <c r="F321" i="4"/>
  <c r="H321" i="4"/>
  <c r="L321" i="4"/>
  <c r="M321" i="4"/>
  <c r="T321" i="4"/>
  <c r="V321" i="4"/>
  <c r="AJ321" i="4"/>
  <c r="AK321" i="4"/>
  <c r="U321" i="4"/>
  <c r="C323" i="4"/>
  <c r="D322" i="4"/>
  <c r="P322" i="4" s="1"/>
  <c r="X320" i="4"/>
  <c r="B321" i="4"/>
  <c r="N321" i="4"/>
  <c r="Q321" i="4"/>
  <c r="W321" i="4"/>
  <c r="AI321" i="4"/>
  <c r="S321" i="4"/>
  <c r="X321" i="4" l="1"/>
  <c r="AA321" i="4" s="1"/>
  <c r="Y321" i="4"/>
  <c r="AL321" i="4"/>
  <c r="G321" i="4"/>
  <c r="I321" i="4" s="1"/>
  <c r="C324" i="4"/>
  <c r="D323" i="4"/>
  <c r="H323" i="4"/>
  <c r="Z320" i="4"/>
  <c r="AA320" i="4"/>
  <c r="B322" i="4"/>
  <c r="H322" i="4"/>
  <c r="Q322" i="4"/>
  <c r="V322" i="4"/>
  <c r="L322" i="4"/>
  <c r="K322" i="4"/>
  <c r="AI322" i="4"/>
  <c r="M322" i="4"/>
  <c r="U322" i="4"/>
  <c r="AK322" i="4"/>
  <c r="S322" i="4"/>
  <c r="R322" i="4"/>
  <c r="F322" i="4"/>
  <c r="E322" i="4"/>
  <c r="O322" i="4"/>
  <c r="N322" i="4"/>
  <c r="T322" i="4"/>
  <c r="AJ322" i="4"/>
  <c r="J322" i="4"/>
  <c r="W322" i="4"/>
  <c r="Z321" i="4" l="1"/>
  <c r="J323" i="4"/>
  <c r="K323" i="4"/>
  <c r="O323" i="4"/>
  <c r="M323" i="4"/>
  <c r="R323" i="4"/>
  <c r="U323" i="4"/>
  <c r="P323" i="4"/>
  <c r="Q323" i="4"/>
  <c r="S323" i="4"/>
  <c r="T323" i="4"/>
  <c r="Y322" i="4"/>
  <c r="G322" i="4"/>
  <c r="I322" i="4" s="1"/>
  <c r="E323" i="4"/>
  <c r="N323" i="4"/>
  <c r="V323" i="4"/>
  <c r="W323" i="4"/>
  <c r="D324" i="4"/>
  <c r="O324" i="4" s="1"/>
  <c r="C325" i="4"/>
  <c r="AL322" i="4"/>
  <c r="X322" i="4"/>
  <c r="B323" i="4"/>
  <c r="AJ323" i="4"/>
  <c r="AK323" i="4"/>
  <c r="AI323" i="4"/>
  <c r="L323" i="4"/>
  <c r="F323" i="4"/>
  <c r="Q324" i="4" l="1"/>
  <c r="E324" i="4"/>
  <c r="AI324" i="4"/>
  <c r="L324" i="4"/>
  <c r="M324" i="4"/>
  <c r="N324" i="4"/>
  <c r="P324" i="4"/>
  <c r="R324" i="4"/>
  <c r="X323" i="4"/>
  <c r="AA323" i="4" s="1"/>
  <c r="Y323" i="4"/>
  <c r="G323" i="4"/>
  <c r="I323" i="4" s="1"/>
  <c r="AL323" i="4"/>
  <c r="H324" i="4"/>
  <c r="K324" i="4"/>
  <c r="T324" i="4"/>
  <c r="V324" i="4"/>
  <c r="W324" i="4"/>
  <c r="F324" i="4"/>
  <c r="J324" i="4"/>
  <c r="S324" i="4"/>
  <c r="U324" i="4"/>
  <c r="D325" i="4"/>
  <c r="C326" i="4"/>
  <c r="Z322" i="4"/>
  <c r="AA322" i="4"/>
  <c r="B324" i="4"/>
  <c r="AJ324" i="4"/>
  <c r="AK324" i="4"/>
  <c r="Z323" i="4" l="1"/>
  <c r="G324" i="4"/>
  <c r="I324" i="4" s="1"/>
  <c r="AL324" i="4"/>
  <c r="S325" i="4"/>
  <c r="Q325" i="4"/>
  <c r="R325" i="4"/>
  <c r="Y324" i="4"/>
  <c r="X324" i="4"/>
  <c r="F325" i="4"/>
  <c r="T325" i="4"/>
  <c r="U325" i="4"/>
  <c r="W325" i="4"/>
  <c r="AJ325" i="4"/>
  <c r="V325" i="4"/>
  <c r="AI325" i="4"/>
  <c r="AK325" i="4"/>
  <c r="D326" i="4"/>
  <c r="C327" i="4"/>
  <c r="B325" i="4"/>
  <c r="H325" i="4"/>
  <c r="L325" i="4"/>
  <c r="J325" i="4"/>
  <c r="K325" i="4"/>
  <c r="M325" i="4"/>
  <c r="P325" i="4"/>
  <c r="N325" i="4"/>
  <c r="O325" i="4"/>
  <c r="E325" i="4"/>
  <c r="X325" i="4" l="1"/>
  <c r="AA325" i="4" s="1"/>
  <c r="AL325" i="4"/>
  <c r="G325" i="4"/>
  <c r="I325" i="4" s="1"/>
  <c r="E326" i="4"/>
  <c r="AI326" i="4"/>
  <c r="AA324" i="4"/>
  <c r="Z324" i="4"/>
  <c r="Y325" i="4"/>
  <c r="F326" i="4"/>
  <c r="H326" i="4"/>
  <c r="O326" i="4"/>
  <c r="J326" i="4"/>
  <c r="K326" i="4"/>
  <c r="N326" i="4"/>
  <c r="Q326" i="4"/>
  <c r="T326" i="4"/>
  <c r="M326" i="4"/>
  <c r="P326" i="4"/>
  <c r="R326" i="4"/>
  <c r="S326" i="4"/>
  <c r="L326" i="4"/>
  <c r="C328" i="4"/>
  <c r="D327" i="4"/>
  <c r="B326" i="4"/>
  <c r="U326" i="4"/>
  <c r="V326" i="4"/>
  <c r="W326" i="4"/>
  <c r="AJ326" i="4"/>
  <c r="AK326" i="4"/>
  <c r="AL326" i="4" l="1"/>
  <c r="N327" i="4"/>
  <c r="P327" i="4"/>
  <c r="Q327" i="4"/>
  <c r="Z325" i="4"/>
  <c r="G326" i="4"/>
  <c r="I326" i="4" s="1"/>
  <c r="R327" i="4"/>
  <c r="S327" i="4"/>
  <c r="E327" i="4"/>
  <c r="F327" i="4"/>
  <c r="M327" i="4"/>
  <c r="X326" i="4"/>
  <c r="AA326" i="4" s="1"/>
  <c r="Y326" i="4"/>
  <c r="H327" i="4"/>
  <c r="AI327" i="4"/>
  <c r="L327" i="4"/>
  <c r="C329" i="4"/>
  <c r="D328" i="4"/>
  <c r="B327" i="4"/>
  <c r="J327" i="4"/>
  <c r="K327" i="4"/>
  <c r="O327" i="4"/>
  <c r="T327" i="4"/>
  <c r="U327" i="4"/>
  <c r="V327" i="4"/>
  <c r="W327" i="4"/>
  <c r="AJ327" i="4"/>
  <c r="AK327" i="4"/>
  <c r="J328" i="4" l="1"/>
  <c r="S328" i="4"/>
  <c r="G327" i="4"/>
  <c r="I327" i="4" s="1"/>
  <c r="X327" i="4"/>
  <c r="Z326" i="4"/>
  <c r="Y327" i="4"/>
  <c r="T328" i="4"/>
  <c r="K328" i="4"/>
  <c r="AL327" i="4"/>
  <c r="E328" i="4"/>
  <c r="F328" i="4"/>
  <c r="H328" i="4"/>
  <c r="C330" i="4"/>
  <c r="D329" i="4"/>
  <c r="B328" i="4"/>
  <c r="L328" i="4"/>
  <c r="AI328" i="4"/>
  <c r="M328" i="4"/>
  <c r="N328" i="4"/>
  <c r="P328" i="4"/>
  <c r="Q328" i="4"/>
  <c r="R328" i="4"/>
  <c r="U328" i="4"/>
  <c r="V328" i="4"/>
  <c r="W328" i="4"/>
  <c r="AJ328" i="4"/>
  <c r="AK328" i="4"/>
  <c r="O328" i="4"/>
  <c r="G328" i="4" l="1"/>
  <c r="I328" i="4" s="1"/>
  <c r="X328" i="4"/>
  <c r="AA328" i="4" s="1"/>
  <c r="S329" i="4"/>
  <c r="T329" i="4"/>
  <c r="AA327" i="4"/>
  <c r="Z327" i="4"/>
  <c r="AL328" i="4"/>
  <c r="Y328" i="4"/>
  <c r="F329" i="4"/>
  <c r="H329" i="4"/>
  <c r="AI329" i="4"/>
  <c r="J329" i="4"/>
  <c r="R329" i="4"/>
  <c r="U329" i="4"/>
  <c r="V329" i="4"/>
  <c r="W329" i="4"/>
  <c r="AJ329" i="4"/>
  <c r="AK329" i="4"/>
  <c r="C331" i="4"/>
  <c r="D330" i="4"/>
  <c r="AJ330" i="4" s="1"/>
  <c r="B329" i="4"/>
  <c r="K329" i="4"/>
  <c r="M329" i="4"/>
  <c r="N329" i="4"/>
  <c r="P329" i="4"/>
  <c r="Q329" i="4"/>
  <c r="O329" i="4"/>
  <c r="E329" i="4"/>
  <c r="L329" i="4"/>
  <c r="X329" i="4" l="1"/>
  <c r="AA329" i="4" s="1"/>
  <c r="G329" i="4"/>
  <c r="I329" i="4" s="1"/>
  <c r="Z328" i="4"/>
  <c r="Y329" i="4"/>
  <c r="AL329" i="4"/>
  <c r="C332" i="4"/>
  <c r="D331" i="4"/>
  <c r="B330" i="4"/>
  <c r="L330" i="4"/>
  <c r="Q330" i="4"/>
  <c r="T330" i="4"/>
  <c r="AI330" i="4"/>
  <c r="AK330" i="4"/>
  <c r="U330" i="4"/>
  <c r="E330" i="4"/>
  <c r="F330" i="4"/>
  <c r="H330" i="4"/>
  <c r="O330" i="4"/>
  <c r="J330" i="4"/>
  <c r="K330" i="4"/>
  <c r="M330" i="4"/>
  <c r="N330" i="4"/>
  <c r="P330" i="4"/>
  <c r="R330" i="4"/>
  <c r="S330" i="4"/>
  <c r="V330" i="4"/>
  <c r="W330" i="4"/>
  <c r="Z329" i="4" l="1"/>
  <c r="Y330" i="4"/>
  <c r="E331" i="4"/>
  <c r="V331" i="4"/>
  <c r="T331" i="4"/>
  <c r="C333" i="4"/>
  <c r="D332" i="4"/>
  <c r="X330" i="4"/>
  <c r="AL330" i="4"/>
  <c r="G330" i="4"/>
  <c r="I330" i="4" s="1"/>
  <c r="B331" i="4"/>
  <c r="Q331" i="4"/>
  <c r="U331" i="4"/>
  <c r="W331" i="4"/>
  <c r="AJ331" i="4"/>
  <c r="AK331" i="4"/>
  <c r="O331" i="4"/>
  <c r="F331" i="4"/>
  <c r="P331" i="4"/>
  <c r="H331" i="4"/>
  <c r="K331" i="4"/>
  <c r="AI331" i="4"/>
  <c r="L331" i="4"/>
  <c r="M331" i="4"/>
  <c r="S331" i="4"/>
  <c r="J331" i="4"/>
  <c r="N331" i="4"/>
  <c r="R331" i="4"/>
  <c r="X331" i="4" l="1"/>
  <c r="AA331" i="4" s="1"/>
  <c r="G331" i="4"/>
  <c r="I331" i="4" s="1"/>
  <c r="AJ332" i="4"/>
  <c r="AK332" i="4"/>
  <c r="C334" i="4"/>
  <c r="D333" i="4"/>
  <c r="AA330" i="4"/>
  <c r="Z330" i="4"/>
  <c r="AL331" i="4"/>
  <c r="Y331" i="4"/>
  <c r="B332" i="4"/>
  <c r="U332" i="4"/>
  <c r="V332" i="4"/>
  <c r="W332" i="4"/>
  <c r="AI332" i="4"/>
  <c r="P332" i="4"/>
  <c r="R332" i="4"/>
  <c r="O332" i="4"/>
  <c r="F332" i="4"/>
  <c r="J332" i="4"/>
  <c r="N332" i="4"/>
  <c r="Q332" i="4"/>
  <c r="H332" i="4"/>
  <c r="L332" i="4"/>
  <c r="M332" i="4"/>
  <c r="T332" i="4"/>
  <c r="E332" i="4"/>
  <c r="K332" i="4"/>
  <c r="S332" i="4"/>
  <c r="AK333" i="4" l="1"/>
  <c r="S333" i="4"/>
  <c r="T333" i="4"/>
  <c r="N333" i="4"/>
  <c r="F333" i="4"/>
  <c r="J333" i="4"/>
  <c r="K333" i="4"/>
  <c r="L333" i="4"/>
  <c r="O333" i="4"/>
  <c r="AI333" i="4"/>
  <c r="X332" i="4"/>
  <c r="AA332" i="4" s="1"/>
  <c r="E333" i="4"/>
  <c r="U333" i="4"/>
  <c r="V333" i="4"/>
  <c r="W333" i="4"/>
  <c r="AJ333" i="4"/>
  <c r="M333" i="4"/>
  <c r="H333" i="4"/>
  <c r="Z331" i="4"/>
  <c r="AL332" i="4"/>
  <c r="G332" i="4"/>
  <c r="I332" i="4" s="1"/>
  <c r="C335" i="4"/>
  <c r="D334" i="4"/>
  <c r="R334" i="4" s="1"/>
  <c r="Y332" i="4"/>
  <c r="B333" i="4"/>
  <c r="P333" i="4"/>
  <c r="R333" i="4"/>
  <c r="Q333" i="4"/>
  <c r="X333" i="4" l="1"/>
  <c r="AA333" i="4" s="1"/>
  <c r="AL333" i="4"/>
  <c r="G333" i="4"/>
  <c r="I333" i="4" s="1"/>
  <c r="Y333" i="4"/>
  <c r="Z332" i="4"/>
  <c r="H334" i="4"/>
  <c r="U334" i="4"/>
  <c r="L334" i="4"/>
  <c r="Q334" i="4"/>
  <c r="S334" i="4"/>
  <c r="T334" i="4"/>
  <c r="V334" i="4"/>
  <c r="J334" i="4"/>
  <c r="K334" i="4"/>
  <c r="P334" i="4"/>
  <c r="E334" i="4"/>
  <c r="W334" i="4"/>
  <c r="AJ334" i="4"/>
  <c r="AK334" i="4"/>
  <c r="AI334" i="4"/>
  <c r="C336" i="4"/>
  <c r="D335" i="4"/>
  <c r="B334" i="4"/>
  <c r="F334" i="4"/>
  <c r="O334" i="4"/>
  <c r="M334" i="4"/>
  <c r="N334" i="4"/>
  <c r="Z333" i="4" l="1"/>
  <c r="Y334" i="4"/>
  <c r="X334" i="4"/>
  <c r="Q335" i="4"/>
  <c r="U335" i="4"/>
  <c r="AL334" i="4"/>
  <c r="G334" i="4"/>
  <c r="I334" i="4" s="1"/>
  <c r="W335" i="4"/>
  <c r="AJ335" i="4"/>
  <c r="AK335" i="4"/>
  <c r="C337" i="4"/>
  <c r="D336" i="4"/>
  <c r="E336" i="4" s="1"/>
  <c r="B335" i="4"/>
  <c r="E335" i="4"/>
  <c r="P335" i="4"/>
  <c r="T335" i="4"/>
  <c r="O335" i="4"/>
  <c r="AI335" i="4"/>
  <c r="M335" i="4"/>
  <c r="S335" i="4"/>
  <c r="F335" i="4"/>
  <c r="L335" i="4"/>
  <c r="K335" i="4"/>
  <c r="R335" i="4"/>
  <c r="V335" i="4"/>
  <c r="H335" i="4"/>
  <c r="J335" i="4"/>
  <c r="N335" i="4"/>
  <c r="AA334" i="4" l="1"/>
  <c r="Z334" i="4"/>
  <c r="Y335" i="4"/>
  <c r="H336" i="4"/>
  <c r="J336" i="4"/>
  <c r="K336" i="4"/>
  <c r="G335" i="4"/>
  <c r="I335" i="4" s="1"/>
  <c r="AL335" i="4"/>
  <c r="O336" i="4"/>
  <c r="M336" i="4"/>
  <c r="C338" i="4"/>
  <c r="D337" i="4"/>
  <c r="X335" i="4"/>
  <c r="B336" i="4"/>
  <c r="AI336" i="4"/>
  <c r="F336" i="4"/>
  <c r="G336" i="4" s="1"/>
  <c r="N336" i="4"/>
  <c r="P336" i="4"/>
  <c r="Q336" i="4"/>
  <c r="R336" i="4"/>
  <c r="S336" i="4"/>
  <c r="T336" i="4"/>
  <c r="U336" i="4"/>
  <c r="V336" i="4"/>
  <c r="W336" i="4"/>
  <c r="AJ336" i="4"/>
  <c r="AK336" i="4"/>
  <c r="L336" i="4"/>
  <c r="I336" i="4" l="1"/>
  <c r="AL336" i="4"/>
  <c r="M337" i="4"/>
  <c r="N337" i="4"/>
  <c r="P337" i="4"/>
  <c r="Q337" i="4"/>
  <c r="R337" i="4"/>
  <c r="T337" i="4"/>
  <c r="U337" i="4"/>
  <c r="V337" i="4"/>
  <c r="W337" i="4"/>
  <c r="AI337" i="4"/>
  <c r="C339" i="4"/>
  <c r="D338" i="4"/>
  <c r="AA335" i="4"/>
  <c r="Z335" i="4"/>
  <c r="Y336" i="4"/>
  <c r="X336" i="4"/>
  <c r="AA336" i="4" s="1"/>
  <c r="B337" i="4"/>
  <c r="AJ337" i="4"/>
  <c r="AK337" i="4"/>
  <c r="E337" i="4"/>
  <c r="O337" i="4"/>
  <c r="F337" i="4"/>
  <c r="H337" i="4"/>
  <c r="J337" i="4"/>
  <c r="K337" i="4"/>
  <c r="L337" i="4"/>
  <c r="S337" i="4"/>
  <c r="Y337" i="4" l="1"/>
  <c r="X337" i="4"/>
  <c r="AL337" i="4"/>
  <c r="C340" i="4"/>
  <c r="D339" i="4"/>
  <c r="V339" i="4" s="1"/>
  <c r="G337" i="4"/>
  <c r="I337" i="4" s="1"/>
  <c r="Z336" i="4"/>
  <c r="B338" i="4"/>
  <c r="E338" i="4"/>
  <c r="K338" i="4"/>
  <c r="O338" i="4"/>
  <c r="Q338" i="4"/>
  <c r="L338" i="4"/>
  <c r="U338" i="4"/>
  <c r="AJ338" i="4"/>
  <c r="J338" i="4"/>
  <c r="AI338" i="4"/>
  <c r="F338" i="4"/>
  <c r="P338" i="4"/>
  <c r="S338" i="4"/>
  <c r="T338" i="4"/>
  <c r="W338" i="4"/>
  <c r="H338" i="4"/>
  <c r="M338" i="4"/>
  <c r="R338" i="4"/>
  <c r="N338" i="4"/>
  <c r="V338" i="4"/>
  <c r="AK338" i="4"/>
  <c r="O339" i="4" l="1"/>
  <c r="U339" i="4"/>
  <c r="Y338" i="4"/>
  <c r="AJ339" i="4"/>
  <c r="W339" i="4"/>
  <c r="AK339" i="4"/>
  <c r="AA337" i="4"/>
  <c r="Z337" i="4"/>
  <c r="D340" i="4"/>
  <c r="AI340" i="4" s="1"/>
  <c r="W340" i="4"/>
  <c r="O340" i="4"/>
  <c r="C341" i="4"/>
  <c r="G338" i="4"/>
  <c r="I338" i="4" s="1"/>
  <c r="X338" i="4"/>
  <c r="AL338" i="4"/>
  <c r="B339" i="4"/>
  <c r="AI339" i="4"/>
  <c r="L339" i="4"/>
  <c r="J339" i="4"/>
  <c r="N339" i="4"/>
  <c r="H339" i="4"/>
  <c r="R339" i="4"/>
  <c r="E339" i="4"/>
  <c r="F339" i="4"/>
  <c r="K339" i="4"/>
  <c r="M339" i="4"/>
  <c r="P339" i="4"/>
  <c r="Q339" i="4"/>
  <c r="S339" i="4"/>
  <c r="T339" i="4"/>
  <c r="X339" i="4" s="1"/>
  <c r="Y339" i="4" l="1"/>
  <c r="Z339" i="4" s="1"/>
  <c r="V340" i="4"/>
  <c r="AJ340" i="4"/>
  <c r="AL339" i="4"/>
  <c r="G339" i="4"/>
  <c r="I339" i="4" s="1"/>
  <c r="U340" i="4"/>
  <c r="Y340" i="4" s="1"/>
  <c r="AK340" i="4"/>
  <c r="AL340" i="4" s="1"/>
  <c r="F340" i="4"/>
  <c r="L340" i="4"/>
  <c r="K340" i="4"/>
  <c r="N340" i="4"/>
  <c r="P340" i="4"/>
  <c r="R340" i="4"/>
  <c r="S340" i="4"/>
  <c r="E340" i="4"/>
  <c r="H340" i="4"/>
  <c r="C342" i="4"/>
  <c r="D341" i="4"/>
  <c r="AA338" i="4"/>
  <c r="Z338" i="4"/>
  <c r="AA339" i="4"/>
  <c r="B340" i="4"/>
  <c r="J340" i="4"/>
  <c r="M340" i="4"/>
  <c r="Q340" i="4"/>
  <c r="T340" i="4"/>
  <c r="X340" i="4" l="1"/>
  <c r="G340" i="4"/>
  <c r="I340" i="4" s="1"/>
  <c r="D342" i="4"/>
  <c r="F342" i="4" s="1"/>
  <c r="C343" i="4"/>
  <c r="B341" i="4"/>
  <c r="H341" i="4"/>
  <c r="L341" i="4"/>
  <c r="M341" i="4"/>
  <c r="P341" i="4"/>
  <c r="R341" i="4"/>
  <c r="U341" i="4"/>
  <c r="W341" i="4"/>
  <c r="AK341" i="4"/>
  <c r="E341" i="4"/>
  <c r="AI341" i="4"/>
  <c r="F341" i="4"/>
  <c r="J341" i="4"/>
  <c r="K341" i="4"/>
  <c r="O341" i="4"/>
  <c r="N341" i="4"/>
  <c r="Q341" i="4"/>
  <c r="S341" i="4"/>
  <c r="T341" i="4"/>
  <c r="V341" i="4"/>
  <c r="AJ341" i="4"/>
  <c r="Z340" i="4" l="1"/>
  <c r="AA340" i="4"/>
  <c r="G341" i="4"/>
  <c r="I341" i="4" s="1"/>
  <c r="AI342" i="4"/>
  <c r="H342" i="4"/>
  <c r="J342" i="4"/>
  <c r="K342" i="4"/>
  <c r="L342" i="4"/>
  <c r="N342" i="4"/>
  <c r="Q342" i="4"/>
  <c r="M342" i="4"/>
  <c r="W342" i="4"/>
  <c r="AJ342" i="4"/>
  <c r="P342" i="4"/>
  <c r="R342" i="4"/>
  <c r="S342" i="4"/>
  <c r="T342" i="4"/>
  <c r="V342" i="4"/>
  <c r="AK342" i="4"/>
  <c r="O342" i="4"/>
  <c r="D343" i="4"/>
  <c r="C344" i="4"/>
  <c r="Y341" i="4"/>
  <c r="AL341" i="4"/>
  <c r="X341" i="4"/>
  <c r="AA341" i="4" s="1"/>
  <c r="B342" i="4"/>
  <c r="U342" i="4"/>
  <c r="E342" i="4"/>
  <c r="G342" i="4" s="1"/>
  <c r="L343" i="4" l="1"/>
  <c r="AJ343" i="4"/>
  <c r="AK343" i="4"/>
  <c r="AL342" i="4"/>
  <c r="X342" i="4"/>
  <c r="Y342" i="4"/>
  <c r="F343" i="4"/>
  <c r="H343" i="4"/>
  <c r="E343" i="4"/>
  <c r="I342" i="4"/>
  <c r="O343" i="4"/>
  <c r="J343" i="4"/>
  <c r="D344" i="4"/>
  <c r="C345" i="4"/>
  <c r="Z341" i="4"/>
  <c r="B343" i="4"/>
  <c r="K343" i="4"/>
  <c r="M343" i="4"/>
  <c r="N343" i="4"/>
  <c r="P343" i="4"/>
  <c r="Q343" i="4"/>
  <c r="R343" i="4"/>
  <c r="S343" i="4"/>
  <c r="T343" i="4"/>
  <c r="U343" i="4"/>
  <c r="V343" i="4"/>
  <c r="W343" i="4"/>
  <c r="AI343" i="4"/>
  <c r="AL343" i="4" s="1"/>
  <c r="F344" i="4" l="1"/>
  <c r="J344" i="4"/>
  <c r="H344" i="4"/>
  <c r="M344" i="4"/>
  <c r="P344" i="4"/>
  <c r="R344" i="4"/>
  <c r="S344" i="4"/>
  <c r="AA342" i="4"/>
  <c r="Z342" i="4"/>
  <c r="G343" i="4"/>
  <c r="I343" i="4" s="1"/>
  <c r="O344" i="4"/>
  <c r="K344" i="4"/>
  <c r="X343" i="4"/>
  <c r="AA343" i="4" s="1"/>
  <c r="AI344" i="4"/>
  <c r="Q344" i="4"/>
  <c r="U344" i="4"/>
  <c r="L344" i="4"/>
  <c r="N344" i="4"/>
  <c r="E344" i="4"/>
  <c r="T344" i="4"/>
  <c r="C346" i="4"/>
  <c r="D345" i="4"/>
  <c r="K345" i="4"/>
  <c r="Y343" i="4"/>
  <c r="B344" i="4"/>
  <c r="V344" i="4"/>
  <c r="W344" i="4"/>
  <c r="AJ344" i="4"/>
  <c r="AK344" i="4"/>
  <c r="G344" i="4" l="1"/>
  <c r="I344" i="4" s="1"/>
  <c r="X344" i="4"/>
  <c r="AA344" i="4" s="1"/>
  <c r="Y344" i="4"/>
  <c r="AL344" i="4"/>
  <c r="Z343" i="4"/>
  <c r="F345" i="4"/>
  <c r="H345" i="4"/>
  <c r="J345" i="4"/>
  <c r="D346" i="4"/>
  <c r="AI346" i="4" s="1"/>
  <c r="C347" i="4"/>
  <c r="B345" i="4"/>
  <c r="L345" i="4"/>
  <c r="E345" i="4"/>
  <c r="O345" i="4"/>
  <c r="M345" i="4"/>
  <c r="N345" i="4"/>
  <c r="P345" i="4"/>
  <c r="Q345" i="4"/>
  <c r="AK345" i="4"/>
  <c r="AI345" i="4"/>
  <c r="R345" i="4"/>
  <c r="S345" i="4"/>
  <c r="T345" i="4"/>
  <c r="U345" i="4"/>
  <c r="V345" i="4"/>
  <c r="W345" i="4"/>
  <c r="AJ345" i="4"/>
  <c r="Z344" i="4" l="1"/>
  <c r="K346" i="4"/>
  <c r="N346" i="4"/>
  <c r="R346" i="4"/>
  <c r="X345" i="4"/>
  <c r="AA345" i="4" s="1"/>
  <c r="AL345" i="4"/>
  <c r="F346" i="4"/>
  <c r="O346" i="4"/>
  <c r="G345" i="4"/>
  <c r="I345" i="4" s="1"/>
  <c r="L346" i="4"/>
  <c r="E346" i="4"/>
  <c r="H346" i="4"/>
  <c r="J346" i="4"/>
  <c r="M346" i="4"/>
  <c r="C348" i="4"/>
  <c r="D347" i="4"/>
  <c r="Y345" i="4"/>
  <c r="B346" i="4"/>
  <c r="P346" i="4"/>
  <c r="Q346" i="4"/>
  <c r="S346" i="4"/>
  <c r="T346" i="4"/>
  <c r="U346" i="4"/>
  <c r="V346" i="4"/>
  <c r="W346" i="4"/>
  <c r="AJ346" i="4"/>
  <c r="AK346" i="4"/>
  <c r="AL346" i="4" s="1"/>
  <c r="Q347" i="4" l="1"/>
  <c r="P347" i="4"/>
  <c r="Z345" i="4"/>
  <c r="R347" i="4"/>
  <c r="S347" i="4"/>
  <c r="U347" i="4"/>
  <c r="V347" i="4"/>
  <c r="W347" i="4"/>
  <c r="AJ347" i="4"/>
  <c r="AK347" i="4"/>
  <c r="G346" i="4"/>
  <c r="I346" i="4" s="1"/>
  <c r="X346" i="4"/>
  <c r="AA346" i="4" s="1"/>
  <c r="D348" i="4"/>
  <c r="C349" i="4"/>
  <c r="Y346" i="4"/>
  <c r="B347" i="4"/>
  <c r="O347" i="4"/>
  <c r="J347" i="4"/>
  <c r="L347" i="4"/>
  <c r="T347" i="4"/>
  <c r="M347" i="4"/>
  <c r="N347" i="4"/>
  <c r="E347" i="4"/>
  <c r="AI347" i="4"/>
  <c r="F347" i="4"/>
  <c r="H347" i="4"/>
  <c r="K347" i="4"/>
  <c r="Y347" i="4" l="1"/>
  <c r="X347" i="4"/>
  <c r="AL347" i="4"/>
  <c r="Z346" i="4"/>
  <c r="G347" i="4"/>
  <c r="I347" i="4" s="1"/>
  <c r="W348" i="4"/>
  <c r="E348" i="4"/>
  <c r="AJ348" i="4"/>
  <c r="C350" i="4"/>
  <c r="D349" i="4"/>
  <c r="B348" i="4"/>
  <c r="J348" i="4"/>
  <c r="M348" i="4"/>
  <c r="U348" i="4"/>
  <c r="AK348" i="4"/>
  <c r="O348" i="4"/>
  <c r="L348" i="4"/>
  <c r="S348" i="4"/>
  <c r="N348" i="4"/>
  <c r="R348" i="4"/>
  <c r="H348" i="4"/>
  <c r="K348" i="4"/>
  <c r="V348" i="4"/>
  <c r="AI348" i="4"/>
  <c r="F348" i="4"/>
  <c r="Q348" i="4"/>
  <c r="T348" i="4"/>
  <c r="P348" i="4"/>
  <c r="Z347" i="4" l="1"/>
  <c r="AA347" i="4"/>
  <c r="Y348" i="4"/>
  <c r="G348" i="4"/>
  <c r="I348" i="4" s="1"/>
  <c r="V349" i="4"/>
  <c r="W349" i="4"/>
  <c r="C351" i="4"/>
  <c r="D350" i="4"/>
  <c r="E350" i="4" s="1"/>
  <c r="AL348" i="4"/>
  <c r="X348" i="4"/>
  <c r="B349" i="4"/>
  <c r="AI349" i="4"/>
  <c r="AJ349" i="4"/>
  <c r="AK349" i="4"/>
  <c r="O349" i="4"/>
  <c r="E349" i="4"/>
  <c r="F349" i="4"/>
  <c r="H349" i="4"/>
  <c r="L349" i="4"/>
  <c r="J349" i="4"/>
  <c r="K349" i="4"/>
  <c r="P349" i="4"/>
  <c r="R349" i="4"/>
  <c r="S349" i="4"/>
  <c r="U349" i="4"/>
  <c r="M349" i="4"/>
  <c r="N349" i="4"/>
  <c r="Q349" i="4"/>
  <c r="T349" i="4"/>
  <c r="Y349" i="4" l="1"/>
  <c r="G349" i="4"/>
  <c r="I349" i="4" s="1"/>
  <c r="X349" i="4"/>
  <c r="C352" i="4"/>
  <c r="D351" i="4"/>
  <c r="AJ351" i="4"/>
  <c r="AA348" i="4"/>
  <c r="Z348" i="4"/>
  <c r="AL349" i="4"/>
  <c r="B350" i="4"/>
  <c r="N350" i="4"/>
  <c r="AI350" i="4"/>
  <c r="P350" i="4"/>
  <c r="R350" i="4"/>
  <c r="V350" i="4"/>
  <c r="M350" i="4"/>
  <c r="Q350" i="4"/>
  <c r="S350" i="4"/>
  <c r="T350" i="4"/>
  <c r="U350" i="4"/>
  <c r="W350" i="4"/>
  <c r="AJ350" i="4"/>
  <c r="AK350" i="4"/>
  <c r="L350" i="4"/>
  <c r="F350" i="4"/>
  <c r="G350" i="4" s="1"/>
  <c r="H350" i="4"/>
  <c r="O350" i="4"/>
  <c r="J350" i="4"/>
  <c r="K350" i="4"/>
  <c r="AI351" i="4" l="1"/>
  <c r="AK351" i="4"/>
  <c r="H351" i="4"/>
  <c r="E351" i="4"/>
  <c r="J351" i="4"/>
  <c r="N351" i="4"/>
  <c r="K351" i="4"/>
  <c r="O351" i="4"/>
  <c r="M351" i="4"/>
  <c r="Q351" i="4"/>
  <c r="X350" i="4"/>
  <c r="AA350" i="4" s="1"/>
  <c r="AL350" i="4"/>
  <c r="AA349" i="4"/>
  <c r="Z349" i="4"/>
  <c r="R351" i="4"/>
  <c r="S351" i="4"/>
  <c r="F351" i="4"/>
  <c r="P351" i="4"/>
  <c r="U351" i="4"/>
  <c r="D352" i="4"/>
  <c r="C353" i="4"/>
  <c r="Y350" i="4"/>
  <c r="I350" i="4"/>
  <c r="B351" i="4"/>
  <c r="T351" i="4"/>
  <c r="L351" i="4"/>
  <c r="V351" i="4"/>
  <c r="W351" i="4"/>
  <c r="AL351" i="4" l="1"/>
  <c r="G351" i="4"/>
  <c r="I351" i="4" s="1"/>
  <c r="Z350" i="4"/>
  <c r="Y351" i="4"/>
  <c r="AJ352" i="4"/>
  <c r="O352" i="4"/>
  <c r="L352" i="4"/>
  <c r="D353" i="4"/>
  <c r="C354" i="4"/>
  <c r="X351" i="4"/>
  <c r="B352" i="4"/>
  <c r="U352" i="4"/>
  <c r="V352" i="4"/>
  <c r="AK352" i="4"/>
  <c r="E352" i="4"/>
  <c r="AI352" i="4"/>
  <c r="P352" i="4"/>
  <c r="N352" i="4"/>
  <c r="S352" i="4"/>
  <c r="H352" i="4"/>
  <c r="K352" i="4"/>
  <c r="M352" i="4"/>
  <c r="R352" i="4"/>
  <c r="W352" i="4"/>
  <c r="F352" i="4"/>
  <c r="J352" i="4"/>
  <c r="Q352" i="4"/>
  <c r="T352" i="4"/>
  <c r="V353" i="4" l="1"/>
  <c r="W353" i="4"/>
  <c r="X352" i="4"/>
  <c r="AA352" i="4" s="1"/>
  <c r="U353" i="4"/>
  <c r="AJ353" i="4"/>
  <c r="D354" i="4"/>
  <c r="C355" i="4"/>
  <c r="Z351" i="4"/>
  <c r="AA351" i="4"/>
  <c r="G352" i="4"/>
  <c r="I352" i="4" s="1"/>
  <c r="Y352" i="4"/>
  <c r="AL352" i="4"/>
  <c r="B353" i="4"/>
  <c r="F353" i="4"/>
  <c r="K353" i="4"/>
  <c r="L353" i="4"/>
  <c r="R353" i="4"/>
  <c r="P353" i="4"/>
  <c r="T353" i="4"/>
  <c r="X353" i="4" s="1"/>
  <c r="M353" i="4"/>
  <c r="N353" i="4"/>
  <c r="S353" i="4"/>
  <c r="AK353" i="4"/>
  <c r="O353" i="4"/>
  <c r="H353" i="4"/>
  <c r="J353" i="4"/>
  <c r="E353" i="4"/>
  <c r="AI353" i="4"/>
  <c r="Q353" i="4"/>
  <c r="Y353" i="4" l="1"/>
  <c r="Z353" i="4" s="1"/>
  <c r="G353" i="4"/>
  <c r="I353" i="4" s="1"/>
  <c r="O354" i="4"/>
  <c r="S354" i="4"/>
  <c r="T354" i="4"/>
  <c r="U354" i="4"/>
  <c r="V354" i="4"/>
  <c r="W354" i="4"/>
  <c r="AJ354" i="4"/>
  <c r="AK354" i="4"/>
  <c r="Z352" i="4"/>
  <c r="AA353" i="4"/>
  <c r="AL353" i="4"/>
  <c r="C356" i="4"/>
  <c r="D355" i="4"/>
  <c r="B354" i="4"/>
  <c r="F354" i="4"/>
  <c r="P354" i="4"/>
  <c r="H354" i="4"/>
  <c r="L354" i="4"/>
  <c r="M354" i="4"/>
  <c r="N354" i="4"/>
  <c r="Q354" i="4"/>
  <c r="R354" i="4"/>
  <c r="AI354" i="4"/>
  <c r="J354" i="4"/>
  <c r="K354" i="4"/>
  <c r="E354" i="4"/>
  <c r="G354" i="4" s="1"/>
  <c r="Y354" i="4" l="1"/>
  <c r="AL354" i="4"/>
  <c r="X354" i="4"/>
  <c r="T355" i="4"/>
  <c r="O355" i="4"/>
  <c r="P355" i="4"/>
  <c r="E355" i="4"/>
  <c r="L355" i="4"/>
  <c r="F355" i="4"/>
  <c r="H355" i="4"/>
  <c r="J355" i="4"/>
  <c r="Q355" i="4"/>
  <c r="R355" i="4"/>
  <c r="S355" i="4"/>
  <c r="N355" i="4"/>
  <c r="K355" i="4"/>
  <c r="M355" i="4"/>
  <c r="C357" i="4"/>
  <c r="D356" i="4"/>
  <c r="I354" i="4"/>
  <c r="B355" i="4"/>
  <c r="U355" i="4"/>
  <c r="V355" i="4"/>
  <c r="W355" i="4"/>
  <c r="AI355" i="4"/>
  <c r="AJ355" i="4"/>
  <c r="AK355" i="4"/>
  <c r="X355" i="4" l="1"/>
  <c r="AA355" i="4" s="1"/>
  <c r="AA354" i="4"/>
  <c r="Z354" i="4"/>
  <c r="G355" i="4"/>
  <c r="I355" i="4" s="1"/>
  <c r="Y355" i="4"/>
  <c r="N356" i="4"/>
  <c r="T356" i="4"/>
  <c r="C358" i="4"/>
  <c r="D357" i="4"/>
  <c r="J357" i="4"/>
  <c r="AL355" i="4"/>
  <c r="B356" i="4"/>
  <c r="R356" i="4"/>
  <c r="J356" i="4"/>
  <c r="P356" i="4"/>
  <c r="M356" i="4"/>
  <c r="W356" i="4"/>
  <c r="AK356" i="4"/>
  <c r="U356" i="4"/>
  <c r="K356" i="4"/>
  <c r="S356" i="4"/>
  <c r="E356" i="4"/>
  <c r="F356" i="4"/>
  <c r="H356" i="4"/>
  <c r="O356" i="4"/>
  <c r="L356" i="4"/>
  <c r="V356" i="4"/>
  <c r="Q356" i="4"/>
  <c r="AJ356" i="4"/>
  <c r="AI356" i="4"/>
  <c r="Z355" i="4" l="1"/>
  <c r="X356" i="4"/>
  <c r="AA356" i="4" s="1"/>
  <c r="AL356" i="4"/>
  <c r="Y356" i="4"/>
  <c r="F357" i="4"/>
  <c r="H357" i="4"/>
  <c r="K357" i="4"/>
  <c r="O357" i="4"/>
  <c r="R357" i="4"/>
  <c r="S357" i="4"/>
  <c r="T357" i="4"/>
  <c r="AI357" i="4"/>
  <c r="M357" i="4"/>
  <c r="N357" i="4"/>
  <c r="P357" i="4"/>
  <c r="Q357" i="4"/>
  <c r="U357" i="4"/>
  <c r="V357" i="4"/>
  <c r="W357" i="4"/>
  <c r="AJ357" i="4"/>
  <c r="AK357" i="4"/>
  <c r="L357" i="4"/>
  <c r="D358" i="4"/>
  <c r="C359" i="4"/>
  <c r="G356" i="4"/>
  <c r="I356" i="4" s="1"/>
  <c r="B357" i="4"/>
  <c r="E357" i="4"/>
  <c r="Z356" i="4" l="1"/>
  <c r="Y357" i="4"/>
  <c r="AJ358" i="4"/>
  <c r="AK358" i="4"/>
  <c r="X357" i="4"/>
  <c r="AL357" i="4"/>
  <c r="G357" i="4"/>
  <c r="I357" i="4" s="1"/>
  <c r="C360" i="4"/>
  <c r="D359" i="4"/>
  <c r="E359" i="4" s="1"/>
  <c r="B358" i="4"/>
  <c r="P358" i="4"/>
  <c r="O358" i="4"/>
  <c r="J358" i="4"/>
  <c r="V358" i="4"/>
  <c r="K358" i="4"/>
  <c r="N358" i="4"/>
  <c r="R358" i="4"/>
  <c r="T358" i="4"/>
  <c r="E358" i="4"/>
  <c r="H358" i="4"/>
  <c r="W358" i="4"/>
  <c r="L358" i="4"/>
  <c r="S358" i="4"/>
  <c r="AI358" i="4"/>
  <c r="Q358" i="4"/>
  <c r="M358" i="4"/>
  <c r="U358" i="4"/>
  <c r="F358" i="4"/>
  <c r="AL358" i="4" l="1"/>
  <c r="L359" i="4"/>
  <c r="AI359" i="4"/>
  <c r="M359" i="4"/>
  <c r="R359" i="4"/>
  <c r="P359" i="4"/>
  <c r="S359" i="4"/>
  <c r="K359" i="4"/>
  <c r="Q359" i="4"/>
  <c r="AJ359" i="4"/>
  <c r="T359" i="4"/>
  <c r="U359" i="4"/>
  <c r="V359" i="4"/>
  <c r="W359" i="4"/>
  <c r="AK359" i="4"/>
  <c r="Z357" i="4"/>
  <c r="AA357" i="4"/>
  <c r="N359" i="4"/>
  <c r="F359" i="4"/>
  <c r="G359" i="4" s="1"/>
  <c r="H359" i="4"/>
  <c r="J359" i="4"/>
  <c r="G358" i="4"/>
  <c r="I358" i="4" s="1"/>
  <c r="D360" i="4"/>
  <c r="O360" i="4" s="1"/>
  <c r="W360" i="4"/>
  <c r="C361" i="4"/>
  <c r="X358" i="4"/>
  <c r="AA358" i="4" s="1"/>
  <c r="Y358" i="4"/>
  <c r="B359" i="4"/>
  <c r="O359" i="4"/>
  <c r="X359" i="4" l="1"/>
  <c r="AA359" i="4" s="1"/>
  <c r="Y359" i="4"/>
  <c r="AL359" i="4"/>
  <c r="I359" i="4"/>
  <c r="L360" i="4"/>
  <c r="AJ360" i="4"/>
  <c r="AK360" i="4"/>
  <c r="E360" i="4"/>
  <c r="U360" i="4"/>
  <c r="Y360" i="4" s="1"/>
  <c r="T360" i="4"/>
  <c r="V360" i="4"/>
  <c r="C362" i="4"/>
  <c r="D361" i="4"/>
  <c r="Z358" i="4"/>
  <c r="B360" i="4"/>
  <c r="J360" i="4"/>
  <c r="M360" i="4"/>
  <c r="Q360" i="4"/>
  <c r="H360" i="4"/>
  <c r="N360" i="4"/>
  <c r="R360" i="4"/>
  <c r="AI360" i="4"/>
  <c r="F360" i="4"/>
  <c r="K360" i="4"/>
  <c r="P360" i="4"/>
  <c r="S360" i="4"/>
  <c r="Z359" i="4" l="1"/>
  <c r="X360" i="4"/>
  <c r="U361" i="4"/>
  <c r="O361" i="4"/>
  <c r="AL360" i="4"/>
  <c r="G360" i="4"/>
  <c r="I360" i="4" s="1"/>
  <c r="D362" i="4"/>
  <c r="C363" i="4"/>
  <c r="B361" i="4"/>
  <c r="F361" i="4"/>
  <c r="H361" i="4"/>
  <c r="J361" i="4"/>
  <c r="K361" i="4"/>
  <c r="P361" i="4"/>
  <c r="Q361" i="4"/>
  <c r="S361" i="4"/>
  <c r="AJ361" i="4"/>
  <c r="T361" i="4"/>
  <c r="V361" i="4"/>
  <c r="W361" i="4"/>
  <c r="AK361" i="4"/>
  <c r="L361" i="4"/>
  <c r="E361" i="4"/>
  <c r="N361" i="4"/>
  <c r="R361" i="4"/>
  <c r="M361" i="4"/>
  <c r="AI361" i="4"/>
  <c r="N362" i="4" l="1"/>
  <c r="P362" i="4"/>
  <c r="Q362" i="4"/>
  <c r="R362" i="4"/>
  <c r="S362" i="4"/>
  <c r="H362" i="4"/>
  <c r="O362" i="4"/>
  <c r="U362" i="4"/>
  <c r="W362" i="4"/>
  <c r="J362" i="4"/>
  <c r="K362" i="4"/>
  <c r="T362" i="4"/>
  <c r="AJ362" i="4"/>
  <c r="AK362" i="4"/>
  <c r="M362" i="4"/>
  <c r="E362" i="4"/>
  <c r="G362" i="4" s="1"/>
  <c r="AI362" i="4"/>
  <c r="L362" i="4"/>
  <c r="AA360" i="4"/>
  <c r="Z360" i="4"/>
  <c r="G361" i="4"/>
  <c r="I361" i="4" s="1"/>
  <c r="X361" i="4"/>
  <c r="AA361" i="4" s="1"/>
  <c r="Y361" i="4"/>
  <c r="AL361" i="4"/>
  <c r="B362" i="4"/>
  <c r="F362" i="4"/>
  <c r="V362" i="4"/>
  <c r="C364" i="4"/>
  <c r="D363" i="4"/>
  <c r="M363" i="4"/>
  <c r="Y362" i="4" l="1"/>
  <c r="AL362" i="4"/>
  <c r="I362" i="4"/>
  <c r="X362" i="4"/>
  <c r="AA362" i="4" s="1"/>
  <c r="Z361" i="4"/>
  <c r="N363" i="4"/>
  <c r="P363" i="4"/>
  <c r="Q363" i="4"/>
  <c r="R363" i="4"/>
  <c r="S363" i="4"/>
  <c r="T363" i="4"/>
  <c r="U363" i="4"/>
  <c r="V363" i="4"/>
  <c r="W363" i="4"/>
  <c r="M364" i="4"/>
  <c r="C365" i="4"/>
  <c r="D364" i="4"/>
  <c r="K364" i="4" s="1"/>
  <c r="B363" i="4"/>
  <c r="E363" i="4"/>
  <c r="AJ363" i="4"/>
  <c r="AK363" i="4"/>
  <c r="L363" i="4"/>
  <c r="O363" i="4"/>
  <c r="J363" i="4"/>
  <c r="H363" i="4"/>
  <c r="K363" i="4"/>
  <c r="F363" i="4"/>
  <c r="AI363" i="4"/>
  <c r="Z362" i="4" l="1"/>
  <c r="X363" i="4"/>
  <c r="AA363" i="4" s="1"/>
  <c r="AL363" i="4"/>
  <c r="Y363" i="4"/>
  <c r="N364" i="4"/>
  <c r="P364" i="4"/>
  <c r="R364" i="4"/>
  <c r="S364" i="4"/>
  <c r="T364" i="4"/>
  <c r="U364" i="4"/>
  <c r="AI364" i="4"/>
  <c r="Q364" i="4"/>
  <c r="V364" i="4"/>
  <c r="E364" i="4"/>
  <c r="L364" i="4"/>
  <c r="O364" i="4"/>
  <c r="F364" i="4"/>
  <c r="H364" i="4"/>
  <c r="D365" i="4"/>
  <c r="C366" i="4"/>
  <c r="G363" i="4"/>
  <c r="I363" i="4" s="1"/>
  <c r="B364" i="4"/>
  <c r="J364" i="4"/>
  <c r="W364" i="4"/>
  <c r="AJ364" i="4"/>
  <c r="AK364" i="4"/>
  <c r="Z363" i="4" l="1"/>
  <c r="G364" i="4"/>
  <c r="I364" i="4" s="1"/>
  <c r="X364" i="4"/>
  <c r="AA364" i="4" s="1"/>
  <c r="Y364" i="4"/>
  <c r="AL364" i="4"/>
  <c r="L365" i="4"/>
  <c r="F365" i="4"/>
  <c r="D366" i="4"/>
  <c r="C367" i="4"/>
  <c r="B365" i="4"/>
  <c r="E365" i="4"/>
  <c r="H365" i="4"/>
  <c r="J365" i="4"/>
  <c r="K365" i="4"/>
  <c r="M365" i="4"/>
  <c r="N365" i="4"/>
  <c r="P365" i="4"/>
  <c r="Q365" i="4"/>
  <c r="R365" i="4"/>
  <c r="S365" i="4"/>
  <c r="T365" i="4"/>
  <c r="V365" i="4"/>
  <c r="W365" i="4"/>
  <c r="AJ365" i="4"/>
  <c r="U365" i="4"/>
  <c r="AK365" i="4"/>
  <c r="O365" i="4"/>
  <c r="AI365" i="4"/>
  <c r="Y365" i="4" l="1"/>
  <c r="Z364" i="4"/>
  <c r="AL365" i="4"/>
  <c r="G365" i="4"/>
  <c r="I365" i="4" s="1"/>
  <c r="AI366" i="4"/>
  <c r="J366" i="4"/>
  <c r="N366" i="4"/>
  <c r="P366" i="4"/>
  <c r="K366" i="4"/>
  <c r="V366" i="4"/>
  <c r="H366" i="4"/>
  <c r="L366" i="4"/>
  <c r="R366" i="4"/>
  <c r="T366" i="4"/>
  <c r="U366" i="4"/>
  <c r="W366" i="4"/>
  <c r="AJ366" i="4"/>
  <c r="E366" i="4"/>
  <c r="AK366" i="4"/>
  <c r="O366" i="4"/>
  <c r="F366" i="4"/>
  <c r="C368" i="4"/>
  <c r="D367" i="4"/>
  <c r="F367" i="4" s="1"/>
  <c r="X365" i="4"/>
  <c r="B366" i="4"/>
  <c r="M366" i="4"/>
  <c r="Q366" i="4"/>
  <c r="S366" i="4"/>
  <c r="Y366" i="4" l="1"/>
  <c r="X366" i="4"/>
  <c r="G366" i="4"/>
  <c r="I366" i="4" s="1"/>
  <c r="AL366" i="4"/>
  <c r="O367" i="4"/>
  <c r="L367" i="4"/>
  <c r="AI367" i="4"/>
  <c r="C369" i="4"/>
  <c r="D368" i="4"/>
  <c r="AA365" i="4"/>
  <c r="Z365" i="4"/>
  <c r="B367" i="4"/>
  <c r="N367" i="4"/>
  <c r="R367" i="4"/>
  <c r="U367" i="4"/>
  <c r="V367" i="4"/>
  <c r="W367" i="4"/>
  <c r="AJ367" i="4"/>
  <c r="AK367" i="4"/>
  <c r="J367" i="4"/>
  <c r="K367" i="4"/>
  <c r="E367" i="4"/>
  <c r="G367" i="4" s="1"/>
  <c r="Q367" i="4"/>
  <c r="S367" i="4"/>
  <c r="H367" i="4"/>
  <c r="M367" i="4"/>
  <c r="P367" i="4"/>
  <c r="T367" i="4"/>
  <c r="AL367" i="4" l="1"/>
  <c r="Z366" i="4"/>
  <c r="AA366" i="4"/>
  <c r="N368" i="4"/>
  <c r="P368" i="4"/>
  <c r="Q368" i="4"/>
  <c r="R368" i="4"/>
  <c r="E369" i="4"/>
  <c r="C370" i="4"/>
  <c r="D369" i="4"/>
  <c r="F369" i="4" s="1"/>
  <c r="Y367" i="4"/>
  <c r="X367" i="4"/>
  <c r="AA367" i="4" s="1"/>
  <c r="I367" i="4"/>
  <c r="B368" i="4"/>
  <c r="H368" i="4"/>
  <c r="K368" i="4"/>
  <c r="S368" i="4"/>
  <c r="T368" i="4"/>
  <c r="U368" i="4"/>
  <c r="V368" i="4"/>
  <c r="W368" i="4"/>
  <c r="AJ368" i="4"/>
  <c r="AK368" i="4"/>
  <c r="AI368" i="4"/>
  <c r="E368" i="4"/>
  <c r="L368" i="4"/>
  <c r="J368" i="4"/>
  <c r="F368" i="4"/>
  <c r="O368" i="4"/>
  <c r="M368" i="4"/>
  <c r="G368" i="4" l="1"/>
  <c r="I368" i="4" s="1"/>
  <c r="J369" i="4"/>
  <c r="H369" i="4"/>
  <c r="Y368" i="4"/>
  <c r="X368" i="4"/>
  <c r="AA368" i="4" s="1"/>
  <c r="C371" i="4"/>
  <c r="D370" i="4"/>
  <c r="Z367" i="4"/>
  <c r="AL368" i="4"/>
  <c r="G369" i="4"/>
  <c r="B369" i="4"/>
  <c r="K369" i="4"/>
  <c r="O369" i="4"/>
  <c r="AI369" i="4"/>
  <c r="L369" i="4"/>
  <c r="M369" i="4"/>
  <c r="N369" i="4"/>
  <c r="P369" i="4"/>
  <c r="Q369" i="4"/>
  <c r="AJ369" i="4"/>
  <c r="R369" i="4"/>
  <c r="S369" i="4"/>
  <c r="T369" i="4"/>
  <c r="U369" i="4"/>
  <c r="V369" i="4"/>
  <c r="W369" i="4"/>
  <c r="AK369" i="4"/>
  <c r="R370" i="4" l="1"/>
  <c r="S370" i="4"/>
  <c r="AL369" i="4"/>
  <c r="Z368" i="4"/>
  <c r="I369" i="4"/>
  <c r="AK370" i="4"/>
  <c r="E370" i="4"/>
  <c r="D371" i="4"/>
  <c r="C372" i="4"/>
  <c r="X369" i="4"/>
  <c r="AA369" i="4" s="1"/>
  <c r="Y369" i="4"/>
  <c r="B370" i="4"/>
  <c r="O370" i="4"/>
  <c r="F370" i="4"/>
  <c r="H370" i="4"/>
  <c r="AI370" i="4"/>
  <c r="J370" i="4"/>
  <c r="K370" i="4"/>
  <c r="L370" i="4"/>
  <c r="V370" i="4"/>
  <c r="AJ370" i="4"/>
  <c r="M370" i="4"/>
  <c r="N370" i="4"/>
  <c r="P370" i="4"/>
  <c r="Q370" i="4"/>
  <c r="T370" i="4"/>
  <c r="U370" i="4"/>
  <c r="W370" i="4"/>
  <c r="H371" i="4" l="1"/>
  <c r="J371" i="4"/>
  <c r="F371" i="4"/>
  <c r="O371" i="4"/>
  <c r="E371" i="4"/>
  <c r="T371" i="4"/>
  <c r="U371" i="4"/>
  <c r="V371" i="4"/>
  <c r="G370" i="4"/>
  <c r="I370" i="4" s="1"/>
  <c r="Y370" i="4"/>
  <c r="AL370" i="4"/>
  <c r="K371" i="4"/>
  <c r="L371" i="4"/>
  <c r="P371" i="4"/>
  <c r="Q371" i="4"/>
  <c r="R371" i="4"/>
  <c r="W371" i="4"/>
  <c r="AJ371" i="4"/>
  <c r="AK371" i="4"/>
  <c r="AI371" i="4"/>
  <c r="D372" i="4"/>
  <c r="N372" i="4" s="1"/>
  <c r="C373" i="4"/>
  <c r="Z369" i="4"/>
  <c r="X370" i="4"/>
  <c r="B371" i="4"/>
  <c r="N371" i="4"/>
  <c r="S371" i="4"/>
  <c r="M371" i="4"/>
  <c r="AL371" i="4" l="1"/>
  <c r="P372" i="4"/>
  <c r="Q372" i="4"/>
  <c r="S372" i="4"/>
  <c r="T372" i="4"/>
  <c r="U372" i="4"/>
  <c r="V372" i="4"/>
  <c r="X371" i="4"/>
  <c r="AA371" i="4" s="1"/>
  <c r="Y371" i="4"/>
  <c r="G371" i="4"/>
  <c r="I371" i="4" s="1"/>
  <c r="AI372" i="4"/>
  <c r="W372" i="4"/>
  <c r="AJ372" i="4"/>
  <c r="H372" i="4"/>
  <c r="J372" i="4"/>
  <c r="K372" i="4"/>
  <c r="AK372" i="4"/>
  <c r="O372" i="4"/>
  <c r="R372" i="4"/>
  <c r="E372" i="4"/>
  <c r="C374" i="4"/>
  <c r="D373" i="4"/>
  <c r="AK373" i="4" s="1"/>
  <c r="AA370" i="4"/>
  <c r="Z370" i="4"/>
  <c r="B372" i="4"/>
  <c r="L372" i="4"/>
  <c r="M372" i="4"/>
  <c r="F372" i="4"/>
  <c r="X372" i="4" l="1"/>
  <c r="AA372" i="4" s="1"/>
  <c r="Z371" i="4"/>
  <c r="Y372" i="4"/>
  <c r="AL372" i="4"/>
  <c r="G372" i="4"/>
  <c r="I372" i="4" s="1"/>
  <c r="D374" i="4"/>
  <c r="C375" i="4"/>
  <c r="B373" i="4"/>
  <c r="H373" i="4"/>
  <c r="P373" i="4"/>
  <c r="S373" i="4"/>
  <c r="U373" i="4"/>
  <c r="W373" i="4"/>
  <c r="AJ373" i="4"/>
  <c r="E373" i="4"/>
  <c r="R373" i="4"/>
  <c r="F373" i="4"/>
  <c r="J373" i="4"/>
  <c r="K373" i="4"/>
  <c r="L373" i="4"/>
  <c r="N373" i="4"/>
  <c r="Q373" i="4"/>
  <c r="T373" i="4"/>
  <c r="V373" i="4"/>
  <c r="AI373" i="4"/>
  <c r="AL373" i="4" s="1"/>
  <c r="O373" i="4"/>
  <c r="M373" i="4"/>
  <c r="Z372" i="4" l="1"/>
  <c r="J374" i="4"/>
  <c r="K374" i="4"/>
  <c r="Y373" i="4"/>
  <c r="G373" i="4"/>
  <c r="I373" i="4" s="1"/>
  <c r="O374" i="4"/>
  <c r="L374" i="4"/>
  <c r="M374" i="4"/>
  <c r="N374" i="4"/>
  <c r="P374" i="4"/>
  <c r="Q374" i="4"/>
  <c r="S374" i="4"/>
  <c r="T374" i="4"/>
  <c r="U374" i="4"/>
  <c r="V374" i="4"/>
  <c r="W374" i="4"/>
  <c r="AJ374" i="4"/>
  <c r="C376" i="4"/>
  <c r="D375" i="4"/>
  <c r="X373" i="4"/>
  <c r="B374" i="4"/>
  <c r="E374" i="4"/>
  <c r="R374" i="4"/>
  <c r="AI374" i="4"/>
  <c r="F374" i="4"/>
  <c r="H374" i="4"/>
  <c r="AK374" i="4"/>
  <c r="X374" i="4" l="1"/>
  <c r="AA374" i="4" s="1"/>
  <c r="Y374" i="4"/>
  <c r="AL374" i="4"/>
  <c r="E375" i="4"/>
  <c r="U375" i="4"/>
  <c r="C377" i="4"/>
  <c r="D376" i="4"/>
  <c r="Z373" i="4"/>
  <c r="AA373" i="4"/>
  <c r="G374" i="4"/>
  <c r="I374" i="4" s="1"/>
  <c r="B375" i="4"/>
  <c r="H375" i="4"/>
  <c r="M375" i="4"/>
  <c r="F375" i="4"/>
  <c r="R375" i="4"/>
  <c r="AI375" i="4"/>
  <c r="J375" i="4"/>
  <c r="K375" i="4"/>
  <c r="O375" i="4"/>
  <c r="L375" i="4"/>
  <c r="N375" i="4"/>
  <c r="P375" i="4"/>
  <c r="Q375" i="4"/>
  <c r="S375" i="4"/>
  <c r="T375" i="4"/>
  <c r="V375" i="4"/>
  <c r="W375" i="4"/>
  <c r="Y375" i="4" s="1"/>
  <c r="AJ375" i="4"/>
  <c r="AK375" i="4"/>
  <c r="Z374" i="4" l="1"/>
  <c r="G375" i="4"/>
  <c r="I375" i="4" s="1"/>
  <c r="K376" i="4"/>
  <c r="H376" i="4"/>
  <c r="M376" i="4"/>
  <c r="P376" i="4"/>
  <c r="S376" i="4"/>
  <c r="T376" i="4"/>
  <c r="V376" i="4"/>
  <c r="W376" i="4"/>
  <c r="AJ376" i="4"/>
  <c r="E376" i="4"/>
  <c r="O376" i="4"/>
  <c r="F376" i="4"/>
  <c r="C378" i="4"/>
  <c r="D377" i="4"/>
  <c r="E377" i="4"/>
  <c r="AL375" i="4"/>
  <c r="X375" i="4"/>
  <c r="B376" i="4"/>
  <c r="AI376" i="4"/>
  <c r="J376" i="4"/>
  <c r="L376" i="4"/>
  <c r="N376" i="4"/>
  <c r="Q376" i="4"/>
  <c r="U376" i="4"/>
  <c r="AK376" i="4"/>
  <c r="R376" i="4"/>
  <c r="O377" i="4" l="1"/>
  <c r="T377" i="4"/>
  <c r="U377" i="4"/>
  <c r="V377" i="4"/>
  <c r="W377" i="4"/>
  <c r="Y377" i="4" s="1"/>
  <c r="X376" i="4"/>
  <c r="AA376" i="4" s="1"/>
  <c r="G376" i="4"/>
  <c r="I376" i="4" s="1"/>
  <c r="Y376" i="4"/>
  <c r="H377" i="4"/>
  <c r="J377" i="4"/>
  <c r="L377" i="4"/>
  <c r="N377" i="4"/>
  <c r="AJ377" i="4"/>
  <c r="AK377" i="4"/>
  <c r="F377" i="4"/>
  <c r="G377" i="4" s="1"/>
  <c r="AI377" i="4"/>
  <c r="C379" i="4"/>
  <c r="D378" i="4"/>
  <c r="AA375" i="4"/>
  <c r="Z375" i="4"/>
  <c r="AL376" i="4"/>
  <c r="B377" i="4"/>
  <c r="K377" i="4"/>
  <c r="M377" i="4"/>
  <c r="P377" i="4"/>
  <c r="Q377" i="4"/>
  <c r="R377" i="4"/>
  <c r="S377" i="4"/>
  <c r="X377" i="4" l="1"/>
  <c r="Z376" i="4"/>
  <c r="AL377" i="4"/>
  <c r="I377" i="4"/>
  <c r="C380" i="4"/>
  <c r="D379" i="4"/>
  <c r="B378" i="4"/>
  <c r="U378" i="4"/>
  <c r="V378" i="4"/>
  <c r="W378" i="4"/>
  <c r="AI378" i="4"/>
  <c r="J378" i="4"/>
  <c r="R378" i="4"/>
  <c r="N378" i="4"/>
  <c r="T378" i="4"/>
  <c r="AK378" i="4"/>
  <c r="F378" i="4"/>
  <c r="K378" i="4"/>
  <c r="M378" i="4"/>
  <c r="L378" i="4"/>
  <c r="P378" i="4"/>
  <c r="AJ378" i="4"/>
  <c r="E378" i="4"/>
  <c r="H378" i="4"/>
  <c r="Q378" i="4"/>
  <c r="S378" i="4"/>
  <c r="O378" i="4"/>
  <c r="AA377" i="4" l="1"/>
  <c r="Z377" i="4"/>
  <c r="AK379" i="4"/>
  <c r="E379" i="4"/>
  <c r="X378" i="4"/>
  <c r="AA378" i="4" s="1"/>
  <c r="AL378" i="4"/>
  <c r="G378" i="4"/>
  <c r="I378" i="4" s="1"/>
  <c r="C381" i="4"/>
  <c r="D380" i="4"/>
  <c r="Y378" i="4"/>
  <c r="B379" i="4"/>
  <c r="N379" i="4"/>
  <c r="F379" i="4"/>
  <c r="K379" i="4"/>
  <c r="M379" i="4"/>
  <c r="Q379" i="4"/>
  <c r="S379" i="4"/>
  <c r="T379" i="4"/>
  <c r="U379" i="4"/>
  <c r="V379" i="4"/>
  <c r="W379" i="4"/>
  <c r="AJ379" i="4"/>
  <c r="H379" i="4"/>
  <c r="J379" i="4"/>
  <c r="O379" i="4"/>
  <c r="L379" i="4"/>
  <c r="P379" i="4"/>
  <c r="AI379" i="4"/>
  <c r="R379" i="4"/>
  <c r="AL379" i="4" l="1"/>
  <c r="G379" i="4"/>
  <c r="I379" i="4" s="1"/>
  <c r="X379" i="4"/>
  <c r="AA379" i="4" s="1"/>
  <c r="Z378" i="4"/>
  <c r="Y379" i="4"/>
  <c r="J380" i="4"/>
  <c r="L380" i="4"/>
  <c r="P380" i="4"/>
  <c r="Q380" i="4"/>
  <c r="C382" i="4"/>
  <c r="D381" i="4"/>
  <c r="R381" i="4"/>
  <c r="B380" i="4"/>
  <c r="R380" i="4"/>
  <c r="S380" i="4"/>
  <c r="T380" i="4"/>
  <c r="F380" i="4"/>
  <c r="O380" i="4"/>
  <c r="K380" i="4"/>
  <c r="M380" i="4"/>
  <c r="U380" i="4"/>
  <c r="V380" i="4"/>
  <c r="W380" i="4"/>
  <c r="AJ380" i="4"/>
  <c r="AK380" i="4"/>
  <c r="AI380" i="4"/>
  <c r="E380" i="4"/>
  <c r="N380" i="4"/>
  <c r="H380" i="4"/>
  <c r="G380" i="4" l="1"/>
  <c r="I380" i="4" s="1"/>
  <c r="Z379" i="4"/>
  <c r="J381" i="4"/>
  <c r="K381" i="4"/>
  <c r="O381" i="4"/>
  <c r="L381" i="4"/>
  <c r="M381" i="4"/>
  <c r="N381" i="4"/>
  <c r="P381" i="4"/>
  <c r="Q381" i="4"/>
  <c r="S381" i="4"/>
  <c r="W381" i="4"/>
  <c r="T381" i="4"/>
  <c r="U381" i="4"/>
  <c r="AJ381" i="4"/>
  <c r="AK381" i="4"/>
  <c r="AL380" i="4"/>
  <c r="C383" i="4"/>
  <c r="D382" i="4"/>
  <c r="E382" i="4" s="1"/>
  <c r="Y380" i="4"/>
  <c r="X380" i="4"/>
  <c r="AA380" i="4" s="1"/>
  <c r="B381" i="4"/>
  <c r="E381" i="4"/>
  <c r="H381" i="4"/>
  <c r="V381" i="4"/>
  <c r="AI381" i="4"/>
  <c r="F381" i="4"/>
  <c r="H382" i="4" l="1"/>
  <c r="O382" i="4"/>
  <c r="Y381" i="4"/>
  <c r="AL381" i="4"/>
  <c r="X381" i="4"/>
  <c r="U382" i="4"/>
  <c r="F382" i="4"/>
  <c r="G382" i="4" s="1"/>
  <c r="J382" i="4"/>
  <c r="K382" i="4"/>
  <c r="L382" i="4"/>
  <c r="M382" i="4"/>
  <c r="N382" i="4"/>
  <c r="P382" i="4"/>
  <c r="Q382" i="4"/>
  <c r="T382" i="4"/>
  <c r="W382" i="4"/>
  <c r="S382" i="4"/>
  <c r="V382" i="4"/>
  <c r="AJ382" i="4"/>
  <c r="C384" i="4"/>
  <c r="D383" i="4"/>
  <c r="K383" i="4" s="1"/>
  <c r="Z380" i="4"/>
  <c r="G381" i="4"/>
  <c r="I381" i="4" s="1"/>
  <c r="B382" i="4"/>
  <c r="R382" i="4"/>
  <c r="AK382" i="4"/>
  <c r="AI382" i="4"/>
  <c r="I382" i="4" l="1"/>
  <c r="AI383" i="4"/>
  <c r="R383" i="4"/>
  <c r="Y382" i="4"/>
  <c r="X382" i="4"/>
  <c r="AA382" i="4" s="1"/>
  <c r="AA381" i="4"/>
  <c r="Z381" i="4"/>
  <c r="L383" i="4"/>
  <c r="M383" i="4"/>
  <c r="N383" i="4"/>
  <c r="P383" i="4"/>
  <c r="Q383" i="4"/>
  <c r="S383" i="4"/>
  <c r="T383" i="4"/>
  <c r="V383" i="4"/>
  <c r="W383" i="4"/>
  <c r="AJ383" i="4"/>
  <c r="U383" i="4"/>
  <c r="AK383" i="4"/>
  <c r="O383" i="4"/>
  <c r="D384" i="4"/>
  <c r="C385" i="4"/>
  <c r="AL382" i="4"/>
  <c r="B383" i="4"/>
  <c r="E383" i="4"/>
  <c r="J383" i="4"/>
  <c r="F383" i="4"/>
  <c r="H383" i="4"/>
  <c r="E384" i="4" l="1"/>
  <c r="N384" i="4"/>
  <c r="T384" i="4"/>
  <c r="O384" i="4"/>
  <c r="AL383" i="4"/>
  <c r="Z382" i="4"/>
  <c r="Y383" i="4"/>
  <c r="X383" i="4"/>
  <c r="G383" i="4"/>
  <c r="I383" i="4" s="1"/>
  <c r="F384" i="4"/>
  <c r="J384" i="4"/>
  <c r="R384" i="4"/>
  <c r="C386" i="4"/>
  <c r="D385" i="4"/>
  <c r="B384" i="4"/>
  <c r="H384" i="4"/>
  <c r="AI384" i="4"/>
  <c r="K384" i="4"/>
  <c r="L384" i="4"/>
  <c r="M384" i="4"/>
  <c r="P384" i="4"/>
  <c r="Q384" i="4"/>
  <c r="S384" i="4"/>
  <c r="U384" i="4"/>
  <c r="V384" i="4"/>
  <c r="W384" i="4"/>
  <c r="AJ384" i="4"/>
  <c r="AK384" i="4"/>
  <c r="G384" i="4" l="1"/>
  <c r="X384" i="4"/>
  <c r="Y384" i="4"/>
  <c r="Z384" i="4" s="1"/>
  <c r="AA384" i="4"/>
  <c r="W385" i="4"/>
  <c r="E385" i="4"/>
  <c r="AI385" i="4"/>
  <c r="P385" i="4"/>
  <c r="S385" i="4"/>
  <c r="AA383" i="4"/>
  <c r="Z383" i="4"/>
  <c r="AL384" i="4"/>
  <c r="D386" i="4"/>
  <c r="C387" i="4"/>
  <c r="I384" i="4"/>
  <c r="B385" i="4"/>
  <c r="O385" i="4"/>
  <c r="H385" i="4"/>
  <c r="K385" i="4"/>
  <c r="M385" i="4"/>
  <c r="Q385" i="4"/>
  <c r="T385" i="4"/>
  <c r="V385" i="4"/>
  <c r="AJ385" i="4"/>
  <c r="R385" i="4"/>
  <c r="F385" i="4"/>
  <c r="J385" i="4"/>
  <c r="L385" i="4"/>
  <c r="N385" i="4"/>
  <c r="U385" i="4"/>
  <c r="AK385" i="4"/>
  <c r="G385" i="4" l="1"/>
  <c r="I385" i="4" s="1"/>
  <c r="Y385" i="4"/>
  <c r="AL385" i="4"/>
  <c r="X385" i="4"/>
  <c r="C388" i="4"/>
  <c r="D387" i="4"/>
  <c r="B386" i="4"/>
  <c r="H386" i="4"/>
  <c r="K386" i="4"/>
  <c r="L386" i="4"/>
  <c r="F386" i="4"/>
  <c r="J386" i="4"/>
  <c r="O386" i="4"/>
  <c r="M386" i="4"/>
  <c r="N386" i="4"/>
  <c r="T386" i="4"/>
  <c r="Q386" i="4"/>
  <c r="S386" i="4"/>
  <c r="U386" i="4"/>
  <c r="W386" i="4"/>
  <c r="AI386" i="4"/>
  <c r="E386" i="4"/>
  <c r="P386" i="4"/>
  <c r="V386" i="4"/>
  <c r="R386" i="4"/>
  <c r="AJ386" i="4"/>
  <c r="AK386" i="4"/>
  <c r="G386" i="4" l="1"/>
  <c r="I386" i="4" s="1"/>
  <c r="X386" i="4"/>
  <c r="AA386" i="4" s="1"/>
  <c r="K387" i="4"/>
  <c r="Q387" i="4"/>
  <c r="AA385" i="4"/>
  <c r="Z385" i="4"/>
  <c r="B387" i="4"/>
  <c r="U387" i="4"/>
  <c r="H387" i="4"/>
  <c r="N387" i="4"/>
  <c r="P387" i="4"/>
  <c r="R387" i="4"/>
  <c r="T387" i="4"/>
  <c r="AJ387" i="4"/>
  <c r="F387" i="4"/>
  <c r="M387" i="4"/>
  <c r="S387" i="4"/>
  <c r="V387" i="4"/>
  <c r="W387" i="4"/>
  <c r="L387" i="4"/>
  <c r="AK387" i="4"/>
  <c r="AI387" i="4"/>
  <c r="O387" i="4"/>
  <c r="E387" i="4"/>
  <c r="J387" i="4"/>
  <c r="D388" i="4"/>
  <c r="V388" i="4" s="1"/>
  <c r="C389" i="4"/>
  <c r="Y386" i="4"/>
  <c r="AL386" i="4"/>
  <c r="Z386" i="4" l="1"/>
  <c r="Y387" i="4"/>
  <c r="X387" i="4"/>
  <c r="AA387" i="4" s="1"/>
  <c r="AL387" i="4"/>
  <c r="E388" i="4"/>
  <c r="F388" i="4"/>
  <c r="U388" i="4"/>
  <c r="W388" i="4"/>
  <c r="AJ388" i="4"/>
  <c r="G387" i="4"/>
  <c r="I387" i="4" s="1"/>
  <c r="H388" i="4"/>
  <c r="R388" i="4"/>
  <c r="J388" i="4"/>
  <c r="T388" i="4"/>
  <c r="X388" i="4" s="1"/>
  <c r="O388" i="4"/>
  <c r="C390" i="4"/>
  <c r="D389" i="4"/>
  <c r="B388" i="4"/>
  <c r="K388" i="4"/>
  <c r="L388" i="4"/>
  <c r="N388" i="4"/>
  <c r="P388" i="4"/>
  <c r="S388" i="4"/>
  <c r="M388" i="4"/>
  <c r="Q388" i="4"/>
  <c r="AK388" i="4"/>
  <c r="AI388" i="4"/>
  <c r="Y388" i="4" l="1"/>
  <c r="Z388" i="4" s="1"/>
  <c r="G388" i="4"/>
  <c r="I388" i="4" s="1"/>
  <c r="Z387" i="4"/>
  <c r="AA388" i="4"/>
  <c r="F389" i="4"/>
  <c r="H389" i="4"/>
  <c r="J389" i="4"/>
  <c r="K389" i="4"/>
  <c r="AI389" i="4"/>
  <c r="L389" i="4"/>
  <c r="M389" i="4"/>
  <c r="P389" i="4"/>
  <c r="Q389" i="4"/>
  <c r="W389" i="4"/>
  <c r="AJ389" i="4"/>
  <c r="AK389" i="4"/>
  <c r="E389" i="4"/>
  <c r="C391" i="4"/>
  <c r="D390" i="4"/>
  <c r="U390" i="4" s="1"/>
  <c r="AL388" i="4"/>
  <c r="B389" i="4"/>
  <c r="O389" i="4"/>
  <c r="N389" i="4"/>
  <c r="S389" i="4"/>
  <c r="T389" i="4"/>
  <c r="U389" i="4"/>
  <c r="V389" i="4"/>
  <c r="R389" i="4"/>
  <c r="G389" i="4" l="1"/>
  <c r="I389" i="4" s="1"/>
  <c r="AL389" i="4"/>
  <c r="Y389" i="4"/>
  <c r="W390" i="4"/>
  <c r="Y390" i="4" s="1"/>
  <c r="F390" i="4"/>
  <c r="C392" i="4"/>
  <c r="D391" i="4"/>
  <c r="X389" i="4"/>
  <c r="B390" i="4"/>
  <c r="J390" i="4"/>
  <c r="L390" i="4"/>
  <c r="N390" i="4"/>
  <c r="S390" i="4"/>
  <c r="V390" i="4"/>
  <c r="O390" i="4"/>
  <c r="AK390" i="4"/>
  <c r="P390" i="4"/>
  <c r="T390" i="4"/>
  <c r="AI390" i="4"/>
  <c r="AJ390" i="4"/>
  <c r="E390" i="4"/>
  <c r="R390" i="4"/>
  <c r="H390" i="4"/>
  <c r="K390" i="4"/>
  <c r="M390" i="4"/>
  <c r="Q390" i="4"/>
  <c r="G390" i="4" l="1"/>
  <c r="I390" i="4" s="1"/>
  <c r="X390" i="4"/>
  <c r="W391" i="4"/>
  <c r="T391" i="4"/>
  <c r="U391" i="4"/>
  <c r="V391" i="4"/>
  <c r="AI391" i="4"/>
  <c r="AJ391" i="4"/>
  <c r="AL390" i="4"/>
  <c r="F391" i="4"/>
  <c r="H391" i="4"/>
  <c r="C393" i="4"/>
  <c r="D392" i="4"/>
  <c r="AK392" i="4" s="1"/>
  <c r="Z389" i="4"/>
  <c r="AA389" i="4"/>
  <c r="B391" i="4"/>
  <c r="AK391" i="4"/>
  <c r="E391" i="4"/>
  <c r="R391" i="4"/>
  <c r="O391" i="4"/>
  <c r="J391" i="4"/>
  <c r="K391" i="4"/>
  <c r="L391" i="4"/>
  <c r="M391" i="4"/>
  <c r="N391" i="4"/>
  <c r="P391" i="4"/>
  <c r="Q391" i="4"/>
  <c r="S391" i="4"/>
  <c r="Y391" i="4" l="1"/>
  <c r="X391" i="4"/>
  <c r="AA391" i="4" s="1"/>
  <c r="Z390" i="4"/>
  <c r="AA390" i="4"/>
  <c r="AL391" i="4"/>
  <c r="G391" i="4"/>
  <c r="I391" i="4" s="1"/>
  <c r="E392" i="4"/>
  <c r="H392" i="4"/>
  <c r="J392" i="4"/>
  <c r="L392" i="4"/>
  <c r="N392" i="4"/>
  <c r="P392" i="4"/>
  <c r="S392" i="4"/>
  <c r="T392" i="4"/>
  <c r="U392" i="4"/>
  <c r="R392" i="4"/>
  <c r="O392" i="4"/>
  <c r="C394" i="4"/>
  <c r="D393" i="4"/>
  <c r="B392" i="4"/>
  <c r="V392" i="4"/>
  <c r="W392" i="4"/>
  <c r="AI392" i="4"/>
  <c r="AL392" i="4" s="1"/>
  <c r="AJ392" i="4"/>
  <c r="F392" i="4"/>
  <c r="M392" i="4"/>
  <c r="Q392" i="4"/>
  <c r="K392" i="4"/>
  <c r="Z391" i="4" l="1"/>
  <c r="R393" i="4"/>
  <c r="E393" i="4"/>
  <c r="U393" i="4"/>
  <c r="T393" i="4"/>
  <c r="P393" i="4"/>
  <c r="F393" i="4"/>
  <c r="H393" i="4"/>
  <c r="Y392" i="4"/>
  <c r="G392" i="4"/>
  <c r="I392" i="4" s="1"/>
  <c r="J393" i="4"/>
  <c r="K393" i="4"/>
  <c r="L393" i="4"/>
  <c r="X392" i="4"/>
  <c r="M393" i="4"/>
  <c r="N393" i="4"/>
  <c r="D394" i="4"/>
  <c r="H394" i="4" s="1"/>
  <c r="C395" i="4"/>
  <c r="B393" i="4"/>
  <c r="S393" i="4"/>
  <c r="W393" i="4"/>
  <c r="AJ393" i="4"/>
  <c r="O393" i="4"/>
  <c r="Q393" i="4"/>
  <c r="V393" i="4"/>
  <c r="AI393" i="4"/>
  <c r="AK393" i="4"/>
  <c r="AL393" i="4" l="1"/>
  <c r="Y393" i="4"/>
  <c r="G393" i="4"/>
  <c r="I393" i="4" s="1"/>
  <c r="X393" i="4"/>
  <c r="AA393" i="4" s="1"/>
  <c r="Q394" i="4"/>
  <c r="O394" i="4"/>
  <c r="J394" i="4"/>
  <c r="Z392" i="4"/>
  <c r="AA392" i="4"/>
  <c r="C396" i="4"/>
  <c r="D395" i="4"/>
  <c r="B394" i="4"/>
  <c r="K394" i="4"/>
  <c r="L394" i="4"/>
  <c r="E394" i="4"/>
  <c r="M394" i="4"/>
  <c r="F394" i="4"/>
  <c r="N394" i="4"/>
  <c r="P394" i="4"/>
  <c r="R394" i="4"/>
  <c r="S394" i="4"/>
  <c r="T394" i="4"/>
  <c r="U394" i="4"/>
  <c r="V394" i="4"/>
  <c r="W394" i="4"/>
  <c r="AI394" i="4"/>
  <c r="AJ394" i="4"/>
  <c r="AK394" i="4"/>
  <c r="Z393" i="4" l="1"/>
  <c r="AL394" i="4"/>
  <c r="H395" i="4"/>
  <c r="O395" i="4"/>
  <c r="F395" i="4"/>
  <c r="Y394" i="4"/>
  <c r="G394" i="4"/>
  <c r="I394" i="4" s="1"/>
  <c r="T395" i="4"/>
  <c r="R395" i="4"/>
  <c r="J395" i="4"/>
  <c r="K395" i="4"/>
  <c r="L395" i="4"/>
  <c r="M395" i="4"/>
  <c r="N395" i="4"/>
  <c r="P395" i="4"/>
  <c r="Q395" i="4"/>
  <c r="S395" i="4"/>
  <c r="C397" i="4"/>
  <c r="D396" i="4"/>
  <c r="X394" i="4"/>
  <c r="B395" i="4"/>
  <c r="U395" i="4"/>
  <c r="W395" i="4"/>
  <c r="AI395" i="4"/>
  <c r="AJ395" i="4"/>
  <c r="AK395" i="4"/>
  <c r="V395" i="4"/>
  <c r="E395" i="4"/>
  <c r="X395" i="4" l="1"/>
  <c r="AA395" i="4" s="1"/>
  <c r="G395" i="4"/>
  <c r="I395" i="4" s="1"/>
  <c r="Y395" i="4"/>
  <c r="C398" i="4"/>
  <c r="D397" i="4"/>
  <c r="Z394" i="4"/>
  <c r="AA394" i="4"/>
  <c r="AL395" i="4"/>
  <c r="B396" i="4"/>
  <c r="R396" i="4"/>
  <c r="F396" i="4"/>
  <c r="H396" i="4"/>
  <c r="E396" i="4"/>
  <c r="O396" i="4"/>
  <c r="J396" i="4"/>
  <c r="Q396" i="4"/>
  <c r="M396" i="4"/>
  <c r="U396" i="4"/>
  <c r="W396" i="4"/>
  <c r="K396" i="4"/>
  <c r="N396" i="4"/>
  <c r="P396" i="4"/>
  <c r="AI396" i="4"/>
  <c r="S396" i="4"/>
  <c r="V396" i="4"/>
  <c r="T396" i="4"/>
  <c r="L396" i="4"/>
  <c r="AJ396" i="4"/>
  <c r="AK396" i="4"/>
  <c r="G396" i="4" l="1"/>
  <c r="I396" i="4" s="1"/>
  <c r="Z395" i="4"/>
  <c r="H397" i="4"/>
  <c r="F397" i="4"/>
  <c r="Q397" i="4"/>
  <c r="Y396" i="4"/>
  <c r="AL396" i="4"/>
  <c r="J397" i="4"/>
  <c r="L397" i="4"/>
  <c r="R397" i="4"/>
  <c r="W397" i="4"/>
  <c r="T397" i="4"/>
  <c r="V397" i="4"/>
  <c r="AJ397" i="4"/>
  <c r="E397" i="4"/>
  <c r="P397" i="4"/>
  <c r="C399" i="4"/>
  <c r="D398" i="4"/>
  <c r="E398" i="4" s="1"/>
  <c r="X396" i="4"/>
  <c r="B397" i="4"/>
  <c r="O397" i="4"/>
  <c r="K397" i="4"/>
  <c r="N397" i="4"/>
  <c r="M397" i="4"/>
  <c r="S397" i="4"/>
  <c r="U397" i="4"/>
  <c r="AI397" i="4"/>
  <c r="AK397" i="4"/>
  <c r="AL397" i="4" l="1"/>
  <c r="G397" i="4"/>
  <c r="I397" i="4" s="1"/>
  <c r="X397" i="4"/>
  <c r="AA397" i="4" s="1"/>
  <c r="Y397" i="4"/>
  <c r="P398" i="4"/>
  <c r="T398" i="4"/>
  <c r="U398" i="4"/>
  <c r="V398" i="4"/>
  <c r="W398" i="4"/>
  <c r="Q398" i="4"/>
  <c r="S398" i="4"/>
  <c r="AJ398" i="4"/>
  <c r="AK398" i="4"/>
  <c r="O398" i="4"/>
  <c r="AI398" i="4"/>
  <c r="D399" i="4"/>
  <c r="C400" i="4"/>
  <c r="Z396" i="4"/>
  <c r="AA396" i="4"/>
  <c r="B398" i="4"/>
  <c r="R398" i="4"/>
  <c r="F398" i="4"/>
  <c r="G398" i="4" s="1"/>
  <c r="H398" i="4"/>
  <c r="J398" i="4"/>
  <c r="K398" i="4"/>
  <c r="L398" i="4"/>
  <c r="M398" i="4"/>
  <c r="N398" i="4"/>
  <c r="F399" i="4" l="1"/>
  <c r="V399" i="4"/>
  <c r="Z397" i="4"/>
  <c r="Y398" i="4"/>
  <c r="J399" i="4"/>
  <c r="AJ399" i="4"/>
  <c r="AK399" i="4"/>
  <c r="W399" i="4"/>
  <c r="AL398" i="4"/>
  <c r="X398" i="4"/>
  <c r="AA398" i="4" s="1"/>
  <c r="B399" i="4"/>
  <c r="L399" i="4"/>
  <c r="N399" i="4"/>
  <c r="E399" i="4"/>
  <c r="U399" i="4"/>
  <c r="O399" i="4"/>
  <c r="H399" i="4"/>
  <c r="K399" i="4"/>
  <c r="M399" i="4"/>
  <c r="P399" i="4"/>
  <c r="R399" i="4"/>
  <c r="S399" i="4"/>
  <c r="T399" i="4"/>
  <c r="AI399" i="4"/>
  <c r="Q399" i="4"/>
  <c r="D400" i="4"/>
  <c r="C401" i="4"/>
  <c r="I398" i="4"/>
  <c r="G399" i="4" l="1"/>
  <c r="I399" i="4" s="1"/>
  <c r="Y399" i="4"/>
  <c r="Z398" i="4"/>
  <c r="X399" i="4"/>
  <c r="AL399" i="4"/>
  <c r="M400" i="4"/>
  <c r="T400" i="4"/>
  <c r="D401" i="4"/>
  <c r="C402" i="4"/>
  <c r="B400" i="4"/>
  <c r="E400" i="4"/>
  <c r="F400" i="4"/>
  <c r="K400" i="4"/>
  <c r="N400" i="4"/>
  <c r="P400" i="4"/>
  <c r="Q400" i="4"/>
  <c r="U400" i="4"/>
  <c r="V400" i="4"/>
  <c r="W400" i="4"/>
  <c r="AI400" i="4"/>
  <c r="AJ400" i="4"/>
  <c r="AK400" i="4"/>
  <c r="R400" i="4"/>
  <c r="O400" i="4"/>
  <c r="J400" i="4"/>
  <c r="L400" i="4"/>
  <c r="S400" i="4"/>
  <c r="H400" i="4"/>
  <c r="AA399" i="4" l="1"/>
  <c r="Z399" i="4"/>
  <c r="R401" i="4"/>
  <c r="AI401" i="4"/>
  <c r="F401" i="4"/>
  <c r="H401" i="4"/>
  <c r="Y400" i="4"/>
  <c r="J401" i="4"/>
  <c r="K401" i="4"/>
  <c r="O401" i="4"/>
  <c r="AJ401" i="4"/>
  <c r="AK401" i="4"/>
  <c r="E401" i="4"/>
  <c r="X400" i="4"/>
  <c r="L401" i="4"/>
  <c r="S401" i="4"/>
  <c r="T401" i="4"/>
  <c r="U401" i="4"/>
  <c r="V401" i="4"/>
  <c r="D402" i="4"/>
  <c r="O402" i="4" s="1"/>
  <c r="C403" i="4"/>
  <c r="G400" i="4"/>
  <c r="I400" i="4" s="1"/>
  <c r="AL400" i="4"/>
  <c r="B401" i="4"/>
  <c r="M401" i="4"/>
  <c r="N401" i="4"/>
  <c r="P401" i="4"/>
  <c r="Q401" i="4"/>
  <c r="W401" i="4"/>
  <c r="AL401" i="4" l="1"/>
  <c r="G401" i="4"/>
  <c r="I401" i="4" s="1"/>
  <c r="X401" i="4"/>
  <c r="AA401" i="4" s="1"/>
  <c r="Y401" i="4"/>
  <c r="Z400" i="4"/>
  <c r="AA400" i="4"/>
  <c r="L402" i="4"/>
  <c r="M402" i="4"/>
  <c r="N402" i="4"/>
  <c r="E402" i="4"/>
  <c r="F402" i="4"/>
  <c r="H402" i="4"/>
  <c r="R402" i="4"/>
  <c r="J402" i="4"/>
  <c r="K402" i="4"/>
  <c r="P402" i="4"/>
  <c r="Q402" i="4"/>
  <c r="S402" i="4"/>
  <c r="T402" i="4"/>
  <c r="C404" i="4"/>
  <c r="D403" i="4"/>
  <c r="E403" i="4" s="1"/>
  <c r="B402" i="4"/>
  <c r="U402" i="4"/>
  <c r="AJ402" i="4"/>
  <c r="V402" i="4"/>
  <c r="W402" i="4"/>
  <c r="AI402" i="4"/>
  <c r="AK402" i="4"/>
  <c r="Z401" i="4" l="1"/>
  <c r="G402" i="4"/>
  <c r="I402" i="4" s="1"/>
  <c r="X402" i="4"/>
  <c r="AA402" i="4" s="1"/>
  <c r="AL402" i="4"/>
  <c r="C405" i="4"/>
  <c r="D404" i="4"/>
  <c r="Y402" i="4"/>
  <c r="B403" i="4"/>
  <c r="H403" i="4"/>
  <c r="L403" i="4"/>
  <c r="J403" i="4"/>
  <c r="R403" i="4"/>
  <c r="M403" i="4"/>
  <c r="Q403" i="4"/>
  <c r="S403" i="4"/>
  <c r="W403" i="4"/>
  <c r="AJ403" i="4"/>
  <c r="O403" i="4"/>
  <c r="F403" i="4"/>
  <c r="G403" i="4" s="1"/>
  <c r="V403" i="4"/>
  <c r="AI403" i="4"/>
  <c r="N403" i="4"/>
  <c r="U403" i="4"/>
  <c r="AK403" i="4"/>
  <c r="K403" i="4"/>
  <c r="P403" i="4"/>
  <c r="T403" i="4"/>
  <c r="Z402" i="4" l="1"/>
  <c r="C406" i="4"/>
  <c r="D405" i="4"/>
  <c r="E405" i="4" s="1"/>
  <c r="I403" i="4"/>
  <c r="Y403" i="4"/>
  <c r="AL403" i="4"/>
  <c r="X403" i="4"/>
  <c r="AA403" i="4" s="1"/>
  <c r="B404" i="4"/>
  <c r="J404" i="4"/>
  <c r="K404" i="4"/>
  <c r="N404" i="4"/>
  <c r="M404" i="4"/>
  <c r="E404" i="4"/>
  <c r="P404" i="4"/>
  <c r="Q404" i="4"/>
  <c r="S404" i="4"/>
  <c r="U404" i="4"/>
  <c r="W404" i="4"/>
  <c r="AJ404" i="4"/>
  <c r="T404" i="4"/>
  <c r="V404" i="4"/>
  <c r="AI404" i="4"/>
  <c r="AK404" i="4"/>
  <c r="H404" i="4"/>
  <c r="O404" i="4"/>
  <c r="F404" i="4"/>
  <c r="L404" i="4"/>
  <c r="R404" i="4"/>
  <c r="R405" i="4" l="1"/>
  <c r="L405" i="4"/>
  <c r="M405" i="4"/>
  <c r="F405" i="4"/>
  <c r="G405" i="4" s="1"/>
  <c r="P405" i="4"/>
  <c r="Q405" i="4"/>
  <c r="U405" i="4"/>
  <c r="AL404" i="4"/>
  <c r="Z403" i="4"/>
  <c r="H405" i="4"/>
  <c r="J405" i="4"/>
  <c r="K405" i="4"/>
  <c r="S405" i="4"/>
  <c r="T405" i="4"/>
  <c r="Y404" i="4"/>
  <c r="X404" i="4"/>
  <c r="G404" i="4"/>
  <c r="I404" i="4" s="1"/>
  <c r="N405" i="4"/>
  <c r="O405" i="4"/>
  <c r="C407" i="4"/>
  <c r="D406" i="4"/>
  <c r="B405" i="4"/>
  <c r="W405" i="4"/>
  <c r="AI405" i="4"/>
  <c r="AJ405" i="4"/>
  <c r="V405" i="4"/>
  <c r="AK405" i="4"/>
  <c r="Y405" i="4" l="1"/>
  <c r="I405" i="4"/>
  <c r="X405" i="4"/>
  <c r="Z404" i="4"/>
  <c r="AA404" i="4"/>
  <c r="E406" i="4"/>
  <c r="AI406" i="4"/>
  <c r="AJ406" i="4"/>
  <c r="D407" i="4"/>
  <c r="C408" i="4"/>
  <c r="AL405" i="4"/>
  <c r="B406" i="4"/>
  <c r="F406" i="4"/>
  <c r="S406" i="4"/>
  <c r="O406" i="4"/>
  <c r="H406" i="4"/>
  <c r="J406" i="4"/>
  <c r="K406" i="4"/>
  <c r="L406" i="4"/>
  <c r="T406" i="4"/>
  <c r="U406" i="4"/>
  <c r="V406" i="4"/>
  <c r="W406" i="4"/>
  <c r="M406" i="4"/>
  <c r="N406" i="4"/>
  <c r="P406" i="4"/>
  <c r="Q406" i="4"/>
  <c r="AK406" i="4"/>
  <c r="R406" i="4"/>
  <c r="AL406" i="4" l="1"/>
  <c r="G406" i="4"/>
  <c r="I406" i="4" s="1"/>
  <c r="AA405" i="4"/>
  <c r="Z405" i="4"/>
  <c r="W407" i="4"/>
  <c r="AI407" i="4"/>
  <c r="AJ407" i="4"/>
  <c r="AK407" i="4"/>
  <c r="X406" i="4"/>
  <c r="AA406" i="4" s="1"/>
  <c r="D408" i="4"/>
  <c r="C409" i="4"/>
  <c r="Y406" i="4"/>
  <c r="B407" i="4"/>
  <c r="H407" i="4"/>
  <c r="K407" i="4"/>
  <c r="F407" i="4"/>
  <c r="L407" i="4"/>
  <c r="T407" i="4"/>
  <c r="V407" i="4"/>
  <c r="M407" i="4"/>
  <c r="N407" i="4"/>
  <c r="P407" i="4"/>
  <c r="O407" i="4"/>
  <c r="J407" i="4"/>
  <c r="Q407" i="4"/>
  <c r="R407" i="4"/>
  <c r="S407" i="4"/>
  <c r="U407" i="4"/>
  <c r="E407" i="4"/>
  <c r="AL407" i="4" l="1"/>
  <c r="Y407" i="4"/>
  <c r="G407" i="4"/>
  <c r="I407" i="4" s="1"/>
  <c r="Z406" i="4"/>
  <c r="E408" i="4"/>
  <c r="F408" i="4"/>
  <c r="T408" i="4"/>
  <c r="S408" i="4"/>
  <c r="D409" i="4"/>
  <c r="C410" i="4"/>
  <c r="X407" i="4"/>
  <c r="B408" i="4"/>
  <c r="H408" i="4"/>
  <c r="O408" i="4"/>
  <c r="J408" i="4"/>
  <c r="K408" i="4"/>
  <c r="M408" i="4"/>
  <c r="N408" i="4"/>
  <c r="Q408" i="4"/>
  <c r="AJ408" i="4"/>
  <c r="L408" i="4"/>
  <c r="P408" i="4"/>
  <c r="W408" i="4"/>
  <c r="R408" i="4"/>
  <c r="U408" i="4"/>
  <c r="V408" i="4"/>
  <c r="AI408" i="4"/>
  <c r="AK408" i="4"/>
  <c r="AL408" i="4" s="1"/>
  <c r="K409" i="4" l="1"/>
  <c r="U409" i="4"/>
  <c r="Y408" i="4"/>
  <c r="G408" i="4"/>
  <c r="I408" i="4" s="1"/>
  <c r="X408" i="4"/>
  <c r="F409" i="4"/>
  <c r="R409" i="4"/>
  <c r="L409" i="4"/>
  <c r="P409" i="4"/>
  <c r="Q409" i="4"/>
  <c r="H409" i="4"/>
  <c r="J409" i="4"/>
  <c r="C411" i="4"/>
  <c r="D410" i="4"/>
  <c r="E410" i="4" s="1"/>
  <c r="AA407" i="4"/>
  <c r="Z407" i="4"/>
  <c r="B409" i="4"/>
  <c r="M409" i="4"/>
  <c r="N409" i="4"/>
  <c r="S409" i="4"/>
  <c r="T409" i="4"/>
  <c r="V409" i="4"/>
  <c r="W409" i="4"/>
  <c r="E409" i="4"/>
  <c r="O409" i="4"/>
  <c r="AI409" i="4"/>
  <c r="AK409" i="4"/>
  <c r="AJ409" i="4"/>
  <c r="Y409" i="4" l="1"/>
  <c r="AL409" i="4"/>
  <c r="G409" i="4"/>
  <c r="I409" i="4" s="1"/>
  <c r="Z408" i="4"/>
  <c r="AA408" i="4"/>
  <c r="X409" i="4"/>
  <c r="O410" i="4"/>
  <c r="Q410" i="4"/>
  <c r="S410" i="4"/>
  <c r="C412" i="4"/>
  <c r="D411" i="4"/>
  <c r="B410" i="4"/>
  <c r="F410" i="4"/>
  <c r="G410" i="4" s="1"/>
  <c r="H410" i="4"/>
  <c r="J410" i="4"/>
  <c r="K410" i="4"/>
  <c r="L410" i="4"/>
  <c r="M410" i="4"/>
  <c r="N410" i="4"/>
  <c r="P410" i="4"/>
  <c r="T410" i="4"/>
  <c r="W410" i="4"/>
  <c r="AJ410" i="4"/>
  <c r="U410" i="4"/>
  <c r="V410" i="4"/>
  <c r="AI410" i="4"/>
  <c r="AK410" i="4"/>
  <c r="R410" i="4"/>
  <c r="Z409" i="4" l="1"/>
  <c r="AA409" i="4"/>
  <c r="X410" i="4"/>
  <c r="AA410" i="4" s="1"/>
  <c r="AL410" i="4"/>
  <c r="C413" i="4"/>
  <c r="D412" i="4"/>
  <c r="L412" i="4" s="1"/>
  <c r="I410" i="4"/>
  <c r="Y410" i="4"/>
  <c r="B411" i="4"/>
  <c r="F411" i="4"/>
  <c r="H411" i="4"/>
  <c r="J411" i="4"/>
  <c r="O411" i="4"/>
  <c r="L411" i="4"/>
  <c r="N411" i="4"/>
  <c r="AI411" i="4"/>
  <c r="AJ411" i="4"/>
  <c r="K411" i="4"/>
  <c r="R411" i="4"/>
  <c r="Q411" i="4"/>
  <c r="T411" i="4"/>
  <c r="V411" i="4"/>
  <c r="W411" i="4"/>
  <c r="AK411" i="4"/>
  <c r="U411" i="4"/>
  <c r="P411" i="4"/>
  <c r="E411" i="4"/>
  <c r="M411" i="4"/>
  <c r="S411" i="4"/>
  <c r="E412" i="4" l="1"/>
  <c r="R412" i="4"/>
  <c r="H412" i="4"/>
  <c r="J412" i="4"/>
  <c r="O412" i="4"/>
  <c r="U412" i="4"/>
  <c r="K412" i="4"/>
  <c r="G411" i="4"/>
  <c r="I411" i="4" s="1"/>
  <c r="F412" i="4"/>
  <c r="M412" i="4"/>
  <c r="N412" i="4"/>
  <c r="P412" i="4"/>
  <c r="Q412" i="4"/>
  <c r="S412" i="4"/>
  <c r="T412" i="4"/>
  <c r="Z410" i="4"/>
  <c r="V412" i="4"/>
  <c r="W412" i="4"/>
  <c r="AI412" i="4"/>
  <c r="D413" i="4"/>
  <c r="J413" i="4"/>
  <c r="C414" i="4"/>
  <c r="X411" i="4"/>
  <c r="AA411" i="4" s="1"/>
  <c r="AL411" i="4"/>
  <c r="Y411" i="4"/>
  <c r="B412" i="4"/>
  <c r="AJ412" i="4"/>
  <c r="AK412" i="4"/>
  <c r="G412" i="4" l="1"/>
  <c r="I412" i="4" s="1"/>
  <c r="Y412" i="4"/>
  <c r="X412" i="4"/>
  <c r="AL412" i="4"/>
  <c r="K413" i="4"/>
  <c r="U413" i="4"/>
  <c r="L413" i="4"/>
  <c r="M413" i="4"/>
  <c r="N413" i="4"/>
  <c r="P413" i="4"/>
  <c r="Q413" i="4"/>
  <c r="S413" i="4"/>
  <c r="T413" i="4"/>
  <c r="V413" i="4"/>
  <c r="W413" i="4"/>
  <c r="AI413" i="4"/>
  <c r="AJ413" i="4"/>
  <c r="AK413" i="4"/>
  <c r="R413" i="4"/>
  <c r="O413" i="4"/>
  <c r="C415" i="4"/>
  <c r="D414" i="4"/>
  <c r="E414" i="4" s="1"/>
  <c r="Z411" i="4"/>
  <c r="B413" i="4"/>
  <c r="E413" i="4"/>
  <c r="F413" i="4"/>
  <c r="H413" i="4"/>
  <c r="X413" i="4" l="1"/>
  <c r="AA413" i="4" s="1"/>
  <c r="T414" i="4"/>
  <c r="P414" i="4"/>
  <c r="Q414" i="4"/>
  <c r="R414" i="4"/>
  <c r="S414" i="4"/>
  <c r="Z412" i="4"/>
  <c r="AA412" i="4"/>
  <c r="Y413" i="4"/>
  <c r="O414" i="4"/>
  <c r="F414" i="4"/>
  <c r="G414" i="4" s="1"/>
  <c r="H414" i="4"/>
  <c r="U414" i="4"/>
  <c r="AJ414" i="4"/>
  <c r="AL413" i="4"/>
  <c r="D415" i="4"/>
  <c r="AJ415" i="4" s="1"/>
  <c r="C416" i="4"/>
  <c r="G413" i="4"/>
  <c r="I413" i="4" s="1"/>
  <c r="B414" i="4"/>
  <c r="J414" i="4"/>
  <c r="K414" i="4"/>
  <c r="V414" i="4"/>
  <c r="W414" i="4"/>
  <c r="AK414" i="4"/>
  <c r="AI414" i="4"/>
  <c r="L414" i="4"/>
  <c r="M414" i="4"/>
  <c r="N414" i="4"/>
  <c r="X414" i="4" l="1"/>
  <c r="AA414" i="4" s="1"/>
  <c r="Z413" i="4"/>
  <c r="I414" i="4"/>
  <c r="U415" i="4"/>
  <c r="F415" i="4"/>
  <c r="T415" i="4"/>
  <c r="Q415" i="4"/>
  <c r="E415" i="4"/>
  <c r="H415" i="4"/>
  <c r="P415" i="4"/>
  <c r="Y414" i="4"/>
  <c r="S415" i="4"/>
  <c r="V415" i="4"/>
  <c r="W415" i="4"/>
  <c r="AI415" i="4"/>
  <c r="R415" i="4"/>
  <c r="O415" i="4"/>
  <c r="J415" i="4"/>
  <c r="K415" i="4"/>
  <c r="L415" i="4"/>
  <c r="M415" i="4"/>
  <c r="N415" i="4"/>
  <c r="C417" i="4"/>
  <c r="D416" i="4"/>
  <c r="V416" i="4" s="1"/>
  <c r="AL414" i="4"/>
  <c r="B415" i="4"/>
  <c r="AK415" i="4"/>
  <c r="Z414" i="4" l="1"/>
  <c r="X415" i="4"/>
  <c r="AA415" i="4" s="1"/>
  <c r="Y415" i="4"/>
  <c r="G415" i="4"/>
  <c r="I415" i="4" s="1"/>
  <c r="AL415" i="4"/>
  <c r="O416" i="4"/>
  <c r="F416" i="4"/>
  <c r="H416" i="4"/>
  <c r="W416" i="4"/>
  <c r="AK416" i="4"/>
  <c r="D417" i="4"/>
  <c r="U417" i="4"/>
  <c r="C418" i="4"/>
  <c r="B416" i="4"/>
  <c r="R416" i="4"/>
  <c r="J416" i="4"/>
  <c r="T416" i="4"/>
  <c r="X416" i="4" s="1"/>
  <c r="U416" i="4"/>
  <c r="AI416" i="4"/>
  <c r="AJ416" i="4"/>
  <c r="K416" i="4"/>
  <c r="L416" i="4"/>
  <c r="M416" i="4"/>
  <c r="N416" i="4"/>
  <c r="P416" i="4"/>
  <c r="Q416" i="4"/>
  <c r="S416" i="4"/>
  <c r="E416" i="4"/>
  <c r="Z415" i="4" l="1"/>
  <c r="G416" i="4"/>
  <c r="I416" i="4" s="1"/>
  <c r="Y416" i="4"/>
  <c r="Z416" i="4" s="1"/>
  <c r="AL416" i="4"/>
  <c r="C419" i="4"/>
  <c r="D418" i="4"/>
  <c r="AA416" i="4"/>
  <c r="B417" i="4"/>
  <c r="O417" i="4"/>
  <c r="AK417" i="4"/>
  <c r="E417" i="4"/>
  <c r="F417" i="4"/>
  <c r="H417" i="4"/>
  <c r="P417" i="4"/>
  <c r="J417" i="4"/>
  <c r="K417" i="4"/>
  <c r="L417" i="4"/>
  <c r="N417" i="4"/>
  <c r="Q417" i="4"/>
  <c r="M417" i="4"/>
  <c r="R417" i="4"/>
  <c r="S417" i="4"/>
  <c r="T417" i="4"/>
  <c r="V417" i="4"/>
  <c r="W417" i="4"/>
  <c r="Y417" i="4" s="1"/>
  <c r="AI417" i="4"/>
  <c r="AJ417" i="4"/>
  <c r="AL417" i="4" l="1"/>
  <c r="E418" i="4"/>
  <c r="F418" i="4"/>
  <c r="U418" i="4"/>
  <c r="V418" i="4"/>
  <c r="W418" i="4"/>
  <c r="C420" i="4"/>
  <c r="D419" i="4"/>
  <c r="J419" i="4" s="1"/>
  <c r="G417" i="4"/>
  <c r="I417" i="4" s="1"/>
  <c r="X417" i="4"/>
  <c r="B418" i="4"/>
  <c r="H418" i="4"/>
  <c r="J418" i="4"/>
  <c r="K418" i="4"/>
  <c r="R418" i="4"/>
  <c r="L418" i="4"/>
  <c r="M418" i="4"/>
  <c r="N418" i="4"/>
  <c r="P418" i="4"/>
  <c r="Q418" i="4"/>
  <c r="S418" i="4"/>
  <c r="T418" i="4"/>
  <c r="O418" i="4"/>
  <c r="AI418" i="4"/>
  <c r="AJ418" i="4"/>
  <c r="AK418" i="4"/>
  <c r="Y418" i="4" l="1"/>
  <c r="N419" i="4"/>
  <c r="P419" i="4"/>
  <c r="Q419" i="4"/>
  <c r="AL418" i="4"/>
  <c r="G418" i="4"/>
  <c r="I418" i="4" s="1"/>
  <c r="X418" i="4"/>
  <c r="S419" i="4"/>
  <c r="T419" i="4"/>
  <c r="V419" i="4"/>
  <c r="W419" i="4"/>
  <c r="AI419" i="4"/>
  <c r="AJ419" i="4"/>
  <c r="C421" i="4"/>
  <c r="D420" i="4"/>
  <c r="E420" i="4"/>
  <c r="O420" i="4"/>
  <c r="AA417" i="4"/>
  <c r="Z417" i="4"/>
  <c r="B419" i="4"/>
  <c r="O419" i="4"/>
  <c r="F419" i="4"/>
  <c r="E419" i="4"/>
  <c r="R419" i="4"/>
  <c r="H419" i="4"/>
  <c r="U419" i="4"/>
  <c r="K419" i="4"/>
  <c r="L419" i="4"/>
  <c r="M419" i="4"/>
  <c r="AK419" i="4"/>
  <c r="X419" i="4" l="1"/>
  <c r="AA419" i="4" s="1"/>
  <c r="H420" i="4"/>
  <c r="Q420" i="4"/>
  <c r="J420" i="4"/>
  <c r="M420" i="4"/>
  <c r="R420" i="4"/>
  <c r="V420" i="4"/>
  <c r="Z418" i="4"/>
  <c r="AA418" i="4"/>
  <c r="Y419" i="4"/>
  <c r="AL419" i="4"/>
  <c r="S420" i="4"/>
  <c r="AK420" i="4"/>
  <c r="C422" i="4"/>
  <c r="D421" i="4"/>
  <c r="AK421" i="4" s="1"/>
  <c r="G419" i="4"/>
  <c r="I419" i="4" s="1"/>
  <c r="B420" i="4"/>
  <c r="W420" i="4"/>
  <c r="F420" i="4"/>
  <c r="G420" i="4" s="1"/>
  <c r="K420" i="4"/>
  <c r="U420" i="4"/>
  <c r="P420" i="4"/>
  <c r="L420" i="4"/>
  <c r="N420" i="4"/>
  <c r="T420" i="4"/>
  <c r="AJ420" i="4"/>
  <c r="AI420" i="4"/>
  <c r="Z419" i="4" l="1"/>
  <c r="I420" i="4"/>
  <c r="X420" i="4"/>
  <c r="AA420" i="4" s="1"/>
  <c r="Y420" i="4"/>
  <c r="Z420" i="4" s="1"/>
  <c r="AL420" i="4"/>
  <c r="D422" i="4"/>
  <c r="C423" i="4"/>
  <c r="B421" i="4"/>
  <c r="U421" i="4"/>
  <c r="E421" i="4"/>
  <c r="O421" i="4"/>
  <c r="F421" i="4"/>
  <c r="J421" i="4"/>
  <c r="K421" i="4"/>
  <c r="L421" i="4"/>
  <c r="M421" i="4"/>
  <c r="P421" i="4"/>
  <c r="S421" i="4"/>
  <c r="R421" i="4"/>
  <c r="T421" i="4"/>
  <c r="AI421" i="4"/>
  <c r="AL421" i="4" s="1"/>
  <c r="H421" i="4"/>
  <c r="N421" i="4"/>
  <c r="Q421" i="4"/>
  <c r="V421" i="4"/>
  <c r="W421" i="4"/>
  <c r="AJ421" i="4"/>
  <c r="M422" i="4" l="1"/>
  <c r="N422" i="4"/>
  <c r="AJ422" i="4"/>
  <c r="O422" i="4"/>
  <c r="U422" i="4"/>
  <c r="D423" i="4"/>
  <c r="U423" i="4" s="1"/>
  <c r="C424" i="4"/>
  <c r="G421" i="4"/>
  <c r="I421" i="4" s="1"/>
  <c r="Y421" i="4"/>
  <c r="X421" i="4"/>
  <c r="AA421" i="4" s="1"/>
  <c r="B422" i="4"/>
  <c r="AI422" i="4"/>
  <c r="R422" i="4"/>
  <c r="F422" i="4"/>
  <c r="H422" i="4"/>
  <c r="J422" i="4"/>
  <c r="K422" i="4"/>
  <c r="L422" i="4"/>
  <c r="P422" i="4"/>
  <c r="Q422" i="4"/>
  <c r="S422" i="4"/>
  <c r="T422" i="4"/>
  <c r="V422" i="4"/>
  <c r="W422" i="4"/>
  <c r="AK422" i="4"/>
  <c r="E422" i="4"/>
  <c r="H423" i="4" l="1"/>
  <c r="J423" i="4"/>
  <c r="F423" i="4"/>
  <c r="L423" i="4"/>
  <c r="N423" i="4"/>
  <c r="Q423" i="4"/>
  <c r="AJ423" i="4"/>
  <c r="S423" i="4"/>
  <c r="V423" i="4"/>
  <c r="AI423" i="4"/>
  <c r="P423" i="4"/>
  <c r="W423" i="4"/>
  <c r="Y423" i="4" s="1"/>
  <c r="AK423" i="4"/>
  <c r="R423" i="4"/>
  <c r="K423" i="4"/>
  <c r="M423" i="4"/>
  <c r="T423" i="4"/>
  <c r="X422" i="4"/>
  <c r="AA422" i="4" s="1"/>
  <c r="Y422" i="4"/>
  <c r="D424" i="4"/>
  <c r="S424" i="4" s="1"/>
  <c r="C425" i="4"/>
  <c r="Z421" i="4"/>
  <c r="AL422" i="4"/>
  <c r="G422" i="4"/>
  <c r="I422" i="4" s="1"/>
  <c r="B423" i="4"/>
  <c r="E423" i="4"/>
  <c r="O423" i="4"/>
  <c r="X423" i="4" l="1"/>
  <c r="Z422" i="4"/>
  <c r="G423" i="4"/>
  <c r="I423" i="4" s="1"/>
  <c r="AL423" i="4"/>
  <c r="H424" i="4"/>
  <c r="E424" i="4"/>
  <c r="R424" i="4"/>
  <c r="U424" i="4"/>
  <c r="AJ424" i="4"/>
  <c r="AK424" i="4"/>
  <c r="O424" i="4"/>
  <c r="F424" i="4"/>
  <c r="J424" i="4"/>
  <c r="K424" i="4"/>
  <c r="L424" i="4"/>
  <c r="N424" i="4"/>
  <c r="P424" i="4"/>
  <c r="M424" i="4"/>
  <c r="Q424" i="4"/>
  <c r="C426" i="4"/>
  <c r="D425" i="4"/>
  <c r="B424" i="4"/>
  <c r="T424" i="4"/>
  <c r="V424" i="4"/>
  <c r="W424" i="4"/>
  <c r="AI424" i="4"/>
  <c r="AA423" i="4" l="1"/>
  <c r="Z423" i="4"/>
  <c r="Y424" i="4"/>
  <c r="AL424" i="4"/>
  <c r="G424" i="4"/>
  <c r="I424" i="4" s="1"/>
  <c r="O425" i="4"/>
  <c r="U425" i="4"/>
  <c r="H425" i="4"/>
  <c r="D426" i="4"/>
  <c r="C427" i="4"/>
  <c r="X424" i="4"/>
  <c r="B425" i="4"/>
  <c r="F425" i="4"/>
  <c r="J425" i="4"/>
  <c r="K425" i="4"/>
  <c r="P425" i="4"/>
  <c r="L425" i="4"/>
  <c r="M425" i="4"/>
  <c r="N425" i="4"/>
  <c r="Q425" i="4"/>
  <c r="R425" i="4"/>
  <c r="S425" i="4"/>
  <c r="T425" i="4"/>
  <c r="W425" i="4"/>
  <c r="AI425" i="4"/>
  <c r="AK425" i="4"/>
  <c r="E425" i="4"/>
  <c r="V425" i="4"/>
  <c r="AJ425" i="4"/>
  <c r="Y425" i="4" l="1"/>
  <c r="C428" i="4"/>
  <c r="D427" i="4"/>
  <c r="Z424" i="4"/>
  <c r="AA424" i="4"/>
  <c r="G425" i="4"/>
  <c r="I425" i="4" s="1"/>
  <c r="X425" i="4"/>
  <c r="AL425" i="4"/>
  <c r="B426" i="4"/>
  <c r="E426" i="4"/>
  <c r="F426" i="4"/>
  <c r="O426" i="4"/>
  <c r="H426" i="4"/>
  <c r="R426" i="4"/>
  <c r="U426" i="4"/>
  <c r="J426" i="4"/>
  <c r="K426" i="4"/>
  <c r="L426" i="4"/>
  <c r="M426" i="4"/>
  <c r="N426" i="4"/>
  <c r="Q426" i="4"/>
  <c r="V426" i="4"/>
  <c r="AK426" i="4"/>
  <c r="P426" i="4"/>
  <c r="T426" i="4"/>
  <c r="W426" i="4"/>
  <c r="AJ426" i="4"/>
  <c r="S426" i="4"/>
  <c r="AI426" i="4"/>
  <c r="X426" i="4" l="1"/>
  <c r="AA426" i="4" s="1"/>
  <c r="D428" i="4"/>
  <c r="J428" i="4"/>
  <c r="C429" i="4"/>
  <c r="AA425" i="4"/>
  <c r="Z425" i="4"/>
  <c r="G426" i="4"/>
  <c r="I426" i="4" s="1"/>
  <c r="Y426" i="4"/>
  <c r="AL426" i="4"/>
  <c r="B427" i="4"/>
  <c r="O427" i="4"/>
  <c r="E427" i="4"/>
  <c r="H427" i="4"/>
  <c r="J427" i="4"/>
  <c r="U427" i="4"/>
  <c r="N427" i="4"/>
  <c r="Q427" i="4"/>
  <c r="V427" i="4"/>
  <c r="AK427" i="4"/>
  <c r="W427" i="4"/>
  <c r="F427" i="4"/>
  <c r="K427" i="4"/>
  <c r="M427" i="4"/>
  <c r="P427" i="4"/>
  <c r="S427" i="4"/>
  <c r="T427" i="4"/>
  <c r="L427" i="4"/>
  <c r="R427" i="4"/>
  <c r="AI427" i="4"/>
  <c r="AJ427" i="4"/>
  <c r="G427" i="4" l="1"/>
  <c r="I427" i="4" s="1"/>
  <c r="N428" i="4"/>
  <c r="S428" i="4"/>
  <c r="K428" i="4"/>
  <c r="Z426" i="4"/>
  <c r="H428" i="4"/>
  <c r="Q428" i="4"/>
  <c r="T428" i="4"/>
  <c r="V428" i="4"/>
  <c r="U428" i="4"/>
  <c r="F428" i="4"/>
  <c r="W428" i="4"/>
  <c r="AI428" i="4"/>
  <c r="P428" i="4"/>
  <c r="AJ428" i="4"/>
  <c r="E428" i="4"/>
  <c r="O428" i="4"/>
  <c r="L428" i="4"/>
  <c r="M428" i="4"/>
  <c r="R428" i="4"/>
  <c r="D429" i="4"/>
  <c r="C430" i="4"/>
  <c r="Y427" i="4"/>
  <c r="AL427" i="4"/>
  <c r="X427" i="4"/>
  <c r="AA427" i="4" s="1"/>
  <c r="B428" i="4"/>
  <c r="AK428" i="4"/>
  <c r="X428" i="4" l="1"/>
  <c r="Y428" i="4"/>
  <c r="G428" i="4"/>
  <c r="I428" i="4" s="1"/>
  <c r="AL428" i="4"/>
  <c r="C431" i="4"/>
  <c r="D430" i="4"/>
  <c r="U430" i="4" s="1"/>
  <c r="Z427" i="4"/>
  <c r="B429" i="4"/>
  <c r="K429" i="4"/>
  <c r="N429" i="4"/>
  <c r="U429" i="4"/>
  <c r="T429" i="4"/>
  <c r="F429" i="4"/>
  <c r="S429" i="4"/>
  <c r="R429" i="4"/>
  <c r="E429" i="4"/>
  <c r="P429" i="4"/>
  <c r="J429" i="4"/>
  <c r="Q429" i="4"/>
  <c r="W429" i="4"/>
  <c r="H429" i="4"/>
  <c r="L429" i="4"/>
  <c r="M429" i="4"/>
  <c r="AI429" i="4"/>
  <c r="AK429" i="4"/>
  <c r="AJ429" i="4"/>
  <c r="O429" i="4"/>
  <c r="V429" i="4"/>
  <c r="AA428" i="4" l="1"/>
  <c r="Z428" i="4"/>
  <c r="G429" i="4"/>
  <c r="I429" i="4" s="1"/>
  <c r="D431" i="4"/>
  <c r="J431" i="4"/>
  <c r="C432" i="4"/>
  <c r="X429" i="4"/>
  <c r="AA429" i="4" s="1"/>
  <c r="Y429" i="4"/>
  <c r="AL429" i="4"/>
  <c r="B430" i="4"/>
  <c r="F430" i="4"/>
  <c r="H430" i="4"/>
  <c r="R430" i="4"/>
  <c r="J430" i="4"/>
  <c r="K430" i="4"/>
  <c r="O430" i="4"/>
  <c r="L430" i="4"/>
  <c r="M430" i="4"/>
  <c r="AJ430" i="4"/>
  <c r="N430" i="4"/>
  <c r="P430" i="4"/>
  <c r="Q430" i="4"/>
  <c r="S430" i="4"/>
  <c r="E430" i="4"/>
  <c r="T430" i="4"/>
  <c r="V430" i="4"/>
  <c r="W430" i="4"/>
  <c r="Y430" i="4" s="1"/>
  <c r="AI430" i="4"/>
  <c r="AK430" i="4"/>
  <c r="AL430" i="4" s="1"/>
  <c r="K431" i="4" l="1"/>
  <c r="R431" i="4"/>
  <c r="L431" i="4"/>
  <c r="M431" i="4"/>
  <c r="N431" i="4"/>
  <c r="P431" i="4"/>
  <c r="AJ431" i="4"/>
  <c r="AK431" i="4"/>
  <c r="E431" i="4"/>
  <c r="F431" i="4"/>
  <c r="AI431" i="4"/>
  <c r="G430" i="4"/>
  <c r="I430" i="4" s="1"/>
  <c r="H431" i="4"/>
  <c r="W431" i="4"/>
  <c r="O431" i="4"/>
  <c r="D432" i="4"/>
  <c r="C433" i="4"/>
  <c r="Z429" i="4"/>
  <c r="X430" i="4"/>
  <c r="B431" i="4"/>
  <c r="Q431" i="4"/>
  <c r="S431" i="4"/>
  <c r="T431" i="4"/>
  <c r="V431" i="4"/>
  <c r="U431" i="4"/>
  <c r="AL431" i="4" l="1"/>
  <c r="G431" i="4"/>
  <c r="I431" i="4" s="1"/>
  <c r="Y431" i="4"/>
  <c r="X431" i="4"/>
  <c r="AA431" i="4" s="1"/>
  <c r="U432" i="4"/>
  <c r="J432" i="4"/>
  <c r="K432" i="4"/>
  <c r="L432" i="4"/>
  <c r="M432" i="4"/>
  <c r="N432" i="4"/>
  <c r="P432" i="4"/>
  <c r="S432" i="4"/>
  <c r="T432" i="4"/>
  <c r="V432" i="4"/>
  <c r="W432" i="4"/>
  <c r="AI432" i="4"/>
  <c r="AJ432" i="4"/>
  <c r="AK432" i="4"/>
  <c r="Q432" i="4"/>
  <c r="H432" i="4"/>
  <c r="D433" i="4"/>
  <c r="C434" i="4"/>
  <c r="AA430" i="4"/>
  <c r="Z430" i="4"/>
  <c r="B432" i="4"/>
  <c r="O432" i="4"/>
  <c r="F432" i="4"/>
  <c r="E432" i="4"/>
  <c r="R432" i="4"/>
  <c r="R433" i="4" l="1"/>
  <c r="E433" i="4"/>
  <c r="Z431" i="4"/>
  <c r="Y432" i="4"/>
  <c r="X432" i="4"/>
  <c r="AA432" i="4" s="1"/>
  <c r="AL432" i="4"/>
  <c r="G432" i="4"/>
  <c r="I432" i="4" s="1"/>
  <c r="F433" i="4"/>
  <c r="H433" i="4"/>
  <c r="J433" i="4"/>
  <c r="K433" i="4"/>
  <c r="L433" i="4"/>
  <c r="O433" i="4"/>
  <c r="U433" i="4"/>
  <c r="C435" i="4"/>
  <c r="D434" i="4"/>
  <c r="J434" i="4" s="1"/>
  <c r="B433" i="4"/>
  <c r="M433" i="4"/>
  <c r="N433" i="4"/>
  <c r="P433" i="4"/>
  <c r="Q433" i="4"/>
  <c r="S433" i="4"/>
  <c r="T433" i="4"/>
  <c r="AI433" i="4"/>
  <c r="V433" i="4"/>
  <c r="W433" i="4"/>
  <c r="AJ433" i="4"/>
  <c r="AK433" i="4"/>
  <c r="K434" i="4" l="1"/>
  <c r="L434" i="4"/>
  <c r="T434" i="4"/>
  <c r="Z432" i="4"/>
  <c r="G433" i="4"/>
  <c r="I433" i="4"/>
  <c r="Y433" i="4"/>
  <c r="AL433" i="4"/>
  <c r="X433" i="4"/>
  <c r="C436" i="4"/>
  <c r="D435" i="4"/>
  <c r="E435" i="4" s="1"/>
  <c r="B434" i="4"/>
  <c r="F434" i="4"/>
  <c r="N434" i="4"/>
  <c r="Q434" i="4"/>
  <c r="S434" i="4"/>
  <c r="W434" i="4"/>
  <c r="AK434" i="4"/>
  <c r="M434" i="4"/>
  <c r="P434" i="4"/>
  <c r="AI434" i="4"/>
  <c r="E434" i="4"/>
  <c r="H434" i="4"/>
  <c r="R434" i="4"/>
  <c r="AJ434" i="4"/>
  <c r="U434" i="4"/>
  <c r="O434" i="4"/>
  <c r="V434" i="4"/>
  <c r="Y434" i="4" l="1"/>
  <c r="X434" i="4"/>
  <c r="AA434" i="4" s="1"/>
  <c r="AA433" i="4"/>
  <c r="Z433" i="4"/>
  <c r="U435" i="4"/>
  <c r="F435" i="4"/>
  <c r="G435" i="4" s="1"/>
  <c r="J435" i="4"/>
  <c r="O435" i="4"/>
  <c r="L435" i="4"/>
  <c r="M435" i="4"/>
  <c r="N435" i="4"/>
  <c r="P435" i="4"/>
  <c r="S435" i="4"/>
  <c r="V435" i="4"/>
  <c r="AI435" i="4"/>
  <c r="K435" i="4"/>
  <c r="Q435" i="4"/>
  <c r="T435" i="4"/>
  <c r="W435" i="4"/>
  <c r="O436" i="4"/>
  <c r="C437" i="4"/>
  <c r="D436" i="4"/>
  <c r="G434" i="4"/>
  <c r="I434" i="4" s="1"/>
  <c r="AL434" i="4"/>
  <c r="B435" i="4"/>
  <c r="AJ435" i="4"/>
  <c r="AK435" i="4"/>
  <c r="R435" i="4"/>
  <c r="H435" i="4"/>
  <c r="R436" i="4" l="1"/>
  <c r="E436" i="4"/>
  <c r="H436" i="4"/>
  <c r="M436" i="4"/>
  <c r="Z434" i="4"/>
  <c r="N436" i="4"/>
  <c r="P436" i="4"/>
  <c r="J436" i="4"/>
  <c r="L436" i="4"/>
  <c r="X435" i="4"/>
  <c r="AA435" i="4" s="1"/>
  <c r="Y435" i="4"/>
  <c r="Q436" i="4"/>
  <c r="K436" i="4"/>
  <c r="T436" i="4"/>
  <c r="V436" i="4"/>
  <c r="AJ436" i="4"/>
  <c r="AL435" i="4"/>
  <c r="F436" i="4"/>
  <c r="S436" i="4"/>
  <c r="U436" i="4"/>
  <c r="W436" i="4"/>
  <c r="C438" i="4"/>
  <c r="D437" i="4"/>
  <c r="I435" i="4"/>
  <c r="B436" i="4"/>
  <c r="AI436" i="4"/>
  <c r="AK436" i="4"/>
  <c r="G436" i="4" l="1"/>
  <c r="I436" i="4"/>
  <c r="Z435" i="4"/>
  <c r="AL436" i="4"/>
  <c r="X436" i="4"/>
  <c r="AA436" i="4" s="1"/>
  <c r="Y436" i="4"/>
  <c r="Z436" i="4" s="1"/>
  <c r="P437" i="4"/>
  <c r="Q437" i="4"/>
  <c r="T437" i="4"/>
  <c r="V437" i="4"/>
  <c r="W437" i="4"/>
  <c r="AI437" i="4"/>
  <c r="AJ437" i="4"/>
  <c r="AK437" i="4"/>
  <c r="C439" i="4"/>
  <c r="D438" i="4"/>
  <c r="H438" i="4" s="1"/>
  <c r="B437" i="4"/>
  <c r="E437" i="4"/>
  <c r="K437" i="4"/>
  <c r="N437" i="4"/>
  <c r="U437" i="4"/>
  <c r="H437" i="4"/>
  <c r="F437" i="4"/>
  <c r="O437" i="4"/>
  <c r="R437" i="4"/>
  <c r="J437" i="4"/>
  <c r="L437" i="4"/>
  <c r="M437" i="4"/>
  <c r="S437" i="4"/>
  <c r="U438" i="4" l="1"/>
  <c r="P438" i="4"/>
  <c r="X437" i="4"/>
  <c r="AA437" i="4" s="1"/>
  <c r="AL437" i="4"/>
  <c r="Y437" i="4"/>
  <c r="G437" i="4"/>
  <c r="I437" i="4" s="1"/>
  <c r="Q438" i="4"/>
  <c r="S438" i="4"/>
  <c r="D439" i="4"/>
  <c r="C440" i="4"/>
  <c r="B438" i="4"/>
  <c r="E438" i="4"/>
  <c r="O438" i="4"/>
  <c r="R438" i="4"/>
  <c r="F438" i="4"/>
  <c r="J438" i="4"/>
  <c r="K438" i="4"/>
  <c r="L438" i="4"/>
  <c r="M438" i="4"/>
  <c r="N438" i="4"/>
  <c r="T438" i="4"/>
  <c r="V438" i="4"/>
  <c r="W438" i="4"/>
  <c r="AJ438" i="4"/>
  <c r="AI438" i="4"/>
  <c r="AK438" i="4"/>
  <c r="AL438" i="4" s="1"/>
  <c r="H439" i="4" l="1"/>
  <c r="K439" i="4"/>
  <c r="R439" i="4"/>
  <c r="L439" i="4"/>
  <c r="Y438" i="4"/>
  <c r="Z437" i="4"/>
  <c r="Q439" i="4"/>
  <c r="M439" i="4"/>
  <c r="N439" i="4"/>
  <c r="S439" i="4"/>
  <c r="T439" i="4"/>
  <c r="V439" i="4"/>
  <c r="D440" i="4"/>
  <c r="C441" i="4"/>
  <c r="G438" i="4"/>
  <c r="I438" i="4" s="1"/>
  <c r="X438" i="4"/>
  <c r="B439" i="4"/>
  <c r="J439" i="4"/>
  <c r="W439" i="4"/>
  <c r="AJ439" i="4"/>
  <c r="E439" i="4"/>
  <c r="P439" i="4"/>
  <c r="AI439" i="4"/>
  <c r="AK439" i="4"/>
  <c r="O439" i="4"/>
  <c r="F439" i="4"/>
  <c r="U439" i="4"/>
  <c r="M440" i="4" l="1"/>
  <c r="N440" i="4"/>
  <c r="T440" i="4"/>
  <c r="S440" i="4"/>
  <c r="X439" i="4"/>
  <c r="AA439" i="4" s="1"/>
  <c r="V440" i="4"/>
  <c r="W440" i="4"/>
  <c r="AI440" i="4"/>
  <c r="H440" i="4"/>
  <c r="AK440" i="4"/>
  <c r="E440" i="4"/>
  <c r="AJ440" i="4"/>
  <c r="G439" i="4"/>
  <c r="I439" i="4" s="1"/>
  <c r="Y439" i="4"/>
  <c r="Q440" i="4"/>
  <c r="O440" i="4"/>
  <c r="R440" i="4"/>
  <c r="D441" i="4"/>
  <c r="C442" i="4"/>
  <c r="Z438" i="4"/>
  <c r="AA438" i="4"/>
  <c r="AL439" i="4"/>
  <c r="B440" i="4"/>
  <c r="J440" i="4"/>
  <c r="K440" i="4"/>
  <c r="U440" i="4"/>
  <c r="L440" i="4"/>
  <c r="F440" i="4"/>
  <c r="P440" i="4"/>
  <c r="Z439" i="4" l="1"/>
  <c r="M441" i="4"/>
  <c r="E441" i="4"/>
  <c r="X440" i="4"/>
  <c r="AA440" i="4" s="1"/>
  <c r="AL440" i="4"/>
  <c r="G440" i="4"/>
  <c r="I440" i="4" s="1"/>
  <c r="Y440" i="4"/>
  <c r="P441" i="4"/>
  <c r="Q441" i="4"/>
  <c r="R441" i="4"/>
  <c r="S441" i="4"/>
  <c r="T441" i="4"/>
  <c r="D442" i="4"/>
  <c r="O442" i="4" s="1"/>
  <c r="C443" i="4"/>
  <c r="B441" i="4"/>
  <c r="V441" i="4"/>
  <c r="W441" i="4"/>
  <c r="AI441" i="4"/>
  <c r="AJ441" i="4"/>
  <c r="AK441" i="4"/>
  <c r="H441" i="4"/>
  <c r="F441" i="4"/>
  <c r="J441" i="4"/>
  <c r="K441" i="4"/>
  <c r="O441" i="4"/>
  <c r="L441" i="4"/>
  <c r="N441" i="4"/>
  <c r="U441" i="4"/>
  <c r="G441" i="4" l="1"/>
  <c r="I441" i="4" s="1"/>
  <c r="AL441" i="4"/>
  <c r="U442" i="4"/>
  <c r="E442" i="4"/>
  <c r="Z440" i="4"/>
  <c r="X441" i="4"/>
  <c r="AA441" i="4" s="1"/>
  <c r="F442" i="4"/>
  <c r="H442" i="4"/>
  <c r="R442" i="4"/>
  <c r="C444" i="4"/>
  <c r="D443" i="4"/>
  <c r="Y441" i="4"/>
  <c r="B442" i="4"/>
  <c r="J442" i="4"/>
  <c r="K442" i="4"/>
  <c r="L442" i="4"/>
  <c r="AJ442" i="4"/>
  <c r="M442" i="4"/>
  <c r="N442" i="4"/>
  <c r="Q442" i="4"/>
  <c r="T442" i="4"/>
  <c r="V442" i="4"/>
  <c r="W442" i="4"/>
  <c r="AI442" i="4"/>
  <c r="P442" i="4"/>
  <c r="S442" i="4"/>
  <c r="AK442" i="4"/>
  <c r="Y442" i="4" l="1"/>
  <c r="P443" i="4"/>
  <c r="M443" i="4"/>
  <c r="G442" i="4"/>
  <c r="I442" i="4" s="1"/>
  <c r="AL442" i="4"/>
  <c r="Z441" i="4"/>
  <c r="X442" i="4"/>
  <c r="C445" i="4"/>
  <c r="D444" i="4"/>
  <c r="B443" i="4"/>
  <c r="J443" i="4"/>
  <c r="O443" i="4"/>
  <c r="F443" i="4"/>
  <c r="K443" i="4"/>
  <c r="E443" i="4"/>
  <c r="U443" i="4"/>
  <c r="L443" i="4"/>
  <c r="N443" i="4"/>
  <c r="Q443" i="4"/>
  <c r="S443" i="4"/>
  <c r="T443" i="4"/>
  <c r="V443" i="4"/>
  <c r="W443" i="4"/>
  <c r="AI443" i="4"/>
  <c r="AJ443" i="4"/>
  <c r="AK443" i="4"/>
  <c r="H443" i="4"/>
  <c r="R443" i="4"/>
  <c r="Y443" i="4" l="1"/>
  <c r="Z442" i="4"/>
  <c r="AA442" i="4"/>
  <c r="E444" i="4"/>
  <c r="H444" i="4"/>
  <c r="AK444" i="4"/>
  <c r="C446" i="4"/>
  <c r="D445" i="4"/>
  <c r="G443" i="4"/>
  <c r="I443" i="4" s="1"/>
  <c r="X443" i="4"/>
  <c r="AL443" i="4"/>
  <c r="B444" i="4"/>
  <c r="F444" i="4"/>
  <c r="O444" i="4"/>
  <c r="R444" i="4"/>
  <c r="J444" i="4"/>
  <c r="K444" i="4"/>
  <c r="L444" i="4"/>
  <c r="M444" i="4"/>
  <c r="N444" i="4"/>
  <c r="P444" i="4"/>
  <c r="Q444" i="4"/>
  <c r="S444" i="4"/>
  <c r="T444" i="4"/>
  <c r="V444" i="4"/>
  <c r="U444" i="4"/>
  <c r="W444" i="4"/>
  <c r="AI444" i="4"/>
  <c r="AJ444" i="4"/>
  <c r="G444" i="4" l="1"/>
  <c r="I444" i="4" s="1"/>
  <c r="Y444" i="4"/>
  <c r="AL444" i="4"/>
  <c r="AK445" i="4"/>
  <c r="AJ445" i="4"/>
  <c r="D446" i="4"/>
  <c r="E446" i="4" s="1"/>
  <c r="C447" i="4"/>
  <c r="Z443" i="4"/>
  <c r="AA443" i="4"/>
  <c r="X444" i="4"/>
  <c r="B445" i="4"/>
  <c r="E445" i="4"/>
  <c r="R445" i="4"/>
  <c r="K445" i="4"/>
  <c r="O445" i="4"/>
  <c r="M445" i="4"/>
  <c r="S445" i="4"/>
  <c r="F445" i="4"/>
  <c r="H445" i="4"/>
  <c r="J445" i="4"/>
  <c r="T445" i="4"/>
  <c r="V445" i="4"/>
  <c r="W445" i="4"/>
  <c r="L445" i="4"/>
  <c r="N445" i="4"/>
  <c r="Q445" i="4"/>
  <c r="AI445" i="4"/>
  <c r="U445" i="4"/>
  <c r="P445" i="4"/>
  <c r="V446" i="4" l="1"/>
  <c r="AI446" i="4"/>
  <c r="AJ446" i="4"/>
  <c r="AL445" i="4"/>
  <c r="Y445" i="4"/>
  <c r="F446" i="4"/>
  <c r="G446" i="4" s="1"/>
  <c r="U446" i="4"/>
  <c r="J446" i="4"/>
  <c r="K446" i="4"/>
  <c r="R446" i="4"/>
  <c r="L446" i="4"/>
  <c r="M446" i="4"/>
  <c r="N446" i="4"/>
  <c r="Q446" i="4"/>
  <c r="S446" i="4"/>
  <c r="T446" i="4"/>
  <c r="P446" i="4"/>
  <c r="W446" i="4"/>
  <c r="AK446" i="4"/>
  <c r="C448" i="4"/>
  <c r="D447" i="4"/>
  <c r="Q447" i="4"/>
  <c r="Z444" i="4"/>
  <c r="AA444" i="4"/>
  <c r="G445" i="4"/>
  <c r="I445" i="4" s="1"/>
  <c r="X445" i="4"/>
  <c r="B446" i="4"/>
  <c r="H446" i="4"/>
  <c r="O446" i="4"/>
  <c r="X446" i="4" l="1"/>
  <c r="AA446" i="4" s="1"/>
  <c r="AL446" i="4"/>
  <c r="Y446" i="4"/>
  <c r="M447" i="4"/>
  <c r="P447" i="4"/>
  <c r="C449" i="4"/>
  <c r="D448" i="4"/>
  <c r="AK448" i="4" s="1"/>
  <c r="U448" i="4"/>
  <c r="AA445" i="4"/>
  <c r="Z445" i="4"/>
  <c r="I446" i="4"/>
  <c r="B447" i="4"/>
  <c r="R447" i="4"/>
  <c r="H447" i="4"/>
  <c r="F447" i="4"/>
  <c r="J447" i="4"/>
  <c r="K447" i="4"/>
  <c r="U447" i="4"/>
  <c r="L447" i="4"/>
  <c r="N447" i="4"/>
  <c r="S447" i="4"/>
  <c r="AJ447" i="4"/>
  <c r="W447" i="4"/>
  <c r="T447" i="4"/>
  <c r="V447" i="4"/>
  <c r="AI447" i="4"/>
  <c r="AK447" i="4"/>
  <c r="E447" i="4"/>
  <c r="O447" i="4"/>
  <c r="Z446" i="4" l="1"/>
  <c r="H448" i="4"/>
  <c r="AI448" i="4"/>
  <c r="AL448" i="4" s="1"/>
  <c r="AL447" i="4"/>
  <c r="E448" i="4"/>
  <c r="F448" i="4"/>
  <c r="J448" i="4"/>
  <c r="K448" i="4"/>
  <c r="L448" i="4"/>
  <c r="M448" i="4"/>
  <c r="N448" i="4"/>
  <c r="P448" i="4"/>
  <c r="Q448" i="4"/>
  <c r="R448" i="4"/>
  <c r="S448" i="4"/>
  <c r="T448" i="4"/>
  <c r="AJ448" i="4"/>
  <c r="O448" i="4"/>
  <c r="W448" i="4"/>
  <c r="Y448" i="4" s="1"/>
  <c r="D449" i="4"/>
  <c r="C450" i="4"/>
  <c r="Y447" i="4"/>
  <c r="X447" i="4"/>
  <c r="AA447" i="4" s="1"/>
  <c r="G447" i="4"/>
  <c r="I447" i="4" s="1"/>
  <c r="B448" i="4"/>
  <c r="V448" i="4"/>
  <c r="G448" i="4" l="1"/>
  <c r="I448" i="4"/>
  <c r="X448" i="4"/>
  <c r="J449" i="4"/>
  <c r="T449" i="4"/>
  <c r="V449" i="4"/>
  <c r="W449" i="4"/>
  <c r="AI449" i="4"/>
  <c r="AK449" i="4"/>
  <c r="H449" i="4"/>
  <c r="R449" i="4"/>
  <c r="E449" i="4"/>
  <c r="D450" i="4"/>
  <c r="C451" i="4"/>
  <c r="Z447" i="4"/>
  <c r="B449" i="4"/>
  <c r="U449" i="4"/>
  <c r="F449" i="4"/>
  <c r="K449" i="4"/>
  <c r="L449" i="4"/>
  <c r="M449" i="4"/>
  <c r="N449" i="4"/>
  <c r="O449" i="4"/>
  <c r="P449" i="4"/>
  <c r="Q449" i="4"/>
  <c r="S449" i="4"/>
  <c r="AJ449" i="4"/>
  <c r="AK450" i="4" l="1"/>
  <c r="AJ450" i="4"/>
  <c r="Y449" i="4"/>
  <c r="X449" i="4"/>
  <c r="AL449" i="4"/>
  <c r="G449" i="4"/>
  <c r="I449" i="4" s="1"/>
  <c r="AA448" i="4"/>
  <c r="Z448" i="4"/>
  <c r="F450" i="4"/>
  <c r="M450" i="4"/>
  <c r="O450" i="4"/>
  <c r="T450" i="4"/>
  <c r="AI450" i="4"/>
  <c r="W450" i="4"/>
  <c r="R450" i="4"/>
  <c r="C452" i="4"/>
  <c r="D451" i="4"/>
  <c r="P451" i="4" s="1"/>
  <c r="B450" i="4"/>
  <c r="H450" i="4"/>
  <c r="J450" i="4"/>
  <c r="N450" i="4"/>
  <c r="P450" i="4"/>
  <c r="Q450" i="4"/>
  <c r="E450" i="4"/>
  <c r="U450" i="4"/>
  <c r="V450" i="4"/>
  <c r="L450" i="4"/>
  <c r="S450" i="4"/>
  <c r="K450" i="4"/>
  <c r="AL450" i="4" l="1"/>
  <c r="X450" i="4"/>
  <c r="AA450" i="4" s="1"/>
  <c r="Z449" i="4"/>
  <c r="AA449" i="4"/>
  <c r="G450" i="4"/>
  <c r="I450" i="4" s="1"/>
  <c r="Y450" i="4"/>
  <c r="H451" i="4"/>
  <c r="K451" i="4"/>
  <c r="L451" i="4"/>
  <c r="N451" i="4"/>
  <c r="R451" i="4"/>
  <c r="J451" i="4"/>
  <c r="V451" i="4"/>
  <c r="O451" i="4"/>
  <c r="M451" i="4"/>
  <c r="F451" i="4"/>
  <c r="C453" i="4"/>
  <c r="D452" i="4"/>
  <c r="B451" i="4"/>
  <c r="Q451" i="4"/>
  <c r="S451" i="4"/>
  <c r="T451" i="4"/>
  <c r="W451" i="4"/>
  <c r="AI451" i="4"/>
  <c r="AJ451" i="4"/>
  <c r="AK451" i="4"/>
  <c r="E451" i="4"/>
  <c r="U451" i="4"/>
  <c r="Z450" i="4" l="1"/>
  <c r="N452" i="4"/>
  <c r="O452" i="4"/>
  <c r="X451" i="4"/>
  <c r="AA451" i="4" s="1"/>
  <c r="Y451" i="4"/>
  <c r="AL451" i="4"/>
  <c r="G451" i="4"/>
  <c r="I451" i="4" s="1"/>
  <c r="P452" i="4"/>
  <c r="Q452" i="4"/>
  <c r="S452" i="4"/>
  <c r="T452" i="4"/>
  <c r="W452" i="4"/>
  <c r="M453" i="4"/>
  <c r="D453" i="4"/>
  <c r="C454" i="4"/>
  <c r="B452" i="4"/>
  <c r="E452" i="4"/>
  <c r="L452" i="4"/>
  <c r="R452" i="4"/>
  <c r="F452" i="4"/>
  <c r="J452" i="4"/>
  <c r="M452" i="4"/>
  <c r="AJ452" i="4"/>
  <c r="AK452" i="4"/>
  <c r="H452" i="4"/>
  <c r="V452" i="4"/>
  <c r="AI452" i="4"/>
  <c r="K452" i="4"/>
  <c r="U452" i="4"/>
  <c r="P453" i="4" l="1"/>
  <c r="V453" i="4"/>
  <c r="W453" i="4"/>
  <c r="AI453" i="4"/>
  <c r="E453" i="4"/>
  <c r="Z451" i="4"/>
  <c r="AJ453" i="4"/>
  <c r="AK453" i="4"/>
  <c r="S453" i="4"/>
  <c r="T453" i="4"/>
  <c r="AL452" i="4"/>
  <c r="X452" i="4"/>
  <c r="AA452" i="4" s="1"/>
  <c r="Y452" i="4"/>
  <c r="C455" i="4"/>
  <c r="D454" i="4"/>
  <c r="T454" i="4"/>
  <c r="G452" i="4"/>
  <c r="I452" i="4" s="1"/>
  <c r="B453" i="4"/>
  <c r="H453" i="4"/>
  <c r="J453" i="4"/>
  <c r="K453" i="4"/>
  <c r="O453" i="4"/>
  <c r="U453" i="4"/>
  <c r="L453" i="4"/>
  <c r="N453" i="4"/>
  <c r="Q453" i="4"/>
  <c r="F453" i="4"/>
  <c r="R453" i="4"/>
  <c r="AL453" i="4" l="1"/>
  <c r="X453" i="4"/>
  <c r="AA453" i="4" s="1"/>
  <c r="Y453" i="4"/>
  <c r="G453" i="4"/>
  <c r="I453" i="4" s="1"/>
  <c r="Z452" i="4"/>
  <c r="Q454" i="4"/>
  <c r="E454" i="4"/>
  <c r="F454" i="4"/>
  <c r="U454" i="4"/>
  <c r="V454" i="4"/>
  <c r="X454" i="4" s="1"/>
  <c r="W454" i="4"/>
  <c r="AI454" i="4"/>
  <c r="AJ454" i="4"/>
  <c r="AK454" i="4"/>
  <c r="D455" i="4"/>
  <c r="J455" i="4" s="1"/>
  <c r="C456" i="4"/>
  <c r="B454" i="4"/>
  <c r="H454" i="4"/>
  <c r="J454" i="4"/>
  <c r="K454" i="4"/>
  <c r="L454" i="4"/>
  <c r="M454" i="4"/>
  <c r="N454" i="4"/>
  <c r="O454" i="4"/>
  <c r="P454" i="4"/>
  <c r="R454" i="4"/>
  <c r="S454" i="4"/>
  <c r="Z453" i="4" l="1"/>
  <c r="G454" i="4"/>
  <c r="I454" i="4" s="1"/>
  <c r="Y454" i="4"/>
  <c r="Z454" i="4" s="1"/>
  <c r="AL454" i="4"/>
  <c r="AA454" i="4"/>
  <c r="K455" i="4"/>
  <c r="L455" i="4"/>
  <c r="M455" i="4"/>
  <c r="O455" i="4"/>
  <c r="Q455" i="4"/>
  <c r="T455" i="4"/>
  <c r="D456" i="4"/>
  <c r="U456" i="4" s="1"/>
  <c r="C457" i="4"/>
  <c r="B455" i="4"/>
  <c r="U455" i="4"/>
  <c r="F455" i="4"/>
  <c r="AK455" i="4"/>
  <c r="N455" i="4"/>
  <c r="W455" i="4"/>
  <c r="AJ455" i="4"/>
  <c r="H455" i="4"/>
  <c r="P455" i="4"/>
  <c r="S455" i="4"/>
  <c r="V455" i="4"/>
  <c r="AI455" i="4"/>
  <c r="E455" i="4"/>
  <c r="R455" i="4"/>
  <c r="X455" i="4" l="1"/>
  <c r="AA455" i="4" s="1"/>
  <c r="D457" i="4"/>
  <c r="C458" i="4"/>
  <c r="K457" i="4"/>
  <c r="Y455" i="4"/>
  <c r="AL455" i="4"/>
  <c r="G455" i="4"/>
  <c r="I455" i="4" s="1"/>
  <c r="B456" i="4"/>
  <c r="E456" i="4"/>
  <c r="H456" i="4"/>
  <c r="F456" i="4"/>
  <c r="J456" i="4"/>
  <c r="K456" i="4"/>
  <c r="L456" i="4"/>
  <c r="M456" i="4"/>
  <c r="N456" i="4"/>
  <c r="O456" i="4"/>
  <c r="P456" i="4"/>
  <c r="Q456" i="4"/>
  <c r="S456" i="4"/>
  <c r="T456" i="4"/>
  <c r="V456" i="4"/>
  <c r="W456" i="4"/>
  <c r="Y456" i="4" s="1"/>
  <c r="AI456" i="4"/>
  <c r="AJ456" i="4"/>
  <c r="AK456" i="4"/>
  <c r="R456" i="4"/>
  <c r="X456" i="4" l="1"/>
  <c r="AL456" i="4"/>
  <c r="Z455" i="4"/>
  <c r="M457" i="4"/>
  <c r="N457" i="4"/>
  <c r="C459" i="4"/>
  <c r="D458" i="4"/>
  <c r="G456" i="4"/>
  <c r="I456" i="4" s="1"/>
  <c r="B457" i="4"/>
  <c r="E457" i="4"/>
  <c r="F457" i="4"/>
  <c r="L457" i="4"/>
  <c r="T457" i="4"/>
  <c r="O457" i="4"/>
  <c r="Q457" i="4"/>
  <c r="AK457" i="4"/>
  <c r="J457" i="4"/>
  <c r="AI457" i="4"/>
  <c r="P457" i="4"/>
  <c r="S457" i="4"/>
  <c r="U457" i="4"/>
  <c r="V457" i="4"/>
  <c r="W457" i="4"/>
  <c r="AJ457" i="4"/>
  <c r="H457" i="4"/>
  <c r="R457" i="4"/>
  <c r="Z456" i="4" l="1"/>
  <c r="AA456" i="4"/>
  <c r="E458" i="4"/>
  <c r="J458" i="4"/>
  <c r="AK458" i="4"/>
  <c r="K458" i="4"/>
  <c r="W458" i="4"/>
  <c r="X457" i="4"/>
  <c r="AA457" i="4" s="1"/>
  <c r="Y457" i="4"/>
  <c r="D459" i="4"/>
  <c r="C460" i="4"/>
  <c r="AL457" i="4"/>
  <c r="G457" i="4"/>
  <c r="I457" i="4" s="1"/>
  <c r="B458" i="4"/>
  <c r="F458" i="4"/>
  <c r="H458" i="4"/>
  <c r="R458" i="4"/>
  <c r="N458" i="4"/>
  <c r="O458" i="4"/>
  <c r="P458" i="4"/>
  <c r="Q458" i="4"/>
  <c r="S458" i="4"/>
  <c r="T458" i="4"/>
  <c r="V458" i="4"/>
  <c r="M458" i="4"/>
  <c r="U458" i="4"/>
  <c r="L458" i="4"/>
  <c r="AI458" i="4"/>
  <c r="AJ458" i="4"/>
  <c r="E459" i="4" l="1"/>
  <c r="R459" i="4"/>
  <c r="F459" i="4"/>
  <c r="G459" i="4" s="1"/>
  <c r="L459" i="4"/>
  <c r="Q459" i="4"/>
  <c r="Z457" i="4"/>
  <c r="G458" i="4"/>
  <c r="I458" i="4" s="1"/>
  <c r="Y458" i="4"/>
  <c r="AL458" i="4"/>
  <c r="X458" i="4"/>
  <c r="H459" i="4"/>
  <c r="J459" i="4"/>
  <c r="T459" i="4"/>
  <c r="V459" i="4"/>
  <c r="W459" i="4"/>
  <c r="AI459" i="4"/>
  <c r="AJ459" i="4"/>
  <c r="AK459" i="4"/>
  <c r="B459" i="4"/>
  <c r="K459" i="4"/>
  <c r="M459" i="4"/>
  <c r="N459" i="4"/>
  <c r="O459" i="4"/>
  <c r="S459" i="4"/>
  <c r="P459" i="4"/>
  <c r="U459" i="4"/>
  <c r="D460" i="4"/>
  <c r="V460" i="4" s="1"/>
  <c r="C461" i="4"/>
  <c r="T460" i="4" l="1"/>
  <c r="X460" i="4" s="1"/>
  <c r="W460" i="4"/>
  <c r="X459" i="4"/>
  <c r="Y459" i="4"/>
  <c r="AI460" i="4"/>
  <c r="N460" i="4"/>
  <c r="AL459" i="4"/>
  <c r="Z458" i="4"/>
  <c r="AA458" i="4"/>
  <c r="I459" i="4"/>
  <c r="D461" i="4"/>
  <c r="C462" i="4"/>
  <c r="B460" i="4"/>
  <c r="U460" i="4"/>
  <c r="R460" i="4"/>
  <c r="O460" i="4"/>
  <c r="Q460" i="4"/>
  <c r="S460" i="4"/>
  <c r="AJ460" i="4"/>
  <c r="H460" i="4"/>
  <c r="M460" i="4"/>
  <c r="P460" i="4"/>
  <c r="K460" i="4"/>
  <c r="AK460" i="4"/>
  <c r="F460" i="4"/>
  <c r="J460" i="4"/>
  <c r="L460" i="4"/>
  <c r="E460" i="4"/>
  <c r="R461" i="4" l="1"/>
  <c r="P461" i="4"/>
  <c r="AA460" i="4"/>
  <c r="AL460" i="4"/>
  <c r="Y460" i="4"/>
  <c r="Z460" i="4" s="1"/>
  <c r="AA459" i="4"/>
  <c r="Z459" i="4"/>
  <c r="F461" i="4"/>
  <c r="J461" i="4"/>
  <c r="N461" i="4"/>
  <c r="H461" i="4"/>
  <c r="K461" i="4"/>
  <c r="S461" i="4"/>
  <c r="V461" i="4"/>
  <c r="W461" i="4"/>
  <c r="AI461" i="4"/>
  <c r="AJ461" i="4"/>
  <c r="AK461" i="4"/>
  <c r="G460" i="4"/>
  <c r="I460" i="4" s="1"/>
  <c r="B461" i="4"/>
  <c r="U461" i="4"/>
  <c r="L461" i="4"/>
  <c r="M461" i="4"/>
  <c r="E461" i="4"/>
  <c r="O461" i="4"/>
  <c r="Q461" i="4"/>
  <c r="T461" i="4"/>
  <c r="D462" i="4"/>
  <c r="C463" i="4"/>
  <c r="L462" i="4" l="1"/>
  <c r="M462" i="4"/>
  <c r="N462" i="4"/>
  <c r="O462" i="4"/>
  <c r="T462" i="4"/>
  <c r="AL461" i="4"/>
  <c r="X461" i="4"/>
  <c r="AA461" i="4" s="1"/>
  <c r="Y461" i="4"/>
  <c r="G461" i="4"/>
  <c r="I461" i="4" s="1"/>
  <c r="D463" i="4"/>
  <c r="C464" i="4"/>
  <c r="B462" i="4"/>
  <c r="V462" i="4"/>
  <c r="W462" i="4"/>
  <c r="AI462" i="4"/>
  <c r="AJ462" i="4"/>
  <c r="R462" i="4"/>
  <c r="P462" i="4"/>
  <c r="E462" i="4"/>
  <c r="F462" i="4"/>
  <c r="K462" i="4"/>
  <c r="Q462" i="4"/>
  <c r="S462" i="4"/>
  <c r="H462" i="4"/>
  <c r="J462" i="4"/>
  <c r="U462" i="4"/>
  <c r="AK462" i="4"/>
  <c r="X462" i="4" l="1"/>
  <c r="AA462" i="4" s="1"/>
  <c r="Z461" i="4"/>
  <c r="O463" i="4"/>
  <c r="F463" i="4"/>
  <c r="G462" i="4"/>
  <c r="I462" i="4" s="1"/>
  <c r="AL462" i="4"/>
  <c r="D464" i="4"/>
  <c r="C465" i="4"/>
  <c r="Y462" i="4"/>
  <c r="B463" i="4"/>
  <c r="J463" i="4"/>
  <c r="K463" i="4"/>
  <c r="L463" i="4"/>
  <c r="M463" i="4"/>
  <c r="N463" i="4"/>
  <c r="P463" i="4"/>
  <c r="Q463" i="4"/>
  <c r="S463" i="4"/>
  <c r="T463" i="4"/>
  <c r="V463" i="4"/>
  <c r="W463" i="4"/>
  <c r="AI463" i="4"/>
  <c r="AJ463" i="4"/>
  <c r="AK463" i="4"/>
  <c r="H463" i="4"/>
  <c r="R463" i="4"/>
  <c r="U463" i="4"/>
  <c r="E463" i="4"/>
  <c r="Z462" i="4" l="1"/>
  <c r="G463" i="4"/>
  <c r="I463" i="4" s="1"/>
  <c r="M464" i="4"/>
  <c r="T464" i="4"/>
  <c r="U464" i="4"/>
  <c r="W464" i="4"/>
  <c r="Y463" i="4"/>
  <c r="E464" i="4"/>
  <c r="J464" i="4"/>
  <c r="K464" i="4"/>
  <c r="X463" i="4"/>
  <c r="R464" i="4"/>
  <c r="N464" i="4"/>
  <c r="O464" i="4"/>
  <c r="P464" i="4"/>
  <c r="Q464" i="4"/>
  <c r="S464" i="4"/>
  <c r="D465" i="4"/>
  <c r="C466" i="4"/>
  <c r="AL463" i="4"/>
  <c r="B464" i="4"/>
  <c r="F464" i="4"/>
  <c r="L464" i="4"/>
  <c r="H464" i="4"/>
  <c r="AI464" i="4"/>
  <c r="AJ464" i="4"/>
  <c r="AK464" i="4"/>
  <c r="V464" i="4"/>
  <c r="X464" i="4" l="1"/>
  <c r="AA464" i="4" s="1"/>
  <c r="Y464" i="4"/>
  <c r="G464" i="4"/>
  <c r="I464" i="4" s="1"/>
  <c r="E465" i="4"/>
  <c r="Q465" i="4"/>
  <c r="U465" i="4"/>
  <c r="Z463" i="4"/>
  <c r="AA463" i="4"/>
  <c r="AL464" i="4"/>
  <c r="D466" i="4"/>
  <c r="O466" i="4" s="1"/>
  <c r="C467" i="4"/>
  <c r="B465" i="4"/>
  <c r="R465" i="4"/>
  <c r="H465" i="4"/>
  <c r="F465" i="4"/>
  <c r="J465" i="4"/>
  <c r="K465" i="4"/>
  <c r="M465" i="4"/>
  <c r="O465" i="4"/>
  <c r="N465" i="4"/>
  <c r="L465" i="4"/>
  <c r="S465" i="4"/>
  <c r="T465" i="4"/>
  <c r="V465" i="4"/>
  <c r="W465" i="4"/>
  <c r="AI465" i="4"/>
  <c r="AK465" i="4"/>
  <c r="P465" i="4"/>
  <c r="AJ465" i="4"/>
  <c r="Z464" i="4" l="1"/>
  <c r="AI466" i="4"/>
  <c r="AJ466" i="4"/>
  <c r="E466" i="4"/>
  <c r="F466" i="4"/>
  <c r="J466" i="4"/>
  <c r="K466" i="4"/>
  <c r="L466" i="4"/>
  <c r="M466" i="4"/>
  <c r="N466" i="4"/>
  <c r="G465" i="4"/>
  <c r="I465" i="4" s="1"/>
  <c r="Y465" i="4"/>
  <c r="P466" i="4"/>
  <c r="Q466" i="4"/>
  <c r="S466" i="4"/>
  <c r="T466" i="4"/>
  <c r="V466" i="4"/>
  <c r="W466" i="4"/>
  <c r="AK466" i="4"/>
  <c r="U466" i="4"/>
  <c r="H466" i="4"/>
  <c r="X465" i="4"/>
  <c r="AA465" i="4" s="1"/>
  <c r="B466" i="4"/>
  <c r="R466" i="4"/>
  <c r="C468" i="4"/>
  <c r="D467" i="4"/>
  <c r="E467" i="4" s="1"/>
  <c r="AL465" i="4"/>
  <c r="G466" i="4" l="1"/>
  <c r="I466" i="4" s="1"/>
  <c r="AL466" i="4"/>
  <c r="Z465" i="4"/>
  <c r="Y466" i="4"/>
  <c r="X466" i="4"/>
  <c r="C469" i="4"/>
  <c r="D468" i="4"/>
  <c r="B467" i="4"/>
  <c r="F467" i="4"/>
  <c r="G467" i="4" s="1"/>
  <c r="H467" i="4"/>
  <c r="J467" i="4"/>
  <c r="K467" i="4"/>
  <c r="R467" i="4"/>
  <c r="U467" i="4"/>
  <c r="M467" i="4"/>
  <c r="N467" i="4"/>
  <c r="O467" i="4"/>
  <c r="P467" i="4"/>
  <c r="Q467" i="4"/>
  <c r="S467" i="4"/>
  <c r="L467" i="4"/>
  <c r="T467" i="4"/>
  <c r="V467" i="4"/>
  <c r="W467" i="4"/>
  <c r="AI467" i="4"/>
  <c r="AJ467" i="4"/>
  <c r="AK467" i="4"/>
  <c r="U468" i="4" l="1"/>
  <c r="J468" i="4"/>
  <c r="K468" i="4"/>
  <c r="E468" i="4"/>
  <c r="F468" i="4"/>
  <c r="M468" i="4"/>
  <c r="N468" i="4"/>
  <c r="Q468" i="4"/>
  <c r="AL467" i="4"/>
  <c r="O468" i="4"/>
  <c r="R468" i="4"/>
  <c r="S468" i="4"/>
  <c r="T468" i="4"/>
  <c r="V468" i="4"/>
  <c r="W468" i="4"/>
  <c r="AI468" i="4"/>
  <c r="AJ468" i="4"/>
  <c r="AK468" i="4"/>
  <c r="Z466" i="4"/>
  <c r="AA466" i="4"/>
  <c r="L468" i="4"/>
  <c r="P468" i="4"/>
  <c r="C470" i="4"/>
  <c r="D469" i="4"/>
  <c r="E469" i="4"/>
  <c r="I467" i="4"/>
  <c r="Y467" i="4"/>
  <c r="X467" i="4"/>
  <c r="AA467" i="4" s="1"/>
  <c r="B468" i="4"/>
  <c r="H468" i="4"/>
  <c r="Y468" i="4" l="1"/>
  <c r="G468" i="4"/>
  <c r="I468" i="4" s="1"/>
  <c r="AL468" i="4"/>
  <c r="X468" i="4"/>
  <c r="R469" i="4"/>
  <c r="H469" i="4"/>
  <c r="J469" i="4"/>
  <c r="Z467" i="4"/>
  <c r="U469" i="4"/>
  <c r="F469" i="4"/>
  <c r="G469" i="4" s="1"/>
  <c r="K469" i="4"/>
  <c r="P469" i="4"/>
  <c r="M469" i="4"/>
  <c r="B469" i="4"/>
  <c r="Q469" i="4"/>
  <c r="L469" i="4"/>
  <c r="N469" i="4"/>
  <c r="O469" i="4"/>
  <c r="S469" i="4"/>
  <c r="W469" i="4"/>
  <c r="T469" i="4"/>
  <c r="V469" i="4"/>
  <c r="AI469" i="4"/>
  <c r="AJ469" i="4"/>
  <c r="AK469" i="4"/>
  <c r="D470" i="4"/>
  <c r="U470" i="4" s="1"/>
  <c r="C471" i="4"/>
  <c r="AA468" i="4" l="1"/>
  <c r="Z468" i="4"/>
  <c r="I469" i="4"/>
  <c r="AL469" i="4"/>
  <c r="Y469" i="4"/>
  <c r="X469" i="4"/>
  <c r="B470" i="4"/>
  <c r="E470" i="4"/>
  <c r="F470" i="4"/>
  <c r="H470" i="4"/>
  <c r="J470" i="4"/>
  <c r="K470" i="4"/>
  <c r="L470" i="4"/>
  <c r="M470" i="4"/>
  <c r="N470" i="4"/>
  <c r="O470" i="4"/>
  <c r="P470" i="4"/>
  <c r="Q470" i="4"/>
  <c r="S470" i="4"/>
  <c r="T470" i="4"/>
  <c r="V470" i="4"/>
  <c r="AI470" i="4"/>
  <c r="AJ470" i="4"/>
  <c r="AK470" i="4"/>
  <c r="R470" i="4"/>
  <c r="W470" i="4"/>
  <c r="Y470" i="4" s="1"/>
  <c r="C472" i="4"/>
  <c r="D471" i="4"/>
  <c r="T471" i="4" l="1"/>
  <c r="U471" i="4"/>
  <c r="V471" i="4"/>
  <c r="AL470" i="4"/>
  <c r="G470" i="4"/>
  <c r="I470" i="4" s="1"/>
  <c r="Z469" i="4"/>
  <c r="AA469" i="4"/>
  <c r="X470" i="4"/>
  <c r="D472" i="4"/>
  <c r="AI472" i="4" s="1"/>
  <c r="W472" i="4"/>
  <c r="C473" i="4"/>
  <c r="B471" i="4"/>
  <c r="AJ471" i="4"/>
  <c r="N471" i="4"/>
  <c r="H471" i="4"/>
  <c r="M471" i="4"/>
  <c r="L471" i="4"/>
  <c r="AI471" i="4"/>
  <c r="E471" i="4"/>
  <c r="W471" i="4"/>
  <c r="R471" i="4"/>
  <c r="F471" i="4"/>
  <c r="K471" i="4"/>
  <c r="P471" i="4"/>
  <c r="Q471" i="4"/>
  <c r="J471" i="4"/>
  <c r="O471" i="4"/>
  <c r="S471" i="4"/>
  <c r="AK471" i="4"/>
  <c r="X471" i="4" l="1"/>
  <c r="AA471" i="4" s="1"/>
  <c r="Y471" i="4"/>
  <c r="AL471" i="4"/>
  <c r="Z470" i="4"/>
  <c r="AA470" i="4"/>
  <c r="G471" i="4"/>
  <c r="I471" i="4" s="1"/>
  <c r="U472" i="4"/>
  <c r="Y472" i="4" s="1"/>
  <c r="E472" i="4"/>
  <c r="F472" i="4"/>
  <c r="J472" i="4"/>
  <c r="V472" i="4"/>
  <c r="R472" i="4"/>
  <c r="AJ472" i="4"/>
  <c r="AK472" i="4"/>
  <c r="AL472" i="4" s="1"/>
  <c r="C474" i="4"/>
  <c r="D473" i="4"/>
  <c r="H473" i="4" s="1"/>
  <c r="B472" i="4"/>
  <c r="H472" i="4"/>
  <c r="K472" i="4"/>
  <c r="L472" i="4"/>
  <c r="M472" i="4"/>
  <c r="N472" i="4"/>
  <c r="O472" i="4"/>
  <c r="P472" i="4"/>
  <c r="Q472" i="4"/>
  <c r="S472" i="4"/>
  <c r="T472" i="4"/>
  <c r="Z471" i="4" l="1"/>
  <c r="R473" i="4"/>
  <c r="E473" i="4"/>
  <c r="K473" i="4"/>
  <c r="X472" i="4"/>
  <c r="G472" i="4"/>
  <c r="I472" i="4" s="1"/>
  <c r="L473" i="4"/>
  <c r="M473" i="4"/>
  <c r="F473" i="4"/>
  <c r="N473" i="4"/>
  <c r="O473" i="4"/>
  <c r="Q473" i="4"/>
  <c r="J473" i="4"/>
  <c r="P473" i="4"/>
  <c r="D474" i="4"/>
  <c r="C475" i="4"/>
  <c r="B473" i="4"/>
  <c r="S473" i="4"/>
  <c r="T473" i="4"/>
  <c r="V473" i="4"/>
  <c r="W473" i="4"/>
  <c r="AI473" i="4"/>
  <c r="AJ473" i="4"/>
  <c r="AK473" i="4"/>
  <c r="U473" i="4"/>
  <c r="G473" i="4" l="1"/>
  <c r="I473" i="4" s="1"/>
  <c r="AA472" i="4"/>
  <c r="Z472" i="4"/>
  <c r="AL473" i="4"/>
  <c r="F474" i="4"/>
  <c r="J474" i="4"/>
  <c r="K474" i="4"/>
  <c r="U474" i="4"/>
  <c r="N474" i="4"/>
  <c r="O474" i="4"/>
  <c r="P474" i="4"/>
  <c r="Q474" i="4"/>
  <c r="R474" i="4"/>
  <c r="S474" i="4"/>
  <c r="T474" i="4"/>
  <c r="V474" i="4"/>
  <c r="W474" i="4"/>
  <c r="AI474" i="4"/>
  <c r="AJ474" i="4"/>
  <c r="AK474" i="4"/>
  <c r="H474" i="4"/>
  <c r="D475" i="4"/>
  <c r="C476" i="4"/>
  <c r="X473" i="4"/>
  <c r="AA473" i="4" s="1"/>
  <c r="Y473" i="4"/>
  <c r="B474" i="4"/>
  <c r="E474" i="4"/>
  <c r="L474" i="4"/>
  <c r="M474" i="4"/>
  <c r="AL474" i="4" l="1"/>
  <c r="E475" i="4"/>
  <c r="H475" i="4"/>
  <c r="F475" i="4"/>
  <c r="U475" i="4"/>
  <c r="J475" i="4"/>
  <c r="X474" i="4"/>
  <c r="Y474" i="4"/>
  <c r="Z473" i="4"/>
  <c r="T475" i="4"/>
  <c r="V475" i="4"/>
  <c r="G474" i="4"/>
  <c r="I474" i="4" s="1"/>
  <c r="W475" i="4"/>
  <c r="AI475" i="4"/>
  <c r="K475" i="4"/>
  <c r="R475" i="4"/>
  <c r="L475" i="4"/>
  <c r="M475" i="4"/>
  <c r="N475" i="4"/>
  <c r="D476" i="4"/>
  <c r="C477" i="4"/>
  <c r="B475" i="4"/>
  <c r="AJ475" i="4"/>
  <c r="AK475" i="4"/>
  <c r="O475" i="4"/>
  <c r="P475" i="4"/>
  <c r="Q475" i="4"/>
  <c r="S475" i="4"/>
  <c r="M476" i="4" l="1"/>
  <c r="H476" i="4"/>
  <c r="G475" i="4"/>
  <c r="I475" i="4" s="1"/>
  <c r="Y475" i="4"/>
  <c r="AA474" i="4"/>
  <c r="Z474" i="4"/>
  <c r="V476" i="4"/>
  <c r="Q476" i="4"/>
  <c r="T476" i="4"/>
  <c r="AI476" i="4"/>
  <c r="AK476" i="4"/>
  <c r="S476" i="4"/>
  <c r="X475" i="4"/>
  <c r="AL475" i="4"/>
  <c r="N476" i="4"/>
  <c r="O476" i="4"/>
  <c r="W476" i="4"/>
  <c r="AJ476" i="4"/>
  <c r="C478" i="4"/>
  <c r="D477" i="4"/>
  <c r="F477" i="4" s="1"/>
  <c r="B476" i="4"/>
  <c r="E476" i="4"/>
  <c r="U476" i="4"/>
  <c r="F476" i="4"/>
  <c r="J476" i="4"/>
  <c r="K476" i="4"/>
  <c r="L476" i="4"/>
  <c r="R476" i="4"/>
  <c r="P476" i="4"/>
  <c r="AL476" i="4" l="1"/>
  <c r="Y476" i="4"/>
  <c r="X476" i="4"/>
  <c r="Z475" i="4"/>
  <c r="AA475" i="4"/>
  <c r="C479" i="4"/>
  <c r="D478" i="4"/>
  <c r="E478" i="4" s="1"/>
  <c r="G476" i="4"/>
  <c r="I476" i="4" s="1"/>
  <c r="B477" i="4"/>
  <c r="J477" i="4"/>
  <c r="K477" i="4"/>
  <c r="L477" i="4"/>
  <c r="M477" i="4"/>
  <c r="N477" i="4"/>
  <c r="O477" i="4"/>
  <c r="Q477" i="4"/>
  <c r="S477" i="4"/>
  <c r="T477" i="4"/>
  <c r="V477" i="4"/>
  <c r="AI477" i="4"/>
  <c r="AK477" i="4"/>
  <c r="P477" i="4"/>
  <c r="W477" i="4"/>
  <c r="AJ477" i="4"/>
  <c r="R477" i="4"/>
  <c r="H477" i="4"/>
  <c r="U477" i="4"/>
  <c r="E477" i="4"/>
  <c r="G477" i="4" s="1"/>
  <c r="AA476" i="4" l="1"/>
  <c r="Z476" i="4"/>
  <c r="M478" i="4"/>
  <c r="N478" i="4"/>
  <c r="P478" i="4"/>
  <c r="H478" i="4"/>
  <c r="Y477" i="4"/>
  <c r="AL477" i="4"/>
  <c r="J478" i="4"/>
  <c r="O478" i="4"/>
  <c r="K478" i="4"/>
  <c r="L478" i="4"/>
  <c r="C480" i="4"/>
  <c r="D479" i="4"/>
  <c r="X477" i="4"/>
  <c r="I477" i="4"/>
  <c r="B478" i="4"/>
  <c r="F478" i="4"/>
  <c r="G478" i="4" s="1"/>
  <c r="R478" i="4"/>
  <c r="Q478" i="4"/>
  <c r="S478" i="4"/>
  <c r="T478" i="4"/>
  <c r="U478" i="4"/>
  <c r="V478" i="4"/>
  <c r="AI478" i="4"/>
  <c r="AJ478" i="4"/>
  <c r="AK478" i="4"/>
  <c r="W478" i="4"/>
  <c r="AL478" i="4" l="1"/>
  <c r="I478" i="4"/>
  <c r="AJ479" i="4"/>
  <c r="R479" i="4"/>
  <c r="Y478" i="4"/>
  <c r="C481" i="4"/>
  <c r="D480" i="4"/>
  <c r="AA477" i="4"/>
  <c r="Z477" i="4"/>
  <c r="X478" i="4"/>
  <c r="B479" i="4"/>
  <c r="F479" i="4"/>
  <c r="H479" i="4"/>
  <c r="J479" i="4"/>
  <c r="K479" i="4"/>
  <c r="L479" i="4"/>
  <c r="M479" i="4"/>
  <c r="N479" i="4"/>
  <c r="O479" i="4"/>
  <c r="P479" i="4"/>
  <c r="Q479" i="4"/>
  <c r="S479" i="4"/>
  <c r="T479" i="4"/>
  <c r="W479" i="4"/>
  <c r="AI479" i="4"/>
  <c r="E479" i="4"/>
  <c r="U479" i="4"/>
  <c r="V479" i="4"/>
  <c r="AK479" i="4"/>
  <c r="G479" i="4" l="1"/>
  <c r="I479" i="4" s="1"/>
  <c r="F480" i="4"/>
  <c r="K480" i="4"/>
  <c r="E480" i="4"/>
  <c r="T480" i="4"/>
  <c r="V480" i="4"/>
  <c r="W480" i="4"/>
  <c r="AI480" i="4"/>
  <c r="AJ480" i="4"/>
  <c r="AK480" i="4"/>
  <c r="H480" i="4"/>
  <c r="R480" i="4"/>
  <c r="C482" i="4"/>
  <c r="D481" i="4"/>
  <c r="H481" i="4" s="1"/>
  <c r="Z478" i="4"/>
  <c r="AA478" i="4"/>
  <c r="X479" i="4"/>
  <c r="AA479" i="4" s="1"/>
  <c r="AL479" i="4"/>
  <c r="Y479" i="4"/>
  <c r="B480" i="4"/>
  <c r="U480" i="4"/>
  <c r="L480" i="4"/>
  <c r="M480" i="4"/>
  <c r="N480" i="4"/>
  <c r="O480" i="4"/>
  <c r="P480" i="4"/>
  <c r="Q480" i="4"/>
  <c r="S480" i="4"/>
  <c r="J480" i="4"/>
  <c r="AL480" i="4" l="1"/>
  <c r="X480" i="4"/>
  <c r="AA480" i="4" s="1"/>
  <c r="Z479" i="4"/>
  <c r="G480" i="4"/>
  <c r="I480" i="4" s="1"/>
  <c r="Y480" i="4"/>
  <c r="S481" i="4"/>
  <c r="E481" i="4"/>
  <c r="U481" i="4"/>
  <c r="W481" i="4"/>
  <c r="AK481" i="4"/>
  <c r="V481" i="4"/>
  <c r="AJ481" i="4"/>
  <c r="J481" i="4"/>
  <c r="F481" i="4"/>
  <c r="K481" i="4"/>
  <c r="R481" i="4"/>
  <c r="L481" i="4"/>
  <c r="M481" i="4"/>
  <c r="N481" i="4"/>
  <c r="O481" i="4"/>
  <c r="AI481" i="4"/>
  <c r="C483" i="4"/>
  <c r="D482" i="4"/>
  <c r="B481" i="4"/>
  <c r="P481" i="4"/>
  <c r="Q481" i="4"/>
  <c r="T481" i="4"/>
  <c r="H482" i="4" l="1"/>
  <c r="K482" i="4"/>
  <c r="X481" i="4"/>
  <c r="AA481" i="4" s="1"/>
  <c r="U482" i="4"/>
  <c r="L482" i="4"/>
  <c r="M482" i="4"/>
  <c r="N482" i="4"/>
  <c r="O482" i="4"/>
  <c r="E482" i="4"/>
  <c r="Z480" i="4"/>
  <c r="G481" i="4"/>
  <c r="I481" i="4" s="1"/>
  <c r="Y481" i="4"/>
  <c r="AL481" i="4"/>
  <c r="D483" i="4"/>
  <c r="C484" i="4"/>
  <c r="B482" i="4"/>
  <c r="F482" i="4"/>
  <c r="J482" i="4"/>
  <c r="P482" i="4"/>
  <c r="Q482" i="4"/>
  <c r="S482" i="4"/>
  <c r="T482" i="4"/>
  <c r="V482" i="4"/>
  <c r="R482" i="4"/>
  <c r="AJ482" i="4"/>
  <c r="W482" i="4"/>
  <c r="AK482" i="4"/>
  <c r="AI482" i="4"/>
  <c r="AI483" i="4" l="1"/>
  <c r="E483" i="4"/>
  <c r="AL482" i="4"/>
  <c r="Z481" i="4"/>
  <c r="Y482" i="4"/>
  <c r="G482" i="4"/>
  <c r="I482" i="4" s="1"/>
  <c r="L483" i="4"/>
  <c r="AJ483" i="4"/>
  <c r="AK483" i="4"/>
  <c r="AL483" i="4" s="1"/>
  <c r="H483" i="4"/>
  <c r="J483" i="4"/>
  <c r="F483" i="4"/>
  <c r="G483" i="4" s="1"/>
  <c r="O483" i="4"/>
  <c r="W483" i="4"/>
  <c r="K483" i="4"/>
  <c r="M483" i="4"/>
  <c r="P483" i="4"/>
  <c r="N483" i="4"/>
  <c r="D484" i="4"/>
  <c r="C485" i="4"/>
  <c r="K484" i="4"/>
  <c r="X482" i="4"/>
  <c r="B483" i="4"/>
  <c r="U483" i="4"/>
  <c r="Q483" i="4"/>
  <c r="S483" i="4"/>
  <c r="T483" i="4"/>
  <c r="V483" i="4"/>
  <c r="R483" i="4"/>
  <c r="X483" i="4" l="1"/>
  <c r="AA483" i="4" s="1"/>
  <c r="I483" i="4"/>
  <c r="Y483" i="4"/>
  <c r="F484" i="4"/>
  <c r="U484" i="4"/>
  <c r="J484" i="4"/>
  <c r="D485" i="4"/>
  <c r="C486" i="4"/>
  <c r="AA482" i="4"/>
  <c r="Z482" i="4"/>
  <c r="B484" i="4"/>
  <c r="E484" i="4"/>
  <c r="H484" i="4"/>
  <c r="L484" i="4"/>
  <c r="M484" i="4"/>
  <c r="N484" i="4"/>
  <c r="O484" i="4"/>
  <c r="P484" i="4"/>
  <c r="Q484" i="4"/>
  <c r="S484" i="4"/>
  <c r="T484" i="4"/>
  <c r="V484" i="4"/>
  <c r="W484" i="4"/>
  <c r="AI484" i="4"/>
  <c r="AJ484" i="4"/>
  <c r="AK484" i="4"/>
  <c r="R484" i="4"/>
  <c r="Z483" i="4" l="1"/>
  <c r="M485" i="4"/>
  <c r="R485" i="4"/>
  <c r="AL484" i="4"/>
  <c r="F485" i="4"/>
  <c r="H485" i="4"/>
  <c r="N485" i="4"/>
  <c r="E485" i="4"/>
  <c r="L485" i="4"/>
  <c r="O485" i="4"/>
  <c r="Q485" i="4"/>
  <c r="AK485" i="4"/>
  <c r="K485" i="4"/>
  <c r="J485" i="4"/>
  <c r="P485" i="4"/>
  <c r="S485" i="4"/>
  <c r="T485" i="4"/>
  <c r="U485" i="4"/>
  <c r="G484" i="4"/>
  <c r="I484" i="4" s="1"/>
  <c r="X484" i="4"/>
  <c r="AA484" i="4" s="1"/>
  <c r="Y484" i="4"/>
  <c r="C487" i="4"/>
  <c r="D486" i="4"/>
  <c r="B485" i="4"/>
  <c r="V485" i="4"/>
  <c r="W485" i="4"/>
  <c r="AI485" i="4"/>
  <c r="AJ485" i="4"/>
  <c r="G485" i="4" l="1"/>
  <c r="I485" i="4" s="1"/>
  <c r="Y485" i="4"/>
  <c r="X485" i="4"/>
  <c r="AA485" i="4" s="1"/>
  <c r="AL485" i="4"/>
  <c r="V486" i="4"/>
  <c r="Q486" i="4"/>
  <c r="R486" i="4"/>
  <c r="S486" i="4"/>
  <c r="T486" i="4"/>
  <c r="Z484" i="4"/>
  <c r="D487" i="4"/>
  <c r="C488" i="4"/>
  <c r="B486" i="4"/>
  <c r="J486" i="4"/>
  <c r="L486" i="4"/>
  <c r="M486" i="4"/>
  <c r="N486" i="4"/>
  <c r="O486" i="4"/>
  <c r="P486" i="4"/>
  <c r="W486" i="4"/>
  <c r="AI486" i="4"/>
  <c r="AJ486" i="4"/>
  <c r="AK486" i="4"/>
  <c r="U486" i="4"/>
  <c r="H486" i="4"/>
  <c r="E486" i="4"/>
  <c r="F486" i="4"/>
  <c r="K486" i="4"/>
  <c r="X486" i="4" l="1"/>
  <c r="AA486" i="4" s="1"/>
  <c r="Z485" i="4"/>
  <c r="AL486" i="4"/>
  <c r="J487" i="4"/>
  <c r="K487" i="4"/>
  <c r="L487" i="4"/>
  <c r="M487" i="4"/>
  <c r="Q487" i="4"/>
  <c r="S487" i="4"/>
  <c r="T487" i="4"/>
  <c r="AJ487" i="4"/>
  <c r="AK487" i="4"/>
  <c r="R487" i="4"/>
  <c r="Y486" i="4"/>
  <c r="Z486" i="4" s="1"/>
  <c r="H487" i="4"/>
  <c r="F487" i="4"/>
  <c r="N487" i="4"/>
  <c r="O487" i="4"/>
  <c r="V487" i="4"/>
  <c r="W487" i="4"/>
  <c r="AI487" i="4"/>
  <c r="C489" i="4"/>
  <c r="D488" i="4"/>
  <c r="G486" i="4"/>
  <c r="I486" i="4" s="1"/>
  <c r="B487" i="4"/>
  <c r="P487" i="4"/>
  <c r="E487" i="4"/>
  <c r="U487" i="4"/>
  <c r="X487" i="4" l="1"/>
  <c r="AA487" i="4" s="1"/>
  <c r="AL487" i="4"/>
  <c r="H488" i="4"/>
  <c r="E488" i="4"/>
  <c r="F488" i="4"/>
  <c r="J488" i="4"/>
  <c r="K488" i="4"/>
  <c r="R488" i="4"/>
  <c r="G487" i="4"/>
  <c r="I487" i="4" s="1"/>
  <c r="Y487" i="4"/>
  <c r="U488" i="4"/>
  <c r="L488" i="4"/>
  <c r="M488" i="4"/>
  <c r="N488" i="4"/>
  <c r="O488" i="4"/>
  <c r="P488" i="4"/>
  <c r="Q488" i="4"/>
  <c r="S488" i="4"/>
  <c r="T488" i="4"/>
  <c r="V488" i="4"/>
  <c r="W488" i="4"/>
  <c r="C490" i="4"/>
  <c r="D489" i="4"/>
  <c r="R489" i="4"/>
  <c r="B488" i="4"/>
  <c r="AI488" i="4"/>
  <c r="AJ488" i="4"/>
  <c r="AK488" i="4"/>
  <c r="U489" i="4" l="1"/>
  <c r="K489" i="4"/>
  <c r="AL488" i="4"/>
  <c r="Z487" i="4"/>
  <c r="Y488" i="4"/>
  <c r="G488" i="4"/>
  <c r="I488" i="4" s="1"/>
  <c r="X488" i="4"/>
  <c r="S489" i="4"/>
  <c r="T489" i="4"/>
  <c r="V489" i="4"/>
  <c r="AI489" i="4"/>
  <c r="W489" i="4"/>
  <c r="Y489" i="4" s="1"/>
  <c r="AJ489" i="4"/>
  <c r="AK489" i="4"/>
  <c r="H489" i="4"/>
  <c r="C491" i="4"/>
  <c r="D490" i="4"/>
  <c r="B489" i="4"/>
  <c r="M489" i="4"/>
  <c r="F489" i="4"/>
  <c r="J489" i="4"/>
  <c r="L489" i="4"/>
  <c r="N489" i="4"/>
  <c r="O489" i="4"/>
  <c r="P489" i="4"/>
  <c r="Q489" i="4"/>
  <c r="E489" i="4"/>
  <c r="AL489" i="4" l="1"/>
  <c r="AA488" i="4"/>
  <c r="Z488" i="4"/>
  <c r="X489" i="4"/>
  <c r="C492" i="4"/>
  <c r="D491" i="4"/>
  <c r="G489" i="4"/>
  <c r="I489" i="4" s="1"/>
  <c r="B490" i="4"/>
  <c r="V490" i="4"/>
  <c r="O490" i="4"/>
  <c r="AI490" i="4"/>
  <c r="AJ490" i="4"/>
  <c r="R490" i="4"/>
  <c r="E490" i="4"/>
  <c r="H490" i="4"/>
  <c r="T490" i="4"/>
  <c r="AK490" i="4"/>
  <c r="W490" i="4"/>
  <c r="U490" i="4"/>
  <c r="F490" i="4"/>
  <c r="J490" i="4"/>
  <c r="K490" i="4"/>
  <c r="L490" i="4"/>
  <c r="M490" i="4"/>
  <c r="N490" i="4"/>
  <c r="P490" i="4"/>
  <c r="Q490" i="4"/>
  <c r="S490" i="4"/>
  <c r="Z489" i="4" l="1"/>
  <c r="AA489" i="4"/>
  <c r="E491" i="4"/>
  <c r="F491" i="4"/>
  <c r="H491" i="4"/>
  <c r="D492" i="4"/>
  <c r="F492" i="4" s="1"/>
  <c r="E492" i="4"/>
  <c r="C493" i="4"/>
  <c r="X490" i="4"/>
  <c r="AA490" i="4" s="1"/>
  <c r="AL490" i="4"/>
  <c r="Y490" i="4"/>
  <c r="G490" i="4"/>
  <c r="I490" i="4" s="1"/>
  <c r="B491" i="4"/>
  <c r="U491" i="4"/>
  <c r="J491" i="4"/>
  <c r="K491" i="4"/>
  <c r="L491" i="4"/>
  <c r="M491" i="4"/>
  <c r="N491" i="4"/>
  <c r="O491" i="4"/>
  <c r="P491" i="4"/>
  <c r="Q491" i="4"/>
  <c r="S491" i="4"/>
  <c r="T491" i="4"/>
  <c r="V491" i="4"/>
  <c r="W491" i="4"/>
  <c r="AI491" i="4"/>
  <c r="AJ491" i="4"/>
  <c r="AK491" i="4"/>
  <c r="R491" i="4"/>
  <c r="X491" i="4" l="1"/>
  <c r="AA491" i="4" s="1"/>
  <c r="AI492" i="4"/>
  <c r="AJ492" i="4"/>
  <c r="AK492" i="4"/>
  <c r="G491" i="4"/>
  <c r="I491" i="4" s="1"/>
  <c r="G492" i="4"/>
  <c r="Z490" i="4"/>
  <c r="AL491" i="4"/>
  <c r="R492" i="4"/>
  <c r="J492" i="4"/>
  <c r="Y491" i="4"/>
  <c r="K492" i="4"/>
  <c r="L492" i="4"/>
  <c r="M492" i="4"/>
  <c r="N492" i="4"/>
  <c r="O492" i="4"/>
  <c r="P492" i="4"/>
  <c r="Q492" i="4"/>
  <c r="S492" i="4"/>
  <c r="T492" i="4"/>
  <c r="C494" i="4"/>
  <c r="D493" i="4"/>
  <c r="B492" i="4"/>
  <c r="U492" i="4"/>
  <c r="V492" i="4"/>
  <c r="W492" i="4"/>
  <c r="H492" i="4"/>
  <c r="I492" i="4" l="1"/>
  <c r="Z491" i="4"/>
  <c r="AL492" i="4"/>
  <c r="X492" i="4"/>
  <c r="AA492" i="4" s="1"/>
  <c r="F493" i="4"/>
  <c r="J493" i="4"/>
  <c r="E493" i="4"/>
  <c r="R493" i="4"/>
  <c r="S493" i="4"/>
  <c r="V493" i="4"/>
  <c r="AK493" i="4"/>
  <c r="U493" i="4"/>
  <c r="AJ493" i="4"/>
  <c r="C495" i="4"/>
  <c r="D494" i="4"/>
  <c r="Y492" i="4"/>
  <c r="B493" i="4"/>
  <c r="H493" i="4"/>
  <c r="K493" i="4"/>
  <c r="L493" i="4"/>
  <c r="M493" i="4"/>
  <c r="N493" i="4"/>
  <c r="O493" i="4"/>
  <c r="P493" i="4"/>
  <c r="Q493" i="4"/>
  <c r="T493" i="4"/>
  <c r="AI493" i="4"/>
  <c r="W493" i="4"/>
  <c r="X493" i="4" l="1"/>
  <c r="AA493" i="4"/>
  <c r="G493" i="4"/>
  <c r="I493" i="4" s="1"/>
  <c r="Z492" i="4"/>
  <c r="AL493" i="4"/>
  <c r="Y493" i="4"/>
  <c r="E494" i="4"/>
  <c r="U494" i="4"/>
  <c r="V494" i="4"/>
  <c r="C496" i="4"/>
  <c r="D495" i="4"/>
  <c r="B494" i="4"/>
  <c r="F494" i="4"/>
  <c r="M494" i="4"/>
  <c r="R494" i="4"/>
  <c r="L494" i="4"/>
  <c r="H494" i="4"/>
  <c r="N494" i="4"/>
  <c r="O494" i="4"/>
  <c r="Q494" i="4"/>
  <c r="AJ494" i="4"/>
  <c r="T494" i="4"/>
  <c r="AK494" i="4"/>
  <c r="J494" i="4"/>
  <c r="P494" i="4"/>
  <c r="AI494" i="4"/>
  <c r="S494" i="4"/>
  <c r="W494" i="4"/>
  <c r="K494" i="4"/>
  <c r="Y494" i="4" l="1"/>
  <c r="Z493" i="4"/>
  <c r="F495" i="4"/>
  <c r="E495" i="4"/>
  <c r="H495" i="4"/>
  <c r="K495" i="4"/>
  <c r="O495" i="4"/>
  <c r="P495" i="4"/>
  <c r="Q495" i="4"/>
  <c r="X494" i="4"/>
  <c r="T495" i="4"/>
  <c r="S495" i="4"/>
  <c r="J495" i="4"/>
  <c r="U495" i="4"/>
  <c r="V495" i="4"/>
  <c r="W495" i="4"/>
  <c r="AI495" i="4"/>
  <c r="AJ495" i="4"/>
  <c r="AK495" i="4"/>
  <c r="G494" i="4"/>
  <c r="I494" i="4" s="1"/>
  <c r="D496" i="4"/>
  <c r="H496" i="4" s="1"/>
  <c r="C497" i="4"/>
  <c r="AL494" i="4"/>
  <c r="B495" i="4"/>
  <c r="R495" i="4"/>
  <c r="L495" i="4"/>
  <c r="M495" i="4"/>
  <c r="N495" i="4"/>
  <c r="G495" i="4" l="1"/>
  <c r="I495" i="4" s="1"/>
  <c r="X495" i="4"/>
  <c r="AA495" i="4" s="1"/>
  <c r="AL495" i="4"/>
  <c r="AA494" i="4"/>
  <c r="Z494" i="4"/>
  <c r="Y495" i="4"/>
  <c r="N496" i="4"/>
  <c r="S496" i="4"/>
  <c r="O496" i="4"/>
  <c r="P496" i="4"/>
  <c r="Q496" i="4"/>
  <c r="H497" i="4"/>
  <c r="C498" i="4"/>
  <c r="D497" i="4"/>
  <c r="B496" i="4"/>
  <c r="E496" i="4"/>
  <c r="U496" i="4"/>
  <c r="F496" i="4"/>
  <c r="J496" i="4"/>
  <c r="K496" i="4"/>
  <c r="L496" i="4"/>
  <c r="M496" i="4"/>
  <c r="T496" i="4"/>
  <c r="V496" i="4"/>
  <c r="W496" i="4"/>
  <c r="AI496" i="4"/>
  <c r="AJ496" i="4"/>
  <c r="AK496" i="4"/>
  <c r="R496" i="4"/>
  <c r="Z495" i="4" l="1"/>
  <c r="J497" i="4"/>
  <c r="U497" i="4"/>
  <c r="L497" i="4"/>
  <c r="N497" i="4"/>
  <c r="R497" i="4"/>
  <c r="K497" i="4"/>
  <c r="F497" i="4"/>
  <c r="M497" i="4"/>
  <c r="O497" i="4"/>
  <c r="Y496" i="4"/>
  <c r="AL496" i="4"/>
  <c r="D498" i="4"/>
  <c r="K498" i="4" s="1"/>
  <c r="C499" i="4"/>
  <c r="J498" i="4"/>
  <c r="G496" i="4"/>
  <c r="I496" i="4" s="1"/>
  <c r="X496" i="4"/>
  <c r="B497" i="4"/>
  <c r="E497" i="4"/>
  <c r="P497" i="4"/>
  <c r="Q497" i="4"/>
  <c r="S497" i="4"/>
  <c r="T497" i="4"/>
  <c r="V497" i="4"/>
  <c r="W497" i="4"/>
  <c r="AI497" i="4"/>
  <c r="AJ497" i="4"/>
  <c r="AK497" i="4"/>
  <c r="Y497" i="4" l="1"/>
  <c r="G497" i="4"/>
  <c r="I497" i="4" s="1"/>
  <c r="AL497" i="4"/>
  <c r="L498" i="4"/>
  <c r="M498" i="4"/>
  <c r="Q498" i="4"/>
  <c r="AK498" i="4"/>
  <c r="N498" i="4"/>
  <c r="O498" i="4"/>
  <c r="P498" i="4"/>
  <c r="T498" i="4"/>
  <c r="D499" i="4"/>
  <c r="F499" i="4" s="1"/>
  <c r="C500" i="4"/>
  <c r="AA496" i="4"/>
  <c r="Z496" i="4"/>
  <c r="X497" i="4"/>
  <c r="B498" i="4"/>
  <c r="E498" i="4"/>
  <c r="F498" i="4"/>
  <c r="U498" i="4"/>
  <c r="S498" i="4"/>
  <c r="H498" i="4"/>
  <c r="V498" i="4"/>
  <c r="AI498" i="4"/>
  <c r="AJ498" i="4"/>
  <c r="R498" i="4"/>
  <c r="W498" i="4"/>
  <c r="J499" i="4" l="1"/>
  <c r="R499" i="4"/>
  <c r="V499" i="4"/>
  <c r="W499" i="4"/>
  <c r="AI499" i="4"/>
  <c r="AJ499" i="4"/>
  <c r="AK499" i="4"/>
  <c r="E499" i="4"/>
  <c r="G499" i="4" s="1"/>
  <c r="AL498" i="4"/>
  <c r="X498" i="4"/>
  <c r="AA498" i="4" s="1"/>
  <c r="K499" i="4"/>
  <c r="M499" i="4"/>
  <c r="L499" i="4"/>
  <c r="N499" i="4"/>
  <c r="O499" i="4"/>
  <c r="P499" i="4"/>
  <c r="U499" i="4"/>
  <c r="C501" i="4"/>
  <c r="D500" i="4"/>
  <c r="Z497" i="4"/>
  <c r="AA497" i="4"/>
  <c r="G498" i="4"/>
  <c r="I498" i="4" s="1"/>
  <c r="Y498" i="4"/>
  <c r="B499" i="4"/>
  <c r="Q499" i="4"/>
  <c r="S499" i="4"/>
  <c r="T499" i="4"/>
  <c r="H499" i="4"/>
  <c r="AL499" i="4" l="1"/>
  <c r="Y499" i="4"/>
  <c r="X499" i="4"/>
  <c r="AA499" i="4" s="1"/>
  <c r="Z498" i="4"/>
  <c r="L500" i="4"/>
  <c r="E500" i="4"/>
  <c r="F500" i="4"/>
  <c r="H500" i="4"/>
  <c r="J500" i="4"/>
  <c r="U500" i="4"/>
  <c r="D501" i="4"/>
  <c r="C502" i="4"/>
  <c r="I499" i="4"/>
  <c r="B500" i="4"/>
  <c r="K500" i="4"/>
  <c r="M500" i="4"/>
  <c r="N500" i="4"/>
  <c r="O500" i="4"/>
  <c r="P500" i="4"/>
  <c r="Q500" i="4"/>
  <c r="R500" i="4"/>
  <c r="S500" i="4"/>
  <c r="V500" i="4"/>
  <c r="AJ500" i="4"/>
  <c r="T500" i="4"/>
  <c r="W500" i="4"/>
  <c r="AI500" i="4"/>
  <c r="AK500" i="4"/>
  <c r="Z499" i="4" l="1"/>
  <c r="AL500" i="4"/>
  <c r="G500" i="4"/>
  <c r="I500" i="4" s="1"/>
  <c r="Y500" i="4"/>
  <c r="E501" i="4"/>
  <c r="M501" i="4"/>
  <c r="T501" i="4"/>
  <c r="AI501" i="4"/>
  <c r="N501" i="4"/>
  <c r="O501" i="4"/>
  <c r="AJ501" i="4"/>
  <c r="P501" i="4"/>
  <c r="S501" i="4"/>
  <c r="V501" i="4"/>
  <c r="Q501" i="4"/>
  <c r="W501" i="4"/>
  <c r="D502" i="4"/>
  <c r="C503" i="4"/>
  <c r="X500" i="4"/>
  <c r="B501" i="4"/>
  <c r="U501" i="4"/>
  <c r="F501" i="4"/>
  <c r="K501" i="4"/>
  <c r="H501" i="4"/>
  <c r="J501" i="4"/>
  <c r="R501" i="4"/>
  <c r="L501" i="4"/>
  <c r="AK501" i="4"/>
  <c r="H502" i="4" l="1"/>
  <c r="U502" i="4"/>
  <c r="W502" i="4"/>
  <c r="AI502" i="4"/>
  <c r="AJ502" i="4"/>
  <c r="AL501" i="4"/>
  <c r="G501" i="4"/>
  <c r="I501" i="4" s="1"/>
  <c r="Y501" i="4"/>
  <c r="J502" i="4"/>
  <c r="K502" i="4"/>
  <c r="X501" i="4"/>
  <c r="C504" i="4"/>
  <c r="D503" i="4"/>
  <c r="AK503" i="4" s="1"/>
  <c r="Z500" i="4"/>
  <c r="AA500" i="4"/>
  <c r="B502" i="4"/>
  <c r="L502" i="4"/>
  <c r="M502" i="4"/>
  <c r="N502" i="4"/>
  <c r="O502" i="4"/>
  <c r="P502" i="4"/>
  <c r="S502" i="4"/>
  <c r="T502" i="4"/>
  <c r="V502" i="4"/>
  <c r="F502" i="4"/>
  <c r="Q502" i="4"/>
  <c r="E502" i="4"/>
  <c r="AK502" i="4"/>
  <c r="R502" i="4"/>
  <c r="Y502" i="4" l="1"/>
  <c r="AL502" i="4"/>
  <c r="AA501" i="4"/>
  <c r="Z501" i="4"/>
  <c r="D504" i="4"/>
  <c r="C505" i="4"/>
  <c r="G502" i="4"/>
  <c r="I502" i="4" s="1"/>
  <c r="X502" i="4"/>
  <c r="B503" i="4"/>
  <c r="E503" i="4"/>
  <c r="R503" i="4"/>
  <c r="O503" i="4"/>
  <c r="S503" i="4"/>
  <c r="U503" i="4"/>
  <c r="J503" i="4"/>
  <c r="K503" i="4"/>
  <c r="N503" i="4"/>
  <c r="Q503" i="4"/>
  <c r="AI503" i="4"/>
  <c r="AL503" i="4" s="1"/>
  <c r="F503" i="4"/>
  <c r="H503" i="4"/>
  <c r="L503" i="4"/>
  <c r="P503" i="4"/>
  <c r="T503" i="4"/>
  <c r="AJ503" i="4"/>
  <c r="M503" i="4"/>
  <c r="V503" i="4"/>
  <c r="W503" i="4"/>
  <c r="J504" i="4" l="1"/>
  <c r="K504" i="4"/>
  <c r="U504" i="4"/>
  <c r="L504" i="4"/>
  <c r="O504" i="4"/>
  <c r="S504" i="4"/>
  <c r="W504" i="4"/>
  <c r="AJ504" i="4"/>
  <c r="M504" i="4"/>
  <c r="P504" i="4"/>
  <c r="X503" i="4"/>
  <c r="AA503" i="4" s="1"/>
  <c r="R504" i="4"/>
  <c r="F504" i="4"/>
  <c r="T504" i="4"/>
  <c r="AI504" i="4"/>
  <c r="AK504" i="4"/>
  <c r="N504" i="4"/>
  <c r="Q504" i="4"/>
  <c r="V504" i="4"/>
  <c r="D505" i="4"/>
  <c r="Z502" i="4"/>
  <c r="AA502" i="4"/>
  <c r="G503" i="4"/>
  <c r="I503" i="4" s="1"/>
  <c r="Y503" i="4"/>
  <c r="B504" i="4"/>
  <c r="E504" i="4"/>
  <c r="H504" i="4"/>
  <c r="Y504" i="4" l="1"/>
  <c r="X504" i="4"/>
  <c r="H505" i="4"/>
  <c r="L505" i="4"/>
  <c r="M505" i="4"/>
  <c r="N505" i="4"/>
  <c r="O505" i="4"/>
  <c r="P505" i="4"/>
  <c r="Q505" i="4"/>
  <c r="S505" i="4"/>
  <c r="T505" i="4"/>
  <c r="AL504" i="4"/>
  <c r="Z503" i="4"/>
  <c r="G504" i="4"/>
  <c r="I504" i="4" s="1"/>
  <c r="F505" i="4"/>
  <c r="U505" i="4"/>
  <c r="B505" i="4"/>
  <c r="E505" i="4"/>
  <c r="J505" i="4"/>
  <c r="K505" i="4"/>
  <c r="V505" i="4"/>
  <c r="W505" i="4"/>
  <c r="AI505" i="4"/>
  <c r="AJ505" i="4"/>
  <c r="AK505" i="4"/>
  <c r="R505" i="4"/>
  <c r="G505" i="4" l="1"/>
  <c r="I505" i="4" s="1"/>
  <c r="X505" i="4"/>
  <c r="AA505" i="4" s="1"/>
  <c r="AA504" i="4"/>
  <c r="Z504" i="4"/>
  <c r="Y505" i="4"/>
  <c r="AL505" i="4"/>
  <c r="Z50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X5" authorId="0" shapeId="0" xr:uid="{6B58F11A-1AEA-40B7-B97C-81D587896AD0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(New Customer Return on Ad Spend)</t>
        </r>
      </text>
    </comment>
    <comment ref="Z5" authorId="0" shapeId="0" xr:uid="{66A2222B-3BEF-4389-AEAA-F83F71A0DAEF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First-Order New Customer ROAS</t>
        </r>
      </text>
    </comment>
    <comment ref="AC6" authorId="0" shapeId="0" xr:uid="{1A232502-093F-4548-BF33-9B548E53395D}">
      <text>
        <r>
          <rPr>
            <b/>
            <sz val="9"/>
            <color indexed="81"/>
            <rFont val="Tahoma"/>
            <charset val="1"/>
          </rPr>
          <t>Nota:</t>
        </r>
        <r>
          <rPr>
            <sz val="9"/>
            <color indexed="81"/>
            <rFont val="Tahoma"/>
            <charset val="1"/>
          </rPr>
          <t xml:space="preserve">
costo de ventas registrado / ventas netas con costo registrado * ventas netas totales</t>
        </r>
      </text>
    </comment>
    <comment ref="AD6" authorId="0" shapeId="0" xr:uid="{638918C0-5B66-49C7-AEA5-071AD74B580A}">
      <text>
        <r>
          <rPr>
            <b/>
            <sz val="9"/>
            <color indexed="81"/>
            <rFont val="Tahoma"/>
            <charset val="1"/>
          </rPr>
          <t>Nota:</t>
        </r>
        <r>
          <rPr>
            <sz val="9"/>
            <color indexed="81"/>
            <rFont val="Tahoma"/>
            <charset val="1"/>
          </rPr>
          <t xml:space="preserve">
Costos 100% variables contables + COGS calculado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AA5" authorId="0" shapeId="0" xr:uid="{BC8961A0-8417-482D-B2C1-1AF705B390AE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(New Customer Return on Ad Spend)</t>
        </r>
      </text>
    </comment>
    <comment ref="AB5" authorId="0" shapeId="0" xr:uid="{ECADC6DC-C6ED-4E8C-8563-EB7FD6E8A347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First-Order New Customer ROAS</t>
        </r>
      </text>
    </comment>
    <comment ref="G6" authorId="0" shapeId="0" xr:uid="{7D43F060-4FB4-4DDF-BEDB-9044C7303473}">
      <text>
        <r>
          <rPr>
            <b/>
            <sz val="9"/>
            <color indexed="81"/>
            <rFont val="Tahoma"/>
            <charset val="1"/>
          </rPr>
          <t>Nota:</t>
        </r>
        <r>
          <rPr>
            <sz val="9"/>
            <color indexed="81"/>
            <rFont val="Tahoma"/>
            <charset val="1"/>
          </rPr>
          <t xml:space="preserve">
Average order value</t>
        </r>
      </text>
    </comment>
    <comment ref="H6" authorId="0" shapeId="0" xr:uid="{285DA830-D171-4B71-B679-25EA896B7293}">
      <text>
        <r>
          <rPr>
            <b/>
            <sz val="9"/>
            <color indexed="81"/>
            <rFont val="Tahoma"/>
            <charset val="1"/>
          </rPr>
          <t>Nota:</t>
        </r>
        <r>
          <rPr>
            <sz val="9"/>
            <color indexed="81"/>
            <rFont val="Tahoma"/>
            <charset val="1"/>
          </rPr>
          <t xml:space="preserve">
Conversion rate (total store)</t>
        </r>
      </text>
    </comment>
    <comment ref="I6" authorId="0" shapeId="0" xr:uid="{46465C40-AF6D-49A1-BB2F-81F17D4CB775}">
      <text>
        <r>
          <rPr>
            <b/>
            <sz val="9"/>
            <color indexed="81"/>
            <rFont val="Tahoma"/>
            <charset val="1"/>
          </rPr>
          <t>Nota:</t>
        </r>
        <r>
          <rPr>
            <sz val="9"/>
            <color indexed="81"/>
            <rFont val="Tahoma"/>
            <charset val="1"/>
          </rPr>
          <t xml:space="preserve">
Revenue per visit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AE5" authorId="0" shapeId="0" xr:uid="{15062E89-E1E9-4DF1-8111-A5BD1766F05F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(New Customer Return on Ad Spend)</t>
        </r>
      </text>
    </comment>
    <comment ref="AF5" authorId="0" shapeId="0" xr:uid="{01F1587A-4FFD-4C58-9E6F-6954E461B133}">
      <text>
        <r>
          <rPr>
            <b/>
            <sz val="9"/>
            <color indexed="81"/>
            <rFont val="Tahoma"/>
            <family val="2"/>
          </rPr>
          <t>Nota:</t>
        </r>
        <r>
          <rPr>
            <sz val="9"/>
            <color indexed="81"/>
            <rFont val="Tahoma"/>
            <family val="2"/>
          </rPr>
          <t xml:space="preserve">
First-Order New Customer ROAS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Ricardo Diaz</author>
  </authors>
  <commentList>
    <comment ref="C17" authorId="0" shapeId="0" xr:uid="{0055A75D-B62B-4514-A152-FA7A38298D8A}">
      <text>
        <r>
          <rPr>
            <b/>
            <sz val="9"/>
            <color indexed="81"/>
            <rFont val="Tahoma"/>
            <charset val="1"/>
          </rPr>
          <t>Nota:</t>
        </r>
        <r>
          <rPr>
            <sz val="9"/>
            <color indexed="81"/>
            <rFont val="Tahoma"/>
            <charset val="1"/>
          </rPr>
          <t xml:space="preserve">
Script: https://ads.google.com/aw/bulk/scripts/management?ocid=6472400842&amp;euid=117407472&amp;__u=6221903728&amp;uscid=6472400842&amp;__c=4529124858&amp;authuser=0&amp;subid=all-es-419-awhp-g-aw-c-home-signin-bgc!o2-s500g500%7Cib:6653296821%7Cib:9279461727%7Cib:7966379274%7C-ahpm-0000000200-0000000001
Sheet: https://docs.google.com/spreadsheets/d/10z_jL0-x9rZi5loiBx6sJdW8Av5NLLclijOEMxlKYK0/edit?gid=3#gid=3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1BB1D4-AF0F-46D8-884A-C6E8BEF9CEFF}" keepAlive="1" name="Query - AccountingReport" description="Connection to the 'AccountingReport' query in the workbook." type="5" refreshedVersion="8" background="1" saveData="1">
    <dbPr connection="Provider=Microsoft.Mashup.OleDb.1;Data Source=$Workbook$;Location=AccountingReport;Extended Properties=&quot;&quot;" command="SELECT * FROM [AccountingReport]"/>
  </connection>
  <connection id="2" xr16:uid="{1345E80F-941A-4640-B39A-4C6574103336}" keepAlive="1" name="Query - COAApi" description="Connection to the 'COAApi' query in the workbook." type="5" refreshedVersion="8" background="1" saveData="1">
    <dbPr connection="Provider=Microsoft.Mashup.OleDb.1;Data Source=$Workbook$;Location=COAApi;Extended Properties=&quot;&quot;" command="SELECT * FROM [COAApi]"/>
  </connection>
  <connection id="3" xr16:uid="{913219D7-F2A7-4693-ADC0-308D5F7C564D}" keepAlive="1" name="Query - COALocal" description="Connection to the 'COALocal' query in the workbook." type="5" refreshedVersion="8" background="1" saveData="1">
    <dbPr connection="Provider=Microsoft.Mashup.OleDb.1;Data Source=$Workbook$;Location=COALocal;Extended Properties=&quot;&quot;" command="SELECT * FROM [COALocal]"/>
  </connection>
  <connection id="4" xr16:uid="{31CCD5B8-F3C2-4D4B-B5E9-37BEFD3EF6C3}" keepAlive="1" name="Query - ConversionRateByReferral" description="Connection to the 'ConversionRateByReferral' query in the workbook." type="5" refreshedVersion="8" background="1" saveData="1">
    <dbPr connection="Provider=Microsoft.Mashup.OleDb.1;Data Source=$Workbook$;Location=ConversionRateByReferral;Extended Properties=&quot;&quot;" command="SELECT * FROM [ConversionRateByReferral]"/>
  </connection>
  <connection id="5" xr16:uid="{C80A4BC2-104F-4497-911A-486CA386858B}" keepAlive="1" name="Query - ConversionRateToCols" description="Connection to the 'ConversionRateToCols' query in the workbook." type="5" refreshedVersion="0" background="1">
    <dbPr connection="Provider=Microsoft.Mashup.OleDb.1;Data Source=$Workbook$;Location=ConversionRateToCols;Extended Properties=&quot;&quot;" command="SELECT * FROM [ConversionRateToCols]"/>
  </connection>
  <connection id="6" xr16:uid="{E00E85E1-53CB-4D19-BC0B-3BA3A338A8CC}" keepAlive="1" name="Query - ConversionRateToCols1" description="Connection to the 'ConversionRateToCols' query in the workbook." type="5" refreshedVersion="0" background="1">
    <dbPr connection="Provider=Microsoft.Mashup.OleDb.1;Data Source=$Workbook$;Location=ConversionRateToCols;Extended Properties=&quot;&quot;" command="SELECT * FROM [ConversionRateToCols]"/>
  </connection>
  <connection id="7" xr16:uid="{EEB6F93A-FBB9-4862-8587-1A83DF2CC232}" keepAlive="1" name="Query - DataByClass" description="Connection to the 'DataByClass' query in the workbook." type="5" refreshedVersion="8" background="1" saveData="1">
    <dbPr connection="Provider=Microsoft.Mashup.OleDb.1;Data Source=$Workbook$;Location=DataByClass;Extended Properties=&quot;&quot;" command="SELECT * FROM [DataByClass]"/>
  </connection>
  <connection id="8" xr16:uid="{0595822B-E0F4-4D2A-B714-9BD6DB7243DC}" keepAlive="1" name="Query - FinanceSummary" description="Connection to the 'FinanceSummary' query in the workbook." type="5" refreshedVersion="0" background="1" saveData="1">
    <dbPr connection="Provider=Microsoft.Mashup.OleDb.1;Data Source=$Workbook$;Location=FinanceSummary;Extended Properties=&quot;&quot;" command="SELECT * FROM [FinanceSummary]"/>
  </connection>
  <connection id="9" xr16:uid="{35F436E6-6FB4-4036-A806-0E14A79D3CC6}" keepAlive="1" name="Query - fnGetMonthsInPeriod" description="Connection to the 'fnGetMonthsInPeriod' query in the workbook." type="5" refreshedVersion="0" background="1">
    <dbPr connection="Provider=Microsoft.Mashup.OleDb.1;Data Source=$Workbook$;Location=fnGetMonthsInPeriod;Extended Properties=&quot;&quot;" command="SELECT * FROM [fnGetMonthsInPeriod]"/>
  </connection>
  <connection id="10" xr16:uid="{82B2E912-8DB5-47F9-A002-DAA91B5C371D}" keepAlive="1" name="Query - fnGetSalesBreakdownByPeriod" description="Connection to the 'fnGetSalesBreakdownByPeriod' query in the workbook." type="5" refreshedVersion="0" background="1">
    <dbPr connection="Provider=Microsoft.Mashup.OleDb.1;Data Source=$Workbook$;Location=fnGetSalesBreakdownByPeriod;Extended Properties=&quot;&quot;" command="SELECT * FROM [fnGetSalesBreakdownByPeriod]"/>
  </connection>
  <connection id="11" xr16:uid="{F4CA6B87-E4CC-4A4F-BE6D-56A7A6E504D0}" keepAlive="1" name="Query - fnGetShopifyQLData" description="Connection to the 'fnGetShopifyQLData' query in the workbook." type="5" refreshedVersion="0" background="1">
    <dbPr connection="Provider=Microsoft.Mashup.OleDb.1;Data Source=$Workbook$;Location=fnGetShopifyQLData;Extended Properties=&quot;&quot;" command="SELECT * FROM [fnGetShopifyQLData]"/>
  </connection>
  <connection id="12" xr16:uid="{80DAE4EC-A76B-4C72-A8A5-43E92E733060}" keepAlive="1" name="Query - fnGoogleAdsOperationByPeriod" description="Connection to the 'fnGoogleAdsOperationByPeriod' query in the workbook." type="5" refreshedVersion="0" background="1">
    <dbPr connection="Provider=Microsoft.Mashup.OleDb.1;Data Source=$Workbook$;Location=fnGoogleAdsOperationByPeriod;Extended Properties=&quot;&quot;" command="SELECT * FROM [fnGoogleAdsOperationByPeriod]"/>
  </connection>
  <connection id="13" xr16:uid="{77B28621-C3D6-4857-8FD8-7AA7837BF094}" keepAlive="1" name="Query - fnMetaAdsOperationByPeriod" description="Connection to the 'fnMetaAdsOperationByPeriod' query in the workbook." type="5" refreshedVersion="0" background="1">
    <dbPr connection="Provider=Microsoft.Mashup.OleDb.1;Data Source=$Workbook$;Location=fnMetaAdsOperationByPeriod;Extended Properties=&quot;&quot;" command="SELECT * FROM [fnMetaAdsOperationByPeriod]"/>
  </connection>
  <connection id="14" xr16:uid="{C548C48F-9DF4-4951-BF00-2717E49DC953}" keepAlive="1" name="Query - fnSalesByUTMByPeriod" description="Connection to the 'fnSalesByUTMByPeriod' query in the workbook." type="5" refreshedVersion="0" background="1">
    <dbPr connection="Provider=Microsoft.Mashup.OleDb.1;Data Source=$Workbook$;Location=fnSalesByUTMByPeriod;Extended Properties=&quot;&quot;" command="SELECT * FROM [fnSalesByUTMByPeriod]"/>
  </connection>
  <connection id="15" xr16:uid="{836E0CC3-23FB-43F1-8E7F-4F2B5757248E}" keepAlive="1" name="Query - fnSalesNewReturningByPeriod" description="Connection to the 'fnSalesNewReturningByPeriod' query in the workbook." type="5" refreshedVersion="0" background="1">
    <dbPr connection="Provider=Microsoft.Mashup.OleDb.1;Data Source=$Workbook$;Location=fnSalesNewReturningByPeriod;Extended Properties=&quot;&quot;" command="SELECT * FROM [fnSalesNewReturningByPeriod]"/>
  </connection>
  <connection id="16" xr16:uid="{65F3D894-1AC1-424B-BB29-0B0EC904569B}" keepAlive="1" name="Query - GoogleAdsOperation" description="Connection to the 'GoogleAdsOperation' query in the workbook." type="5" refreshedVersion="8" background="1" saveData="1">
    <dbPr connection="Provider=Microsoft.Mashup.OleDb.1;Data Source=$Workbook$;Location=GoogleAdsOperation;Extended Properties=&quot;&quot;" command="SELECT * FROM [GoogleAdsOperation]"/>
  </connection>
  <connection id="17" xr16:uid="{0EED8A93-F258-4D10-876D-9989EFD93A12}" keepAlive="1" name="Query - GoogleAdsOperationMonthly" description="Connection to the 'GoogleAdsOperationMonthly' query in the workbook." type="5" refreshedVersion="0" background="1">
    <dbPr connection="Provider=Microsoft.Mashup.OleDb.1;Data Source=$Workbook$;Location=GoogleAdsOperationMonthly;Extended Properties=&quot;&quot;" command="SELECT * FROM [GoogleAdsOperationMonthly]"/>
  </connection>
  <connection id="18" xr16:uid="{9BDAE93F-F8A8-4EE8-8656-26C5FEB82047}" keepAlive="1" name="Query - LibPQ" description="Connection to the 'LibPQ' query in the workbook." type="5" refreshedVersion="0" background="1">
    <dbPr connection="Provider=Microsoft.Mashup.OleDb.1;Data Source=$Workbook$;Location=LibPQ;Extended Properties=&quot;&quot;" command="SELECT * FROM [LibPQ]"/>
  </connection>
  <connection id="19" xr16:uid="{E841CFD2-1F7C-4067-B287-0EA9F1654FC1}" keepAlive="1" name="Query - LibPQPath" description="Connection to the 'LibPQPath' query in the workbook." type="5" refreshedVersion="0" background="1">
    <dbPr connection="Provider=Microsoft.Mashup.OleDb.1;Data Source=$Workbook$;Location=LibPQPath;Extended Properties=&quot;&quot;" command="SELECT * FROM [LibPQPath]"/>
  </connection>
  <connection id="20" xr16:uid="{84D9839F-1F61-4497-AD54-FB6F2760BD28}" keepAlive="1" name="Query - LocalConversionRate" description="Connection to the 'LocalConversionRate' query in the workbook." type="5" refreshedVersion="8" background="1" saveData="1">
    <dbPr connection="Provider=Microsoft.Mashup.OleDb.1;Data Source=$Workbook$;Location=LocalConversionRate;Extended Properties=&quot;&quot;" command="SELECT * FROM [LocalConversionRate]"/>
  </connection>
  <connection id="21" xr16:uid="{ACEF3CE6-F5E2-4C8E-BAC3-E35BF779B007}" keepAlive="1" name="Query - LocalFinanceSummary" description="Connection to the 'LocalFinanceSummary' query in the workbook." type="5" refreshedVersion="8" background="1" saveData="1">
    <dbPr connection="Provider=Microsoft.Mashup.OleDb.1;Data Source=$Workbook$;Location=LocalFinanceSummary;Extended Properties=&quot;&quot;" command="SELECT * FROM [LocalFinanceSummary]"/>
  </connection>
  <connection id="22" xr16:uid="{ADB10F86-4B93-4CF7-81B9-8E1C6B7C2CC3}" keepAlive="1" name="Query - LocalGoogleAdsDaily" description="Connection to the 'LocalGoogleAdsDaily' query in the workbook." type="5" refreshedVersion="8" background="1" saveData="1">
    <dbPr connection="Provider=Microsoft.Mashup.OleDb.1;Data Source=$Workbook$;Location=LocalGoogleAdsDaily;Extended Properties=&quot;&quot;" command="SELECT * FROM [LocalGoogleAdsDaily]"/>
  </connection>
  <connection id="23" xr16:uid="{C433ADD0-AD9E-4ADC-8551-B8C9713BD734}" keepAlive="1" name="Query - LocalGoogleAdsMonthly" description="Connection to the 'LocalGoogleAdsMonthly' query in the workbook." type="5" refreshedVersion="8" background="1" saveData="1">
    <dbPr connection="Provider=Microsoft.Mashup.OleDb.1;Data Source=$Workbook$;Location=LocalGoogleAdsMonthly;Extended Properties=&quot;&quot;" command="SELECT * FROM [LocalGoogleAdsMonthly]"/>
  </connection>
  <connection id="24" xr16:uid="{16227FA6-779C-43CC-8D81-E43E8A33B502}" keepAlive="1" name="Query - LocalMetaAdsDaily" description="Connection to the 'LocalMetaAdsDaily' query in the workbook." type="5" refreshedVersion="8" background="1" saveData="1">
    <dbPr connection="Provider=Microsoft.Mashup.OleDb.1;Data Source=$Workbook$;Location=LocalMetaAdsDaily;Extended Properties=&quot;&quot;" command="SELECT * FROM [LocalMetaAdsDaily]"/>
  </connection>
  <connection id="25" xr16:uid="{F76BDED4-DBF8-44CA-995E-74F11164C1BB}" keepAlive="1" name="Query - LocalMetaAdsMonthly" description="Connection to the 'LocalMetaAdsMonthly' query in the workbook." type="5" refreshedVersion="8" background="1" saveData="1">
    <dbPr connection="Provider=Microsoft.Mashup.OleDb.1;Data Source=$Workbook$;Location=LocalMetaAdsMonthly;Extended Properties=&quot;&quot;" command="SELECT * FROM [LocalMetaAdsMonthly]"/>
  </connection>
  <connection id="26" xr16:uid="{9B089C46-DC72-4E10-9841-0CD284390A64}" keepAlive="1" name="Query - LocalSalesBreakdownDaily" description="Connection to the 'LocalSalesBreakdownDaily' query in the workbook." type="5" refreshedVersion="8" background="1" saveData="1">
    <dbPr connection="Provider=Microsoft.Mashup.OleDb.1;Data Source=$Workbook$;Location=LocalSalesBreakdownDaily;Extended Properties=&quot;&quot;" command="SELECT * FROM [LocalSalesBreakdownDaily]"/>
  </connection>
  <connection id="27" xr16:uid="{6D4FA85C-4364-46E7-8715-708377D692C1}" keepAlive="1" name="Query - LocalSalesBreakdownMonthly" description="Connection to the 'LocalSalesBreakdownMonthly' query in the workbook." type="5" refreshedVersion="8" background="1" saveData="1">
    <dbPr connection="Provider=Microsoft.Mashup.OleDb.1;Data Source=$Workbook$;Location=LocalSalesBreakdownMonthly;Extended Properties=&quot;&quot;" command="SELECT * FROM [LocalSalesBreakdownMonthly]"/>
  </connection>
  <connection id="28" xr16:uid="{A02F8BD5-D56B-484D-A486-F68224D8D81E}" keepAlive="1" name="Query - LocalSalesBySource" description="Connection to the 'LocalSalesBySource' query in the workbook." type="5" refreshedVersion="8" background="1" saveData="1">
    <dbPr connection="Provider=Microsoft.Mashup.OleDb.1;Data Source=$Workbook$;Location=LocalSalesBySource;Extended Properties=&quot;&quot;" command="SELECT * FROM [LocalSalesBySource]"/>
  </connection>
  <connection id="29" xr16:uid="{553B0E03-FCEB-4D7D-A6AB-BCE42A32919F}" keepAlive="1" name="Query - LocalSalesByUTMDaily" description="Connection to the 'LocalSalesByUTMDaily' query in the workbook." type="5" refreshedVersion="8" background="1" saveData="1">
    <dbPr connection="Provider=Microsoft.Mashup.OleDb.1;Data Source=$Workbook$;Location=LocalSalesByUTMDaily;Extended Properties=&quot;&quot;" command="SELECT * FROM [LocalSalesByUTMDaily]"/>
  </connection>
  <connection id="30" xr16:uid="{3E95EAF9-39E1-49DF-87AB-8495383E0EF8}" keepAlive="1" name="Query - LocalSalesByUTMMonthly" description="Connection to the 'LocalSalesByUTMMonthly' query in the workbook." type="5" refreshedVersion="8" background="1" saveData="1">
    <dbPr connection="Provider=Microsoft.Mashup.OleDb.1;Data Source=$Workbook$;Location=LocalSalesByUTMMonthly;Extended Properties=&quot;&quot;" command="SELECT * FROM [LocalSalesByUTMMonthly]"/>
  </connection>
  <connection id="31" xr16:uid="{92E6B7CD-CEAD-4BC6-989C-9E5DED90DCB3}" keepAlive="1" name="Query - LocalSalesNewReturningDaily" description="Connection to the 'LocalSalesNewReturningDaily' query in the workbook." type="5" refreshedVersion="8" background="1" saveData="1">
    <dbPr connection="Provider=Microsoft.Mashup.OleDb.1;Data Source=$Workbook$;Location=LocalSalesNewReturningDaily;Extended Properties=&quot;&quot;" command="SELECT * FROM [LocalSalesNewReturningDaily]"/>
  </connection>
  <connection id="32" xr16:uid="{192F6E7F-B65F-46DB-A467-25E02FD7AD75}" keepAlive="1" name="Query - LocalSalesNewReturningMonthly" description="Connection to the 'LocalSalesNewReturningMonthly' query in the workbook." type="5" refreshedVersion="8" background="1" saveData="1">
    <dbPr connection="Provider=Microsoft.Mashup.OleDb.1;Data Source=$Workbook$;Location=LocalSalesNewReturningMonthly;Extended Properties=&quot;&quot;" command="SELECT * FROM [LocalSalesNewReturningMonthly]"/>
  </connection>
  <connection id="33" xr16:uid="{2294AE98-8360-4FCF-B92F-860C59CE2BF8}" keepAlive="1" name="Query - LocalSalesQuantityOrdered" description="Connection to the 'LocalSalesQuantityOrdered' query in the workbook." type="5" refreshedVersion="8" background="1" saveData="1">
    <dbPr connection="Provider=Microsoft.Mashup.OleDb.1;Data Source=$Workbook$;Location=LocalSalesQuantityOrdered;Extended Properties=&quot;&quot;" command="SELECT * FROM [LocalSalesQuantityOrdered]"/>
  </connection>
  <connection id="34" xr16:uid="{C4AB1353-FE5A-41FD-9466-D635EFA7089F}" keepAlive="1" name="Query - LocalTrialBalance" description="Connection to the 'LocalTrialBalance' query in the workbook." type="5" refreshedVersion="8" background="1" saveData="1">
    <dbPr connection="Provider=Microsoft.Mashup.OleDb.1;Data Source=$Workbook$;Location=LocalTrialBalance;Extended Properties=&quot;&quot;" command="SELECT * FROM [LocalTrialBalance]"/>
  </connection>
  <connection id="35" xr16:uid="{CFCB1CA2-5E02-462E-AE65-25B6177766F8}" keepAlive="1" name="Query - MetaAdsOperationDaily" description="Connection to the 'MetaAdsOperationDaily' query in the workbook." type="5" refreshedVersion="0" background="1">
    <dbPr connection="Provider=Microsoft.Mashup.OleDb.1;Data Source=$Workbook$;Location=MetaAdsOperationDaily;Extended Properties=&quot;&quot;" command="SELECT * FROM [MetaAdsOperationDaily]"/>
  </connection>
  <connection id="36" xr16:uid="{507250FE-501D-4B43-8611-EA6CE1414CDC}" keepAlive="1" name="Query - MetaAdsOperationMonthly" description="Connection to the 'MetaAdsOperationMonthly' query in the workbook." type="5" refreshedVersion="0" background="1">
    <dbPr connection="Provider=Microsoft.Mashup.OleDb.1;Data Source=$Workbook$;Location=MetaAdsOperationMonthly;Extended Properties=&quot;&quot;" command="SELECT * FROM [MetaAdsOperationMonthly]"/>
  </connection>
  <connection id="37" xr16:uid="{AD07E99B-15DE-4F6E-AE35-394DE2C53836}" keepAlive="1" name="Query - ParamAccessToken" description="Connection to the 'ParamAccessToken' query in the workbook." type="5" refreshedVersion="0" background="1">
    <dbPr connection="Provider=Microsoft.Mashup.OleDb.1;Data Source=$Workbook$;Location=ParamAccessToken;Extended Properties=&quot;&quot;" command="SELECT * FROM [ParamAccessToken]"/>
  </connection>
  <connection id="38" xr16:uid="{7FCDD628-4187-4F12-92EC-473A48130C73}" keepAlive="1" name="Query - ParamFechaFinReporte" description="Connection to the 'ParamFechaFinReporte' query in the workbook." type="5" refreshedVersion="0" background="1">
    <dbPr connection="Provider=Microsoft.Mashup.OleDb.1;Data Source=$Workbook$;Location=ParamFechaFinReporte;Extended Properties=&quot;&quot;" command="SELECT * FROM [ParamFechaFinReporte]"/>
  </connection>
  <connection id="39" xr16:uid="{979CD29F-21A9-4DB4-890B-7C1DC4CD9F93}" keepAlive="1" name="Query - ParamFechaInicioReporte" description="Connection to the 'ParamFechaInicioReporte' query in the workbook." type="5" refreshedVersion="0" background="1">
    <dbPr connection="Provider=Microsoft.Mashup.OleDb.1;Data Source=$Workbook$;Location=ParamFechaInicioReporte;Extended Properties=&quot;&quot;" command="SELECT * FROM [ParamFechaInicioReporte]"/>
  </connection>
  <connection id="40" xr16:uid="{2375C11F-D15B-446E-8E44-00BEE3C9B87A}" keepAlive="1" name="Query - ParamGoogleReportSource" description="Connection to the 'ParamGoogleReportSource' query in the workbook." type="5" refreshedVersion="0" background="1">
    <dbPr connection="Provider=Microsoft.Mashup.OleDb.1;Data Source=$Workbook$;Location=ParamGoogleReportSource;Extended Properties=&quot;&quot;" command="SELECT * FROM [ParamGoogleReportSource]"/>
  </connection>
  <connection id="41" xr16:uid="{BE9351E0-7B5C-4A04-BA21-9E698852F89C}" keepAlive="1" name="Query - ParamMetaAccountID" description="Connection to the 'ParamMetaAccountID' query in the workbook." type="5" refreshedVersion="0" background="1">
    <dbPr connection="Provider=Microsoft.Mashup.OleDb.1;Data Source=$Workbook$;Location=ParamMetaAccountID;Extended Properties=&quot;&quot;" command="SELECT * FROM [ParamMetaAccountID]"/>
  </connection>
  <connection id="42" xr16:uid="{48E723C1-2866-40A5-9D56-270DB8C53590}" keepAlive="1" name="Query - ParamMetaSystemToken" description="Connection to the 'ParamMetaSystemToken' query in the workbook." type="5" refreshedVersion="0" background="1">
    <dbPr connection="Provider=Microsoft.Mashup.OleDb.1;Data Source=$Workbook$;Location=ParamMetaSystemToken;Extended Properties=&quot;&quot;" command="SELECT * FROM [ParamMetaSystemToken]"/>
  </connection>
  <connection id="43" xr16:uid="{A497A5B4-87D0-485A-8AB8-332C55E485A9}" keepAlive="1" name="Query - ParamShopName" description="Connection to the 'ParamShopName' query in the workbook." type="5" refreshedVersion="0" background="1">
    <dbPr connection="Provider=Microsoft.Mashup.OleDb.1;Data Source=$Workbook$;Location=ParamShopName;Extended Properties=&quot;&quot;" command="SELECT * FROM [ParamShopName]"/>
  </connection>
  <connection id="44" xr16:uid="{83AA9983-67D8-4A5F-990A-7E3F5D36692C}" keepAlive="1" name="Query - SalesBreakdownDaily" description="Connection to the 'SalesBreakdownDaily' query in the workbook." type="5" refreshedVersion="0" background="1">
    <dbPr connection="Provider=Microsoft.Mashup.OleDb.1;Data Source=$Workbook$;Location=SalesBreakdownDaily;Extended Properties=&quot;&quot;" command="SELECT * FROM [SalesBreakdownDaily]"/>
  </connection>
  <connection id="45" xr16:uid="{664E8170-AF4A-4317-AF63-3010635944C0}" keepAlive="1" name="Query - SalesBreakdownMonthly" description="Connection to the 'SalesBreakdownMonthly' query in the workbook." type="5" refreshedVersion="0" background="1">
    <dbPr connection="Provider=Microsoft.Mashup.OleDb.1;Data Source=$Workbook$;Location=SalesBreakdownMonthly;Extended Properties=&quot;&quot;" command="SELECT * FROM [SalesBreakdownMonthly]"/>
  </connection>
  <connection id="46" xr16:uid="{45B96062-4804-4A35-9549-5E76087A43B1}" keepAlive="1" name="Query - SalesBySource" description="Connection to the 'SalesBySource' query in the workbook." type="5" refreshedVersion="8" background="1" saveData="1">
    <dbPr connection="Provider=Microsoft.Mashup.OleDb.1;Data Source=$Workbook$;Location=SalesBySource;Extended Properties=&quot;&quot;" command="SELECT * FROM [SalesBySource]"/>
  </connection>
  <connection id="47" xr16:uid="{AAB04D95-CA70-49F7-9A44-32D521923B67}" keepAlive="1" name="Query - SalesBySourceToCols" description="Connection to the 'SalesBySourceToCols' query in the workbook." type="5" refreshedVersion="0" background="1">
    <dbPr connection="Provider=Microsoft.Mashup.OleDb.1;Data Source=$Workbook$;Location=SalesBySourceToCols;Extended Properties=&quot;&quot;" command="SELECT * FROM [SalesBySourceToCols]"/>
  </connection>
  <connection id="48" xr16:uid="{11A787D1-A2F7-4F79-8B98-516428E5EDB2}" keepAlive="1" name="Query - SalesBySourceToCols1" description="Connection to the 'SalesBySourceToCols' query in the workbook." type="5" refreshedVersion="0" background="1">
    <dbPr connection="Provider=Microsoft.Mashup.OleDb.1;Data Source=$Workbook$;Location=SalesBySourceToCols;Extended Properties=&quot;&quot;" command="SELECT * FROM [SalesBySourceToCols]"/>
  </connection>
  <connection id="49" xr16:uid="{9FE1AEB3-D8AC-4A35-AFD8-634CBBBB0C98}" keepAlive="1" name="Query - SalesByUTMDaily" description="Connection to the 'SalesByUTMDaily' query in the workbook." type="5" refreshedVersion="8" background="1" saveData="1">
    <dbPr connection="Provider=Microsoft.Mashup.OleDb.1;Data Source=$Workbook$;Location=SalesByUTMDaily;Extended Properties=&quot;&quot;" command="SELECT * FROM [SalesByUTMDaily]"/>
  </connection>
  <connection id="50" xr16:uid="{4D71FF8A-CDDF-4CBD-910E-AB1272065FC4}" keepAlive="1" name="Query - SalesByUTMMonthly" description="Connection to the 'SalesByUTMMonthly' query in the workbook." type="5" refreshedVersion="0" background="1">
    <dbPr connection="Provider=Microsoft.Mashup.OleDb.1;Data Source=$Workbook$;Location=SalesByUTMMonthly;Extended Properties=&quot;&quot;" command="SELECT * FROM [SalesByUTMMonthly]"/>
  </connection>
  <connection id="51" xr16:uid="{997642FB-B59E-4E5A-813A-D37C36067AB5}" keepAlive="1" name="Query - SalesNewReturningDaily" description="Connection to the 'SalesNewReturningDaily' query in the workbook." type="5" refreshedVersion="0" background="1" saveData="1">
    <dbPr connection="Provider=Microsoft.Mashup.OleDb.1;Data Source=$Workbook$;Location=SalesNewReturningDaily;Extended Properties=&quot;&quot;" command="SELECT * FROM [SalesNewReturningDaily]"/>
  </connection>
  <connection id="52" xr16:uid="{FC1232DA-59C8-4228-8C7D-3B0A5D2D6140}" keepAlive="1" name="Query - SalesNewReturningMonthly" description="Connection to the 'SalesNewReturningMonthly' query in the workbook." type="5" refreshedVersion="0" background="1">
    <dbPr connection="Provider=Microsoft.Mashup.OleDb.1;Data Source=$Workbook$;Location=SalesNewReturningMonthly;Extended Properties=&quot;&quot;" command="SELECT * FROM [SalesNewReturningMonthly]"/>
  </connection>
  <connection id="53" xr16:uid="{173C4B5D-975C-476B-BAD3-B3C79AC7745F}" keepAlive="1" name="Query - SalesQuantityOrderedBySourceProduct" description="Connection to the 'SalesQuantityOrderedBySourceProduct' query in the workbook." type="5" refreshedVersion="8" background="1" saveData="1">
    <dbPr connection="Provider=Microsoft.Mashup.OleDb.1;Data Source=$Workbook$;Location=SalesQuantityOrderedBySourceProduct;Extended Properties=&quot;&quot;" command="SELECT * FROM [SalesQuantityOrderedBySourceProduct]"/>
  </connection>
  <connection id="54" xr16:uid="{948E24C3-4FCB-47CA-89D1-5B6099FE5A9C}" keepAlive="1" name="Query - SiigoEndpoint" description="Connection to the 'SiigoEndpoint' query in the workbook." type="5" refreshedVersion="0" background="1">
    <dbPr connection="Provider=Microsoft.Mashup.OleDb.1;Data Source=$Workbook$;Location=SiigoEndpoint;Extended Properties=&quot;&quot;" command="SELECT * FROM [SiigoEndpoint]"/>
  </connection>
  <connection id="55" xr16:uid="{E2364119-B718-4623-8AC1-A7A0193A1079}" keepAlive="1" name="Query - SummaryDaily" description="Connection to the 'SummaryDaily' query in the workbook." type="5" refreshedVersion="8" background="1" saveData="1">
    <dbPr connection="Provider=Microsoft.Mashup.OleDb.1;Data Source=$Workbook$;Location=SummaryDaily;Extended Properties=&quot;&quot;" command="SELECT * FROM [SummaryDaily]"/>
  </connection>
  <connection id="56" xr16:uid="{FF81E32B-C961-4516-945B-D9C240728025}" keepAlive="1" name="Query - TablaSIIGOParam" description="Connection to the 'TablaSIIGOParam' query in the workbook." type="5" refreshedVersion="0" background="1">
    <dbPr connection="Provider=Microsoft.Mashup.OleDb.1;Data Source=$Workbook$;Location=TablaSIIGOParam;Extended Properties=&quot;&quot;" command="SELECT * FROM [TablaSIIGOParam]"/>
  </connection>
  <connection id="57" xr16:uid="{B7B466E9-476E-4489-B67C-DE7AD3DF5101}" keepAlive="1" name="Query - TablePUC" description="Connection to the 'TablePUC' query in the workbook." type="5" refreshedVersion="0" background="1">
    <dbPr connection="Provider=Microsoft.Mashup.OleDb.1;Data Source=$Workbook$;Location=TablePUC;Extended Properties=&quot;&quot;" command="SELECT * FROM [TablePUC]"/>
  </connection>
  <connection id="58" xr16:uid="{33281B61-0A0C-4384-9FF5-1CBEC5E79496}" keepAlive="1" name="Query - TrialBalanceApi" description="Connection to the 'TrialBalanceApi' query in the workbook." type="5" refreshedVersion="0" background="1" saveData="1">
    <dbPr connection="Provider=Microsoft.Mashup.OleDb.1;Data Source=$Workbook$;Location=TrialBalanceApi;Extended Properties=&quot;&quot;" command="SELECT * FROM [TrialBalanceApi]"/>
  </connection>
  <connection id="59" xr16:uid="{8658468A-9D2F-441A-B18C-9D4A9B561B0A}" keepAlive="1" name="Query - TrialBalanceApi1" description="Connection to the 'TrialBalanceApi' query in the workbook." type="5" refreshedVersion="0" background="1">
    <dbPr connection="Provider=Microsoft.Mashup.OleDb.1;Data Source=$Workbook$;Location=TrialBalanceApi;Extended Properties=&quot;&quot;" command="SELECT * FROM [TrialBalanceAp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<sst xmlns="http://schemas.openxmlformats.org/spreadsheetml/2006/main" count="49762" uniqueCount="2420">
  <si>
    <t>Dia</t>
  </si>
  <si>
    <t>Fecha</t>
  </si>
  <si>
    <t>Ventas totales</t>
  </si>
  <si>
    <t>Ventas</t>
  </si>
  <si>
    <t>Órdenes</t>
  </si>
  <si>
    <t>Primer cliente</t>
  </si>
  <si>
    <t>Google ads</t>
  </si>
  <si>
    <t>Meta ads</t>
  </si>
  <si>
    <t>Inversión</t>
  </si>
  <si>
    <t>ROAS</t>
  </si>
  <si>
    <t>Todos</t>
  </si>
  <si>
    <t>Primer</t>
  </si>
  <si>
    <t>Primer RA</t>
  </si>
  <si>
    <t>Nuevas suscripciones a lista</t>
  </si>
  <si>
    <t>Costos de publicidad totales</t>
  </si>
  <si>
    <t>Costos variables totales</t>
  </si>
  <si>
    <t>Costos fijos</t>
  </si>
  <si>
    <t>Contribución</t>
  </si>
  <si>
    <t>CAC</t>
  </si>
  <si>
    <t>Órdenes totales</t>
  </si>
  <si>
    <t>Ventas primer cliente</t>
  </si>
  <si>
    <t>Órdenes primer cliente</t>
  </si>
  <si>
    <t>Inversión google ads</t>
  </si>
  <si>
    <t>Ventas google ads</t>
  </si>
  <si>
    <t>Inversión meta ads</t>
  </si>
  <si>
    <t>Ventas meta ads</t>
  </si>
  <si>
    <t>Inversión publicidad</t>
  </si>
  <si>
    <t>Ventas publicidad</t>
  </si>
  <si>
    <t>ROAS Todos</t>
  </si>
  <si>
    <t>NROAS Primer cliente</t>
  </si>
  <si>
    <t>Primer cliente NROAS RA</t>
  </si>
  <si>
    <t>Fecha inicial reportes</t>
  </si>
  <si>
    <t>Control diario</t>
  </si>
  <si>
    <t>Datos</t>
  </si>
  <si>
    <t>Ventas netas</t>
  </si>
  <si>
    <t>Ventas netas totales</t>
  </si>
  <si>
    <t>shopName</t>
  </si>
  <si>
    <t>escribana</t>
  </si>
  <si>
    <t>accessToken</t>
  </si>
  <si>
    <t>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</t>
  </si>
  <si>
    <t>Api version</t>
  </si>
  <si>
    <t>2026-04</t>
  </si>
  <si>
    <t>day</t>
  </si>
  <si>
    <t>gross_sales</t>
  </si>
  <si>
    <t>discounts</t>
  </si>
  <si>
    <t>net_sales</t>
  </si>
  <si>
    <t>net_sales_with_cost_recorded</t>
  </si>
  <si>
    <t>net_sales_without_cost_recorded</t>
  </si>
  <si>
    <t>taxes</t>
  </si>
  <si>
    <t>Parámetros</t>
  </si>
  <si>
    <t>Fecha final reportes</t>
  </si>
  <si>
    <t>sales_reversals</t>
  </si>
  <si>
    <t>shipping_charges</t>
  </si>
  <si>
    <t>return_fees</t>
  </si>
  <si>
    <t>total_sales</t>
  </si>
  <si>
    <t>cost_of_goods_sold</t>
  </si>
  <si>
    <t>gross_profit</t>
  </si>
  <si>
    <t>gift_card_gross_sales</t>
  </si>
  <si>
    <t>net_items_sold</t>
  </si>
  <si>
    <t>gift_card_discounts</t>
  </si>
  <si>
    <t>gift_card_net_sales</t>
  </si>
  <si>
    <t>orders</t>
  </si>
  <si>
    <t>quantity_ordered_per_order</t>
  </si>
  <si>
    <t>average_order_value</t>
  </si>
  <si>
    <t>quantity_returned</t>
  </si>
  <si>
    <t>returning_customers</t>
  </si>
  <si>
    <t>returning_orders</t>
  </si>
  <si>
    <t>new_customers</t>
  </si>
  <si>
    <t>new_orders</t>
  </si>
  <si>
    <t>unknown_customers</t>
  </si>
  <si>
    <t>unknown_orders</t>
  </si>
  <si>
    <t>GoogleAdsOperation.Cost</t>
  </si>
  <si>
    <t>GoogleAdsOperation.Avg. Cpc</t>
  </si>
  <si>
    <t>GoogleAdsOperation.Ctr</t>
  </si>
  <si>
    <t>GoogleAdsOperation.Search Impr. share</t>
  </si>
  <si>
    <t>GoogleAdsOperation.Impressions</t>
  </si>
  <si>
    <t>GoogleAdsOperation.Clicks</t>
  </si>
  <si>
    <t>order_utm_campaign</t>
  </si>
  <si>
    <t>order_referrer_source</t>
  </si>
  <si>
    <t>google</t>
  </si>
  <si>
    <t>facebook</t>
  </si>
  <si>
    <t>sin identificar</t>
  </si>
  <si>
    <t>Total_Sales_Combined</t>
  </si>
  <si>
    <t>120230491150450497</t>
  </si>
  <si>
    <t>social</t>
  </si>
  <si>
    <t>febreroutm_source=google</t>
  </si>
  <si>
    <t>search</t>
  </si>
  <si>
    <t>sag_organic</t>
  </si>
  <si>
    <t>MetaAdsOperation.spend</t>
  </si>
  <si>
    <t>MetaAdsOperation.clicks</t>
  </si>
  <si>
    <t>MetaAdsOperation.impressions</t>
  </si>
  <si>
    <t>Semana</t>
  </si>
  <si>
    <t>Desde</t>
  </si>
  <si>
    <t>Hasta</t>
  </si>
  <si>
    <t>Mes</t>
  </si>
  <si>
    <t>Ventas netas con costo registrado</t>
  </si>
  <si>
    <t>Ventas netas costo reg</t>
  </si>
  <si>
    <t>Costo de ventas registrado</t>
  </si>
  <si>
    <t>Utilidad bruta</t>
  </si>
  <si>
    <t>Margen bruto</t>
  </si>
  <si>
    <t>Meta system token</t>
  </si>
  <si>
    <t>EAAUbaZBYvKpEBRG7k6pbooARWvW5JCa7l07FLqF6uuUoi1iUkLZBsBoUM5nO4yJmdZCpIGzPrqACJtWdWeKTDMhcnTmc1rKvgltbXYXegW3bB6lc8XHC7c5xQBZAiu8wLKPNlWm4IBZCW6R0qMpwnaGBeoQrxZByqTfxZAyzp04lfsYC3i4hfBZAcdS7QVszfQZDZD</t>
  </si>
  <si>
    <t>Meta account id</t>
  </si>
  <si>
    <t>act_496827628570650</t>
  </si>
  <si>
    <t>Google ads report source</t>
  </si>
  <si>
    <t>https://docs.google.com/spreadsheets/d/e/2PACX-1vSQrggw-k8uKnNPJUY9f8s4H-xsLgbuO9CVzMBBfV5taSvbSAFpZ15q3hgX4iKLvY-0tekM1b0XTZyp/pub?output=csv</t>
  </si>
  <si>
    <t>Esto se alimenta de un script en google ads: https://ads.google.com/aw/bulk/scripts/edit?ocid=6472400842&amp;scriptId=11159474</t>
  </si>
  <si>
    <t>Fecha en que la cia empezó a operar →</t>
  </si>
  <si>
    <t>Corporativo no tienda</t>
  </si>
  <si>
    <t>Tienda 81</t>
  </si>
  <si>
    <t>Rappi</t>
  </si>
  <si>
    <t>channel</t>
  </si>
  <si>
    <t>Online Store</t>
  </si>
  <si>
    <t>Online Store_net_sales</t>
  </si>
  <si>
    <t>Online Store_orders</t>
  </si>
  <si>
    <t>Tienda 81_net_sales</t>
  </si>
  <si>
    <t>Tienda 81_orders</t>
  </si>
  <si>
    <t>Rappi_net_sales</t>
  </si>
  <si>
    <t>Rappi_orders</t>
  </si>
  <si>
    <t>Corporativo no tienda_net_sales</t>
  </si>
  <si>
    <t>Corporativo no tienda_orders</t>
  </si>
  <si>
    <t>Tienda online</t>
  </si>
  <si>
    <t>Control mensual</t>
  </si>
  <si>
    <t>Control semanal</t>
  </si>
  <si>
    <t>Advertising Cost Ratio Last Month</t>
  </si>
  <si>
    <t>Variable Cost Ratio Last Month</t>
  </si>
  <si>
    <t>Fixed Cost Ratio Last Month</t>
  </si>
  <si>
    <t>Profit Ratio Last Month</t>
  </si>
  <si>
    <t>Advertising Cost Ratio Last 3 Months</t>
  </si>
  <si>
    <t>Variable Cost Ratio Last 3 Months</t>
  </si>
  <si>
    <t>Fixed Cost Ratio Last 3 Months</t>
  </si>
  <si>
    <t>Profit Ratio Last 3 Months</t>
  </si>
  <si>
    <t>Advertising Cost Ratio Av. 12 Month</t>
  </si>
  <si>
    <t>Variable Cost Ratio Av. 12 Month</t>
  </si>
  <si>
    <t>Fixed Cost Ratio Av. 12 Month</t>
  </si>
  <si>
    <t>Profit Ratio Av. 12 Month</t>
  </si>
  <si>
    <t>Last Month</t>
  </si>
  <si>
    <t>Last 3 Months</t>
  </si>
  <si>
    <t>Avg. 12 Month</t>
  </si>
  <si>
    <t>source</t>
  </si>
  <si>
    <t>product_title</t>
  </si>
  <si>
    <t>quantity_ordered</t>
  </si>
  <si>
    <t>Online store</t>
  </si>
  <si>
    <t>Caja Grande Flex Marco</t>
  </si>
  <si>
    <t>PC</t>
  </si>
  <si>
    <t>Vela de pausa</t>
  </si>
  <si>
    <t>Tarjetón en caja-BEE (Listas para llevar)</t>
  </si>
  <si>
    <t>Cuaderno Santuario Listo para llevar</t>
  </si>
  <si>
    <t>Caja de Fosforos Mush</t>
  </si>
  <si>
    <t>Cuaderno Mush Listo para llevar</t>
  </si>
  <si>
    <t>Cartuchera de Lona con Diseño Selva Jaguar</t>
  </si>
  <si>
    <t>Tarjetón en caja-Amazonas (Listas para llevar)</t>
  </si>
  <si>
    <t>Pack tarjetón doble + sencillo Aviario (listos para llevar)</t>
  </si>
  <si>
    <t>Cartuchera de Lona con Diseño Mush</t>
  </si>
  <si>
    <t>Cuaderno Aviario Personalizado</t>
  </si>
  <si>
    <t>Cuaderno Gatos Personalizado</t>
  </si>
  <si>
    <t>Servilletas papel / toallas papel x 12</t>
  </si>
  <si>
    <t>Marco 40x50 para laminas</t>
  </si>
  <si>
    <t>Notas dobles con sobre AVIARIO (listos para llevar)</t>
  </si>
  <si>
    <t>Sello Seco A</t>
  </si>
  <si>
    <t>Notas dobles con sobre PROTEA (Listos para llevar)</t>
  </si>
  <si>
    <t>Sobres efectivo Toscana: Lluvia de sobres (Listos para llevar)</t>
  </si>
  <si>
    <t>Tarjeta Personal Fiesta - Leopardo</t>
  </si>
  <si>
    <t>TARJETA PERSONAL MUNDO KOALA</t>
  </si>
  <si>
    <t>Cuaderno Aviario Listo para llevar</t>
  </si>
  <si>
    <t>Tarjeta Personal Fiesta - Mono</t>
  </si>
  <si>
    <t>Sobres efectivo Iris: Lluvia de sobres (Listos para llevar)</t>
  </si>
  <si>
    <t>Cuaderno Protea Personalizado</t>
  </si>
  <si>
    <t>Cartuchera de Lona con Diseño Aviario</t>
  </si>
  <si>
    <t>Cuaderno Amazonas Personalizado</t>
  </si>
  <si>
    <t>Tarjetón en caja-Granada (listos para llevar)</t>
  </si>
  <si>
    <t>CROCHET</t>
  </si>
  <si>
    <t>Notas dobles con sobre- Amazonas (Listo para llevar)</t>
  </si>
  <si>
    <t>Caja de Fosforos PROTEA</t>
  </si>
  <si>
    <t>Pack tarjetón doble + sencillo AMAZONAS (listos para llevar)</t>
  </si>
  <si>
    <t>Tarjeta Personal conejo Bosque</t>
  </si>
  <si>
    <t>Tarjeta Personal Elefante</t>
  </si>
  <si>
    <t>Puestos de mesa- Cacatua Pembe (Listo para llevar)</t>
  </si>
  <si>
    <t>Tarjeta Personal Aviario Loro con sobre</t>
  </si>
  <si>
    <t>Tarjetón en caja-Cacatua Pembe (Listas para llevar)</t>
  </si>
  <si>
    <t>Tarjeton doble Anemonas (listo para llevar)</t>
  </si>
  <si>
    <t>Tarjeta Personal Clásico</t>
  </si>
  <si>
    <t>Vela Candelabro</t>
  </si>
  <si>
    <t>Lamina XL Jaguar</t>
  </si>
  <si>
    <t>Sello para lacre</t>
  </si>
  <si>
    <t>Cuaderno Nido Personalizado</t>
  </si>
  <si>
    <t>Lamina XL Guacamaya</t>
  </si>
  <si>
    <t>Libros $95.000</t>
  </si>
  <si>
    <t>Tarjeta Personal Verde</t>
  </si>
  <si>
    <t>Tote Bag de Lona con Diseño Aviario</t>
  </si>
  <si>
    <t>CAJA PEQUEÑA JAGUAR Colores</t>
  </si>
  <si>
    <t>Caja Mediana Aviario</t>
  </si>
  <si>
    <t>Tote Bag de Lona con Diseño Protea</t>
  </si>
  <si>
    <t>Tarjetones XL Cacatua (Listas para llevar)</t>
  </si>
  <si>
    <t>Cuaderno Mush Personalizado</t>
  </si>
  <si>
    <t>Tarjetón en caja-Aviario (Listas para llevar)</t>
  </si>
  <si>
    <t>Cartuchera de Lona con Diseño Nido</t>
  </si>
  <si>
    <t>Notas dobles con sobre Clasico</t>
  </si>
  <si>
    <t>Tarjetón en caja-Protea (Listas para llevar)</t>
  </si>
  <si>
    <t>Pack tarjetón sencillo + notas dobles Toscana (listos para llevar)</t>
  </si>
  <si>
    <t>Caja Mediana Jaguar</t>
  </si>
  <si>
    <t>Tarjeta detalles MT x 10 (volumen)</t>
  </si>
  <si>
    <t>Notas dobles con sobre Cacatua Pembe (Listos para llevar)</t>
  </si>
  <si>
    <t>Sobres efectivo Aviario: Lluvia de sobres (Listos para llevar)</t>
  </si>
  <si>
    <t>Puestos de mesa- Amazonas (Listo para llevar)</t>
  </si>
  <si>
    <t>Tarjeta Personal Marco</t>
  </si>
  <si>
    <t>Caja de Fosforos PULPO</t>
  </si>
  <si>
    <t>Cuaderno Toscana Personalizado</t>
  </si>
  <si>
    <t>Block de Notas Toscana</t>
  </si>
  <si>
    <t>Tarjeton doble Flor #4 (listo para llevar)</t>
  </si>
  <si>
    <t>Sobres efectivo Ramitas: Lluvia de sobres</t>
  </si>
  <si>
    <t>Caja Mediana Rosa</t>
  </si>
  <si>
    <t>Tarjetón Doble Aviario (listos para llevar)</t>
  </si>
  <si>
    <t>Tarjeta Personal Bee Flores</t>
  </si>
  <si>
    <t>Tarjeta Personal Bouquet con sobre</t>
  </si>
  <si>
    <t>Sobres efectivo Aviario: Lluvia de sobres</t>
  </si>
  <si>
    <t>LIBROS $115.000</t>
  </si>
  <si>
    <t>Notas dobles con sobre Golden Roses</t>
  </si>
  <si>
    <t>Set de 10 Sellos de Lacre (Con Iniciales)</t>
  </si>
  <si>
    <t>Tarjeta Personal Florario Verde</t>
  </si>
  <si>
    <t>Lamina XL Colibri</t>
  </si>
  <si>
    <t>Sobres efectivo Amazonas: Lluvia de sobres</t>
  </si>
  <si>
    <t>Notas dobles con sobre Rosado</t>
  </si>
  <si>
    <t>Tarjeta Personal Clásico Fonts</t>
  </si>
  <si>
    <t>Block de Notas Jaguar Marsala</t>
  </si>
  <si>
    <t>Notas dobles con sobre- Gatos (Listo para llevar)</t>
  </si>
  <si>
    <t>Tarjetón Doble Toscana</t>
  </si>
  <si>
    <t>Cuaderno Granada Personalizado</t>
  </si>
  <si>
    <t>Notas dobles con sobre Selva</t>
  </si>
  <si>
    <t>Caja dura Grande (especial para regalar)</t>
  </si>
  <si>
    <t>Tarjetón Cacatua Pembe</t>
  </si>
  <si>
    <t>Caja Grande Flex Toscana Florero</t>
  </si>
  <si>
    <t>Caja Mediana Doble Cacatua</t>
  </si>
  <si>
    <t>Tarjeta Personal PLAYA x3</t>
  </si>
  <si>
    <t>Caja de Fosforos Jaguar</t>
  </si>
  <si>
    <t>Tarjeta Personal Florario Pink</t>
  </si>
  <si>
    <t>Tarjeta Personal Floresta Gato</t>
  </si>
  <si>
    <t>Notas dobles con sobre Cacatua Pembe</t>
  </si>
  <si>
    <t>Notas dobles con sobre BEE (listos para llevar)</t>
  </si>
  <si>
    <t>Sobres efectivo Iris: Lluvia de sobres</t>
  </si>
  <si>
    <t>Cartuchera de Lona con Diseño Protea</t>
  </si>
  <si>
    <t>Cartuchera de Lona con Diseño Santuario</t>
  </si>
  <si>
    <t>Caja Mediana Clasico</t>
  </si>
  <si>
    <t>Notas dobles con sobre Colibri</t>
  </si>
  <si>
    <t>Block de Notas Bee</t>
  </si>
  <si>
    <t>Lámina con marco</t>
  </si>
  <si>
    <t>Sobres efectivo Protea: Lluvia de sobres (Listos para llevar)</t>
  </si>
  <si>
    <t>TARJETA PERSONAL CARROS</t>
  </si>
  <si>
    <t>Tarjetones XL Toscana (Listas para llevar)</t>
  </si>
  <si>
    <t>Caja Pequeña Protea</t>
  </si>
  <si>
    <t>Cuaderno selva Personalizado</t>
  </si>
  <si>
    <t>Tarjeta Personal Love colores</t>
  </si>
  <si>
    <t>Sello Seco ORQUIDEA</t>
  </si>
  <si>
    <t>MENU BOUQUET SILVESTRE</t>
  </si>
  <si>
    <t>LÁMINA TOSCANA HOJAS</t>
  </si>
  <si>
    <t>TARJETON XL CLASICO</t>
  </si>
  <si>
    <t>Cuadro mini Jaguar</t>
  </si>
  <si>
    <t>Tarjeta Personal Bee Marco</t>
  </si>
  <si>
    <t>Tarjetón Doble Toscana (listos para llevar)</t>
  </si>
  <si>
    <t>Block de Notas Selva</t>
  </si>
  <si>
    <t>Notas dobles con sobre- Toscana (Listo para llevar)</t>
  </si>
  <si>
    <t>Tarjetón Doble Love colores</t>
  </si>
  <si>
    <t>INVITACIONES ACUARELA AZUL</t>
  </si>
  <si>
    <t>Tarjetones XL amazonas (Listas para llevar)</t>
  </si>
  <si>
    <t>Pack tarjetón sencillo + notas dobles Amazonas (listos para llevar)</t>
  </si>
  <si>
    <t>Cuadro mini Fungi trio</t>
  </si>
  <si>
    <t>Pack tarjetón doble + sencillo Pulpo (listos para llevar)</t>
  </si>
  <si>
    <t>Tarjeta Personal Amazonas con sobre</t>
  </si>
  <si>
    <t>Caja Mediana Toscana Limón</t>
  </si>
  <si>
    <t>LÁMINA MUSH VERDE</t>
  </si>
  <si>
    <t>Caja pequeña CACATUA PEMBE</t>
  </si>
  <si>
    <t>Tarjetón ARAMACAO</t>
  </si>
  <si>
    <t>Tarjeta Personal Fiesta - Conejo</t>
  </si>
  <si>
    <t>Tarjeta Personal Selva con sobre</t>
  </si>
  <si>
    <t>Tarjeta Personal Bee Flores con sobre</t>
  </si>
  <si>
    <t>TARJETA PERSONAL MUNDO SOL</t>
  </si>
  <si>
    <t>Tarjeta Personal Toscana Florero</t>
  </si>
  <si>
    <t>Notas dobles con sobre Navidad (listos para llevar)</t>
  </si>
  <si>
    <t>Cuaderno Manzanas Personalizado</t>
  </si>
  <si>
    <t>Tarjeta Personal Macondo Vertical</t>
  </si>
  <si>
    <t>Notas dobles con sobre Nido</t>
  </si>
  <si>
    <t>Tarjeta Personal Colibri</t>
  </si>
  <si>
    <t>Tarjeta Personal Jaguar Colores</t>
  </si>
  <si>
    <t>Notas dobles con sobre Aviario</t>
  </si>
  <si>
    <t>Puestos de mesa- Pulpo (Listo para llevar)</t>
  </si>
  <si>
    <t>Tarjeta Personal Bee</t>
  </si>
  <si>
    <t>Block de Notas Teacher's Day</t>
  </si>
  <si>
    <t>Tarjeta Personal Aviario Loro</t>
  </si>
  <si>
    <t>Caja Mediana Amazul (Vert)</t>
  </si>
  <si>
    <t>REGISTROS / FOLIOS BOUQUET SILVESTRE</t>
  </si>
  <si>
    <t>Tarjeta Personal Floresta FOX</t>
  </si>
  <si>
    <t>Cuadro mini Corocora</t>
  </si>
  <si>
    <t>Notas dobles con sobre Amazonas</t>
  </si>
  <si>
    <t>Caja de Fosforos Bromelia</t>
  </si>
  <si>
    <t>Tarjeta Personal aramacao (V)</t>
  </si>
  <si>
    <t>Notas dobles con sobre Macondo</t>
  </si>
  <si>
    <t>Cuadro mini Datura y colibri</t>
  </si>
  <si>
    <t>Sobres efectivo Macondo: Lluvia de sobres</t>
  </si>
  <si>
    <t>Cuaderno clásico gris: (POR LA NATURALEZA DEL PRODUCTO SE TOMAN 2 DÍAS HÁBILES ADICIONALES A NUESTRA PROMESA DE ENTREGA DE PAPELERÍA PERSONALIZADA)</t>
  </si>
  <si>
    <t>Caja Grande Flex Orinoco</t>
  </si>
  <si>
    <t>Puestos de mesa- Toscana (Listo para llevar)</t>
  </si>
  <si>
    <t>Libro $169.000</t>
  </si>
  <si>
    <t>Cuaderno Plafón Personalizado</t>
  </si>
  <si>
    <t>LÁMINA AMAZONAS JAGUAR</t>
  </si>
  <si>
    <t>Cuaderno toscana limón Personalizado</t>
  </si>
  <si>
    <t>Tarjeta Personal Rosa con sobre (Hor)</t>
  </si>
  <si>
    <t>Tarjeta Personal Floresta Conejo</t>
  </si>
  <si>
    <t>LÁMINA AMAZONAS GUACAMAYA</t>
  </si>
  <si>
    <t>Cuaderno Rosamenta: (POR LA NATURALEZA DEL PRODUCTO SE TOMAN 2 DÍAS HÁBILES ADICIONALES A NUESTRA PROMESA DE ENTREGA DE PAPELERÍA PERSONALIZADA)</t>
  </si>
  <si>
    <t>Sobres efectivo Selva: Lluvia de sobres (Listos para llevar)</t>
  </si>
  <si>
    <t>Tarjeton doble Love Azul #20 (listo para llevar)</t>
  </si>
  <si>
    <t>Notas dobles con sobre Cacatua</t>
  </si>
  <si>
    <t>Tarjeta Personal Clásico con sobre</t>
  </si>
  <si>
    <t>Cuaderno Florario</t>
  </si>
  <si>
    <t>Caja Grande Flex Cacatua</t>
  </si>
  <si>
    <t>Tarjeta Personal PLAYA JAGUAR</t>
  </si>
  <si>
    <t>Tarjetón Doble Florario Menta</t>
  </si>
  <si>
    <t>LÁMINA Campanula</t>
  </si>
  <si>
    <t>Tarjetón Aviario</t>
  </si>
  <si>
    <t>Block de Notas Clasico Ocre</t>
  </si>
  <si>
    <t>Tarjeta Personal Florario Menta</t>
  </si>
  <si>
    <t>Caja Mediana Doble Golden Roses</t>
  </si>
  <si>
    <t>Libros $29,000</t>
  </si>
  <si>
    <t>Tarjetón Colibri</t>
  </si>
  <si>
    <t>Libro Annie Leibovitz</t>
  </si>
  <si>
    <t>Tarjeta Personal Selva H</t>
  </si>
  <si>
    <t>Caja flex XL Bee</t>
  </si>
  <si>
    <t>Libro Juliana prieto</t>
  </si>
  <si>
    <t>Caja de Fosforos LOTO</t>
  </si>
  <si>
    <t>Pack 8+8 + Servilletas</t>
  </si>
  <si>
    <t>Caja de Fosforos PIÑA</t>
  </si>
  <si>
    <t>Tarjetón Amazul</t>
  </si>
  <si>
    <t>Tarjeta Personal Fiesta - Oso</t>
  </si>
  <si>
    <t>Tarjeton doble Love Verde #19 (listo para llevar)</t>
  </si>
  <si>
    <t>Tote Bag de Lona con Diseño Santuario</t>
  </si>
  <si>
    <t>Tarjeta Personal Unicornio</t>
  </si>
  <si>
    <t>Cuaderno Amazonas Listo para llevar</t>
  </si>
  <si>
    <t>Tarjetón en caja-Toscana (Listas para llevar)</t>
  </si>
  <si>
    <t>Cuadro mini Fig marigold</t>
  </si>
  <si>
    <t>Tote Bag de Lona con Diseño Nido</t>
  </si>
  <si>
    <t>Pack tarjetón doble + sencillo Protea (listos para llevar)</t>
  </si>
  <si>
    <t>Tarjeta Personal Granada Horizontal</t>
  </si>
  <si>
    <t>Tarjetones XL AVIARIO (Listas para llevar)</t>
  </si>
  <si>
    <t>Tarjeta Personal Macondo Mariposa con sobre</t>
  </si>
  <si>
    <t>Tarjeta Personal Bijao con sobre</t>
  </si>
  <si>
    <t>Notas dobles con sobre Florario Menta</t>
  </si>
  <si>
    <t>Tarjeta Personal Rosado</t>
  </si>
  <si>
    <t>Pack tarjetón doble + sencillo Toscana (listos para llevar)</t>
  </si>
  <si>
    <t>Tarjetón Doble Protea (listos para llevar)</t>
  </si>
  <si>
    <t>Regalo para Invitados Ramita Azul (x10)</t>
  </si>
  <si>
    <t>Tarjetón en caja-Mush (Listas para llevar)</t>
  </si>
  <si>
    <t>Tarjeton doble Orquidea #6 (listo para llevar)</t>
  </si>
  <si>
    <t>Cuaderno Protea Listo para llevar</t>
  </si>
  <si>
    <t>Pack grande cuaderno Santuario</t>
  </si>
  <si>
    <t>Tarjeta Personal Amazonas kids</t>
  </si>
  <si>
    <t>Tarjetón Bouquet</t>
  </si>
  <si>
    <t>Caja de Fosforos Corporativo</t>
  </si>
  <si>
    <t>Cuaderno Toscana Listo para llevar</t>
  </si>
  <si>
    <t>REGISTROS / FOLIOS MOSAICO CON LACRE</t>
  </si>
  <si>
    <t>Tarjetón Doble Nido</t>
  </si>
  <si>
    <t>TARJETON XL AMAZONAS</t>
  </si>
  <si>
    <t>Caja pequeña Granada</t>
  </si>
  <si>
    <t>Tarjetón Doble Cacatua Pembe (listos para llevar)</t>
  </si>
  <si>
    <t>Caja pequeña Rosa</t>
  </si>
  <si>
    <t>Cuaderno TULIPAN Personalizado</t>
  </si>
  <si>
    <t>Tarjetón Doble Aviario</t>
  </si>
  <si>
    <t>Block de Notas Jaguar Cobalto</t>
  </si>
  <si>
    <t>Tarjeton doble Lotos y cococora #8 (listo para llevar)</t>
  </si>
  <si>
    <t>Pack tarjetón sencillo + notas dobles Cacatua (listos para llevar)</t>
  </si>
  <si>
    <t>Repuje</t>
  </si>
  <si>
    <t>Caja pequeña Florario Menta</t>
  </si>
  <si>
    <t>TARJETA PERSONAL JAGUAR KIDS</t>
  </si>
  <si>
    <t>Tarjeta Personal Florario Azul</t>
  </si>
  <si>
    <t>Tarjetón + Tarjetón doble mush rojo</t>
  </si>
  <si>
    <t>Block de Notas Protea</t>
  </si>
  <si>
    <t>Notas dobles con sobre Colombia - Aramacao</t>
  </si>
  <si>
    <t>Tarjetón Granada</t>
  </si>
  <si>
    <t>Tarjeta Personal Tucan</t>
  </si>
  <si>
    <t>Tarjeta Personal Flores x3</t>
  </si>
  <si>
    <t>INVITACION DIGITAL ACUARELA ROSADA</t>
  </si>
  <si>
    <t>Caja pequeña Blanco</t>
  </si>
  <si>
    <t>Tarjeton doble Love Rojo #18 (listo para llevar)</t>
  </si>
  <si>
    <t>Puestos de mesa- Protea (Listo para llevar)</t>
  </si>
  <si>
    <t>Sello Seco Laurel</t>
  </si>
  <si>
    <t>Cuadro mini Rosa indica</t>
  </si>
  <si>
    <t>Caja Mediana Florario Pink</t>
  </si>
  <si>
    <t>INVITACION DIGITAL AZULEJO BLUE</t>
  </si>
  <si>
    <t>Notas dobles con sobre Rosa</t>
  </si>
  <si>
    <t>Caja Flexible Grande (especial para regalar cuadernos)</t>
  </si>
  <si>
    <t>Cuadro Flor Terciopelo</t>
  </si>
  <si>
    <t>Caja Grande Flex Santuario</t>
  </si>
  <si>
    <t>Cuadro mini Calatea</t>
  </si>
  <si>
    <t>Sobres efectivo Selva: Lluvia de sobres</t>
  </si>
  <si>
    <t>Caja pequeña Macondo</t>
  </si>
  <si>
    <t>Caja pequeña Aviario</t>
  </si>
  <si>
    <t>Pack tarjetón sencillo + notas dobles Bee (listos para llevar)</t>
  </si>
  <si>
    <t>Calendario</t>
  </si>
  <si>
    <t>Cuadro mini Gato Jardin</t>
  </si>
  <si>
    <t>TARJETA PERSONAL MUNDO</t>
  </si>
  <si>
    <t>Notas dobles con sobre Protea</t>
  </si>
  <si>
    <t>REGISTROS / FOLIOS PAMPA</t>
  </si>
  <si>
    <t>Tarjeta Personal granada con sobre</t>
  </si>
  <si>
    <t>Tarjetón Doble Rosa</t>
  </si>
  <si>
    <t>Pack tarjetón doble + sencillo Cacatua Pembe (listos para llevar)</t>
  </si>
  <si>
    <t>Libros $65.000</t>
  </si>
  <si>
    <t>Caja pequeña Santuario</t>
  </si>
  <si>
    <t>Block de Notas Jaguar Taupe</t>
  </si>
  <si>
    <t>Notas dobles con sobre Bee flores</t>
  </si>
  <si>
    <t>Notas dobles con sobre Teacher's Day</t>
  </si>
  <si>
    <t>Notas dobles con sobre Florario AZUL</t>
  </si>
  <si>
    <t>Caja pequeña Colombia- Amaracao</t>
  </si>
  <si>
    <t>Tarjeta Personal Nido (H)</t>
  </si>
  <si>
    <t>Caja Mediana Elefante</t>
  </si>
  <si>
    <t>Caja pequeña Amazonas</t>
  </si>
  <si>
    <t>REGISTROS / FOLIOS CORONA ACUARELA</t>
  </si>
  <si>
    <t>Tarjeton doble plancha x100</t>
  </si>
  <si>
    <t>Cuadro mini Carmona</t>
  </si>
  <si>
    <t>Paquete de almendras</t>
  </si>
  <si>
    <t>Tarjetón Doble Granada</t>
  </si>
  <si>
    <t>Tarjeta Personal Palma (Hor)</t>
  </si>
  <si>
    <t>Cuaderno Gardenia Personalizado</t>
  </si>
  <si>
    <t>Notas dobles con sobre Santuario</t>
  </si>
  <si>
    <t>Tarjetón Doble Cacatua Pembe</t>
  </si>
  <si>
    <t>Tarjetón Marco</t>
  </si>
  <si>
    <t>Notas dobles con sobre Rosa de Jardin</t>
  </si>
  <si>
    <t>Tarjeta Personal granada con sobre (V)</t>
  </si>
  <si>
    <t>LÁMINA AVIARIO DALIA</t>
  </si>
  <si>
    <t>Tarjetón Doble Amazonas (listos para llevar)</t>
  </si>
  <si>
    <t>Notas dobles con sobre Palma</t>
  </si>
  <si>
    <t>Notas dobles con sobre Morado</t>
  </si>
  <si>
    <t>Tarjeta Personal Bosque</t>
  </si>
  <si>
    <t>Tarjeta Personal Protea</t>
  </si>
  <si>
    <t>Caja Mediana Doble LOTO</t>
  </si>
  <si>
    <t>Tarjetón Doble LOTO</t>
  </si>
  <si>
    <t>Tarjeta Personal Santuario (h)</t>
  </si>
  <si>
    <t>Tarjeta Personal love con sobre</t>
  </si>
  <si>
    <t>Tarjetón Orinoco</t>
  </si>
  <si>
    <t>Registros / Folios Azulejo Blue</t>
  </si>
  <si>
    <t>Notas dobles con sobre Mush</t>
  </si>
  <si>
    <t>Tarjetón Selva</t>
  </si>
  <si>
    <t>Tarjeta Personal Toscana Limon (hor)</t>
  </si>
  <si>
    <t>Caja dura mediana (especial para regalar)</t>
  </si>
  <si>
    <t>TARJETA PERSONAL MUNDO CORASOL</t>
  </si>
  <si>
    <t>Cuadro mini Gato Noche</t>
  </si>
  <si>
    <t>Caja pequeña Toscana Florero</t>
  </si>
  <si>
    <t>LÁMINA FLOR PROTEA</t>
  </si>
  <si>
    <t>Marco 30x40 para laminas</t>
  </si>
  <si>
    <t>Tarjeta Personal Cacatua</t>
  </si>
  <si>
    <t>Caja Mediana Marco</t>
  </si>
  <si>
    <t>Caja Grande Luxe FLORARIO AZUL (80 Tarjetas)</t>
  </si>
  <si>
    <t>TARJETON XL GOLDEN ROSES</t>
  </si>
  <si>
    <t>Puestos de mesa Acuarela Rosada</t>
  </si>
  <si>
    <t>Puestos de mesa- Aviario (Listo para llevar)</t>
  </si>
  <si>
    <t>Tarjetón + Tarjetón doble AMAZONAS</t>
  </si>
  <si>
    <t>TARJETA PERSONAL BAILARINA x3</t>
  </si>
  <si>
    <t>LÁMINA NIDO FLOR CURUBA</t>
  </si>
  <si>
    <t>Tarjeton doble Orquidea #2 (listo para llevar)</t>
  </si>
  <si>
    <t>Caja pequeña Cacatua</t>
  </si>
  <si>
    <t>Tarjeta Personal Loto (H)</t>
  </si>
  <si>
    <t>Tag Premium</t>
  </si>
  <si>
    <t>Cuaderno corp</t>
  </si>
  <si>
    <t>Tote Bag de Lona con Diseño Personalizado corporativo</t>
  </si>
  <si>
    <t>numeros de mesa Acuarela Azul</t>
  </si>
  <si>
    <t>Regalo para Invitados Acuarela Azul (x10)</t>
  </si>
  <si>
    <t>Pack grande cuaderno Amazonas</t>
  </si>
  <si>
    <t>Registros / Folios Origami Azul</t>
  </si>
  <si>
    <t>Tarjetones XL BEE (Listas para llevar)</t>
  </si>
  <si>
    <t>Pack tarjetón sencillo + notas dobles Aviario (listos para llevar)</t>
  </si>
  <si>
    <t>Puestos de mesa- BEE (Listo para llevar)</t>
  </si>
  <si>
    <t>Tarjeta Personal Cacatua Pembe (h)</t>
  </si>
  <si>
    <t>LÁMINA NIDO QUETZAL</t>
  </si>
  <si>
    <t>MENU PRIMAVERA</t>
  </si>
  <si>
    <t>Album pequeño</t>
  </si>
  <si>
    <t>LÁMINA MUSH ROJO</t>
  </si>
  <si>
    <t>Caja Mediana Doble Morado</t>
  </si>
  <si>
    <t>Tote Bag de Lona con Diseño Selva Jaguar</t>
  </si>
  <si>
    <t>Cuaderno Aramacao Personalizado</t>
  </si>
  <si>
    <t>Tarjetón Amazonas</t>
  </si>
  <si>
    <t>Puestos de mesa Acuarela Azul</t>
  </si>
  <si>
    <t>Tarjeta Personal Mush (Hor)</t>
  </si>
  <si>
    <t>Pack lluvia Aviario (listos para llevar)</t>
  </si>
  <si>
    <t>INVITACIONES PRIMAVERA</t>
  </si>
  <si>
    <t>Tarjeta Personal Palma (ver)</t>
  </si>
  <si>
    <t>Tarjetón - Gatos</t>
  </si>
  <si>
    <t>Libros $116.000</t>
  </si>
  <si>
    <t>REGISTROS / FOLIOS ACUARELA AZUL</t>
  </si>
  <si>
    <t>Tarjeta Personal Pulpo (H)</t>
  </si>
  <si>
    <t>REGISTROS / FOLIOS Iris</t>
  </si>
  <si>
    <t>Libros $89.000</t>
  </si>
  <si>
    <t>Tarjetón Love colores</t>
  </si>
  <si>
    <t>Pack lluvia Amazonas (listos para llevar)</t>
  </si>
  <si>
    <t>LÁMINA FLOR AZUL</t>
  </si>
  <si>
    <t>TARJETA PERSONAL BALLET</t>
  </si>
  <si>
    <t>Notas dobles con sobre Jaguar colores</t>
  </si>
  <si>
    <t>Tarjeta Personal Protea (H)</t>
  </si>
  <si>
    <t>Tarjetón Doble bee (listos para llevar)</t>
  </si>
  <si>
    <t>Tarjeta Personal Astrozebra</t>
  </si>
  <si>
    <t>Tarjeta Personal palma con sobre (hor)</t>
  </si>
  <si>
    <t>Stickers/ tags Acuarela Azul</t>
  </si>
  <si>
    <t>REGISTROS / FOLIOS ACUARELA AZUL CON LACRE</t>
  </si>
  <si>
    <t>Tarjeta Personal Selva V</t>
  </si>
  <si>
    <t>Libros $100.000</t>
  </si>
  <si>
    <t>Caja Grande Flex Florario Menta</t>
  </si>
  <si>
    <t>Caja flex XL Colombia- Aramacao</t>
  </si>
  <si>
    <t>LÁMINA AMAZONAS LORO</t>
  </si>
  <si>
    <t>Tarjeta Personal Rosa con sobre (ver)</t>
  </si>
  <si>
    <t>Notas dobles con sobre Bee Marco</t>
  </si>
  <si>
    <t>Tarjeta Personal Rosa Marco con sobre</t>
  </si>
  <si>
    <t>Tarjeta Personal Mush (V)</t>
  </si>
  <si>
    <t>Tarjeton doble Flor de platano #7 (listo para llevar)</t>
  </si>
  <si>
    <t>Pack Escritorio Grande Cacatua Pembe</t>
  </si>
  <si>
    <t>Notas dobles con sobre Amazul</t>
  </si>
  <si>
    <t>Tarjeta Personal Tucan con sobre</t>
  </si>
  <si>
    <t>LÁMINA NIDO CACATUA</t>
  </si>
  <si>
    <t>Cuadro mini Flor de platano</t>
  </si>
  <si>
    <t>Tarjeta Personal ABC</t>
  </si>
  <si>
    <t>Pack grande cuaderno Protea</t>
  </si>
  <si>
    <t>Tarjetón Doble Colibri</t>
  </si>
  <si>
    <t>Caja Mediana Doble Granada</t>
  </si>
  <si>
    <t>Cuadro mini Naranja Valencia</t>
  </si>
  <si>
    <t>LÁMINA MUSH FAMILY</t>
  </si>
  <si>
    <t>Caja pequeña Marco</t>
  </si>
  <si>
    <t>Libros $35.000</t>
  </si>
  <si>
    <t>Registros / Folios Iris con Lacre</t>
  </si>
  <si>
    <t>Tarjetón Protea</t>
  </si>
  <si>
    <t>Tarjetón Blanco</t>
  </si>
  <si>
    <t>TABLOIDE 4X4</t>
  </si>
  <si>
    <t>Tarjeta Personal Flores Pastel X1</t>
  </si>
  <si>
    <t>Caja Grande Flex Colombia- Aramacao</t>
  </si>
  <si>
    <t>Caja pequeña Orinoco</t>
  </si>
  <si>
    <t>TARJETON XL SELVA</t>
  </si>
  <si>
    <t>Caja Grande Flex LOTO</t>
  </si>
  <si>
    <t>Tarjetón Doble Marco</t>
  </si>
  <si>
    <t>Tarjeta Personal Amazonas</t>
  </si>
  <si>
    <t>Tote Bag de Lona con Diseño Mush</t>
  </si>
  <si>
    <t>REGISTROS / FOLIOS PRINCIPITO</t>
  </si>
  <si>
    <t>Tarjeta Personal colibrí con sobre</t>
  </si>
  <si>
    <t>Tarjeta Personal aramacao (H)</t>
  </si>
  <si>
    <t>Caja pequeña Colibri</t>
  </si>
  <si>
    <t>MENU ACUARELA</t>
  </si>
  <si>
    <t>Sobres efectivo Selva Taupe: Lluvia de sobres</t>
  </si>
  <si>
    <t>Caja Mediana Protea</t>
  </si>
  <si>
    <t>Tarjetón Clásico Fonts</t>
  </si>
  <si>
    <t>Registros / Folios GRISES</t>
  </si>
  <si>
    <t>Detective equis Libros $54.000</t>
  </si>
  <si>
    <t>Tarjeta Personal Marco con sobre</t>
  </si>
  <si>
    <t>Sobres efectivo Golden Roses: Lluvia de sobres</t>
  </si>
  <si>
    <t>Tarjetón LOTO</t>
  </si>
  <si>
    <t>Sobres efectivo Mush: Lluvia de sobres</t>
  </si>
  <si>
    <t>Notas dobles con sobre- Pulpo (Listo para llevar)</t>
  </si>
  <si>
    <t>Tarjeta Personal Aviario Cafe</t>
  </si>
  <si>
    <t>Cuaderno Pulpo Personalizado</t>
  </si>
  <si>
    <t>Tarjeton doble Fungi #9 (listo para llevar)</t>
  </si>
  <si>
    <t>Tarjetón FLORARIO MENTA</t>
  </si>
  <si>
    <t>Caja Grande Flex Jaguar</t>
  </si>
  <si>
    <t>Cuadro mini Thisle</t>
  </si>
  <si>
    <t>Registros / Folios Cadiz</t>
  </si>
  <si>
    <t>Sobres efectivo COLIBRI: Lluvia de sobres</t>
  </si>
  <si>
    <t>Pack tarjetón sencillo + notas dobles Protea (listos para llevar)</t>
  </si>
  <si>
    <t>Tarjeta Personal Blanco</t>
  </si>
  <si>
    <t>Tarjetón en caja-Pulpo (Listas para llevar)</t>
  </si>
  <si>
    <t>TARJETON XL AVIARIO</t>
  </si>
  <si>
    <t>Pack grande cuaderno Aviario</t>
  </si>
  <si>
    <t>Caja Pequeña Selva</t>
  </si>
  <si>
    <t>TARJETA PERSONAL GECO KIDS</t>
  </si>
  <si>
    <t>Mini fósforos</t>
  </si>
  <si>
    <t>Tarjeta tipo cuadro</t>
  </si>
  <si>
    <t>Tarjetón Clásico</t>
  </si>
  <si>
    <t>Caja de Fosforos Santuario</t>
  </si>
  <si>
    <t>Bandejas esmaltadas ilustradas – colección botánica y simbólica</t>
  </si>
  <si>
    <t>numeros de mesa Cadiz</t>
  </si>
  <si>
    <t>Libro Oraculo</t>
  </si>
  <si>
    <t>Stickers/ tags Acuarela Rosada</t>
  </si>
  <si>
    <t>REGISTROS / FOLIOS libelula</t>
  </si>
  <si>
    <t>Cartas de juego botánicas – Living Herbarium</t>
  </si>
  <si>
    <t>Esferos en caja ilustrada – colección escritura</t>
  </si>
  <si>
    <t>Tarjeta Personal Flores Pastel X3</t>
  </si>
  <si>
    <t>MENU FLORA</t>
  </si>
  <si>
    <t>Tarjetón Palma</t>
  </si>
  <si>
    <t>Cuaderno Vizcaya Personalizado</t>
  </si>
  <si>
    <t>Tarjeta Personal Cacatua Pembe con sobre (h)</t>
  </si>
  <si>
    <t>Caja Mediana Amazonas</t>
  </si>
  <si>
    <t>INVITACION DIGITAL ACUARELA AZUL</t>
  </si>
  <si>
    <t>Portavasos Loros</t>
  </si>
  <si>
    <t>Mermelada</t>
  </si>
  <si>
    <t>Puestos de mesa Hand Bouquet</t>
  </si>
  <si>
    <t>Tarjeta Personal Selva (V) con sobre</t>
  </si>
  <si>
    <t>LÁMINA Lirio</t>
  </si>
  <si>
    <t>Caja pequeña BEE FLORES</t>
  </si>
  <si>
    <t>Tarjetón en caja-Amazonas (Listas para llevar) (RP)</t>
  </si>
  <si>
    <t>Notas dobles con sobre- Amazonas (Listo para llevar) (RP)</t>
  </si>
  <si>
    <t>Bandejas esmaltadas ilustradas – colección natural</t>
  </si>
  <si>
    <t>Bandeja esmaltada con borde ondulado – Festival of Flowers</t>
  </si>
  <si>
    <t>REGISTROS / FOLIOS ROSAMENTA</t>
  </si>
  <si>
    <t>Sello Seco Jazmin</t>
  </si>
  <si>
    <t>Tarjeton doble Pensamientos (listo para llevar)</t>
  </si>
  <si>
    <t>Sobres efectivo Santuario: Lluvia de sobres</t>
  </si>
  <si>
    <t>Registros / Folios Branches ocre con Lacre</t>
  </si>
  <si>
    <t>Registros / Folios Bailadoras</t>
  </si>
  <si>
    <t>Registros / Folios Azulejo Green</t>
  </si>
  <si>
    <t>Tarjetón Doble Protea (listos para llevar) (RP)</t>
  </si>
  <si>
    <t>INVITACION DIGITAL BRANCHES ROSADO</t>
  </si>
  <si>
    <t>Tarjetón Doble Clásico</t>
  </si>
  <si>
    <t>Libros $104.000</t>
  </si>
  <si>
    <t>Sobres efectivo Jaguar Colores: Lluvia de sobres</t>
  </si>
  <si>
    <t>Sobres efectivo Granada: Lluvia de sobres</t>
  </si>
  <si>
    <t>Tarjetón Doble Amazonas</t>
  </si>
  <si>
    <t>Tarjetón Santuario</t>
  </si>
  <si>
    <t>TARJETÓN Macondo</t>
  </si>
  <si>
    <t>Sello Seco JAGUAR</t>
  </si>
  <si>
    <t>Caja Grande Flex Toscana Limon</t>
  </si>
  <si>
    <t>Tarjetón Verde</t>
  </si>
  <si>
    <t>REGISTROS / FOLIOS EUCALIPTO CLASICO</t>
  </si>
  <si>
    <t>Libros $55.000</t>
  </si>
  <si>
    <t>LÁMINA GRANADA</t>
  </si>
  <si>
    <t>Caja Mediana Piña</t>
  </si>
  <si>
    <t>Tarjetón Doble Mush (listos para llevar)</t>
  </si>
  <si>
    <t>cuaderno en blanco</t>
  </si>
  <si>
    <t>Cuaderno santuario Personalizado</t>
  </si>
  <si>
    <t>LÁMINA TOSCANA LIMON</t>
  </si>
  <si>
    <t>Caja Mediana BEE FLORES</t>
  </si>
  <si>
    <t>Tarjeta Personal Mush con sobre</t>
  </si>
  <si>
    <t>Tote Bag de Lona con Diseño Mush (RP)</t>
  </si>
  <si>
    <t>Caja Mediana Doble Clásico</t>
  </si>
  <si>
    <t>Tote Bag de Lona con Diseño Granada</t>
  </si>
  <si>
    <t>Puestos de mesa Cadiz</t>
  </si>
  <si>
    <t>Soporte Ramita Azul</t>
  </si>
  <si>
    <t>Registros / Folios Mariposa</t>
  </si>
  <si>
    <t>Notas dobles con sobre granada</t>
  </si>
  <si>
    <t>Tarjetón + Tarjetón doble BEE FLORES</t>
  </si>
  <si>
    <t>Registros / Folios Origami Gris</t>
  </si>
  <si>
    <t>Tarjetón + Tarjetón doble PALMA</t>
  </si>
  <si>
    <t>new_or_returning_customer</t>
  </si>
  <si>
    <t>Returning</t>
  </si>
  <si>
    <t>New</t>
  </si>
  <si>
    <t>Lacre MT (unidad)</t>
  </si>
  <si>
    <t>BLOCK LPL</t>
  </si>
  <si>
    <t>Tarjeta Personal Aramacao con sobre</t>
  </si>
  <si>
    <t>Notas dobles con sobre Clasico Fonts</t>
  </si>
  <si>
    <t>Libros $99.000</t>
  </si>
  <si>
    <t>Tarjeta Personal Macondo (V) con sobre</t>
  </si>
  <si>
    <t>Tarjeta Personal Jaguar colores con sobre</t>
  </si>
  <si>
    <t>Libros 49000</t>
  </si>
  <si>
    <t>AGENDA PERPETUA PRIMER AÑO BEBE Y MAMA</t>
  </si>
  <si>
    <t>Tarjetón Rosa</t>
  </si>
  <si>
    <t>Pack Escritorio-Amazonas (Listas para llevar)</t>
  </si>
  <si>
    <t>Libros $135.000</t>
  </si>
  <si>
    <t>Pack tarjetón sencillo + notas dobles Mush (listos para llevar)</t>
  </si>
  <si>
    <t>Notas dobles con sobre Bee</t>
  </si>
  <si>
    <t>Tarjetón + Tarjetón doble Aviario</t>
  </si>
  <si>
    <t>Puestos de mesa FLORA</t>
  </si>
  <si>
    <t>Block de Notas Clasico Gris</t>
  </si>
  <si>
    <t>Caja Mediana Selva</t>
  </si>
  <si>
    <t>Block de Notas Mush</t>
  </si>
  <si>
    <t>Tarjetón Doble Pulpo (listos para llevar)</t>
  </si>
  <si>
    <t>Tarjetón Doble Selva</t>
  </si>
  <si>
    <t>Tarjeta Personal Loto con sobre</t>
  </si>
  <si>
    <t>REGISTROS / FOLIOS MOSAICO</t>
  </si>
  <si>
    <t>Tarjeta Personal Bee con sobre</t>
  </si>
  <si>
    <t>CAJA PEQUEÑA FIESTA - LEOPARDO</t>
  </si>
  <si>
    <t>Caja flex XL Bee marco</t>
  </si>
  <si>
    <t>Tarjetón Jaguar Colores</t>
  </si>
  <si>
    <t>Puestos de mesa- Mush (Listo para llevar)</t>
  </si>
  <si>
    <t>Sello Seco LIBRO</t>
  </si>
  <si>
    <t>Tarjetón Toscana Florero</t>
  </si>
  <si>
    <t>Puestos de mesa Chevron Petroleo</t>
  </si>
  <si>
    <t>Caja pequeña Toscana Limon</t>
  </si>
  <si>
    <t>Detective equis Libros $78.000</t>
  </si>
  <si>
    <t>Lamina XL Rosa Boticario</t>
  </si>
  <si>
    <t>Libros $102.000</t>
  </si>
  <si>
    <t>BONO DE REGALO</t>
  </si>
  <si>
    <t>Invitaciones Matrimonio Clasica 1</t>
  </si>
  <si>
    <t>LÁMINA AVIARIO COLIBRI</t>
  </si>
  <si>
    <t>TARJETÓN TUCAN</t>
  </si>
  <si>
    <t>Caja servilletas x4 con 12 Puestos de mesa</t>
  </si>
  <si>
    <t>Libros $98.000</t>
  </si>
  <si>
    <t>CAJA PEQUEÑA MUSH COUPLE</t>
  </si>
  <si>
    <t>Block de Notas Jaguar Esmeralda</t>
  </si>
  <si>
    <t>LÁMINA FLOR Camelia</t>
  </si>
  <si>
    <t>Notas dobles con sobre Toscana</t>
  </si>
  <si>
    <t>Tarjeta Personal Bijao</t>
  </si>
  <si>
    <t>Pack tarjetón doble + sencillo Mush (listos para llevar)</t>
  </si>
  <si>
    <t>Caja Mediana Doble BEE FLORES</t>
  </si>
  <si>
    <t>Sello Seco PIÑA</t>
  </si>
  <si>
    <t>Caja Mediana BEE</t>
  </si>
  <si>
    <t>Libro Firmas (10 hojas)</t>
  </si>
  <si>
    <t>TARJETA PERSONAL MARIPOSAS</t>
  </si>
  <si>
    <t>Caja Mediana Bouquet</t>
  </si>
  <si>
    <t>Tarjeta Personal Blanco 2</t>
  </si>
  <si>
    <t>Caja pequeña Rosado</t>
  </si>
  <si>
    <t>Caja Grande Flex Palma</t>
  </si>
  <si>
    <t>Caja pequeña Florario Azul</t>
  </si>
  <si>
    <t>PUESTOS DE MESA PROTEA</t>
  </si>
  <si>
    <t>Tarjeta Personal Protea con sobre</t>
  </si>
  <si>
    <t>Caja Mediana Toscana Florero</t>
  </si>
  <si>
    <t>Caja de té corporativo</t>
  </si>
  <si>
    <t>Tarjetón Corporativo</t>
  </si>
  <si>
    <t>Caja Mediana Pembe</t>
  </si>
  <si>
    <t>Pack tarjetón doble + sencillo BEE (listos para llevar)</t>
  </si>
  <si>
    <t>Pack Escritorio Grande bee</t>
  </si>
  <si>
    <t>Tarjeta Personal  - Gato Noche</t>
  </si>
  <si>
    <t>REGISTROS / FOLIOS RAMITA VERDE</t>
  </si>
  <si>
    <t>TARJETON XL AMAZUL</t>
  </si>
  <si>
    <t>Caja Mediana Doble Marco</t>
  </si>
  <si>
    <t>Notas dobles con sobre Mush (listos para llevar)</t>
  </si>
  <si>
    <t>Tarjeta Personal  - Gato Jardín</t>
  </si>
  <si>
    <t>Cuadro mini Longleaf Protea</t>
  </si>
  <si>
    <t>Cuadro mini Gato Rosa</t>
  </si>
  <si>
    <t>TARJETA PERSONAL DOODLES</t>
  </si>
  <si>
    <t>Tarjeta Personal Macondo Mariposa</t>
  </si>
  <si>
    <t>Puestos de mesa Chevron Azul</t>
  </si>
  <si>
    <t>Caja Grande Luxe AVIARIO (80 Tarjetas)</t>
  </si>
  <si>
    <t>Invitaciones Matrimonio Amazul</t>
  </si>
  <si>
    <t>Sello Seco B</t>
  </si>
  <si>
    <t>Soporte BAILADORAS</t>
  </si>
  <si>
    <t>Pack Escritorio Grande Amazonas</t>
  </si>
  <si>
    <t>Tarjeta Personal palma con sobre (ver)</t>
  </si>
  <si>
    <t>Caja Mediana BEE marco</t>
  </si>
  <si>
    <t>Puestos de mesa Bailadoras</t>
  </si>
  <si>
    <t>Tarjeta Personal Santuario (v)</t>
  </si>
  <si>
    <t>Tarjeta Personal Piña (V)</t>
  </si>
  <si>
    <t>Tarjeta Personal Orinoco</t>
  </si>
  <si>
    <t>PUESTOS DE MESA AVIARIO</t>
  </si>
  <si>
    <t>CAJA GRANDE FLEX MUSH</t>
  </si>
  <si>
    <t>Caja Grande Flex BEE</t>
  </si>
  <si>
    <t>MENU BAILADORAS</t>
  </si>
  <si>
    <t>Caja Mediana Florario Menta</t>
  </si>
  <si>
    <t>Tarjeta Personal  - Gato Rosa</t>
  </si>
  <si>
    <t>Caja Mediana Doble Aviario</t>
  </si>
  <si>
    <t>Cuadro mini Echinacea</t>
  </si>
  <si>
    <t>INVITACION DIGITAL BAILADORAS</t>
  </si>
  <si>
    <t>Libros $74.000</t>
  </si>
  <si>
    <t>Servicio Caligrafia x 1</t>
  </si>
  <si>
    <t>Tarjeta personal (4x4) x100</t>
  </si>
  <si>
    <t>tarjetón sencillo x10 (sin sobre) vol</t>
  </si>
  <si>
    <t>Tag Multiproposito x 12</t>
  </si>
  <si>
    <t>Me. Mt</t>
  </si>
  <si>
    <t>Lamina XL Personalizada</t>
  </si>
  <si>
    <t>Caja servilletas x4</t>
  </si>
  <si>
    <t>Stickers/ tags Flores L</t>
  </si>
  <si>
    <t>TARJETÓN CACATUA</t>
  </si>
  <si>
    <t>Pack Escritorio Grande Aviario</t>
  </si>
  <si>
    <t>Cuadro mini Paphiopedolim Lowii</t>
  </si>
  <si>
    <t>numeros de mesa mt</t>
  </si>
  <si>
    <t>Tarjetón FLORARIO VERDE</t>
  </si>
  <si>
    <t>REGISTROS / FOLIOS CORONA ACUARELA CON LACRE</t>
  </si>
  <si>
    <t>Tarjetón Doble NAVIDAD (listos para llevar)</t>
  </si>
  <si>
    <t>Caja Grande Flex  CACATUA PEMBE</t>
  </si>
  <si>
    <t>Registros / Folios Colibri con Lacre</t>
  </si>
  <si>
    <t>INVITACION DIGITAL ROSAMENTA</t>
  </si>
  <si>
    <t>Tarjetas Leopardo (Casa AZARA)</t>
  </si>
  <si>
    <t>Tarjeta Personal Leoparda</t>
  </si>
  <si>
    <t>INVITACION DIGITAL PAMPA</t>
  </si>
  <si>
    <t>Sobres efectivo Protea: Lluvia de sobres</t>
  </si>
  <si>
    <t>Notas dobles con sobre Bouquet</t>
  </si>
  <si>
    <t>Tarjeta Personal Protea (H) con sobre</t>
  </si>
  <si>
    <t>Caja pequeña gatos</t>
  </si>
  <si>
    <t>Tarjeta Personal Flores</t>
  </si>
  <si>
    <t>Caja Grande Flex Protea</t>
  </si>
  <si>
    <t>REGISTROS / FOLIOS HAND BOUQUET</t>
  </si>
  <si>
    <t>Libros 79.000</t>
  </si>
  <si>
    <t>Tarjetón Doble Florario Pink</t>
  </si>
  <si>
    <t>INVITACION DIGITAL COLIBRI</t>
  </si>
  <si>
    <t>Tarjetón doble Macondo</t>
  </si>
  <si>
    <t>LÁMINA TOSCANA LINEAS</t>
  </si>
  <si>
    <t>Tarjetón Doble Bee Marco</t>
  </si>
  <si>
    <t>REGISTROS / FOLIOS BOUQUET SILVESTRE CON LACRE</t>
  </si>
  <si>
    <t>Caja Mediana cacatua</t>
  </si>
  <si>
    <t>Sobres efectivo Bee: Lluvia de sobres</t>
  </si>
  <si>
    <t>Cuadro mini Trillium</t>
  </si>
  <si>
    <t>Stickers/ tags Hand Bouquet</t>
  </si>
  <si>
    <t>INVITACION DIGITAL MOSAICO</t>
  </si>
  <si>
    <t>Tarjeta Personal Aramacao con sobre (V)</t>
  </si>
  <si>
    <t>Stickers/ tags Pampa</t>
  </si>
  <si>
    <t>Caja Mediana Unicornio</t>
  </si>
  <si>
    <t>Tarjeta Personal Cacatua con sobre</t>
  </si>
  <si>
    <t>Tarjeta Personal Aviario Verde con sobre</t>
  </si>
  <si>
    <t>Tarjetón Leopardo (Casa AZARA)</t>
  </si>
  <si>
    <t>Libros $119.000</t>
  </si>
  <si>
    <t>INVITACIONES BRANCHES PETROLEO</t>
  </si>
  <si>
    <t>Caja Grande Flex Aviario</t>
  </si>
  <si>
    <t>REGISTROS / FOLIOS BOSQUE</t>
  </si>
  <si>
    <t>Tarjetón Doble Loto (listos para llevar)</t>
  </si>
  <si>
    <t>Tarjetón Doble Santuario</t>
  </si>
  <si>
    <t>Set D'Lili</t>
  </si>
  <si>
    <t>cajas oracion</t>
  </si>
  <si>
    <t>REGISTROS / FOLIOS Pajarito</t>
  </si>
  <si>
    <t>Portavasos Protea</t>
  </si>
  <si>
    <t>Tarjeta Personal Orinoco con sobre</t>
  </si>
  <si>
    <t>numeros de mesa BRANCHES PETROLEO</t>
  </si>
  <si>
    <t>Stickers/ tags AZULEJO BLUE</t>
  </si>
  <si>
    <t>Puestos de mesa- Protea (Listo para llevar) (RP)</t>
  </si>
  <si>
    <t>Portavasos Mush</t>
  </si>
  <si>
    <t>Sobres efectivo Nido: Lluvia de sobres</t>
  </si>
  <si>
    <t>MENU BRANCHES PETROLEO</t>
  </si>
  <si>
    <t>Puestos de mesa Iris</t>
  </si>
  <si>
    <t>Caja pequeña Tinta corazon: por MAY CARTER</t>
  </si>
  <si>
    <t>Caja pequeña Tinta golondrina: por MAY CARTER</t>
  </si>
  <si>
    <t>Pack tarjetón doble + sencillo AMAZONAS (listos para llevar) (RP)</t>
  </si>
  <si>
    <t>Caja pequeña Tinta mano: por MAY CARTER</t>
  </si>
  <si>
    <t>Caja Grande Luxe FLORARIO menta (80 Tarjetas)</t>
  </si>
  <si>
    <t>Vela Angel</t>
  </si>
  <si>
    <t>MENU BRANCHES ROSADO</t>
  </si>
  <si>
    <t>Notas dobles con sobre Anturia</t>
  </si>
  <si>
    <t>Notas dobles con sobre PROTEA (Listos para llevar) (RP)</t>
  </si>
  <si>
    <t>Caja Mediana Palma</t>
  </si>
  <si>
    <t>Caja pequeña BEE</t>
  </si>
  <si>
    <t>Tarjetón Culebra</t>
  </si>
  <si>
    <t>Registros / Folios BEE con Lacre</t>
  </si>
  <si>
    <t>Tarjetón BEE Flores</t>
  </si>
  <si>
    <t>LÁMINA AVIARIO LORO</t>
  </si>
  <si>
    <t>Libro pasta dura</t>
  </si>
  <si>
    <t>Soporte Pampa</t>
  </si>
  <si>
    <t>Notas dobles con sobre Florario Verde</t>
  </si>
  <si>
    <t>Puestos de mesa Branches Rosado</t>
  </si>
  <si>
    <t>Caja pequeña BLOOM</t>
  </si>
  <si>
    <t>TARJETÓN BLOOM</t>
  </si>
  <si>
    <t>Caja Mediana Carros</t>
  </si>
  <si>
    <t>Caja Grande Flex Florario Verde</t>
  </si>
  <si>
    <t>Puestos de mesa Branches PETROLEO</t>
  </si>
  <si>
    <t>TARJETÓN MUSH ROJO</t>
  </si>
  <si>
    <t>Registros / Folios Branches ocre</t>
  </si>
  <si>
    <t>Stickers/ tags Principito</t>
  </si>
  <si>
    <t>Registros / Folios Origami Azul con Lacre</t>
  </si>
  <si>
    <t>Sobres efectivo Kids: Lluvia de sobres</t>
  </si>
  <si>
    <t>Stickers/ tags Bee</t>
  </si>
  <si>
    <t>REGISTROS / FOLIOS HOJITAS AZUL</t>
  </si>
  <si>
    <t>INVITACION DIGITAL IRIS</t>
  </si>
  <si>
    <t>Caja pequeña anturia</t>
  </si>
  <si>
    <t>Caja pequeña loto</t>
  </si>
  <si>
    <t>Bolsa para botellas</t>
  </si>
  <si>
    <t>Envio</t>
  </si>
  <si>
    <t>Registros / Folios Origami Petroleo</t>
  </si>
  <si>
    <t>Invitaciones Matrimonio Acuarela</t>
  </si>
  <si>
    <t>Tarjeta Personal Tinta Herradura: por MAY CARTER</t>
  </si>
  <si>
    <t>Tarjeta Personal Rosa (vert)</t>
  </si>
  <si>
    <t>Sobres efectivo Loto: Lluvia de sobres</t>
  </si>
  <si>
    <t>NC-ROAS</t>
  </si>
  <si>
    <t>Online Store_average_order_value</t>
  </si>
  <si>
    <t>Tienda 81_average_order_value</t>
  </si>
  <si>
    <t>Rappi_average_order_value</t>
  </si>
  <si>
    <t>Corporativo no tienda_average_order_value</t>
  </si>
  <si>
    <t>returning_net_sales</t>
  </si>
  <si>
    <t>returning_average_order_value</t>
  </si>
  <si>
    <t>new_net_sales</t>
  </si>
  <si>
    <t>new_average_order_value</t>
  </si>
  <si>
    <t>unknown_net_sales</t>
  </si>
  <si>
    <t>unknown_average_order_value</t>
  </si>
  <si>
    <t>AOV</t>
  </si>
  <si>
    <t>Órden promedio totales</t>
  </si>
  <si>
    <t>Órden promedio  primer cliente</t>
  </si>
  <si>
    <t>Órden promedio online store</t>
  </si>
  <si>
    <t>Órden promedio tienda 81</t>
  </si>
  <si>
    <t>Órden promedio rappi</t>
  </si>
  <si>
    <t>Órden promedio corporativo no tienda</t>
  </si>
  <si>
    <t>Questions</t>
  </si>
  <si>
    <t>1. What to spend, where, when</t>
  </si>
  <si>
    <t>2. How to increase revenue per visitor</t>
  </si>
  <si>
    <t>3. Profit velocity from margin, LTCV, stock</t>
  </si>
  <si>
    <t>What problem do we have</t>
  </si>
  <si>
    <t>1. An ad problem</t>
  </si>
  <si>
    <t>2. A conversion problem</t>
  </si>
  <si>
    <t>3. A cost problem</t>
  </si>
  <si>
    <t>Online Store_cost_of_goods_sold</t>
  </si>
  <si>
    <t>Tienda 81_cost_of_goods_sold</t>
  </si>
  <si>
    <t>Rappi_cost_of_goods_sold</t>
  </si>
  <si>
    <t>Corporativo no tienda_cost_of_goods_sold</t>
  </si>
  <si>
    <t>returning_cost_of_goods_sold</t>
  </si>
  <si>
    <t>new_cost_of_goods_sold</t>
  </si>
  <si>
    <t>unknown_cost_of_goods_sold</t>
  </si>
  <si>
    <t>returning_gross_profit</t>
  </si>
  <si>
    <t>new_gross_profit</t>
  </si>
  <si>
    <t>unknown_gross_profit</t>
  </si>
  <si>
    <t>referrer_source</t>
  </si>
  <si>
    <t>conversion_rate</t>
  </si>
  <si>
    <t>unknown</t>
  </si>
  <si>
    <t>paid</t>
  </si>
  <si>
    <t>direct</t>
  </si>
  <si>
    <t>Total site</t>
  </si>
  <si>
    <t>email</t>
  </si>
  <si>
    <t>CR</t>
  </si>
  <si>
    <t>RPV</t>
  </si>
  <si>
    <t>CR totales</t>
  </si>
  <si>
    <t>RPV totales</t>
  </si>
  <si>
    <t>sessions</t>
  </si>
  <si>
    <t>sessions_that_completed_checkout</t>
  </si>
  <si>
    <t>unknown_sessions</t>
  </si>
  <si>
    <t>unknown_sessions_that_completed_checkout</t>
  </si>
  <si>
    <t>unknown_conversion_rate</t>
  </si>
  <si>
    <t>social_sessions</t>
  </si>
  <si>
    <t>social_sessions_that_completed_checkout</t>
  </si>
  <si>
    <t>social_conversion_rate</t>
  </si>
  <si>
    <t>search_sessions</t>
  </si>
  <si>
    <t>search_sessions_that_completed_checkout</t>
  </si>
  <si>
    <t>search_conversion_rate</t>
  </si>
  <si>
    <t>paid_sessions</t>
  </si>
  <si>
    <t>paid_sessions_that_completed_checkout</t>
  </si>
  <si>
    <t>paid_conversion_rate</t>
  </si>
  <si>
    <t>direct_sessions</t>
  </si>
  <si>
    <t>direct_sessions_that_completed_checkout</t>
  </si>
  <si>
    <t>direct_conversion_rate</t>
  </si>
  <si>
    <t>Total site_sessions</t>
  </si>
  <si>
    <t>Total site_sessions_that_completed_checkout</t>
  </si>
  <si>
    <t>Total site_conversion_rate</t>
  </si>
  <si>
    <t>email_sessions</t>
  </si>
  <si>
    <t>email_sessions_that_completed_checkout</t>
  </si>
  <si>
    <t>email_conversion_rate</t>
  </si>
  <si>
    <t>Publicidad online</t>
  </si>
  <si>
    <t>Name</t>
  </si>
  <si>
    <t>Value</t>
  </si>
  <si>
    <t>username</t>
  </si>
  <si>
    <t>info@escribana.co</t>
  </si>
  <si>
    <t>accessKey</t>
  </si>
  <si>
    <t>ZWM2Mjk3ZjQtZDk1Ni00MWNhLTljYjUtMmQzNDkxZDY2NjgzOnMzZEw1fU90fkg=</t>
  </si>
  <si>
    <t>partnerId</t>
  </si>
  <si>
    <t>AmanecerMagdalenaPowerQuery</t>
  </si>
  <si>
    <t>apiUrl</t>
  </si>
  <si>
    <t>https://api.siigo.com/auth/token</t>
  </si>
  <si>
    <t>Fijo</t>
  </si>
  <si>
    <t>Variable</t>
  </si>
  <si>
    <t>11050501</t>
  </si>
  <si>
    <t>Caja general</t>
  </si>
  <si>
    <t>11100501</t>
  </si>
  <si>
    <t>Moneda nacional</t>
  </si>
  <si>
    <t>11101001</t>
  </si>
  <si>
    <t>PayPal Recaudos Moneda Extranjera</t>
  </si>
  <si>
    <t>11200501</t>
  </si>
  <si>
    <t>Bancolombia 2451</t>
  </si>
  <si>
    <t>11200502</t>
  </si>
  <si>
    <t>Bold 1707</t>
  </si>
  <si>
    <t>11201001</t>
  </si>
  <si>
    <t>12959501</t>
  </si>
  <si>
    <t>CDT - Bancolombia</t>
  </si>
  <si>
    <t>13050501</t>
  </si>
  <si>
    <t>Clientes nacionales</t>
  </si>
  <si>
    <t>13050502</t>
  </si>
  <si>
    <t>Consignaciones Sin Identificar</t>
  </si>
  <si>
    <t>13300501</t>
  </si>
  <si>
    <t>A proveedores</t>
  </si>
  <si>
    <t>13301501</t>
  </si>
  <si>
    <t>A trabajadores</t>
  </si>
  <si>
    <t>13551101</t>
  </si>
  <si>
    <t>Anticipo de impuesto Renta</t>
  </si>
  <si>
    <t>13551501</t>
  </si>
  <si>
    <t>Anticipo Retención en la fuente 2,5%</t>
  </si>
  <si>
    <t>13551503</t>
  </si>
  <si>
    <t>Anticipo Retención en la fuente 4%</t>
  </si>
  <si>
    <t>13551509</t>
  </si>
  <si>
    <t>Anticipo Retención en la fuente 11%</t>
  </si>
  <si>
    <t>13551511</t>
  </si>
  <si>
    <t>Anticipo Retención en la fuente 7%</t>
  </si>
  <si>
    <t>13551520</t>
  </si>
  <si>
    <t>Anticipo Retencion en la fuente 1.5%</t>
  </si>
  <si>
    <t>13551701</t>
  </si>
  <si>
    <t>Impuesto a las ventas retenido 15%</t>
  </si>
  <si>
    <t>13551801</t>
  </si>
  <si>
    <t>Rete Ica 11,04</t>
  </si>
  <si>
    <t>13551805</t>
  </si>
  <si>
    <t>Rete Ica 9,66</t>
  </si>
  <si>
    <t>13551813</t>
  </si>
  <si>
    <t>Rete Ica 4</t>
  </si>
  <si>
    <t>13557515</t>
  </si>
  <si>
    <t>Autorretenciones 1.10</t>
  </si>
  <si>
    <t>13803501</t>
  </si>
  <si>
    <t>Pasarelas de pago</t>
  </si>
  <si>
    <t>13804001</t>
  </si>
  <si>
    <t>Prestamos a terceros</t>
  </si>
  <si>
    <t>14350102</t>
  </si>
  <si>
    <t>Alimentos</t>
  </si>
  <si>
    <t>14350103</t>
  </si>
  <si>
    <t>Servicios y Papelería</t>
  </si>
  <si>
    <t>14350105</t>
  </si>
  <si>
    <t>Mcia no fabricada por empresa</t>
  </si>
  <si>
    <t>15280501</t>
  </si>
  <si>
    <t>Equipos de procesamiento de datos</t>
  </si>
  <si>
    <t>15922001</t>
  </si>
  <si>
    <t>Equipo de computación y comunicación</t>
  </si>
  <si>
    <t>22050501</t>
  </si>
  <si>
    <t>Proveedores nacionales</t>
  </si>
  <si>
    <t>229999</t>
  </si>
  <si>
    <t>Causación automática compras (sistema)</t>
  </si>
  <si>
    <t>23352501</t>
  </si>
  <si>
    <t>Honorarios</t>
  </si>
  <si>
    <t>23359501</t>
  </si>
  <si>
    <t>Otros</t>
  </si>
  <si>
    <t>23359502</t>
  </si>
  <si>
    <t>Reembolso costos y gastos</t>
  </si>
  <si>
    <t>23652503</t>
  </si>
  <si>
    <t>Servicios 4%</t>
  </si>
  <si>
    <t>23652505</t>
  </si>
  <si>
    <t>Servicios  1 %</t>
  </si>
  <si>
    <t>23653001</t>
  </si>
  <si>
    <t>Arrendamientos 4%</t>
  </si>
  <si>
    <t>23653003</t>
  </si>
  <si>
    <t>Arrendamientos 3.5%</t>
  </si>
  <si>
    <t>23654001</t>
  </si>
  <si>
    <t>Retención por compras 2,5%</t>
  </si>
  <si>
    <t>23657001</t>
  </si>
  <si>
    <t>Otras retenciones  2 %</t>
  </si>
  <si>
    <t>23657503</t>
  </si>
  <si>
    <t>23670101</t>
  </si>
  <si>
    <t>23670112</t>
  </si>
  <si>
    <t>Impuesto a las ventas retenido 100% no Residentes</t>
  </si>
  <si>
    <t>23680501</t>
  </si>
  <si>
    <t>Reteica 11,04</t>
  </si>
  <si>
    <t>23680503</t>
  </si>
  <si>
    <t>Reteica 13,8</t>
  </si>
  <si>
    <t>23680505</t>
  </si>
  <si>
    <t>Reteica 9,66</t>
  </si>
  <si>
    <t>23680506</t>
  </si>
  <si>
    <t>Devolución Reteica 9,66</t>
  </si>
  <si>
    <t>23680509</t>
  </si>
  <si>
    <t>Reteica 7</t>
  </si>
  <si>
    <t>23680513</t>
  </si>
  <si>
    <t>Reteica 4,14</t>
  </si>
  <si>
    <t>23700501</t>
  </si>
  <si>
    <t>Aportes a entidades promotoras de salud eps</t>
  </si>
  <si>
    <t>23700601</t>
  </si>
  <si>
    <t>Aporte a administradoras de riesgos profesionales, ARL</t>
  </si>
  <si>
    <t>23701001</t>
  </si>
  <si>
    <t>Aportes a Cajas de compensación familiar</t>
  </si>
  <si>
    <t>23701002</t>
  </si>
  <si>
    <t>Sena</t>
  </si>
  <si>
    <t>23701003</t>
  </si>
  <si>
    <t>Icbf</t>
  </si>
  <si>
    <t>23803001</t>
  </si>
  <si>
    <t>Fondos de pensiones</t>
  </si>
  <si>
    <t>24040501</t>
  </si>
  <si>
    <t>Vigencia fiscal corriente</t>
  </si>
  <si>
    <t>24080601</t>
  </si>
  <si>
    <t>Iva generado</t>
  </si>
  <si>
    <t>24081001</t>
  </si>
  <si>
    <t>Iva descontable por compras 19%</t>
  </si>
  <si>
    <t>24081002</t>
  </si>
  <si>
    <t>Iva Devolución en compras 19%</t>
  </si>
  <si>
    <t>24081501</t>
  </si>
  <si>
    <t>Descontable por servicios</t>
  </si>
  <si>
    <t>24081601</t>
  </si>
  <si>
    <t>Iva descontable retenido por servicios de No domiciliados</t>
  </si>
  <si>
    <t>24082001</t>
  </si>
  <si>
    <t>Descontable por devoluciones 19%</t>
  </si>
  <si>
    <t>24084001</t>
  </si>
  <si>
    <t>Iva Por Pagar</t>
  </si>
  <si>
    <t>240905</t>
  </si>
  <si>
    <t>Rtefte Por Pagar</t>
  </si>
  <si>
    <t>240925</t>
  </si>
  <si>
    <t>Ica Por Pagar</t>
  </si>
  <si>
    <t>241205</t>
  </si>
  <si>
    <t>Impuesto de Industria y Comercio</t>
  </si>
  <si>
    <t>24950101</t>
  </si>
  <si>
    <t>Impuesto al consumo en ventas</t>
  </si>
  <si>
    <t>25050501</t>
  </si>
  <si>
    <t>Salarios por pagar</t>
  </si>
  <si>
    <t>2510100101</t>
  </si>
  <si>
    <t>Cesantías</t>
  </si>
  <si>
    <t>2510100201</t>
  </si>
  <si>
    <t>Intereses sobre cesantías</t>
  </si>
  <si>
    <t>2510100301</t>
  </si>
  <si>
    <t>Vacaciones</t>
  </si>
  <si>
    <t>25101004</t>
  </si>
  <si>
    <t>PRIMA DE SERVICIOS</t>
  </si>
  <si>
    <t>2510100501</t>
  </si>
  <si>
    <t>ARL SURA</t>
  </si>
  <si>
    <t>2510100601</t>
  </si>
  <si>
    <t>SANITAS</t>
  </si>
  <si>
    <t>2510100602</t>
  </si>
  <si>
    <t>ALIANSALUD</t>
  </si>
  <si>
    <t>2510100603</t>
  </si>
  <si>
    <t>FAMISANAR</t>
  </si>
  <si>
    <t>2510100701</t>
  </si>
  <si>
    <t>CAJA COMPENSACIÓN COMPENSAR</t>
  </si>
  <si>
    <t>2510100801</t>
  </si>
  <si>
    <t>PORVENIR</t>
  </si>
  <si>
    <t>2510100802</t>
  </si>
  <si>
    <t>COLPENSIONES</t>
  </si>
  <si>
    <t>28050501</t>
  </si>
  <si>
    <t>De clientes</t>
  </si>
  <si>
    <t>31050501</t>
  </si>
  <si>
    <t>Capital autorizado</t>
  </si>
  <si>
    <t>360505</t>
  </si>
  <si>
    <t>Utilidad del ejercicio</t>
  </si>
  <si>
    <t>37050501</t>
  </si>
  <si>
    <t>Utilidades o excedentes acumulados</t>
  </si>
  <si>
    <t>41350101</t>
  </si>
  <si>
    <t>Papelería</t>
  </si>
  <si>
    <t>41350102</t>
  </si>
  <si>
    <t>41350103</t>
  </si>
  <si>
    <t>41350125</t>
  </si>
  <si>
    <t>Descuentos papelería</t>
  </si>
  <si>
    <t>41350207</t>
  </si>
  <si>
    <t>Libros y Revistas Culturales</t>
  </si>
  <si>
    <t>41450101</t>
  </si>
  <si>
    <t>Escribana - Envíos</t>
  </si>
  <si>
    <t>41750501</t>
  </si>
  <si>
    <t>Devolución en ventas</t>
  </si>
  <si>
    <t>41750504</t>
  </si>
  <si>
    <t>Devolución en envíos</t>
  </si>
  <si>
    <t>41751007</t>
  </si>
  <si>
    <t>Devolución Ventas Libros y Revistas Culturales</t>
  </si>
  <si>
    <t>41800101</t>
  </si>
  <si>
    <t>Servicios</t>
  </si>
  <si>
    <t>42100501</t>
  </si>
  <si>
    <t>Intereses</t>
  </si>
  <si>
    <t>425040</t>
  </si>
  <si>
    <t>Gastos Bancarios</t>
  </si>
  <si>
    <t>42958101</t>
  </si>
  <si>
    <t>Ajuste al peso</t>
  </si>
  <si>
    <t>51050601</t>
  </si>
  <si>
    <t>Sueldos</t>
  </si>
  <si>
    <t>51052701</t>
  </si>
  <si>
    <t>Auxilio de transporte</t>
  </si>
  <si>
    <t>51053001</t>
  </si>
  <si>
    <t>51053301</t>
  </si>
  <si>
    <t>51053601</t>
  </si>
  <si>
    <t>Prima de servicios</t>
  </si>
  <si>
    <t>51053901</t>
  </si>
  <si>
    <t>51054503</t>
  </si>
  <si>
    <t>Auxilio no salarial</t>
  </si>
  <si>
    <t>51054801</t>
  </si>
  <si>
    <t>Bonificaciones</t>
  </si>
  <si>
    <t>51056801</t>
  </si>
  <si>
    <t>Aportes a administradora de riesgos laborales</t>
  </si>
  <si>
    <t>51056901</t>
  </si>
  <si>
    <t>51057001</t>
  </si>
  <si>
    <t>Aporte a fondos de pensión y/o cesantías</t>
  </si>
  <si>
    <t>51057201</t>
  </si>
  <si>
    <t>Aportes cajas de compensación familiar</t>
  </si>
  <si>
    <t>51057501</t>
  </si>
  <si>
    <t>Aportes icbf</t>
  </si>
  <si>
    <t>51057801</t>
  </si>
  <si>
    <t>Aportes Sena</t>
  </si>
  <si>
    <t>51059501</t>
  </si>
  <si>
    <t>Bienestar y atención a empleados</t>
  </si>
  <si>
    <t>51102501</t>
  </si>
  <si>
    <t>Honorarios - Asesoría jurídica</t>
  </si>
  <si>
    <t>51103001</t>
  </si>
  <si>
    <t>Honorarios - Asesoría Contable</t>
  </si>
  <si>
    <t>51103501</t>
  </si>
  <si>
    <t>Asesoría Financiera</t>
  </si>
  <si>
    <t>51150505</t>
  </si>
  <si>
    <t>Industria y Comercio</t>
  </si>
  <si>
    <t>51201001</t>
  </si>
  <si>
    <t>Arrendamiento Local</t>
  </si>
  <si>
    <t>51351505</t>
  </si>
  <si>
    <t>Servicios técnicos</t>
  </si>
  <si>
    <t>51352001</t>
  </si>
  <si>
    <t>Software</t>
  </si>
  <si>
    <t>51352504</t>
  </si>
  <si>
    <t>Local</t>
  </si>
  <si>
    <t>51353502</t>
  </si>
  <si>
    <t>Servicios públicos - Celular</t>
  </si>
  <si>
    <t>51355001</t>
  </si>
  <si>
    <t>Transporte fletes y acarreos</t>
  </si>
  <si>
    <t>51400501</t>
  </si>
  <si>
    <t>Notariales</t>
  </si>
  <si>
    <t>51401001</t>
  </si>
  <si>
    <t>Registro mercantil</t>
  </si>
  <si>
    <t>51401501</t>
  </si>
  <si>
    <t>Tramites y licencias</t>
  </si>
  <si>
    <t>51451001</t>
  </si>
  <si>
    <t>Mantenimientos - Construcciones y edificaciones</t>
  </si>
  <si>
    <t>51451002</t>
  </si>
  <si>
    <t>Adecuacion Oficina</t>
  </si>
  <si>
    <t>51551501</t>
  </si>
  <si>
    <t>Gastos de viaje - Pasajes aéreos</t>
  </si>
  <si>
    <t>51950501</t>
  </si>
  <si>
    <t>Comisiones</t>
  </si>
  <si>
    <t>51952501</t>
  </si>
  <si>
    <t>Elementos de aseo y cafetería</t>
  </si>
  <si>
    <t>51953001</t>
  </si>
  <si>
    <t>Útiles papelería y fotocopias</t>
  </si>
  <si>
    <t>51956001</t>
  </si>
  <si>
    <t>Casino y restaurante</t>
  </si>
  <si>
    <t>51956501</t>
  </si>
  <si>
    <t>Parqueaderos</t>
  </si>
  <si>
    <t>51959501</t>
  </si>
  <si>
    <t>Activos menores</t>
  </si>
  <si>
    <t>52050601</t>
  </si>
  <si>
    <t>52051501</t>
  </si>
  <si>
    <t>Horas extras y recargos</t>
  </si>
  <si>
    <t>52051801</t>
  </si>
  <si>
    <t>52052701</t>
  </si>
  <si>
    <t>52053001</t>
  </si>
  <si>
    <t>52053301</t>
  </si>
  <si>
    <t>52053601</t>
  </si>
  <si>
    <t>52053901</t>
  </si>
  <si>
    <t>52054502</t>
  </si>
  <si>
    <t>Auxilio transporte</t>
  </si>
  <si>
    <t>52054503</t>
  </si>
  <si>
    <t>52054801</t>
  </si>
  <si>
    <t>52056001</t>
  </si>
  <si>
    <t>Indemnizaciones laborales</t>
  </si>
  <si>
    <t>52056801</t>
  </si>
  <si>
    <t>52056901</t>
  </si>
  <si>
    <t>52057001</t>
  </si>
  <si>
    <t>52057201</t>
  </si>
  <si>
    <t>52057501</t>
  </si>
  <si>
    <t>52057801</t>
  </si>
  <si>
    <t>52201001</t>
  </si>
  <si>
    <t>52201501</t>
  </si>
  <si>
    <t>Alquiler Ferias</t>
  </si>
  <si>
    <t>52352001</t>
  </si>
  <si>
    <t>52352504</t>
  </si>
  <si>
    <t>52352505</t>
  </si>
  <si>
    <t>Internet</t>
  </si>
  <si>
    <t>52355001</t>
  </si>
  <si>
    <t>Transporte de Productos</t>
  </si>
  <si>
    <t>52356004</t>
  </si>
  <si>
    <t>Marketing corporativo</t>
  </si>
  <si>
    <t>52356501</t>
  </si>
  <si>
    <t>Construcciones y montajes</t>
  </si>
  <si>
    <t>52357001</t>
  </si>
  <si>
    <t>Ajustes y modificaciones de productos</t>
  </si>
  <si>
    <t>52950501</t>
  </si>
  <si>
    <t>52951001</t>
  </si>
  <si>
    <t>Material de empaque</t>
  </si>
  <si>
    <t>52951501</t>
  </si>
  <si>
    <t>Materiales e insumos</t>
  </si>
  <si>
    <t>53050501</t>
  </si>
  <si>
    <t>Gastos bancarios</t>
  </si>
  <si>
    <t>53051501</t>
  </si>
  <si>
    <t>53052001</t>
  </si>
  <si>
    <t>Intereses corrientes</t>
  </si>
  <si>
    <t>53053501</t>
  </si>
  <si>
    <t>Descuentos comerciales condicionados</t>
  </si>
  <si>
    <t>53055001</t>
  </si>
  <si>
    <t>GMF 4*1000</t>
  </si>
  <si>
    <t>53152002</t>
  </si>
  <si>
    <t>RTE ICA</t>
  </si>
  <si>
    <t>53152501</t>
  </si>
  <si>
    <t>Costos y gastos no deducibles</t>
  </si>
  <si>
    <t>53958101</t>
  </si>
  <si>
    <t>54050501</t>
  </si>
  <si>
    <t>Impuesto de renta y complementarios</t>
  </si>
  <si>
    <t>61350501</t>
  </si>
  <si>
    <t>61350601</t>
  </si>
  <si>
    <t>61350602</t>
  </si>
  <si>
    <t>61350603</t>
  </si>
  <si>
    <t>61550501</t>
  </si>
  <si>
    <t>Publicidad</t>
  </si>
  <si>
    <t>Código</t>
  </si>
  <si>
    <t>Nombre</t>
  </si>
  <si>
    <t>Clasificación</t>
  </si>
  <si>
    <t>period</t>
  </si>
  <si>
    <t>costs_fixed</t>
  </si>
  <si>
    <t>costs_variable</t>
  </si>
  <si>
    <t>Costos de publicidad totales (contables)</t>
  </si>
  <si>
    <t>Info contable</t>
  </si>
  <si>
    <t>account_name</t>
  </si>
  <si>
    <t>Tipo</t>
  </si>
  <si>
    <t>Admin</t>
  </si>
  <si>
    <t>Sales</t>
  </si>
  <si>
    <t>Other</t>
  </si>
  <si>
    <t>COGS</t>
  </si>
  <si>
    <t/>
  </si>
  <si>
    <t>18 Activo &gt; 18.1 Efectivo y equivalentes de efectivo &gt; 18.1.1 Caja</t>
  </si>
  <si>
    <t>18 Activo &gt; 18.1 Efectivo y equivalentes de efectivo &gt; 18.1.2 Bancos &gt; 18.1.2.1 Moneda nacional</t>
  </si>
  <si>
    <t>18 Activo &gt; 18.1 Efectivo y equivalentes de efectivo &gt; 18.1.2 Bancos &gt; 18.1.2.2 Bancos y Entidades Moneda Extranjera</t>
  </si>
  <si>
    <t>18 Activo &gt; 18.1 Efectivo y equivalentes de efectivo &gt; 18.1.3 Cuentas de ahorro &gt; 18.1.3.1 Bancolombia</t>
  </si>
  <si>
    <t>18 Activo &gt; 18.1 Efectivo y equivalentes de efectivo &gt; 18.1.3 Cuentas de ahorro &gt; 18.1.3.2 Bold</t>
  </si>
  <si>
    <t>18 Activo &gt; 18.1 Efectivo y equivalentes de efectivo &gt; 18.1.4 Inversiones temporales</t>
  </si>
  <si>
    <t>18 Activo &gt; 18.2 Deudores comerciales y otras cuentas por cobrar &gt; 18.2.1 Clientes nacionales</t>
  </si>
  <si>
    <t>18 Activo &gt; 18.2 Deudores comerciales y otras cuentas por cobrar &gt; 18.2.2 Consignaciones Sin Identificar</t>
  </si>
  <si>
    <t>18 Activo &gt; 18.2 Deudores comerciales y otras cuentas por cobrar &gt; 18.2.5 Anticipos y avances &gt; 18.2.5.1 A proveedores</t>
  </si>
  <si>
    <t>18 Activo &gt; 18.2 Deudores comerciales y otras cuentas por cobrar &gt; 18.2.6 Cuentas por cobrar a trabajadores</t>
  </si>
  <si>
    <t>18 Activo &gt; 18.2 Deudores comerciales y otras cuentas por cobrar &gt; 18.2.5 Anticipos y avances &gt; 18.2.5.2 Anticipo de impuestos y contribuciones</t>
  </si>
  <si>
    <t>18 Activo &gt; 18.2 Deudores comerciales y otras cuentas por cobrar &gt; 18.2.7 Deudores varios &gt; 18.2.7.1 Pasarelas de pago</t>
  </si>
  <si>
    <t>18 Activo &gt; 18.2 Deudores comerciales y otras cuentas por cobrar &gt; 18.2.7 Deudores varios &gt; 18.2.7.2 Prestamos a terceros</t>
  </si>
  <si>
    <t>18 Activo &gt; 18.3 Inventarios &gt; 18.3.1 Mercancías no fabricadas por la empresa &gt; 18.3.1.2 Alimentos</t>
  </si>
  <si>
    <t>18 Activo &gt; 18.3 Inventarios &gt; 18.3.1 Mercancías no fabricadas por la empresa &gt; 18.3.1.3 Servicios y Papelería</t>
  </si>
  <si>
    <t>18 Activo &gt; 18.3 Inventarios &gt; 18.3.1 Mercancías no fabricadas por la empresa &gt; 18.3.1.1 Papelería</t>
  </si>
  <si>
    <t>18 Activo &gt; 18.4 Propiedad planta y equipo &gt; 18.4.1 Equipo de computación y comunicación</t>
  </si>
  <si>
    <t>18 Activo &gt; 18.4 Propiedad planta y equipo &gt; 18.4.2 Depreciación acumulada</t>
  </si>
  <si>
    <t>19 Pasivo &gt; 19.2 Proveedores &gt; 19.2.1 Proveedores nacionales</t>
  </si>
  <si>
    <t>19 Pasivo &gt; 19.2 Proveedores &gt; 19.2.3 Causación automática de compras</t>
  </si>
  <si>
    <t>19 Pasivo &gt; 19.3 Acreedores comerciales y otras cuentas por pagar &gt; 19.3.2 Costos y gastos por pagar &gt; 19.3.2.1 Honorarios</t>
  </si>
  <si>
    <t>19 Pasivo &gt; 19.3 Acreedores comerciales y otras cuentas por pagar &gt; 19.3.2 Costos y gastos por pagar &gt; 19.3.2.5 Otros</t>
  </si>
  <si>
    <t>19 Pasivo &gt; 19.3 Acreedores comerciales y otras cuentas por pagar &gt; 19.3.3 Retenciones en la fuente</t>
  </si>
  <si>
    <t>19 Pasivo &gt; 19.3 Acreedores comerciales y otras cuentas por pagar &gt; 19.3.4 Impuesto a las ventas retenido</t>
  </si>
  <si>
    <t>19 Pasivo &gt; 19.3 Acreedores comerciales y otras cuentas por pagar &gt; 19.3.5 Impuesto de industria y comercio retenido</t>
  </si>
  <si>
    <t>19 Pasivo &gt; 19.3 Acreedores comerciales y otras cuentas por pagar &gt; 19.3.6 Aportes a empresas promotoras de salud eps</t>
  </si>
  <si>
    <t>19 Pasivo &gt; 19.3 Acreedores comerciales y otras cuentas por pagar &gt; 19.3.7 Acreedores varios</t>
  </si>
  <si>
    <t>19 Pasivo &gt; 19.4 Pasivos por impuestos &gt; 19.4.1 De renta y complementarios corriente</t>
  </si>
  <si>
    <t>19 Pasivo &gt; 19.4 Pasivos por impuestos &gt; 19.4.2 Impuesto sobre las ventas por pagar</t>
  </si>
  <si>
    <t>19 Pasivo &gt; 19.4 Pasivos por impuestos &gt; 19.4.3 Impuestos Por Pagar</t>
  </si>
  <si>
    <t>19 Pasivo &gt; 19.4 Pasivos por impuestos &gt; 19.4.4 Impuesto de Industria y Comercio</t>
  </si>
  <si>
    <t>19 Pasivo &gt; 19.4 Pasivos por impuestos &gt; 19.4.6 Otros</t>
  </si>
  <si>
    <t>19 Pasivo &gt; 19.5 Beneficios a empleados &gt; 19.5.1 Salarios por pagar</t>
  </si>
  <si>
    <t>19 Pasivo &gt; 19.5 Beneficios a empleados &gt; 19.5.2 Pasivo estimado para obligaciones laborales</t>
  </si>
  <si>
    <t>19 Pasivo &gt; 19.6 Pasivos no financieros &gt; 19.6.1 Anticipos y avances recibidos</t>
  </si>
  <si>
    <t>20 Patrimonio &gt; 20.1 Capital social</t>
  </si>
  <si>
    <t>20 Patrimonio &gt; 20.4 Resultados de ejercicios anteriores</t>
  </si>
  <si>
    <t>1 Ingresos &gt; 1.1 Papelería</t>
  </si>
  <si>
    <t>1 Ingresos &gt; 1.2 Alimentos</t>
  </si>
  <si>
    <t>1 Ingresos &gt; 1.3 Servicios y papelería</t>
  </si>
  <si>
    <t>1 Ingresos &gt; 1.5 Descuentos</t>
  </si>
  <si>
    <t>1 Ingresos &gt; 1.6 Libros y revistas culturales</t>
  </si>
  <si>
    <t>1 Ingresos &gt; 1.7 Envíos</t>
  </si>
  <si>
    <t>1 Ingresos &gt; 1.9 Devoluciones y rebajas</t>
  </si>
  <si>
    <t>7 Otros ingresos &gt; 7.1 Financieros</t>
  </si>
  <si>
    <t>7 Otros ingresos &gt; 7.2 Recuperaciones</t>
  </si>
  <si>
    <t>7 Otros ingresos &gt; 7.3 Diversos</t>
  </si>
  <si>
    <t>5 Gastos administrativos &gt; 5.1 Gastos de personal &gt; 5.1.2 Sueldos</t>
  </si>
  <si>
    <t>5 Gastos administrativos &gt; 5.1 Gastos de personal &gt; 5.1.4 Otros gastos de personal</t>
  </si>
  <si>
    <t>5 Gastos administrativos &gt; 5.1 Gastos de personal &gt; 5.1.3 Bonificaciones</t>
  </si>
  <si>
    <t>5 Gastos administrativos &gt; 5.2 Honorarios &gt; 5.2.2 Honorarios - Asesoría jurídica</t>
  </si>
  <si>
    <t>5 Gastos administrativos &gt; 5.2 Honorarios &gt; 5.2.3 Honorarios - Asesoría Contable</t>
  </si>
  <si>
    <t>5 Gastos administrativos &gt; 5.2 Honorarios &gt; 5.2.4 Asesoría Financiera</t>
  </si>
  <si>
    <t>5 Gastos administrativos &gt; 5.3 Impuestos</t>
  </si>
  <si>
    <t>5 Gastos administrativos &gt; 5.4 Arrendamientos &gt; 5.4.1 Arrendamiento Local</t>
  </si>
  <si>
    <t>5 Gastos administrativos &gt; 5.6 Servicios admin</t>
  </si>
  <si>
    <t>5 Gastos administrativos &gt; 5.7 Gastos legales</t>
  </si>
  <si>
    <t>5 Gastos administrativos &gt; 5.8 Mantenimiento y reparaciones</t>
  </si>
  <si>
    <t>5 Gastos administrativos &gt; 5.9 Gastos de viaje</t>
  </si>
  <si>
    <t>5 Gastos administrativos &gt; 5.11 Diversos</t>
  </si>
  <si>
    <t>5 Gastos administrativos &gt; 5.12 Otros gastos</t>
  </si>
  <si>
    <t>4 Gastos ventas &gt; 4.1 Gastos de personal &gt; 4.1.1 Sueldos</t>
  </si>
  <si>
    <t>4 Gastos ventas &gt; 4.1 Gastos de personal &gt; 4.1.3 Otros gastos de personal</t>
  </si>
  <si>
    <t>4 Gastos ventas &gt; 4.1 Gastos de personal &gt; 4.1.2 Bonificaciones</t>
  </si>
  <si>
    <t>4 Gastos ventas &gt; 4.2 Arrendamientos y Alquileres</t>
  </si>
  <si>
    <t>4 Gastos ventas &gt; 4.3 Servicios ventas</t>
  </si>
  <si>
    <t>4 Gastos ventas &gt; 4.4 Diversos</t>
  </si>
  <si>
    <t>8 Otros gastos &gt; 8.1 Financieros</t>
  </si>
  <si>
    <t>1 Ingresos &gt; 1.8 Descuentos comerciales</t>
  </si>
  <si>
    <t>8 Otros gastos &gt; 8.2 Gastos extraordinarios</t>
  </si>
  <si>
    <t>8 Otros gastos &gt; 8.3 Gastos diversos</t>
  </si>
  <si>
    <t>10 Impuestos &gt; 10.1 Impuesto de renta y complementarios</t>
  </si>
  <si>
    <t>2 Costos &gt; 2.1 Papelería</t>
  </si>
  <si>
    <t>2 Costos &gt; 2.2 Alimentos</t>
  </si>
  <si>
    <t>2 Costos &gt; 2.3 Servicios y papelería</t>
  </si>
  <si>
    <t>Cuenta reporte</t>
  </si>
  <si>
    <t>Taxes</t>
  </si>
  <si>
    <t>thirdparty_name</t>
  </si>
  <si>
    <t>NEOSTAR SEGURIDAD DE COLOMBIA LTDA</t>
  </si>
  <si>
    <t>MARÍA ALEJANDRA OLIVARES</t>
  </si>
  <si>
    <t>AMANECER DEL MAGDALENA SAS</t>
  </si>
  <si>
    <t>MARIANNA REZK TIMCKE</t>
  </si>
  <si>
    <t>MARIANA PAREDES ALBARRACIN</t>
  </si>
  <si>
    <t>SURA</t>
  </si>
  <si>
    <t>Protección S.A</t>
  </si>
  <si>
    <t>Compensar</t>
  </si>
  <si>
    <t>LOGER DE COLOMBIA SAS</t>
  </si>
  <si>
    <t>PHYLOS INVERSIONES S.A.S.</t>
  </si>
  <si>
    <t>UBER COLOMBIA SAS</t>
  </si>
  <si>
    <t>GG GO SAS</t>
  </si>
  <si>
    <t>ADOBE SYSTEMS SOFTWARE</t>
  </si>
  <si>
    <t>META FACEBOOK</t>
  </si>
  <si>
    <t>LAMARSA EXPORT COLLECTIVE S.A.S</t>
  </si>
  <si>
    <t>DIGITAL PLATFORMS COLOMBIA SAS</t>
  </si>
  <si>
    <t>SHOPIFY</t>
  </si>
  <si>
    <t>GOOGLE</t>
  </si>
  <si>
    <t>RAPPI SAS</t>
  </si>
  <si>
    <t>AMAZON WEB SERVICES, INC</t>
  </si>
  <si>
    <t>F CINTAS SAS</t>
  </si>
  <si>
    <t>POLIETILENOS Y POLIPROPILENOS JC SAS</t>
  </si>
  <si>
    <t>BOLD.CO S.A.S</t>
  </si>
  <si>
    <t>LAURA MARIA SILVA LONDOÑO</t>
  </si>
  <si>
    <t>ANA MARIA SILVA LONDOÑO</t>
  </si>
  <si>
    <t>WARCELINA NARVAEZ RACERO</t>
  </si>
  <si>
    <t>Colfondos</t>
  </si>
  <si>
    <t>Colpensiones</t>
  </si>
  <si>
    <t>ANDUMA SAS</t>
  </si>
  <si>
    <t>LAO KAO SA</t>
  </si>
  <si>
    <t>COSMETIKA SAS</t>
  </si>
  <si>
    <t>Panamericana librería y papelería SA</t>
  </si>
  <si>
    <t>PRINNTECH SAS</t>
  </si>
  <si>
    <t>MARIA CRISTINA PINTO YARA</t>
  </si>
  <si>
    <t>DROPBOX INTERNATIONAL UNLIMITED COMPANY</t>
  </si>
  <si>
    <t>OPENAI  CHATGPT S</t>
  </si>
  <si>
    <t>EMPRESA DE TELECOMUNICACIONES DE BOGOTA SA</t>
  </si>
  <si>
    <t>COLOMBIA TELECOMUNICACIONES S.A. E.S.P. BIC</t>
  </si>
  <si>
    <t>Bancolombia</t>
  </si>
  <si>
    <t>ICBF - Instituto Colombiano de Bienestar Familiar</t>
  </si>
  <si>
    <t>SENA -Servicio Nacional de Aprendizaje</t>
  </si>
  <si>
    <t>U.A.E. DIRECCION DE IMPUESTOS Y ADUANAS NACIONALES</t>
  </si>
  <si>
    <t>Sanitas</t>
  </si>
  <si>
    <t>Salud Total Eps</t>
  </si>
  <si>
    <t>Secretaría Distrital de Hacienda</t>
  </si>
  <si>
    <t>EPS Sura</t>
  </si>
  <si>
    <t>OLGA YOLANDA PEÑA</t>
  </si>
  <si>
    <t>MARIA CONSUELO ROMAN MOLINA</t>
  </si>
  <si>
    <t>LAURA HERRERA PARDO</t>
  </si>
  <si>
    <t>MAILCHIMP</t>
  </si>
  <si>
    <t>KATHERINE MELINA LEGUIZAMO GOMEZ</t>
  </si>
  <si>
    <t>CARLOS ALBERTO MORALES</t>
  </si>
  <si>
    <t>PURA IMAGEN LTDA</t>
  </si>
  <si>
    <t>CARLOS WILLMAN SOTELO SOLER</t>
  </si>
  <si>
    <t>SYMTEX SAS</t>
  </si>
  <si>
    <t>OPTION S A</t>
  </si>
  <si>
    <t>RED COMERCIAL LA MINA SAS</t>
  </si>
  <si>
    <t>CENCOSUD COLOMBIA S.A.</t>
  </si>
  <si>
    <t>TAKAMI SA</t>
  </si>
  <si>
    <t>SMILE BOGOTA SAS</t>
  </si>
  <si>
    <t>SURAMERICA COMERCIAL S.A.S</t>
  </si>
  <si>
    <t>COMERCIAL PAPELERA S.A.</t>
  </si>
  <si>
    <t>JUAN EL PANADERO SAS</t>
  </si>
  <si>
    <t>DLK SAS</t>
  </si>
  <si>
    <t>MERCADO ZAPATOCA S A</t>
  </si>
  <si>
    <t>RICARDO MAURICIO DIAZ JIMENEZ</t>
  </si>
  <si>
    <t>LEADERSEARCH S.A.S</t>
  </si>
  <si>
    <t>ARGENIL KIKE CASTILLO</t>
  </si>
  <si>
    <t>JAIRO RODRIGUEZ</t>
  </si>
  <si>
    <t>LIBRERIA NACIONAL SA</t>
  </si>
  <si>
    <t>Consumidor Final</t>
  </si>
  <si>
    <t>JABONERIA ALMA DE PALMA S.A.S.</t>
  </si>
  <si>
    <t>JULIANA ESTEBAN GOMEZ</t>
  </si>
  <si>
    <t>Porvenir S.A</t>
  </si>
  <si>
    <t>DHL EXPRESS COLOMBIA LTDA</t>
  </si>
  <si>
    <t>Colvanes SAS</t>
  </si>
  <si>
    <t>JULIANA PRIETO ÑAÑEX</t>
  </si>
  <si>
    <t>ROBERTO TINOCO DEVIA</t>
  </si>
  <si>
    <t>AALTO BISTRO SAS</t>
  </si>
  <si>
    <t>ALMACEN EL HACHAZO S A</t>
  </si>
  <si>
    <t>CAFE DEL ESTE SAS</t>
  </si>
  <si>
    <t>GRUPO ARTAK SAS</t>
  </si>
  <si>
    <t>BETTY GRACIA</t>
  </si>
  <si>
    <t>Indeed Ireland Operations Ltd</t>
  </si>
  <si>
    <t>CAMARA DE COMERCIO DE BOGOTA</t>
  </si>
  <si>
    <t>DECORELECTRICOS Y FERRETERIA S.A.S.</t>
  </si>
  <si>
    <t>FERRICENTROS SAS</t>
  </si>
  <si>
    <t>Nivel</t>
  </si>
  <si>
    <t>Transaccional</t>
  </si>
  <si>
    <t>Activo</t>
  </si>
  <si>
    <t>Parent</t>
  </si>
  <si>
    <t>HasChildren</t>
  </si>
  <si>
    <t>Fecha Actualización</t>
  </si>
  <si>
    <t>1</t>
  </si>
  <si>
    <t>Clase</t>
  </si>
  <si>
    <t>No</t>
  </si>
  <si>
    <t>Sí</t>
  </si>
  <si>
    <t>Padre</t>
  </si>
  <si>
    <t>11</t>
  </si>
  <si>
    <t>Efectivo y equivalentes de efectivo</t>
  </si>
  <si>
    <t>Grupo</t>
  </si>
  <si>
    <t>Padre e Hijo</t>
  </si>
  <si>
    <t>1105</t>
  </si>
  <si>
    <t>Caja</t>
  </si>
  <si>
    <t>Cuenta</t>
  </si>
  <si>
    <t>110505</t>
  </si>
  <si>
    <t>Subcuenta</t>
  </si>
  <si>
    <t>Auxiliar</t>
  </si>
  <si>
    <t>Hijo</t>
  </si>
  <si>
    <t>1110</t>
  </si>
  <si>
    <t>Bancos</t>
  </si>
  <si>
    <t>111010</t>
  </si>
  <si>
    <t>Bancos y Entidades Moneda Extranjera</t>
  </si>
  <si>
    <t>1120</t>
  </si>
  <si>
    <t>Cuentas de ahorro</t>
  </si>
  <si>
    <t>112005</t>
  </si>
  <si>
    <t>112010</t>
  </si>
  <si>
    <t>Bold</t>
  </si>
  <si>
    <t>12</t>
  </si>
  <si>
    <t>Inversiones en asociadas</t>
  </si>
  <si>
    <t>1295</t>
  </si>
  <si>
    <t>Acciones o derechos en clubes deportivos</t>
  </si>
  <si>
    <t>129595</t>
  </si>
  <si>
    <t>Otras inversiones</t>
  </si>
  <si>
    <t>13</t>
  </si>
  <si>
    <t>Deudores comerciales y otras cuentas por cobrar</t>
  </si>
  <si>
    <t>1305</t>
  </si>
  <si>
    <t>130505</t>
  </si>
  <si>
    <t>1330</t>
  </si>
  <si>
    <t>Anticipos y avances</t>
  </si>
  <si>
    <t>133005</t>
  </si>
  <si>
    <t>133015</t>
  </si>
  <si>
    <t>1355</t>
  </si>
  <si>
    <t>Anticipo de impuestos y contribuciones o</t>
  </si>
  <si>
    <t>135511</t>
  </si>
  <si>
    <t>135515</t>
  </si>
  <si>
    <t>Anticipo Retención en la fuente</t>
  </si>
  <si>
    <t>135517</t>
  </si>
  <si>
    <t>Impuesto a las ventas retenido</t>
  </si>
  <si>
    <t>135518</t>
  </si>
  <si>
    <t>Impuesto de industria y comercio retenido</t>
  </si>
  <si>
    <t>135575</t>
  </si>
  <si>
    <t>Autorretenciones</t>
  </si>
  <si>
    <t>1380</t>
  </si>
  <si>
    <t>Deudores varios</t>
  </si>
  <si>
    <t>138035</t>
  </si>
  <si>
    <t>138040</t>
  </si>
  <si>
    <t>14</t>
  </si>
  <si>
    <t>Inventarios</t>
  </si>
  <si>
    <t>1435</t>
  </si>
  <si>
    <t>Mercancías no fabricadas por la empresa</t>
  </si>
  <si>
    <t>143501</t>
  </si>
  <si>
    <t>Mercancías no fabricadas</t>
  </si>
  <si>
    <t>15</t>
  </si>
  <si>
    <t>Propiedad planta y equipo</t>
  </si>
  <si>
    <t>1528</t>
  </si>
  <si>
    <t>152805</t>
  </si>
  <si>
    <t>1592</t>
  </si>
  <si>
    <t>Depreciación acumulada</t>
  </si>
  <si>
    <t>159220</t>
  </si>
  <si>
    <t>2</t>
  </si>
  <si>
    <t>Pasivo</t>
  </si>
  <si>
    <t>23</t>
  </si>
  <si>
    <t>Acreedores comerciales y otras cuentas por pagar</t>
  </si>
  <si>
    <t>2335</t>
  </si>
  <si>
    <t>Costos y gastos por pagar</t>
  </si>
  <si>
    <t>233595</t>
  </si>
  <si>
    <t>2365</t>
  </si>
  <si>
    <t>Retenciones en la fuente</t>
  </si>
  <si>
    <t>236525</t>
  </si>
  <si>
    <t>236530</t>
  </si>
  <si>
    <t>Arrendamientos</t>
  </si>
  <si>
    <t>236540</t>
  </si>
  <si>
    <t>Retención por compras</t>
  </si>
  <si>
    <t>236570</t>
  </si>
  <si>
    <t>Otras retenciones</t>
  </si>
  <si>
    <t>236575</t>
  </si>
  <si>
    <t>2367</t>
  </si>
  <si>
    <t>236701</t>
  </si>
  <si>
    <t>2368</t>
  </si>
  <si>
    <t>236805</t>
  </si>
  <si>
    <t>Retención industria y comercio Ica</t>
  </si>
  <si>
    <t>2370</t>
  </si>
  <si>
    <t>Aportes a empresas promotoras de salud eps</t>
  </si>
  <si>
    <t>237005</t>
  </si>
  <si>
    <t>237006</t>
  </si>
  <si>
    <t>Aporte a administradoras de riesgos profesionales</t>
  </si>
  <si>
    <t>237010</t>
  </si>
  <si>
    <t>Aportes al icbf Sena y cajas de compensación</t>
  </si>
  <si>
    <t>2380</t>
  </si>
  <si>
    <t>Acreedores varios</t>
  </si>
  <si>
    <t>238030</t>
  </si>
  <si>
    <t>Fondos de cesantías y/o pensiones</t>
  </si>
  <si>
    <t>24</t>
  </si>
  <si>
    <t>Pasivos por impuestos</t>
  </si>
  <si>
    <t>2404</t>
  </si>
  <si>
    <t>De renta y complementarios corriente</t>
  </si>
  <si>
    <t>240405</t>
  </si>
  <si>
    <t>2408</t>
  </si>
  <si>
    <t>Impuesto sobre las ventas por pagar</t>
  </si>
  <si>
    <t>240806</t>
  </si>
  <si>
    <t>240810</t>
  </si>
  <si>
    <t>Iva descontable por compras</t>
  </si>
  <si>
    <t>240815</t>
  </si>
  <si>
    <t>240816</t>
  </si>
  <si>
    <t>240820</t>
  </si>
  <si>
    <t>Descontable por devoluciones</t>
  </si>
  <si>
    <t>240840</t>
  </si>
  <si>
    <t>2409</t>
  </si>
  <si>
    <t>Impuestos Por Pagar</t>
  </si>
  <si>
    <t>2412</t>
  </si>
  <si>
    <t>2495</t>
  </si>
  <si>
    <t>249501</t>
  </si>
  <si>
    <t>Impuesto al consumo nacional</t>
  </si>
  <si>
    <t>25</t>
  </si>
  <si>
    <t>Beneficios a empleados</t>
  </si>
  <si>
    <t>2505</t>
  </si>
  <si>
    <t>250505</t>
  </si>
  <si>
    <t>2510</t>
  </si>
  <si>
    <t>Pasivo estimado para obligaciones laborales</t>
  </si>
  <si>
    <t>251010</t>
  </si>
  <si>
    <t>25101001</t>
  </si>
  <si>
    <t>Subauxiliar</t>
  </si>
  <si>
    <t>25101002</t>
  </si>
  <si>
    <t>25101003</t>
  </si>
  <si>
    <t>28</t>
  </si>
  <si>
    <t>Pasivos no financieros</t>
  </si>
  <si>
    <t>2805</t>
  </si>
  <si>
    <t>Anticipos y avances recibidos</t>
  </si>
  <si>
    <t>280505</t>
  </si>
  <si>
    <t>3</t>
  </si>
  <si>
    <t>Patrimonio</t>
  </si>
  <si>
    <t>31</t>
  </si>
  <si>
    <t>Capital social</t>
  </si>
  <si>
    <t>3105</t>
  </si>
  <si>
    <t>Capital suscrito y pagado</t>
  </si>
  <si>
    <t>310505</t>
  </si>
  <si>
    <t>36</t>
  </si>
  <si>
    <t>Resultado del ejercicio</t>
  </si>
  <si>
    <t>3605</t>
  </si>
  <si>
    <t>37</t>
  </si>
  <si>
    <t>Resultados de ejercicios anteriores</t>
  </si>
  <si>
    <t>3705</t>
  </si>
  <si>
    <t>370505</t>
  </si>
  <si>
    <t>4</t>
  </si>
  <si>
    <t>Ingresos</t>
  </si>
  <si>
    <t>41</t>
  </si>
  <si>
    <t>Ingresos de actividades ordinarias</t>
  </si>
  <si>
    <t>4135</t>
  </si>
  <si>
    <t>Comercio al por mayor y al detal</t>
  </si>
  <si>
    <t>413501</t>
  </si>
  <si>
    <t>413502</t>
  </si>
  <si>
    <t>Comercio de Productos No Gravados con IVA</t>
  </si>
  <si>
    <t>4145</t>
  </si>
  <si>
    <t>Transporte, almacenamiento y comunicaciones</t>
  </si>
  <si>
    <t>414501</t>
  </si>
  <si>
    <t>4175</t>
  </si>
  <si>
    <t>417505</t>
  </si>
  <si>
    <t>Devolución</t>
  </si>
  <si>
    <t>42</t>
  </si>
  <si>
    <t>Otros ingresos de actividades ordinarias</t>
  </si>
  <si>
    <t>4210</t>
  </si>
  <si>
    <t>Financieros</t>
  </si>
  <si>
    <t>421005</t>
  </si>
  <si>
    <t>4295</t>
  </si>
  <si>
    <t>Diversos</t>
  </si>
  <si>
    <t>429581</t>
  </si>
  <si>
    <t>5</t>
  </si>
  <si>
    <t>Gasto</t>
  </si>
  <si>
    <t>51</t>
  </si>
  <si>
    <t>Administrativos</t>
  </si>
  <si>
    <t>5105</t>
  </si>
  <si>
    <t>Gastos de personal</t>
  </si>
  <si>
    <t>510506</t>
  </si>
  <si>
    <t>510527</t>
  </si>
  <si>
    <t>510530</t>
  </si>
  <si>
    <t>510533</t>
  </si>
  <si>
    <t>510536</t>
  </si>
  <si>
    <t>510539</t>
  </si>
  <si>
    <t>510568</t>
  </si>
  <si>
    <t>510569</t>
  </si>
  <si>
    <t>510570</t>
  </si>
  <si>
    <t>510572</t>
  </si>
  <si>
    <t>510595</t>
  </si>
  <si>
    <t>5110</t>
  </si>
  <si>
    <t>511030</t>
  </si>
  <si>
    <t>Asesoría Contable</t>
  </si>
  <si>
    <t>511035</t>
  </si>
  <si>
    <t>5120</t>
  </si>
  <si>
    <t>512010</t>
  </si>
  <si>
    <t>5135</t>
  </si>
  <si>
    <t>513515</t>
  </si>
  <si>
    <t>Servicios tecnicos</t>
  </si>
  <si>
    <t>513520</t>
  </si>
  <si>
    <t>513525</t>
  </si>
  <si>
    <t>Servicios Públicos</t>
  </si>
  <si>
    <t>513535</t>
  </si>
  <si>
    <t>Teléfono</t>
  </si>
  <si>
    <t>5140</t>
  </si>
  <si>
    <t>Gastos legales</t>
  </si>
  <si>
    <t>514010</t>
  </si>
  <si>
    <t>5145</t>
  </si>
  <si>
    <t>Mantenimiento y reparaciones</t>
  </si>
  <si>
    <t>514510</t>
  </si>
  <si>
    <t>Construcciones y edificaciones</t>
  </si>
  <si>
    <t>5195</t>
  </si>
  <si>
    <t>519525</t>
  </si>
  <si>
    <t>519530</t>
  </si>
  <si>
    <t>519560</t>
  </si>
  <si>
    <t>52</t>
  </si>
  <si>
    <t>5205</t>
  </si>
  <si>
    <t>520506</t>
  </si>
  <si>
    <t>520515</t>
  </si>
  <si>
    <t>520518</t>
  </si>
  <si>
    <t>520530</t>
  </si>
  <si>
    <t>520533</t>
  </si>
  <si>
    <t>520536</t>
  </si>
  <si>
    <t>520539</t>
  </si>
  <si>
    <t>520545</t>
  </si>
  <si>
    <t>Auxilios</t>
  </si>
  <si>
    <t>520568</t>
  </si>
  <si>
    <t>520570</t>
  </si>
  <si>
    <t>520572</t>
  </si>
  <si>
    <t>5220</t>
  </si>
  <si>
    <t>Arrendamientos y Alquileres</t>
  </si>
  <si>
    <t>522010</t>
  </si>
  <si>
    <t>5235</t>
  </si>
  <si>
    <t>523520</t>
  </si>
  <si>
    <t>523525</t>
  </si>
  <si>
    <t>523550</t>
  </si>
  <si>
    <t>523560</t>
  </si>
  <si>
    <t>Publicidad propaganda y promoción</t>
  </si>
  <si>
    <t>523570</t>
  </si>
  <si>
    <t>5295</t>
  </si>
  <si>
    <t>529505</t>
  </si>
  <si>
    <t>529510</t>
  </si>
  <si>
    <t>529515</t>
  </si>
  <si>
    <t>53</t>
  </si>
  <si>
    <t>Otros gastos de actividades ordinarias</t>
  </si>
  <si>
    <t>5305</t>
  </si>
  <si>
    <t>530505</t>
  </si>
  <si>
    <t>530515</t>
  </si>
  <si>
    <t>530520</t>
  </si>
  <si>
    <t>530535</t>
  </si>
  <si>
    <t>530550</t>
  </si>
  <si>
    <t>Gravamen Movto Fiananciero</t>
  </si>
  <si>
    <t>5315</t>
  </si>
  <si>
    <t>Gastos extraordinarios</t>
  </si>
  <si>
    <t>531525</t>
  </si>
  <si>
    <t>5395</t>
  </si>
  <si>
    <t>Gastos diversos</t>
  </si>
  <si>
    <t>539581</t>
  </si>
  <si>
    <t>6</t>
  </si>
  <si>
    <t>Costos de venta</t>
  </si>
  <si>
    <t>61</t>
  </si>
  <si>
    <t>Costo de ventas y de prestación de servicios</t>
  </si>
  <si>
    <t>6135</t>
  </si>
  <si>
    <t>Comercio al por mayor y al por menor</t>
  </si>
  <si>
    <t>613505</t>
  </si>
  <si>
    <t>613506</t>
  </si>
  <si>
    <t>Chart Of Account (PUC) Api</t>
  </si>
  <si>
    <t>Categoria</t>
  </si>
  <si>
    <t>Fixed</t>
  </si>
  <si>
    <t>category</t>
  </si>
  <si>
    <t>Tarjetón Doble en mi tejado - marco</t>
  </si>
  <si>
    <t>Tarjetón + Tarjetón doble BLOOM</t>
  </si>
  <si>
    <t>Tarjetón Doble BLOOM</t>
  </si>
  <si>
    <t>Tarjeta Personal BLOOM</t>
  </si>
  <si>
    <t>INVITACION DIGITAL BRANCHES TAUPE</t>
  </si>
  <si>
    <t>Caja Mediana Doble ARAMACAO</t>
  </si>
  <si>
    <t>Tarjetón Doble Amazonas (listos para llevar) (RP)</t>
  </si>
  <si>
    <t>Tarjeta Personal Bee Marco con sobre</t>
  </si>
  <si>
    <t>Tarjeta Personal Blanco con sobre 2</t>
  </si>
  <si>
    <t>Caja Mediana Geco kids</t>
  </si>
  <si>
    <t>Puestos de mesa Hiedra</t>
  </si>
  <si>
    <t>TARJETÓN Tinta Mano: por may carter</t>
  </si>
  <si>
    <t>TARJETÓN Tinta corazon: por may carter</t>
  </si>
  <si>
    <t>Puestos de mesa Primavera</t>
  </si>
  <si>
    <t>Tarjeta Personal Amazul con sobre (Hor)</t>
  </si>
  <si>
    <t>Cuaderno Aviario Listo para llevar (RP)</t>
  </si>
  <si>
    <t>Caja Pequeña Mush</t>
  </si>
  <si>
    <t>Cliente primera vez</t>
  </si>
  <si>
    <t>Tarjeta Personal Aviario Cafe con sobre</t>
  </si>
  <si>
    <t>Caja Mediana BLOOM</t>
  </si>
  <si>
    <t>Mousse de Chocolate Sweet Silvana</t>
  </si>
  <si>
    <t>Bolsita celebraciones</t>
  </si>
  <si>
    <t>Tarjetón Doble Jaguar Colores</t>
  </si>
  <si>
    <t>Tarjetón + Tarjetón doble marco</t>
  </si>
  <si>
    <t>Target &lt; 3-5</t>
  </si>
  <si>
    <t>Costos fijos totales</t>
  </si>
  <si>
    <t>Etiqueta Costo de ventas contable</t>
  </si>
  <si>
    <t>Costo de ventas calc</t>
  </si>
  <si>
    <t>Costo de ventas calculado</t>
  </si>
  <si>
    <t>Feria</t>
  </si>
  <si>
    <t>Envío pos</t>
  </si>
  <si>
    <t>23670110</t>
  </si>
  <si>
    <t>Devolución Impuesto a la Ventas Retenido 100% no residentes</t>
  </si>
  <si>
    <t>24081602</t>
  </si>
  <si>
    <t>Devolución Iva descontable retenido por servicios</t>
  </si>
  <si>
    <t>FREEPK</t>
  </si>
  <si>
    <t>CLAUDE.AI</t>
  </si>
  <si>
    <t>Contribución $</t>
  </si>
  <si>
    <t>Contribución %</t>
  </si>
  <si>
    <t>Breakeven</t>
  </si>
  <si>
    <t>ROAS Breakeven</t>
  </si>
  <si>
    <t>BE-ROAS</t>
  </si>
  <si>
    <t>Tienda 69</t>
  </si>
  <si>
    <t>Caja Mediana ARAMACAO</t>
  </si>
  <si>
    <t>Notas dobles con sobre LOTO</t>
  </si>
  <si>
    <t>Notas de campo pequeña Toscana</t>
  </si>
  <si>
    <t>Caja Grande Luxe FLORARIO VERDE (80 Tarjetas)</t>
  </si>
  <si>
    <t>Tarjetón Rosado</t>
  </si>
  <si>
    <t>Caja Mediana Rosado</t>
  </si>
  <si>
    <t>Caja Mediana Bijao</t>
  </si>
  <si>
    <t>Tarjetón Golden Roses</t>
  </si>
  <si>
    <t>TARJETÓN GECO</t>
  </si>
  <si>
    <t>Sobres efectivo Toscana: Lluvia de sobres</t>
  </si>
  <si>
    <t>Notas de campo grande Amazonas</t>
  </si>
  <si>
    <t>Notas de campo pequeña Aviario</t>
  </si>
  <si>
    <t>Tarjeta Personal Florario menta con sobre</t>
  </si>
  <si>
    <t>Tarjeta Personal Florario Azul con sobre</t>
  </si>
  <si>
    <t>Puestos de mesa- Nido (Listo para llevar)</t>
  </si>
  <si>
    <t>Caja pequeña Florario Verde</t>
  </si>
  <si>
    <t>Caja flex XL Mush</t>
  </si>
  <si>
    <t>Caja Mediana Doble Palma</t>
  </si>
  <si>
    <t>Tarjetón Doble Rosado</t>
  </si>
  <si>
    <t>Caja pequeña Love colores</t>
  </si>
  <si>
    <t>Pack tarjetón doble + sencillo ARAMACAO (listos para llevar)</t>
  </si>
  <si>
    <t>TARJETÓN JAGUAR</t>
  </si>
  <si>
    <t>REGISTROS / FOLIOS EUCALIPTO MIX</t>
  </si>
  <si>
    <t>Tarjeta Personal Flores Margarita</t>
  </si>
  <si>
    <t>Sobres efectivo NAVIDAD: Lluvia de sobres (Listos para llevar)</t>
  </si>
  <si>
    <t>Fx</t>
  </si>
  <si>
    <t>LÁMINA NIDO ORQUIDEA</t>
  </si>
  <si>
    <t>Notas dobles con sobre- Nido (Listo para llevar)</t>
  </si>
  <si>
    <t>Puestos de mesa- Orquidea- aramacao (Listo para llevar)</t>
  </si>
  <si>
    <t>Notas de campo grande Toscana</t>
  </si>
  <si>
    <t>Caja Mediana Clasico Fonts</t>
  </si>
  <si>
    <t>Tarjetón en caja-FLORES DE COLOMBIA ARAMACAO (Listas para llevar)</t>
  </si>
  <si>
    <t>Notas dobles con sobre- ARAMACAO (Listo para llevar)</t>
  </si>
  <si>
    <t>Notas de campo grande Mush &amp; Friends</t>
  </si>
  <si>
    <t>Notas de campo pequeña Mush &amp; Friends</t>
  </si>
  <si>
    <t>Tarjetón La Veranera "La Mamma"</t>
  </si>
  <si>
    <t>Caja Mediana Doble Selva</t>
  </si>
  <si>
    <t>Notas de campo pequeña Nido</t>
  </si>
  <si>
    <t>Caja Grande Flex Nido</t>
  </si>
  <si>
    <t>Caja Grande Flex Florario Pink</t>
  </si>
  <si>
    <t>Caja flex XL Aviario</t>
  </si>
  <si>
    <t>REGISTROS / FOLIOS PAMPA CON LACRE</t>
  </si>
  <si>
    <t>Caja Mediana MACONDO</t>
  </si>
  <si>
    <t>Tarjeta Personal Mush Couple</t>
  </si>
  <si>
    <t>Tarjeta Personal Mush (H)</t>
  </si>
  <si>
    <t>Tarjetones XL Protea (Listas para llevar)</t>
  </si>
  <si>
    <t>MENU IRIS</t>
  </si>
  <si>
    <t>Tarjetón Doble Florario Verde</t>
  </si>
  <si>
    <t>Cuaderno Personalizado</t>
  </si>
  <si>
    <t>MENU PRINCIPITO</t>
  </si>
  <si>
    <t>Puestos de mesa Principito</t>
  </si>
  <si>
    <t>CAJA PEQUEÑA ELEFANTE</t>
  </si>
  <si>
    <t>Tarjeta Personal Rosa de Jardin con sobre</t>
  </si>
  <si>
    <t>Tarjeta Personal Golden Roses con sobre</t>
  </si>
  <si>
    <t>Tarjetón Doble Bouquet</t>
  </si>
  <si>
    <t>TARJETA PERSONAL BAILARINA x1</t>
  </si>
  <si>
    <t>Caja dura pequeña (especial para regalar)</t>
  </si>
  <si>
    <t>Caja pequeña Clásico</t>
  </si>
  <si>
    <t>Caja pequeña Morado</t>
  </si>
  <si>
    <t>Tarjeta Personal con sobre Toscana Florero</t>
  </si>
  <si>
    <t>Registros / Folios Colibri</t>
  </si>
  <si>
    <t>Tarjeton sencillo x10 + Notas Dobles x10</t>
  </si>
  <si>
    <t>Invitación Digital MT</t>
  </si>
  <si>
    <t>XL vol-forro</t>
  </si>
  <si>
    <t>Registros / Folios Principito con Lacre</t>
  </si>
  <si>
    <t>INVITACION DIGITAL ORIGAMI</t>
  </si>
  <si>
    <t>CAJA PEQUEÑA UNICORNIO</t>
  </si>
  <si>
    <t>INVITACION DIGITAL CADIZ</t>
  </si>
  <si>
    <t>Poster</t>
  </si>
  <si>
    <t>REGISTROS / FOLIOS GRISES CON LACRE</t>
  </si>
  <si>
    <t>Tarjetón Doble Nido (listos para llevar)</t>
  </si>
  <si>
    <t>Pack Escritorio Grande Toscana</t>
  </si>
  <si>
    <t>Registros / Folios Cadiz con Lacre</t>
  </si>
  <si>
    <t>Tarjetones XL Aramacao (Listas para llevar)</t>
  </si>
  <si>
    <t>Caja pequeña Bijao</t>
  </si>
  <si>
    <t>TARJETÓN NIDO</t>
  </si>
  <si>
    <t>Caja Mediana Florario Azul</t>
  </si>
  <si>
    <t>Caja Grande Flex Rosa</t>
  </si>
  <si>
    <t>Caja de Fosforos HOJA VERDE</t>
  </si>
  <si>
    <t>Tarjeta Personal PLAYA MONO</t>
  </si>
  <si>
    <t>Notas dobles con sobre Piña</t>
  </si>
  <si>
    <t>Tarjeta Personal Toscana con sobre</t>
  </si>
  <si>
    <t>Tarjetón con sobre AMS</t>
  </si>
  <si>
    <t>Pack Escritorio Grande Protea</t>
  </si>
  <si>
    <t>Stickers/ tags Grises</t>
  </si>
  <si>
    <t>Pack tarjetón doble + sencillo Nido (listos para llevar)</t>
  </si>
  <si>
    <t>Invitaciones Matrimonio Cadiz</t>
  </si>
  <si>
    <t>Pack Servilletas</t>
  </si>
  <si>
    <t>Vela La Mamma</t>
  </si>
  <si>
    <t>Tarjetón Doble FLORES DE COLOMBIA-ARAMACAO (listos para llevar)</t>
  </si>
  <si>
    <t>TARJETÓN MUSH COUPLE</t>
  </si>
  <si>
    <t>Puestos de mesa grises</t>
  </si>
  <si>
    <t>XL x4(vol)</t>
  </si>
  <si>
    <t>MENU ORIGAMI AZUL</t>
  </si>
  <si>
    <t>Sobres efectivo Bouquet: Lluvia de sobres (Listos para llevar)</t>
  </si>
  <si>
    <t>Caja Grande Flex Clásica</t>
  </si>
  <si>
    <t>Tarjeta Presentacion Personal (VOL 20 unid.)</t>
  </si>
  <si>
    <t>Tarjetones XL Mush (Listas para llevar)</t>
  </si>
  <si>
    <t>CAJA PEQUEÑA BOSQUE</t>
  </si>
  <si>
    <t>Caja Mediana Mush</t>
  </si>
  <si>
    <t>CAJA PEQUEÑA DOODLES</t>
  </si>
  <si>
    <t>Soporte Iris</t>
  </si>
  <si>
    <t>Puestos de mesa Eucalipto MIX</t>
  </si>
  <si>
    <t>TARJETON XL JAGUAR COLORES</t>
  </si>
  <si>
    <t>Tarjeta Personal Mundo Arcoíris</t>
  </si>
  <si>
    <t>Block de Notas Jaguar Negro</t>
  </si>
  <si>
    <t>Notas de campo grande Nido</t>
  </si>
  <si>
    <t>Oportunidad</t>
  </si>
  <si>
    <t>Tarjetón + Tarjetón doble love colores</t>
  </si>
  <si>
    <t>Caja Mediana Blanco</t>
  </si>
  <si>
    <t>Tarjetón Doble Verde</t>
  </si>
  <si>
    <t>TARJETON XL nido</t>
  </si>
  <si>
    <t>TARJETON XL PROTEA</t>
  </si>
  <si>
    <t>Puestos de mesa Mt</t>
  </si>
  <si>
    <t>Caja Mediana Doble Orinoco</t>
  </si>
  <si>
    <t>Caja pequeña Florario Pink</t>
  </si>
  <si>
    <t>Tarjeta Personal Aviario Verde</t>
  </si>
  <si>
    <t>Tarjetón FLORARIO PINK</t>
  </si>
  <si>
    <t>DETALLES GRANDE MT vol</t>
  </si>
  <si>
    <t>Tarjetón Doble Protea</t>
  </si>
  <si>
    <t>Tarjetón + Tarjetón doble Jaguar Colores</t>
  </si>
  <si>
    <t>Tarjeta Personal Mush couple con sobre</t>
  </si>
  <si>
    <t>Tarjeta Personal Rosado con sobre</t>
  </si>
  <si>
    <t>Tarjeta Personal Amazul con sobre (Vert)</t>
  </si>
  <si>
    <t>Tarjeta Personal Morado con sobre</t>
  </si>
  <si>
    <t>Tarjeta Personal Nido con sobre</t>
  </si>
  <si>
    <t>PUESTOS DE MESA Golden Roses</t>
  </si>
  <si>
    <t>Pack Escritorio Grande Mush</t>
  </si>
  <si>
    <t>Tarjeta Personal Amazul (Hor)</t>
  </si>
  <si>
    <t>Tarjetón Piña</t>
  </si>
  <si>
    <t>INVITACION DIGITAL ROSA INGLESA</t>
  </si>
  <si>
    <t>Tarjetón Toscana</t>
  </si>
  <si>
    <t>INVITACION DIGITAL BOUQUET SILVESTRE</t>
  </si>
  <si>
    <t>Invitación MT x10 (volumen)</t>
  </si>
  <si>
    <t>Pack tarjetón sencillo + notas dobles Orquídeas (listos para llevar)</t>
  </si>
  <si>
    <t>CAJA PEQUEÑA CARROS</t>
  </si>
  <si>
    <t>TARJETA PERSONAL MUSH KIDS</t>
  </si>
  <si>
    <t>Tarjetón + Tarjetón doble Rosado</t>
  </si>
  <si>
    <t>Frasco Clear</t>
  </si>
  <si>
    <t>Tarjetas Merry X-MAS</t>
  </si>
  <si>
    <t>TARJETÓN LEOPARDA</t>
  </si>
  <si>
    <t>Cuaderno clásico ocre</t>
  </si>
  <si>
    <t>Tarjeta Personal Flores Tulipan</t>
  </si>
  <si>
    <t>Fee de Diseño</t>
  </si>
  <si>
    <t>Caja Mediana Loto</t>
  </si>
  <si>
    <t>INVITACION DIGITAL BEE</t>
  </si>
  <si>
    <t>MENU BEE</t>
  </si>
  <si>
    <t>Puestos de mesa Ramita Azul</t>
  </si>
  <si>
    <t>Soporte BOUQUET SILVESTRE</t>
  </si>
  <si>
    <t>Tarjetón Doble Mush</t>
  </si>
  <si>
    <t>Pack tarjetón sencillo + notas dobles Granada (listos para llevar)</t>
  </si>
  <si>
    <t>Notas dobles con sobre tucan</t>
  </si>
  <si>
    <t>Caja Mediana Doble Amazonas</t>
  </si>
  <si>
    <t>Caja Mediana Love colores</t>
  </si>
  <si>
    <t>Tarjetón + Tarjetón doble ARAMACAO</t>
  </si>
  <si>
    <t>Tarjetón Doble BEE</t>
  </si>
  <si>
    <t>Notas dobles con sobre GRANADA (listos para llevar)</t>
  </si>
  <si>
    <t>LÁMINA Decorativa</t>
  </si>
  <si>
    <t>CAJA PADRINOS</t>
  </si>
  <si>
    <t>Caja pequeña Clásico Fonts</t>
  </si>
  <si>
    <t>Pack tarjetón doble + sencillo Granada (listos para llevar)</t>
  </si>
  <si>
    <t>Cuaderno Pulpo Listo para llevar</t>
  </si>
  <si>
    <t>Puestos de mesa- Granada (listos para llevar)</t>
  </si>
  <si>
    <t>Tarjeta Personal Morado</t>
  </si>
  <si>
    <t>Caja Mediana Doble Mush</t>
  </si>
  <si>
    <t>Caja Mediana Doble Jaguar Colores</t>
  </si>
  <si>
    <t>Caja Grande Flex Kids Elefante</t>
  </si>
  <si>
    <t>Mini arreglo hortensia preservada x12</t>
  </si>
  <si>
    <t>Sobres efectivo Blue: Lluvia de sobres</t>
  </si>
  <si>
    <t>Tarjeta Personal  PLAYA x3 con sobre</t>
  </si>
  <si>
    <t>Invitaciones Matrimonio Iris</t>
  </si>
  <si>
    <t>Caja Grande Flex Amazonas</t>
  </si>
  <si>
    <t>Tarjeta Personal Nido Cacatua con sobre</t>
  </si>
  <si>
    <t>Tarjeta Personal Tucan Kids</t>
  </si>
  <si>
    <t>Caja Mediana Granada</t>
  </si>
  <si>
    <t>Tarjetón FLORARIO AZUL</t>
  </si>
  <si>
    <t>Caja pequeña Palma</t>
  </si>
  <si>
    <t>Tarjetón + Tarjetón doble BEE MARCO</t>
  </si>
  <si>
    <t>Hongos tela</t>
  </si>
  <si>
    <t>Sobres efectivo Bouquet: Lluvia de sobres</t>
  </si>
  <si>
    <t>Jabón líquido restaurador OLT 1911</t>
  </si>
  <si>
    <t>Tarjetón + Tarjetón doble Florario Azul</t>
  </si>
  <si>
    <t>Tarjetón + Tarjetón doble CACATUA</t>
  </si>
  <si>
    <t>Jabón Liquido Restaurador- Macarena</t>
  </si>
  <si>
    <t>Jabón Liquido Restaurador- Casimba 1949</t>
  </si>
  <si>
    <t>Caja Grande Flex Selva</t>
  </si>
  <si>
    <t>Caja pequeña Amazul 1</t>
  </si>
  <si>
    <t>Tarjetón Doble Florario Azul</t>
  </si>
  <si>
    <t>Tote Bag de Lona con Diseño Pulpo</t>
  </si>
  <si>
    <t>Notas dobles con sobre Verde</t>
  </si>
  <si>
    <t>MENÚ TOSCANA</t>
  </si>
  <si>
    <t>Tarjetón + Tarjetón doble Toscana</t>
  </si>
  <si>
    <t>Libros $33.000</t>
  </si>
  <si>
    <t>Libros $15.000</t>
  </si>
  <si>
    <t>Tarjeta Personal Geco</t>
  </si>
  <si>
    <t>TARJETON XL Florario Azul</t>
  </si>
  <si>
    <t>Tarjetón + Tarjetón doble Protea</t>
  </si>
  <si>
    <t>Libros $129.000</t>
  </si>
  <si>
    <t>Tarjetón Doble CACATUA</t>
  </si>
  <si>
    <t>Crema Calmante Corporal - Macarena</t>
  </si>
  <si>
    <t>PUESTOS DE MESA TOSCANA</t>
  </si>
  <si>
    <t>Soporte Eucalipto MIX</t>
  </si>
  <si>
    <t>Tarjetón Doble Golden Roses</t>
  </si>
  <si>
    <t>Caja Grande Flex Florario Azul</t>
  </si>
  <si>
    <t>INVITACION DIGITAL GRISES</t>
  </si>
  <si>
    <t>Crema Calmante Corporal - Rosa Mistica</t>
  </si>
  <si>
    <t>Jabón líquido restaurador Rosa Mística</t>
  </si>
  <si>
    <t>Tarjetón Doble Granada (listos para llevar)</t>
  </si>
  <si>
    <t>Tarjetón BEE</t>
  </si>
  <si>
    <t>Tarjetón Doble Culebra</t>
  </si>
  <si>
    <t>Puestos de mesa Branches Azul</t>
  </si>
  <si>
    <t>Libros $409.000</t>
  </si>
  <si>
    <t>Tarjeta Personal Granada vertical</t>
  </si>
  <si>
    <t>Notas dobles con sobre Florario PINK</t>
  </si>
  <si>
    <t>Frasco vidrio x2</t>
  </si>
  <si>
    <t>Frasco ambar x2</t>
  </si>
  <si>
    <t>Libros $69.000</t>
  </si>
  <si>
    <t>Stickers MT</t>
  </si>
  <si>
    <t>Soporte Acuarela</t>
  </si>
  <si>
    <t>Reimpresion</t>
  </si>
  <si>
    <t>Puestos de mesa Bee</t>
  </si>
  <si>
    <t>Libros $85.000</t>
  </si>
  <si>
    <t>INVITACIONES BOSQUE</t>
  </si>
  <si>
    <t>Cartuchera de Lona con Diseño Granada</t>
  </si>
  <si>
    <t>MENU GRISES</t>
  </si>
  <si>
    <t>Tarjetón Doble Mush (Hor)</t>
  </si>
  <si>
    <t>REGISTROS / FOLIOS RAMITA VERDE CON LACRE</t>
  </si>
  <si>
    <t>Invitación digital comuniones</t>
  </si>
  <si>
    <t>Cartuchera de Lona con Diseño Gatos</t>
  </si>
  <si>
    <t>Pack Escritorio Grande Loto</t>
  </si>
  <si>
    <t>INVITACIONES IRIS</t>
  </si>
  <si>
    <t>Poster 30x40</t>
  </si>
  <si>
    <t>Stickers/ tags Bosque</t>
  </si>
  <si>
    <t>Tarjetón en caja-Gatos (Listas para llevar)</t>
  </si>
  <si>
    <t>TARJETA PERSONAL KYOTO</t>
  </si>
  <si>
    <t>Registros / Folios Branches Rosado con Lacre</t>
  </si>
  <si>
    <t>Pack tarjetón sencillo + notas dobles Gatos (listos para llevar)</t>
  </si>
  <si>
    <t>Washi Tape</t>
  </si>
  <si>
    <t>MENU AVIARIO</t>
  </si>
  <si>
    <t>Sachet Lavanda x 12</t>
  </si>
  <si>
    <t>Caja flex XL Selva</t>
  </si>
  <si>
    <t>Tarjetón Doble Holly X-MAS</t>
  </si>
  <si>
    <t>Tarjetón Doble ARAMACAO</t>
  </si>
  <si>
    <t>Capitan Botella</t>
  </si>
  <si>
    <t>TARJETON XL MUSH</t>
  </si>
  <si>
    <t>TARJETON XL LOTO</t>
  </si>
  <si>
    <t>Libros $96.000</t>
  </si>
  <si>
    <t>Tarjetón + Tarjetón doble Macondo</t>
  </si>
  <si>
    <t>Cuaderno Granada Listo para llevar</t>
  </si>
  <si>
    <t>Mini Cuadro BOUQUET SILVESTRE</t>
  </si>
  <si>
    <t>Tarjetón + Tarjetón doble BEE</t>
  </si>
  <si>
    <t>Caja Mediana Gatos</t>
  </si>
  <si>
    <t>Tríptico En mi tejado</t>
  </si>
  <si>
    <t>Sello Seco Monograma</t>
  </si>
  <si>
    <t>Registros / Folios Bailadoras con Lacre</t>
  </si>
  <si>
    <t>Caja pequeña BEE MARCO</t>
  </si>
  <si>
    <t>MENU ACUARELA ROSADA</t>
  </si>
  <si>
    <t>Caja flex XL Cacatua</t>
  </si>
  <si>
    <t>numeros de mesa COLIBRI</t>
  </si>
  <si>
    <t>Caja flex XL CAMELIA</t>
  </si>
  <si>
    <t>REGISTROS / FOLIOS RAMITA DORADA CON LACRE</t>
  </si>
  <si>
    <t>Tarjeta Personal Rosa (hor)</t>
  </si>
  <si>
    <t>Caja Grande Flex MACONDO</t>
  </si>
  <si>
    <t>TARJETON XL PALMA</t>
  </si>
  <si>
    <t>Caja Grande Flex COLIBRI</t>
  </si>
  <si>
    <t>Envío nacional pos</t>
  </si>
  <si>
    <t>Pack tarjetón sencillo + notas dobles Pulpo (listos para llevar)</t>
  </si>
  <si>
    <t>Tarjetón + Tarjetón doble Selva</t>
  </si>
  <si>
    <t>Caja Grande Flex BEE FLORES</t>
  </si>
  <si>
    <t>Caja pequeña - caligrafía Marianna Rezk</t>
  </si>
  <si>
    <t>Puestos de mesa- Gatos (Listo para llevar)</t>
  </si>
  <si>
    <t>Chocolates travels Colombia</t>
  </si>
  <si>
    <t>Tarjetón Bee Marco</t>
  </si>
  <si>
    <t>Caja Mediana Doble Florario Azul</t>
  </si>
  <si>
    <t>Chocolates Honeycomb Bites</t>
  </si>
  <si>
    <t>Tarjetón doble Piña</t>
  </si>
  <si>
    <t>Caja Grande Luxe Amazonas (80 Tarjetas)</t>
  </si>
  <si>
    <t>Chocolates White Pistacho</t>
  </si>
  <si>
    <t>INVITACIONES PRINCIPITO</t>
  </si>
  <si>
    <t>Caja Grande Flex Bouquet</t>
  </si>
  <si>
    <t>TARJETÓN MUSH</t>
  </si>
  <si>
    <t>Caja Mediana Doble Toscana Florero</t>
  </si>
  <si>
    <t>Registros / Folios Branches Azul</t>
  </si>
  <si>
    <t>TARJETON XL dulce-MAS</t>
  </si>
  <si>
    <t>Tarjetón Doble Morado</t>
  </si>
  <si>
    <t>CAJA PEQUEÑA LEOPARDA</t>
  </si>
  <si>
    <t>LÁMINA AVIARIO</t>
  </si>
  <si>
    <t>Caja Fosforos mini</t>
  </si>
  <si>
    <t>Tarjetón Doble Leopardo (Casa AZARA)</t>
  </si>
  <si>
    <t>Invitaciones Matrimonio Blanco</t>
  </si>
  <si>
    <t>Tarjeton doble Navidad Aviario (listo para llevar)</t>
  </si>
  <si>
    <t>Tarjetas SANTA X-MAS</t>
  </si>
  <si>
    <t>CAJA PEQUEÑA MUSH</t>
  </si>
  <si>
    <t>Tarjetas Corona Gingerbread White</t>
  </si>
  <si>
    <t>Tarjetas Jardín X-MAS</t>
  </si>
  <si>
    <t>Tarjetas Corona Gingerbread Red</t>
  </si>
  <si>
    <t>Tarjetas Esquiadores (Casa AZARA)</t>
  </si>
  <si>
    <t>Tarjetas Kraft X-MAS</t>
  </si>
  <si>
    <t>Tarjetas GINGERBREAD</t>
  </si>
  <si>
    <t>Tarjetas Dulce X-MAS</t>
  </si>
  <si>
    <t>Tarjetas SWEATHERS X-MAS</t>
  </si>
  <si>
    <t>Tarjetas Corona X-MAS</t>
  </si>
  <si>
    <t>Tarjetas Trineo (Casa AZARA)</t>
  </si>
  <si>
    <t>Tarjetón GINGERBREAD</t>
  </si>
  <si>
    <t>Crema Calmante Corporal - OLT 1911</t>
  </si>
  <si>
    <t>Caja Grande Flex Piña</t>
  </si>
  <si>
    <t>Chocolates Love you pack</t>
  </si>
  <si>
    <t>Tarjetas SNOW GLOBE X-MAS</t>
  </si>
  <si>
    <t>Caja Grande Luxe Protea</t>
  </si>
  <si>
    <t>Caja Pequeña Gingerbread</t>
  </si>
  <si>
    <t>Libros $159,000</t>
  </si>
  <si>
    <t>Block de Notas Tucan</t>
  </si>
  <si>
    <t>Caja Mediana CAMELIA</t>
  </si>
  <si>
    <t>Caja pequeña Nido</t>
  </si>
  <si>
    <t>TARJETON XL Esquiadores</t>
  </si>
  <si>
    <t>Regalo para Invitados Cadiz (x10)</t>
  </si>
  <si>
    <t>Tarjetón Esquiadores (Casa AZARA)</t>
  </si>
  <si>
    <t>Tarjeton doble Navidad Cardenal (listo para llevar)</t>
  </si>
  <si>
    <t>Tarjetón Doble - caligrafía Marianna Rezk</t>
  </si>
  <si>
    <t>Tarjeton doble Navidad Arbol (listo para llevar)</t>
  </si>
  <si>
    <t>TARJETÓN BOSQUE</t>
  </si>
  <si>
    <t>Tarjeton doble Navidad Kraft (listo para llevar)</t>
  </si>
  <si>
    <t>Tarjetón Corona X-mas</t>
  </si>
  <si>
    <t>Sobres efectivo Granada: Lluvia de sobres (LPL)</t>
  </si>
  <si>
    <t>Caja Pequeña Flores X-MAS</t>
  </si>
  <si>
    <t>Caja Pequeña Espiga X-MAS</t>
  </si>
  <si>
    <t>TARJETON XL TRINEO (Casa AZARA)</t>
  </si>
  <si>
    <t>Sobres efectivo Navidad: Dulce</t>
  </si>
  <si>
    <t>Caja flex XL Amazonas</t>
  </si>
  <si>
    <t>Caja Mediana Morado</t>
  </si>
  <si>
    <t>Sobres efectivo Navidad: Corona</t>
  </si>
  <si>
    <t>Sobres efectivo Navidad: Holly</t>
  </si>
  <si>
    <t>LÁMINA Gato Rosa</t>
  </si>
  <si>
    <t>Impresion CARTA</t>
  </si>
  <si>
    <t>Caja Pequeña Corona X-MAS</t>
  </si>
  <si>
    <t>Sobres efectivo Navidad: Esquiadores</t>
  </si>
  <si>
    <t>Tarjetón Dulce X-mas</t>
  </si>
  <si>
    <t>Tarjetón Jardin X-mas</t>
  </si>
  <si>
    <t>Tarjetón Doble Corona X-MAS</t>
  </si>
  <si>
    <t>Tarjetas Nube X-MAS</t>
  </si>
  <si>
    <t>Caja Mediana Doble Rosa</t>
  </si>
  <si>
    <t>Stickers/ tags Ramita</t>
  </si>
  <si>
    <t>Notas dobles con sobre - caligrafía Marianna Rezk</t>
  </si>
  <si>
    <t>Tarjetas Happy X-MAS</t>
  </si>
  <si>
    <t>Caja Pequeña Casa (Casa AZARA)</t>
  </si>
  <si>
    <t>Sobres efectivo Navidad: BOTANIC BIRD</t>
  </si>
  <si>
    <t>Tarjetas Holly X-MAS</t>
  </si>
  <si>
    <t>Lamina XL Toscana Limon</t>
  </si>
  <si>
    <t>Caja Pequeña Cardenal X-MAS</t>
  </si>
  <si>
    <t>Caja Grande Flex Morado</t>
  </si>
  <si>
    <t>Caja Grande Flex Granada</t>
  </si>
  <si>
    <t>Tarjetón en caja-Dulce Navidad (Listas para llevar)</t>
  </si>
  <si>
    <t>Tarjeta Personal Pulpo con sobre (h)</t>
  </si>
  <si>
    <t>Sobres efectivo Navidad: Nube</t>
  </si>
  <si>
    <t>Tarjetón en caja-TRineo (Listas para llevar)</t>
  </si>
  <si>
    <t>Tarjetón Cardenal X-mas</t>
  </si>
  <si>
    <t>Tarjeta Personal Mush (V) con sobre</t>
  </si>
  <si>
    <t>Tarjetas Casa (Casa AZARA)</t>
  </si>
  <si>
    <t>De/para Tropi x-mas (Listas para llevar)</t>
  </si>
  <si>
    <t>Tarjeta Personal Piña (H)</t>
  </si>
  <si>
    <t>Tarjeta Personal Culebra</t>
  </si>
  <si>
    <t>Tarjeta Personal Amazul (Vert)</t>
  </si>
  <si>
    <t>De/para dulce x-MAS (Listas para llevar)</t>
  </si>
  <si>
    <t>Caja Pequeña SANTA X-MAS</t>
  </si>
  <si>
    <t>Tarjetón Doble Blanco</t>
  </si>
  <si>
    <t>Caja pequeña Blanco 2</t>
  </si>
  <si>
    <t>PUESTOS DE MESA DULCE X-MAS</t>
  </si>
  <si>
    <t>De/para Sweathers (Listas para llevar)</t>
  </si>
  <si>
    <t>Caja pequeña Golden Rose</t>
  </si>
  <si>
    <t>De/para Cardenal (Listas para llevar)</t>
  </si>
  <si>
    <t>Caja Pequeña Trineo (Casa AZARA)</t>
  </si>
  <si>
    <t>Caja Mediana Doble Florario Verde</t>
  </si>
  <si>
    <t>Tarjetón Doble Palma</t>
  </si>
  <si>
    <t>De/para Gingerbread (Listas para llevar)</t>
  </si>
  <si>
    <t>CAJA PEQUEÑA CULEBRA</t>
  </si>
  <si>
    <t>Caja Pequeña Jardin X-MAS (Listo para llevar)</t>
  </si>
  <si>
    <t>Tarjetón Trineo (Casa AZARA)</t>
  </si>
  <si>
    <t>Tarjetón + Tarjetón doble Blanco</t>
  </si>
  <si>
    <t>TARJETON XL BEE</t>
  </si>
  <si>
    <t>Blocks Mush (listos para llevar)</t>
  </si>
  <si>
    <t>Tarjetón en caja-Gingerbread (Listas para llevar)</t>
  </si>
  <si>
    <t>MENÚ CORONA</t>
  </si>
  <si>
    <t>PUESTOS DE MESA CORONA X-MAS</t>
  </si>
  <si>
    <t>Tarjeta Personal Pulpo (V)</t>
  </si>
  <si>
    <t>Tarjeta Personal Florario Green con sobre</t>
  </si>
  <si>
    <t>Caja Pequeña Gingerbread (Listo para llevar)</t>
  </si>
  <si>
    <t>De/para  Trineo (Listas para llevar)</t>
  </si>
  <si>
    <t>Tarjeta Personal Geco con sobre</t>
  </si>
  <si>
    <t>Caja Grande Luxe Toscana (80 Tarjetas)</t>
  </si>
  <si>
    <t>Tarjetón Carro (Casa AZARA)</t>
  </si>
  <si>
    <t>Blocks Protea (listos para llevar)</t>
  </si>
  <si>
    <t>Tarjetas Tropi X-MAS</t>
  </si>
  <si>
    <t>Tarjetón Doble Trineo (Casa AZARA)</t>
  </si>
  <si>
    <t>Caja Mediana Ballet</t>
  </si>
  <si>
    <t>TARJETON XL TROPI X-MAS</t>
  </si>
  <si>
    <t>Tarjeta Personal - caligrafía Marianna Rezk</t>
  </si>
  <si>
    <t>Puestos de mesa- Dulce (Listo para llevar)</t>
  </si>
  <si>
    <t>TARJETON XL JARDIN X-MAS</t>
  </si>
  <si>
    <t>Tarjeton doble Navidad Holly (listo para llevar)</t>
  </si>
  <si>
    <t>Blocks Amazonas (listos para llevar)</t>
  </si>
  <si>
    <t>Caja pequeña Verde</t>
  </si>
  <si>
    <t>Caja Grande Luxe Mush (80 Tarjetas)</t>
  </si>
  <si>
    <t>Notas dobles con sobre Dulce (listos para llevar)</t>
  </si>
  <si>
    <t>Notas dobles con sobre Trineo (listos para llevar)</t>
  </si>
  <si>
    <t>Caja Mediana Nido</t>
  </si>
  <si>
    <t>Tarjeta Personal Cacatua Pembe (v)</t>
  </si>
  <si>
    <t>PUESTOS DE MESA TRINEO (CASA AZARA)</t>
  </si>
  <si>
    <t>Notas dobles con sobre Bijao</t>
  </si>
  <si>
    <t>Sobres efectivo Corona: Lluvia de sobres (LPL)</t>
  </si>
  <si>
    <t>Galletas</t>
  </si>
  <si>
    <t>Tarjetón doble x20 (sin sobre) vol</t>
  </si>
  <si>
    <t>Tarjetón Clásico - caligrafía Marianna Rezk</t>
  </si>
  <si>
    <t>Caja Grande Flex Tucan</t>
  </si>
  <si>
    <t>Tarjetón Sencillo x20 con sobre (volumen)</t>
  </si>
  <si>
    <t>111005</t>
  </si>
  <si>
    <t>233525</t>
  </si>
  <si>
    <t>25101006</t>
  </si>
  <si>
    <t>EPS</t>
  </si>
  <si>
    <t>25101008</t>
  </si>
  <si>
    <t>APORTES DE PENSION</t>
  </si>
  <si>
    <t>417510</t>
  </si>
  <si>
    <t>Devolución Productos No gravados con IVA</t>
  </si>
  <si>
    <t>4180</t>
  </si>
  <si>
    <t>418001</t>
  </si>
  <si>
    <t>4250</t>
  </si>
  <si>
    <t>Recuperaciones</t>
  </si>
  <si>
    <t>510545</t>
  </si>
  <si>
    <t>510548</t>
  </si>
  <si>
    <t>510575</t>
  </si>
  <si>
    <t>510578</t>
  </si>
  <si>
    <t>511025</t>
  </si>
  <si>
    <t>Asesoría jurídica</t>
  </si>
  <si>
    <t>5115</t>
  </si>
  <si>
    <t>Impuestos</t>
  </si>
  <si>
    <t>511505</t>
  </si>
  <si>
    <t>Industria y comercio</t>
  </si>
  <si>
    <t>513550</t>
  </si>
  <si>
    <t>514005</t>
  </si>
  <si>
    <t>514015</t>
  </si>
  <si>
    <t>5155</t>
  </si>
  <si>
    <t>Gastos de viaje</t>
  </si>
  <si>
    <t>515515</t>
  </si>
  <si>
    <t>Pasajes aéreos</t>
  </si>
  <si>
    <t>519505</t>
  </si>
  <si>
    <t>519565</t>
  </si>
  <si>
    <t>519595</t>
  </si>
  <si>
    <t>520527</t>
  </si>
  <si>
    <t>520548</t>
  </si>
  <si>
    <t>520560</t>
  </si>
  <si>
    <t>520569</t>
  </si>
  <si>
    <t>520575</t>
  </si>
  <si>
    <t>520578</t>
  </si>
  <si>
    <t>522015</t>
  </si>
  <si>
    <t>523565</t>
  </si>
  <si>
    <t>531520</t>
  </si>
  <si>
    <t>Impuestos asumidos</t>
  </si>
  <si>
    <t>54</t>
  </si>
  <si>
    <t>5405</t>
  </si>
  <si>
    <t>540505</t>
  </si>
  <si>
    <t>6155</t>
  </si>
  <si>
    <t>Actividades inmobiliarias, empresariales y de alquiler</t>
  </si>
  <si>
    <t>615505</t>
  </si>
  <si>
    <t>Eps Famisanar</t>
  </si>
  <si>
    <t>MARIANA RICAURTE RESTREPO</t>
  </si>
  <si>
    <t>EXYWORK SAS</t>
  </si>
  <si>
    <t>INVESTIGACIONES Y COBRANZAS EL LIBERTADOR S A</t>
  </si>
  <si>
    <t>MARIA ALEJANDRA MEDINA</t>
  </si>
  <si>
    <t>BACO FOODS COLOMBIA S.A.S.</t>
  </si>
  <si>
    <t>INVERSIONES SOMONTANO SAS</t>
  </si>
  <si>
    <t>5 &amp; QUINCE SAS</t>
  </si>
  <si>
    <t>SARNELLI SAS</t>
  </si>
  <si>
    <t>DIANA GARCÍA G. CHEF SAS</t>
  </si>
  <si>
    <t>MARIA ALEJANDRA PARRA</t>
  </si>
  <si>
    <t>WOMPI S.A.S</t>
  </si>
  <si>
    <t>PAYU COLOMBIA S.A.S.</t>
  </si>
  <si>
    <t>MANUELA RESTREPO</t>
  </si>
  <si>
    <t>CLARA MONSALVE</t>
  </si>
  <si>
    <t>PAULA RUIZ</t>
  </si>
  <si>
    <t>DIEZ COLOMBIA S.A.S.</t>
  </si>
  <si>
    <t>ROSARIO LUCENA</t>
  </si>
  <si>
    <t>ANA CANON</t>
  </si>
  <si>
    <t>CHRISTINA STREUBEL</t>
  </si>
  <si>
    <t>XIMENA LOMBANA</t>
  </si>
  <si>
    <t>SARA LOPEZ DE CARREIRA</t>
  </si>
  <si>
    <t>IVONNE PRADOS</t>
  </si>
  <si>
    <t>COLDISEÑO SAS</t>
  </si>
  <si>
    <t>SARITA POSADA</t>
  </si>
  <si>
    <t>LILIANA PARRA</t>
  </si>
  <si>
    <t>ADRIANA GARCIA</t>
  </si>
  <si>
    <t>PAULA GARAVITO</t>
  </si>
  <si>
    <t>JULIANA ARGUMEDO</t>
  </si>
  <si>
    <t>NATALIA CORREDOF</t>
  </si>
  <si>
    <t>GLC GROUP SAS</t>
  </si>
  <si>
    <t>IGNACIO IMAS</t>
  </si>
  <si>
    <t>LUZ MARINA BUSTOS JULIA</t>
  </si>
  <si>
    <t>MARIA IRENE GUTIÉRREZ</t>
  </si>
  <si>
    <t>MARÍA PAULA VARGAS</t>
  </si>
  <si>
    <t>ALEJANDRA PARRA</t>
  </si>
  <si>
    <t>SANDRA HERRERA</t>
  </si>
  <si>
    <t>JULIANA PARRA</t>
  </si>
  <si>
    <t>JUAN ARANA</t>
  </si>
  <si>
    <t>MAIA DE DIVITIIS</t>
  </si>
  <si>
    <t>CLARA ALICIA BAENA PALACIOS</t>
  </si>
  <si>
    <t>ESTRATEGIA LEGAL LTDA</t>
  </si>
  <si>
    <t>CLAUDIA HERRERA</t>
  </si>
  <si>
    <t>ADRIANA PINEDA</t>
  </si>
  <si>
    <t>MARIA HEREDIA</t>
  </si>
  <si>
    <t>VALENTINA OLACIREGUI</t>
  </si>
  <si>
    <t>AMALIA CARVAJAL</t>
  </si>
  <si>
    <t>JUAN ALBERTO YOKENES</t>
  </si>
  <si>
    <t>VIVIANA GUTIERREZ</t>
  </si>
  <si>
    <t>JENNY CALDERON</t>
  </si>
  <si>
    <t>TEG EXPO SAS</t>
  </si>
  <si>
    <t>CARMEN SANTIAGO</t>
  </si>
  <si>
    <t>MARIA PAULA VALLEJO</t>
  </si>
  <si>
    <t>CAMILA VILLEGAS</t>
  </si>
  <si>
    <t>VALENTINA RIASCOS ESCOLAR</t>
  </si>
  <si>
    <t>JOHANNA SANINT</t>
  </si>
  <si>
    <t>LAURA GARCIA CABALLERO</t>
  </si>
  <si>
    <t>MARILENY ZULUAGA</t>
  </si>
  <si>
    <t>ATELIER SIETE SAS</t>
  </si>
  <si>
    <t>AVAL FIDUCIARIA</t>
  </si>
  <si>
    <t>LINA LONDONO</t>
  </si>
  <si>
    <t>MARIAPIA BRUGNARA</t>
  </si>
  <si>
    <t>CRISTINA LLOREDA</t>
  </si>
  <si>
    <t>LAURA LONDOÑO</t>
  </si>
  <si>
    <t>MARÍA ACEVEDO</t>
  </si>
  <si>
    <t>LUISA FERNANDA LÓPEZ</t>
  </si>
  <si>
    <t>NATHALIA ARANGO</t>
  </si>
  <si>
    <t>TANSY EVANS</t>
  </si>
  <si>
    <t>MARIA VICTORIA ORTEGA</t>
  </si>
  <si>
    <t>GERMAN CARRERO</t>
  </si>
  <si>
    <t>CAMILA ARRIAGA</t>
  </si>
  <si>
    <t>JASMINE BORIS</t>
  </si>
  <si>
    <t>ANGELA MEJIA</t>
  </si>
  <si>
    <t>NATALIA ESCOBAR</t>
  </si>
  <si>
    <t>ESTRATEGIAS S.A.S.</t>
  </si>
  <si>
    <t>IKSO SAS</t>
  </si>
  <si>
    <t>NELSON JAVER CORREDOR BERNAL</t>
  </si>
  <si>
    <t>DH COLOMBIA SAS</t>
  </si>
  <si>
    <t>LATIN LOGISTIC COLOMBIA SAS</t>
  </si>
  <si>
    <t>INTER RAPIDISIMO S.A</t>
  </si>
  <si>
    <t>EL ADORNO MERCERÍA S.A.S</t>
  </si>
  <si>
    <t>AUROSCOPIAS SAS</t>
  </si>
  <si>
    <t>ENCUADERNACION CHAPINERO SAS</t>
  </si>
  <si>
    <t>TROQUELES Y PUBLICIDAD CHACON SAS</t>
  </si>
  <si>
    <t>FUNDACIÓN ENDEAVOR COLOMBIA</t>
  </si>
  <si>
    <t>EPS Familiar de Colombia S.A.S.</t>
  </si>
  <si>
    <t>GASTROARABE SAS</t>
  </si>
  <si>
    <t>MARTHA AMAYA</t>
  </si>
  <si>
    <t>CAROLINA RIBON</t>
  </si>
  <si>
    <t>SANDRA SERRANO</t>
  </si>
  <si>
    <t>MANUELA RAMIREZ</t>
  </si>
  <si>
    <t>PROPACKING SAS</t>
  </si>
  <si>
    <t>LA VERANERA COLOMBIA SAS</t>
  </si>
  <si>
    <t>YUBARTA COLOMBIA SAS</t>
  </si>
  <si>
    <t>TATIANA CASTELBLANCO</t>
  </si>
  <si>
    <t>JHON PARRA</t>
  </si>
  <si>
    <t>CATALINA BARJUN</t>
  </si>
  <si>
    <t>ROSITA RESTREPO</t>
  </si>
  <si>
    <t>SHIRLEY DAYANA ALVAREZ GOMEZ</t>
  </si>
  <si>
    <t>DISTRIBUIDORA MATEC S.A.S</t>
  </si>
  <si>
    <t>FARO EDITORES SAS</t>
  </si>
  <si>
    <t>ART BOOKS EDICIONES SAS</t>
  </si>
  <si>
    <t>EDICIONES MONSERRATE SAS</t>
  </si>
  <si>
    <t>DIANA CAMILA MAPE GARAVITO</t>
  </si>
  <si>
    <t>CLEMENTE FERNÁNDEZ COTES</t>
  </si>
  <si>
    <t>CASTELLANO ETHNIC ORIGINS SAS</t>
  </si>
  <si>
    <t>ADRIANA UMAÑA</t>
  </si>
  <si>
    <t>MARIA CAROLINA HOYOS</t>
  </si>
  <si>
    <t>LUISA VELEZ</t>
  </si>
  <si>
    <t>PAOLA GALLEGO</t>
  </si>
  <si>
    <t>PELLETIER &amp; COMPANY SAS</t>
  </si>
  <si>
    <t>BATHTIKE LTDA</t>
  </si>
  <si>
    <t>5 CONEJOS 0 5 CONEJOS 0</t>
  </si>
  <si>
    <t>CERERIAS ESPAÑOLAS EL FARO</t>
  </si>
  <si>
    <t>Siigo SAS</t>
  </si>
  <si>
    <t>MAC CENTER COLOMBIA SAS X</t>
  </si>
  <si>
    <t>MARIA CONSUELO RESTREPO CAMACHO</t>
  </si>
  <si>
    <t>MARIA NOHELIA BARRANTES CUERVO</t>
  </si>
  <si>
    <t>BAGATELLE  S.A.S.</t>
  </si>
  <si>
    <t>Crepes Waffles</t>
  </si>
  <si>
    <t>PANARTE SAS</t>
  </si>
  <si>
    <t>LUZ CORAL RINCON C</t>
  </si>
  <si>
    <t>LUCIA TAMARA</t>
  </si>
  <si>
    <t>SKANDIA ADMINISTRADORA DE FONDOS DE PENSIONES Y CESANTIAS S.A</t>
  </si>
  <si>
    <t>MARIA ALEJANDRA NEIRA</t>
  </si>
  <si>
    <t>MARÍA FERNANDA SUÁREZ</t>
  </si>
  <si>
    <t>MARIANA DUQUE VÉLEZ</t>
  </si>
  <si>
    <t>CLAUDIA REY COTE</t>
  </si>
  <si>
    <t>ADRIANA VENEGAS VENEGAS</t>
  </si>
  <si>
    <t>ALBERTO PARDO</t>
  </si>
  <si>
    <t>DIANA OBREGON DE PUERTO</t>
  </si>
  <si>
    <t>ADRIANA LIEVANO</t>
  </si>
  <si>
    <t>ALMACENES EXITO SA</t>
  </si>
  <si>
    <t>KATHERINE ANDREA BAEZ CELY</t>
  </si>
  <si>
    <t>CAMPO APICOLA</t>
  </si>
  <si>
    <t>MULTISUMINISTROS INDUSTRIALES SAS</t>
  </si>
  <si>
    <t>GLOBAL BRANDING IDEAS S A S</t>
  </si>
  <si>
    <t>SOFIA PRIETO PERDOMO</t>
  </si>
  <si>
    <t>JONATHAN OLEGARIO MARTINEZ BARBOSA</t>
  </si>
  <si>
    <t>TORO GRAFIK SAS</t>
  </si>
  <si>
    <t>MULTIBORDADO MB S.A.S</t>
  </si>
  <si>
    <t>MARIA GABRIELA CASTRO</t>
  </si>
  <si>
    <t>RAQUEL CORONELL</t>
  </si>
  <si>
    <t>PUBLICACIONES SEMANA S.A</t>
  </si>
  <si>
    <t>NEMESIO HERNANDEZ</t>
  </si>
  <si>
    <t>PABLO AMAYA</t>
  </si>
  <si>
    <t>TEMPO COLOMBIA TRAVEL SAS</t>
  </si>
  <si>
    <t>LA LOCAL SAS</t>
  </si>
  <si>
    <t>HARBOURVEST PARTNERS LLC OFICINA DE REPRESENTACION</t>
  </si>
  <si>
    <t>JAVIER MONTAÑO</t>
  </si>
  <si>
    <t>JAVIER CIPAGAUTA</t>
  </si>
  <si>
    <t>LOISOLUCIONES</t>
  </si>
  <si>
    <t>THOR BORRESEN</t>
  </si>
  <si>
    <t>JUAN ANTONIO RESTREPO</t>
  </si>
  <si>
    <t>MICHELLE SOLTERO</t>
  </si>
  <si>
    <t>MONICA RODRIGUEZ</t>
  </si>
  <si>
    <t>ANGELA MARIA ARANGO</t>
  </si>
  <si>
    <t>NATHALIE SUAREZ</t>
  </si>
  <si>
    <t>ASOCIACION DE FUNDACIONES FAMILIARES Y EMPRESARIALES</t>
  </si>
  <si>
    <t>ANDREA JIMENA LIZCANO NEIRA</t>
  </si>
  <si>
    <t>MAGNOLIA CARO</t>
  </si>
  <si>
    <t>CORPORACION YOUNG PRESIDENTS ORGANIZATION CAPITULO COLOMBIA</t>
  </si>
  <si>
    <t>PAOLA CASTRO</t>
  </si>
  <si>
    <t>SUPERPLASTICOS MS LTDA</t>
  </si>
  <si>
    <t>LAST TOUR AMERICA SAS</t>
  </si>
  <si>
    <t>SER DIGITAL IMPRESIONES Y DISEÑO SAS</t>
  </si>
  <si>
    <t>ESTUCHES Y EMPAQUES LTDA</t>
  </si>
  <si>
    <t>SYMPLIFICA SAS</t>
  </si>
  <si>
    <t>SOMOS MASA SAS</t>
  </si>
  <si>
    <t>DUQUE SALDARRIAGA Y CIA S.A.S</t>
  </si>
  <si>
    <t>ADRIANA APARICIO</t>
  </si>
  <si>
    <t>ADRIANA ARANGUREN</t>
  </si>
  <si>
    <t>ANA ISAZA</t>
  </si>
  <si>
    <t>JUANA DUQUE</t>
  </si>
  <si>
    <t>inversiones y negocios alfa centuri sas</t>
  </si>
  <si>
    <t>MARIA PAULA CANO</t>
  </si>
  <si>
    <t>JANETH MANTILLA</t>
  </si>
  <si>
    <t>INVESTCOL SAS</t>
  </si>
  <si>
    <t>KEEPING NATURE TOURS S.A.S. BIC</t>
  </si>
  <si>
    <t>MARIANA GUZMAN</t>
  </si>
  <si>
    <t>MARCELA CHAIN</t>
  </si>
  <si>
    <t>MAJU CAPITAL SAS</t>
  </si>
  <si>
    <t>LISA NEISA</t>
  </si>
  <si>
    <t>CATALINA GAVIRIA</t>
  </si>
  <si>
    <t>CAROLINA PACHECO</t>
  </si>
  <si>
    <t>BLACKJACK IMPORTACIONES SAS</t>
  </si>
  <si>
    <t>TRESCIENTOS SESENTA SAS</t>
  </si>
  <si>
    <t>MARIAN VALENCIA</t>
  </si>
  <si>
    <t>Camilo Gutierrez</t>
  </si>
  <si>
    <t>DIANA GUERRERO V</t>
  </si>
  <si>
    <t>ESPACIOS ARMONICOS SAS</t>
  </si>
  <si>
    <t>OSORIO TORO GUSTAVO</t>
  </si>
  <si>
    <t>PAPELERIA MILGER</t>
  </si>
  <si>
    <t>CARLOS ANDRES MORENO PINEDA</t>
  </si>
  <si>
    <t>refresh_date</t>
  </si>
  <si>
    <t>month</t>
  </si>
  <si>
    <t>Cost</t>
  </si>
  <si>
    <t>Impressions</t>
  </si>
  <si>
    <t>Clicks</t>
  </si>
  <si>
    <t>campaign_name</t>
  </si>
  <si>
    <t>spend</t>
  </si>
  <si>
    <t>clicks</t>
  </si>
  <si>
    <t>impressions</t>
  </si>
  <si>
    <t>Año</t>
  </si>
  <si>
    <t>Código cuenta contable</t>
  </si>
  <si>
    <t>Nombre Cuenta contable</t>
  </si>
  <si>
    <t>Identificación</t>
  </si>
  <si>
    <t>Sucursal</t>
  </si>
  <si>
    <t>Nombre tercero</t>
  </si>
  <si>
    <t>Saldo Inicial</t>
  </si>
  <si>
    <t>Movimiento Débito</t>
  </si>
  <si>
    <t>Movimiento Crédito</t>
  </si>
  <si>
    <t>Saldo final</t>
  </si>
  <si>
    <t>MovimientoDebitoCredito</t>
  </si>
  <si>
    <t>Fecha inicio</t>
  </si>
  <si>
    <t>Fecha fin</t>
  </si>
  <si>
    <t>Old data</t>
  </si>
  <si>
    <t>Refrescar histórico desde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</si>
</sst>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1" formatCode="_(* #,##0_);_(* \(#,##0\);_(* &quot;-&quot;_);_(@_)"/>
    <numFmt numFmtId="43" formatCode="_(* #,##0.00_);_(* \(#,##0.00\);_(* &quot;-&quot;??_);_(@_)"/>
    <numFmt numFmtId="164" formatCode="_(###0_);\(###0\);_(&quot;-&quot;_);_)@_)"/>
    <numFmt numFmtId="165" formatCode="_)d\-mmm\-yy\ h:mm_);_)d\-mmm\-yy\ h:mm_);_)&quot;-&quot;_);_)@_)"/>
    <numFmt numFmtId="166" formatCode="_)mmmm\-yyyy_);_)mmmm\-yyyy_);_)&quot;-&quot;_);_)@_)"/>
    <numFmt numFmtId="167" formatCode="_)d\-mmm\-yy_);_)d\-mmm\-yy_);_)&quot;-&quot;_);_)@_)"/>
    <numFmt numFmtId="168" formatCode="_(#,##0.00_);\(#,##0.00\);_(&quot;-&quot;_);_)@_)"/>
    <numFmt numFmtId="169" formatCode="_(&quot;$&quot;#,##0.0_);\(&quot;$&quot;#,##0.0\);_(&quot;-&quot;_);_)@_)"/>
    <numFmt numFmtId="170" formatCode="_(#,##0.0\x_);\(#,##0.0\x\);_(&quot;-&quot;_);_)@_)"/>
    <numFmt numFmtId="171" formatCode="_(#,##0.0_);\(#,##0.0\);_(&quot;-&quot;_);_)@_)"/>
    <numFmt numFmtId="172" formatCode="_(#,##0_);\(#,##0\);_(&quot;-&quot;_);_)@_)"/>
    <numFmt numFmtId="173" formatCode="_(#,##0.00%_);\(#,##0.00%\);_(&quot;-&quot;_);_)@_)"/>
    <numFmt numFmtId="174" formatCode="_ * #,##0_ ;_ * \-#,##0_ ;_ * &quot;-&quot;_ ;_ @_ "/>
    <numFmt numFmtId="175" formatCode="_(#,##0.0%_);\(#,##0.0%\);_(&quot;-&quot;_);_)@_)"/>
    <numFmt numFmtId="176" formatCode="dddd"/>
    <numFmt numFmtId="177" formatCode="yyyy\-mmm\-dd;@"/>
    <numFmt numFmtId="178" formatCode="_(* #,##0.00_);_(* \(#,##0.00\);_(* &quot;-&quot;_);_(@_)"/>
  </numFmts>
  <fonts count="54" x14ac:knownFonts="1">
    <font>
      <sz val="9"/>
      <color theme="1" tint="0.2499465926084170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 tint="0.2499465926084170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6" tint="-0.24994659260841701"/>
      <name val="Calibri"/>
      <family val="2"/>
      <scheme val="minor"/>
    </font>
    <font>
      <sz val="9"/>
      <color theme="4" tint="-0.49995422223578601"/>
      <name val="Calibri"/>
      <family val="2"/>
      <scheme val="minor"/>
    </font>
    <font>
      <sz val="9"/>
      <color theme="8" tint="-0.24994659260841701"/>
      <name val="Calibri"/>
      <family val="2"/>
      <scheme val="minor"/>
    </font>
    <font>
      <sz val="9"/>
      <color rgb="FF9C5700"/>
      <name val="Calibri"/>
      <family val="2"/>
      <scheme val="minor"/>
    </font>
    <font>
      <sz val="9"/>
      <color rgb="FF9C000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A7D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0"/>
      <name val="Trebuchet MS"/>
      <family val="2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1"/>
      <color theme="5" tint="-0.499984740745262"/>
      <name val="Calibri Light"/>
      <family val="2"/>
      <scheme val="major"/>
    </font>
    <font>
      <b/>
      <sz val="10"/>
      <color theme="5" tint="-0.499984740745262"/>
      <name val="Calibri Light"/>
      <family val="2"/>
      <scheme val="major"/>
    </font>
    <font>
      <b/>
      <sz val="10"/>
      <color theme="5" tint="-0.24994659260841701"/>
      <name val="Calibri Light"/>
      <family val="2"/>
      <scheme val="major"/>
    </font>
    <font>
      <b/>
      <sz val="9"/>
      <color theme="5" tint="-0.24994659260841701"/>
      <name val="Calibri Light"/>
      <family val="2"/>
      <scheme val="major"/>
    </font>
    <font>
      <b/>
      <sz val="9"/>
      <color theme="1" tint="0.24994659260841701"/>
      <name val="Calibri Light"/>
      <family val="2"/>
      <scheme val="major"/>
    </font>
    <font>
      <b/>
      <sz val="9"/>
      <color theme="2" tint="-0.499984740745262"/>
      <name val="Calibri Light"/>
      <family val="2"/>
      <scheme val="major"/>
    </font>
    <font>
      <sz val="9"/>
      <color theme="2" tint="-0.499984740745262"/>
      <name val="Calibri Light"/>
      <family val="2"/>
      <scheme val="major"/>
    </font>
    <font>
      <i/>
      <sz val="9"/>
      <color theme="2" tint="-0.499984740745262"/>
      <name val="Calibri Light"/>
      <family val="2"/>
      <scheme val="major"/>
    </font>
    <font>
      <sz val="9"/>
      <color theme="0"/>
      <name val="Calibri Light"/>
      <family val="2"/>
      <scheme val="major"/>
    </font>
    <font>
      <b/>
      <sz val="9"/>
      <color theme="4" tint="-0.49995422223578601"/>
      <name val="Calibri Light"/>
      <family val="2"/>
      <scheme val="major"/>
    </font>
    <font>
      <sz val="9"/>
      <color theme="1" tint="0.24994659260841701"/>
      <name val="Calibri Light"/>
      <family val="2"/>
      <scheme val="major"/>
    </font>
    <font>
      <i/>
      <sz val="9"/>
      <color rgb="FF7F7F7F"/>
      <name val="Calibri"/>
      <family val="2"/>
      <scheme val="minor"/>
    </font>
    <font>
      <sz val="9"/>
      <color rgb="FF006100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9"/>
      <color theme="11"/>
      <name val="Wingdings"/>
      <charset val="2"/>
    </font>
    <font>
      <u/>
      <sz val="9"/>
      <color theme="11"/>
      <name val="Calibri"/>
      <family val="2"/>
      <scheme val="minor"/>
    </font>
    <font>
      <sz val="9"/>
      <color rgb="FF3F3F76"/>
      <name val="Calibri"/>
      <family val="2"/>
      <scheme val="minor"/>
    </font>
    <font>
      <sz val="9"/>
      <color rgb="FFFA7D00"/>
      <name val="Calibri"/>
      <family val="2"/>
      <scheme val="minor"/>
    </font>
    <font>
      <sz val="10"/>
      <name val="Arial"/>
      <family val="2"/>
    </font>
    <font>
      <b/>
      <sz val="10"/>
      <color theme="1" tint="0.24994659260841701"/>
      <name val="Calibri Light"/>
      <family val="2"/>
      <scheme val="major"/>
    </font>
    <font>
      <b/>
      <sz val="9"/>
      <color rgb="FF3F3F3F"/>
      <name val="Calibri"/>
      <family val="2"/>
      <scheme val="minor"/>
    </font>
    <font>
      <b/>
      <sz val="14"/>
      <color theme="1" tint="0.24994659260841701"/>
      <name val="Calibri Light"/>
      <family val="2"/>
      <scheme val="major"/>
    </font>
    <font>
      <sz val="18"/>
      <color theme="1" tint="0.24994659260841701"/>
      <name val="Calibri Light"/>
      <family val="2"/>
      <scheme val="major"/>
    </font>
    <font>
      <b/>
      <sz val="12"/>
      <color theme="1" tint="0.24994659260841701"/>
      <name val="Calibri Light"/>
      <family val="2"/>
      <scheme val="major"/>
    </font>
    <font>
      <sz val="24"/>
      <color theme="3"/>
      <name val="Trebuchet MS"/>
      <family val="2"/>
    </font>
    <font>
      <b/>
      <sz val="11"/>
      <color theme="1" tint="0.24994659260841701"/>
      <name val="Calibri Light"/>
      <family val="2"/>
      <scheme val="major"/>
    </font>
    <font>
      <sz val="9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9"/>
      <color theme="1" tint="0.2499465926084170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u/>
      <sz val="9"/>
      <color theme="1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theme="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4" tint="-0.4999542222357860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181">
    <xf numFmtId="0" fontId="0" fillId="0" borderId="0"/>
    <xf numFmtId="41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36" fillId="5" borderId="4" applyNumberFormat="0" applyAlignment="0" applyProtection="0"/>
    <xf numFmtId="0" fontId="40" fillId="6" borderId="5" applyNumberFormat="0" applyAlignment="0" applyProtection="0"/>
    <xf numFmtId="0" fontId="15" fillId="6" borderId="4" applyNumberFormat="0" applyAlignment="0" applyProtection="0"/>
    <xf numFmtId="0" fontId="37" fillId="0" borderId="6" applyNumberFormat="0" applyFill="0" applyAlignment="0" applyProtection="0"/>
    <xf numFmtId="0" fontId="16" fillId="7" borderId="7" applyNumberFormat="0" applyAlignment="0" applyProtection="0"/>
    <xf numFmtId="0" fontId="46" fillId="0" borderId="0" applyNumberFormat="0" applyFill="0" applyBorder="0" applyAlignment="0" applyProtection="0"/>
    <xf numFmtId="0" fontId="5" fillId="8" borderId="8" applyNumberFormat="0" applyAlignment="0" applyProtection="0"/>
    <xf numFmtId="0" fontId="31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32" borderId="0" applyNumberFormat="0" applyBorder="0" applyAlignment="0" applyProtection="0"/>
    <xf numFmtId="0" fontId="7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14" borderId="0" applyNumberFormat="0" applyBorder="0" applyAlignment="0" applyProtection="0"/>
    <xf numFmtId="0" fontId="5" fillId="18" borderId="0" applyNumberFormat="0" applyBorder="0" applyAlignment="0" applyProtection="0"/>
    <xf numFmtId="0" fontId="5" fillId="22" borderId="0" applyNumberFormat="0" applyBorder="0" applyAlignment="0" applyProtection="0"/>
    <xf numFmtId="0" fontId="5" fillId="26" borderId="0" applyNumberFormat="0" applyBorder="0" applyAlignment="0" applyProtection="0"/>
    <xf numFmtId="0" fontId="5" fillId="29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27" borderId="0" applyNumberFormat="0" applyBorder="0" applyAlignment="0" applyProtection="0"/>
    <xf numFmtId="0" fontId="5" fillId="30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4" borderId="0" applyNumberFormat="0" applyBorder="0" applyAlignment="0" applyProtection="0"/>
    <xf numFmtId="0" fontId="5" fillId="32" borderId="0" applyNumberFormat="0" applyBorder="0" applyAlignment="0" applyProtection="0"/>
    <xf numFmtId="0" fontId="5" fillId="31" borderId="0" applyNumberFormat="0" applyBorder="0" applyAlignment="0" applyProtection="0"/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3" fontId="6" fillId="0" borderId="0" applyFill="0" applyBorder="0">
      <alignment vertical="center"/>
    </xf>
    <xf numFmtId="0" fontId="6" fillId="33" borderId="0" applyNumberFormat="0" applyBorder="0">
      <alignment vertical="top"/>
    </xf>
    <xf numFmtId="0" fontId="8" fillId="34" borderId="10" applyNumberFormat="0">
      <alignment vertical="center"/>
    </xf>
    <xf numFmtId="0" fontId="8" fillId="34" borderId="10" applyNumberFormat="0">
      <alignment vertical="center"/>
    </xf>
    <xf numFmtId="0" fontId="8" fillId="34" borderId="10" applyNumberFormat="0" applyAlignment="0">
      <alignment vertical="center"/>
    </xf>
    <xf numFmtId="0" fontId="9" fillId="35" borderId="11" applyNumberFormat="0">
      <alignment vertical="center"/>
      <protection locked="0"/>
    </xf>
    <xf numFmtId="0" fontId="9" fillId="35" borderId="11" applyNumberFormat="0">
      <alignment vertical="center"/>
      <protection locked="0"/>
    </xf>
    <xf numFmtId="0" fontId="9" fillId="35" borderId="11" applyNumberFormat="0" applyAlignment="0">
      <alignment vertical="center"/>
      <protection locked="0"/>
    </xf>
    <xf numFmtId="0" fontId="10" fillId="36" borderId="12" applyNumberFormat="0">
      <alignment vertical="center"/>
    </xf>
    <xf numFmtId="0" fontId="9" fillId="37" borderId="13" applyNumberFormat="0">
      <alignment vertical="center"/>
      <protection locked="0"/>
    </xf>
    <xf numFmtId="0" fontId="11" fillId="38" borderId="14" applyNumberFormat="0" applyFont="0" applyAlignment="0" applyProtection="0"/>
    <xf numFmtId="0" fontId="4" fillId="0" borderId="9" applyNumberFormat="0" applyFill="0" applyAlignment="0" applyProtection="0"/>
    <xf numFmtId="0" fontId="13" fillId="0" borderId="9" applyFill="0" applyAlignment="0" applyProtection="0"/>
    <xf numFmtId="0" fontId="14" fillId="0" borderId="15" applyNumberFormat="0" applyFill="0" applyAlignment="0" applyProtection="0"/>
    <xf numFmtId="0" fontId="16" fillId="7" borderId="7" applyNumberFormat="0" applyAlignment="0" applyProtection="0"/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7" fillId="39" borderId="0" applyBorder="0">
      <alignment vertical="center"/>
    </xf>
    <xf numFmtId="0" fontId="7" fillId="39" borderId="0" applyBorder="0">
      <alignment vertical="center"/>
    </xf>
    <xf numFmtId="0" fontId="18" fillId="40" borderId="16" applyAlignment="0"/>
    <xf numFmtId="0" fontId="19" fillId="40" borderId="16" applyAlignment="0"/>
    <xf numFmtId="0" fontId="20" fillId="0" borderId="0" applyBorder="0">
      <alignment vertical="center"/>
    </xf>
    <xf numFmtId="0" fontId="21" fillId="0" borderId="0" applyBorder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 applyFill="0" applyBorder="0">
      <alignment vertical="center"/>
    </xf>
    <xf numFmtId="0" fontId="25" fillId="0" borderId="0" applyFill="0" applyBorder="0">
      <alignment vertical="center"/>
    </xf>
    <xf numFmtId="0" fontId="26" fillId="0" borderId="0" applyFill="0" applyBorder="0">
      <alignment vertical="center"/>
    </xf>
    <xf numFmtId="0" fontId="27" fillId="0" borderId="0" applyNumberFormat="0" applyFill="0" applyBorder="0">
      <alignment vertical="center"/>
    </xf>
    <xf numFmtId="0" fontId="28" fillId="41" borderId="0" applyBorder="0">
      <alignment vertical="center"/>
    </xf>
    <xf numFmtId="0" fontId="29" fillId="35" borderId="17">
      <alignment vertical="center"/>
    </xf>
    <xf numFmtId="0" fontId="29" fillId="42" borderId="17">
      <alignment vertical="center"/>
    </xf>
    <xf numFmtId="0" fontId="24" fillId="0" borderId="0" applyFill="0" applyBorder="0">
      <alignment vertical="center"/>
    </xf>
    <xf numFmtId="0" fontId="30" fillId="0" borderId="0" applyFill="0" applyBorder="0">
      <alignment vertical="center"/>
    </xf>
    <xf numFmtId="0" fontId="31" fillId="0" borderId="0" applyNumberFormat="0" applyFill="0" applyBorder="0" applyAlignment="0" applyProtection="0"/>
    <xf numFmtId="167" fontId="6" fillId="0" borderId="0" applyFill="0" applyBorder="0">
      <alignment vertical="center"/>
    </xf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 applyFill="0" applyBorder="0">
      <alignment horizontal="center" vertical="center"/>
    </xf>
    <xf numFmtId="0" fontId="35" fillId="0" borderId="0" applyFill="0" applyBorder="0">
      <alignment vertical="center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4" fontId="38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35" borderId="11" applyNumberFormat="0">
      <alignment vertical="center"/>
      <protection locked="0"/>
    </xf>
    <xf numFmtId="0" fontId="39" fillId="0" borderId="0" applyFill="0" applyBorder="0">
      <alignment vertical="center"/>
    </xf>
    <xf numFmtId="0" fontId="38" fillId="0" borderId="0"/>
    <xf numFmtId="171" fontId="6" fillId="0" borderId="0" applyFill="0" applyBorder="0">
      <alignment vertical="center"/>
    </xf>
    <xf numFmtId="164" fontId="6" fillId="0" borderId="0" applyFill="0" applyBorder="0">
      <alignment vertical="center"/>
    </xf>
    <xf numFmtId="165" fontId="6" fillId="0" borderId="0" applyFill="0" applyBorder="0">
      <alignment vertical="center"/>
    </xf>
    <xf numFmtId="166" fontId="6" fillId="0" borderId="0" applyFill="0" applyBorder="0">
      <alignment vertical="center"/>
    </xf>
    <xf numFmtId="167" fontId="6" fillId="0" borderId="0" applyFill="0" applyBorder="0">
      <alignment vertical="center"/>
    </xf>
    <xf numFmtId="168" fontId="6" fillId="0" borderId="0" applyFill="0" applyBorder="0">
      <alignment vertical="center"/>
    </xf>
    <xf numFmtId="169" fontId="6" fillId="0" borderId="0" applyFill="0" applyBorder="0">
      <alignment vertical="center"/>
    </xf>
    <xf numFmtId="170" fontId="6" fillId="0" borderId="0" applyFill="0" applyBorder="0">
      <alignment vertical="center"/>
    </xf>
    <xf numFmtId="0" fontId="6" fillId="0" borderId="0"/>
    <xf numFmtId="171" fontId="6" fillId="0" borderId="0" applyFill="0" applyBorder="0">
      <alignment vertical="center"/>
    </xf>
    <xf numFmtId="171" fontId="6" fillId="0" borderId="0" applyFill="0" applyBorder="0">
      <alignment vertical="center"/>
    </xf>
    <xf numFmtId="172" fontId="6" fillId="0" borderId="0" applyFill="0" applyBorder="0">
      <alignment vertical="center"/>
    </xf>
    <xf numFmtId="175" fontId="6" fillId="0" borderId="0" applyFill="0" applyBorder="0">
      <alignment vertical="center"/>
    </xf>
    <xf numFmtId="9" fontId="6" fillId="0" borderId="0" applyFont="0" applyFill="0" applyBorder="0" applyAlignment="0" applyProtection="0"/>
    <xf numFmtId="173" fontId="6" fillId="0" borderId="0" applyFill="0" applyBorder="0">
      <alignment vertical="center"/>
    </xf>
    <xf numFmtId="0" fontId="4" fillId="0" borderId="9" applyFill="0" applyAlignment="0" applyProtection="0"/>
    <xf numFmtId="0" fontId="13" fillId="0" borderId="9" applyFill="0" applyAlignment="0" applyProtection="0"/>
    <xf numFmtId="0" fontId="14" fillId="0" borderId="15" applyFill="0" applyAlignment="0" applyProtection="0"/>
    <xf numFmtId="164" fontId="9" fillId="43" borderId="18">
      <alignment vertical="center"/>
      <protection locked="0"/>
    </xf>
    <xf numFmtId="0" fontId="7" fillId="44" borderId="19">
      <alignment vertical="center"/>
    </xf>
    <xf numFmtId="0" fontId="7" fillId="44" borderId="19">
      <alignment vertical="center"/>
    </xf>
    <xf numFmtId="165" fontId="9" fillId="43" borderId="18">
      <alignment vertical="center"/>
      <protection locked="0"/>
    </xf>
    <xf numFmtId="166" fontId="9" fillId="43" borderId="18">
      <alignment vertical="center"/>
      <protection locked="0"/>
    </xf>
    <xf numFmtId="167" fontId="9" fillId="43" borderId="18">
      <alignment vertical="center"/>
      <protection locked="0"/>
    </xf>
    <xf numFmtId="168" fontId="6" fillId="43" borderId="20">
      <alignment vertical="center"/>
    </xf>
    <xf numFmtId="169" fontId="9" fillId="43" borderId="18">
      <alignment vertical="center"/>
      <protection locked="0"/>
    </xf>
    <xf numFmtId="170" fontId="9" fillId="43" borderId="18">
      <alignment vertical="center"/>
      <protection locked="0"/>
    </xf>
    <xf numFmtId="171" fontId="9" fillId="43" borderId="18">
      <alignment vertical="center"/>
      <protection locked="0"/>
    </xf>
    <xf numFmtId="172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164" fontId="9" fillId="43" borderId="18">
      <alignment vertical="center"/>
      <protection locked="0"/>
    </xf>
    <xf numFmtId="167" fontId="9" fillId="43" borderId="18">
      <alignment vertical="center"/>
      <protection locked="0"/>
    </xf>
    <xf numFmtId="171" fontId="9" fillId="43" borderId="18">
      <alignment vertical="center"/>
      <protection locked="0"/>
    </xf>
    <xf numFmtId="173" fontId="9" fillId="43" borderId="18">
      <alignment vertical="center"/>
      <protection locked="0"/>
    </xf>
    <xf numFmtId="0" fontId="9" fillId="43" borderId="18">
      <alignment vertical="center"/>
      <protection locked="0"/>
    </xf>
    <xf numFmtId="0" fontId="41" fillId="0" borderId="0" applyFill="0" applyBorder="0">
      <alignment vertical="center"/>
    </xf>
    <xf numFmtId="0" fontId="42" fillId="0" borderId="0" applyFill="0" applyBorder="0">
      <alignment vertical="center"/>
    </xf>
    <xf numFmtId="0" fontId="43" fillId="0" borderId="0" applyFill="0" applyBorder="0">
      <alignment vertical="center"/>
    </xf>
    <xf numFmtId="0" fontId="39" fillId="0" borderId="0" applyFill="0" applyBorder="0">
      <alignment vertical="center"/>
    </xf>
    <xf numFmtId="0" fontId="28" fillId="41" borderId="0" applyBorder="0">
      <alignment vertical="center"/>
    </xf>
    <xf numFmtId="0" fontId="29" fillId="42" borderId="17">
      <alignment vertical="center"/>
    </xf>
    <xf numFmtId="0" fontId="44" fillId="0" borderId="0" applyNumberFormat="0" applyFill="0" applyBorder="0" applyAlignment="0" applyProtection="0"/>
    <xf numFmtId="0" fontId="45" fillId="0" borderId="0" applyFill="0" applyBorder="0">
      <alignment vertical="center"/>
    </xf>
    <xf numFmtId="9" fontId="6" fillId="0" borderId="0" applyFont="0" applyFill="0" applyBorder="0" applyAlignment="0" applyProtection="0"/>
    <xf numFmtId="0" fontId="32" fillId="2" borderId="0" applyNumberFormat="0" applyBorder="0" applyAlignment="0" applyProtection="0"/>
    <xf numFmtId="0" fontId="4" fillId="0" borderId="9" applyNumberFormat="0" applyFill="0" applyAlignment="0" applyProtection="0"/>
    <xf numFmtId="171" fontId="9" fillId="43" borderId="18">
      <alignment vertical="center"/>
      <protection locked="0"/>
    </xf>
    <xf numFmtId="0" fontId="53" fillId="0" borderId="0" applyNumberFormat="0" applyFill="0" applyBorder="0" applyAlignment="0" applyProtection="0"/>
  </cellStyleXfs>
  <cellXfs count="35">
    <xf numFmtId="0" fontId="0" fillId="0" borderId="0" xfId="0"/>
    <xf numFmtId="167" fontId="9" fillId="43" borderId="18" xfId="155">
      <alignment vertical="center"/>
      <protection locked="0"/>
    </xf>
    <xf numFmtId="0" fontId="7" fillId="21" borderId="0" xfId="31" applyAlignment="1">
      <alignment horizontal="centerContinuous"/>
    </xf>
    <xf numFmtId="0" fontId="5" fillId="24" borderId="0" xfId="34" applyAlignment="1">
      <alignment horizontal="centerContinuous"/>
    </xf>
    <xf numFmtId="0" fontId="5" fillId="23" borderId="0" xfId="33" applyAlignment="1">
      <alignment horizontal="centerContinuous"/>
    </xf>
    <xf numFmtId="14" fontId="0" fillId="0" borderId="0" xfId="0" applyNumberFormat="1"/>
    <xf numFmtId="177" fontId="0" fillId="0" borderId="0" xfId="0" applyNumberFormat="1"/>
    <xf numFmtId="0" fontId="0" fillId="0" borderId="0" xfId="0" applyAlignment="1">
      <alignment horizontal="center"/>
    </xf>
    <xf numFmtId="0" fontId="45" fillId="0" borderId="0" xfId="175">
      <alignment vertical="center"/>
    </xf>
    <xf numFmtId="0" fontId="9" fillId="43" borderId="18" xfId="167">
      <alignment vertical="center"/>
      <protection locked="0"/>
    </xf>
    <xf numFmtId="167" fontId="9" fillId="35" borderId="11" xfId="75" applyNumberFormat="1">
      <alignment vertical="center"/>
      <protection locked="0"/>
    </xf>
    <xf numFmtId="41" fontId="0" fillId="0" borderId="0" xfId="1" applyFont="1"/>
    <xf numFmtId="43" fontId="0" fillId="0" borderId="0" xfId="0" applyNumberFormat="1"/>
    <xf numFmtId="0" fontId="0" fillId="0" borderId="0" xfId="1" applyNumberFormat="1" applyFont="1"/>
    <xf numFmtId="178" fontId="0" fillId="0" borderId="0" xfId="1" applyNumberFormat="1" applyFont="1"/>
    <xf numFmtId="17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41" fontId="0" fillId="0" borderId="0" xfId="0" applyNumberFormat="1"/>
    <xf numFmtId="9" fontId="0" fillId="0" borderId="0" xfId="176" applyFont="1"/>
    <xf numFmtId="0" fontId="5" fillId="20" borderId="0" xfId="30" applyAlignment="1">
      <alignment horizontal="centerContinuous"/>
    </xf>
    <xf numFmtId="0" fontId="5" fillId="16" borderId="0" xfId="26" applyAlignment="1">
      <alignment horizontal="centerContinuous"/>
    </xf>
    <xf numFmtId="0" fontId="5" fillId="12" borderId="0" xfId="22" applyAlignment="1">
      <alignment horizontal="centerContinuous"/>
    </xf>
    <xf numFmtId="0" fontId="5" fillId="31" borderId="0" xfId="42" applyAlignment="1">
      <alignment horizontal="centerContinuous"/>
    </xf>
    <xf numFmtId="0" fontId="50" fillId="0" borderId="0" xfId="0" applyFont="1"/>
    <xf numFmtId="10" fontId="0" fillId="0" borderId="0" xfId="176" applyNumberFormat="1" applyFont="1"/>
    <xf numFmtId="0" fontId="53" fillId="0" borderId="0" xfId="180"/>
    <xf numFmtId="0" fontId="16" fillId="45" borderId="21" xfId="0" applyFont="1" applyFill="1" applyBorder="1" applyAlignment="1">
      <alignment horizontal="center" vertical="center" wrapText="1"/>
    </xf>
    <xf numFmtId="0" fontId="16" fillId="45" borderId="22" xfId="0" applyFont="1" applyFill="1" applyBorder="1" applyAlignment="1">
      <alignment horizontal="center" vertical="center" wrapText="1"/>
    </xf>
    <xf numFmtId="0" fontId="16" fillId="45" borderId="23" xfId="0" applyFont="1" applyFill="1" applyBorder="1" applyAlignment="1">
      <alignment horizontal="center" vertical="center" wrapText="1"/>
    </xf>
    <xf numFmtId="0" fontId="16" fillId="45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/>
    <xf numFmtId="14" fontId="0" fillId="0" borderId="0" xfId="1" applyNumberFormat="1" applyFont="1"/>
    <xf numFmtId="0" fontId="9" fillId="43" borderId="18" xfId="162">
      <alignment vertical="center"/>
      <protection locked="0"/>
    </xf>
    <xf numFmtId="0" fontId="0" fillId="0" borderId="0" xfId="0" applyAlignment="1">
      <alignment horizontal="right"/>
    </xf>
  </cellXfs>
  <cellStyles count="181">
    <cellStyle name="20% - Accent1" xfId="20" builtinId="30" customBuiltin="1"/>
    <cellStyle name="20% - Accent2" xfId="24" builtinId="34" customBuiltin="1"/>
    <cellStyle name="20% - Accent2 2" xfId="43" xr:uid="{A1AF1FAB-A534-4B3F-9B01-D21C553491FB}"/>
    <cellStyle name="20% - Accent3" xfId="28" builtinId="38" customBuiltin="1"/>
    <cellStyle name="20% - Accent3 2" xfId="44" xr:uid="{A267C7DE-2DCB-4EE7-AE3B-975F8EA235B4}"/>
    <cellStyle name="20% - Accent4" xfId="32" builtinId="42" customBuiltin="1"/>
    <cellStyle name="20% - Accent4 2" xfId="45" xr:uid="{FE56712F-D3DA-437A-AC46-0169BAE7704B}"/>
    <cellStyle name="20% - Accent5" xfId="36" builtinId="46" customBuiltin="1"/>
    <cellStyle name="20% - Accent5 2" xfId="46" xr:uid="{CE022E79-19C4-4AD2-9FA3-A72E7CC18E71}"/>
    <cellStyle name="20% - Accent6" xfId="40" builtinId="50" customBuiltin="1"/>
    <cellStyle name="20% - Accent6 2" xfId="47" xr:uid="{94C44ABF-B08C-4250-84A7-486CA993D2A7}"/>
    <cellStyle name="40% - Accent1" xfId="21" builtinId="31" customBuiltin="1"/>
    <cellStyle name="40% - Accent1 2" xfId="48" xr:uid="{A7B3F55D-64B9-4EB6-84ED-886026026931}"/>
    <cellStyle name="40% - Accent2" xfId="25" builtinId="35" customBuiltin="1"/>
    <cellStyle name="40% - Accent2 2" xfId="49" xr:uid="{11008D03-42F1-4149-BB96-8AE5887D4016}"/>
    <cellStyle name="40% - Accent3" xfId="29" builtinId="39" customBuiltin="1"/>
    <cellStyle name="40% - Accent3 2" xfId="50" xr:uid="{BF923EC5-F4CB-4A15-B9FE-BC038869DA3D}"/>
    <cellStyle name="40% - Accent4" xfId="33" builtinId="43" customBuiltin="1"/>
    <cellStyle name="40% - Accent4 2" xfId="51" xr:uid="{342E6B49-F2C9-4B90-BE0E-B1EE355379AF}"/>
    <cellStyle name="40% - Accent5" xfId="37" builtinId="47" customBuiltin="1"/>
    <cellStyle name="40% - Accent5 2" xfId="52" xr:uid="{EA850B6E-5D09-44A1-B427-F742E6F6D8C9}"/>
    <cellStyle name="40% - Accent6" xfId="41" builtinId="51" customBuiltin="1"/>
    <cellStyle name="40% - Accent6 2" xfId="53" xr:uid="{B87FA1F3-5300-4271-A5F6-FCBEF4C73C59}"/>
    <cellStyle name="60% - Accent1" xfId="22" builtinId="32" customBuiltin="1"/>
    <cellStyle name="60% - Accent1 2" xfId="54" xr:uid="{84CAC3A4-117C-4C81-A147-36D5AADAC187}"/>
    <cellStyle name="60% - Accent2" xfId="26" builtinId="36" customBuiltin="1"/>
    <cellStyle name="60% - Accent2 2" xfId="55" xr:uid="{1082641A-2971-4240-8F26-65D935298B12}"/>
    <cellStyle name="60% - Accent3" xfId="30" builtinId="40" customBuiltin="1"/>
    <cellStyle name="60% - Accent3 2" xfId="56" xr:uid="{5750064B-8AA6-4709-A907-AB01059EE865}"/>
    <cellStyle name="60% - Accent4" xfId="34" builtinId="44" customBuiltin="1"/>
    <cellStyle name="60% - Accent4 2" xfId="57" xr:uid="{9470E206-6EFC-4D49-B205-A484964CDC71}"/>
    <cellStyle name="60% - Accent5" xfId="38" builtinId="48" customBuiltin="1"/>
    <cellStyle name="60% - Accent5 2" xfId="58" xr:uid="{0C7C3777-EE94-4D7B-AC15-53A1E2A3D715}"/>
    <cellStyle name="60% - Accent6" xfId="42" builtinId="52" customBuiltin="1"/>
    <cellStyle name="60% - Accent6 2" xfId="59" xr:uid="{2099BD34-C388-4627-81C6-D0DBEED86B19}"/>
    <cellStyle name="A. año:-" xfId="60" xr:uid="{F8214FDC-9C6D-4222-8EEC-B118D263C539}"/>
    <cellStyle name="A. fecha hora:-" xfId="61" xr:uid="{3D699C6A-1AE5-4096-8E59-44CC79588502}"/>
    <cellStyle name="A. fecha mes año:-" xfId="62" xr:uid="{33BCB6BA-35EE-44D6-8F88-F8C528A95729}"/>
    <cellStyle name="A. fecha:-" xfId="63" xr:uid="{697883F0-E34A-4952-9C04-8F519433B5B8}"/>
    <cellStyle name="A. indicador número:-" xfId="64" xr:uid="{BE2E5CDD-C68E-43D9-89AF-9812766F8E73}"/>
    <cellStyle name="A. moneda:-" xfId="65" xr:uid="{E327F633-9300-4640-A87F-AD3EF2C6634A}"/>
    <cellStyle name="A. múltiplo:-" xfId="66" xr:uid="{94B93886-ED35-4936-BB5E-C8717CA2D10A}"/>
    <cellStyle name="A. número:-" xfId="67" xr:uid="{C8A0DA03-92F1-4E28-8123-700B8E8D13C5}"/>
    <cellStyle name="A. número:- 2" xfId="68" xr:uid="{AB54918E-DCDD-49A0-8AEF-51D0E605F89E}"/>
    <cellStyle name="A. número:- 3" xfId="69" xr:uid="{614591CF-7F51-44F4-846F-D8ED49AE7337}"/>
    <cellStyle name="A. porcentaje:-" xfId="70" xr:uid="{F7ED88DC-2692-44B3-B8E0-C991A6A4E58F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1. anotación:-" xfId="71" xr:uid="{CF89DF56-DC9E-4C0E-9544-B52361C3BD3D}"/>
    <cellStyle name="B2. cálculo interno:-" xfId="72" xr:uid="{5F5BF0AE-8C20-4113-87CA-1BC7A0324623}"/>
    <cellStyle name="B2. cálculo interno:- 2" xfId="73" xr:uid="{4AFAA83A-B73F-4B78-8DB0-1E5181398014}"/>
    <cellStyle name="B2. cálculo interno:- 3" xfId="74" xr:uid="{6F304F2F-629A-43C5-8208-42ACC1604BFA}"/>
    <cellStyle name="B3. parámetro interno:-" xfId="75" xr:uid="{5436C304-5065-4C28-B699-6FDD397213A8}"/>
    <cellStyle name="B3. parámetro interno:- 2" xfId="76" xr:uid="{D127CF3A-893D-4B02-802D-4E4019C7CBE9}"/>
    <cellStyle name="B3. parámetro interno:- 3" xfId="77" xr:uid="{D4028E81-6058-4E94-B85C-A984875385EF}"/>
    <cellStyle name="B4. resultado interno:-" xfId="78" xr:uid="{3E32A873-DEF6-4382-8770-B47419C848B5}"/>
    <cellStyle name="B5. col parám interno:-" xfId="79" xr:uid="{C6214710-4CFB-449F-A8A3-0C3A5F8DEB0B}"/>
    <cellStyle name="B6. trabajo progreso:-" xfId="80" xr:uid="{9E974E01-D6CE-4CFD-A440-70FFA0C2C350}"/>
    <cellStyle name="Bad" xfId="8" builtinId="27" customBuiltin="1"/>
    <cellStyle name="C1. total1:-" xfId="81" xr:uid="{4E361360-A9B6-42F6-9F72-E5DDF2478583}"/>
    <cellStyle name="C2. total2:-" xfId="82" xr:uid="{890F6E41-0CE6-4D92-8582-5D0DD0015F81}"/>
    <cellStyle name="C3. subtotal:-" xfId="83" xr:uid="{1E8C72E9-00AD-409D-BF71-64095ECA40BD}"/>
    <cellStyle name="Calculation" xfId="12" builtinId="22" customBuiltin="1"/>
    <cellStyle name="Check Cell" xfId="14" builtinId="23" customBuiltin="1"/>
    <cellStyle name="Check Cell 2" xfId="84" xr:uid="{19022B70-DC9A-4754-A66E-2BA5584CDF53}"/>
    <cellStyle name="Comma [0]" xfId="1" builtinId="6"/>
    <cellStyle name="Comma [0] 2" xfId="85" xr:uid="{203FAA8C-2224-448F-9341-50AC29410230}"/>
    <cellStyle name="Comma [0] 3" xfId="86" xr:uid="{3B8216AB-B228-4D8D-A51D-0BD5FBCBA0D6}"/>
    <cellStyle name="D. enc glo1:-" xfId="87" xr:uid="{1934CBF3-EBCC-4A08-8B5E-1534AD3B1ABB}"/>
    <cellStyle name="D. enc glo2:-" xfId="88" xr:uid="{AC67512F-3869-489F-96DE-FFE519959D25}"/>
    <cellStyle name="E. enc tabla1:-" xfId="89" xr:uid="{FEAC9E9D-FD80-470C-9252-B9A79F38E7A4}"/>
    <cellStyle name="E. enc tabla2:-" xfId="90" xr:uid="{CDDA3805-305D-4CE4-98F2-861242E8C823}"/>
    <cellStyle name="E. enc1:-" xfId="91" xr:uid="{917031AF-EFBA-4742-B5F4-85A43EA49B65}"/>
    <cellStyle name="E. enc1:- 2" xfId="92" xr:uid="{2F909EEC-D69D-4572-B6FF-C7C1D03BC78A}"/>
    <cellStyle name="E. enc2:-" xfId="93" xr:uid="{A2D16352-DE78-4550-A2BB-C499A8E8D08A}"/>
    <cellStyle name="E. enc2:- 2" xfId="94" xr:uid="{54F26A9B-0EF9-40D4-8868-98E18FCFCE8A}"/>
    <cellStyle name="E. enc3:-" xfId="95" xr:uid="{1B98E221-4F34-4C3D-B8EB-CFA2EF8A90FA}"/>
    <cellStyle name="E. enc4:-" xfId="96" xr:uid="{5139ED2B-4E6D-489D-AFDE-F54DE36EB910}"/>
    <cellStyle name="E. enc5:-" xfId="97" xr:uid="{9CD173EA-E55D-4288-957C-0B1818425F46}"/>
    <cellStyle name="E. enc6:-" xfId="98" xr:uid="{62464161-06D0-4523-ACC0-DF5E2AF8E1E0}"/>
    <cellStyle name="Encabezado 1:-" xfId="99" xr:uid="{51F2E35F-79A3-4F9A-B540-98104DA6DA70}"/>
    <cellStyle name="Encabezado 2.1:-" xfId="100" xr:uid="{C72CF8EE-63C1-44A7-B500-D651283F3959}"/>
    <cellStyle name="Encabezado 2:-" xfId="101" xr:uid="{8310637B-EF4C-451D-9FC2-BB5516C63357}"/>
    <cellStyle name="Encabezado 3:-" xfId="102" xr:uid="{212C56EF-76AB-42E7-AA1F-5222034F76DC}"/>
    <cellStyle name="Encabezado 4:-" xfId="103" xr:uid="{46683925-1502-4345-85C2-D9F0D9A15BBA}"/>
    <cellStyle name="Explanatory Text" xfId="17" builtinId="53" customBuiltin="1"/>
    <cellStyle name="Explanatory Text 2" xfId="104" xr:uid="{BA698A7C-970F-43FB-BF43-62C65EB1EB82}"/>
    <cellStyle name="Fecha:-" xfId="105" xr:uid="{F86AFA95-9C7C-490A-A4E0-19D45CF1CCE7}"/>
    <cellStyle name="Good" xfId="7" builtinId="26" customBuiltin="1"/>
    <cellStyle name="Good 2" xfId="177" xr:uid="{3DE15517-4BF4-4A2C-A9B1-9082679ACD89}"/>
    <cellStyle name="Heading 1" xfId="3" builtinId="16" customBuiltin="1"/>
    <cellStyle name="Heading 1 2" xfId="106" xr:uid="{531705E9-87CA-4946-BAA1-B3578C44E4E2}"/>
    <cellStyle name="Heading 2" xfId="4" builtinId="17" customBuiltin="1"/>
    <cellStyle name="Heading 2 2" xfId="107" xr:uid="{B566EE9A-1D85-4F5A-A4E4-84B861F29C18}"/>
    <cellStyle name="Heading 3" xfId="5" builtinId="18" customBuiltin="1"/>
    <cellStyle name="Heading 3 2" xfId="108" xr:uid="{BF1564D5-3ADA-4515-AA98-C0578C1C31D1}"/>
    <cellStyle name="Heading 4" xfId="6" builtinId="19" customBuiltin="1"/>
    <cellStyle name="Heading 4 2" xfId="109" xr:uid="{D7124187-C216-480F-9B36-6E4996854ED3}"/>
    <cellStyle name="Hipervínculo ícono:-" xfId="110" xr:uid="{2A80B6AC-AF09-473E-8DFB-F1D49BA60725}"/>
    <cellStyle name="Hipervínculo Texto:-" xfId="111" xr:uid="{2C2BA0EB-12D1-47A6-BC94-B1C8A77ECB17}"/>
    <cellStyle name="Hyperlink" xfId="180" builtinId="8"/>
    <cellStyle name="Input" xfId="10" builtinId="20" customBuiltin="1"/>
    <cellStyle name="Linked Cell" xfId="13" builtinId="24" customBuiltin="1"/>
    <cellStyle name="Millares [0] 2" xfId="112" xr:uid="{7728AF40-E194-4BFB-A78D-3C95DFEBA0A0}"/>
    <cellStyle name="Millares [0] 2 2" xfId="113" xr:uid="{BC4C62C9-D1F3-4CF5-B78B-2896DD59E27C}"/>
    <cellStyle name="Millares [0] 2 2 2" xfId="114" xr:uid="{35603A13-EF0E-45B2-8BE9-5BA1FD116320}"/>
    <cellStyle name="Millares [0] 2 2 2 2" xfId="115" xr:uid="{7E2B9B8A-CE6E-496F-AE5F-6BCE7FE81877}"/>
    <cellStyle name="Millares [0] 2 3" xfId="116" xr:uid="{FF16C565-D430-46E1-BC78-FA25F63073AB}"/>
    <cellStyle name="Millares [0] 3" xfId="117" xr:uid="{A4CD740D-A386-4548-86E7-9D43A0A4EE38}"/>
    <cellStyle name="Millares [0] 3 2" xfId="118" xr:uid="{8ADB6165-2924-43ED-9D97-24C245590C8A}"/>
    <cellStyle name="Millares [0] 4" xfId="119" xr:uid="{EF5BB779-D2F9-40D1-9B6C-5ADC4DE41F33}"/>
    <cellStyle name="Millares [0] 4 2" xfId="120" xr:uid="{5C5E7B80-B8AF-4F39-8228-A284DDB49E6E}"/>
    <cellStyle name="Millares [0] 5" xfId="121" xr:uid="{6B3E50DA-B3FD-4660-9F30-FDC153C2E7E9}"/>
    <cellStyle name="Millares [0] 5 2" xfId="122" xr:uid="{C7206531-D61B-4AB1-BF55-EEDF15EEBD16}"/>
    <cellStyle name="Millares [0] 6" xfId="123" xr:uid="{9263DC2F-229A-4437-BEA9-F0E81B3C93C3}"/>
    <cellStyle name="Millares 2" xfId="124" xr:uid="{53AC7ABF-7E71-4D0A-BDCE-EE0EA3126D32}"/>
    <cellStyle name="Millares 2 2" xfId="125" xr:uid="{39361F3A-AF2C-4FA4-B9AF-8A9307F7C908}"/>
    <cellStyle name="Millares 3" xfId="126" xr:uid="{62B25072-16AC-4A36-90EF-F43D4E9A8AD7}"/>
    <cellStyle name="Millares 4" xfId="127" xr:uid="{D3D3C927-5F57-4DB0-AA4F-862C6DF44C80}"/>
    <cellStyle name="Millares 5" xfId="128" xr:uid="{0EBDFA35-BAA3-4898-AC5F-C0EE2AA7E600}"/>
    <cellStyle name="Modelo parámetro interno:-" xfId="129" xr:uid="{69E65138-13CA-48AC-B121-7AD81C277915}"/>
    <cellStyle name="Neutral" xfId="9" builtinId="28" customBuiltin="1"/>
    <cellStyle name="Nombre modelo:-" xfId="130" xr:uid="{F2CF1F01-4995-4B1E-9C0B-13EFA9E5BD75}"/>
    <cellStyle name="Normal" xfId="0" builtinId="0" customBuiltin="1"/>
    <cellStyle name="Normal 10 2" xfId="131" xr:uid="{F1446B1C-36F5-43FF-B932-4E4B50617D91}"/>
    <cellStyle name="Note" xfId="16" builtinId="10" customBuiltin="1"/>
    <cellStyle name="Número:-" xfId="132" xr:uid="{26DA4A3E-52E5-4837-A890-E660EF43EEB6}"/>
    <cellStyle name="Output" xfId="11" builtinId="21" customBuiltin="1"/>
    <cellStyle name="P. año:-" xfId="133" xr:uid="{50208822-757A-4B42-9C3C-CA9DE53433EC}"/>
    <cellStyle name="P. fecha hora:-" xfId="134" xr:uid="{4CF368B8-3827-4E7A-9EB6-F174F1C9E2E8}"/>
    <cellStyle name="P. fecha mes año:-" xfId="135" xr:uid="{4C393654-4F9A-44E7-A72C-26B16DB47151}"/>
    <cellStyle name="P. fecha:-" xfId="136" xr:uid="{AEF0958D-7047-4B0B-ADA8-730FC1D16189}"/>
    <cellStyle name="P. indicador número:-" xfId="137" xr:uid="{53B3F0A1-7486-4C8A-8496-5ADB6330AFEB}"/>
    <cellStyle name="P. moneda:-" xfId="138" xr:uid="{55714F9F-76A4-49C9-8C58-771A121A03A5}"/>
    <cellStyle name="P. múltiplo:-" xfId="139" xr:uid="{5FD88168-EEC3-4DAC-B1E8-2FE72AB3D58C}"/>
    <cellStyle name="P. normal:-" xfId="140" xr:uid="{2D42F198-2E9A-4D08-9DCE-2EF8CDF69EB7}"/>
    <cellStyle name="P. número:-" xfId="141" xr:uid="{03899A7F-2B98-49D5-BEE0-8C5A95882E04}"/>
    <cellStyle name="P. número:- 2" xfId="142" xr:uid="{FEB1766D-A291-4787-923D-5822D2A24720}"/>
    <cellStyle name="P. número:- 3" xfId="143" xr:uid="{F2DEA8CA-DAAE-4C22-8870-972B224B3946}"/>
    <cellStyle name="P. porcentaje:-" xfId="144" xr:uid="{253A7401-6430-4A5C-A827-5827FA4EC989}"/>
    <cellStyle name="Percent" xfId="176" builtinId="5"/>
    <cellStyle name="Percent 2" xfId="145" xr:uid="{30BECA8E-FF70-4731-AA98-F7083E2A6B59}"/>
    <cellStyle name="Porcentaje:-" xfId="146" xr:uid="{A80B7291-824D-4C92-BA09-708EF07CF2C7}"/>
    <cellStyle name="Q1. pres total1:-" xfId="147" xr:uid="{E8A454D7-9FCC-4328-81FD-13F5E69D50FC}"/>
    <cellStyle name="Q1. pres total1:- 2" xfId="178" xr:uid="{4B4F8BA5-1CBA-4254-8A59-7B6D5B911381}"/>
    <cellStyle name="Q2. pres total2:-" xfId="148" xr:uid="{FF473D40-FF76-4210-8497-54327E8801FC}"/>
    <cellStyle name="Q3. pres subtotal:-" xfId="149" xr:uid="{4A184FFA-8623-462E-94C3-0D8E2BA19A28}"/>
    <cellStyle name="S. año:-" xfId="150" xr:uid="{72F4DE77-6E95-42E8-96A6-82AC1180D871}"/>
    <cellStyle name="S. columna :-" xfId="151" xr:uid="{5EEC68C6-2A2A-4A95-8297-4EF12EF81C0A}"/>
    <cellStyle name="S. columna:-" xfId="152" xr:uid="{56B63EDE-97B0-4C35-AD3E-49D47A7A8DE0}"/>
    <cellStyle name="S. fecha hora:-" xfId="153" xr:uid="{F2DFAF4D-D45F-40EC-BF66-49430A17FBA2}"/>
    <cellStyle name="S. fecha mes año:-" xfId="154" xr:uid="{3BDBB45A-66D0-42D3-B167-721F95A16E8B}"/>
    <cellStyle name="S. fecha:-" xfId="155" xr:uid="{32863881-3B06-4A6D-840F-1BBC5E11118E}"/>
    <cellStyle name="S. indicador número:-" xfId="156" xr:uid="{B03C44A3-4085-455D-B599-0DE8F3A34512}"/>
    <cellStyle name="S. moneda:-" xfId="157" xr:uid="{D7B6E0CA-C79A-43D7-B912-1DBF7A536EB3}"/>
    <cellStyle name="S. múltiplo:-" xfId="158" xr:uid="{22FBB00B-C0F7-4CDF-B47A-38002AFC0F35}"/>
    <cellStyle name="S. número:-" xfId="159" xr:uid="{149E3D80-66FD-48E1-BC86-06056E85E80D}"/>
    <cellStyle name="S. número:- 2" xfId="179" xr:uid="{4AC9BE92-B52F-4992-A6C2-500809675656}"/>
    <cellStyle name="S. número:- 3" xfId="160" xr:uid="{C8558A42-DF62-43FA-8C71-867344B62212}"/>
    <cellStyle name="S. porcentaje:-" xfId="161" xr:uid="{536A3F73-3D42-4750-BF14-01DDB82C4CB6}"/>
    <cellStyle name="S. texto:-" xfId="162" xr:uid="{FB9E0EF0-1B99-431F-9DAF-1F12BE334903}"/>
    <cellStyle name="Supuesto Año:-" xfId="163" xr:uid="{F4DC4A52-B24D-44ED-9F8D-48F359129AAC}"/>
    <cellStyle name="Supuesto Fecha:-" xfId="164" xr:uid="{73BD99D8-D1A1-4E4D-B175-E60A06A41FDF}"/>
    <cellStyle name="Supuesto Número:-" xfId="165" xr:uid="{64109937-C6B8-476F-BE65-EFA89B8E2D45}"/>
    <cellStyle name="Supuesto Porcentaje:-" xfId="166" xr:uid="{917E34D8-1D32-4964-B366-0EB76D388C2F}"/>
    <cellStyle name="Supuesto Texto:-" xfId="167" xr:uid="{6BDFAE5B-B259-482C-A2D5-567B34D617D1}"/>
    <cellStyle name="T. título1:-" xfId="168" xr:uid="{EF3DD150-F307-4DC7-8C98-E0EC853A9B12}"/>
    <cellStyle name="T. título1:- 2" xfId="169" xr:uid="{A8E50ACF-9902-493F-8BE0-C853A2565D78}"/>
    <cellStyle name="T. título2:-" xfId="170" xr:uid="{E6C0E0CD-3894-4B03-A041-8B58F7B8285C}"/>
    <cellStyle name="T. título3:-" xfId="171" xr:uid="{2EFC8DB6-6938-45CC-9AA6-992137CF9F8D}"/>
    <cellStyle name="T. título4:-" xfId="172" xr:uid="{71154F1F-7BC7-4B07-A2A5-6F81146B51E3}"/>
    <cellStyle name="T. título5:-" xfId="173" xr:uid="{7711AE29-D76A-4DEC-A6F7-C8A6EB1B4583}"/>
    <cellStyle name="Title" xfId="2" builtinId="15" customBuiltin="1"/>
    <cellStyle name="Title 2" xfId="174" xr:uid="{4CCA673F-D7AF-439E-AD2E-B310EB2E8A4B}"/>
    <cellStyle name="Título Hoja:-" xfId="175" xr:uid="{BC26CBA3-5550-4186-A4CF-B9E805670445}"/>
    <cellStyle name="Total" xfId="18" builtinId="25" customBuiltin="1"/>
    <cellStyle name="Warning Text" xfId="15" builtinId="11" customBuiltin="1"/>
  </cellStyles>
  <dxfs count="2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0" formatCode="General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sz val="9"/>
        <color theme="1" tint="0.24994659260841701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0" formatCode="General"/>
    </dxf>
    <dxf>
      <font>
        <sz val="9"/>
        <color theme="1" tint="0.24994659260841701"/>
      </font>
      <numFmt numFmtId="0" formatCode="General"/>
    </dxf>
    <dxf>
      <numFmt numFmtId="0" formatCode="General"/>
    </dxf>
    <dxf>
      <font>
        <sz val="9"/>
        <color theme="1" tint="0.24994659260841701"/>
      </font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27" formatCode="m/d/yyyy\ h:mm"/>
    </dxf>
    <dxf>
      <numFmt numFmtId="0" formatCode="General"/>
    </dxf>
    <dxf>
      <numFmt numFmtId="19" formatCode="m/d/yyyy"/>
    </dxf>
    <dxf>
      <numFmt numFmtId="27" formatCode="m/d/yyyy\ h:mm"/>
    </dxf>
    <dxf>
      <numFmt numFmtId="0" formatCode="General"/>
    </dxf>
    <dxf>
      <numFmt numFmtId="19" formatCode="m/d/yyyy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0" formatCode="General"/>
    </dxf>
    <dxf>
      <numFmt numFmtId="0" formatCode="General"/>
    </dxf>
    <dxf>
      <numFmt numFmtId="19" formatCode="m/d/yyyy"/>
    </dxf>
    <dxf>
      <numFmt numFmtId="27" formatCode="m/d/yyyy\ h:mm"/>
    </dxf>
    <dxf>
      <numFmt numFmtId="0" formatCode="General"/>
    </dxf>
    <dxf>
      <numFmt numFmtId="0" formatCode="General"/>
    </dxf>
    <dxf>
      <numFmt numFmtId="19" formatCode="m/d/yyyy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19" formatCode="m/d/yyyy"/>
    </dxf>
    <dxf>
      <numFmt numFmtId="27" formatCode="m/d/yyyy\ h:mm"/>
    </dxf>
    <dxf>
      <numFmt numFmtId="19" formatCode="m/d/yyyy"/>
    </dxf>
    <dxf>
      <numFmt numFmtId="19" formatCode="m/d/yyyy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sz val="9"/>
        <color theme="1" tint="0.24994659260841701"/>
      </font>
      <numFmt numFmtId="0" formatCode="General"/>
    </dxf>
    <dxf>
      <font>
        <sz val="9"/>
        <color theme="1" tint="0.24994659260841701"/>
      </font>
      <numFmt numFmtId="0" formatCode="General"/>
    </dxf>
    <dxf>
      <font>
        <sz val="9"/>
        <color theme="1" tint="0.24994659260841701"/>
      </font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177" formatCode="yyyy\-mmm\-dd;@"/>
    </dxf>
    <dxf>
      <numFmt numFmtId="176" formatCode="dddd"/>
      <alignment horizontal="left" vertical="bottom" textRotation="0" wrapText="0" indent="0" justifyLastLine="0" shrinkToFit="0" readingOrder="0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77" formatCode="yyyy\-mmm\-dd;@"/>
    </dxf>
    <dxf>
      <numFmt numFmtId="177" formatCode="yyyy\-mmm\-dd;@"/>
    </dxf>
    <dxf>
      <numFmt numFmtId="1" formatCode="0"/>
      <alignment horizontal="left" vertical="bottom" textRotation="0" wrapText="0" indent="0" justifyLastLine="0" shrinkToFit="0" readingOrder="0"/>
    </dxf>
    <dxf>
      <numFmt numFmtId="13" formatCode="0%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178" formatCode="_(* #,##0.00_);_(* \(#,##0.0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178" formatCode="_(* #,##0.00_);_(* \(#,##0.00\);_(* &quot;-&quot;_);_(@_)"/>
    </dxf>
    <dxf>
      <numFmt numFmtId="178" formatCode="_(* #,##0.00_);_(* \(#,##0.00\);_(* &quot;-&quot;_);_(@_)"/>
    </dxf>
    <dxf>
      <numFmt numFmtId="178" formatCode="_(* #,##0.00_);_(* \(#,##0.0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33" formatCode="_(* #,##0_);_(* \(#,##0\);_(* &quot;-&quot;_);_(@_)"/>
    </dxf>
    <dxf>
      <numFmt numFmtId="177" formatCode="yyyy\-mmm\-dd;@"/>
    </dxf>
    <dxf>
      <numFmt numFmtId="177" formatCode="yyyy\-mmm\-dd;@"/>
    </dxf>
    <dxf>
      <numFmt numFmtId="1" formatCode="0"/>
      <alignment horizontal="left" vertical="bottom" textRotation="0" wrapText="0" indent="0" justifyLastLine="0" shrinkToFit="0" readingOrder="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 tint="0.24994659260841701"/>
        <name val="Calibri"/>
        <family val="2"/>
        <scheme val="minor"/>
      </font>
    </dxf>
    <dxf>
      <numFmt numFmtId="0" formatCode="General"/>
    </dxf>
    <dxf>
      <numFmt numFmtId="19" formatCode="m/d/yyyy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2" tint="-0.499984740745262"/>
      </font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i val="0"/>
      </font>
      <border>
        <top style="thin">
          <color theme="4"/>
        </top>
      </border>
    </dxf>
    <dxf>
      <font>
        <b/>
        <color theme="1"/>
      </font>
      <border>
        <top style="thin">
          <color theme="4"/>
        </top>
      </border>
    </dxf>
    <dxf>
      <font>
        <b/>
        <color theme="1"/>
      </font>
      <border>
        <top style="double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</dxfs>
  <tableStyles count="1" defaultTableStyle="TableStyleMedium2" defaultPivotStyle="PivotStyleLight16">
    <tableStyle name="PivotStyle Modelo Reporte" table="0" count="13" xr9:uid="{2991C115-510C-401F-A652-16F7CB7F36F7}">
      <tableStyleElement type="headerRow" dxfId="269"/>
      <tableStyleElement type="totalRow" dxfId="268"/>
      <tableStyleElement type="firstRowStripe" dxfId="267"/>
      <tableStyleElement type="firstColumnStripe" dxfId="266"/>
      <tableStyleElement type="firstSubtotalColumn" dxfId="265"/>
      <tableStyleElement type="firstSubtotalRow" dxfId="264"/>
      <tableStyleElement type="secondSubtotalRow" dxfId="263"/>
      <tableStyleElement type="thirdSubtotalRow" dxfId="262"/>
      <tableStyleElement type="firstRowSubheading" dxfId="261"/>
      <tableStyleElement type="secondRowSubheading" dxfId="260"/>
      <tableStyleElement type="thirdRowSubheading" dxfId="259"/>
      <tableStyleElement type="pageFieldLabels" dxfId="258"/>
      <tableStyleElement type="pageFieldValues" dxfId="25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AAC338-B1F0-4655-A289-E5B9ACD466F2}" autoFormatId="16" applyNumberFormats="0" applyBorderFormats="0" applyFontFormats="0" applyPatternFormats="0" applyAlignmentFormats="0" applyWidthHeightFormats="0">
  <queryTableRefresh nextId="9">
    <queryTableFields count="6">
      <queryTableField id="1" name="Código" tableColumnId="1"/>
      <queryTableField id="2" name="Nombre" tableColumnId="2"/>
      <queryTableField id="3" name="Activo" tableColumnId="3"/>
      <queryTableField id="4" name="Tipo" tableColumnId="4"/>
      <queryTableField id="7" name="Categoria" tableColumnId="7"/>
      <queryTableField id="6" name="Clasificación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56B4AD52-BAC2-4343-988A-8D02910FBB6F}" autoFormatId="16" applyNumberFormats="0" applyBorderFormats="0" applyFontFormats="0" applyPatternFormats="0" applyAlignmentFormats="0" applyWidthHeightFormats="0">
  <queryTableRefresh nextId="17">
    <queryTableFields count="6">
      <queryTableField id="1" name="period" tableColumnId="1"/>
      <queryTableField id="14" name="category" tableColumnId="9"/>
      <queryTableField id="12" name="thirdparty_name" tableColumnId="8"/>
      <queryTableField id="5" name="account_name" tableColumnId="5"/>
      <queryTableField id="2" name="costs_fixed" tableColumnId="2"/>
      <queryTableField id="3" name="costs_variabl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" xr16:uid="{30B651F3-B5AD-47AC-BD31-969773E9196B}" autoFormatId="16" applyNumberFormats="0" applyBorderFormats="0" applyFontFormats="0" applyPatternFormats="0" applyAlignmentFormats="0" applyWidthHeightFormats="0">
  <queryTableRefresh nextId="10">
    <queryTableFields count="9">
      <queryTableField id="1" name="Código" tableColumnId="1"/>
      <queryTableField id="2" name="Nombre" tableColumnId="2"/>
      <queryTableField id="3" name="Nivel" tableColumnId="3"/>
      <queryTableField id="4" name="Transaccional" tableColumnId="4"/>
      <queryTableField id="5" name="Activo" tableColumnId="5"/>
      <queryTableField id="6" name="Parent" tableColumnId="6"/>
      <queryTableField id="7" name="HasChildren" tableColumnId="7"/>
      <queryTableField id="8" name="Tipo" tableColumnId="8"/>
      <queryTableField id="9" name="Fecha Actualizació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C2662A50-E9E7-4980-BBCA-D051A3AEF88E}" autoFormatId="16" applyNumberFormats="0" applyBorderFormats="0" applyFontFormats="0" applyPatternFormats="0" applyAlignmentFormats="0" applyWidthHeightFormats="0">
  <queryTableRefresh nextId="8">
    <queryTableFields count="5">
      <queryTableField id="1" name="day" tableColumnId="1"/>
      <queryTableField id="2" name="referrer_source" tableColumnId="2"/>
      <queryTableField id="4" name="sessions" tableColumnId="4"/>
      <queryTableField id="5" name="sessions_that_completed_checkout" tableColumnId="5"/>
      <queryTableField id="3" name="conversion_rate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3" xr16:uid="{B181D404-9708-435A-BE35-4A650267B326}" autoFormatId="16" applyNumberFormats="0" applyBorderFormats="0" applyFontFormats="0" applyPatternFormats="0" applyAlignmentFormats="0" applyWidthHeightFormats="0">
  <queryTableRefresh nextId="10">
    <queryTableFields count="6">
      <queryTableField id="8" name="day" tableColumnId="7"/>
      <queryTableField id="2" name="source" tableColumnId="2"/>
      <queryTableField id="6" name="new_or_returning_customer" tableColumnId="6"/>
      <queryTableField id="3" name="product_title" tableColumnId="3"/>
      <queryTableField id="4" name="quantity_ordered" tableColumnId="4"/>
      <queryTableField id="5" name="net_sales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5" xr16:uid="{5CB91CC9-DDD5-46D2-8F98-FBEFE8408D24}" autoFormatId="16" applyNumberFormats="0" applyBorderFormats="0" applyFontFormats="0" applyPatternFormats="0" applyAlignmentFormats="0" applyWidthHeightFormats="0">
  <queryTableRefresh nextId="126">
    <queryTableFields count="86">
      <queryTableField id="4" name="day" tableColumnId="4"/>
      <queryTableField id="28" name="orders" tableColumnId="23"/>
      <queryTableField id="29" name="quantity_ordered_per_order" tableColumnId="24"/>
      <queryTableField id="30" name="average_order_value" tableColumnId="25"/>
      <queryTableField id="31" name="quantity_returned" tableColumnId="26"/>
      <queryTableField id="5" name="gross_sales" tableColumnId="5"/>
      <queryTableField id="6" name="discounts" tableColumnId="6"/>
      <queryTableField id="13" name="sales_reversals" tableColumnId="11"/>
      <queryTableField id="7" name="net_sales" tableColumnId="7"/>
      <queryTableField id="14" name="shipping_charges" tableColumnId="12"/>
      <queryTableField id="15" name="return_fees" tableColumnId="13"/>
      <queryTableField id="8" name="taxes" tableColumnId="8"/>
      <queryTableField id="16" name="total_sales" tableColumnId="14"/>
      <queryTableField id="17" name="net_sales_without_cost_recorded" tableColumnId="15"/>
      <queryTableField id="18" name="net_sales_with_cost_recorded" tableColumnId="16"/>
      <queryTableField id="19" name="cost_of_goods_sold" tableColumnId="17"/>
      <queryTableField id="20" name="gross_profit" tableColumnId="18"/>
      <queryTableField id="21" name="gift_card_gross_sales" tableColumnId="19"/>
      <queryTableField id="22" name="net_items_sold" tableColumnId="20"/>
      <queryTableField id="23" name="gift_card_discounts" tableColumnId="21"/>
      <queryTableField id="24" name="gift_card_net_sales" tableColumnId="22"/>
      <queryTableField id="124" name="refresh_date" tableColumnId="29"/>
      <queryTableField id="36" name="returning_customers" tableColumnId="27"/>
      <queryTableField id="37" name="returning_orders" tableColumnId="28"/>
      <queryTableField id="72" name="returning_net_sales" tableColumnId="52"/>
      <queryTableField id="73" name="returning_average_order_value" tableColumnId="53"/>
      <queryTableField id="91" name="returning_cost_of_goods_sold" tableColumnId="62"/>
      <queryTableField id="97" name="returning_gross_profit" tableColumnId="65"/>
      <queryTableField id="39" name="new_customers" tableColumnId="30"/>
      <queryTableField id="40" name="new_orders" tableColumnId="31"/>
      <queryTableField id="74" name="new_net_sales" tableColumnId="54"/>
      <queryTableField id="75" name="new_average_order_value" tableColumnId="55"/>
      <queryTableField id="92" name="new_cost_of_goods_sold" tableColumnId="63"/>
      <queryTableField id="98" name="new_gross_profit" tableColumnId="66"/>
      <queryTableField id="42" name="unknown_customers" tableColumnId="33"/>
      <queryTableField id="43" name="unknown_orders" tableColumnId="34"/>
      <queryTableField id="76" name="unknown_net_sales" tableColumnId="56"/>
      <queryTableField id="77" name="unknown_average_order_value" tableColumnId="57"/>
      <queryTableField id="93" name="unknown_cost_of_goods_sold" tableColumnId="64"/>
      <queryTableField id="99" name="unknown_gross_profit" tableColumnId="67"/>
      <queryTableField id="45" name="GoogleAdsOperation.Cost" tableColumnId="36"/>
      <queryTableField id="46" name="GoogleAdsOperation.Avg. Cpc" tableColumnId="37"/>
      <queryTableField id="47" name="GoogleAdsOperation.Ctr" tableColumnId="38"/>
      <queryTableField id="48" name="GoogleAdsOperation.Search Impr. share" tableColumnId="39"/>
      <queryTableField id="49" name="GoogleAdsOperation.Impressions" tableColumnId="40"/>
      <queryTableField id="50" name="GoogleAdsOperation.Clicks" tableColumnId="41"/>
      <queryTableField id="54" name="MetaAdsOperation.spend" tableColumnId="9"/>
      <queryTableField id="55" name="MetaAdsOperation.clicks" tableColumnId="10"/>
      <queryTableField id="56" name="MetaAdsOperation.impressions" tableColumnId="42"/>
      <queryTableField id="57" name="Online Store_net_sales" tableColumnId="1"/>
      <queryTableField id="58" name="Online Store_orders" tableColumnId="2"/>
      <queryTableField id="65" name="Online Store_average_order_value" tableColumnId="48"/>
      <queryTableField id="84" name="Online Store_cost_of_goods_sold" tableColumnId="58"/>
      <queryTableField id="59" name="Tienda 81_net_sales" tableColumnId="3"/>
      <queryTableField id="60" name="Tienda 81_orders" tableColumnId="43"/>
      <queryTableField id="66" name="Tienda 81_average_order_value" tableColumnId="49"/>
      <queryTableField id="85" name="Tienda 81_cost_of_goods_sold" tableColumnId="59"/>
      <queryTableField id="61" name="Rappi_net_sales" tableColumnId="44"/>
      <queryTableField id="62" name="Rappi_orders" tableColumnId="45"/>
      <queryTableField id="67" name="Rappi_average_order_value" tableColumnId="50"/>
      <queryTableField id="86" name="Rappi_cost_of_goods_sold" tableColumnId="60"/>
      <queryTableField id="63" name="Corporativo no tienda_net_sales" tableColumnId="46"/>
      <queryTableField id="64" name="Corporativo no tienda_orders" tableColumnId="47"/>
      <queryTableField id="68" name="Corporativo no tienda_average_order_value" tableColumnId="51"/>
      <queryTableField id="87" name="Corporativo no tienda_cost_of_goods_sold" tableColumnId="61"/>
      <queryTableField id="103" name="unknown_sessions" tableColumnId="68"/>
      <queryTableField id="104" name="unknown_sessions_that_completed_checkout" tableColumnId="69"/>
      <queryTableField id="105" name="unknown_conversion_rate" tableColumnId="70"/>
      <queryTableField id="106" name="social_sessions" tableColumnId="71"/>
      <queryTableField id="107" name="social_sessions_that_completed_checkout" tableColumnId="72"/>
      <queryTableField id="108" name="social_conversion_rate" tableColumnId="73"/>
      <queryTableField id="109" name="search_sessions" tableColumnId="74"/>
      <queryTableField id="110" name="search_sessions_that_completed_checkout" tableColumnId="75"/>
      <queryTableField id="111" name="search_conversion_rate" tableColumnId="76"/>
      <queryTableField id="112" name="paid_sessions" tableColumnId="77"/>
      <queryTableField id="113" name="paid_sessions_that_completed_checkout" tableColumnId="78"/>
      <queryTableField id="114" name="paid_conversion_rate" tableColumnId="79"/>
      <queryTableField id="115" name="direct_sessions" tableColumnId="80"/>
      <queryTableField id="116" name="direct_sessions_that_completed_checkout" tableColumnId="81"/>
      <queryTableField id="117" name="direct_conversion_rate" tableColumnId="82"/>
      <queryTableField id="118" name="Total site_sessions" tableColumnId="83"/>
      <queryTableField id="119" name="Total site_sessions_that_completed_checkout" tableColumnId="84"/>
      <queryTableField id="120" name="Total site_conversion_rate" tableColumnId="85"/>
      <queryTableField id="121" name="email_sessions" tableColumnId="86"/>
      <queryTableField id="122" name="email_sessions_that_completed_checkout" tableColumnId="87"/>
      <queryTableField id="123" name="email_conversion_rate" tableColumnId="8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9" xr16:uid="{CE7A7EA9-0DD3-418F-BE14-12F290769E65}" autoFormatId="16" applyNumberFormats="0" applyBorderFormats="0" applyFontFormats="0" applyPatternFormats="0" applyAlignmentFormats="0" applyWidthHeightFormats="0">
  <queryTableRefresh nextId="21">
    <queryTableFields count="8">
      <queryTableField id="1" name="day" tableColumnId="1"/>
      <queryTableField id="2" name="order_utm_campaign" tableColumnId="2"/>
      <queryTableField id="3" name="order_referrer_source" tableColumnId="3"/>
      <queryTableField id="7" name="Total_Sales_Combined" tableColumnId="7"/>
      <queryTableField id="16" name="refresh_date" tableColumnId="11"/>
      <queryTableField id="4" name="google" tableColumnId="4"/>
      <queryTableField id="5" name="facebook" tableColumnId="5"/>
      <queryTableField id="6" name="sin identificar" tableColumnId="6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6" xr16:uid="{5A2661AE-0878-4236-9EC7-B81488473177}" autoFormatId="16" applyNumberFormats="0" applyBorderFormats="0" applyFontFormats="0" applyPatternFormats="0" applyAlignmentFormats="0" applyWidthHeightFormats="0">
  <queryTableRefresh nextId="14">
    <queryTableFields count="7">
      <queryTableField id="7" name="day" tableColumnId="7"/>
      <queryTableField id="8" name="channel" tableColumnId="8"/>
      <queryTableField id="9" name="net_sales" tableColumnId="9"/>
      <queryTableField id="10" name="orders" tableColumnId="10"/>
      <queryTableField id="11" name="average_order_value" tableColumnId="1"/>
      <queryTableField id="12" name="cost_of_goods_sold" tableColumnId="2"/>
      <queryTableField id="13" name="gross_profit" tableColumnId="3"/>
    </queryTableFields>
  </queryTableRefresh>
</queryTable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88889BC-22E2-4727-9784-D92652E54D7D}" name="TableMonthlySummary" displayName="TableMonthlySummary" ref="B7:AL31" totalsRowShown="0">
  <autoFilter ref="B7:AL31" xr:uid="{15DFDC4C-6E81-4A13-8C39-5B9B1A7C1495}"/>
  <tableColumns count="37">
    <tableColumn id="1" xr3:uid="{583983C6-5702-4643-AACA-8AD32F38A558}" name="Mes" dataDxfId="251">
      <calculatedColumnFormula>MONTH(TableMonthlySummary[[#This Row],[Hasta]])</calculatedColumnFormula>
    </tableColumn>
    <tableColumn id="2" xr3:uid="{B0D3C832-6FF0-4A71-AF20-D23AAFBA4826}" name="Desde" dataDxfId="250">
      <calculatedColumnFormula>_xlfn.LET(
    _xlpm.fechaini, ParamFechaInicioReporte,
    IF(ROW()=8, _xlpm.fechaini, EDATE(C7, 1))
)</calculatedColumnFormula>
    </tableColumn>
    <tableColumn id="21" xr3:uid="{87A16A1B-1346-455D-9300-516D5B36A533}" name="Hasta" dataDxfId="249">
      <calculatedColumnFormula>EOMONTH(TableMonthlySummary[[#This Row],[Desde]], 0)</calculatedColumnFormula>
    </tableColumn>
    <tableColumn id="3" xr3:uid="{E7288ACE-F660-40CF-ADF0-1BFA3E230628}" name="Ventas netas totales" dataDxfId="248" dataCellStyle="Comma [0]">
      <calculatedColumnFormula>SUMIFS(TableDailySummary[Ventas netas totales],TableDailySummary[Fecha],"&gt;="&amp;TableMonthlySummary[[#This Row],[Desde]],TableDailySummary[Fecha],"&lt;="&amp;TableMonthlySummary[[#This Row],[Hasta]])</calculatedColumnFormula>
    </tableColumn>
    <tableColumn id="4" xr3:uid="{1391DA16-964C-4250-AAA6-28651351D7F3}" name="Órdenes totales" dataDxfId="247" dataCellStyle="Comma [0]">
      <calculatedColumnFormula>SUMIFS(TableDailySummary[Órdenes totales],TableDailySummary[Fecha],"&gt;="&amp;TableMonthlySummary[[#This Row],[Desde]],TableDailySummary[Fecha],"&lt;="&amp;TableMonthlySummary[[#This Row],[Hasta]])</calculatedColumnFormula>
    </tableColumn>
    <tableColumn id="5" xr3:uid="{FB2CFFC5-3429-4ED2-ACA3-37F527139C29}" name="Ventas primer cliente" dataDxfId="246" dataCellStyle="Comma [0]">
      <calculatedColumnFormula>SUMIFS(TableDailySummary[Ventas primer cliente],TableDailySummary[Fecha],"&gt;="&amp;TableMonthlySummary[[#This Row],[Desde]],TableDailySummary[Fecha],"&lt;="&amp;TableMonthlySummary[[#This Row],[Hasta]])</calculatedColumnFormula>
    </tableColumn>
    <tableColumn id="6" xr3:uid="{C5438240-1F42-4E1F-807D-5375D7985984}" name="Órdenes primer cliente" dataDxfId="245" dataCellStyle="Comma [0]">
      <calculatedColumnFormula>SUMIFS(TableDailySummary[Órdenes primer cliente],TableDailySummary[Fecha],"&gt;="&amp;TableMonthlySummary[[#This Row],[Desde]],TableDailySummary[Fecha],"&lt;="&amp;TableMonthlySummary[[#This Row],[Hasta]])</calculatedColumnFormula>
    </tableColumn>
    <tableColumn id="27" xr3:uid="{0979C368-A369-4386-91EC-9174FD1DDBBB}" name="Online Store_net_sales" dataDxfId="244" dataCellStyle="Comma [0]">
      <calculatedColumnFormula>SUMIFS(TableDailySummary[Online Store_net_sales],TableDailySummary[Fecha],"&gt;="&amp;TableMonthlySummary[[#This Row],[Desde]],TableDailySummary[Fecha],"&lt;="&amp;TableMonthlySummary[[#This Row],[Hasta]])</calculatedColumnFormula>
    </tableColumn>
    <tableColumn id="28" xr3:uid="{750614D6-A88C-4DED-81D9-6DB9E9BB8B15}" name="Online Store_orders" dataDxfId="243" dataCellStyle="Comma [0]">
      <calculatedColumnFormula>SUMIFS(TableDailySummary[Online Store_orders],TableDailySummary[Fecha],"&gt;="&amp;TableMonthlySummary[[#This Row],[Desde]],TableDailySummary[Fecha],"&lt;="&amp;TableMonthlySummary[[#This Row],[Hasta]])</calculatedColumnFormula>
    </tableColumn>
    <tableColumn id="29" xr3:uid="{6DAE84EB-4D6C-46BC-914E-14D569635866}" name="Tienda 81_net_sales" dataDxfId="242" dataCellStyle="Comma [0]">
      <calculatedColumnFormula>SUMIFS(TableDailySummary[Tienda 81_net_sales],TableDailySummary[Fecha],"&gt;="&amp;TableMonthlySummary[[#This Row],[Desde]],TableDailySummary[Fecha],"&lt;="&amp;TableMonthlySummary[[#This Row],[Hasta]])</calculatedColumnFormula>
    </tableColumn>
    <tableColumn id="30" xr3:uid="{B76EA4FB-F07A-439D-9774-33D483B6D7C1}" name="Tienda 81_orders" dataDxfId="241" dataCellStyle="Comma [0]">
      <calculatedColumnFormula>SUMIFS(TableDailySummary[Tienda 81_orders],TableDailySummary[Fecha],"&gt;="&amp;TableMonthlySummary[[#This Row],[Desde]],TableDailySummary[Fecha],"&lt;="&amp;TableMonthlySummary[[#This Row],[Hasta]])</calculatedColumnFormula>
    </tableColumn>
    <tableColumn id="31" xr3:uid="{7D0DA09F-75B6-474C-8F0C-A450A0B810C4}" name="Rappi_net_sales" dataDxfId="240" dataCellStyle="Comma [0]">
      <calculatedColumnFormula>SUMIFS(TableDailySummary[Rappi_net_sales],TableDailySummary[Fecha],"&gt;="&amp;TableMonthlySummary[[#This Row],[Desde]],TableDailySummary[Fecha],"&lt;="&amp;TableMonthlySummary[[#This Row],[Hasta]])</calculatedColumnFormula>
    </tableColumn>
    <tableColumn id="32" xr3:uid="{A26AEDD3-50F4-47C7-9927-C5E2C86C4EE4}" name="Rappi_orders" dataDxfId="239" dataCellStyle="Comma [0]">
      <calculatedColumnFormula>SUMIFS(TableDailySummary[Rappi_orders],TableDailySummary[Fecha],"&gt;="&amp;TableMonthlySummary[[#This Row],[Desde]],TableDailySummary[Fecha],"&lt;="&amp;TableMonthlySummary[[#This Row],[Hasta]])</calculatedColumnFormula>
    </tableColumn>
    <tableColumn id="33" xr3:uid="{4014395B-6A53-46DA-937B-5155E68DFDE2}" name="Corporativo no tienda_net_sales" dataDxfId="238" dataCellStyle="Comma [0]">
      <calculatedColumnFormula>SUMIFS(TableDailySummary[Corporativo no tienda_net_sales],TableDailySummary[Fecha],"&gt;="&amp;TableMonthlySummary[[#This Row],[Desde]],TableDailySummary[Fecha],"&lt;="&amp;TableMonthlySummary[[#This Row],[Hasta]])</calculatedColumnFormula>
    </tableColumn>
    <tableColumn id="34" xr3:uid="{A8D308C8-5D94-4451-BBCE-0862B61A4D0B}" name="Corporativo no tienda_orders" dataDxfId="237" dataCellStyle="Comma [0]">
      <calculatedColumnFormula>SUMIFS(TableDailySummary[Corporativo no tienda_orders],TableDailySummary[Fecha],"&gt;="&amp;TableMonthlySummary[[#This Row],[Desde]],TableDailySummary[Fecha],"&lt;="&amp;TableMonthlySummary[[#This Row],[Hasta]])</calculatedColumnFormula>
    </tableColumn>
    <tableColumn id="7" xr3:uid="{2AEF5621-2916-4075-8222-0887BC705DF5}" name="Inversión google ads" dataDxfId="236" dataCellStyle="Comma [0]">
      <calculatedColumnFormula>SUMIFS(TableDailySummary[Inversión google ads],TableDailySummary[Fecha],"&gt;="&amp;TableMonthlySummary[[#This Row],[Desde]],TableDailySummary[Fecha],"&lt;="&amp;TableMonthlySummary[[#This Row],[Hasta]])</calculatedColumnFormula>
    </tableColumn>
    <tableColumn id="8" xr3:uid="{55699C1C-B2C8-49EA-A27E-F6B344506E8E}" name="Ventas google ads" dataDxfId="235" dataCellStyle="Comma [0]">
      <calculatedColumnFormula>SUMIFS(TableDailySummary[Ventas google ads],TableDailySummary[Fecha],"&gt;="&amp;TableMonthlySummary[[#This Row],[Desde]],TableDailySummary[Fecha],"&lt;="&amp;TableMonthlySummary[[#This Row],[Hasta]])</calculatedColumnFormula>
    </tableColumn>
    <tableColumn id="9" xr3:uid="{5230BBBA-C79D-4B2B-AF39-65EAF0AD462A}" name="Inversión meta ads" dataDxfId="234" dataCellStyle="Comma [0]">
      <calculatedColumnFormula>SUMIFS(TableDailySummary[Inversión meta ads],TableDailySummary[Fecha],"&gt;="&amp;TableMonthlySummary[[#This Row],[Desde]],TableDailySummary[Fecha],"&lt;="&amp;TableMonthlySummary[[#This Row],[Hasta]])</calculatedColumnFormula>
    </tableColumn>
    <tableColumn id="10" xr3:uid="{EFC2F5F0-0B31-415C-9176-071FFCE7766B}" name="Ventas meta ads" dataDxfId="233" dataCellStyle="Comma [0]">
      <calculatedColumnFormula>SUMIFS(TableDailySummary[Ventas meta ads],TableDailySummary[Fecha],"&gt;="&amp;TableMonthlySummary[[#This Row],[Desde]],TableDailySummary[Fecha],"&lt;="&amp;TableMonthlySummary[[#This Row],[Hasta]])</calculatedColumnFormula>
    </tableColumn>
    <tableColumn id="11" xr3:uid="{1308EFBD-028E-46D7-9577-84A7FE3F70CE}" name="Inversión publicidad" dataDxfId="232" dataCellStyle="Comma [0]">
      <calculatedColumnFormula>TableMonthlySummary[[#This Row],[Inversión google ads]]+TableMonthlySummary[[#This Row],[Inversión meta ads]]</calculatedColumnFormula>
    </tableColumn>
    <tableColumn id="12" xr3:uid="{EDBEED64-64B5-4E68-9B04-17E429185FD3}" name="Ventas publicidad" dataDxfId="231" dataCellStyle="Comma [0]">
      <calculatedColumnFormula>TableMonthlySummary[[#This Row],[Ventas google ads]]+TableMonthlySummary[[#This Row],[Ventas meta ads]]</calculatedColumnFormula>
    </tableColumn>
    <tableColumn id="13" xr3:uid="{001F7BD1-D9A4-4A92-BE17-B759156854DD}" name="ROAS Todos" dataDxfId="230" dataCellStyle="Comma [0]">
      <calculatedColumnFormula>IFERROR(TableMonthlySummary[[#This Row],[Ventas publicidad]]/TableMonthlySummary[[#This Row],[Inversión publicidad]],0)</calculatedColumnFormula>
    </tableColumn>
    <tableColumn id="14" xr3:uid="{0A17A905-D9FE-42A3-9DC5-B9783FEC95DC}" name="NROAS Primer cliente" dataDxfId="229" dataCellStyle="Comma [0]">
      <calculatedColumnFormula>IFERROR(TableMonthlySummary[[#This Row],[Ventas primer cliente]]/TableMonthlySummary[[#This Row],[Inversión publicidad]],0)</calculatedColumnFormula>
    </tableColumn>
    <tableColumn id="37" xr3:uid="{94167B31-571F-4129-B0C3-696DB0EC2C91}" name="ROAS Breakeven" dataDxfId="228" dataCellStyle="Comma [0]">
      <calculatedColumnFormula>IFERROR(1/TableMonthlySummary[[#This Row],[Contribución %]],0)</calculatedColumnFormula>
    </tableColumn>
    <tableColumn id="15" xr3:uid="{2BFF147A-8507-4F95-9806-71E4663CBCA1}" name="Primer RA" dataDxfId="227" dataCellStyle="Comma [0]"/>
    <tableColumn id="16" xr3:uid="{A22E207D-1139-48B6-943A-7A2EB9E77AE2}" name="Nuevas suscripciones a lista" dataCellStyle="Comma [0]"/>
    <tableColumn id="17" xr3:uid="{CCAF371C-DA1B-4655-B556-75A56BB27BB1}" name="Costos de publicidad totales" dataDxfId="226" dataCellStyle="Comma [0]">
      <calculatedColumnFormula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calculatedColumnFormula>
    </tableColumn>
    <tableColumn id="35" xr3:uid="{9DE57634-AA1F-4000-92A2-25D4342DF4B7}" name="Costo de ventas calc" dataDxfId="225" dataCellStyle="Comma [0]">
      <calculatedColumnFormula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calculatedColumnFormula>
    </tableColumn>
    <tableColumn id="18" xr3:uid="{8496AD78-C37D-43FD-AADB-AECB3F8B016F}" name="Costos variables totales" dataDxfId="224" dataCellStyle="Comma [0]">
      <calculatedColumnFormula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calculatedColumnFormula>
    </tableColumn>
    <tableColumn id="19" xr3:uid="{37D9C961-99CC-4EE4-A05A-43A3D959936C}" name="Costos fijos" dataDxfId="223" dataCellStyle="Comma [0]">
      <calculatedColumnFormula>SUMIFS(AccountingReport[costs_fixed],AccountingReport[period],TableMonthlySummary[[#This Row],[Desde]])</calculatedColumnFormula>
    </tableColumn>
    <tableColumn id="20" xr3:uid="{A3C1F506-82D7-423A-8F99-3D9924429359}" name="Contribución $" dataDxfId="222">
      <calculatedColumnFormula>TableMonthlySummary[[#This Row],[Ventas netas totales]]-TableMonthlySummary[[#This Row],[Costos variables totales]]-TableMonthlySummary[[#This Row],[Costos fijos]]</calculatedColumnFormula>
    </tableColumn>
    <tableColumn id="36" xr3:uid="{8AD0E897-C54C-40B6-B3B5-BDE08A0BE93C}" name="Contribución %" dataCellStyle="Percent">
      <calculatedColumnFormula>IFERROR(TableMonthlySummary[[#This Row],[Contribución $]] / TableMonthlySummary[[#This Row],[Ventas netas totales]],0)</calculatedColumnFormula>
    </tableColumn>
    <tableColumn id="22" xr3:uid="{A9943A90-16C3-4D2C-B0DA-EAEC793996A4}" name="CAC" dataDxfId="221" dataCellStyle="Comma [0]">
      <calculatedColumnFormula>IFERROR(TableMonthlySummary[[#This Row],[Costos de publicidad totales]]/TableMonthlySummary[[#This Row],[Órdenes primer cliente]],0)</calculatedColumnFormula>
    </tableColumn>
    <tableColumn id="23" xr3:uid="{1D0485D6-AA00-4B86-BDC9-F6F17ECBE3F8}" name="Ventas netas con costo registrado" dataCellStyle="Comma [0]">
      <calculatedColumnFormula>SUMIFS(TableDailySummary[Ventas netas con costo registrado],TableDailySummary[Fecha],"&gt;="&amp;TableMonthlySummary[[#This Row],[Desde]],TableDailySummary[Fecha],"&lt;="&amp;TableMonthlySummary[[#This Row],[Hasta]])</calculatedColumnFormula>
    </tableColumn>
    <tableColumn id="24" xr3:uid="{13BBB6AF-2C47-42F0-89E3-F76EB2B95334}" name="Costo de ventas registrado" dataCellStyle="Comma [0]">
      <calculatedColumnFormula>SUMIFS(TableDailySummary[Costo de ventas registrado],TableDailySummary[Fecha],"&gt;="&amp;TableMonthlySummary[[#This Row],[Desde]],TableDailySummary[Fecha],"&lt;="&amp;TableMonthlySummary[[#This Row],[Hasta]])</calculatedColumnFormula>
    </tableColumn>
    <tableColumn id="25" xr3:uid="{938C0F8D-50AA-44F1-831D-FAFA895C9399}" name="Utilidad bruta" dataCellStyle="Comma [0]">
      <calculatedColumnFormula>SUMIFS(TableDailySummary[Utilidad bruta],TableDailySummary[Fecha],"&gt;="&amp;TableMonthlySummary[[#This Row],[Desde]],TableDailySummary[Fecha],"&lt;="&amp;TableMonthlySummary[[#This Row],[Hasta]])</calculatedColumnFormula>
    </tableColumn>
    <tableColumn id="26" xr3:uid="{B4CA5463-FD84-4AC7-8E38-577D0F471AB4}" name="Margen bruto" dataDxfId="220" dataCellStyle="Percent">
      <calculatedColumnFormula>IFERROR(TableMonthlySummary[[#This Row],[Utilidad bruta]]/TableMonthlySummary[[#This Row],[Ventas netas con costo registrado]],0)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DC87FD-B298-4CDE-9D8C-C31A5C15C828}" name="TableWeeklySummary" displayName="TableWeeklySummary" ref="B7:AL505" totalsRowShown="0">
  <autoFilter ref="B7:AL505" xr:uid="{15DFDC4C-6E81-4A13-8C39-5B9B1A7C1495}"/>
  <tableColumns count="37">
    <tableColumn id="1" xr3:uid="{1BEE5004-784D-4B5B-B1A8-1F7642FF0A86}" name="Semana" dataDxfId="219">
      <calculatedColumnFormula>_xlfn.ISOWEEKNUM(TableWeeklySummary[[#This Row],[Hasta]])</calculatedColumnFormula>
    </tableColumn>
    <tableColumn id="2" xr3:uid="{6C12BE59-8EFF-476D-8BA6-FFB2B65731CC}" name="Desde" dataDxfId="218">
      <calculatedColumnFormula>_xlfn.LET(
    _xlpm.fechaini, ParamFechaInicioReporte,
    _xlpm.start_friday, IF(WEEKDAY(_xlpm.fechaini, 1) = 6, _xlpm.fechaini, _xlpm.fechaini - MOD(WEEKDAY(_xlpm.fechaini, 1) + 1, 7)),
    IF(ROW()=8, _xlpm.start_friday, C7 + 7)
)</calculatedColumnFormula>
    </tableColumn>
    <tableColumn id="21" xr3:uid="{FD2E7D59-2EB7-4B4D-8C93-66783F96251C}" name="Hasta" dataDxfId="217">
      <calculatedColumnFormula>TableWeeklySummary[[#This Row],[Desde]]+7-1</calculatedColumnFormula>
    </tableColumn>
    <tableColumn id="3" xr3:uid="{3D116652-C0FD-4CD5-B750-5D28A09F02D3}" name="Ventas netas totales" dataDxfId="216" dataCellStyle="Comma [0]">
      <calculatedColumnFormula>SUMIFS(TableDailySummary[Ventas netas totales],TableDailySummary[Fecha],"&gt;="&amp;TableWeeklySummary[[#This Row],[Desde]],TableDailySummary[Fecha],"&lt;="&amp;TableWeeklySummary[[#This Row],[Hasta]])</calculatedColumnFormula>
    </tableColumn>
    <tableColumn id="4" xr3:uid="{8E258602-4D8E-475F-ABCE-DB4C2C8AFA64}" name="Órdenes totales" dataDxfId="215" dataCellStyle="Comma [0]">
      <calculatedColumnFormula>SUMIFS(TableDailySummary[Órdenes totales],TableDailySummary[Fecha],"&gt;="&amp;TableWeeklySummary[[#This Row],[Desde]],TableDailySummary[Fecha],"&lt;="&amp;TableWeeklySummary[[#This Row],[Hasta]])</calculatedColumnFormula>
    </tableColumn>
    <tableColumn id="37" xr3:uid="{C35D19A2-743B-4F16-8755-644A5D51C0CD}" name="Órden promedio totales" dataDxfId="214" dataCellStyle="Comma [0]">
      <calculatedColumnFormula>IFERROR(TableWeeklySummary[[#This Row],[Ventas netas totales]]/TableWeeklySummary[[#This Row],[Órdenes totales]],0)</calculatedColumnFormula>
    </tableColumn>
    <tableColumn id="35" xr3:uid="{0E4CF620-6AD5-4BB9-B7FB-73A9AB28907D}" name="CR totales" dataDxfId="213" dataCellStyle="Percent">
      <calculatedColumnFormula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calculatedColumnFormula>
    </tableColumn>
    <tableColumn id="36" xr3:uid="{7E4A4FC7-E07E-41C0-B7F4-25D6C6F0EF07}" name="RPV totales" dataDxfId="212" dataCellStyle="Comma [0]">
      <calculatedColumnFormula>TableWeeklySummary[[#This Row],[Órden promedio totales]]*TableWeeklySummary[[#This Row],[CR totales]]</calculatedColumnFormula>
    </tableColumn>
    <tableColumn id="5" xr3:uid="{25A24955-A98F-4265-B9B2-3C3C719B6635}" name="Ventas primer cliente" dataDxfId="211" dataCellStyle="Comma [0]">
      <calculatedColumnFormula>SUMIFS(TableDailySummary[Ventas primer cliente],TableDailySummary[Fecha],"&gt;="&amp;TableWeeklySummary[[#This Row],[Desde]],TableDailySummary[Fecha],"&lt;="&amp;TableWeeklySummary[[#This Row],[Hasta]])</calculatedColumnFormula>
    </tableColumn>
    <tableColumn id="6" xr3:uid="{8DC3E357-FCC7-41B8-A001-2C00C6675C49}" name="Órdenes primer cliente" dataDxfId="210" dataCellStyle="Comma [0]">
      <calculatedColumnFormula>SUMIFS(TableDailySummary[Órdenes primer cliente],TableDailySummary[Fecha],"&gt;="&amp;TableWeeklySummary[[#This Row],[Desde]],TableDailySummary[Fecha],"&lt;="&amp;TableWeeklySummary[[#This Row],[Hasta]])</calculatedColumnFormula>
    </tableColumn>
    <tableColumn id="27" xr3:uid="{E2181069-8DCD-4D2B-B05A-DC9719A4BA12}" name="Online Store_net_sales" dataDxfId="209" dataCellStyle="Comma [0]">
      <calculatedColumnFormula>SUMIFS(TableDailySummary[Online Store_net_sales],TableDailySummary[Fecha],"&gt;="&amp;TableWeeklySummary[[#This Row],[Desde]],TableDailySummary[Fecha],"&lt;="&amp;TableWeeklySummary[[#This Row],[Hasta]])</calculatedColumnFormula>
    </tableColumn>
    <tableColumn id="28" xr3:uid="{DBEB1AE4-DF4E-4DC9-97C6-63DF6ED6EAB8}" name="Online Store_orders" dataDxfId="208" dataCellStyle="Comma [0]">
      <calculatedColumnFormula>SUMIFS(TableDailySummary[Online Store_orders],TableDailySummary[Fecha],"&gt;="&amp;TableWeeklySummary[[#This Row],[Desde]],TableDailySummary[Fecha],"&lt;="&amp;TableWeeklySummary[[#This Row],[Hasta]])</calculatedColumnFormula>
    </tableColumn>
    <tableColumn id="29" xr3:uid="{06A782AB-1C76-4B2E-87F2-940903CB550C}" name="Tienda 81_net_sales" dataDxfId="207" dataCellStyle="Comma [0]">
      <calculatedColumnFormula>SUMIFS(TableDailySummary[Tienda 81_net_sales],TableDailySummary[Fecha],"&gt;="&amp;TableWeeklySummary[[#This Row],[Desde]],TableDailySummary[Fecha],"&lt;="&amp;TableWeeklySummary[[#This Row],[Hasta]])</calculatedColumnFormula>
    </tableColumn>
    <tableColumn id="30" xr3:uid="{E528DC13-3F11-4A53-B958-C60E269FA027}" name="Tienda 81_orders" dataDxfId="206" dataCellStyle="Comma [0]">
      <calculatedColumnFormula>SUMIFS(TableDailySummary[Tienda 81_orders],TableDailySummary[Fecha],"&gt;="&amp;TableWeeklySummary[[#This Row],[Desde]],TableDailySummary[Fecha],"&lt;="&amp;TableWeeklySummary[[#This Row],[Hasta]])</calculatedColumnFormula>
    </tableColumn>
    <tableColumn id="31" xr3:uid="{D1D4D3F6-AC6A-4AE0-940F-0DECDA5DAB3B}" name="Rappi_net_sales" dataDxfId="205" dataCellStyle="Comma [0]">
      <calculatedColumnFormula>SUMIFS(TableDailySummary[Rappi_net_sales],TableDailySummary[Fecha],"&gt;="&amp;TableWeeklySummary[[#This Row],[Desde]],TableDailySummary[Fecha],"&lt;="&amp;TableWeeklySummary[[#This Row],[Hasta]])</calculatedColumnFormula>
    </tableColumn>
    <tableColumn id="32" xr3:uid="{18A8CF8C-56A6-41C9-8BA7-375FCFBB28A1}" name="Rappi_orders" dataDxfId="204" dataCellStyle="Comma [0]">
      <calculatedColumnFormula>SUMIFS(TableDailySummary[Rappi_orders],TableDailySummary[Fecha],"&gt;="&amp;TableWeeklySummary[[#This Row],[Desde]],TableDailySummary[Fecha],"&lt;="&amp;TableWeeklySummary[[#This Row],[Hasta]])</calculatedColumnFormula>
    </tableColumn>
    <tableColumn id="33" xr3:uid="{28455135-5D3D-445A-A962-3095C61066F6}" name="Corporativo no tienda_net_sales" dataDxfId="203" dataCellStyle="Comma [0]">
      <calculatedColumnFormula>SUMIFS(TableDailySummary[Corporativo no tienda_net_sales],TableDailySummary[Fecha],"&gt;="&amp;TableWeeklySummary[[#This Row],[Desde]],TableDailySummary[Fecha],"&lt;="&amp;TableWeeklySummary[[#This Row],[Hasta]])</calculatedColumnFormula>
    </tableColumn>
    <tableColumn id="34" xr3:uid="{90CC2A35-CB50-4598-85B5-C1842131B0F2}" name="Corporativo no tienda_orders" dataDxfId="202" dataCellStyle="Comma [0]">
      <calculatedColumnFormula>SUMIFS(TableDailySummary[Corporativo no tienda_orders],TableDailySummary[Fecha],"&gt;="&amp;TableWeeklySummary[[#This Row],[Desde]],TableDailySummary[Fecha],"&lt;="&amp;TableWeeklySummary[[#This Row],[Hasta]])</calculatedColumnFormula>
    </tableColumn>
    <tableColumn id="7" xr3:uid="{7D86E9A5-BDE9-4E1B-ACCD-7F9096CB21EE}" name="Inversión google ads" dataDxfId="201" dataCellStyle="Comma [0]">
      <calculatedColumnFormula>SUMIFS(TableDailySummary[Inversión google ads],TableDailySummary[Fecha],"&gt;="&amp;TableWeeklySummary[[#This Row],[Desde]],TableDailySummary[Fecha],"&lt;="&amp;TableWeeklySummary[[#This Row],[Hasta]])</calculatedColumnFormula>
    </tableColumn>
    <tableColumn id="8" xr3:uid="{9B994C3C-199E-4B9D-822A-123E0D5A9A38}" name="Ventas google ads" dataDxfId="200" dataCellStyle="Comma [0]">
      <calculatedColumnFormula>SUMIFS(TableDailySummary[Ventas google ads],TableDailySummary[Fecha],"&gt;="&amp;TableWeeklySummary[[#This Row],[Desde]],TableDailySummary[Fecha],"&lt;="&amp;TableWeeklySummary[[#This Row],[Hasta]])</calculatedColumnFormula>
    </tableColumn>
    <tableColumn id="9" xr3:uid="{44DFD925-7147-4301-A3FF-12BEC1F5E87F}" name="Inversión meta ads" dataDxfId="199" dataCellStyle="Comma [0]">
      <calculatedColumnFormula>SUMIFS(TableDailySummary[Inversión meta ads],TableDailySummary[Fecha],"&gt;="&amp;TableWeeklySummary[[#This Row],[Desde]],TableDailySummary[Fecha],"&lt;="&amp;TableWeeklySummary[[#This Row],[Hasta]])</calculatedColumnFormula>
    </tableColumn>
    <tableColumn id="10" xr3:uid="{88D704A4-368E-48F4-AAC3-17D7C4B731A0}" name="Ventas meta ads" dataDxfId="198" dataCellStyle="Comma [0]">
      <calculatedColumnFormula>SUMIFS(TableDailySummary[Ventas meta ads],TableDailySummary[Fecha],"&gt;="&amp;TableWeeklySummary[[#This Row],[Desde]],TableDailySummary[Fecha],"&lt;="&amp;TableWeeklySummary[[#This Row],[Hasta]])</calculatedColumnFormula>
    </tableColumn>
    <tableColumn id="11" xr3:uid="{66957654-4A0F-4454-9AB2-4531EABD643C}" name="Inversión publicidad" dataDxfId="197" dataCellStyle="Comma [0]">
      <calculatedColumnFormula>TableWeeklySummary[[#This Row],[Inversión google ads]]+TableWeeklySummary[[#This Row],[Inversión meta ads]]</calculatedColumnFormula>
    </tableColumn>
    <tableColumn id="12" xr3:uid="{E8674A19-0156-4C45-B585-85F9C7CD5F6A}" name="Ventas publicidad" dataDxfId="196" dataCellStyle="Comma [0]">
      <calculatedColumnFormula>TableWeeklySummary[[#This Row],[Ventas google ads]]+TableWeeklySummary[[#This Row],[Ventas meta ads]]</calculatedColumnFormula>
    </tableColumn>
    <tableColumn id="13" xr3:uid="{3B61208E-01C6-4B25-9F8F-9554C93E61D5}" name="ROAS Todos" dataDxfId="195" dataCellStyle="Comma [0]">
      <calculatedColumnFormula>IFERROR(TableWeeklySummary[[#This Row],[Ventas publicidad]]/TableWeeklySummary[[#This Row],[Inversión publicidad]],0)</calculatedColumnFormula>
    </tableColumn>
    <tableColumn id="14" xr3:uid="{DB14D01C-4986-4642-8F2C-CFFC413B0F97}" name="NROAS Primer cliente" dataDxfId="194" dataCellStyle="Comma [0]">
      <calculatedColumnFormula>IFERROR(TableWeeklySummary[[#This Row],[Ventas primer cliente]]/TableWeeklySummary[[#This Row],[Inversión publicidad]],0)</calculatedColumnFormula>
    </tableColumn>
    <tableColumn id="15" xr3:uid="{388A7A5F-E79C-48FD-83B1-176D59E37939}" name="Primer RA" dataDxfId="193" dataCellStyle="Comma [0]"/>
    <tableColumn id="16" xr3:uid="{6320A241-01D6-431A-B853-182472B50032}" name="Nuevas suscripciones a lista" dataCellStyle="Comma [0]"/>
    <tableColumn id="17" xr3:uid="{A3AEAA6A-B13A-4F5E-A106-53FFD81FEBE2}" name="Costos de publicidad totales"/>
    <tableColumn id="18" xr3:uid="{3E2DE410-18B3-4833-8C18-02EE9B09FB4B}" name="Costos variables totales"/>
    <tableColumn id="19" xr3:uid="{77EF2E94-7495-4B25-B654-375726C9EFA8}" name="Costos fijos"/>
    <tableColumn id="20" xr3:uid="{84E1C308-379C-4866-87B3-14D9FC946565}" name="Contribución"/>
    <tableColumn id="22" xr3:uid="{B3A48E83-ADC1-465A-809B-087E9ECB3CB2}" name="CAC"/>
    <tableColumn id="23" xr3:uid="{F3A0A841-4429-43BF-93B0-66EC3260AB97}" name="Ventas netas con costo registrado" dataCellStyle="Comma [0]">
      <calculatedColumnFormula>SUMIFS(TableDailySummary[Ventas netas con costo registrado],TableDailySummary[Fecha],"&gt;="&amp;TableWeeklySummary[[#This Row],[Desde]],TableDailySummary[Fecha],"&lt;="&amp;TableWeeklySummary[[#This Row],[Hasta]])</calculatedColumnFormula>
    </tableColumn>
    <tableColumn id="24" xr3:uid="{04F9CAB4-1834-403E-9B35-03DBA6FDBC5B}" name="Costo de ventas registrado" dataCellStyle="Comma [0]">
      <calculatedColumnFormula>SUMIFS(TableDailySummary[Costo de ventas registrado],TableDailySummary[Fecha],"&gt;="&amp;TableWeeklySummary[[#This Row],[Desde]],TableDailySummary[Fecha],"&lt;="&amp;TableWeeklySummary[[#This Row],[Hasta]])</calculatedColumnFormula>
    </tableColumn>
    <tableColumn id="25" xr3:uid="{CFD871DC-F003-4264-A6C7-FF6D1B947287}" name="Utilidad bruta" dataCellStyle="Comma [0]">
      <calculatedColumnFormula>SUMIFS(TableDailySummary[Utilidad bruta],TableDailySummary[Fecha],"&gt;="&amp;TableWeeklySummary[[#This Row],[Desde]],TableDailySummary[Fecha],"&lt;="&amp;TableWeeklySummary[[#This Row],[Hasta]])</calculatedColumnFormula>
    </tableColumn>
    <tableColumn id="26" xr3:uid="{419F6B12-0BC5-4679-95D8-24D5A6DD5099}" name="Margen bruto" dataCellStyle="Percent">
      <calculatedColumnFormula>IFERROR(TableWeeklySummary[[#This Row],[Utilidad bruta]]/TableWeeklySummary[[#This Row],[Ventas netas con costo registrado]],0)</calculatedColumn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DFDC4C-6E81-4A13-8C39-5B9B1A7C1495}" name="TableDailySummary" displayName="TableDailySummary" ref="B7:AP1005" totalsRowShown="0">
  <autoFilter ref="B7:AP1005" xr:uid="{15DFDC4C-6E81-4A13-8C39-5B9B1A7C1495}"/>
  <tableColumns count="41">
    <tableColumn id="1" xr3:uid="{937D5D1C-7D2B-4095-B4CB-44E59BED562C}" name="Dia" dataDxfId="192">
      <calculatedColumnFormula array="1">ParamFechaInicioReporte + (ROW(TableDailySummary[#This Row]) - ROW(TableDailySummary[[#Headers],[Dia]]) - 1)</calculatedColumnFormula>
    </tableColumn>
    <tableColumn id="2" xr3:uid="{E8AC1B98-A7D6-4610-AC0A-B71B39FB1F14}" name="Fecha" dataDxfId="191">
      <calculatedColumnFormula>TableDailySummary[[#This Row],[Dia]]</calculatedColumnFormula>
    </tableColumn>
    <tableColumn id="3" xr3:uid="{E02D8841-7440-4B52-8D00-FE3EE03AA617}" name="Ventas netas totales" dataCellStyle="Comma [0]">
      <calculatedColumnFormula>_xlfn.XLOOKUP(TableDailySummary[[#This Row],[Fecha]],SummaryDaily[day],SummaryDaily[net_sales],0)</calculatedColumnFormula>
    </tableColumn>
    <tableColumn id="4" xr3:uid="{294F5938-32A6-46AF-BB46-94DD8FDFCE73}" name="Órdenes totales" dataCellStyle="Comma [0]">
      <calculatedColumnFormula>_xlfn.XLOOKUP(TableDailySummary[[#This Row],[Fecha]],SummaryDaily[day],SummaryDaily[orders],0)</calculatedColumnFormula>
    </tableColumn>
    <tableColumn id="34" xr3:uid="{C2AF0EE5-517C-4248-BB09-1FBC519BEDEC}" name="Órden promedio totales" dataDxfId="190" dataCellStyle="Comma [0]">
      <calculatedColumnFormula>_xlfn.XLOOKUP(TableDailySummary[[#This Row],[Fecha]],SummaryDaily[day],SummaryDaily[average_order_value],0)</calculatedColumnFormula>
    </tableColumn>
    <tableColumn id="41" xr3:uid="{46DFF3DB-11A3-4CBD-95ED-B5393A534BEF}" name="CR totales" dataDxfId="189" dataCellStyle="Percent">
      <calculatedColumnFormula array="1">_xlfn.XLOOKUP(TableDailySummary[[#This Row],[Fecha]]&amp;"Total site",ConversionRateByReferral[day]&amp;ConversionRateByReferral[referrer_source],ConversionRateByReferral[conversion_rate],0)</calculatedColumnFormula>
    </tableColumn>
    <tableColumn id="40" xr3:uid="{8EDB93B0-CEC2-4F8D-9CDB-28235048F55A}" name="RPV totales" dataDxfId="188" dataCellStyle="Comma [0]">
      <calculatedColumnFormula>TableDailySummary[[#This Row],[Órden promedio totales]]*TableDailySummary[[#This Row],[CR totales]]</calculatedColumnFormula>
    </tableColumn>
    <tableColumn id="5" xr3:uid="{639ABC37-F5A2-427C-81A0-E0D5624F8A8A}" name="Ventas primer cliente" dataDxfId="187" dataCellStyle="Comma [0]">
      <calculatedColumnFormula>_xlfn.XLOOKUP(TableDailySummary[[#This Row],[Fecha]],SummaryDaily[day],SummaryDaily[new_net_sales],0)</calculatedColumnFormula>
    </tableColumn>
    <tableColumn id="6" xr3:uid="{D5C73CE6-CD07-42AE-91DC-08322C505741}" name="Órdenes primer cliente" dataCellStyle="Comma [0]">
      <calculatedColumnFormula>_xlfn.XLOOKUP(TableDailySummary[[#This Row],[Fecha]],SummaryDaily[day],SummaryDaily[new_orders],0)</calculatedColumnFormula>
    </tableColumn>
    <tableColumn id="35" xr3:uid="{9AAEACDB-3957-42EF-8FAA-906B43763B95}" name="Órden promedio  primer cliente" dataDxfId="186" dataCellStyle="Comma [0]">
      <calculatedColumnFormula>_xlfn.XLOOKUP(TableDailySummary[[#This Row],[Fecha]],SummaryDaily[day],SummaryDaily[new_average_order_value],0)</calculatedColumnFormula>
    </tableColumn>
    <tableColumn id="25" xr3:uid="{5668DCBB-E739-4C43-8A20-4BA1B4CE0566}" name="Online Store_net_sales" dataDxfId="185" dataCellStyle="Comma [0]">
      <calculatedColumnFormula>_xlfn.XLOOKUP(TableDailySummary[[#This Row],[Fecha]],SummaryDaily[day],SummaryDaily[Online Store_net_sales],0)</calculatedColumnFormula>
    </tableColumn>
    <tableColumn id="26" xr3:uid="{C22626CE-4582-463E-8F28-5A1AB9C4F1DA}" name="Online Store_orders" dataDxfId="184" dataCellStyle="Comma [0]">
      <calculatedColumnFormula>_xlfn.XLOOKUP(TableDailySummary[[#This Row],[Fecha]],SummaryDaily[day],SummaryDaily[Online Store_orders],0)</calculatedColumnFormula>
    </tableColumn>
    <tableColumn id="36" xr3:uid="{1A84CC7F-8929-4589-9E76-3375C9EA47BE}" name="Órden promedio online store" dataDxfId="183" dataCellStyle="Comma [0]">
      <calculatedColumnFormula>_xlfn.XLOOKUP(TableDailySummary[[#This Row],[Fecha]],SummaryDaily[day],SummaryDaily[Online Store_average_order_value],0)</calculatedColumnFormula>
    </tableColumn>
    <tableColumn id="27" xr3:uid="{5DA08ECC-1330-40D6-85F7-895DE46C4145}" name="Tienda 81_net_sales" dataDxfId="182" dataCellStyle="Comma [0]">
      <calculatedColumnFormula>_xlfn.XLOOKUP(TableDailySummary[[#This Row],[Fecha]],SummaryDaily[day],SummaryDaily[Tienda 81_net_sales],0)</calculatedColumnFormula>
    </tableColumn>
    <tableColumn id="28" xr3:uid="{120F27B6-91B2-4721-8F8A-07022525D1B5}" name="Tienda 81_orders" dataDxfId="181" dataCellStyle="Comma [0]">
      <calculatedColumnFormula>_xlfn.XLOOKUP(TableDailySummary[[#This Row],[Fecha]],SummaryDaily[day],SummaryDaily[Tienda 81_orders],0)</calculatedColumnFormula>
    </tableColumn>
    <tableColumn id="37" xr3:uid="{FFEA0CEA-94AE-4426-959D-9A0AE0911738}" name="Órden promedio tienda 81" dataDxfId="180" dataCellStyle="Comma [0]">
      <calculatedColumnFormula>_xlfn.XLOOKUP(TableDailySummary[[#This Row],[Fecha]],SummaryDaily[day],SummaryDaily[Tienda 81_average_order_value],0)</calculatedColumnFormula>
    </tableColumn>
    <tableColumn id="29" xr3:uid="{D41F1142-BC36-4C04-8B37-2FA90FBC49A4}" name="Rappi_net_sales" dataDxfId="179" dataCellStyle="Comma [0]">
      <calculatedColumnFormula>_xlfn.XLOOKUP(TableDailySummary[[#This Row],[Fecha]],SummaryDaily[day],SummaryDaily[Rappi_net_sales],0)</calculatedColumnFormula>
    </tableColumn>
    <tableColumn id="30" xr3:uid="{DBBFB416-E431-4F67-AD7C-825F405EA69A}" name="Rappi_orders" dataDxfId="178" dataCellStyle="Comma [0]">
      <calculatedColumnFormula>_xlfn.XLOOKUP(TableDailySummary[[#This Row],[Fecha]],SummaryDaily[day],SummaryDaily[Rappi_orders],0)</calculatedColumnFormula>
    </tableColumn>
    <tableColumn id="38" xr3:uid="{C447665A-13D3-44F4-ADEA-A99E6490BD62}" name="Órden promedio rappi" dataDxfId="177" dataCellStyle="Comma [0]">
      <calculatedColumnFormula>_xlfn.XLOOKUP(TableDailySummary[[#This Row],[Fecha]],SummaryDaily[day],SummaryDaily[Rappi_average_order_value],0)</calculatedColumnFormula>
    </tableColumn>
    <tableColumn id="31" xr3:uid="{C6E3E72E-80D9-4AEB-A6C6-71AABF1906C7}" name="Corporativo no tienda_net_sales" dataDxfId="176" dataCellStyle="Comma [0]">
      <calculatedColumnFormula>_xlfn.XLOOKUP(TableDailySummary[[#This Row],[Fecha]],SummaryDaily[day],SummaryDaily[Corporativo no tienda_net_sales],0)</calculatedColumnFormula>
    </tableColumn>
    <tableColumn id="32" xr3:uid="{43D9CC3A-2C4D-42FF-B65F-70558B1A77AB}" name="Corporativo no tienda_orders" dataDxfId="175" dataCellStyle="Comma [0]">
      <calculatedColumnFormula>_xlfn.XLOOKUP(TableDailySummary[[#This Row],[Fecha]],SummaryDaily[day],SummaryDaily[Corporativo no tienda_orders],0)</calculatedColumnFormula>
    </tableColumn>
    <tableColumn id="39" xr3:uid="{A8F51BB3-1F72-472B-A6A5-2320064339B8}" name="Órden promedio corporativo no tienda" dataDxfId="174" dataCellStyle="Comma [0]">
      <calculatedColumnFormula>_xlfn.XLOOKUP(TableDailySummary[[#This Row],[Fecha]],SummaryDaily[day],SummaryDaily[Corporativo no tienda_average_order_value],0)</calculatedColumnFormula>
    </tableColumn>
    <tableColumn id="7" xr3:uid="{D2C387BA-91D2-40D9-AAE0-3CA9C9CDD44D}" name="Inversión google ads" dataDxfId="173" dataCellStyle="Comma [0]">
      <calculatedColumnFormula>_xlfn.XLOOKUP(TableDailySummary[[#This Row],[Fecha]],SummaryDaily[day],SummaryDaily[GoogleAdsOperation.Cost],0)</calculatedColumnFormula>
    </tableColumn>
    <tableColumn id="8" xr3:uid="{A0EA5448-5E95-4F1A-AEC5-B76FD9952F21}" name="Ventas google ads" dataDxfId="172" dataCellStyle="Comma [0]">
      <calculatedColumnFormula>SUMIFS(SalesByUTMDaily[google],SalesByUTMDaily[day],TableDailySummary[[#This Row],[Fecha]])</calculatedColumnFormula>
    </tableColumn>
    <tableColumn id="9" xr3:uid="{E28075AA-5624-4F22-BF2F-8D704826853B}" name="Inversión meta ads" dataDxfId="171" dataCellStyle="Comma [0]">
      <calculatedColumnFormula>_xlfn.XLOOKUP(TableDailySummary[[#This Row],[Fecha]],SummaryDaily[day],SummaryDaily[MetaAdsOperation.spend],0)</calculatedColumnFormula>
    </tableColumn>
    <tableColumn id="10" xr3:uid="{B7940B4E-C78A-4EEB-8806-9FDAE44E3A83}" name="Ventas meta ads" dataDxfId="170" dataCellStyle="Comma [0]">
      <calculatedColumnFormula>SUMIFS(SalesByUTMDaily[facebook],SalesByUTMDaily[day],TableDailySummary[[#This Row],[Fecha]])</calculatedColumnFormula>
    </tableColumn>
    <tableColumn id="11" xr3:uid="{C975CCC8-491D-4231-80F6-A2819BFD3A22}" name="Inversión publicidad" dataDxfId="169" dataCellStyle="Comma [0]">
      <calculatedColumnFormula>TableDailySummary[[#This Row],[Inversión google ads]]+TableDailySummary[[#This Row],[Inversión meta ads]]</calculatedColumnFormula>
    </tableColumn>
    <tableColumn id="12" xr3:uid="{88CFA093-747E-48D0-8763-74A186D3477B}" name="Ventas publicidad" dataDxfId="168" dataCellStyle="Comma [0]">
      <calculatedColumnFormula>TableDailySummary[[#This Row],[Ventas google ads]]+TableDailySummary[[#This Row],[Ventas meta ads]]</calculatedColumnFormula>
    </tableColumn>
    <tableColumn id="13" xr3:uid="{5893F9F8-9DD2-497E-819A-A5B7CDA2C9B7}" name="ROAS Todos" dataDxfId="167" dataCellStyle="Comma [0]">
      <calculatedColumnFormula>IFERROR(TableDailySummary[[#This Row],[Ventas publicidad]]/TableDailySummary[[#This Row],[Inversión publicidad]],0)</calculatedColumnFormula>
    </tableColumn>
    <tableColumn id="14" xr3:uid="{A5BE9697-169D-46F9-B38D-DC25E6971A42}" name="NROAS Primer cliente" dataDxfId="166" dataCellStyle="Comma [0]">
      <calculatedColumnFormula>IFERROR(TableDailySummary[[#This Row],[Ventas primer cliente]]/TableDailySummary[[#This Row],[Inversión publicidad]],0)</calculatedColumnFormula>
    </tableColumn>
    <tableColumn id="15" xr3:uid="{4172FAAA-1079-453F-8426-A4EBC5BCBF4B}" name="Primer RA" dataDxfId="165" dataCellStyle="Comma [0]"/>
    <tableColumn id="16" xr3:uid="{B0FA82B1-6EF1-4681-8A4C-6CA712C527D9}" name="Nuevas suscripciones a lista" dataCellStyle="Comma [0]"/>
    <tableColumn id="17" xr3:uid="{6289B810-1619-407E-BC47-29ACA613C8A6}" name="Costos de publicidad totales"/>
    <tableColumn id="18" xr3:uid="{857B638A-E486-4CB8-8E58-55BCDF8D7277}" name="Costos variables totales"/>
    <tableColumn id="19" xr3:uid="{3FB18EDC-CFD8-4DF8-84AE-04A902C5A7A2}" name="Costos fijos"/>
    <tableColumn id="20" xr3:uid="{9CACDADF-4102-4515-8DD2-0D4CF717B16C}" name="Contribución"/>
    <tableColumn id="21" xr3:uid="{97DEE219-7F65-4F3F-9F03-43375768BF1C}" name="CAC"/>
    <tableColumn id="22" xr3:uid="{5D05167C-EAA4-4680-A00A-7CBD392FF6A3}" name="Ventas netas con costo registrado" dataCellStyle="Comma [0]">
      <calculatedColumnFormula>_xlfn.XLOOKUP(TableDailySummary[[#This Row],[Fecha]],SummaryDaily[day],SummaryDaily[net_sales_with_cost_recorded],0)</calculatedColumnFormula>
    </tableColumn>
    <tableColumn id="23" xr3:uid="{909565D4-1D3A-4963-A7FA-81227B92313D}" name="Costo de ventas registrado" dataCellStyle="Comma [0]">
      <calculatedColumnFormula>_xlfn.XLOOKUP(TableDailySummary[[#This Row],[Fecha]],SummaryDaily[day],SummaryDaily[cost_of_goods_sold],0)</calculatedColumnFormula>
    </tableColumn>
    <tableColumn id="24" xr3:uid="{E3B02BEE-69A8-4B03-AD03-1D88A012FF92}" name="Utilidad bruta" dataCellStyle="Comma [0]">
      <calculatedColumnFormula>_xlfn.XLOOKUP(TableDailySummary[[#This Row],[Fecha]],SummaryDaily[day],SummaryDaily[gross_profit],0)</calculatedColumnFormula>
    </tableColumn>
    <tableColumn id="33" xr3:uid="{7072C111-38BE-4762-BC43-B9A4842A930D}" name="Margen bruto" dataCellStyle="Percent">
      <calculatedColumnFormula>IFERROR(TableDailySummary[[#This Row],[Utilidad bruta]]/TableDailySummary[[#This Row],[Ventas netas con costo registrado]],0)</calculatedColumnFormula>
    </tableColumn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F99F11-3D22-4323-A54F-11DAFF034689}" name="TablaSIIGOParam" displayName="TablaSIIGOParam" ref="B23:C27" totalsRowShown="0">
  <autoFilter ref="B23:C27" xr:uid="{3CF99F11-3D22-4323-A54F-11DAFF034689}"/>
  <tableColumns count="2">
    <tableColumn id="1" xr3:uid="{810CABF1-FC4C-438A-910F-9B38C27DF77D}" name="Name"/>
    <tableColumn id="2" xr3:uid="{EC898F48-C10C-46ED-8531-AC4FE6FF41DF}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285A80C-EAD8-45E3-9EFF-BBD502F8FC9E}" name="TablePUCClass" displayName="TablePUCClass" ref="B31:F208" totalsRowShown="0">
  <autoFilter ref="B31:F208" xr:uid="{4285A80C-EAD8-45E3-9EFF-BBD502F8FC9E}"/>
  <tableColumns count="5">
    <tableColumn id="1" xr3:uid="{21F6D095-6B08-4F6C-B246-8D73A4AB9B3B}" name="Código"/>
    <tableColumn id="2" xr3:uid="{D5772110-744D-43E6-80C8-59FD91C1AAE5}" name="Nombre"/>
    <tableColumn id="5" xr3:uid="{80EF768B-0BF1-4BB7-B3FB-49521F7CCF48}" name="Cuenta reporte"/>
    <tableColumn id="3" xr3:uid="{EDDB4C81-63EE-4F23-9B6B-C0E4CA0AB93D}" name="Clasificación"/>
    <tableColumn id="4" xr3:uid="{FD64854A-9771-4F12-A146-CDF7A8AD5AE5}" name="Tipo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FCBC456-BBF0-4742-B69B-9FD375FB9FEB}" name="COALocal" displayName="COALocal" ref="I31:N419" tableType="queryTable" totalsRowShown="0">
  <autoFilter ref="I31:N419" xr:uid="{6FCBC456-BBF0-4742-B69B-9FD375FB9FEB}"/>
  <tableColumns count="6">
    <tableColumn id="1" xr3:uid="{3F04A6DC-0B23-4611-92E7-2F0F34AB440B}" uniqueName="1" name="Código" queryTableFieldId="1"/>
    <tableColumn id="2" xr3:uid="{09F5DD83-4099-4F4A-A70D-1224C3C757B4}" uniqueName="2" name="Nombre" queryTableFieldId="2"/>
    <tableColumn id="3" xr3:uid="{D7543023-8D7A-4C5E-94DE-E6D4776C6197}" uniqueName="3" name="Activo" queryTableFieldId="3"/>
    <tableColumn id="4" xr3:uid="{06364F22-C4F8-44FA-BAC7-BF5DF376B659}" uniqueName="4" name="Tipo" queryTableFieldId="4"/>
    <tableColumn id="7" xr3:uid="{35D0AE53-5F99-4E85-B03E-99AF0A674573}" uniqueName="7" name="Categoria" queryTableFieldId="7" dataDxfId="164"/>
    <tableColumn id="6" xr3:uid="{E8DC618E-46D6-4DB5-B2BC-77FD97907181}" uniqueName="6" name="Clasificación" queryTableFieldId="6" dataDxfId="16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30A235-1DB0-4814-8B23-32184239E87C}" name="AccountingReport" displayName="AccountingReport" ref="DZ5:EE2533" tableType="queryTable" totalsRowShown="0">
  <autoFilter ref="DZ5:EE2533" xr:uid="{1530A235-1DB0-4814-8B23-32184239E87C}"/>
  <tableColumns count="6">
    <tableColumn id="1" xr3:uid="{89590CFB-19FE-4A7C-B554-0298BACD2804}" uniqueName="1" name="period" queryTableFieldId="1" dataDxfId="162"/>
    <tableColumn id="9" xr3:uid="{AB972D88-8C0D-41B9-BF68-69666897AA7E}" uniqueName="9" name="category" queryTableFieldId="14" dataDxfId="161" dataCellStyle="Comma [0]"/>
    <tableColumn id="8" xr3:uid="{6959F67D-A48C-4174-9923-5424F82F497A}" uniqueName="8" name="thirdparty_name" queryTableFieldId="12" dataDxfId="160" dataCellStyle="Comma [0]"/>
    <tableColumn id="5" xr3:uid="{D3D3B5BA-D3D9-4BE3-ABB0-C52A8240C6BD}" uniqueName="5" name="account_name" queryTableFieldId="5" dataDxfId="159" dataCellStyle="Comma [0]"/>
    <tableColumn id="2" xr3:uid="{7204F07D-48D9-4CDB-A842-2B202561F095}" uniqueName="2" name="costs_fixed" queryTableFieldId="2" dataDxfId="158" dataCellStyle="Comma [0]"/>
    <tableColumn id="3" xr3:uid="{F896749F-B1B7-4255-A24B-30AF54170842}" uniqueName="3" name="costs_variable" queryTableFieldId="3" dataDxfId="157" dataCellStyle="Comma [0]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11FD75-8617-44EB-9739-87DA5F48BBDF}" name="COAApi" displayName="COAApi" ref="DP5:DX393" tableType="queryTable" totalsRowShown="0">
  <autoFilter ref="DP5:DX393" xr:uid="{C711FD75-8617-44EB-9739-87DA5F48BBDF}"/>
  <tableColumns count="9">
    <tableColumn id="1" xr3:uid="{662CCD39-4C4E-4942-863A-47EAAFBA902D}" uniqueName="1" name="Código" queryTableFieldId="1" dataDxfId="156"/>
    <tableColumn id="2" xr3:uid="{1370A145-5FB0-4A36-A2EF-6247C6B7C907}" uniqueName="2" name="Nombre" queryTableFieldId="2" dataDxfId="155"/>
    <tableColumn id="3" xr3:uid="{A541A212-69E6-4C58-98F6-EB1576996BB7}" uniqueName="3" name="Nivel" queryTableFieldId="3" dataDxfId="154"/>
    <tableColumn id="4" xr3:uid="{8BAF2F34-74B1-4364-869E-72B9ABA58EA4}" uniqueName="4" name="Transaccional" queryTableFieldId="4" dataDxfId="153"/>
    <tableColumn id="5" xr3:uid="{AE4FA0CE-7C8D-40C4-9593-8ACD0A4B8139}" uniqueName="5" name="Activo" queryTableFieldId="5" dataDxfId="152"/>
    <tableColumn id="6" xr3:uid="{AED50668-DCDC-4910-84C8-71B8679132FA}" uniqueName="6" name="Parent" queryTableFieldId="6" dataDxfId="151"/>
    <tableColumn id="7" xr3:uid="{0AFCA3C5-0B9B-4D66-AC8C-2FF630CC0779}" uniqueName="7" name="HasChildren" queryTableFieldId="7"/>
    <tableColumn id="8" xr3:uid="{6588CAC2-29E4-4184-973F-C3A700E135A9}" uniqueName="8" name="Tipo" queryTableFieldId="8" dataDxfId="150"/>
    <tableColumn id="9" xr3:uid="{B353E3FB-C2A7-498C-8BD0-A97AA54BCF2D}" uniqueName="9" name="Fecha Actualización" queryTableFieldId="9" dataDxfId="14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CA8F43B-FBD6-41C7-85B6-E64DB4FB9B17}" name="LocalFinanceSummary" displayName="LocalFinanceSummary" ref="B5:F6" totalsRowShown="0">
  <autoFilter ref="B5:F6" xr:uid="{CCA8F43B-FBD6-41C7-85B6-E64DB4FB9B17}"/>
  <tableColumns count="5">
    <tableColumn id="1" xr3:uid="{5C1BBFF8-DE1D-48DC-8A68-F4D1B3332EB2}" name="day" dataDxfId="148"/>
    <tableColumn id="2" xr3:uid="{F546EDA7-3C61-4035-9241-57EEC03DC7F8}" name="gross_sales"/>
    <tableColumn id="3" xr3:uid="{D782F600-DBAA-4B40-A945-4619AB7681F6}" name="discounts"/>
    <tableColumn id="4" xr3:uid="{71FF74D7-DE90-4710-8A36-BE38528AA866}" name="net_sales"/>
    <tableColumn id="5" xr3:uid="{642F031D-74FB-477C-8F7B-C78AC7C48137}" name="taxes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D955744-5D09-4449-A1F3-B0A53D8DE060}" name="LocalSalesBreakdownDaily" displayName="LocalSalesBreakdownDaily" ref="H5:AC6" totalsRowShown="0">
  <autoFilter ref="H5:AC6" xr:uid="{9D955744-5D09-4449-A1F3-B0A53D8DE060}"/>
  <tableColumns count="22">
    <tableColumn id="1" xr3:uid="{05256CAF-157F-4AF3-82F2-8E84D468529F}" name="day" dataDxfId="147"/>
    <tableColumn id="2" xr3:uid="{9008E31C-CD6B-485B-B71D-66FD4544BB74}" name="orders"/>
    <tableColumn id="3" xr3:uid="{17FD8B8B-FE34-4DF5-A609-AF5F1E000BB4}" name="quantity_ordered_per_order"/>
    <tableColumn id="4" xr3:uid="{6D19C7A4-CCEC-4026-94DC-00B4CA17B667}" name="average_order_value"/>
    <tableColumn id="5" xr3:uid="{FE5A9906-8058-4F0D-9919-DFD3F851BC8B}" name="quantity_returned"/>
    <tableColumn id="6" xr3:uid="{137E2443-D1CA-43EF-84FE-2FFCC92E154E}" name="gross_sales"/>
    <tableColumn id="7" xr3:uid="{3355FF58-3B49-4D69-BCDB-21933E73D4B2}" name="discounts"/>
    <tableColumn id="8" xr3:uid="{25C091A7-58D9-4461-A8BE-A177DB495015}" name="sales_reversals"/>
    <tableColumn id="9" xr3:uid="{69082C5E-B994-485F-892F-D77C54EDBFA8}" name="net_sales"/>
    <tableColumn id="10" xr3:uid="{8B8CA471-1EE1-435B-A4E9-87154667532E}" name="shipping_charges"/>
    <tableColumn id="11" xr3:uid="{D68E2430-0A73-426B-B66E-894F9BD5DB8F}" name="return_fees"/>
    <tableColumn id="12" xr3:uid="{0698413A-86DB-4477-8C88-6F537389E57F}" name="taxes"/>
    <tableColumn id="13" xr3:uid="{C68166E3-4BA2-42B9-B6C7-FDF4FF81142B}" name="total_sales"/>
    <tableColumn id="14" xr3:uid="{D9294D55-E0DA-4040-B25E-616074A3F483}" name="net_sales_without_cost_recorded"/>
    <tableColumn id="15" xr3:uid="{F2BD68C9-3C8A-4D3D-9F12-CEB3676DB930}" name="net_sales_with_cost_recorded"/>
    <tableColumn id="16" xr3:uid="{F6962DE6-0B4B-4F8D-A5CB-0ACC65B56FD7}" name="cost_of_goods_sold"/>
    <tableColumn id="17" xr3:uid="{6C62638C-77CC-4813-A034-4314F09AB7C3}" name="gross_profit"/>
    <tableColumn id="18" xr3:uid="{1FBCE968-68B5-4B18-9443-904BD9CA544E}" name="gift_card_gross_sales"/>
    <tableColumn id="19" xr3:uid="{64161AAE-9ECE-4B2E-8909-05A1EF96C184}" name="net_items_sold"/>
    <tableColumn id="20" xr3:uid="{C7E12465-2D2E-4D7D-9E65-6C1D16B58B7D}" name="gift_card_discounts"/>
    <tableColumn id="21" xr3:uid="{1F3F5A07-75EB-4B6B-AF0E-0419D2AFFE60}" name="gift_card_net_sales"/>
    <tableColumn id="22" xr3:uid="{3B8AB79F-430D-4721-AAB9-A21FA817F75F}" name="refresh_date" dataDxfId="14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F08C1E6-20D6-4F7E-A2D3-1AA93571AB9C}" name="LocalSalesBreakdownMonthly" displayName="LocalSalesBreakdownMonthly" ref="AE5:AZ6" totalsRowShown="0">
  <autoFilter ref="AE5:AZ6" xr:uid="{BF08C1E6-20D6-4F7E-A2D3-1AA93571AB9C}"/>
  <tableColumns count="22">
    <tableColumn id="1" xr3:uid="{E394FAEB-2BBD-4374-BD4D-F7F6EB303254}" name="month" dataDxfId="145"/>
    <tableColumn id="2" xr3:uid="{699E2C19-ABA6-456C-A7DF-E7BADBEF4DCE}" name="orders"/>
    <tableColumn id="3" xr3:uid="{E9BAEA52-8BD2-4AE3-9D45-605AC2D2CC5A}" name="quantity_ordered_per_order"/>
    <tableColumn id="4" xr3:uid="{6C296489-8AD6-4142-BEAC-DEAEC32F9498}" name="average_order_value"/>
    <tableColumn id="5" xr3:uid="{6B6302E6-2681-459D-AD2B-0F8B34226305}" name="quantity_returned"/>
    <tableColumn id="6" xr3:uid="{6B20FB22-7A34-4290-90C6-384B957D4718}" name="gross_sales"/>
    <tableColumn id="7" xr3:uid="{F5DCCAFB-F42C-49C3-8E7B-5E5C7B5738B1}" name="discounts"/>
    <tableColumn id="8" xr3:uid="{6C5516E8-E057-4BB9-8B33-F18DD3E6F733}" name="sales_reversals"/>
    <tableColumn id="9" xr3:uid="{744AED6A-97BA-488A-B300-53187C500F01}" name="net_sales"/>
    <tableColumn id="10" xr3:uid="{902BBDE5-7E8C-4105-82FC-2F3143AEA85C}" name="shipping_charges"/>
    <tableColumn id="11" xr3:uid="{8CF0788F-BFCB-4423-9B75-717AE66EEF11}" name="return_fees"/>
    <tableColumn id="12" xr3:uid="{457CD11D-5252-4AFB-910B-AED6DE831FDE}" name="taxes"/>
    <tableColumn id="13" xr3:uid="{58EC9594-1F52-468C-A3D1-AB1F97B784BC}" name="total_sales"/>
    <tableColumn id="14" xr3:uid="{19370253-C6B3-4985-B8B6-6A3F4EF96C1C}" name="net_sales_without_cost_recorded"/>
    <tableColumn id="15" xr3:uid="{C913B96B-4A8A-4F38-A11F-64E2BC89E02F}" name="net_sales_with_cost_recorded"/>
    <tableColumn id="16" xr3:uid="{DB7B75F9-8ED6-4AFF-8F5C-B91EF78B7057}" name="cost_of_goods_sold"/>
    <tableColumn id="17" xr3:uid="{8DFA823F-CF51-4AF2-87D5-C8FDBD03765F}" name="gross_profit"/>
    <tableColumn id="18" xr3:uid="{F0E9BDCC-A87E-4081-A83C-91915A09DAB2}" name="gift_card_gross_sales"/>
    <tableColumn id="19" xr3:uid="{5484B512-0CF4-48BA-9EAB-69CD486F3C8F}" name="net_items_sold"/>
    <tableColumn id="20" xr3:uid="{7A2967BC-1F8D-4CB9-A20C-320EB9B0CDFD}" name="gift_card_discounts"/>
    <tableColumn id="21" xr3:uid="{587CFCF7-05C8-4E77-B324-9792FDBF7F85}" name="gift_card_net_sales"/>
    <tableColumn id="22" xr3:uid="{0CA19414-AB9C-4A86-A4AE-499FCEAB8E95}" name="refresh_date" dataDxfId="144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EE5F08D-6F59-4B63-98DA-B89358E734FF}" name="LocalSalesNewReturningDaily" displayName="LocalSalesNewReturningDaily" ref="BB5:BU6" totalsRowShown="0">
  <autoFilter ref="BB5:BU6" xr:uid="{3EE5F08D-6F59-4B63-98DA-B89358E734FF}"/>
  <tableColumns count="20">
    <tableColumn id="1" xr3:uid="{116BDB0E-8D17-4FB7-BD9D-734348E7BB4D}" name="day" dataDxfId="143"/>
    <tableColumn id="2" xr3:uid="{55AEB04C-0F3D-487F-A42E-0DA5861CA7D2}" name="returning_customers"/>
    <tableColumn id="3" xr3:uid="{6EA85F65-E659-4355-9EA4-46467B88F056}" name="returning_orders"/>
    <tableColumn id="4" xr3:uid="{C6A9EE36-A427-450F-BA44-532AB667C7A0}" name="returning_net_sales"/>
    <tableColumn id="5" xr3:uid="{4E740A68-8E8C-4E3B-A02C-D4DFBC581179}" name="returning_average_order_value"/>
    <tableColumn id="6" xr3:uid="{F089FDC9-E4BF-4C80-B996-4B6C0C046ED1}" name="returning_cost_of_goods_sold"/>
    <tableColumn id="7" xr3:uid="{1369995C-7027-4BA1-9115-289BB3A4D5B2}" name="returning_gross_profit"/>
    <tableColumn id="8" xr3:uid="{8917FB2E-5A88-4ED0-95CD-89C46B79BA5C}" name="new_customers"/>
    <tableColumn id="9" xr3:uid="{32947331-0C10-4398-B794-10F10CF4C6EC}" name="new_orders"/>
    <tableColumn id="10" xr3:uid="{C6FAF1CE-8812-4C75-AC29-09CF9067F053}" name="new_net_sales"/>
    <tableColumn id="11" xr3:uid="{8FC60AD9-5CF6-4B1E-A0E7-C693C3F0D0CD}" name="new_average_order_value"/>
    <tableColumn id="12" xr3:uid="{EF5216BA-0A7C-48FC-A646-B117F9C09B9E}" name="new_cost_of_goods_sold"/>
    <tableColumn id="13" xr3:uid="{109EE90E-F994-4174-B44A-8FD836B0B9EB}" name="new_gross_profit"/>
    <tableColumn id="14" xr3:uid="{717F0B8D-59AF-4420-84F9-3A106075F1B8}" name="unknown_customers"/>
    <tableColumn id="15" xr3:uid="{FA2D86AC-FEF7-4036-BA77-E09CCB168E79}" name="unknown_orders"/>
    <tableColumn id="16" xr3:uid="{536D5117-E1FB-46C7-AF6F-21005032ADB7}" name="unknown_net_sales"/>
    <tableColumn id="17" xr3:uid="{FE7540B2-4BF2-4DFD-AB8C-53F4B31A5840}" name="unknown_average_order_value"/>
    <tableColumn id="18" xr3:uid="{C446B5A8-6E01-43BA-8B2C-211B1DA29C3E}" name="unknown_cost_of_goods_sold"/>
    <tableColumn id="19" xr3:uid="{694CDAEE-35F1-4F7C-8C91-C7F90A7B0B57}" name="unknown_gross_profit"/>
    <tableColumn id="20" xr3:uid="{24360DDC-798A-4190-B981-BAA03345E6B9}" name="refresh_date" dataDxfId="142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90F7224-EF9C-4901-B0E4-D985C53CD80E}" name="LocalSalesNewReturningMonthly" displayName="LocalSalesNewReturningMonthly" ref="BW5:CP6" totalsRowShown="0">
  <autoFilter ref="BW5:CP6" xr:uid="{D90F7224-EF9C-4901-B0E4-D985C53CD80E}"/>
  <tableColumns count="20">
    <tableColumn id="1" xr3:uid="{17EFAA05-3B76-411C-99F3-E40286FD738F}" name="month" dataDxfId="141"/>
    <tableColumn id="2" xr3:uid="{49036FCF-9660-4475-AD85-FB47862E7C4F}" name="returning_customers"/>
    <tableColumn id="3" xr3:uid="{26994876-12FE-4C59-96F6-AE0ED44C86F4}" name="returning_orders"/>
    <tableColumn id="4" xr3:uid="{EC30013A-2A13-49BE-848A-A66EA04733D5}" name="returning_net_sales"/>
    <tableColumn id="5" xr3:uid="{4BAADE76-F82B-45FC-B90C-E5065A4E0927}" name="returning_average_order_value"/>
    <tableColumn id="6" xr3:uid="{A6BDD132-5DE8-4041-B306-079CFEDF20AE}" name="returning_cost_of_goods_sold"/>
    <tableColumn id="7" xr3:uid="{CEC5FB45-1087-4972-8421-8C1C563B8161}" name="returning_gross_profit"/>
    <tableColumn id="8" xr3:uid="{64933116-EA47-4378-9A9F-F470F1DBBF92}" name="new_customers"/>
    <tableColumn id="9" xr3:uid="{8D4627A6-056D-46ED-A09A-82F3E925291B}" name="new_orders"/>
    <tableColumn id="10" xr3:uid="{FC4055E3-CB17-4DE5-9AA0-7C6F1A64A092}" name="new_net_sales"/>
    <tableColumn id="11" xr3:uid="{24F1FCF8-5779-48C0-98C7-D991E7E6A4E2}" name="new_average_order_value"/>
    <tableColumn id="12" xr3:uid="{18CAF9C0-7B30-4FBB-817A-3207348DCCFF}" name="new_cost_of_goods_sold"/>
    <tableColumn id="13" xr3:uid="{49FA4A50-8F75-4283-8C2A-4DAE17E5CD62}" name="new_gross_profit"/>
    <tableColumn id="14" xr3:uid="{DA032FCF-68C0-4F7F-A9D8-2EB766E4CCBB}" name="unknown_customers"/>
    <tableColumn id="15" xr3:uid="{56D7C881-B668-488E-8628-2AB025E3B7B7}" name="unknown_orders"/>
    <tableColumn id="16" xr3:uid="{B2254111-A178-467E-B7E2-0181CE240C80}" name="unknown_net_sales"/>
    <tableColumn id="17" xr3:uid="{72F1F1F8-A987-4B3E-9B1D-3A45F8162C27}" name="unknown_average_order_value"/>
    <tableColumn id="18" xr3:uid="{00AD457B-97E0-401A-8C63-027131C6F4CA}" name="unknown_cost_of_goods_sold"/>
    <tableColumn id="19" xr3:uid="{302242DC-AC88-4047-BDD7-33BDFB947DCA}" name="unknown_gross_profit"/>
    <tableColumn id="20" xr3:uid="{0220C619-89C8-47B7-B188-8317EF59C009}" name="refresh_date" dataDxfId="14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74CED5F-229F-4938-A3C9-D78FB5D96D92}" name="LocalSalesByUTMDaily" displayName="LocalSalesByUTMDaily" ref="CR5:CV6" totalsRowShown="0">
  <autoFilter ref="CR5:CV6" xr:uid="{974CED5F-229F-4938-A3C9-D78FB5D96D92}"/>
  <tableColumns count="5">
    <tableColumn id="1" xr3:uid="{A155FE7F-22C0-46BA-A1FC-7BC271343675}" name="day" dataDxfId="139"/>
    <tableColumn id="2" xr3:uid="{DA1C1490-EE19-4805-A75B-9B18B5132419}" name="order_utm_campaign" dataDxfId="138"/>
    <tableColumn id="3" xr3:uid="{85F02FF5-F119-4BD9-B69F-A2174624440A}" name="order_referrer_source" dataDxfId="137"/>
    <tableColumn id="4" xr3:uid="{DA5BF941-140B-477A-B4DD-1FFF1027FF5D}" name="Total_Sales_Combined"/>
    <tableColumn id="5" xr3:uid="{7EF1C289-5E68-4511-A814-30F65599801D}" name="refresh_date" dataDxfId="136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AA9214F-F6E6-44EE-AF0C-B8270BAF1F59}" name="LocalSalesByUTMMonthly" displayName="LocalSalesByUTMMonthly" ref="CX5:DB6" totalsRowShown="0">
  <autoFilter ref="CX5:DB6" xr:uid="{4AA9214F-F6E6-44EE-AF0C-B8270BAF1F59}"/>
  <tableColumns count="5">
    <tableColumn id="1" xr3:uid="{48C7A8D0-577B-4477-9088-A22BB0115102}" name="month" dataDxfId="135"/>
    <tableColumn id="2" xr3:uid="{F791CB93-B7FA-41E8-ACEB-8FB94368AEF3}" name="order_utm_campaign" dataDxfId="134"/>
    <tableColumn id="3" xr3:uid="{1CE2E958-1E48-49F7-ABC5-4C1D25477337}" name="order_referrer_source" dataDxfId="133"/>
    <tableColumn id="4" xr3:uid="{DECF55D8-8207-41B3-A21E-E2A23EC84B85}" name="Total_Sales_Combined"/>
    <tableColumn id="5" xr3:uid="{F35A599E-A73B-4A72-8E9F-9D66918798A4}" name="refresh_date" dataDxfId="13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353A4B0-7C02-46A6-807B-4DCB6537F4D3}" name="LocalGoogleAdsDaily" displayName="LocalGoogleAdsDaily" ref="DD5:DH6" totalsRowShown="0">
  <autoFilter ref="DD5:DH6" xr:uid="{A353A4B0-7C02-46A6-807B-4DCB6537F4D3}"/>
  <tableColumns count="5">
    <tableColumn id="1" xr3:uid="{D027F825-0788-461F-AA4D-EB97D3BC80EE}" name="day" dataDxfId="131"/>
    <tableColumn id="2" xr3:uid="{12AF4015-33E6-4EDD-87F8-D1F467A6DC47}" name="Cost"/>
    <tableColumn id="3" xr3:uid="{DC4D9AF8-6436-44AD-BBC8-65224FD2A19F}" name="Impressions"/>
    <tableColumn id="4" xr3:uid="{DD858A4B-8DD4-47D1-AA16-5E131591B32A}" name="Clicks"/>
    <tableColumn id="5" xr3:uid="{0B5BDC49-AB6F-417F-9E1E-EE23DA07CE9B}" name="refresh_date" dataDxfId="130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DAD5A13E-8F72-4382-A258-BA879F16FCBA}" name="LocalGoogleAdsMonthly" displayName="LocalGoogleAdsMonthly" ref="DJ5:DN6" totalsRowShown="0">
  <autoFilter ref="DJ5:DN6" xr:uid="{DAD5A13E-8F72-4382-A258-BA879F16FCBA}"/>
  <tableColumns count="5">
    <tableColumn id="1" xr3:uid="{94AC5B75-4083-4CC8-ACC5-B589447F63A1}" name="month" dataDxfId="129"/>
    <tableColumn id="2" xr3:uid="{6CB843E4-A50F-4ADB-89AD-9D05FBBF05B0}" name="Cost"/>
    <tableColumn id="3" xr3:uid="{1A4FE0CC-E4AE-4654-812A-D4CD4EBA6084}" name="Impressions"/>
    <tableColumn id="4" xr3:uid="{99EE763D-8DB6-4C41-9C84-9EA3AFE42095}" name="Clicks"/>
    <tableColumn id="5" xr3:uid="{F60652D4-0992-475D-9986-C9CB3A9C175A}" name="refresh_date" dataDxfId="12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69EFD241-1DA5-4F93-9E6E-E21981FCF0AA}" name="LocalMetaAdsDaily" displayName="LocalMetaAdsDaily" ref="DP5:DU6" totalsRowShown="0">
  <autoFilter ref="DP5:DU6" xr:uid="{69EFD241-1DA5-4F93-9E6E-E21981FCF0AA}"/>
  <tableColumns count="6">
    <tableColumn id="1" xr3:uid="{2AA5ECE1-3BE3-4826-9E44-7775C76E5BB8}" name="day" dataDxfId="127"/>
    <tableColumn id="2" xr3:uid="{98BAC857-360D-4387-B229-1B040D9F0C81}" name="campaign_name" dataDxfId="126"/>
    <tableColumn id="3" xr3:uid="{2B75C5E4-0A94-4DBC-AA06-84FE9873EB46}" name="spend"/>
    <tableColumn id="4" xr3:uid="{705D8FB6-2210-4506-A872-B1FAD2FF17D6}" name="clicks"/>
    <tableColumn id="5" xr3:uid="{DDAFC89B-69ED-46CA-AAB4-CAA96CBCA65E}" name="impressions"/>
    <tableColumn id="6" xr3:uid="{FD574344-C074-47A0-B252-4EE8A4E7596E}" name="refresh_date" dataDxfId="125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006062B-BA78-4783-84C1-63CFDCCD1A01}" name="LocalMetaAdsMonthly" displayName="LocalMetaAdsMonthly" ref="DW5:EB6" totalsRowShown="0">
  <autoFilter ref="DW5:EB6" xr:uid="{B006062B-BA78-4783-84C1-63CFDCCD1A01}"/>
  <tableColumns count="6">
    <tableColumn id="1" xr3:uid="{11A4DA6A-898B-4BF1-9272-92ED70669216}" name="month" dataDxfId="124"/>
    <tableColumn id="2" xr3:uid="{C13E96E0-89D3-42EB-8630-B6B2448B2D70}" name="campaign_name" dataDxfId="123"/>
    <tableColumn id="3" xr3:uid="{599CCE57-1FEA-454A-8CA6-824C5CDB81CA}" name="spend"/>
    <tableColumn id="4" xr3:uid="{33B51C4A-2CE8-4A70-A342-82E2DFB8FCF3}" name="clicks"/>
    <tableColumn id="5" xr3:uid="{8C1892FB-895A-43A0-814F-9797ED97ACB2}" name="impressions"/>
    <tableColumn id="6" xr3:uid="{CE3076F2-D742-47B9-B5CE-21E93CEBEC1B}" name="refresh_date" dataDxfId="12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DEC7294-2B20-47BE-8284-FBDAF13CB54F}" name="LocalSalesBySource" displayName="LocalSalesBySource" ref="ED5:EJ6" totalsRowShown="0">
  <autoFilter ref="ED5:EJ6" xr:uid="{FDEC7294-2B20-47BE-8284-FBDAF13CB54F}"/>
  <tableColumns count="7">
    <tableColumn id="1" xr3:uid="{EEBBF117-4082-4726-90D5-00D60C73AB6C}" name="day" dataDxfId="121"/>
    <tableColumn id="2" xr3:uid="{2DC567EB-AE22-4A94-9350-12D367CA3962}" name="channel" dataDxfId="120"/>
    <tableColumn id="3" xr3:uid="{42B1996A-F226-4D7B-A498-7E7F69C06F23}" name="net_sales"/>
    <tableColumn id="4" xr3:uid="{DE481C4B-849A-4C42-B2F8-8C86DAFB9544}" name="orders"/>
    <tableColumn id="5" xr3:uid="{3ABDB633-E6D2-4776-8B14-B477FDF5FAEE}" name="average_order_value"/>
    <tableColumn id="6" xr3:uid="{0F0F7089-4A23-415B-95D4-D5AB884DC6B2}" name="cost_of_goods_sold"/>
    <tableColumn id="7" xr3:uid="{F886A5DB-6F74-41A6-8F4F-E045CD914F77}" name="gross_profit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BD06671-66D5-4DF1-AB10-BF6B925150B5}" name="LocalConversionRate" displayName="LocalConversionRate" ref="EL5:EP6" totalsRowShown="0">
  <autoFilter ref="EL5:EP6" xr:uid="{2BD06671-66D5-4DF1-AB10-BF6B925150B5}"/>
  <tableColumns count="5">
    <tableColumn id="1" xr3:uid="{9103D24E-15E2-457A-A942-51816136A25C}" name="day" dataDxfId="119"/>
    <tableColumn id="2" xr3:uid="{ADE37D82-2FD6-4421-A1CE-EE804BFF7D83}" name="referrer_source" dataDxfId="118"/>
    <tableColumn id="3" xr3:uid="{12507D9D-FA94-4578-BAA8-CB4BE2F2F52D}" name="sessions"/>
    <tableColumn id="4" xr3:uid="{2D96CCE2-C086-4FBA-B360-236F3C1F32D6}" name="sessions_that_completed_checkout"/>
    <tableColumn id="5" xr3:uid="{BE4754CB-F029-4F0C-B41E-8391963C8108}" name="conversion_rate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C79C865-3347-4DAF-8423-1C909D709229}" name="LocalSalesQuantityOrdered" displayName="LocalSalesQuantityOrdered" ref="ER5:EW6" totalsRowShown="0">
  <autoFilter ref="ER5:EW6" xr:uid="{7C79C865-3347-4DAF-8423-1C909D709229}"/>
  <tableColumns count="6">
    <tableColumn id="1" xr3:uid="{818BBD9F-6505-414D-843C-81795425DA50}" name="day" dataDxfId="117"/>
    <tableColumn id="2" xr3:uid="{FDF52286-E69D-46F1-8CE7-C642326D1F1F}" name="source" dataDxfId="116"/>
    <tableColumn id="3" xr3:uid="{1925317B-9330-46B1-A3E0-4B271BA80E9F}" name="new_or_returning_customer" dataDxfId="115"/>
    <tableColumn id="4" xr3:uid="{4BEEC926-3280-40FD-847E-AA0DA36EB640}" name="product_title" dataDxfId="114"/>
    <tableColumn id="5" xr3:uid="{8CA36C78-CA29-494A-B1F8-B139EB4DF49D}" name="quantity_ordered"/>
    <tableColumn id="6" xr3:uid="{0CA1966B-E3B3-4239-AA6E-B5575E8A75D2}" name="net_sales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30AE3FC1-2930-4B2C-92C9-B479199CFF47}" name="LocalTrialBalance" displayName="LocalTrialBalance" ref="EY5:FN6" totalsRowShown="0">
  <autoFilter ref="EY5:FN6" xr:uid="{30AE3FC1-2930-4B2C-92C9-B479199CFF47}"/>
  <tableColumns count="16">
    <tableColumn id="1" xr3:uid="{601ABD17-D835-42AD-8A5B-D08AE6650614}" name="Año"/>
    <tableColumn id="2" xr3:uid="{4F800DA7-86C8-4D9A-99A1-BD81877C3193}" name="Mes"/>
    <tableColumn id="3" xr3:uid="{573B65BD-B0E6-4A57-A6CE-F3255B4C6872}" name="Nivel" dataDxfId="113"/>
    <tableColumn id="4" xr3:uid="{104D6F36-9FC8-47E5-A5AF-A34C8C916717}" name="Transaccional" dataDxfId="112"/>
    <tableColumn id="5" xr3:uid="{7CDECD4D-0519-4AF8-8A5F-DEE090F281E1}" name="Código cuenta contable" dataDxfId="111"/>
    <tableColumn id="6" xr3:uid="{0E870EB2-82EB-4135-879C-3D5BFB0118E1}" name="Nombre Cuenta contable" dataDxfId="110"/>
    <tableColumn id="7" xr3:uid="{00EFFDC0-CB63-483C-9CB1-699CA5DC5375}" name="Identificación" dataDxfId="109"/>
    <tableColumn id="8" xr3:uid="{AF850ED9-2AFE-420C-88BF-49A92CF692D1}" name="Sucursal"/>
    <tableColumn id="9" xr3:uid="{63E7DD28-B5EF-4793-8F52-3E5C2947EC1C}" name="Nombre tercero" dataDxfId="108"/>
    <tableColumn id="10" xr3:uid="{7B489D57-0141-4C72-A115-85E8D8DEB9B0}" name="Saldo Inicial"/>
    <tableColumn id="11" xr3:uid="{2060E11B-9D55-489C-B7A6-1D4263A7EDA0}" name="Movimiento Débito"/>
    <tableColumn id="12" xr3:uid="{73E09453-3FF2-4DA5-8F66-FF3B36DFD225}" name="Movimiento Crédito"/>
    <tableColumn id="13" xr3:uid="{4A2188FD-A07F-462E-888C-0B9190AE076A}" name="Saldo final"/>
    <tableColumn id="14" xr3:uid="{22DD61A2-2933-4B60-A5CD-8AB597BECD5B}" name="MovimientoDebitoCredito"/>
    <tableColumn id="15" xr3:uid="{198C7DF5-DB61-47D6-A869-4CE548F56C91}" name="Fecha inicio" dataDxfId="107"/>
    <tableColumn id="16" xr3:uid="{CB218712-2200-47FA-9FF1-9DE717652886}" name="Fecha fin" dataDxfId="10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B8C70D0-0FC1-40A7-8C3A-C2A560BC7181}" name="ConversionRateByReferral" displayName="ConversionRateByReferral" ref="B5:F2159" tableType="queryTable" totalsRowShown="0">
  <autoFilter ref="B5:F2159" xr:uid="{7B8C70D0-0FC1-40A7-8C3A-C2A560BC7181}"/>
  <tableColumns count="5">
    <tableColumn id="1" xr3:uid="{3D06E925-22E9-4A42-A806-CF500DE93681}" uniqueName="1" name="day" queryTableFieldId="1" dataDxfId="256"/>
    <tableColumn id="2" xr3:uid="{88A1B9FB-7AAB-42BB-81C7-F3A6ABB149B0}" uniqueName="2" name="referrer_source" queryTableFieldId="2" dataDxfId="255"/>
    <tableColumn id="4" xr3:uid="{3B3E97AF-BC46-4471-A096-483483D37BFD}" uniqueName="4" name="sessions" queryTableFieldId="4" dataDxfId="254" dataCellStyle="Comma [0]"/>
    <tableColumn id="5" xr3:uid="{97210653-1F5D-4533-AAB9-2C19945AAD15}" uniqueName="5" name="sessions_that_completed_checkout" queryTableFieldId="5" dataDxfId="253" dataCellStyle="Percent"/>
    <tableColumn id="3" xr3:uid="{292C317A-B0A9-4CA0-B76E-F3DD636DEF0E}" uniqueName="3" name="conversion_rate" queryTableFieldId="3" dataDxfId="252" dataCellStyle="Percent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ED608DE-7F26-4129-8BF9-EAB1D53CD66B}" name="SalesQuantityOrderedBySourceProduct" displayName="SalesQuantityOrderedBySourceProduct" ref="B5:G11396" tableType="queryTable" totalsRowShown="0">
  <autoFilter ref="B5:G11396" xr:uid="{EED608DE-7F26-4129-8BF9-EAB1D53CD66B}"/>
  <tableColumns count="6">
    <tableColumn id="7" xr3:uid="{3E96A959-F86C-4CE1-A6E6-FED51D44E6A1}" uniqueName="7" name="day" queryTableFieldId="8" dataDxfId="105" dataCellStyle="Comma [0]"/>
    <tableColumn id="2" xr3:uid="{F22ACC72-9ACB-4403-A2BE-CC97C678A584}" uniqueName="2" name="source" queryTableFieldId="2" dataDxfId="104"/>
    <tableColumn id="6" xr3:uid="{64B9547B-905F-4411-B470-E6F4AEFC1E1B}" uniqueName="6" name="new_or_returning_customer" queryTableFieldId="6" dataDxfId="103" dataCellStyle="Comma [0]"/>
    <tableColumn id="3" xr3:uid="{02F204E1-5C18-440D-B2C4-3740E9B6CE5A}" uniqueName="3" name="product_title" queryTableFieldId="3" dataDxfId="102"/>
    <tableColumn id="4" xr3:uid="{5F6689C1-DC87-4261-A8B1-C4AD53CCCE87}" uniqueName="4" name="quantity_ordered" queryTableFieldId="4" dataDxfId="101" dataCellStyle="Comma [0]"/>
    <tableColumn id="5" xr3:uid="{E471F6FF-FDAF-496F-B58C-892F856333BD}" uniqueName="5" name="net_sales" queryTableFieldId="5" dataDxfId="100" dataCellStyle="Comma [0]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DE1BE8-F3EF-4BF2-AEBA-6658C7E1BC20}" name="SummaryDaily" displayName="SummaryDaily" ref="B5:CI35" tableType="queryTable" totalsRowShown="0">
  <autoFilter ref="B5:CI35" xr:uid="{D4DE1BE8-F3EF-4BF2-AEBA-6658C7E1BC20}"/>
  <tableColumns count="86">
    <tableColumn id="4" xr3:uid="{EA15B719-1C63-466F-A5C4-AFD2C9E9A5D0}" uniqueName="4" name="day" queryTableFieldId="4" dataDxfId="99"/>
    <tableColumn id="23" xr3:uid="{F2E3FBAC-42EF-41AC-8C85-E631363A2C56}" uniqueName="23" name="orders" queryTableFieldId="28" dataDxfId="98" dataCellStyle="Comma [0]"/>
    <tableColumn id="24" xr3:uid="{20903691-F979-4A14-8793-12A0E87BCDA6}" uniqueName="24" name="quantity_ordered_per_order" queryTableFieldId="29" dataDxfId="97" dataCellStyle="Comma [0]"/>
    <tableColumn id="25" xr3:uid="{D2DE1328-4FBB-43D2-8A80-DFF4C51465AB}" uniqueName="25" name="average_order_value" queryTableFieldId="30" dataDxfId="96" dataCellStyle="Comma [0]"/>
    <tableColumn id="26" xr3:uid="{E73FD606-D532-4B2D-B756-B54CB81480A7}" uniqueName="26" name="quantity_returned" queryTableFieldId="31" dataDxfId="95" dataCellStyle="Comma [0]"/>
    <tableColumn id="5" xr3:uid="{9E48D7F1-B380-4D00-ADF8-44762D37070B}" uniqueName="5" name="gross_sales" queryTableFieldId="5" dataDxfId="94" dataCellStyle="Comma [0]"/>
    <tableColumn id="6" xr3:uid="{7AF6D468-691F-4D57-8BB6-F51F333E3641}" uniqueName="6" name="discounts" queryTableFieldId="6" dataDxfId="93" dataCellStyle="Comma [0]"/>
    <tableColumn id="11" xr3:uid="{62ED857F-721A-4B5E-8BA8-E15F2D9C1399}" uniqueName="11" name="sales_reversals" queryTableFieldId="13" dataDxfId="92" dataCellStyle="Comma [0]"/>
    <tableColumn id="7" xr3:uid="{97297F82-E7F7-46DF-AF0D-BE30C581832C}" uniqueName="7" name="net_sales" queryTableFieldId="7" dataDxfId="91" dataCellStyle="Comma [0]"/>
    <tableColumn id="12" xr3:uid="{DFD80D0B-29E3-4B89-AD46-654316ACD168}" uniqueName="12" name="shipping_charges" queryTableFieldId="14" dataDxfId="90" dataCellStyle="Comma [0]"/>
    <tableColumn id="13" xr3:uid="{FACD100B-33AD-4025-866A-22A6E593CF3A}" uniqueName="13" name="return_fees" queryTableFieldId="15" dataDxfId="89" dataCellStyle="Comma [0]"/>
    <tableColumn id="8" xr3:uid="{39C043E0-0B3E-4EF7-8D9A-D85618936647}" uniqueName="8" name="taxes" queryTableFieldId="8" dataDxfId="88" dataCellStyle="Comma [0]"/>
    <tableColumn id="14" xr3:uid="{079B34E8-EFDE-4102-9293-623E0A3CE4AC}" uniqueName="14" name="total_sales" queryTableFieldId="16" dataDxfId="87" dataCellStyle="Comma [0]"/>
    <tableColumn id="15" xr3:uid="{0AECDB40-6AAB-478A-B799-7ED6D95576C7}" uniqueName="15" name="net_sales_without_cost_recorded" queryTableFieldId="17" dataDxfId="86" dataCellStyle="Comma [0]"/>
    <tableColumn id="16" xr3:uid="{568CA55B-A458-4CBE-8ED8-5AEEB094901F}" uniqueName="16" name="net_sales_with_cost_recorded" queryTableFieldId="18" dataDxfId="85" dataCellStyle="Comma [0]"/>
    <tableColumn id="17" xr3:uid="{2EA33237-1F45-49B3-8D31-F69874A31312}" uniqueName="17" name="cost_of_goods_sold" queryTableFieldId="19" dataDxfId="84" dataCellStyle="Comma [0]"/>
    <tableColumn id="18" xr3:uid="{AC9DCCC0-67FE-4EF9-BBD8-3C286923868B}" uniqueName="18" name="gross_profit" queryTableFieldId="20" dataDxfId="83" dataCellStyle="Comma [0]"/>
    <tableColumn id="19" xr3:uid="{CE083C97-8E7E-44C2-AC47-26BE0F28925A}" uniqueName="19" name="gift_card_gross_sales" queryTableFieldId="21" dataDxfId="82" dataCellStyle="Comma [0]"/>
    <tableColumn id="20" xr3:uid="{008CAE93-A79D-4176-8D07-53F7FB63B99F}" uniqueName="20" name="net_items_sold" queryTableFieldId="22" dataDxfId="81" dataCellStyle="Comma [0]"/>
    <tableColumn id="21" xr3:uid="{D5262F30-B465-416E-8FA3-EA02D09AE039}" uniqueName="21" name="gift_card_discounts" queryTableFieldId="23" dataDxfId="80" dataCellStyle="Comma [0]"/>
    <tableColumn id="22" xr3:uid="{25E18F9D-C774-4448-B846-288E399E7C88}" uniqueName="22" name="gift_card_net_sales" queryTableFieldId="24" dataDxfId="79" dataCellStyle="Comma [0]"/>
    <tableColumn id="29" xr3:uid="{34CA9C54-D1A7-4C33-9EEB-472F480E5396}" uniqueName="29" name="refresh_date" queryTableFieldId="124" dataCellStyle="Comma [0]"/>
    <tableColumn id="27" xr3:uid="{D7364025-1E20-441F-A860-1D369B4ABEAC}" uniqueName="27" name="returning_customers" queryTableFieldId="36" dataDxfId="78" dataCellStyle="Comma [0]"/>
    <tableColumn id="28" xr3:uid="{2CBC4673-3201-4308-9D32-3999FE368D22}" uniqueName="28" name="returning_orders" queryTableFieldId="37" dataDxfId="77" dataCellStyle="Comma [0]"/>
    <tableColumn id="52" xr3:uid="{EAD81A98-BAC8-4DD1-8521-B9C5B432C68A}" uniqueName="52" name="returning_net_sales" queryTableFieldId="72" dataDxfId="76" dataCellStyle="Comma [0]"/>
    <tableColumn id="53" xr3:uid="{6D3049BF-3D8B-4D35-A13E-60D09897EE5E}" uniqueName="53" name="returning_average_order_value" queryTableFieldId="73" dataDxfId="75" dataCellStyle="Comma [0]"/>
    <tableColumn id="62" xr3:uid="{B5851089-13FB-473D-8BCD-0D6DF32162A8}" uniqueName="62" name="returning_cost_of_goods_sold" queryTableFieldId="91" dataDxfId="74" dataCellStyle="Comma [0]"/>
    <tableColumn id="65" xr3:uid="{7DF20735-881C-4AFC-86AD-E1C24A4E3BDA}" uniqueName="65" name="returning_gross_profit" queryTableFieldId="97" dataDxfId="73" dataCellStyle="Comma [0]"/>
    <tableColumn id="30" xr3:uid="{7A95FAFC-A3B8-480B-9FDE-59A5227F67F8}" uniqueName="30" name="new_customers" queryTableFieldId="39" dataDxfId="72" dataCellStyle="Comma [0]"/>
    <tableColumn id="31" xr3:uid="{AA4E2A84-8F9C-4C19-A03D-64CD646A78C3}" uniqueName="31" name="new_orders" queryTableFieldId="40" dataDxfId="71" dataCellStyle="Comma [0]"/>
    <tableColumn id="54" xr3:uid="{FC171190-0D5D-4498-92E5-AC4B4A90F995}" uniqueName="54" name="new_net_sales" queryTableFieldId="74" dataDxfId="70" dataCellStyle="Comma [0]"/>
    <tableColumn id="55" xr3:uid="{108330C9-9704-4162-9882-F9FB3CD73122}" uniqueName="55" name="new_average_order_value" queryTableFieldId="75" dataDxfId="69" dataCellStyle="Comma [0]"/>
    <tableColumn id="63" xr3:uid="{2AB6D90B-3510-487F-9F3F-0138D4455178}" uniqueName="63" name="new_cost_of_goods_sold" queryTableFieldId="92" dataDxfId="68" dataCellStyle="Comma [0]"/>
    <tableColumn id="66" xr3:uid="{D3617634-AE35-491D-A27B-6015BBAC6131}" uniqueName="66" name="new_gross_profit" queryTableFieldId="98" dataDxfId="67" dataCellStyle="Comma [0]"/>
    <tableColumn id="33" xr3:uid="{0F804EFF-28B8-4A5F-A40F-8756375290DF}" uniqueName="33" name="unknown_customers" queryTableFieldId="42" dataDxfId="66" dataCellStyle="Comma [0]"/>
    <tableColumn id="34" xr3:uid="{2C8C115F-6914-4331-AF1C-1A04026B0835}" uniqueName="34" name="unknown_orders" queryTableFieldId="43" dataDxfId="65" dataCellStyle="Comma [0]"/>
    <tableColumn id="56" xr3:uid="{4657E44C-93BB-4CF5-9555-CE6F5510ED16}" uniqueName="56" name="unknown_net_sales" queryTableFieldId="76" dataDxfId="64" dataCellStyle="Comma [0]"/>
    <tableColumn id="57" xr3:uid="{09FFF131-796D-4B01-9D61-A82AEC7806C6}" uniqueName="57" name="unknown_average_order_value" queryTableFieldId="77" dataDxfId="63" dataCellStyle="Comma [0]"/>
    <tableColumn id="64" xr3:uid="{31CB3AF8-22ED-44F4-AD2B-0FC161B850B7}" uniqueName="64" name="unknown_cost_of_goods_sold" queryTableFieldId="93" dataDxfId="62" dataCellStyle="Comma [0]"/>
    <tableColumn id="67" xr3:uid="{0B442C6A-4B8E-482C-A2C4-41EAFEE6AEFB}" uniqueName="67" name="unknown_gross_profit" queryTableFieldId="99" dataDxfId="61" dataCellStyle="Comma [0]"/>
    <tableColumn id="36" xr3:uid="{6F702EA7-1213-4E72-820F-862023031D90}" uniqueName="36" name="GoogleAdsOperation.Cost" queryTableFieldId="45" dataDxfId="60" dataCellStyle="Comma [0]"/>
    <tableColumn id="37" xr3:uid="{4D2869A6-15CB-4F60-9EC1-3CF7EFF74842}" uniqueName="37" name="GoogleAdsOperation.Avg. Cpc" queryTableFieldId="46" dataDxfId="59" dataCellStyle="Comma [0]"/>
    <tableColumn id="38" xr3:uid="{96C87506-37D7-496C-8705-31C000068018}" uniqueName="38" name="GoogleAdsOperation.Ctr" queryTableFieldId="47" dataDxfId="58" dataCellStyle="Comma [0]"/>
    <tableColumn id="39" xr3:uid="{26BC4856-4900-45BF-BB82-8CC3B47FD133}" uniqueName="39" name="GoogleAdsOperation.Search Impr. share" queryTableFieldId="48" dataDxfId="57" dataCellStyle="Comma [0]"/>
    <tableColumn id="40" xr3:uid="{E55C4BDA-F180-471A-ABDF-9A5420B6F76F}" uniqueName="40" name="GoogleAdsOperation.Impressions" queryTableFieldId="49" dataDxfId="56" dataCellStyle="Comma [0]"/>
    <tableColumn id="41" xr3:uid="{98C5E91A-5FD9-4C3A-96BB-25C296838C45}" uniqueName="41" name="GoogleAdsOperation.Clicks" queryTableFieldId="50" dataDxfId="55" dataCellStyle="Comma [0]"/>
    <tableColumn id="9" xr3:uid="{368E6ED8-6780-4A43-8D15-C5004DA33214}" uniqueName="9" name="MetaAdsOperation.spend" queryTableFieldId="54" dataDxfId="54" dataCellStyle="Comma [0]"/>
    <tableColumn id="10" xr3:uid="{3CFB373C-6CAF-453C-A4B8-5CB96AF515B9}" uniqueName="10" name="MetaAdsOperation.clicks" queryTableFieldId="55" dataDxfId="53" dataCellStyle="Comma [0]"/>
    <tableColumn id="42" xr3:uid="{722927A4-6B6A-4BDD-BED3-65A7B33C6975}" uniqueName="42" name="MetaAdsOperation.impressions" queryTableFieldId="56" dataDxfId="52" dataCellStyle="Comma [0]"/>
    <tableColumn id="1" xr3:uid="{ACC79D3E-5BC7-4A2D-ACFF-3E1936F3FBE4}" uniqueName="1" name="Online Store_net_sales" queryTableFieldId="57" dataDxfId="51" dataCellStyle="Comma [0]"/>
    <tableColumn id="2" xr3:uid="{B598993B-D338-4163-8D6A-797FCD8107FE}" uniqueName="2" name="Online Store_orders" queryTableFieldId="58" dataDxfId="50" dataCellStyle="Comma [0]"/>
    <tableColumn id="48" xr3:uid="{AA39AE43-FB1F-45EA-874E-EC36BD7E9F15}" uniqueName="48" name="Online Store_average_order_value" queryTableFieldId="65" dataDxfId="49" dataCellStyle="Comma [0]"/>
    <tableColumn id="58" xr3:uid="{6CC997A8-022D-4FAF-8332-0A606CBDC8BC}" uniqueName="58" name="Online Store_cost_of_goods_sold" queryTableFieldId="84" dataDxfId="48" dataCellStyle="Comma [0]"/>
    <tableColumn id="3" xr3:uid="{23A38C0E-BFA0-42CF-A572-C9F430FA0976}" uniqueName="3" name="Tienda 81_net_sales" queryTableFieldId="59" dataDxfId="47" dataCellStyle="Comma [0]"/>
    <tableColumn id="43" xr3:uid="{4C93ADFF-D7F3-4224-81FB-7268087F3212}" uniqueName="43" name="Tienda 81_orders" queryTableFieldId="60" dataDxfId="46" dataCellStyle="Comma [0]"/>
    <tableColumn id="49" xr3:uid="{29C5E96D-D03C-4589-946D-8C5096011BD3}" uniqueName="49" name="Tienda 81_average_order_value" queryTableFieldId="66" dataDxfId="45" dataCellStyle="Comma [0]"/>
    <tableColumn id="59" xr3:uid="{44F2A8DA-2A5C-4AB7-A641-45D917F02D5B}" uniqueName="59" name="Tienda 81_cost_of_goods_sold" queryTableFieldId="85" dataDxfId="44" dataCellStyle="Comma [0]"/>
    <tableColumn id="44" xr3:uid="{3CD3A42F-2A33-47F5-99F9-F60AC1CDCA9D}" uniqueName="44" name="Rappi_net_sales" queryTableFieldId="61" dataDxfId="43" dataCellStyle="Comma [0]"/>
    <tableColumn id="45" xr3:uid="{55BCB471-2CEE-4FBC-B4EA-5A2C8CF77560}" uniqueName="45" name="Rappi_orders" queryTableFieldId="62" dataDxfId="42" dataCellStyle="Comma [0]"/>
    <tableColumn id="50" xr3:uid="{6A366356-5E71-4F18-9792-82E36D7E3EA0}" uniqueName="50" name="Rappi_average_order_value" queryTableFieldId="67" dataDxfId="41" dataCellStyle="Comma [0]"/>
    <tableColumn id="60" xr3:uid="{40475BDF-C3DD-4D35-8409-243A5228A09A}" uniqueName="60" name="Rappi_cost_of_goods_sold" queryTableFieldId="86" dataDxfId="40" dataCellStyle="Comma [0]"/>
    <tableColumn id="46" xr3:uid="{36A8E270-8889-42EB-B5C4-CB314ED246C6}" uniqueName="46" name="Corporativo no tienda_net_sales" queryTableFieldId="63" dataDxfId="39" dataCellStyle="Comma [0]"/>
    <tableColumn id="47" xr3:uid="{F0BD69E9-A5EB-4666-81B1-C10FD0A443BF}" uniqueName="47" name="Corporativo no tienda_orders" queryTableFieldId="64" dataDxfId="38" dataCellStyle="Comma [0]"/>
    <tableColumn id="51" xr3:uid="{B55F0AEC-355D-4CA0-8F07-B29CE7C8A2CE}" uniqueName="51" name="Corporativo no tienda_average_order_value" queryTableFieldId="68" dataDxfId="37" dataCellStyle="Comma [0]"/>
    <tableColumn id="61" xr3:uid="{A17B6FCF-889F-4CEC-99D5-FF3191F8B20F}" uniqueName="61" name="Corporativo no tienda_cost_of_goods_sold" queryTableFieldId="87" dataDxfId="36" dataCellStyle="Comma [0]"/>
    <tableColumn id="68" xr3:uid="{66C32CE9-D6BE-48B4-AC2A-BB7FDE4F8B4F}" uniqueName="68" name="unknown_sessions" queryTableFieldId="103" dataDxfId="35" dataCellStyle="Comma [0]"/>
    <tableColumn id="69" xr3:uid="{61BAFECD-16C0-4545-BD45-BEB3D3612285}" uniqueName="69" name="unknown_sessions_that_completed_checkout" queryTableFieldId="104" dataDxfId="34" dataCellStyle="Comma [0]"/>
    <tableColumn id="70" xr3:uid="{AAC0B4A5-5D4E-4431-89E7-C0EC72D861EF}" uniqueName="70" name="unknown_conversion_rate" queryTableFieldId="105" dataDxfId="33" dataCellStyle="Comma [0]"/>
    <tableColumn id="71" xr3:uid="{1A6E1E39-3F45-43EB-BF4B-8997F71F8D6F}" uniqueName="71" name="social_sessions" queryTableFieldId="106" dataDxfId="32" dataCellStyle="Comma [0]"/>
    <tableColumn id="72" xr3:uid="{2086DC4A-AF92-4D14-ADF5-BB678EED67B6}" uniqueName="72" name="social_sessions_that_completed_checkout" queryTableFieldId="107" dataDxfId="31" dataCellStyle="Comma [0]"/>
    <tableColumn id="73" xr3:uid="{E3AFDBB3-B6EE-4F13-8BD7-0C021285D603}" uniqueName="73" name="social_conversion_rate" queryTableFieldId="108" dataDxfId="30" dataCellStyle="Comma [0]"/>
    <tableColumn id="74" xr3:uid="{F5EFBFAB-06B2-4070-89A0-88E72E9B8633}" uniqueName="74" name="search_sessions" queryTableFieldId="109" dataDxfId="29" dataCellStyle="Comma [0]"/>
    <tableColumn id="75" xr3:uid="{094AC2C8-D90F-4804-B54E-8FD3B7F2EE13}" uniqueName="75" name="search_sessions_that_completed_checkout" queryTableFieldId="110" dataDxfId="28" dataCellStyle="Comma [0]"/>
    <tableColumn id="76" xr3:uid="{C8D2BFD8-F2D7-4A7B-8D46-E4B0DE55AE02}" uniqueName="76" name="search_conversion_rate" queryTableFieldId="111" dataDxfId="27" dataCellStyle="Comma [0]"/>
    <tableColumn id="77" xr3:uid="{30412505-B09C-405D-B4A0-5FFC0A7F78AA}" uniqueName="77" name="paid_sessions" queryTableFieldId="112" dataDxfId="26" dataCellStyle="Comma [0]"/>
    <tableColumn id="78" xr3:uid="{C3909EA4-7D2B-44ED-9C4B-724A4166AE03}" uniqueName="78" name="paid_sessions_that_completed_checkout" queryTableFieldId="113" dataDxfId="25" dataCellStyle="Comma [0]"/>
    <tableColumn id="79" xr3:uid="{FC74D491-8922-4DA3-8314-D7DBB78CDEA3}" uniqueName="79" name="paid_conversion_rate" queryTableFieldId="114" dataDxfId="24" dataCellStyle="Comma [0]"/>
    <tableColumn id="80" xr3:uid="{65C453F1-6FFA-4B71-ADBB-6DF37F58D0C1}" uniqueName="80" name="direct_sessions" queryTableFieldId="115" dataDxfId="23" dataCellStyle="Comma [0]"/>
    <tableColumn id="81" xr3:uid="{25CE9029-10B5-4E69-98A2-0A1D6BAE4422}" uniqueName="81" name="direct_sessions_that_completed_checkout" queryTableFieldId="116" dataDxfId="22" dataCellStyle="Comma [0]"/>
    <tableColumn id="82" xr3:uid="{3DB0A0A6-47B4-4667-BBC5-97D86574064E}" uniqueName="82" name="direct_conversion_rate" queryTableFieldId="117" dataDxfId="21" dataCellStyle="Comma [0]"/>
    <tableColumn id="83" xr3:uid="{123D30B7-395E-4999-A158-F3C2C3EB2304}" uniqueName="83" name="Total site_sessions" queryTableFieldId="118" dataDxfId="20" dataCellStyle="Comma [0]"/>
    <tableColumn id="84" xr3:uid="{FFF23D41-FF6E-4C0A-AFB3-C8F890AEC8FD}" uniqueName="84" name="Total site_sessions_that_completed_checkout" queryTableFieldId="119" dataDxfId="19" dataCellStyle="Comma [0]"/>
    <tableColumn id="85" xr3:uid="{265F5B07-6DF3-4595-AB56-2384461A9BA9}" uniqueName="85" name="Total site_conversion_rate" queryTableFieldId="120" dataDxfId="18" dataCellStyle="Comma [0]"/>
    <tableColumn id="86" xr3:uid="{DE36B51C-4CBD-47FD-9E95-40F53F90C895}" uniqueName="86" name="email_sessions" queryTableFieldId="121" dataDxfId="17" dataCellStyle="Comma [0]"/>
    <tableColumn id="87" xr3:uid="{8740E32B-DEC9-46CD-9ABA-05E2BE244BFD}" uniqueName="87" name="email_sessions_that_completed_checkout" queryTableFieldId="122" dataDxfId="16" dataCellStyle="Comma [0]"/>
    <tableColumn id="88" xr3:uid="{04D29792-E56F-48C0-99A6-2943D924D005}" uniqueName="88" name="email_conversion_rate" queryTableFieldId="123" dataDxfId="15" dataCellStyle="Comma [0]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70A396-3A81-46F0-96C4-6EA3493B0E1A}" name="SalesByUTMDaily" displayName="SalesByUTMDaily" ref="B5:I23" tableType="queryTable" totalsRowShown="0">
  <autoFilter ref="B5:I23" xr:uid="{C270A396-3A81-46F0-96C4-6EA3493B0E1A}"/>
  <tableColumns count="8">
    <tableColumn id="1" xr3:uid="{8E5F5F8D-AC7E-44C8-903F-67D975F79F24}" uniqueName="1" name="day" queryTableFieldId="1" dataDxfId="14"/>
    <tableColumn id="2" xr3:uid="{A0799E13-65FD-41D3-9C96-2BEF484160EA}" uniqueName="2" name="order_utm_campaign" queryTableFieldId="2" dataDxfId="13"/>
    <tableColumn id="3" xr3:uid="{78054F81-F7F2-4502-8B0C-6E02AB00F76D}" uniqueName="3" name="order_referrer_source" queryTableFieldId="3" dataDxfId="12"/>
    <tableColumn id="7" xr3:uid="{1E9BB8E3-BA23-4518-84D7-5025DEC42932}" uniqueName="7" name="Total_Sales_Combined" queryTableFieldId="7" dataDxfId="11" dataCellStyle="Comma [0]"/>
    <tableColumn id="11" xr3:uid="{8EF6BD2D-4E8D-4DD3-93D9-7E8730B68648}" uniqueName="11" name="refresh_date" queryTableFieldId="16" dataDxfId="10" dataCellStyle="Comma [0]"/>
    <tableColumn id="4" xr3:uid="{2A762B5B-3AD6-488D-A03F-33F92C3D8EA6}" uniqueName="4" name="google" queryTableFieldId="4" dataDxfId="9" dataCellStyle="Comma [0]"/>
    <tableColumn id="5" xr3:uid="{C93F05DD-40CF-4136-89EC-79071A37E5EA}" uniqueName="5" name="facebook" queryTableFieldId="5" dataDxfId="8" dataCellStyle="Comma [0]"/>
    <tableColumn id="6" xr3:uid="{E1A60055-F61C-41DF-8E3E-1974B6CF9C4C}" uniqueName="6" name="sin identificar" queryTableFieldId="6" dataDxfId="7" dataCellStyle="Comma [0]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DA0754-1305-47D4-B146-E3039A980D16}" name="SalesBySource" displayName="SalesBySource" ref="B5:H849" tableType="queryTable" totalsRowShown="0">
  <autoFilter ref="B5:H849" xr:uid="{CDDA0754-1305-47D4-B146-E3039A980D16}"/>
  <tableColumns count="7">
    <tableColumn id="7" xr3:uid="{68BDA81F-83A9-4867-9371-1F81EACB1215}" uniqueName="7" name="day" queryTableFieldId="7" dataDxfId="6"/>
    <tableColumn id="8" xr3:uid="{05A3D1F1-F89C-4F86-8F42-12C787D9CA37}" uniqueName="8" name="channel" queryTableFieldId="8" dataDxfId="5"/>
    <tableColumn id="9" xr3:uid="{89EFC93C-3A38-48D5-B474-6BD87463E73E}" uniqueName="9" name="net_sales" queryTableFieldId="9" dataDxfId="4" dataCellStyle="Comma [0]"/>
    <tableColumn id="10" xr3:uid="{33D76140-0C2F-4497-8EB9-EB40F3769EEE}" uniqueName="10" name="orders" queryTableFieldId="10" dataDxfId="3" dataCellStyle="Comma [0]"/>
    <tableColumn id="1" xr3:uid="{6C93F08D-1C50-4A7C-BCF1-F68108465726}" uniqueName="1" name="average_order_value" queryTableFieldId="11" dataDxfId="2" dataCellStyle="Comma [0]"/>
    <tableColumn id="2" xr3:uid="{252FD540-DC32-446E-ABF0-554062A65626}" uniqueName="2" name="cost_of_goods_sold" queryTableFieldId="12" dataDxfId="1" dataCellStyle="Comma [0]"/>
    <tableColumn id="3" xr3:uid="{579642F0-B86F-4922-868B-4514A3F7F482}" uniqueName="3" name="gross_profit" queryTableFieldId="13" dataDxfId="0" dataCellStyle="Comma [0]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emeGreen">
  <a:themeElements>
    <a:clrScheme name="Verde formal">
      <a:dk1>
        <a:sysClr val="windowText" lastClr="000000"/>
      </a:dk1>
      <a:lt1>
        <a:sysClr val="window" lastClr="FFFFFF"/>
      </a:lt1>
      <a:dk2>
        <a:srgbClr val="000000"/>
      </a:dk2>
      <a:lt2>
        <a:srgbClr val="E9EAEA"/>
      </a:lt2>
      <a:accent1>
        <a:srgbClr val="265E35"/>
      </a:accent1>
      <a:accent2>
        <a:srgbClr val="333A56"/>
      </a:accent2>
      <a:accent3>
        <a:srgbClr val="773344"/>
      </a:accent3>
      <a:accent4>
        <a:srgbClr val="C0C5C1"/>
      </a:accent4>
      <a:accent5>
        <a:srgbClr val="7D8491"/>
      </a:accent5>
      <a:accent6>
        <a:srgbClr val="E35856"/>
      </a:accent6>
      <a:hlink>
        <a:srgbClr val="308DBB"/>
      </a:hlink>
      <a:folHlink>
        <a:srgbClr val="915B9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801F57-1FFF-4EB3-AC39-1FCE61D9B96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f70b036a-1fdc-4f68-8960-45edeb46ae3e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mments" Target="../comments4.xml"/><Relationship Id="rId3" Type="http://schemas.openxmlformats.org/officeDocument/2006/relationships/hyperlink" Target="https://api.siigo.com/auth/token" TargetMode="External"/><Relationship Id="rId7" Type="http://schemas.openxmlformats.org/officeDocument/2006/relationships/table" Target="../tables/table6.xml"/><Relationship Id="rId2" Type="http://schemas.openxmlformats.org/officeDocument/2006/relationships/hyperlink" Target="mailto:info@escribana.co" TargetMode="External"/><Relationship Id="rId1" Type="http://schemas.openxmlformats.org/officeDocument/2006/relationships/hyperlink" Target="https://docs.google.com/spreadsheets/d/e/2PACX-1vSQrggw-k8uKnNPJUY9f8s4H-xsLgbuO9CVzMBBfV5taSvbSAFpZ15q3hgX4iKLvY-0tekM1b0XTZyp/pub?output=csv" TargetMode="Externa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5.xml"/><Relationship Id="rId13" Type="http://schemas.openxmlformats.org/officeDocument/2006/relationships/table" Target="../tables/table20.xml"/><Relationship Id="rId3" Type="http://schemas.openxmlformats.org/officeDocument/2006/relationships/table" Target="../tables/table10.xml"/><Relationship Id="rId7" Type="http://schemas.openxmlformats.org/officeDocument/2006/relationships/table" Target="../tables/table14.xml"/><Relationship Id="rId12" Type="http://schemas.openxmlformats.org/officeDocument/2006/relationships/table" Target="../tables/table19.xml"/><Relationship Id="rId2" Type="http://schemas.openxmlformats.org/officeDocument/2006/relationships/table" Target="../tables/table9.xml"/><Relationship Id="rId16" Type="http://schemas.openxmlformats.org/officeDocument/2006/relationships/table" Target="../tables/table2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3.xml"/><Relationship Id="rId11" Type="http://schemas.openxmlformats.org/officeDocument/2006/relationships/table" Target="../tables/table18.xml"/><Relationship Id="rId5" Type="http://schemas.openxmlformats.org/officeDocument/2006/relationships/table" Target="../tables/table12.xml"/><Relationship Id="rId15" Type="http://schemas.openxmlformats.org/officeDocument/2006/relationships/table" Target="../tables/table22.xml"/><Relationship Id="rId10" Type="http://schemas.openxmlformats.org/officeDocument/2006/relationships/table" Target="../tables/table17.xml"/><Relationship Id="rId4" Type="http://schemas.openxmlformats.org/officeDocument/2006/relationships/table" Target="../tables/table11.xml"/><Relationship Id="rId9" Type="http://schemas.openxmlformats.org/officeDocument/2006/relationships/table" Target="../tables/table16.xml"/><Relationship Id="rId14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021B3-1116-4FD2-93D1-E4062B135D82}">
  <dimension ref="B2:B28"/>
  <sheetViews>
    <sheetView showGridLines="0" workbookViewId="0">
      <selection activeCell="B8" sqref="B8"/>
    </sheetView>
  </sheetViews>
  <sheetFormatPr defaultRowHeight="12" x14ac:dyDescent="0.2"/>
  <cols>
    <col min="1" max="1" width="3.83203125" customWidth="1"/>
  </cols>
  <sheetData>
    <row r="2" spans="2:2" x14ac:dyDescent="0.2">
      <c r="B2" s="23" t="s">
        <v>855</v>
      </c>
    </row>
    <row r="3" spans="2:2" x14ac:dyDescent="0.2">
      <c r="B3" t="s">
        <v>856</v>
      </c>
    </row>
    <row r="4" spans="2:2" x14ac:dyDescent="0.2">
      <c r="B4" t="s">
        <v>857</v>
      </c>
    </row>
    <row r="5" spans="2:2" x14ac:dyDescent="0.2">
      <c r="B5" t="s">
        <v>858</v>
      </c>
    </row>
    <row r="7" spans="2:2" x14ac:dyDescent="0.2">
      <c r="B7" s="23" t="s">
        <v>859</v>
      </c>
    </row>
    <row r="8" spans="2:2" x14ac:dyDescent="0.2">
      <c r="B8" t="s">
        <v>860</v>
      </c>
    </row>
    <row r="9" spans="2:2" x14ac:dyDescent="0.2">
      <c r="B9" t="s">
        <v>861</v>
      </c>
    </row>
    <row r="10" spans="2:2" x14ac:dyDescent="0.2">
      <c r="B10" t="s">
        <v>862</v>
      </c>
    </row>
    <row r="12" spans="2:2" x14ac:dyDescent="0.2">
      <c r="B12" s="23" t="s">
        <v>136</v>
      </c>
    </row>
    <row r="13" spans="2:2" x14ac:dyDescent="0.2">
      <c r="B13" t="s">
        <v>124</v>
      </c>
    </row>
    <row r="14" spans="2:2" x14ac:dyDescent="0.2">
      <c r="B14" t="s">
        <v>125</v>
      </c>
    </row>
    <row r="15" spans="2:2" x14ac:dyDescent="0.2">
      <c r="B15" t="s">
        <v>126</v>
      </c>
    </row>
    <row r="16" spans="2:2" x14ac:dyDescent="0.2">
      <c r="B16" t="s">
        <v>127</v>
      </c>
    </row>
    <row r="18" spans="2:2" x14ac:dyDescent="0.2">
      <c r="B18" s="23" t="s">
        <v>137</v>
      </c>
    </row>
    <row r="19" spans="2:2" x14ac:dyDescent="0.2">
      <c r="B19" t="s">
        <v>128</v>
      </c>
    </row>
    <row r="20" spans="2:2" x14ac:dyDescent="0.2">
      <c r="B20" t="s">
        <v>129</v>
      </c>
    </row>
    <row r="21" spans="2:2" x14ac:dyDescent="0.2">
      <c r="B21" t="s">
        <v>130</v>
      </c>
    </row>
    <row r="22" spans="2:2" x14ac:dyDescent="0.2">
      <c r="B22" t="s">
        <v>131</v>
      </c>
    </row>
    <row r="24" spans="2:2" x14ac:dyDescent="0.2">
      <c r="B24" s="23" t="s">
        <v>138</v>
      </c>
    </row>
    <row r="25" spans="2:2" x14ac:dyDescent="0.2">
      <c r="B25" t="s">
        <v>132</v>
      </c>
    </row>
    <row r="26" spans="2:2" x14ac:dyDescent="0.2">
      <c r="B26" t="s">
        <v>133</v>
      </c>
    </row>
    <row r="27" spans="2:2" x14ac:dyDescent="0.2">
      <c r="B27" t="s">
        <v>134</v>
      </c>
    </row>
    <row r="28" spans="2:2" x14ac:dyDescent="0.2">
      <c r="B28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A178-57C4-45BE-98C8-F04F629A07BA}">
  <dimension ref="B3:AL31"/>
  <sheetViews>
    <sheetView showGridLines="0" workbookViewId="0">
      <selection activeCell="E8" sqref="E8"/>
    </sheetView>
  </sheetViews>
  <sheetFormatPr defaultRowHeight="12" outlineLevelRow="1" outlineLevelCol="1" x14ac:dyDescent="0.2"/>
  <cols>
    <col min="1" max="1" width="3.83203125" customWidth="1"/>
    <col min="2" max="2" width="12.1640625" customWidth="1"/>
    <col min="3" max="3" width="11.83203125" bestFit="1" customWidth="1"/>
    <col min="4" max="4" width="11.83203125" customWidth="1"/>
    <col min="5" max="5" width="14.1640625" customWidth="1"/>
    <col min="6" max="6" width="10" customWidth="1"/>
    <col min="7" max="7" width="14.1640625" customWidth="1"/>
    <col min="8" max="8" width="10" customWidth="1"/>
    <col min="9" max="9" width="14.1640625" customWidth="1" outlineLevel="1"/>
    <col min="10" max="10" width="10" customWidth="1" outlineLevel="1"/>
    <col min="11" max="11" width="14.1640625" customWidth="1" outlineLevel="1"/>
    <col min="12" max="12" width="10" customWidth="1" outlineLevel="1"/>
    <col min="13" max="13" width="14.1640625" customWidth="1" outlineLevel="1"/>
    <col min="14" max="14" width="10" customWidth="1" outlineLevel="1"/>
    <col min="15" max="15" width="14.1640625" customWidth="1" outlineLevel="1"/>
    <col min="16" max="16" width="10" customWidth="1" outlineLevel="1"/>
    <col min="17" max="22" width="12" customWidth="1"/>
    <col min="23" max="25" width="12.5" customWidth="1"/>
    <col min="26" max="26" width="12" customWidth="1"/>
    <col min="27" max="27" width="26.6640625" customWidth="1"/>
    <col min="28" max="37" width="15" customWidth="1"/>
    <col min="38" max="38" width="7.33203125" customWidth="1"/>
    <col min="39" max="39" width="23.1640625" customWidth="1"/>
    <col min="40" max="40" width="13" customWidth="1"/>
    <col min="41" max="41" width="13.83203125" customWidth="1"/>
    <col min="43" max="43" width="12.5" bestFit="1" customWidth="1"/>
    <col min="44" max="45" width="11.5" bestFit="1" customWidth="1"/>
  </cols>
  <sheetData>
    <row r="3" spans="2:38" ht="15" x14ac:dyDescent="0.2">
      <c r="B3" s="8" t="s">
        <v>122</v>
      </c>
      <c r="G3" s="17"/>
      <c r="W3" t="s">
        <v>1721</v>
      </c>
    </row>
    <row r="5" spans="2:38" x14ac:dyDescent="0.2">
      <c r="E5" s="2" t="s">
        <v>2</v>
      </c>
      <c r="F5" s="2"/>
      <c r="G5" s="3" t="s">
        <v>1714</v>
      </c>
      <c r="H5" s="3"/>
      <c r="I5" s="22" t="s">
        <v>121</v>
      </c>
      <c r="J5" s="22"/>
      <c r="K5" s="21" t="s">
        <v>109</v>
      </c>
      <c r="L5" s="21"/>
      <c r="M5" s="20" t="s">
        <v>110</v>
      </c>
      <c r="N5" s="20"/>
      <c r="O5" s="19" t="s">
        <v>108</v>
      </c>
      <c r="P5" s="19"/>
      <c r="Q5" s="4" t="s">
        <v>6</v>
      </c>
      <c r="R5" s="4"/>
      <c r="S5" s="4" t="s">
        <v>7</v>
      </c>
      <c r="T5" s="4"/>
      <c r="U5" s="3" t="s">
        <v>907</v>
      </c>
      <c r="V5" s="3"/>
      <c r="W5" s="7" t="s">
        <v>9</v>
      </c>
      <c r="X5" s="7" t="s">
        <v>837</v>
      </c>
      <c r="Y5" s="7" t="s">
        <v>1738</v>
      </c>
      <c r="Z5" t="s">
        <v>30</v>
      </c>
    </row>
    <row r="6" spans="2:38" s="30" customFormat="1" ht="24" customHeight="1" x14ac:dyDescent="0.2">
      <c r="B6" s="26" t="s">
        <v>94</v>
      </c>
      <c r="C6" s="27" t="s">
        <v>92</v>
      </c>
      <c r="D6" s="27" t="s">
        <v>93</v>
      </c>
      <c r="E6" s="27" t="s">
        <v>34</v>
      </c>
      <c r="F6" s="27" t="s">
        <v>4</v>
      </c>
      <c r="G6" s="27" t="s">
        <v>3</v>
      </c>
      <c r="H6" s="27" t="s">
        <v>4</v>
      </c>
      <c r="I6" s="27" t="s">
        <v>3</v>
      </c>
      <c r="J6" s="27" t="s">
        <v>4</v>
      </c>
      <c r="K6" s="27" t="s">
        <v>3</v>
      </c>
      <c r="L6" s="27" t="s">
        <v>4</v>
      </c>
      <c r="M6" s="27" t="s">
        <v>3</v>
      </c>
      <c r="N6" s="27" t="s">
        <v>4</v>
      </c>
      <c r="O6" s="27" t="s">
        <v>3</v>
      </c>
      <c r="P6" s="27" t="s">
        <v>4</v>
      </c>
      <c r="Q6" s="27" t="s">
        <v>8</v>
      </c>
      <c r="R6" s="27" t="s">
        <v>3</v>
      </c>
      <c r="S6" s="27" t="s">
        <v>8</v>
      </c>
      <c r="T6" s="27" t="s">
        <v>3</v>
      </c>
      <c r="U6" s="27" t="s">
        <v>8</v>
      </c>
      <c r="V6" s="27" t="s">
        <v>3</v>
      </c>
      <c r="W6" s="27" t="s">
        <v>10</v>
      </c>
      <c r="X6" s="27" t="s">
        <v>11</v>
      </c>
      <c r="Y6" s="27" t="s">
        <v>1736</v>
      </c>
      <c r="Z6" s="27" t="s">
        <v>12</v>
      </c>
      <c r="AA6" s="27" t="s">
        <v>13</v>
      </c>
      <c r="AB6" s="27" t="s">
        <v>1246</v>
      </c>
      <c r="AC6" s="27" t="s">
        <v>1725</v>
      </c>
      <c r="AD6" s="27" t="s">
        <v>15</v>
      </c>
      <c r="AE6" s="27" t="s">
        <v>1722</v>
      </c>
      <c r="AF6" s="28" t="s">
        <v>1734</v>
      </c>
      <c r="AG6" s="28" t="s">
        <v>1735</v>
      </c>
      <c r="AH6" s="28" t="s">
        <v>18</v>
      </c>
      <c r="AI6" s="29" t="s">
        <v>96</v>
      </c>
      <c r="AJ6" s="29" t="s">
        <v>97</v>
      </c>
      <c r="AK6" s="29" t="s">
        <v>98</v>
      </c>
      <c r="AL6" s="29" t="s">
        <v>99</v>
      </c>
    </row>
    <row r="7" spans="2:38" outlineLevel="1" x14ac:dyDescent="0.2">
      <c r="B7" t="s">
        <v>94</v>
      </c>
      <c r="C7" t="s">
        <v>92</v>
      </c>
      <c r="D7" t="s">
        <v>93</v>
      </c>
      <c r="E7" t="s">
        <v>35</v>
      </c>
      <c r="F7" t="s">
        <v>19</v>
      </c>
      <c r="G7" t="s">
        <v>20</v>
      </c>
      <c r="H7" t="s">
        <v>21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22</v>
      </c>
      <c r="R7" t="s">
        <v>23</v>
      </c>
      <c r="S7" t="s">
        <v>24</v>
      </c>
      <c r="T7" t="s">
        <v>25</v>
      </c>
      <c r="U7" t="s">
        <v>26</v>
      </c>
      <c r="V7" t="s">
        <v>27</v>
      </c>
      <c r="W7" t="s">
        <v>28</v>
      </c>
      <c r="X7" t="s">
        <v>29</v>
      </c>
      <c r="Y7" t="s">
        <v>1737</v>
      </c>
      <c r="Z7" t="s">
        <v>12</v>
      </c>
      <c r="AA7" t="s">
        <v>13</v>
      </c>
      <c r="AB7" t="s">
        <v>14</v>
      </c>
      <c r="AC7" t="s">
        <v>1724</v>
      </c>
      <c r="AD7" t="s">
        <v>15</v>
      </c>
      <c r="AE7" t="s">
        <v>16</v>
      </c>
      <c r="AF7" t="s">
        <v>1734</v>
      </c>
      <c r="AG7" t="s">
        <v>1735</v>
      </c>
      <c r="AH7" t="s">
        <v>18</v>
      </c>
      <c r="AI7" t="s">
        <v>95</v>
      </c>
      <c r="AJ7" t="s">
        <v>97</v>
      </c>
      <c r="AK7" t="s">
        <v>98</v>
      </c>
      <c r="AL7" t="s">
        <v>99</v>
      </c>
    </row>
    <row r="8" spans="2:38" x14ac:dyDescent="0.2">
      <c r="B8" s="16">
        <f>MONTH(TableMonthlySummary[[#This Row],[Hasta]])</f>
        <v>12</v>
      </c>
      <c r="C8" s="6">
        <f t="shared" ref="C8:C31" si="0">_xlfn.LET(
    _xlpm.fechaini, ParamFechaInicioReporte,
    IF(ROW()=8, _xlpm.fechaini, EDATE(C7, 1))
)</f>
        <v>44535</v>
      </c>
      <c r="D8" s="6">
        <f>EOMONTH(TableMonthlySummary[[#This Row],[Desde]], 0)</f>
        <v>44561</v>
      </c>
      <c r="E8" s="11">
        <f>SUMIFS(TableDailySummary[Ventas netas totales],TableDailySummary[Fecha],"&gt;="&amp;TableMonthlySummary[[#This Row],[Desde]],TableDailySummary[Fecha],"&lt;="&amp;TableMonthlySummary[[#This Row],[Hasta]])</f>
        <v>0</v>
      </c>
      <c r="F8" s="11">
        <f>SUMIFS(TableDailySummary[Órdenes totales],TableDailySummary[Fecha],"&gt;="&amp;TableMonthlySummary[[#This Row],[Desde]],TableDailySummary[Fecha],"&lt;="&amp;TableMonthlySummary[[#This Row],[Hasta]])</f>
        <v>0</v>
      </c>
      <c r="G8" s="11">
        <f>SUMIFS(TableDailySummary[Ventas primer cliente],TableDailySummary[Fecha],"&gt;="&amp;TableMonthlySummary[[#This Row],[Desde]],TableDailySummary[Fecha],"&lt;="&amp;TableMonthlySummary[[#This Row],[Hasta]])</f>
        <v>0</v>
      </c>
      <c r="H8" s="11">
        <f>SUMIFS(TableDailySummary[Órdenes primer cliente],TableDailySummary[Fecha],"&gt;="&amp;TableMonthlySummary[[#This Row],[Desde]],TableDailySummary[Fecha],"&lt;="&amp;TableMonthlySummary[[#This Row],[Hasta]])</f>
        <v>0</v>
      </c>
      <c r="I8" s="11">
        <f>SUMIFS(TableDailySummary[Online Store_net_sales],TableDailySummary[Fecha],"&gt;="&amp;TableMonthlySummary[[#This Row],[Desde]],TableDailySummary[Fecha],"&lt;="&amp;TableMonthlySummary[[#This Row],[Hasta]])</f>
        <v>0</v>
      </c>
      <c r="J8" s="11">
        <f>SUMIFS(TableDailySummary[Online Store_orders],TableDailySummary[Fecha],"&gt;="&amp;TableMonthlySummary[[#This Row],[Desde]],TableDailySummary[Fecha],"&lt;="&amp;TableMonthlySummary[[#This Row],[Hasta]])</f>
        <v>0</v>
      </c>
      <c r="K8" s="11">
        <f>SUMIFS(TableDailySummary[Tienda 81_net_sales],TableDailySummary[Fecha],"&gt;="&amp;TableMonthlySummary[[#This Row],[Desde]],TableDailySummary[Fecha],"&lt;="&amp;TableMonthlySummary[[#This Row],[Hasta]])</f>
        <v>0</v>
      </c>
      <c r="L8" s="11">
        <f>SUMIFS(TableDailySummary[Tienda 81_orders],TableDailySummary[Fecha],"&gt;="&amp;TableMonthlySummary[[#This Row],[Desde]],TableDailySummary[Fecha],"&lt;="&amp;TableMonthlySummary[[#This Row],[Hasta]])</f>
        <v>0</v>
      </c>
      <c r="M8" s="11">
        <f>SUMIFS(TableDailySummary[Rappi_net_sales],TableDailySummary[Fecha],"&gt;="&amp;TableMonthlySummary[[#This Row],[Desde]],TableDailySummary[Fecha],"&lt;="&amp;TableMonthlySummary[[#This Row],[Hasta]])</f>
        <v>0</v>
      </c>
      <c r="N8" s="11">
        <f>SUMIFS(TableDailySummary[Rappi_orders],TableDailySummary[Fecha],"&gt;="&amp;TableMonthlySummary[[#This Row],[Desde]],TableDailySummary[Fecha],"&lt;="&amp;TableMonthlySummary[[#This Row],[Hasta]])</f>
        <v>0</v>
      </c>
      <c r="O8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8" s="11">
        <f>SUMIFS(TableDailySummary[Corporativo no tienda_orders],TableDailySummary[Fecha],"&gt;="&amp;TableMonthlySummary[[#This Row],[Desde]],TableDailySummary[Fecha],"&lt;="&amp;TableMonthlySummary[[#This Row],[Hasta]])</f>
        <v>0</v>
      </c>
      <c r="Q8" s="11">
        <f>SUMIFS(TableDailySummary[Inversión google ads],TableDailySummary[Fecha],"&gt;="&amp;TableMonthlySummary[[#This Row],[Desde]],TableDailySummary[Fecha],"&lt;="&amp;TableMonthlySummary[[#This Row],[Hasta]])</f>
        <v>0</v>
      </c>
      <c r="R8" s="11">
        <f>SUMIFS(TableDailySummary[Ventas google ads],TableDailySummary[Fecha],"&gt;="&amp;TableMonthlySummary[[#This Row],[Desde]],TableDailySummary[Fecha],"&lt;="&amp;TableMonthlySummary[[#This Row],[Hasta]])</f>
        <v>0</v>
      </c>
      <c r="S8" s="11">
        <f>SUMIFS(TableDailySummary[Inversión meta ads],TableDailySummary[Fecha],"&gt;="&amp;TableMonthlySummary[[#This Row],[Desde]],TableDailySummary[Fecha],"&lt;="&amp;TableMonthlySummary[[#This Row],[Hasta]])</f>
        <v>0</v>
      </c>
      <c r="T8" s="11">
        <f>SUMIFS(TableDailySummary[Ventas meta ads],TableDailySummary[Fecha],"&gt;="&amp;TableMonthlySummary[[#This Row],[Desde]],TableDailySummary[Fecha],"&lt;="&amp;TableMonthlySummary[[#This Row],[Hasta]])</f>
        <v>0</v>
      </c>
      <c r="U8" s="11">
        <f>TableMonthlySummary[[#This Row],[Inversión google ads]]+TableMonthlySummary[[#This Row],[Inversión meta ads]]</f>
        <v>0</v>
      </c>
      <c r="V8" s="11">
        <f>TableMonthlySummary[[#This Row],[Ventas google ads]]+TableMonthlySummary[[#This Row],[Ventas meta ads]]</f>
        <v>0</v>
      </c>
      <c r="W8" s="14">
        <f>IFERROR(TableMonthlySummary[[#This Row],[Ventas publicidad]]/TableMonthlySummary[[#This Row],[Inversión publicidad]],0)</f>
        <v>0</v>
      </c>
      <c r="X8" s="14">
        <f>IFERROR(TableMonthlySummary[[#This Row],[Ventas primer cliente]]/TableMonthlySummary[[#This Row],[Inversión publicidad]],0)</f>
        <v>0</v>
      </c>
      <c r="Y8" s="14">
        <f>IFERROR(1/TableMonthlySummary[[#This Row],[Contribución %]],0)</f>
        <v>0</v>
      </c>
      <c r="Z8" s="14"/>
      <c r="AA8" s="11"/>
      <c r="AB8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8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8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8" s="11">
        <f>SUMIFS(AccountingReport[costs_fixed],AccountingReport[period],TableMonthlySummary[[#This Row],[Desde]])</f>
        <v>0</v>
      </c>
      <c r="AF8" s="17">
        <f>TableMonthlySummary[[#This Row],[Ventas netas totales]]-TableMonthlySummary[[#This Row],[Costos variables totales]]-TableMonthlySummary[[#This Row],[Costos fijos]]</f>
        <v>0</v>
      </c>
      <c r="AG8" s="18">
        <f>IFERROR(TableMonthlySummary[[#This Row],[Contribución $]] / TableMonthlySummary[[#This Row],[Ventas netas totales]],0)</f>
        <v>0</v>
      </c>
      <c r="AH8" s="11">
        <f>IFERROR(TableMonthlySummary[[#This Row],[Costos de publicidad totales]]/TableMonthlySummary[[#This Row],[Órdenes primer cliente]],0)</f>
        <v>0</v>
      </c>
      <c r="AI8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8" s="11">
        <f>SUMIFS(TableDailySummary[Costo de ventas registrado],TableDailySummary[Fecha],"&gt;="&amp;TableMonthlySummary[[#This Row],[Desde]],TableDailySummary[Fecha],"&lt;="&amp;TableMonthlySummary[[#This Row],[Hasta]])</f>
        <v>0</v>
      </c>
      <c r="AK8" s="11">
        <f>SUMIFS(TableDailySummary[Utilidad bruta],TableDailySummary[Fecha],"&gt;="&amp;TableMonthlySummary[[#This Row],[Desde]],TableDailySummary[Fecha],"&lt;="&amp;TableMonthlySummary[[#This Row],[Hasta]])</f>
        <v>0</v>
      </c>
      <c r="AL8" s="18">
        <f>IFERROR(TableMonthlySummary[[#This Row],[Utilidad bruta]]/TableMonthlySummary[[#This Row],[Ventas netas con costo registrado]],0)</f>
        <v>0</v>
      </c>
    </row>
    <row r="9" spans="2:38" x14ac:dyDescent="0.2">
      <c r="B9" s="16">
        <f>MONTH(TableMonthlySummary[[#This Row],[Hasta]])</f>
        <v>1</v>
      </c>
      <c r="C9" s="6">
        <f t="shared" si="0"/>
        <v>44566</v>
      </c>
      <c r="D9" s="6">
        <f>EOMONTH(TableMonthlySummary[[#This Row],[Desde]], 0)</f>
        <v>44592</v>
      </c>
      <c r="E9" s="11">
        <f>SUMIFS(TableDailySummary[Ventas netas totales],TableDailySummary[Fecha],"&gt;="&amp;TableMonthlySummary[[#This Row],[Desde]],TableDailySummary[Fecha],"&lt;="&amp;TableMonthlySummary[[#This Row],[Hasta]])</f>
        <v>0</v>
      </c>
      <c r="F9" s="11">
        <f>SUMIFS(TableDailySummary[Órdenes totales],TableDailySummary[Fecha],"&gt;="&amp;TableMonthlySummary[[#This Row],[Desde]],TableDailySummary[Fecha],"&lt;="&amp;TableMonthlySummary[[#This Row],[Hasta]])</f>
        <v>0</v>
      </c>
      <c r="G9" s="11">
        <f>SUMIFS(TableDailySummary[Ventas primer cliente],TableDailySummary[Fecha],"&gt;="&amp;TableMonthlySummary[[#This Row],[Desde]],TableDailySummary[Fecha],"&lt;="&amp;TableMonthlySummary[[#This Row],[Hasta]])</f>
        <v>0</v>
      </c>
      <c r="H9" s="11">
        <f>SUMIFS(TableDailySummary[Órdenes primer cliente],TableDailySummary[Fecha],"&gt;="&amp;TableMonthlySummary[[#This Row],[Desde]],TableDailySummary[Fecha],"&lt;="&amp;TableMonthlySummary[[#This Row],[Hasta]])</f>
        <v>0</v>
      </c>
      <c r="I9" s="11">
        <f>SUMIFS(TableDailySummary[Online Store_net_sales],TableDailySummary[Fecha],"&gt;="&amp;TableMonthlySummary[[#This Row],[Desde]],TableDailySummary[Fecha],"&lt;="&amp;TableMonthlySummary[[#This Row],[Hasta]])</f>
        <v>0</v>
      </c>
      <c r="J9" s="11">
        <f>SUMIFS(TableDailySummary[Online Store_orders],TableDailySummary[Fecha],"&gt;="&amp;TableMonthlySummary[[#This Row],[Desde]],TableDailySummary[Fecha],"&lt;="&amp;TableMonthlySummary[[#This Row],[Hasta]])</f>
        <v>0</v>
      </c>
      <c r="K9" s="11">
        <f>SUMIFS(TableDailySummary[Tienda 81_net_sales],TableDailySummary[Fecha],"&gt;="&amp;TableMonthlySummary[[#This Row],[Desde]],TableDailySummary[Fecha],"&lt;="&amp;TableMonthlySummary[[#This Row],[Hasta]])</f>
        <v>0</v>
      </c>
      <c r="L9" s="11">
        <f>SUMIFS(TableDailySummary[Tienda 81_orders],TableDailySummary[Fecha],"&gt;="&amp;TableMonthlySummary[[#This Row],[Desde]],TableDailySummary[Fecha],"&lt;="&amp;TableMonthlySummary[[#This Row],[Hasta]])</f>
        <v>0</v>
      </c>
      <c r="M9" s="11">
        <f>SUMIFS(TableDailySummary[Rappi_net_sales],TableDailySummary[Fecha],"&gt;="&amp;TableMonthlySummary[[#This Row],[Desde]],TableDailySummary[Fecha],"&lt;="&amp;TableMonthlySummary[[#This Row],[Hasta]])</f>
        <v>0</v>
      </c>
      <c r="N9" s="11">
        <f>SUMIFS(TableDailySummary[Rappi_orders],TableDailySummary[Fecha],"&gt;="&amp;TableMonthlySummary[[#This Row],[Desde]],TableDailySummary[Fecha],"&lt;="&amp;TableMonthlySummary[[#This Row],[Hasta]])</f>
        <v>0</v>
      </c>
      <c r="O9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9" s="11">
        <f>SUMIFS(TableDailySummary[Corporativo no tienda_orders],TableDailySummary[Fecha],"&gt;="&amp;TableMonthlySummary[[#This Row],[Desde]],TableDailySummary[Fecha],"&lt;="&amp;TableMonthlySummary[[#This Row],[Hasta]])</f>
        <v>0</v>
      </c>
      <c r="Q9" s="11">
        <f>SUMIFS(TableDailySummary[Inversión google ads],TableDailySummary[Fecha],"&gt;="&amp;TableMonthlySummary[[#This Row],[Desde]],TableDailySummary[Fecha],"&lt;="&amp;TableMonthlySummary[[#This Row],[Hasta]])</f>
        <v>0</v>
      </c>
      <c r="R9" s="11">
        <f>SUMIFS(TableDailySummary[Ventas google ads],TableDailySummary[Fecha],"&gt;="&amp;TableMonthlySummary[[#This Row],[Desde]],TableDailySummary[Fecha],"&lt;="&amp;TableMonthlySummary[[#This Row],[Hasta]])</f>
        <v>0</v>
      </c>
      <c r="S9" s="11">
        <f>SUMIFS(TableDailySummary[Inversión meta ads],TableDailySummary[Fecha],"&gt;="&amp;TableMonthlySummary[[#This Row],[Desde]],TableDailySummary[Fecha],"&lt;="&amp;TableMonthlySummary[[#This Row],[Hasta]])</f>
        <v>0</v>
      </c>
      <c r="T9" s="11">
        <f>SUMIFS(TableDailySummary[Ventas meta ads],TableDailySummary[Fecha],"&gt;="&amp;TableMonthlySummary[[#This Row],[Desde]],TableDailySummary[Fecha],"&lt;="&amp;TableMonthlySummary[[#This Row],[Hasta]])</f>
        <v>0</v>
      </c>
      <c r="U9" s="11">
        <f>TableMonthlySummary[[#This Row],[Inversión google ads]]+TableMonthlySummary[[#This Row],[Inversión meta ads]]</f>
        <v>0</v>
      </c>
      <c r="V9" s="11">
        <f>TableMonthlySummary[[#This Row],[Ventas google ads]]+TableMonthlySummary[[#This Row],[Ventas meta ads]]</f>
        <v>0</v>
      </c>
      <c r="W9" s="14">
        <f>IFERROR(TableMonthlySummary[[#This Row],[Ventas publicidad]]/TableMonthlySummary[[#This Row],[Inversión publicidad]],0)</f>
        <v>0</v>
      </c>
      <c r="X9" s="14">
        <f>IFERROR(TableMonthlySummary[[#This Row],[Ventas primer cliente]]/TableMonthlySummary[[#This Row],[Inversión publicidad]],0)</f>
        <v>0</v>
      </c>
      <c r="Y9" s="14">
        <f>IFERROR(1/TableMonthlySummary[[#This Row],[Contribución %]],0)</f>
        <v>0</v>
      </c>
      <c r="Z9" s="14"/>
      <c r="AA9" s="11"/>
      <c r="AB9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9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9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9" s="11">
        <f>SUMIFS(AccountingReport[costs_fixed],AccountingReport[period],TableMonthlySummary[[#This Row],[Desde]])</f>
        <v>0</v>
      </c>
      <c r="AF9" s="17">
        <f>TableMonthlySummary[[#This Row],[Ventas netas totales]]-TableMonthlySummary[[#This Row],[Costos variables totales]]-TableMonthlySummary[[#This Row],[Costos fijos]]</f>
        <v>0</v>
      </c>
      <c r="AG9" s="18">
        <f>IFERROR(TableMonthlySummary[[#This Row],[Contribución $]] / TableMonthlySummary[[#This Row],[Ventas netas totales]],0)</f>
        <v>0</v>
      </c>
      <c r="AH9" s="11">
        <f>IFERROR(TableMonthlySummary[[#This Row],[Costos de publicidad totales]]/TableMonthlySummary[[#This Row],[Órdenes primer cliente]],0)</f>
        <v>0</v>
      </c>
      <c r="AI9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9" s="11">
        <f>SUMIFS(TableDailySummary[Costo de ventas registrado],TableDailySummary[Fecha],"&gt;="&amp;TableMonthlySummary[[#This Row],[Desde]],TableDailySummary[Fecha],"&lt;="&amp;TableMonthlySummary[[#This Row],[Hasta]])</f>
        <v>0</v>
      </c>
      <c r="AK9" s="11">
        <f>SUMIFS(TableDailySummary[Utilidad bruta],TableDailySummary[Fecha],"&gt;="&amp;TableMonthlySummary[[#This Row],[Desde]],TableDailySummary[Fecha],"&lt;="&amp;TableMonthlySummary[[#This Row],[Hasta]])</f>
        <v>0</v>
      </c>
      <c r="AL9" s="18">
        <f>IFERROR(TableMonthlySummary[[#This Row],[Utilidad bruta]]/TableMonthlySummary[[#This Row],[Ventas netas con costo registrado]],0)</f>
        <v>0</v>
      </c>
    </row>
    <row r="10" spans="2:38" x14ac:dyDescent="0.2">
      <c r="B10" s="16">
        <f>MONTH(TableMonthlySummary[[#This Row],[Hasta]])</f>
        <v>2</v>
      </c>
      <c r="C10" s="6">
        <f t="shared" si="0"/>
        <v>44597</v>
      </c>
      <c r="D10" s="6">
        <f>EOMONTH(TableMonthlySummary[[#This Row],[Desde]], 0)</f>
        <v>44620</v>
      </c>
      <c r="E10" s="11">
        <f>SUMIFS(TableDailySummary[Ventas netas totales],TableDailySummary[Fecha],"&gt;="&amp;TableMonthlySummary[[#This Row],[Desde]],TableDailySummary[Fecha],"&lt;="&amp;TableMonthlySummary[[#This Row],[Hasta]])</f>
        <v>0</v>
      </c>
      <c r="F10" s="11">
        <f>SUMIFS(TableDailySummary[Órdenes totales],TableDailySummary[Fecha],"&gt;="&amp;TableMonthlySummary[[#This Row],[Desde]],TableDailySummary[Fecha],"&lt;="&amp;TableMonthlySummary[[#This Row],[Hasta]])</f>
        <v>0</v>
      </c>
      <c r="G10" s="11">
        <f>SUMIFS(TableDailySummary[Ventas primer cliente],TableDailySummary[Fecha],"&gt;="&amp;TableMonthlySummary[[#This Row],[Desde]],TableDailySummary[Fecha],"&lt;="&amp;TableMonthlySummary[[#This Row],[Hasta]])</f>
        <v>0</v>
      </c>
      <c r="H10" s="11">
        <f>SUMIFS(TableDailySummary[Órdenes primer cliente],TableDailySummary[Fecha],"&gt;="&amp;TableMonthlySummary[[#This Row],[Desde]],TableDailySummary[Fecha],"&lt;="&amp;TableMonthlySummary[[#This Row],[Hasta]])</f>
        <v>0</v>
      </c>
      <c r="I10" s="11">
        <f>SUMIFS(TableDailySummary[Online Store_net_sales],TableDailySummary[Fecha],"&gt;="&amp;TableMonthlySummary[[#This Row],[Desde]],TableDailySummary[Fecha],"&lt;="&amp;TableMonthlySummary[[#This Row],[Hasta]])</f>
        <v>0</v>
      </c>
      <c r="J10" s="11">
        <f>SUMIFS(TableDailySummary[Online Store_orders],TableDailySummary[Fecha],"&gt;="&amp;TableMonthlySummary[[#This Row],[Desde]],TableDailySummary[Fecha],"&lt;="&amp;TableMonthlySummary[[#This Row],[Hasta]])</f>
        <v>0</v>
      </c>
      <c r="K10" s="11">
        <f>SUMIFS(TableDailySummary[Tienda 81_net_sales],TableDailySummary[Fecha],"&gt;="&amp;TableMonthlySummary[[#This Row],[Desde]],TableDailySummary[Fecha],"&lt;="&amp;TableMonthlySummary[[#This Row],[Hasta]])</f>
        <v>0</v>
      </c>
      <c r="L10" s="11">
        <f>SUMIFS(TableDailySummary[Tienda 81_orders],TableDailySummary[Fecha],"&gt;="&amp;TableMonthlySummary[[#This Row],[Desde]],TableDailySummary[Fecha],"&lt;="&amp;TableMonthlySummary[[#This Row],[Hasta]])</f>
        <v>0</v>
      </c>
      <c r="M10" s="11">
        <f>SUMIFS(TableDailySummary[Rappi_net_sales],TableDailySummary[Fecha],"&gt;="&amp;TableMonthlySummary[[#This Row],[Desde]],TableDailySummary[Fecha],"&lt;="&amp;TableMonthlySummary[[#This Row],[Hasta]])</f>
        <v>0</v>
      </c>
      <c r="N10" s="11">
        <f>SUMIFS(TableDailySummary[Rappi_orders],TableDailySummary[Fecha],"&gt;="&amp;TableMonthlySummary[[#This Row],[Desde]],TableDailySummary[Fecha],"&lt;="&amp;TableMonthlySummary[[#This Row],[Hasta]])</f>
        <v>0</v>
      </c>
      <c r="O10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0" s="11">
        <f>SUMIFS(TableDailySummary[Corporativo no tienda_orders],TableDailySummary[Fecha],"&gt;="&amp;TableMonthlySummary[[#This Row],[Desde]],TableDailySummary[Fecha],"&lt;="&amp;TableMonthlySummary[[#This Row],[Hasta]])</f>
        <v>0</v>
      </c>
      <c r="Q10" s="11">
        <f>SUMIFS(TableDailySummary[Inversión google ads],TableDailySummary[Fecha],"&gt;="&amp;TableMonthlySummary[[#This Row],[Desde]],TableDailySummary[Fecha],"&lt;="&amp;TableMonthlySummary[[#This Row],[Hasta]])</f>
        <v>0</v>
      </c>
      <c r="R10" s="11">
        <f>SUMIFS(TableDailySummary[Ventas google ads],TableDailySummary[Fecha],"&gt;="&amp;TableMonthlySummary[[#This Row],[Desde]],TableDailySummary[Fecha],"&lt;="&amp;TableMonthlySummary[[#This Row],[Hasta]])</f>
        <v>0</v>
      </c>
      <c r="S10" s="11">
        <f>SUMIFS(TableDailySummary[Inversión meta ads],TableDailySummary[Fecha],"&gt;="&amp;TableMonthlySummary[[#This Row],[Desde]],TableDailySummary[Fecha],"&lt;="&amp;TableMonthlySummary[[#This Row],[Hasta]])</f>
        <v>0</v>
      </c>
      <c r="T10" s="11">
        <f>SUMIFS(TableDailySummary[Ventas meta ads],TableDailySummary[Fecha],"&gt;="&amp;TableMonthlySummary[[#This Row],[Desde]],TableDailySummary[Fecha],"&lt;="&amp;TableMonthlySummary[[#This Row],[Hasta]])</f>
        <v>0</v>
      </c>
      <c r="U10" s="11">
        <f>TableMonthlySummary[[#This Row],[Inversión google ads]]+TableMonthlySummary[[#This Row],[Inversión meta ads]]</f>
        <v>0</v>
      </c>
      <c r="V10" s="11">
        <f>TableMonthlySummary[[#This Row],[Ventas google ads]]+TableMonthlySummary[[#This Row],[Ventas meta ads]]</f>
        <v>0</v>
      </c>
      <c r="W10" s="14">
        <f>IFERROR(TableMonthlySummary[[#This Row],[Ventas publicidad]]/TableMonthlySummary[[#This Row],[Inversión publicidad]],0)</f>
        <v>0</v>
      </c>
      <c r="X10" s="14">
        <f>IFERROR(TableMonthlySummary[[#This Row],[Ventas primer cliente]]/TableMonthlySummary[[#This Row],[Inversión publicidad]],0)</f>
        <v>0</v>
      </c>
      <c r="Y10" s="14">
        <f>IFERROR(1/TableMonthlySummary[[#This Row],[Contribución %]],0)</f>
        <v>0</v>
      </c>
      <c r="Z10" s="14"/>
      <c r="AA10" s="11"/>
      <c r="AB10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0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0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0" s="11">
        <f>SUMIFS(AccountingReport[costs_fixed],AccountingReport[period],TableMonthlySummary[[#This Row],[Desde]])</f>
        <v>0</v>
      </c>
      <c r="AF10" s="17">
        <f>TableMonthlySummary[[#This Row],[Ventas netas totales]]-TableMonthlySummary[[#This Row],[Costos variables totales]]-TableMonthlySummary[[#This Row],[Costos fijos]]</f>
        <v>0</v>
      </c>
      <c r="AG10" s="18">
        <f>IFERROR(TableMonthlySummary[[#This Row],[Contribución $]] / TableMonthlySummary[[#This Row],[Ventas netas totales]],0)</f>
        <v>0</v>
      </c>
      <c r="AH10" s="11">
        <f>IFERROR(TableMonthlySummary[[#This Row],[Costos de publicidad totales]]/TableMonthlySummary[[#This Row],[Órdenes primer cliente]],0)</f>
        <v>0</v>
      </c>
      <c r="AI10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0" s="11">
        <f>SUMIFS(TableDailySummary[Costo de ventas registrado],TableDailySummary[Fecha],"&gt;="&amp;TableMonthlySummary[[#This Row],[Desde]],TableDailySummary[Fecha],"&lt;="&amp;TableMonthlySummary[[#This Row],[Hasta]])</f>
        <v>0</v>
      </c>
      <c r="AK10" s="11">
        <f>SUMIFS(TableDailySummary[Utilidad bruta],TableDailySummary[Fecha],"&gt;="&amp;TableMonthlySummary[[#This Row],[Desde]],TableDailySummary[Fecha],"&lt;="&amp;TableMonthlySummary[[#This Row],[Hasta]])</f>
        <v>0</v>
      </c>
      <c r="AL10" s="18">
        <f>IFERROR(TableMonthlySummary[[#This Row],[Utilidad bruta]]/TableMonthlySummary[[#This Row],[Ventas netas con costo registrado]],0)</f>
        <v>0</v>
      </c>
    </row>
    <row r="11" spans="2:38" x14ac:dyDescent="0.2">
      <c r="B11" s="16">
        <f>MONTH(TableMonthlySummary[[#This Row],[Hasta]])</f>
        <v>3</v>
      </c>
      <c r="C11" s="6">
        <f t="shared" si="0"/>
        <v>44625</v>
      </c>
      <c r="D11" s="6">
        <f>EOMONTH(TableMonthlySummary[[#This Row],[Desde]], 0)</f>
        <v>44651</v>
      </c>
      <c r="E11" s="11">
        <f>SUMIFS(TableDailySummary[Ventas netas totales],TableDailySummary[Fecha],"&gt;="&amp;TableMonthlySummary[[#This Row],[Desde]],TableDailySummary[Fecha],"&lt;="&amp;TableMonthlySummary[[#This Row],[Hasta]])</f>
        <v>0</v>
      </c>
      <c r="F11" s="11">
        <f>SUMIFS(TableDailySummary[Órdenes totales],TableDailySummary[Fecha],"&gt;="&amp;TableMonthlySummary[[#This Row],[Desde]],TableDailySummary[Fecha],"&lt;="&amp;TableMonthlySummary[[#This Row],[Hasta]])</f>
        <v>0</v>
      </c>
      <c r="G11" s="11">
        <f>SUMIFS(TableDailySummary[Ventas primer cliente],TableDailySummary[Fecha],"&gt;="&amp;TableMonthlySummary[[#This Row],[Desde]],TableDailySummary[Fecha],"&lt;="&amp;TableMonthlySummary[[#This Row],[Hasta]])</f>
        <v>0</v>
      </c>
      <c r="H11" s="11">
        <f>SUMIFS(TableDailySummary[Órdenes primer cliente],TableDailySummary[Fecha],"&gt;="&amp;TableMonthlySummary[[#This Row],[Desde]],TableDailySummary[Fecha],"&lt;="&amp;TableMonthlySummary[[#This Row],[Hasta]])</f>
        <v>0</v>
      </c>
      <c r="I11" s="11">
        <f>SUMIFS(TableDailySummary[Online Store_net_sales],TableDailySummary[Fecha],"&gt;="&amp;TableMonthlySummary[[#This Row],[Desde]],TableDailySummary[Fecha],"&lt;="&amp;TableMonthlySummary[[#This Row],[Hasta]])</f>
        <v>0</v>
      </c>
      <c r="J11" s="11">
        <f>SUMIFS(TableDailySummary[Online Store_orders],TableDailySummary[Fecha],"&gt;="&amp;TableMonthlySummary[[#This Row],[Desde]],TableDailySummary[Fecha],"&lt;="&amp;TableMonthlySummary[[#This Row],[Hasta]])</f>
        <v>0</v>
      </c>
      <c r="K11" s="11">
        <f>SUMIFS(TableDailySummary[Tienda 81_net_sales],TableDailySummary[Fecha],"&gt;="&amp;TableMonthlySummary[[#This Row],[Desde]],TableDailySummary[Fecha],"&lt;="&amp;TableMonthlySummary[[#This Row],[Hasta]])</f>
        <v>0</v>
      </c>
      <c r="L11" s="11">
        <f>SUMIFS(TableDailySummary[Tienda 81_orders],TableDailySummary[Fecha],"&gt;="&amp;TableMonthlySummary[[#This Row],[Desde]],TableDailySummary[Fecha],"&lt;="&amp;TableMonthlySummary[[#This Row],[Hasta]])</f>
        <v>0</v>
      </c>
      <c r="M11" s="11">
        <f>SUMIFS(TableDailySummary[Rappi_net_sales],TableDailySummary[Fecha],"&gt;="&amp;TableMonthlySummary[[#This Row],[Desde]],TableDailySummary[Fecha],"&lt;="&amp;TableMonthlySummary[[#This Row],[Hasta]])</f>
        <v>0</v>
      </c>
      <c r="N11" s="11">
        <f>SUMIFS(TableDailySummary[Rappi_orders],TableDailySummary[Fecha],"&gt;="&amp;TableMonthlySummary[[#This Row],[Desde]],TableDailySummary[Fecha],"&lt;="&amp;TableMonthlySummary[[#This Row],[Hasta]])</f>
        <v>0</v>
      </c>
      <c r="O11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1" s="11">
        <f>SUMIFS(TableDailySummary[Corporativo no tienda_orders],TableDailySummary[Fecha],"&gt;="&amp;TableMonthlySummary[[#This Row],[Desde]],TableDailySummary[Fecha],"&lt;="&amp;TableMonthlySummary[[#This Row],[Hasta]])</f>
        <v>0</v>
      </c>
      <c r="Q11" s="11">
        <f>SUMIFS(TableDailySummary[Inversión google ads],TableDailySummary[Fecha],"&gt;="&amp;TableMonthlySummary[[#This Row],[Desde]],TableDailySummary[Fecha],"&lt;="&amp;TableMonthlySummary[[#This Row],[Hasta]])</f>
        <v>0</v>
      </c>
      <c r="R11" s="11">
        <f>SUMIFS(TableDailySummary[Ventas google ads],TableDailySummary[Fecha],"&gt;="&amp;TableMonthlySummary[[#This Row],[Desde]],TableDailySummary[Fecha],"&lt;="&amp;TableMonthlySummary[[#This Row],[Hasta]])</f>
        <v>0</v>
      </c>
      <c r="S11" s="11">
        <f>SUMIFS(TableDailySummary[Inversión meta ads],TableDailySummary[Fecha],"&gt;="&amp;TableMonthlySummary[[#This Row],[Desde]],TableDailySummary[Fecha],"&lt;="&amp;TableMonthlySummary[[#This Row],[Hasta]])</f>
        <v>0</v>
      </c>
      <c r="T11" s="11">
        <f>SUMIFS(TableDailySummary[Ventas meta ads],TableDailySummary[Fecha],"&gt;="&amp;TableMonthlySummary[[#This Row],[Desde]],TableDailySummary[Fecha],"&lt;="&amp;TableMonthlySummary[[#This Row],[Hasta]])</f>
        <v>0</v>
      </c>
      <c r="U11" s="11">
        <f>TableMonthlySummary[[#This Row],[Inversión google ads]]+TableMonthlySummary[[#This Row],[Inversión meta ads]]</f>
        <v>0</v>
      </c>
      <c r="V11" s="11">
        <f>TableMonthlySummary[[#This Row],[Ventas google ads]]+TableMonthlySummary[[#This Row],[Ventas meta ads]]</f>
        <v>0</v>
      </c>
      <c r="W11" s="14">
        <f>IFERROR(TableMonthlySummary[[#This Row],[Ventas publicidad]]/TableMonthlySummary[[#This Row],[Inversión publicidad]],0)</f>
        <v>0</v>
      </c>
      <c r="X11" s="14">
        <f>IFERROR(TableMonthlySummary[[#This Row],[Ventas primer cliente]]/TableMonthlySummary[[#This Row],[Inversión publicidad]],0)</f>
        <v>0</v>
      </c>
      <c r="Y11" s="14">
        <f>IFERROR(1/TableMonthlySummary[[#This Row],[Contribución %]],0)</f>
        <v>0</v>
      </c>
      <c r="Z11" s="14"/>
      <c r="AA11" s="11"/>
      <c r="AB11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1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1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1" s="11">
        <f>SUMIFS(AccountingReport[costs_fixed],AccountingReport[period],TableMonthlySummary[[#This Row],[Desde]])</f>
        <v>0</v>
      </c>
      <c r="AF11" s="17">
        <f>TableMonthlySummary[[#This Row],[Ventas netas totales]]-TableMonthlySummary[[#This Row],[Costos variables totales]]-TableMonthlySummary[[#This Row],[Costos fijos]]</f>
        <v>0</v>
      </c>
      <c r="AG11" s="18">
        <f>IFERROR(TableMonthlySummary[[#This Row],[Contribución $]] / TableMonthlySummary[[#This Row],[Ventas netas totales]],0)</f>
        <v>0</v>
      </c>
      <c r="AH11" s="11">
        <f>IFERROR(TableMonthlySummary[[#This Row],[Costos de publicidad totales]]/TableMonthlySummary[[#This Row],[Órdenes primer cliente]],0)</f>
        <v>0</v>
      </c>
      <c r="AI11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1" s="11">
        <f>SUMIFS(TableDailySummary[Costo de ventas registrado],TableDailySummary[Fecha],"&gt;="&amp;TableMonthlySummary[[#This Row],[Desde]],TableDailySummary[Fecha],"&lt;="&amp;TableMonthlySummary[[#This Row],[Hasta]])</f>
        <v>0</v>
      </c>
      <c r="AK11" s="11">
        <f>SUMIFS(TableDailySummary[Utilidad bruta],TableDailySummary[Fecha],"&gt;="&amp;TableMonthlySummary[[#This Row],[Desde]],TableDailySummary[Fecha],"&lt;="&amp;TableMonthlySummary[[#This Row],[Hasta]])</f>
        <v>0</v>
      </c>
      <c r="AL11" s="18">
        <f>IFERROR(TableMonthlySummary[[#This Row],[Utilidad bruta]]/TableMonthlySummary[[#This Row],[Ventas netas con costo registrado]],0)</f>
        <v>0</v>
      </c>
    </row>
    <row r="12" spans="2:38" x14ac:dyDescent="0.2">
      <c r="B12" s="16">
        <f>MONTH(TableMonthlySummary[[#This Row],[Hasta]])</f>
        <v>4</v>
      </c>
      <c r="C12" s="6">
        <f t="shared" si="0"/>
        <v>44656</v>
      </c>
      <c r="D12" s="6">
        <f>EOMONTH(TableMonthlySummary[[#This Row],[Desde]], 0)</f>
        <v>44681</v>
      </c>
      <c r="E12" s="11">
        <f>SUMIFS(TableDailySummary[Ventas netas totales],TableDailySummary[Fecha],"&gt;="&amp;TableMonthlySummary[[#This Row],[Desde]],TableDailySummary[Fecha],"&lt;="&amp;TableMonthlySummary[[#This Row],[Hasta]])</f>
        <v>0</v>
      </c>
      <c r="F12" s="11">
        <f>SUMIFS(TableDailySummary[Órdenes totales],TableDailySummary[Fecha],"&gt;="&amp;TableMonthlySummary[[#This Row],[Desde]],TableDailySummary[Fecha],"&lt;="&amp;TableMonthlySummary[[#This Row],[Hasta]])</f>
        <v>0</v>
      </c>
      <c r="G12" s="11">
        <f>SUMIFS(TableDailySummary[Ventas primer cliente],TableDailySummary[Fecha],"&gt;="&amp;TableMonthlySummary[[#This Row],[Desde]],TableDailySummary[Fecha],"&lt;="&amp;TableMonthlySummary[[#This Row],[Hasta]])</f>
        <v>0</v>
      </c>
      <c r="H12" s="11">
        <f>SUMIFS(TableDailySummary[Órdenes primer cliente],TableDailySummary[Fecha],"&gt;="&amp;TableMonthlySummary[[#This Row],[Desde]],TableDailySummary[Fecha],"&lt;="&amp;TableMonthlySummary[[#This Row],[Hasta]])</f>
        <v>0</v>
      </c>
      <c r="I12" s="11">
        <f>SUMIFS(TableDailySummary[Online Store_net_sales],TableDailySummary[Fecha],"&gt;="&amp;TableMonthlySummary[[#This Row],[Desde]],TableDailySummary[Fecha],"&lt;="&amp;TableMonthlySummary[[#This Row],[Hasta]])</f>
        <v>0</v>
      </c>
      <c r="J12" s="11">
        <f>SUMIFS(TableDailySummary[Online Store_orders],TableDailySummary[Fecha],"&gt;="&amp;TableMonthlySummary[[#This Row],[Desde]],TableDailySummary[Fecha],"&lt;="&amp;TableMonthlySummary[[#This Row],[Hasta]])</f>
        <v>0</v>
      </c>
      <c r="K12" s="11">
        <f>SUMIFS(TableDailySummary[Tienda 81_net_sales],TableDailySummary[Fecha],"&gt;="&amp;TableMonthlySummary[[#This Row],[Desde]],TableDailySummary[Fecha],"&lt;="&amp;TableMonthlySummary[[#This Row],[Hasta]])</f>
        <v>0</v>
      </c>
      <c r="L12" s="11">
        <f>SUMIFS(TableDailySummary[Tienda 81_orders],TableDailySummary[Fecha],"&gt;="&amp;TableMonthlySummary[[#This Row],[Desde]],TableDailySummary[Fecha],"&lt;="&amp;TableMonthlySummary[[#This Row],[Hasta]])</f>
        <v>0</v>
      </c>
      <c r="M12" s="11">
        <f>SUMIFS(TableDailySummary[Rappi_net_sales],TableDailySummary[Fecha],"&gt;="&amp;TableMonthlySummary[[#This Row],[Desde]],TableDailySummary[Fecha],"&lt;="&amp;TableMonthlySummary[[#This Row],[Hasta]])</f>
        <v>0</v>
      </c>
      <c r="N12" s="11">
        <f>SUMIFS(TableDailySummary[Rappi_orders],TableDailySummary[Fecha],"&gt;="&amp;TableMonthlySummary[[#This Row],[Desde]],TableDailySummary[Fecha],"&lt;="&amp;TableMonthlySummary[[#This Row],[Hasta]])</f>
        <v>0</v>
      </c>
      <c r="O12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2" s="11">
        <f>SUMIFS(TableDailySummary[Corporativo no tienda_orders],TableDailySummary[Fecha],"&gt;="&amp;TableMonthlySummary[[#This Row],[Desde]],TableDailySummary[Fecha],"&lt;="&amp;TableMonthlySummary[[#This Row],[Hasta]])</f>
        <v>0</v>
      </c>
      <c r="Q12" s="11">
        <f>SUMIFS(TableDailySummary[Inversión google ads],TableDailySummary[Fecha],"&gt;="&amp;TableMonthlySummary[[#This Row],[Desde]],TableDailySummary[Fecha],"&lt;="&amp;TableMonthlySummary[[#This Row],[Hasta]])</f>
        <v>0</v>
      </c>
      <c r="R12" s="11">
        <f>SUMIFS(TableDailySummary[Ventas google ads],TableDailySummary[Fecha],"&gt;="&amp;TableMonthlySummary[[#This Row],[Desde]],TableDailySummary[Fecha],"&lt;="&amp;TableMonthlySummary[[#This Row],[Hasta]])</f>
        <v>0</v>
      </c>
      <c r="S12" s="11">
        <f>SUMIFS(TableDailySummary[Inversión meta ads],TableDailySummary[Fecha],"&gt;="&amp;TableMonthlySummary[[#This Row],[Desde]],TableDailySummary[Fecha],"&lt;="&amp;TableMonthlySummary[[#This Row],[Hasta]])</f>
        <v>0</v>
      </c>
      <c r="T12" s="11">
        <f>SUMIFS(TableDailySummary[Ventas meta ads],TableDailySummary[Fecha],"&gt;="&amp;TableMonthlySummary[[#This Row],[Desde]],TableDailySummary[Fecha],"&lt;="&amp;TableMonthlySummary[[#This Row],[Hasta]])</f>
        <v>0</v>
      </c>
      <c r="U12" s="11">
        <f>TableMonthlySummary[[#This Row],[Inversión google ads]]+TableMonthlySummary[[#This Row],[Inversión meta ads]]</f>
        <v>0</v>
      </c>
      <c r="V12" s="11">
        <f>TableMonthlySummary[[#This Row],[Ventas google ads]]+TableMonthlySummary[[#This Row],[Ventas meta ads]]</f>
        <v>0</v>
      </c>
      <c r="W12" s="14">
        <f>IFERROR(TableMonthlySummary[[#This Row],[Ventas publicidad]]/TableMonthlySummary[[#This Row],[Inversión publicidad]],0)</f>
        <v>0</v>
      </c>
      <c r="X12" s="14">
        <f>IFERROR(TableMonthlySummary[[#This Row],[Ventas primer cliente]]/TableMonthlySummary[[#This Row],[Inversión publicidad]],0)</f>
        <v>0</v>
      </c>
      <c r="Y12" s="14">
        <f>IFERROR(1/TableMonthlySummary[[#This Row],[Contribución %]],0)</f>
        <v>0</v>
      </c>
      <c r="Z12" s="14"/>
      <c r="AA12" s="11"/>
      <c r="AB12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2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2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2" s="11">
        <f>SUMIFS(AccountingReport[costs_fixed],AccountingReport[period],TableMonthlySummary[[#This Row],[Desde]])</f>
        <v>0</v>
      </c>
      <c r="AF12" s="17">
        <f>TableMonthlySummary[[#This Row],[Ventas netas totales]]-TableMonthlySummary[[#This Row],[Costos variables totales]]-TableMonthlySummary[[#This Row],[Costos fijos]]</f>
        <v>0</v>
      </c>
      <c r="AG12" s="18">
        <f>IFERROR(TableMonthlySummary[[#This Row],[Contribución $]] / TableMonthlySummary[[#This Row],[Ventas netas totales]],0)</f>
        <v>0</v>
      </c>
      <c r="AH12" s="11">
        <f>IFERROR(TableMonthlySummary[[#This Row],[Costos de publicidad totales]]/TableMonthlySummary[[#This Row],[Órdenes primer cliente]],0)</f>
        <v>0</v>
      </c>
      <c r="AI12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2" s="11">
        <f>SUMIFS(TableDailySummary[Costo de ventas registrado],TableDailySummary[Fecha],"&gt;="&amp;TableMonthlySummary[[#This Row],[Desde]],TableDailySummary[Fecha],"&lt;="&amp;TableMonthlySummary[[#This Row],[Hasta]])</f>
        <v>0</v>
      </c>
      <c r="AK12" s="11">
        <f>SUMIFS(TableDailySummary[Utilidad bruta],TableDailySummary[Fecha],"&gt;="&amp;TableMonthlySummary[[#This Row],[Desde]],TableDailySummary[Fecha],"&lt;="&amp;TableMonthlySummary[[#This Row],[Hasta]])</f>
        <v>0</v>
      </c>
      <c r="AL12" s="18">
        <f>IFERROR(TableMonthlySummary[[#This Row],[Utilidad bruta]]/TableMonthlySummary[[#This Row],[Ventas netas con costo registrado]],0)</f>
        <v>0</v>
      </c>
    </row>
    <row r="13" spans="2:38" x14ac:dyDescent="0.2">
      <c r="B13" s="16">
        <f>MONTH(TableMonthlySummary[[#This Row],[Hasta]])</f>
        <v>5</v>
      </c>
      <c r="C13" s="6">
        <f t="shared" si="0"/>
        <v>44686</v>
      </c>
      <c r="D13" s="6">
        <f>EOMONTH(TableMonthlySummary[[#This Row],[Desde]], 0)</f>
        <v>44712</v>
      </c>
      <c r="E13" s="11">
        <f>SUMIFS(TableDailySummary[Ventas netas totales],TableDailySummary[Fecha],"&gt;="&amp;TableMonthlySummary[[#This Row],[Desde]],TableDailySummary[Fecha],"&lt;="&amp;TableMonthlySummary[[#This Row],[Hasta]])</f>
        <v>0</v>
      </c>
      <c r="F13" s="11">
        <f>SUMIFS(TableDailySummary[Órdenes totales],TableDailySummary[Fecha],"&gt;="&amp;TableMonthlySummary[[#This Row],[Desde]],TableDailySummary[Fecha],"&lt;="&amp;TableMonthlySummary[[#This Row],[Hasta]])</f>
        <v>0</v>
      </c>
      <c r="G13" s="11">
        <f>SUMIFS(TableDailySummary[Ventas primer cliente],TableDailySummary[Fecha],"&gt;="&amp;TableMonthlySummary[[#This Row],[Desde]],TableDailySummary[Fecha],"&lt;="&amp;TableMonthlySummary[[#This Row],[Hasta]])</f>
        <v>0</v>
      </c>
      <c r="H13" s="11">
        <f>SUMIFS(TableDailySummary[Órdenes primer cliente],TableDailySummary[Fecha],"&gt;="&amp;TableMonthlySummary[[#This Row],[Desde]],TableDailySummary[Fecha],"&lt;="&amp;TableMonthlySummary[[#This Row],[Hasta]])</f>
        <v>0</v>
      </c>
      <c r="I13" s="11">
        <f>SUMIFS(TableDailySummary[Online Store_net_sales],TableDailySummary[Fecha],"&gt;="&amp;TableMonthlySummary[[#This Row],[Desde]],TableDailySummary[Fecha],"&lt;="&amp;TableMonthlySummary[[#This Row],[Hasta]])</f>
        <v>0</v>
      </c>
      <c r="J13" s="11">
        <f>SUMIFS(TableDailySummary[Online Store_orders],TableDailySummary[Fecha],"&gt;="&amp;TableMonthlySummary[[#This Row],[Desde]],TableDailySummary[Fecha],"&lt;="&amp;TableMonthlySummary[[#This Row],[Hasta]])</f>
        <v>0</v>
      </c>
      <c r="K13" s="11">
        <f>SUMIFS(TableDailySummary[Tienda 81_net_sales],TableDailySummary[Fecha],"&gt;="&amp;TableMonthlySummary[[#This Row],[Desde]],TableDailySummary[Fecha],"&lt;="&amp;TableMonthlySummary[[#This Row],[Hasta]])</f>
        <v>0</v>
      </c>
      <c r="L13" s="11">
        <f>SUMIFS(TableDailySummary[Tienda 81_orders],TableDailySummary[Fecha],"&gt;="&amp;TableMonthlySummary[[#This Row],[Desde]],TableDailySummary[Fecha],"&lt;="&amp;TableMonthlySummary[[#This Row],[Hasta]])</f>
        <v>0</v>
      </c>
      <c r="M13" s="11">
        <f>SUMIFS(TableDailySummary[Rappi_net_sales],TableDailySummary[Fecha],"&gt;="&amp;TableMonthlySummary[[#This Row],[Desde]],TableDailySummary[Fecha],"&lt;="&amp;TableMonthlySummary[[#This Row],[Hasta]])</f>
        <v>0</v>
      </c>
      <c r="N13" s="11">
        <f>SUMIFS(TableDailySummary[Rappi_orders],TableDailySummary[Fecha],"&gt;="&amp;TableMonthlySummary[[#This Row],[Desde]],TableDailySummary[Fecha],"&lt;="&amp;TableMonthlySummary[[#This Row],[Hasta]])</f>
        <v>0</v>
      </c>
      <c r="O13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3" s="11">
        <f>SUMIFS(TableDailySummary[Corporativo no tienda_orders],TableDailySummary[Fecha],"&gt;="&amp;TableMonthlySummary[[#This Row],[Desde]],TableDailySummary[Fecha],"&lt;="&amp;TableMonthlySummary[[#This Row],[Hasta]])</f>
        <v>0</v>
      </c>
      <c r="Q13" s="11">
        <f>SUMIFS(TableDailySummary[Inversión google ads],TableDailySummary[Fecha],"&gt;="&amp;TableMonthlySummary[[#This Row],[Desde]],TableDailySummary[Fecha],"&lt;="&amp;TableMonthlySummary[[#This Row],[Hasta]])</f>
        <v>0</v>
      </c>
      <c r="R13" s="11">
        <f>SUMIFS(TableDailySummary[Ventas google ads],TableDailySummary[Fecha],"&gt;="&amp;TableMonthlySummary[[#This Row],[Desde]],TableDailySummary[Fecha],"&lt;="&amp;TableMonthlySummary[[#This Row],[Hasta]])</f>
        <v>0</v>
      </c>
      <c r="S13" s="11">
        <f>SUMIFS(TableDailySummary[Inversión meta ads],TableDailySummary[Fecha],"&gt;="&amp;TableMonthlySummary[[#This Row],[Desde]],TableDailySummary[Fecha],"&lt;="&amp;TableMonthlySummary[[#This Row],[Hasta]])</f>
        <v>0</v>
      </c>
      <c r="T13" s="11">
        <f>SUMIFS(TableDailySummary[Ventas meta ads],TableDailySummary[Fecha],"&gt;="&amp;TableMonthlySummary[[#This Row],[Desde]],TableDailySummary[Fecha],"&lt;="&amp;TableMonthlySummary[[#This Row],[Hasta]])</f>
        <v>0</v>
      </c>
      <c r="U13" s="11">
        <f>TableMonthlySummary[[#This Row],[Inversión google ads]]+TableMonthlySummary[[#This Row],[Inversión meta ads]]</f>
        <v>0</v>
      </c>
      <c r="V13" s="11">
        <f>TableMonthlySummary[[#This Row],[Ventas google ads]]+TableMonthlySummary[[#This Row],[Ventas meta ads]]</f>
        <v>0</v>
      </c>
      <c r="W13" s="14">
        <f>IFERROR(TableMonthlySummary[[#This Row],[Ventas publicidad]]/TableMonthlySummary[[#This Row],[Inversión publicidad]],0)</f>
        <v>0</v>
      </c>
      <c r="X13" s="14">
        <f>IFERROR(TableMonthlySummary[[#This Row],[Ventas primer cliente]]/TableMonthlySummary[[#This Row],[Inversión publicidad]],0)</f>
        <v>0</v>
      </c>
      <c r="Y13" s="14">
        <f>IFERROR(1/TableMonthlySummary[[#This Row],[Contribución %]],0)</f>
        <v>0</v>
      </c>
      <c r="Z13" s="14"/>
      <c r="AA13" s="11"/>
      <c r="AB13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3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3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3" s="11">
        <f>SUMIFS(AccountingReport[costs_fixed],AccountingReport[period],TableMonthlySummary[[#This Row],[Desde]])</f>
        <v>0</v>
      </c>
      <c r="AF13" s="17">
        <f>TableMonthlySummary[[#This Row],[Ventas netas totales]]-TableMonthlySummary[[#This Row],[Costos variables totales]]-TableMonthlySummary[[#This Row],[Costos fijos]]</f>
        <v>0</v>
      </c>
      <c r="AG13" s="18">
        <f>IFERROR(TableMonthlySummary[[#This Row],[Contribución $]] / TableMonthlySummary[[#This Row],[Ventas netas totales]],0)</f>
        <v>0</v>
      </c>
      <c r="AH13" s="11">
        <f>IFERROR(TableMonthlySummary[[#This Row],[Costos de publicidad totales]]/TableMonthlySummary[[#This Row],[Órdenes primer cliente]],0)</f>
        <v>0</v>
      </c>
      <c r="AI13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3" s="11">
        <f>SUMIFS(TableDailySummary[Costo de ventas registrado],TableDailySummary[Fecha],"&gt;="&amp;TableMonthlySummary[[#This Row],[Desde]],TableDailySummary[Fecha],"&lt;="&amp;TableMonthlySummary[[#This Row],[Hasta]])</f>
        <v>0</v>
      </c>
      <c r="AK13" s="11">
        <f>SUMIFS(TableDailySummary[Utilidad bruta],TableDailySummary[Fecha],"&gt;="&amp;TableMonthlySummary[[#This Row],[Desde]],TableDailySummary[Fecha],"&lt;="&amp;TableMonthlySummary[[#This Row],[Hasta]])</f>
        <v>0</v>
      </c>
      <c r="AL13" s="18">
        <f>IFERROR(TableMonthlySummary[[#This Row],[Utilidad bruta]]/TableMonthlySummary[[#This Row],[Ventas netas con costo registrado]],0)</f>
        <v>0</v>
      </c>
    </row>
    <row r="14" spans="2:38" x14ac:dyDescent="0.2">
      <c r="B14" s="16">
        <f>MONTH(TableMonthlySummary[[#This Row],[Hasta]])</f>
        <v>6</v>
      </c>
      <c r="C14" s="6">
        <f t="shared" si="0"/>
        <v>44717</v>
      </c>
      <c r="D14" s="6">
        <f>EOMONTH(TableMonthlySummary[[#This Row],[Desde]], 0)</f>
        <v>44742</v>
      </c>
      <c r="E14" s="11">
        <f>SUMIFS(TableDailySummary[Ventas netas totales],TableDailySummary[Fecha],"&gt;="&amp;TableMonthlySummary[[#This Row],[Desde]],TableDailySummary[Fecha],"&lt;="&amp;TableMonthlySummary[[#This Row],[Hasta]])</f>
        <v>0</v>
      </c>
      <c r="F14" s="11">
        <f>SUMIFS(TableDailySummary[Órdenes totales],TableDailySummary[Fecha],"&gt;="&amp;TableMonthlySummary[[#This Row],[Desde]],TableDailySummary[Fecha],"&lt;="&amp;TableMonthlySummary[[#This Row],[Hasta]])</f>
        <v>0</v>
      </c>
      <c r="G14" s="11">
        <f>SUMIFS(TableDailySummary[Ventas primer cliente],TableDailySummary[Fecha],"&gt;="&amp;TableMonthlySummary[[#This Row],[Desde]],TableDailySummary[Fecha],"&lt;="&amp;TableMonthlySummary[[#This Row],[Hasta]])</f>
        <v>0</v>
      </c>
      <c r="H14" s="11">
        <f>SUMIFS(TableDailySummary[Órdenes primer cliente],TableDailySummary[Fecha],"&gt;="&amp;TableMonthlySummary[[#This Row],[Desde]],TableDailySummary[Fecha],"&lt;="&amp;TableMonthlySummary[[#This Row],[Hasta]])</f>
        <v>0</v>
      </c>
      <c r="I14" s="11">
        <f>SUMIFS(TableDailySummary[Online Store_net_sales],TableDailySummary[Fecha],"&gt;="&amp;TableMonthlySummary[[#This Row],[Desde]],TableDailySummary[Fecha],"&lt;="&amp;TableMonthlySummary[[#This Row],[Hasta]])</f>
        <v>0</v>
      </c>
      <c r="J14" s="11">
        <f>SUMIFS(TableDailySummary[Online Store_orders],TableDailySummary[Fecha],"&gt;="&amp;TableMonthlySummary[[#This Row],[Desde]],TableDailySummary[Fecha],"&lt;="&amp;TableMonthlySummary[[#This Row],[Hasta]])</f>
        <v>0</v>
      </c>
      <c r="K14" s="11">
        <f>SUMIFS(TableDailySummary[Tienda 81_net_sales],TableDailySummary[Fecha],"&gt;="&amp;TableMonthlySummary[[#This Row],[Desde]],TableDailySummary[Fecha],"&lt;="&amp;TableMonthlySummary[[#This Row],[Hasta]])</f>
        <v>0</v>
      </c>
      <c r="L14" s="11">
        <f>SUMIFS(TableDailySummary[Tienda 81_orders],TableDailySummary[Fecha],"&gt;="&amp;TableMonthlySummary[[#This Row],[Desde]],TableDailySummary[Fecha],"&lt;="&amp;TableMonthlySummary[[#This Row],[Hasta]])</f>
        <v>0</v>
      </c>
      <c r="M14" s="11">
        <f>SUMIFS(TableDailySummary[Rappi_net_sales],TableDailySummary[Fecha],"&gt;="&amp;TableMonthlySummary[[#This Row],[Desde]],TableDailySummary[Fecha],"&lt;="&amp;TableMonthlySummary[[#This Row],[Hasta]])</f>
        <v>0</v>
      </c>
      <c r="N14" s="11">
        <f>SUMIFS(TableDailySummary[Rappi_orders],TableDailySummary[Fecha],"&gt;="&amp;TableMonthlySummary[[#This Row],[Desde]],TableDailySummary[Fecha],"&lt;="&amp;TableMonthlySummary[[#This Row],[Hasta]])</f>
        <v>0</v>
      </c>
      <c r="O14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4" s="11">
        <f>SUMIFS(TableDailySummary[Corporativo no tienda_orders],TableDailySummary[Fecha],"&gt;="&amp;TableMonthlySummary[[#This Row],[Desde]],TableDailySummary[Fecha],"&lt;="&amp;TableMonthlySummary[[#This Row],[Hasta]])</f>
        <v>0</v>
      </c>
      <c r="Q14" s="11">
        <f>SUMIFS(TableDailySummary[Inversión google ads],TableDailySummary[Fecha],"&gt;="&amp;TableMonthlySummary[[#This Row],[Desde]],TableDailySummary[Fecha],"&lt;="&amp;TableMonthlySummary[[#This Row],[Hasta]])</f>
        <v>0</v>
      </c>
      <c r="R14" s="11">
        <f>SUMIFS(TableDailySummary[Ventas google ads],TableDailySummary[Fecha],"&gt;="&amp;TableMonthlySummary[[#This Row],[Desde]],TableDailySummary[Fecha],"&lt;="&amp;TableMonthlySummary[[#This Row],[Hasta]])</f>
        <v>0</v>
      </c>
      <c r="S14" s="11">
        <f>SUMIFS(TableDailySummary[Inversión meta ads],TableDailySummary[Fecha],"&gt;="&amp;TableMonthlySummary[[#This Row],[Desde]],TableDailySummary[Fecha],"&lt;="&amp;TableMonthlySummary[[#This Row],[Hasta]])</f>
        <v>0</v>
      </c>
      <c r="T14" s="11">
        <f>SUMIFS(TableDailySummary[Ventas meta ads],TableDailySummary[Fecha],"&gt;="&amp;TableMonthlySummary[[#This Row],[Desde]],TableDailySummary[Fecha],"&lt;="&amp;TableMonthlySummary[[#This Row],[Hasta]])</f>
        <v>0</v>
      </c>
      <c r="U14" s="11">
        <f>TableMonthlySummary[[#This Row],[Inversión google ads]]+TableMonthlySummary[[#This Row],[Inversión meta ads]]</f>
        <v>0</v>
      </c>
      <c r="V14" s="11">
        <f>TableMonthlySummary[[#This Row],[Ventas google ads]]+TableMonthlySummary[[#This Row],[Ventas meta ads]]</f>
        <v>0</v>
      </c>
      <c r="W14" s="14">
        <f>IFERROR(TableMonthlySummary[[#This Row],[Ventas publicidad]]/TableMonthlySummary[[#This Row],[Inversión publicidad]],0)</f>
        <v>0</v>
      </c>
      <c r="X14" s="14">
        <f>IFERROR(TableMonthlySummary[[#This Row],[Ventas primer cliente]]/TableMonthlySummary[[#This Row],[Inversión publicidad]],0)</f>
        <v>0</v>
      </c>
      <c r="Y14" s="14">
        <f>IFERROR(1/TableMonthlySummary[[#This Row],[Contribución %]],0)</f>
        <v>0</v>
      </c>
      <c r="Z14" s="14"/>
      <c r="AA14" s="11"/>
      <c r="AB14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4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4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4" s="11">
        <f>SUMIFS(AccountingReport[costs_fixed],AccountingReport[period],TableMonthlySummary[[#This Row],[Desde]])</f>
        <v>0</v>
      </c>
      <c r="AF14" s="17">
        <f>TableMonthlySummary[[#This Row],[Ventas netas totales]]-TableMonthlySummary[[#This Row],[Costos variables totales]]-TableMonthlySummary[[#This Row],[Costos fijos]]</f>
        <v>0</v>
      </c>
      <c r="AG14" s="18">
        <f>IFERROR(TableMonthlySummary[[#This Row],[Contribución $]] / TableMonthlySummary[[#This Row],[Ventas netas totales]],0)</f>
        <v>0</v>
      </c>
      <c r="AH14" s="11">
        <f>IFERROR(TableMonthlySummary[[#This Row],[Costos de publicidad totales]]/TableMonthlySummary[[#This Row],[Órdenes primer cliente]],0)</f>
        <v>0</v>
      </c>
      <c r="AI14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4" s="11">
        <f>SUMIFS(TableDailySummary[Costo de ventas registrado],TableDailySummary[Fecha],"&gt;="&amp;TableMonthlySummary[[#This Row],[Desde]],TableDailySummary[Fecha],"&lt;="&amp;TableMonthlySummary[[#This Row],[Hasta]])</f>
        <v>0</v>
      </c>
      <c r="AK14" s="11">
        <f>SUMIFS(TableDailySummary[Utilidad bruta],TableDailySummary[Fecha],"&gt;="&amp;TableMonthlySummary[[#This Row],[Desde]],TableDailySummary[Fecha],"&lt;="&amp;TableMonthlySummary[[#This Row],[Hasta]])</f>
        <v>0</v>
      </c>
      <c r="AL14" s="18">
        <f>IFERROR(TableMonthlySummary[[#This Row],[Utilidad bruta]]/TableMonthlySummary[[#This Row],[Ventas netas con costo registrado]],0)</f>
        <v>0</v>
      </c>
    </row>
    <row r="15" spans="2:38" x14ac:dyDescent="0.2">
      <c r="B15" s="16">
        <f>MONTH(TableMonthlySummary[[#This Row],[Hasta]])</f>
        <v>7</v>
      </c>
      <c r="C15" s="6">
        <f t="shared" si="0"/>
        <v>44747</v>
      </c>
      <c r="D15" s="6">
        <f>EOMONTH(TableMonthlySummary[[#This Row],[Desde]], 0)</f>
        <v>44773</v>
      </c>
      <c r="E15" s="11">
        <f>SUMIFS(TableDailySummary[Ventas netas totales],TableDailySummary[Fecha],"&gt;="&amp;TableMonthlySummary[[#This Row],[Desde]],TableDailySummary[Fecha],"&lt;="&amp;TableMonthlySummary[[#This Row],[Hasta]])</f>
        <v>0</v>
      </c>
      <c r="F15" s="11">
        <f>SUMIFS(TableDailySummary[Órdenes totales],TableDailySummary[Fecha],"&gt;="&amp;TableMonthlySummary[[#This Row],[Desde]],TableDailySummary[Fecha],"&lt;="&amp;TableMonthlySummary[[#This Row],[Hasta]])</f>
        <v>0</v>
      </c>
      <c r="G15" s="11">
        <f>SUMIFS(TableDailySummary[Ventas primer cliente],TableDailySummary[Fecha],"&gt;="&amp;TableMonthlySummary[[#This Row],[Desde]],TableDailySummary[Fecha],"&lt;="&amp;TableMonthlySummary[[#This Row],[Hasta]])</f>
        <v>0</v>
      </c>
      <c r="H15" s="11">
        <f>SUMIFS(TableDailySummary[Órdenes primer cliente],TableDailySummary[Fecha],"&gt;="&amp;TableMonthlySummary[[#This Row],[Desde]],TableDailySummary[Fecha],"&lt;="&amp;TableMonthlySummary[[#This Row],[Hasta]])</f>
        <v>0</v>
      </c>
      <c r="I15" s="11">
        <f>SUMIFS(TableDailySummary[Online Store_net_sales],TableDailySummary[Fecha],"&gt;="&amp;TableMonthlySummary[[#This Row],[Desde]],TableDailySummary[Fecha],"&lt;="&amp;TableMonthlySummary[[#This Row],[Hasta]])</f>
        <v>0</v>
      </c>
      <c r="J15" s="11">
        <f>SUMIFS(TableDailySummary[Online Store_orders],TableDailySummary[Fecha],"&gt;="&amp;TableMonthlySummary[[#This Row],[Desde]],TableDailySummary[Fecha],"&lt;="&amp;TableMonthlySummary[[#This Row],[Hasta]])</f>
        <v>0</v>
      </c>
      <c r="K15" s="11">
        <f>SUMIFS(TableDailySummary[Tienda 81_net_sales],TableDailySummary[Fecha],"&gt;="&amp;TableMonthlySummary[[#This Row],[Desde]],TableDailySummary[Fecha],"&lt;="&amp;TableMonthlySummary[[#This Row],[Hasta]])</f>
        <v>0</v>
      </c>
      <c r="L15" s="11">
        <f>SUMIFS(TableDailySummary[Tienda 81_orders],TableDailySummary[Fecha],"&gt;="&amp;TableMonthlySummary[[#This Row],[Desde]],TableDailySummary[Fecha],"&lt;="&amp;TableMonthlySummary[[#This Row],[Hasta]])</f>
        <v>0</v>
      </c>
      <c r="M15" s="11">
        <f>SUMIFS(TableDailySummary[Rappi_net_sales],TableDailySummary[Fecha],"&gt;="&amp;TableMonthlySummary[[#This Row],[Desde]],TableDailySummary[Fecha],"&lt;="&amp;TableMonthlySummary[[#This Row],[Hasta]])</f>
        <v>0</v>
      </c>
      <c r="N15" s="11">
        <f>SUMIFS(TableDailySummary[Rappi_orders],TableDailySummary[Fecha],"&gt;="&amp;TableMonthlySummary[[#This Row],[Desde]],TableDailySummary[Fecha],"&lt;="&amp;TableMonthlySummary[[#This Row],[Hasta]])</f>
        <v>0</v>
      </c>
      <c r="O15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5" s="11">
        <f>SUMIFS(TableDailySummary[Corporativo no tienda_orders],TableDailySummary[Fecha],"&gt;="&amp;TableMonthlySummary[[#This Row],[Desde]],TableDailySummary[Fecha],"&lt;="&amp;TableMonthlySummary[[#This Row],[Hasta]])</f>
        <v>0</v>
      </c>
      <c r="Q15" s="11">
        <f>SUMIFS(TableDailySummary[Inversión google ads],TableDailySummary[Fecha],"&gt;="&amp;TableMonthlySummary[[#This Row],[Desde]],TableDailySummary[Fecha],"&lt;="&amp;TableMonthlySummary[[#This Row],[Hasta]])</f>
        <v>0</v>
      </c>
      <c r="R15" s="11">
        <f>SUMIFS(TableDailySummary[Ventas google ads],TableDailySummary[Fecha],"&gt;="&amp;TableMonthlySummary[[#This Row],[Desde]],TableDailySummary[Fecha],"&lt;="&amp;TableMonthlySummary[[#This Row],[Hasta]])</f>
        <v>0</v>
      </c>
      <c r="S15" s="11">
        <f>SUMIFS(TableDailySummary[Inversión meta ads],TableDailySummary[Fecha],"&gt;="&amp;TableMonthlySummary[[#This Row],[Desde]],TableDailySummary[Fecha],"&lt;="&amp;TableMonthlySummary[[#This Row],[Hasta]])</f>
        <v>0</v>
      </c>
      <c r="T15" s="11">
        <f>SUMIFS(TableDailySummary[Ventas meta ads],TableDailySummary[Fecha],"&gt;="&amp;TableMonthlySummary[[#This Row],[Desde]],TableDailySummary[Fecha],"&lt;="&amp;TableMonthlySummary[[#This Row],[Hasta]])</f>
        <v>0</v>
      </c>
      <c r="U15" s="11">
        <f>TableMonthlySummary[[#This Row],[Inversión google ads]]+TableMonthlySummary[[#This Row],[Inversión meta ads]]</f>
        <v>0</v>
      </c>
      <c r="V15" s="11">
        <f>TableMonthlySummary[[#This Row],[Ventas google ads]]+TableMonthlySummary[[#This Row],[Ventas meta ads]]</f>
        <v>0</v>
      </c>
      <c r="W15" s="14">
        <f>IFERROR(TableMonthlySummary[[#This Row],[Ventas publicidad]]/TableMonthlySummary[[#This Row],[Inversión publicidad]],0)</f>
        <v>0</v>
      </c>
      <c r="X15" s="14">
        <f>IFERROR(TableMonthlySummary[[#This Row],[Ventas primer cliente]]/TableMonthlySummary[[#This Row],[Inversión publicidad]],0)</f>
        <v>0</v>
      </c>
      <c r="Y15" s="14">
        <f>IFERROR(1/TableMonthlySummary[[#This Row],[Contribución %]],0)</f>
        <v>0</v>
      </c>
      <c r="Z15" s="14"/>
      <c r="AA15" s="11"/>
      <c r="AB15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5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5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5" s="11">
        <f>SUMIFS(AccountingReport[costs_fixed],AccountingReport[period],TableMonthlySummary[[#This Row],[Desde]])</f>
        <v>0</v>
      </c>
      <c r="AF15" s="17">
        <f>TableMonthlySummary[[#This Row],[Ventas netas totales]]-TableMonthlySummary[[#This Row],[Costos variables totales]]-TableMonthlySummary[[#This Row],[Costos fijos]]</f>
        <v>0</v>
      </c>
      <c r="AG15" s="18">
        <f>IFERROR(TableMonthlySummary[[#This Row],[Contribución $]] / TableMonthlySummary[[#This Row],[Ventas netas totales]],0)</f>
        <v>0</v>
      </c>
      <c r="AH15" s="11">
        <f>IFERROR(TableMonthlySummary[[#This Row],[Costos de publicidad totales]]/TableMonthlySummary[[#This Row],[Órdenes primer cliente]],0)</f>
        <v>0</v>
      </c>
      <c r="AI15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5" s="11">
        <f>SUMIFS(TableDailySummary[Costo de ventas registrado],TableDailySummary[Fecha],"&gt;="&amp;TableMonthlySummary[[#This Row],[Desde]],TableDailySummary[Fecha],"&lt;="&amp;TableMonthlySummary[[#This Row],[Hasta]])</f>
        <v>0</v>
      </c>
      <c r="AK15" s="11">
        <f>SUMIFS(TableDailySummary[Utilidad bruta],TableDailySummary[Fecha],"&gt;="&amp;TableMonthlySummary[[#This Row],[Desde]],TableDailySummary[Fecha],"&lt;="&amp;TableMonthlySummary[[#This Row],[Hasta]])</f>
        <v>0</v>
      </c>
      <c r="AL15" s="18">
        <f>IFERROR(TableMonthlySummary[[#This Row],[Utilidad bruta]]/TableMonthlySummary[[#This Row],[Ventas netas con costo registrado]],0)</f>
        <v>0</v>
      </c>
    </row>
    <row r="16" spans="2:38" x14ac:dyDescent="0.2">
      <c r="B16" s="16">
        <f>MONTH(TableMonthlySummary[[#This Row],[Hasta]])</f>
        <v>8</v>
      </c>
      <c r="C16" s="6">
        <f t="shared" si="0"/>
        <v>44778</v>
      </c>
      <c r="D16" s="6">
        <f>EOMONTH(TableMonthlySummary[[#This Row],[Desde]], 0)</f>
        <v>44804</v>
      </c>
      <c r="E16" s="11">
        <f>SUMIFS(TableDailySummary[Ventas netas totales],TableDailySummary[Fecha],"&gt;="&amp;TableMonthlySummary[[#This Row],[Desde]],TableDailySummary[Fecha],"&lt;="&amp;TableMonthlySummary[[#This Row],[Hasta]])</f>
        <v>0</v>
      </c>
      <c r="F16" s="11">
        <f>SUMIFS(TableDailySummary[Órdenes totales],TableDailySummary[Fecha],"&gt;="&amp;TableMonthlySummary[[#This Row],[Desde]],TableDailySummary[Fecha],"&lt;="&amp;TableMonthlySummary[[#This Row],[Hasta]])</f>
        <v>0</v>
      </c>
      <c r="G16" s="11">
        <f>SUMIFS(TableDailySummary[Ventas primer cliente],TableDailySummary[Fecha],"&gt;="&amp;TableMonthlySummary[[#This Row],[Desde]],TableDailySummary[Fecha],"&lt;="&amp;TableMonthlySummary[[#This Row],[Hasta]])</f>
        <v>0</v>
      </c>
      <c r="H16" s="11">
        <f>SUMIFS(TableDailySummary[Órdenes primer cliente],TableDailySummary[Fecha],"&gt;="&amp;TableMonthlySummary[[#This Row],[Desde]],TableDailySummary[Fecha],"&lt;="&amp;TableMonthlySummary[[#This Row],[Hasta]])</f>
        <v>0</v>
      </c>
      <c r="I16" s="11">
        <f>SUMIFS(TableDailySummary[Online Store_net_sales],TableDailySummary[Fecha],"&gt;="&amp;TableMonthlySummary[[#This Row],[Desde]],TableDailySummary[Fecha],"&lt;="&amp;TableMonthlySummary[[#This Row],[Hasta]])</f>
        <v>0</v>
      </c>
      <c r="J16" s="11">
        <f>SUMIFS(TableDailySummary[Online Store_orders],TableDailySummary[Fecha],"&gt;="&amp;TableMonthlySummary[[#This Row],[Desde]],TableDailySummary[Fecha],"&lt;="&amp;TableMonthlySummary[[#This Row],[Hasta]])</f>
        <v>0</v>
      </c>
      <c r="K16" s="11">
        <f>SUMIFS(TableDailySummary[Tienda 81_net_sales],TableDailySummary[Fecha],"&gt;="&amp;TableMonthlySummary[[#This Row],[Desde]],TableDailySummary[Fecha],"&lt;="&amp;TableMonthlySummary[[#This Row],[Hasta]])</f>
        <v>0</v>
      </c>
      <c r="L16" s="11">
        <f>SUMIFS(TableDailySummary[Tienda 81_orders],TableDailySummary[Fecha],"&gt;="&amp;TableMonthlySummary[[#This Row],[Desde]],TableDailySummary[Fecha],"&lt;="&amp;TableMonthlySummary[[#This Row],[Hasta]])</f>
        <v>0</v>
      </c>
      <c r="M16" s="11">
        <f>SUMIFS(TableDailySummary[Rappi_net_sales],TableDailySummary[Fecha],"&gt;="&amp;TableMonthlySummary[[#This Row],[Desde]],TableDailySummary[Fecha],"&lt;="&amp;TableMonthlySummary[[#This Row],[Hasta]])</f>
        <v>0</v>
      </c>
      <c r="N16" s="11">
        <f>SUMIFS(TableDailySummary[Rappi_orders],TableDailySummary[Fecha],"&gt;="&amp;TableMonthlySummary[[#This Row],[Desde]],TableDailySummary[Fecha],"&lt;="&amp;TableMonthlySummary[[#This Row],[Hasta]])</f>
        <v>0</v>
      </c>
      <c r="O16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6" s="11">
        <f>SUMIFS(TableDailySummary[Corporativo no tienda_orders],TableDailySummary[Fecha],"&gt;="&amp;TableMonthlySummary[[#This Row],[Desde]],TableDailySummary[Fecha],"&lt;="&amp;TableMonthlySummary[[#This Row],[Hasta]])</f>
        <v>0</v>
      </c>
      <c r="Q16" s="11">
        <f>SUMIFS(TableDailySummary[Inversión google ads],TableDailySummary[Fecha],"&gt;="&amp;TableMonthlySummary[[#This Row],[Desde]],TableDailySummary[Fecha],"&lt;="&amp;TableMonthlySummary[[#This Row],[Hasta]])</f>
        <v>0</v>
      </c>
      <c r="R16" s="11">
        <f>SUMIFS(TableDailySummary[Ventas google ads],TableDailySummary[Fecha],"&gt;="&amp;TableMonthlySummary[[#This Row],[Desde]],TableDailySummary[Fecha],"&lt;="&amp;TableMonthlySummary[[#This Row],[Hasta]])</f>
        <v>0</v>
      </c>
      <c r="S16" s="11">
        <f>SUMIFS(TableDailySummary[Inversión meta ads],TableDailySummary[Fecha],"&gt;="&amp;TableMonthlySummary[[#This Row],[Desde]],TableDailySummary[Fecha],"&lt;="&amp;TableMonthlySummary[[#This Row],[Hasta]])</f>
        <v>0</v>
      </c>
      <c r="T16" s="11">
        <f>SUMIFS(TableDailySummary[Ventas meta ads],TableDailySummary[Fecha],"&gt;="&amp;TableMonthlySummary[[#This Row],[Desde]],TableDailySummary[Fecha],"&lt;="&amp;TableMonthlySummary[[#This Row],[Hasta]])</f>
        <v>0</v>
      </c>
      <c r="U16" s="11">
        <f>TableMonthlySummary[[#This Row],[Inversión google ads]]+TableMonthlySummary[[#This Row],[Inversión meta ads]]</f>
        <v>0</v>
      </c>
      <c r="V16" s="11">
        <f>TableMonthlySummary[[#This Row],[Ventas google ads]]+TableMonthlySummary[[#This Row],[Ventas meta ads]]</f>
        <v>0</v>
      </c>
      <c r="W16" s="14">
        <f>IFERROR(TableMonthlySummary[[#This Row],[Ventas publicidad]]/TableMonthlySummary[[#This Row],[Inversión publicidad]],0)</f>
        <v>0</v>
      </c>
      <c r="X16" s="14">
        <f>IFERROR(TableMonthlySummary[[#This Row],[Ventas primer cliente]]/TableMonthlySummary[[#This Row],[Inversión publicidad]],0)</f>
        <v>0</v>
      </c>
      <c r="Y16" s="14">
        <f>IFERROR(1/TableMonthlySummary[[#This Row],[Contribución %]],0)</f>
        <v>0</v>
      </c>
      <c r="Z16" s="14"/>
      <c r="AA16" s="11"/>
      <c r="AB16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6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6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6" s="11">
        <f>SUMIFS(AccountingReport[costs_fixed],AccountingReport[period],TableMonthlySummary[[#This Row],[Desde]])</f>
        <v>0</v>
      </c>
      <c r="AF16" s="17">
        <f>TableMonthlySummary[[#This Row],[Ventas netas totales]]-TableMonthlySummary[[#This Row],[Costos variables totales]]-TableMonthlySummary[[#This Row],[Costos fijos]]</f>
        <v>0</v>
      </c>
      <c r="AG16" s="18">
        <f>IFERROR(TableMonthlySummary[[#This Row],[Contribución $]] / TableMonthlySummary[[#This Row],[Ventas netas totales]],0)</f>
        <v>0</v>
      </c>
      <c r="AH16" s="11">
        <f>IFERROR(TableMonthlySummary[[#This Row],[Costos de publicidad totales]]/TableMonthlySummary[[#This Row],[Órdenes primer cliente]],0)</f>
        <v>0</v>
      </c>
      <c r="AI16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6" s="11">
        <f>SUMIFS(TableDailySummary[Costo de ventas registrado],TableDailySummary[Fecha],"&gt;="&amp;TableMonthlySummary[[#This Row],[Desde]],TableDailySummary[Fecha],"&lt;="&amp;TableMonthlySummary[[#This Row],[Hasta]])</f>
        <v>0</v>
      </c>
      <c r="AK16" s="11">
        <f>SUMIFS(TableDailySummary[Utilidad bruta],TableDailySummary[Fecha],"&gt;="&amp;TableMonthlySummary[[#This Row],[Desde]],TableDailySummary[Fecha],"&lt;="&amp;TableMonthlySummary[[#This Row],[Hasta]])</f>
        <v>0</v>
      </c>
      <c r="AL16" s="18">
        <f>IFERROR(TableMonthlySummary[[#This Row],[Utilidad bruta]]/TableMonthlySummary[[#This Row],[Ventas netas con costo registrado]],0)</f>
        <v>0</v>
      </c>
    </row>
    <row r="17" spans="2:38" x14ac:dyDescent="0.2">
      <c r="B17" s="16">
        <f>MONTH(TableMonthlySummary[[#This Row],[Hasta]])</f>
        <v>9</v>
      </c>
      <c r="C17" s="6">
        <f t="shared" si="0"/>
        <v>44809</v>
      </c>
      <c r="D17" s="6">
        <f>EOMONTH(TableMonthlySummary[[#This Row],[Desde]], 0)</f>
        <v>44834</v>
      </c>
      <c r="E17" s="11">
        <f>SUMIFS(TableDailySummary[Ventas netas totales],TableDailySummary[Fecha],"&gt;="&amp;TableMonthlySummary[[#This Row],[Desde]],TableDailySummary[Fecha],"&lt;="&amp;TableMonthlySummary[[#This Row],[Hasta]])</f>
        <v>0</v>
      </c>
      <c r="F17" s="11">
        <f>SUMIFS(TableDailySummary[Órdenes totales],TableDailySummary[Fecha],"&gt;="&amp;TableMonthlySummary[[#This Row],[Desde]],TableDailySummary[Fecha],"&lt;="&amp;TableMonthlySummary[[#This Row],[Hasta]])</f>
        <v>0</v>
      </c>
      <c r="G17" s="11">
        <f>SUMIFS(TableDailySummary[Ventas primer cliente],TableDailySummary[Fecha],"&gt;="&amp;TableMonthlySummary[[#This Row],[Desde]],TableDailySummary[Fecha],"&lt;="&amp;TableMonthlySummary[[#This Row],[Hasta]])</f>
        <v>0</v>
      </c>
      <c r="H17" s="11">
        <f>SUMIFS(TableDailySummary[Órdenes primer cliente],TableDailySummary[Fecha],"&gt;="&amp;TableMonthlySummary[[#This Row],[Desde]],TableDailySummary[Fecha],"&lt;="&amp;TableMonthlySummary[[#This Row],[Hasta]])</f>
        <v>0</v>
      </c>
      <c r="I17" s="11">
        <f>SUMIFS(TableDailySummary[Online Store_net_sales],TableDailySummary[Fecha],"&gt;="&amp;TableMonthlySummary[[#This Row],[Desde]],TableDailySummary[Fecha],"&lt;="&amp;TableMonthlySummary[[#This Row],[Hasta]])</f>
        <v>0</v>
      </c>
      <c r="J17" s="11">
        <f>SUMIFS(TableDailySummary[Online Store_orders],TableDailySummary[Fecha],"&gt;="&amp;TableMonthlySummary[[#This Row],[Desde]],TableDailySummary[Fecha],"&lt;="&amp;TableMonthlySummary[[#This Row],[Hasta]])</f>
        <v>0</v>
      </c>
      <c r="K17" s="11">
        <f>SUMIFS(TableDailySummary[Tienda 81_net_sales],TableDailySummary[Fecha],"&gt;="&amp;TableMonthlySummary[[#This Row],[Desde]],TableDailySummary[Fecha],"&lt;="&amp;TableMonthlySummary[[#This Row],[Hasta]])</f>
        <v>0</v>
      </c>
      <c r="L17" s="11">
        <f>SUMIFS(TableDailySummary[Tienda 81_orders],TableDailySummary[Fecha],"&gt;="&amp;TableMonthlySummary[[#This Row],[Desde]],TableDailySummary[Fecha],"&lt;="&amp;TableMonthlySummary[[#This Row],[Hasta]])</f>
        <v>0</v>
      </c>
      <c r="M17" s="11">
        <f>SUMIFS(TableDailySummary[Rappi_net_sales],TableDailySummary[Fecha],"&gt;="&amp;TableMonthlySummary[[#This Row],[Desde]],TableDailySummary[Fecha],"&lt;="&amp;TableMonthlySummary[[#This Row],[Hasta]])</f>
        <v>0</v>
      </c>
      <c r="N17" s="11">
        <f>SUMIFS(TableDailySummary[Rappi_orders],TableDailySummary[Fecha],"&gt;="&amp;TableMonthlySummary[[#This Row],[Desde]],TableDailySummary[Fecha],"&lt;="&amp;TableMonthlySummary[[#This Row],[Hasta]])</f>
        <v>0</v>
      </c>
      <c r="O17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7" s="11">
        <f>SUMIFS(TableDailySummary[Corporativo no tienda_orders],TableDailySummary[Fecha],"&gt;="&amp;TableMonthlySummary[[#This Row],[Desde]],TableDailySummary[Fecha],"&lt;="&amp;TableMonthlySummary[[#This Row],[Hasta]])</f>
        <v>0</v>
      </c>
      <c r="Q17" s="11">
        <f>SUMIFS(TableDailySummary[Inversión google ads],TableDailySummary[Fecha],"&gt;="&amp;TableMonthlySummary[[#This Row],[Desde]],TableDailySummary[Fecha],"&lt;="&amp;TableMonthlySummary[[#This Row],[Hasta]])</f>
        <v>0</v>
      </c>
      <c r="R17" s="11">
        <f>SUMIFS(TableDailySummary[Ventas google ads],TableDailySummary[Fecha],"&gt;="&amp;TableMonthlySummary[[#This Row],[Desde]],TableDailySummary[Fecha],"&lt;="&amp;TableMonthlySummary[[#This Row],[Hasta]])</f>
        <v>0</v>
      </c>
      <c r="S17" s="11">
        <f>SUMIFS(TableDailySummary[Inversión meta ads],TableDailySummary[Fecha],"&gt;="&amp;TableMonthlySummary[[#This Row],[Desde]],TableDailySummary[Fecha],"&lt;="&amp;TableMonthlySummary[[#This Row],[Hasta]])</f>
        <v>0</v>
      </c>
      <c r="T17" s="11">
        <f>SUMIFS(TableDailySummary[Ventas meta ads],TableDailySummary[Fecha],"&gt;="&amp;TableMonthlySummary[[#This Row],[Desde]],TableDailySummary[Fecha],"&lt;="&amp;TableMonthlySummary[[#This Row],[Hasta]])</f>
        <v>0</v>
      </c>
      <c r="U17" s="11">
        <f>TableMonthlySummary[[#This Row],[Inversión google ads]]+TableMonthlySummary[[#This Row],[Inversión meta ads]]</f>
        <v>0</v>
      </c>
      <c r="V17" s="11">
        <f>TableMonthlySummary[[#This Row],[Ventas google ads]]+TableMonthlySummary[[#This Row],[Ventas meta ads]]</f>
        <v>0</v>
      </c>
      <c r="W17" s="14">
        <f>IFERROR(TableMonthlySummary[[#This Row],[Ventas publicidad]]/TableMonthlySummary[[#This Row],[Inversión publicidad]],0)</f>
        <v>0</v>
      </c>
      <c r="X17" s="14">
        <f>IFERROR(TableMonthlySummary[[#This Row],[Ventas primer cliente]]/TableMonthlySummary[[#This Row],[Inversión publicidad]],0)</f>
        <v>0</v>
      </c>
      <c r="Y17" s="14">
        <f>IFERROR(1/TableMonthlySummary[[#This Row],[Contribución %]],0)</f>
        <v>0</v>
      </c>
      <c r="Z17" s="14"/>
      <c r="AA17" s="11"/>
      <c r="AB17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7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7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7" s="11">
        <f>SUMIFS(AccountingReport[costs_fixed],AccountingReport[period],TableMonthlySummary[[#This Row],[Desde]])</f>
        <v>0</v>
      </c>
      <c r="AF17" s="17">
        <f>TableMonthlySummary[[#This Row],[Ventas netas totales]]-TableMonthlySummary[[#This Row],[Costos variables totales]]-TableMonthlySummary[[#This Row],[Costos fijos]]</f>
        <v>0</v>
      </c>
      <c r="AG17" s="18">
        <f>IFERROR(TableMonthlySummary[[#This Row],[Contribución $]] / TableMonthlySummary[[#This Row],[Ventas netas totales]],0)</f>
        <v>0</v>
      </c>
      <c r="AH17" s="11">
        <f>IFERROR(TableMonthlySummary[[#This Row],[Costos de publicidad totales]]/TableMonthlySummary[[#This Row],[Órdenes primer cliente]],0)</f>
        <v>0</v>
      </c>
      <c r="AI17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7" s="11">
        <f>SUMIFS(TableDailySummary[Costo de ventas registrado],TableDailySummary[Fecha],"&gt;="&amp;TableMonthlySummary[[#This Row],[Desde]],TableDailySummary[Fecha],"&lt;="&amp;TableMonthlySummary[[#This Row],[Hasta]])</f>
        <v>0</v>
      </c>
      <c r="AK17" s="11">
        <f>SUMIFS(TableDailySummary[Utilidad bruta],TableDailySummary[Fecha],"&gt;="&amp;TableMonthlySummary[[#This Row],[Desde]],TableDailySummary[Fecha],"&lt;="&amp;TableMonthlySummary[[#This Row],[Hasta]])</f>
        <v>0</v>
      </c>
      <c r="AL17" s="18">
        <f>IFERROR(TableMonthlySummary[[#This Row],[Utilidad bruta]]/TableMonthlySummary[[#This Row],[Ventas netas con costo registrado]],0)</f>
        <v>0</v>
      </c>
    </row>
    <row r="18" spans="2:38" x14ac:dyDescent="0.2">
      <c r="B18" s="16">
        <f>MONTH(TableMonthlySummary[[#This Row],[Hasta]])</f>
        <v>10</v>
      </c>
      <c r="C18" s="6">
        <f t="shared" si="0"/>
        <v>44839</v>
      </c>
      <c r="D18" s="6">
        <f>EOMONTH(TableMonthlySummary[[#This Row],[Desde]], 0)</f>
        <v>44865</v>
      </c>
      <c r="E18" s="11">
        <f>SUMIFS(TableDailySummary[Ventas netas totales],TableDailySummary[Fecha],"&gt;="&amp;TableMonthlySummary[[#This Row],[Desde]],TableDailySummary[Fecha],"&lt;="&amp;TableMonthlySummary[[#This Row],[Hasta]])</f>
        <v>0</v>
      </c>
      <c r="F18" s="11">
        <f>SUMIFS(TableDailySummary[Órdenes totales],TableDailySummary[Fecha],"&gt;="&amp;TableMonthlySummary[[#This Row],[Desde]],TableDailySummary[Fecha],"&lt;="&amp;TableMonthlySummary[[#This Row],[Hasta]])</f>
        <v>0</v>
      </c>
      <c r="G18" s="11">
        <f>SUMIFS(TableDailySummary[Ventas primer cliente],TableDailySummary[Fecha],"&gt;="&amp;TableMonthlySummary[[#This Row],[Desde]],TableDailySummary[Fecha],"&lt;="&amp;TableMonthlySummary[[#This Row],[Hasta]])</f>
        <v>0</v>
      </c>
      <c r="H18" s="11">
        <f>SUMIFS(TableDailySummary[Órdenes primer cliente],TableDailySummary[Fecha],"&gt;="&amp;TableMonthlySummary[[#This Row],[Desde]],TableDailySummary[Fecha],"&lt;="&amp;TableMonthlySummary[[#This Row],[Hasta]])</f>
        <v>0</v>
      </c>
      <c r="I18" s="11">
        <f>SUMIFS(TableDailySummary[Online Store_net_sales],TableDailySummary[Fecha],"&gt;="&amp;TableMonthlySummary[[#This Row],[Desde]],TableDailySummary[Fecha],"&lt;="&amp;TableMonthlySummary[[#This Row],[Hasta]])</f>
        <v>0</v>
      </c>
      <c r="J18" s="11">
        <f>SUMIFS(TableDailySummary[Online Store_orders],TableDailySummary[Fecha],"&gt;="&amp;TableMonthlySummary[[#This Row],[Desde]],TableDailySummary[Fecha],"&lt;="&amp;TableMonthlySummary[[#This Row],[Hasta]])</f>
        <v>0</v>
      </c>
      <c r="K18" s="11">
        <f>SUMIFS(TableDailySummary[Tienda 81_net_sales],TableDailySummary[Fecha],"&gt;="&amp;TableMonthlySummary[[#This Row],[Desde]],TableDailySummary[Fecha],"&lt;="&amp;TableMonthlySummary[[#This Row],[Hasta]])</f>
        <v>0</v>
      </c>
      <c r="L18" s="11">
        <f>SUMIFS(TableDailySummary[Tienda 81_orders],TableDailySummary[Fecha],"&gt;="&amp;TableMonthlySummary[[#This Row],[Desde]],TableDailySummary[Fecha],"&lt;="&amp;TableMonthlySummary[[#This Row],[Hasta]])</f>
        <v>0</v>
      </c>
      <c r="M18" s="11">
        <f>SUMIFS(TableDailySummary[Rappi_net_sales],TableDailySummary[Fecha],"&gt;="&amp;TableMonthlySummary[[#This Row],[Desde]],TableDailySummary[Fecha],"&lt;="&amp;TableMonthlySummary[[#This Row],[Hasta]])</f>
        <v>0</v>
      </c>
      <c r="N18" s="11">
        <f>SUMIFS(TableDailySummary[Rappi_orders],TableDailySummary[Fecha],"&gt;="&amp;TableMonthlySummary[[#This Row],[Desde]],TableDailySummary[Fecha],"&lt;="&amp;TableMonthlySummary[[#This Row],[Hasta]])</f>
        <v>0</v>
      </c>
      <c r="O18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8" s="11">
        <f>SUMIFS(TableDailySummary[Corporativo no tienda_orders],TableDailySummary[Fecha],"&gt;="&amp;TableMonthlySummary[[#This Row],[Desde]],TableDailySummary[Fecha],"&lt;="&amp;TableMonthlySummary[[#This Row],[Hasta]])</f>
        <v>0</v>
      </c>
      <c r="Q18" s="11">
        <f>SUMIFS(TableDailySummary[Inversión google ads],TableDailySummary[Fecha],"&gt;="&amp;TableMonthlySummary[[#This Row],[Desde]],TableDailySummary[Fecha],"&lt;="&amp;TableMonthlySummary[[#This Row],[Hasta]])</f>
        <v>0</v>
      </c>
      <c r="R18" s="11">
        <f>SUMIFS(TableDailySummary[Ventas google ads],TableDailySummary[Fecha],"&gt;="&amp;TableMonthlySummary[[#This Row],[Desde]],TableDailySummary[Fecha],"&lt;="&amp;TableMonthlySummary[[#This Row],[Hasta]])</f>
        <v>0</v>
      </c>
      <c r="S18" s="11">
        <f>SUMIFS(TableDailySummary[Inversión meta ads],TableDailySummary[Fecha],"&gt;="&amp;TableMonthlySummary[[#This Row],[Desde]],TableDailySummary[Fecha],"&lt;="&amp;TableMonthlySummary[[#This Row],[Hasta]])</f>
        <v>0</v>
      </c>
      <c r="T18" s="11">
        <f>SUMIFS(TableDailySummary[Ventas meta ads],TableDailySummary[Fecha],"&gt;="&amp;TableMonthlySummary[[#This Row],[Desde]],TableDailySummary[Fecha],"&lt;="&amp;TableMonthlySummary[[#This Row],[Hasta]])</f>
        <v>0</v>
      </c>
      <c r="U18" s="11">
        <f>TableMonthlySummary[[#This Row],[Inversión google ads]]+TableMonthlySummary[[#This Row],[Inversión meta ads]]</f>
        <v>0</v>
      </c>
      <c r="V18" s="11">
        <f>TableMonthlySummary[[#This Row],[Ventas google ads]]+TableMonthlySummary[[#This Row],[Ventas meta ads]]</f>
        <v>0</v>
      </c>
      <c r="W18" s="14">
        <f>IFERROR(TableMonthlySummary[[#This Row],[Ventas publicidad]]/TableMonthlySummary[[#This Row],[Inversión publicidad]],0)</f>
        <v>0</v>
      </c>
      <c r="X18" s="14">
        <f>IFERROR(TableMonthlySummary[[#This Row],[Ventas primer cliente]]/TableMonthlySummary[[#This Row],[Inversión publicidad]],0)</f>
        <v>0</v>
      </c>
      <c r="Y18" s="14">
        <f>IFERROR(1/TableMonthlySummary[[#This Row],[Contribución %]],0)</f>
        <v>0</v>
      </c>
      <c r="Z18" s="14"/>
      <c r="AA18" s="11"/>
      <c r="AB18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8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8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8" s="11">
        <f>SUMIFS(AccountingReport[costs_fixed],AccountingReport[period],TableMonthlySummary[[#This Row],[Desde]])</f>
        <v>0</v>
      </c>
      <c r="AF18" s="17">
        <f>TableMonthlySummary[[#This Row],[Ventas netas totales]]-TableMonthlySummary[[#This Row],[Costos variables totales]]-TableMonthlySummary[[#This Row],[Costos fijos]]</f>
        <v>0</v>
      </c>
      <c r="AG18" s="18">
        <f>IFERROR(TableMonthlySummary[[#This Row],[Contribución $]] / TableMonthlySummary[[#This Row],[Ventas netas totales]],0)</f>
        <v>0</v>
      </c>
      <c r="AH18" s="11">
        <f>IFERROR(TableMonthlySummary[[#This Row],[Costos de publicidad totales]]/TableMonthlySummary[[#This Row],[Órdenes primer cliente]],0)</f>
        <v>0</v>
      </c>
      <c r="AI18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8" s="11">
        <f>SUMIFS(TableDailySummary[Costo de ventas registrado],TableDailySummary[Fecha],"&gt;="&amp;TableMonthlySummary[[#This Row],[Desde]],TableDailySummary[Fecha],"&lt;="&amp;TableMonthlySummary[[#This Row],[Hasta]])</f>
        <v>0</v>
      </c>
      <c r="AK18" s="11">
        <f>SUMIFS(TableDailySummary[Utilidad bruta],TableDailySummary[Fecha],"&gt;="&amp;TableMonthlySummary[[#This Row],[Desde]],TableDailySummary[Fecha],"&lt;="&amp;TableMonthlySummary[[#This Row],[Hasta]])</f>
        <v>0</v>
      </c>
      <c r="AL18" s="18">
        <f>IFERROR(TableMonthlySummary[[#This Row],[Utilidad bruta]]/TableMonthlySummary[[#This Row],[Ventas netas con costo registrado]],0)</f>
        <v>0</v>
      </c>
    </row>
    <row r="19" spans="2:38" x14ac:dyDescent="0.2">
      <c r="B19" s="16">
        <f>MONTH(TableMonthlySummary[[#This Row],[Hasta]])</f>
        <v>11</v>
      </c>
      <c r="C19" s="6">
        <f t="shared" si="0"/>
        <v>44870</v>
      </c>
      <c r="D19" s="6">
        <f>EOMONTH(TableMonthlySummary[[#This Row],[Desde]], 0)</f>
        <v>44895</v>
      </c>
      <c r="E19" s="11">
        <f>SUMIFS(TableDailySummary[Ventas netas totales],TableDailySummary[Fecha],"&gt;="&amp;TableMonthlySummary[[#This Row],[Desde]],TableDailySummary[Fecha],"&lt;="&amp;TableMonthlySummary[[#This Row],[Hasta]])</f>
        <v>0</v>
      </c>
      <c r="F19" s="11">
        <f>SUMIFS(TableDailySummary[Órdenes totales],TableDailySummary[Fecha],"&gt;="&amp;TableMonthlySummary[[#This Row],[Desde]],TableDailySummary[Fecha],"&lt;="&amp;TableMonthlySummary[[#This Row],[Hasta]])</f>
        <v>0</v>
      </c>
      <c r="G19" s="11">
        <f>SUMIFS(TableDailySummary[Ventas primer cliente],TableDailySummary[Fecha],"&gt;="&amp;TableMonthlySummary[[#This Row],[Desde]],TableDailySummary[Fecha],"&lt;="&amp;TableMonthlySummary[[#This Row],[Hasta]])</f>
        <v>0</v>
      </c>
      <c r="H19" s="11">
        <f>SUMIFS(TableDailySummary[Órdenes primer cliente],TableDailySummary[Fecha],"&gt;="&amp;TableMonthlySummary[[#This Row],[Desde]],TableDailySummary[Fecha],"&lt;="&amp;TableMonthlySummary[[#This Row],[Hasta]])</f>
        <v>0</v>
      </c>
      <c r="I19" s="11">
        <f>SUMIFS(TableDailySummary[Online Store_net_sales],TableDailySummary[Fecha],"&gt;="&amp;TableMonthlySummary[[#This Row],[Desde]],TableDailySummary[Fecha],"&lt;="&amp;TableMonthlySummary[[#This Row],[Hasta]])</f>
        <v>0</v>
      </c>
      <c r="J19" s="11">
        <f>SUMIFS(TableDailySummary[Online Store_orders],TableDailySummary[Fecha],"&gt;="&amp;TableMonthlySummary[[#This Row],[Desde]],TableDailySummary[Fecha],"&lt;="&amp;TableMonthlySummary[[#This Row],[Hasta]])</f>
        <v>0</v>
      </c>
      <c r="K19" s="11">
        <f>SUMIFS(TableDailySummary[Tienda 81_net_sales],TableDailySummary[Fecha],"&gt;="&amp;TableMonthlySummary[[#This Row],[Desde]],TableDailySummary[Fecha],"&lt;="&amp;TableMonthlySummary[[#This Row],[Hasta]])</f>
        <v>0</v>
      </c>
      <c r="L19" s="11">
        <f>SUMIFS(TableDailySummary[Tienda 81_orders],TableDailySummary[Fecha],"&gt;="&amp;TableMonthlySummary[[#This Row],[Desde]],TableDailySummary[Fecha],"&lt;="&amp;TableMonthlySummary[[#This Row],[Hasta]])</f>
        <v>0</v>
      </c>
      <c r="M19" s="11">
        <f>SUMIFS(TableDailySummary[Rappi_net_sales],TableDailySummary[Fecha],"&gt;="&amp;TableMonthlySummary[[#This Row],[Desde]],TableDailySummary[Fecha],"&lt;="&amp;TableMonthlySummary[[#This Row],[Hasta]])</f>
        <v>0</v>
      </c>
      <c r="N19" s="11">
        <f>SUMIFS(TableDailySummary[Rappi_orders],TableDailySummary[Fecha],"&gt;="&amp;TableMonthlySummary[[#This Row],[Desde]],TableDailySummary[Fecha],"&lt;="&amp;TableMonthlySummary[[#This Row],[Hasta]])</f>
        <v>0</v>
      </c>
      <c r="O19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19" s="11">
        <f>SUMIFS(TableDailySummary[Corporativo no tienda_orders],TableDailySummary[Fecha],"&gt;="&amp;TableMonthlySummary[[#This Row],[Desde]],TableDailySummary[Fecha],"&lt;="&amp;TableMonthlySummary[[#This Row],[Hasta]])</f>
        <v>0</v>
      </c>
      <c r="Q19" s="11">
        <f>SUMIFS(TableDailySummary[Inversión google ads],TableDailySummary[Fecha],"&gt;="&amp;TableMonthlySummary[[#This Row],[Desde]],TableDailySummary[Fecha],"&lt;="&amp;TableMonthlySummary[[#This Row],[Hasta]])</f>
        <v>0</v>
      </c>
      <c r="R19" s="11">
        <f>SUMIFS(TableDailySummary[Ventas google ads],TableDailySummary[Fecha],"&gt;="&amp;TableMonthlySummary[[#This Row],[Desde]],TableDailySummary[Fecha],"&lt;="&amp;TableMonthlySummary[[#This Row],[Hasta]])</f>
        <v>0</v>
      </c>
      <c r="S19" s="11">
        <f>SUMIFS(TableDailySummary[Inversión meta ads],TableDailySummary[Fecha],"&gt;="&amp;TableMonthlySummary[[#This Row],[Desde]],TableDailySummary[Fecha],"&lt;="&amp;TableMonthlySummary[[#This Row],[Hasta]])</f>
        <v>0</v>
      </c>
      <c r="T19" s="11">
        <f>SUMIFS(TableDailySummary[Ventas meta ads],TableDailySummary[Fecha],"&gt;="&amp;TableMonthlySummary[[#This Row],[Desde]],TableDailySummary[Fecha],"&lt;="&amp;TableMonthlySummary[[#This Row],[Hasta]])</f>
        <v>0</v>
      </c>
      <c r="U19" s="11">
        <f>TableMonthlySummary[[#This Row],[Inversión google ads]]+TableMonthlySummary[[#This Row],[Inversión meta ads]]</f>
        <v>0</v>
      </c>
      <c r="V19" s="11">
        <f>TableMonthlySummary[[#This Row],[Ventas google ads]]+TableMonthlySummary[[#This Row],[Ventas meta ads]]</f>
        <v>0</v>
      </c>
      <c r="W19" s="14">
        <f>IFERROR(TableMonthlySummary[[#This Row],[Ventas publicidad]]/TableMonthlySummary[[#This Row],[Inversión publicidad]],0)</f>
        <v>0</v>
      </c>
      <c r="X19" s="14">
        <f>IFERROR(TableMonthlySummary[[#This Row],[Ventas primer cliente]]/TableMonthlySummary[[#This Row],[Inversión publicidad]],0)</f>
        <v>0</v>
      </c>
      <c r="Y19" s="14">
        <f>IFERROR(1/TableMonthlySummary[[#This Row],[Contribución %]],0)</f>
        <v>0</v>
      </c>
      <c r="Z19" s="14"/>
      <c r="AA19" s="11"/>
      <c r="AB19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19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19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19" s="11">
        <f>SUMIFS(AccountingReport[costs_fixed],AccountingReport[period],TableMonthlySummary[[#This Row],[Desde]])</f>
        <v>0</v>
      </c>
      <c r="AF19" s="17">
        <f>TableMonthlySummary[[#This Row],[Ventas netas totales]]-TableMonthlySummary[[#This Row],[Costos variables totales]]-TableMonthlySummary[[#This Row],[Costos fijos]]</f>
        <v>0</v>
      </c>
      <c r="AG19" s="18">
        <f>IFERROR(TableMonthlySummary[[#This Row],[Contribución $]] / TableMonthlySummary[[#This Row],[Ventas netas totales]],0)</f>
        <v>0</v>
      </c>
      <c r="AH19" s="11">
        <f>IFERROR(TableMonthlySummary[[#This Row],[Costos de publicidad totales]]/TableMonthlySummary[[#This Row],[Órdenes primer cliente]],0)</f>
        <v>0</v>
      </c>
      <c r="AI19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19" s="11">
        <f>SUMIFS(TableDailySummary[Costo de ventas registrado],TableDailySummary[Fecha],"&gt;="&amp;TableMonthlySummary[[#This Row],[Desde]],TableDailySummary[Fecha],"&lt;="&amp;TableMonthlySummary[[#This Row],[Hasta]])</f>
        <v>0</v>
      </c>
      <c r="AK19" s="11">
        <f>SUMIFS(TableDailySummary[Utilidad bruta],TableDailySummary[Fecha],"&gt;="&amp;TableMonthlySummary[[#This Row],[Desde]],TableDailySummary[Fecha],"&lt;="&amp;TableMonthlySummary[[#This Row],[Hasta]])</f>
        <v>0</v>
      </c>
      <c r="AL19" s="18">
        <f>IFERROR(TableMonthlySummary[[#This Row],[Utilidad bruta]]/TableMonthlySummary[[#This Row],[Ventas netas con costo registrado]],0)</f>
        <v>0</v>
      </c>
    </row>
    <row r="20" spans="2:38" x14ac:dyDescent="0.2">
      <c r="B20" s="16">
        <f>MONTH(TableMonthlySummary[[#This Row],[Hasta]])</f>
        <v>12</v>
      </c>
      <c r="C20" s="6">
        <f t="shared" si="0"/>
        <v>44900</v>
      </c>
      <c r="D20" s="6">
        <f>EOMONTH(TableMonthlySummary[[#This Row],[Desde]], 0)</f>
        <v>44926</v>
      </c>
      <c r="E20" s="11">
        <f>SUMIFS(TableDailySummary[Ventas netas totales],TableDailySummary[Fecha],"&gt;="&amp;TableMonthlySummary[[#This Row],[Desde]],TableDailySummary[Fecha],"&lt;="&amp;TableMonthlySummary[[#This Row],[Hasta]])</f>
        <v>0</v>
      </c>
      <c r="F20" s="11">
        <f>SUMIFS(TableDailySummary[Órdenes totales],TableDailySummary[Fecha],"&gt;="&amp;TableMonthlySummary[[#This Row],[Desde]],TableDailySummary[Fecha],"&lt;="&amp;TableMonthlySummary[[#This Row],[Hasta]])</f>
        <v>0</v>
      </c>
      <c r="G20" s="11">
        <f>SUMIFS(TableDailySummary[Ventas primer cliente],TableDailySummary[Fecha],"&gt;="&amp;TableMonthlySummary[[#This Row],[Desde]],TableDailySummary[Fecha],"&lt;="&amp;TableMonthlySummary[[#This Row],[Hasta]])</f>
        <v>0</v>
      </c>
      <c r="H20" s="11">
        <f>SUMIFS(TableDailySummary[Órdenes primer cliente],TableDailySummary[Fecha],"&gt;="&amp;TableMonthlySummary[[#This Row],[Desde]],TableDailySummary[Fecha],"&lt;="&amp;TableMonthlySummary[[#This Row],[Hasta]])</f>
        <v>0</v>
      </c>
      <c r="I20" s="11">
        <f>SUMIFS(TableDailySummary[Online Store_net_sales],TableDailySummary[Fecha],"&gt;="&amp;TableMonthlySummary[[#This Row],[Desde]],TableDailySummary[Fecha],"&lt;="&amp;TableMonthlySummary[[#This Row],[Hasta]])</f>
        <v>0</v>
      </c>
      <c r="J20" s="11">
        <f>SUMIFS(TableDailySummary[Online Store_orders],TableDailySummary[Fecha],"&gt;="&amp;TableMonthlySummary[[#This Row],[Desde]],TableDailySummary[Fecha],"&lt;="&amp;TableMonthlySummary[[#This Row],[Hasta]])</f>
        <v>0</v>
      </c>
      <c r="K20" s="11">
        <f>SUMIFS(TableDailySummary[Tienda 81_net_sales],TableDailySummary[Fecha],"&gt;="&amp;TableMonthlySummary[[#This Row],[Desde]],TableDailySummary[Fecha],"&lt;="&amp;TableMonthlySummary[[#This Row],[Hasta]])</f>
        <v>0</v>
      </c>
      <c r="L20" s="11">
        <f>SUMIFS(TableDailySummary[Tienda 81_orders],TableDailySummary[Fecha],"&gt;="&amp;TableMonthlySummary[[#This Row],[Desde]],TableDailySummary[Fecha],"&lt;="&amp;TableMonthlySummary[[#This Row],[Hasta]])</f>
        <v>0</v>
      </c>
      <c r="M20" s="11">
        <f>SUMIFS(TableDailySummary[Rappi_net_sales],TableDailySummary[Fecha],"&gt;="&amp;TableMonthlySummary[[#This Row],[Desde]],TableDailySummary[Fecha],"&lt;="&amp;TableMonthlySummary[[#This Row],[Hasta]])</f>
        <v>0</v>
      </c>
      <c r="N20" s="11">
        <f>SUMIFS(TableDailySummary[Rappi_orders],TableDailySummary[Fecha],"&gt;="&amp;TableMonthlySummary[[#This Row],[Desde]],TableDailySummary[Fecha],"&lt;="&amp;TableMonthlySummary[[#This Row],[Hasta]])</f>
        <v>0</v>
      </c>
      <c r="O20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0" s="11">
        <f>SUMIFS(TableDailySummary[Corporativo no tienda_orders],TableDailySummary[Fecha],"&gt;="&amp;TableMonthlySummary[[#This Row],[Desde]],TableDailySummary[Fecha],"&lt;="&amp;TableMonthlySummary[[#This Row],[Hasta]])</f>
        <v>0</v>
      </c>
      <c r="Q20" s="11">
        <f>SUMIFS(TableDailySummary[Inversión google ads],TableDailySummary[Fecha],"&gt;="&amp;TableMonthlySummary[[#This Row],[Desde]],TableDailySummary[Fecha],"&lt;="&amp;TableMonthlySummary[[#This Row],[Hasta]])</f>
        <v>0</v>
      </c>
      <c r="R20" s="11">
        <f>SUMIFS(TableDailySummary[Ventas google ads],TableDailySummary[Fecha],"&gt;="&amp;TableMonthlySummary[[#This Row],[Desde]],TableDailySummary[Fecha],"&lt;="&amp;TableMonthlySummary[[#This Row],[Hasta]])</f>
        <v>0</v>
      </c>
      <c r="S20" s="11">
        <f>SUMIFS(TableDailySummary[Inversión meta ads],TableDailySummary[Fecha],"&gt;="&amp;TableMonthlySummary[[#This Row],[Desde]],TableDailySummary[Fecha],"&lt;="&amp;TableMonthlySummary[[#This Row],[Hasta]])</f>
        <v>0</v>
      </c>
      <c r="T20" s="11">
        <f>SUMIFS(TableDailySummary[Ventas meta ads],TableDailySummary[Fecha],"&gt;="&amp;TableMonthlySummary[[#This Row],[Desde]],TableDailySummary[Fecha],"&lt;="&amp;TableMonthlySummary[[#This Row],[Hasta]])</f>
        <v>0</v>
      </c>
      <c r="U20" s="11">
        <f>TableMonthlySummary[[#This Row],[Inversión google ads]]+TableMonthlySummary[[#This Row],[Inversión meta ads]]</f>
        <v>0</v>
      </c>
      <c r="V20" s="11">
        <f>TableMonthlySummary[[#This Row],[Ventas google ads]]+TableMonthlySummary[[#This Row],[Ventas meta ads]]</f>
        <v>0</v>
      </c>
      <c r="W20" s="14">
        <f>IFERROR(TableMonthlySummary[[#This Row],[Ventas publicidad]]/TableMonthlySummary[[#This Row],[Inversión publicidad]],0)</f>
        <v>0</v>
      </c>
      <c r="X20" s="14">
        <f>IFERROR(TableMonthlySummary[[#This Row],[Ventas primer cliente]]/TableMonthlySummary[[#This Row],[Inversión publicidad]],0)</f>
        <v>0</v>
      </c>
      <c r="Y20" s="14">
        <f>IFERROR(1/TableMonthlySummary[[#This Row],[Contribución %]],0)</f>
        <v>0</v>
      </c>
      <c r="Z20" s="14"/>
      <c r="AA20" s="11"/>
      <c r="AB20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0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0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0" s="11">
        <f>SUMIFS(AccountingReport[costs_fixed],AccountingReport[period],TableMonthlySummary[[#This Row],[Desde]])</f>
        <v>0</v>
      </c>
      <c r="AF20" s="17">
        <f>TableMonthlySummary[[#This Row],[Ventas netas totales]]-TableMonthlySummary[[#This Row],[Costos variables totales]]-TableMonthlySummary[[#This Row],[Costos fijos]]</f>
        <v>0</v>
      </c>
      <c r="AG20" s="18">
        <f>IFERROR(TableMonthlySummary[[#This Row],[Contribución $]] / TableMonthlySummary[[#This Row],[Ventas netas totales]],0)</f>
        <v>0</v>
      </c>
      <c r="AH20" s="11">
        <f>IFERROR(TableMonthlySummary[[#This Row],[Costos de publicidad totales]]/TableMonthlySummary[[#This Row],[Órdenes primer cliente]],0)</f>
        <v>0</v>
      </c>
      <c r="AI20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0" s="11">
        <f>SUMIFS(TableDailySummary[Costo de ventas registrado],TableDailySummary[Fecha],"&gt;="&amp;TableMonthlySummary[[#This Row],[Desde]],TableDailySummary[Fecha],"&lt;="&amp;TableMonthlySummary[[#This Row],[Hasta]])</f>
        <v>0</v>
      </c>
      <c r="AK20" s="11">
        <f>SUMIFS(TableDailySummary[Utilidad bruta],TableDailySummary[Fecha],"&gt;="&amp;TableMonthlySummary[[#This Row],[Desde]],TableDailySummary[Fecha],"&lt;="&amp;TableMonthlySummary[[#This Row],[Hasta]])</f>
        <v>0</v>
      </c>
      <c r="AL20" s="18">
        <f>IFERROR(TableMonthlySummary[[#This Row],[Utilidad bruta]]/TableMonthlySummary[[#This Row],[Ventas netas con costo registrado]],0)</f>
        <v>0</v>
      </c>
    </row>
    <row r="21" spans="2:38" x14ac:dyDescent="0.2">
      <c r="B21" s="16">
        <f>MONTH(TableMonthlySummary[[#This Row],[Hasta]])</f>
        <v>1</v>
      </c>
      <c r="C21" s="6">
        <f t="shared" si="0"/>
        <v>44931</v>
      </c>
      <c r="D21" s="6">
        <f>EOMONTH(TableMonthlySummary[[#This Row],[Desde]], 0)</f>
        <v>44957</v>
      </c>
      <c r="E21" s="11">
        <f>SUMIFS(TableDailySummary[Ventas netas totales],TableDailySummary[Fecha],"&gt;="&amp;TableMonthlySummary[[#This Row],[Desde]],TableDailySummary[Fecha],"&lt;="&amp;TableMonthlySummary[[#This Row],[Hasta]])</f>
        <v>0</v>
      </c>
      <c r="F21" s="11">
        <f>SUMIFS(TableDailySummary[Órdenes totales],TableDailySummary[Fecha],"&gt;="&amp;TableMonthlySummary[[#This Row],[Desde]],TableDailySummary[Fecha],"&lt;="&amp;TableMonthlySummary[[#This Row],[Hasta]])</f>
        <v>0</v>
      </c>
      <c r="G21" s="11">
        <f>SUMIFS(TableDailySummary[Ventas primer cliente],TableDailySummary[Fecha],"&gt;="&amp;TableMonthlySummary[[#This Row],[Desde]],TableDailySummary[Fecha],"&lt;="&amp;TableMonthlySummary[[#This Row],[Hasta]])</f>
        <v>0</v>
      </c>
      <c r="H21" s="11">
        <f>SUMIFS(TableDailySummary[Órdenes primer cliente],TableDailySummary[Fecha],"&gt;="&amp;TableMonthlySummary[[#This Row],[Desde]],TableDailySummary[Fecha],"&lt;="&amp;TableMonthlySummary[[#This Row],[Hasta]])</f>
        <v>0</v>
      </c>
      <c r="I21" s="11">
        <f>SUMIFS(TableDailySummary[Online Store_net_sales],TableDailySummary[Fecha],"&gt;="&amp;TableMonthlySummary[[#This Row],[Desde]],TableDailySummary[Fecha],"&lt;="&amp;TableMonthlySummary[[#This Row],[Hasta]])</f>
        <v>0</v>
      </c>
      <c r="J21" s="11">
        <f>SUMIFS(TableDailySummary[Online Store_orders],TableDailySummary[Fecha],"&gt;="&amp;TableMonthlySummary[[#This Row],[Desde]],TableDailySummary[Fecha],"&lt;="&amp;TableMonthlySummary[[#This Row],[Hasta]])</f>
        <v>0</v>
      </c>
      <c r="K21" s="11">
        <f>SUMIFS(TableDailySummary[Tienda 81_net_sales],TableDailySummary[Fecha],"&gt;="&amp;TableMonthlySummary[[#This Row],[Desde]],TableDailySummary[Fecha],"&lt;="&amp;TableMonthlySummary[[#This Row],[Hasta]])</f>
        <v>0</v>
      </c>
      <c r="L21" s="11">
        <f>SUMIFS(TableDailySummary[Tienda 81_orders],TableDailySummary[Fecha],"&gt;="&amp;TableMonthlySummary[[#This Row],[Desde]],TableDailySummary[Fecha],"&lt;="&amp;TableMonthlySummary[[#This Row],[Hasta]])</f>
        <v>0</v>
      </c>
      <c r="M21" s="11">
        <f>SUMIFS(TableDailySummary[Rappi_net_sales],TableDailySummary[Fecha],"&gt;="&amp;TableMonthlySummary[[#This Row],[Desde]],TableDailySummary[Fecha],"&lt;="&amp;TableMonthlySummary[[#This Row],[Hasta]])</f>
        <v>0</v>
      </c>
      <c r="N21" s="11">
        <f>SUMIFS(TableDailySummary[Rappi_orders],TableDailySummary[Fecha],"&gt;="&amp;TableMonthlySummary[[#This Row],[Desde]],TableDailySummary[Fecha],"&lt;="&amp;TableMonthlySummary[[#This Row],[Hasta]])</f>
        <v>0</v>
      </c>
      <c r="O21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1" s="11">
        <f>SUMIFS(TableDailySummary[Corporativo no tienda_orders],TableDailySummary[Fecha],"&gt;="&amp;TableMonthlySummary[[#This Row],[Desde]],TableDailySummary[Fecha],"&lt;="&amp;TableMonthlySummary[[#This Row],[Hasta]])</f>
        <v>0</v>
      </c>
      <c r="Q21" s="11">
        <f>SUMIFS(TableDailySummary[Inversión google ads],TableDailySummary[Fecha],"&gt;="&amp;TableMonthlySummary[[#This Row],[Desde]],TableDailySummary[Fecha],"&lt;="&amp;TableMonthlySummary[[#This Row],[Hasta]])</f>
        <v>0</v>
      </c>
      <c r="R21" s="11">
        <f>SUMIFS(TableDailySummary[Ventas google ads],TableDailySummary[Fecha],"&gt;="&amp;TableMonthlySummary[[#This Row],[Desde]],TableDailySummary[Fecha],"&lt;="&amp;TableMonthlySummary[[#This Row],[Hasta]])</f>
        <v>0</v>
      </c>
      <c r="S21" s="11">
        <f>SUMIFS(TableDailySummary[Inversión meta ads],TableDailySummary[Fecha],"&gt;="&amp;TableMonthlySummary[[#This Row],[Desde]],TableDailySummary[Fecha],"&lt;="&amp;TableMonthlySummary[[#This Row],[Hasta]])</f>
        <v>0</v>
      </c>
      <c r="T21" s="11">
        <f>SUMIFS(TableDailySummary[Ventas meta ads],TableDailySummary[Fecha],"&gt;="&amp;TableMonthlySummary[[#This Row],[Desde]],TableDailySummary[Fecha],"&lt;="&amp;TableMonthlySummary[[#This Row],[Hasta]])</f>
        <v>0</v>
      </c>
      <c r="U21" s="11">
        <f>TableMonthlySummary[[#This Row],[Inversión google ads]]+TableMonthlySummary[[#This Row],[Inversión meta ads]]</f>
        <v>0</v>
      </c>
      <c r="V21" s="11">
        <f>TableMonthlySummary[[#This Row],[Ventas google ads]]+TableMonthlySummary[[#This Row],[Ventas meta ads]]</f>
        <v>0</v>
      </c>
      <c r="W21" s="14">
        <f>IFERROR(TableMonthlySummary[[#This Row],[Ventas publicidad]]/TableMonthlySummary[[#This Row],[Inversión publicidad]],0)</f>
        <v>0</v>
      </c>
      <c r="X21" s="14">
        <f>IFERROR(TableMonthlySummary[[#This Row],[Ventas primer cliente]]/TableMonthlySummary[[#This Row],[Inversión publicidad]],0)</f>
        <v>0</v>
      </c>
      <c r="Y21" s="14">
        <f>IFERROR(1/TableMonthlySummary[[#This Row],[Contribución %]],0)</f>
        <v>0</v>
      </c>
      <c r="Z21" s="14"/>
      <c r="AA21" s="11"/>
      <c r="AB21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1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1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1" s="11">
        <f>SUMIFS(AccountingReport[costs_fixed],AccountingReport[period],TableMonthlySummary[[#This Row],[Desde]])</f>
        <v>0</v>
      </c>
      <c r="AF21" s="17">
        <f>TableMonthlySummary[[#This Row],[Ventas netas totales]]-TableMonthlySummary[[#This Row],[Costos variables totales]]-TableMonthlySummary[[#This Row],[Costos fijos]]</f>
        <v>0</v>
      </c>
      <c r="AG21" s="18">
        <f>IFERROR(TableMonthlySummary[[#This Row],[Contribución $]] / TableMonthlySummary[[#This Row],[Ventas netas totales]],0)</f>
        <v>0</v>
      </c>
      <c r="AH21" s="11">
        <f>IFERROR(TableMonthlySummary[[#This Row],[Costos de publicidad totales]]/TableMonthlySummary[[#This Row],[Órdenes primer cliente]],0)</f>
        <v>0</v>
      </c>
      <c r="AI21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1" s="11">
        <f>SUMIFS(TableDailySummary[Costo de ventas registrado],TableDailySummary[Fecha],"&gt;="&amp;TableMonthlySummary[[#This Row],[Desde]],TableDailySummary[Fecha],"&lt;="&amp;TableMonthlySummary[[#This Row],[Hasta]])</f>
        <v>0</v>
      </c>
      <c r="AK21" s="11">
        <f>SUMIFS(TableDailySummary[Utilidad bruta],TableDailySummary[Fecha],"&gt;="&amp;TableMonthlySummary[[#This Row],[Desde]],TableDailySummary[Fecha],"&lt;="&amp;TableMonthlySummary[[#This Row],[Hasta]])</f>
        <v>0</v>
      </c>
      <c r="AL21" s="18">
        <f>IFERROR(TableMonthlySummary[[#This Row],[Utilidad bruta]]/TableMonthlySummary[[#This Row],[Ventas netas con costo registrado]],0)</f>
        <v>0</v>
      </c>
    </row>
    <row r="22" spans="2:38" x14ac:dyDescent="0.2">
      <c r="B22" s="16">
        <f>MONTH(TableMonthlySummary[[#This Row],[Hasta]])</f>
        <v>2</v>
      </c>
      <c r="C22" s="6">
        <f t="shared" si="0"/>
        <v>44962</v>
      </c>
      <c r="D22" s="6">
        <f>EOMONTH(TableMonthlySummary[[#This Row],[Desde]], 0)</f>
        <v>44985</v>
      </c>
      <c r="E22" s="11">
        <f>SUMIFS(TableDailySummary[Ventas netas totales],TableDailySummary[Fecha],"&gt;="&amp;TableMonthlySummary[[#This Row],[Desde]],TableDailySummary[Fecha],"&lt;="&amp;TableMonthlySummary[[#This Row],[Hasta]])</f>
        <v>0</v>
      </c>
      <c r="F22" s="11">
        <f>SUMIFS(TableDailySummary[Órdenes totales],TableDailySummary[Fecha],"&gt;="&amp;TableMonthlySummary[[#This Row],[Desde]],TableDailySummary[Fecha],"&lt;="&amp;TableMonthlySummary[[#This Row],[Hasta]])</f>
        <v>0</v>
      </c>
      <c r="G22" s="11">
        <f>SUMIFS(TableDailySummary[Ventas primer cliente],TableDailySummary[Fecha],"&gt;="&amp;TableMonthlySummary[[#This Row],[Desde]],TableDailySummary[Fecha],"&lt;="&amp;TableMonthlySummary[[#This Row],[Hasta]])</f>
        <v>0</v>
      </c>
      <c r="H22" s="11">
        <f>SUMIFS(TableDailySummary[Órdenes primer cliente],TableDailySummary[Fecha],"&gt;="&amp;TableMonthlySummary[[#This Row],[Desde]],TableDailySummary[Fecha],"&lt;="&amp;TableMonthlySummary[[#This Row],[Hasta]])</f>
        <v>0</v>
      </c>
      <c r="I22" s="11">
        <f>SUMIFS(TableDailySummary[Online Store_net_sales],TableDailySummary[Fecha],"&gt;="&amp;TableMonthlySummary[[#This Row],[Desde]],TableDailySummary[Fecha],"&lt;="&amp;TableMonthlySummary[[#This Row],[Hasta]])</f>
        <v>0</v>
      </c>
      <c r="J22" s="11">
        <f>SUMIFS(TableDailySummary[Online Store_orders],TableDailySummary[Fecha],"&gt;="&amp;TableMonthlySummary[[#This Row],[Desde]],TableDailySummary[Fecha],"&lt;="&amp;TableMonthlySummary[[#This Row],[Hasta]])</f>
        <v>0</v>
      </c>
      <c r="K22" s="11">
        <f>SUMIFS(TableDailySummary[Tienda 81_net_sales],TableDailySummary[Fecha],"&gt;="&amp;TableMonthlySummary[[#This Row],[Desde]],TableDailySummary[Fecha],"&lt;="&amp;TableMonthlySummary[[#This Row],[Hasta]])</f>
        <v>0</v>
      </c>
      <c r="L22" s="11">
        <f>SUMIFS(TableDailySummary[Tienda 81_orders],TableDailySummary[Fecha],"&gt;="&amp;TableMonthlySummary[[#This Row],[Desde]],TableDailySummary[Fecha],"&lt;="&amp;TableMonthlySummary[[#This Row],[Hasta]])</f>
        <v>0</v>
      </c>
      <c r="M22" s="11">
        <f>SUMIFS(TableDailySummary[Rappi_net_sales],TableDailySummary[Fecha],"&gt;="&amp;TableMonthlySummary[[#This Row],[Desde]],TableDailySummary[Fecha],"&lt;="&amp;TableMonthlySummary[[#This Row],[Hasta]])</f>
        <v>0</v>
      </c>
      <c r="N22" s="11">
        <f>SUMIFS(TableDailySummary[Rappi_orders],TableDailySummary[Fecha],"&gt;="&amp;TableMonthlySummary[[#This Row],[Desde]],TableDailySummary[Fecha],"&lt;="&amp;TableMonthlySummary[[#This Row],[Hasta]])</f>
        <v>0</v>
      </c>
      <c r="O22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2" s="11">
        <f>SUMIFS(TableDailySummary[Corporativo no tienda_orders],TableDailySummary[Fecha],"&gt;="&amp;TableMonthlySummary[[#This Row],[Desde]],TableDailySummary[Fecha],"&lt;="&amp;TableMonthlySummary[[#This Row],[Hasta]])</f>
        <v>0</v>
      </c>
      <c r="Q22" s="11">
        <f>SUMIFS(TableDailySummary[Inversión google ads],TableDailySummary[Fecha],"&gt;="&amp;TableMonthlySummary[[#This Row],[Desde]],TableDailySummary[Fecha],"&lt;="&amp;TableMonthlySummary[[#This Row],[Hasta]])</f>
        <v>0</v>
      </c>
      <c r="R22" s="11">
        <f>SUMIFS(TableDailySummary[Ventas google ads],TableDailySummary[Fecha],"&gt;="&amp;TableMonthlySummary[[#This Row],[Desde]],TableDailySummary[Fecha],"&lt;="&amp;TableMonthlySummary[[#This Row],[Hasta]])</f>
        <v>0</v>
      </c>
      <c r="S22" s="11">
        <f>SUMIFS(TableDailySummary[Inversión meta ads],TableDailySummary[Fecha],"&gt;="&amp;TableMonthlySummary[[#This Row],[Desde]],TableDailySummary[Fecha],"&lt;="&amp;TableMonthlySummary[[#This Row],[Hasta]])</f>
        <v>0</v>
      </c>
      <c r="T22" s="11">
        <f>SUMIFS(TableDailySummary[Ventas meta ads],TableDailySummary[Fecha],"&gt;="&amp;TableMonthlySummary[[#This Row],[Desde]],TableDailySummary[Fecha],"&lt;="&amp;TableMonthlySummary[[#This Row],[Hasta]])</f>
        <v>0</v>
      </c>
      <c r="U22" s="11">
        <f>TableMonthlySummary[[#This Row],[Inversión google ads]]+TableMonthlySummary[[#This Row],[Inversión meta ads]]</f>
        <v>0</v>
      </c>
      <c r="V22" s="11">
        <f>TableMonthlySummary[[#This Row],[Ventas google ads]]+TableMonthlySummary[[#This Row],[Ventas meta ads]]</f>
        <v>0</v>
      </c>
      <c r="W22" s="14">
        <f>IFERROR(TableMonthlySummary[[#This Row],[Ventas publicidad]]/TableMonthlySummary[[#This Row],[Inversión publicidad]],0)</f>
        <v>0</v>
      </c>
      <c r="X22" s="14">
        <f>IFERROR(TableMonthlySummary[[#This Row],[Ventas primer cliente]]/TableMonthlySummary[[#This Row],[Inversión publicidad]],0)</f>
        <v>0</v>
      </c>
      <c r="Y22" s="14">
        <f>IFERROR(1/TableMonthlySummary[[#This Row],[Contribución %]],0)</f>
        <v>0</v>
      </c>
      <c r="Z22" s="14"/>
      <c r="AA22" s="11"/>
      <c r="AB22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2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2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2" s="11">
        <f>SUMIFS(AccountingReport[costs_fixed],AccountingReport[period],TableMonthlySummary[[#This Row],[Desde]])</f>
        <v>0</v>
      </c>
      <c r="AF22" s="17">
        <f>TableMonthlySummary[[#This Row],[Ventas netas totales]]-TableMonthlySummary[[#This Row],[Costos variables totales]]-TableMonthlySummary[[#This Row],[Costos fijos]]</f>
        <v>0</v>
      </c>
      <c r="AG22" s="18">
        <f>IFERROR(TableMonthlySummary[[#This Row],[Contribución $]] / TableMonthlySummary[[#This Row],[Ventas netas totales]],0)</f>
        <v>0</v>
      </c>
      <c r="AH22" s="11">
        <f>IFERROR(TableMonthlySummary[[#This Row],[Costos de publicidad totales]]/TableMonthlySummary[[#This Row],[Órdenes primer cliente]],0)</f>
        <v>0</v>
      </c>
      <c r="AI22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2" s="11">
        <f>SUMIFS(TableDailySummary[Costo de ventas registrado],TableDailySummary[Fecha],"&gt;="&amp;TableMonthlySummary[[#This Row],[Desde]],TableDailySummary[Fecha],"&lt;="&amp;TableMonthlySummary[[#This Row],[Hasta]])</f>
        <v>0</v>
      </c>
      <c r="AK22" s="11">
        <f>SUMIFS(TableDailySummary[Utilidad bruta],TableDailySummary[Fecha],"&gt;="&amp;TableMonthlySummary[[#This Row],[Desde]],TableDailySummary[Fecha],"&lt;="&amp;TableMonthlySummary[[#This Row],[Hasta]])</f>
        <v>0</v>
      </c>
      <c r="AL22" s="18">
        <f>IFERROR(TableMonthlySummary[[#This Row],[Utilidad bruta]]/TableMonthlySummary[[#This Row],[Ventas netas con costo registrado]],0)</f>
        <v>0</v>
      </c>
    </row>
    <row r="23" spans="2:38" x14ac:dyDescent="0.2">
      <c r="B23" s="16">
        <f>MONTH(TableMonthlySummary[[#This Row],[Hasta]])</f>
        <v>3</v>
      </c>
      <c r="C23" s="6">
        <f t="shared" si="0"/>
        <v>44990</v>
      </c>
      <c r="D23" s="6">
        <f>EOMONTH(TableMonthlySummary[[#This Row],[Desde]], 0)</f>
        <v>45016</v>
      </c>
      <c r="E23" s="11">
        <f>SUMIFS(TableDailySummary[Ventas netas totales],TableDailySummary[Fecha],"&gt;="&amp;TableMonthlySummary[[#This Row],[Desde]],TableDailySummary[Fecha],"&lt;="&amp;TableMonthlySummary[[#This Row],[Hasta]])</f>
        <v>0</v>
      </c>
      <c r="F23" s="11">
        <f>SUMIFS(TableDailySummary[Órdenes totales],TableDailySummary[Fecha],"&gt;="&amp;TableMonthlySummary[[#This Row],[Desde]],TableDailySummary[Fecha],"&lt;="&amp;TableMonthlySummary[[#This Row],[Hasta]])</f>
        <v>0</v>
      </c>
      <c r="G23" s="11">
        <f>SUMIFS(TableDailySummary[Ventas primer cliente],TableDailySummary[Fecha],"&gt;="&amp;TableMonthlySummary[[#This Row],[Desde]],TableDailySummary[Fecha],"&lt;="&amp;TableMonthlySummary[[#This Row],[Hasta]])</f>
        <v>0</v>
      </c>
      <c r="H23" s="11">
        <f>SUMIFS(TableDailySummary[Órdenes primer cliente],TableDailySummary[Fecha],"&gt;="&amp;TableMonthlySummary[[#This Row],[Desde]],TableDailySummary[Fecha],"&lt;="&amp;TableMonthlySummary[[#This Row],[Hasta]])</f>
        <v>0</v>
      </c>
      <c r="I23" s="11">
        <f>SUMIFS(TableDailySummary[Online Store_net_sales],TableDailySummary[Fecha],"&gt;="&amp;TableMonthlySummary[[#This Row],[Desde]],TableDailySummary[Fecha],"&lt;="&amp;TableMonthlySummary[[#This Row],[Hasta]])</f>
        <v>0</v>
      </c>
      <c r="J23" s="11">
        <f>SUMIFS(TableDailySummary[Online Store_orders],TableDailySummary[Fecha],"&gt;="&amp;TableMonthlySummary[[#This Row],[Desde]],TableDailySummary[Fecha],"&lt;="&amp;TableMonthlySummary[[#This Row],[Hasta]])</f>
        <v>0</v>
      </c>
      <c r="K23" s="11">
        <f>SUMIFS(TableDailySummary[Tienda 81_net_sales],TableDailySummary[Fecha],"&gt;="&amp;TableMonthlySummary[[#This Row],[Desde]],TableDailySummary[Fecha],"&lt;="&amp;TableMonthlySummary[[#This Row],[Hasta]])</f>
        <v>0</v>
      </c>
      <c r="L23" s="11">
        <f>SUMIFS(TableDailySummary[Tienda 81_orders],TableDailySummary[Fecha],"&gt;="&amp;TableMonthlySummary[[#This Row],[Desde]],TableDailySummary[Fecha],"&lt;="&amp;TableMonthlySummary[[#This Row],[Hasta]])</f>
        <v>0</v>
      </c>
      <c r="M23" s="11">
        <f>SUMIFS(TableDailySummary[Rappi_net_sales],TableDailySummary[Fecha],"&gt;="&amp;TableMonthlySummary[[#This Row],[Desde]],TableDailySummary[Fecha],"&lt;="&amp;TableMonthlySummary[[#This Row],[Hasta]])</f>
        <v>0</v>
      </c>
      <c r="N23" s="11">
        <f>SUMIFS(TableDailySummary[Rappi_orders],TableDailySummary[Fecha],"&gt;="&amp;TableMonthlySummary[[#This Row],[Desde]],TableDailySummary[Fecha],"&lt;="&amp;TableMonthlySummary[[#This Row],[Hasta]])</f>
        <v>0</v>
      </c>
      <c r="O23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3" s="11">
        <f>SUMIFS(TableDailySummary[Corporativo no tienda_orders],TableDailySummary[Fecha],"&gt;="&amp;TableMonthlySummary[[#This Row],[Desde]],TableDailySummary[Fecha],"&lt;="&amp;TableMonthlySummary[[#This Row],[Hasta]])</f>
        <v>0</v>
      </c>
      <c r="Q23" s="11">
        <f>SUMIFS(TableDailySummary[Inversión google ads],TableDailySummary[Fecha],"&gt;="&amp;TableMonthlySummary[[#This Row],[Desde]],TableDailySummary[Fecha],"&lt;="&amp;TableMonthlySummary[[#This Row],[Hasta]])</f>
        <v>0</v>
      </c>
      <c r="R23" s="11">
        <f>SUMIFS(TableDailySummary[Ventas google ads],TableDailySummary[Fecha],"&gt;="&amp;TableMonthlySummary[[#This Row],[Desde]],TableDailySummary[Fecha],"&lt;="&amp;TableMonthlySummary[[#This Row],[Hasta]])</f>
        <v>0</v>
      </c>
      <c r="S23" s="11">
        <f>SUMIFS(TableDailySummary[Inversión meta ads],TableDailySummary[Fecha],"&gt;="&amp;TableMonthlySummary[[#This Row],[Desde]],TableDailySummary[Fecha],"&lt;="&amp;TableMonthlySummary[[#This Row],[Hasta]])</f>
        <v>0</v>
      </c>
      <c r="T23" s="11">
        <f>SUMIFS(TableDailySummary[Ventas meta ads],TableDailySummary[Fecha],"&gt;="&amp;TableMonthlySummary[[#This Row],[Desde]],TableDailySummary[Fecha],"&lt;="&amp;TableMonthlySummary[[#This Row],[Hasta]])</f>
        <v>0</v>
      </c>
      <c r="U23" s="11">
        <f>TableMonthlySummary[[#This Row],[Inversión google ads]]+TableMonthlySummary[[#This Row],[Inversión meta ads]]</f>
        <v>0</v>
      </c>
      <c r="V23" s="11">
        <f>TableMonthlySummary[[#This Row],[Ventas google ads]]+TableMonthlySummary[[#This Row],[Ventas meta ads]]</f>
        <v>0</v>
      </c>
      <c r="W23" s="14">
        <f>IFERROR(TableMonthlySummary[[#This Row],[Ventas publicidad]]/TableMonthlySummary[[#This Row],[Inversión publicidad]],0)</f>
        <v>0</v>
      </c>
      <c r="X23" s="14">
        <f>IFERROR(TableMonthlySummary[[#This Row],[Ventas primer cliente]]/TableMonthlySummary[[#This Row],[Inversión publicidad]],0)</f>
        <v>0</v>
      </c>
      <c r="Y23" s="14">
        <f>IFERROR(1/TableMonthlySummary[[#This Row],[Contribución %]],0)</f>
        <v>0</v>
      </c>
      <c r="Z23" s="14"/>
      <c r="AA23" s="11"/>
      <c r="AB23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3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3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3" s="11">
        <f>SUMIFS(AccountingReport[costs_fixed],AccountingReport[period],TableMonthlySummary[[#This Row],[Desde]])</f>
        <v>0</v>
      </c>
      <c r="AF23" s="17">
        <f>TableMonthlySummary[[#This Row],[Ventas netas totales]]-TableMonthlySummary[[#This Row],[Costos variables totales]]-TableMonthlySummary[[#This Row],[Costos fijos]]</f>
        <v>0</v>
      </c>
      <c r="AG23" s="18">
        <f>IFERROR(TableMonthlySummary[[#This Row],[Contribución $]] / TableMonthlySummary[[#This Row],[Ventas netas totales]],0)</f>
        <v>0</v>
      </c>
      <c r="AH23" s="11">
        <f>IFERROR(TableMonthlySummary[[#This Row],[Costos de publicidad totales]]/TableMonthlySummary[[#This Row],[Órdenes primer cliente]],0)</f>
        <v>0</v>
      </c>
      <c r="AI23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3" s="11">
        <f>SUMIFS(TableDailySummary[Costo de ventas registrado],TableDailySummary[Fecha],"&gt;="&amp;TableMonthlySummary[[#This Row],[Desde]],TableDailySummary[Fecha],"&lt;="&amp;TableMonthlySummary[[#This Row],[Hasta]])</f>
        <v>0</v>
      </c>
      <c r="AK23" s="11">
        <f>SUMIFS(TableDailySummary[Utilidad bruta],TableDailySummary[Fecha],"&gt;="&amp;TableMonthlySummary[[#This Row],[Desde]],TableDailySummary[Fecha],"&lt;="&amp;TableMonthlySummary[[#This Row],[Hasta]])</f>
        <v>0</v>
      </c>
      <c r="AL23" s="18">
        <f>IFERROR(TableMonthlySummary[[#This Row],[Utilidad bruta]]/TableMonthlySummary[[#This Row],[Ventas netas con costo registrado]],0)</f>
        <v>0</v>
      </c>
    </row>
    <row r="24" spans="2:38" x14ac:dyDescent="0.2">
      <c r="B24" s="16">
        <f>MONTH(TableMonthlySummary[[#This Row],[Hasta]])</f>
        <v>4</v>
      </c>
      <c r="C24" s="6">
        <f t="shared" si="0"/>
        <v>45021</v>
      </c>
      <c r="D24" s="6">
        <f>EOMONTH(TableMonthlySummary[[#This Row],[Desde]], 0)</f>
        <v>45046</v>
      </c>
      <c r="E24" s="11">
        <f>SUMIFS(TableDailySummary[Ventas netas totales],TableDailySummary[Fecha],"&gt;="&amp;TableMonthlySummary[[#This Row],[Desde]],TableDailySummary[Fecha],"&lt;="&amp;TableMonthlySummary[[#This Row],[Hasta]])</f>
        <v>0</v>
      </c>
      <c r="F24" s="11">
        <f>SUMIFS(TableDailySummary[Órdenes totales],TableDailySummary[Fecha],"&gt;="&amp;TableMonthlySummary[[#This Row],[Desde]],TableDailySummary[Fecha],"&lt;="&amp;TableMonthlySummary[[#This Row],[Hasta]])</f>
        <v>0</v>
      </c>
      <c r="G24" s="11">
        <f>SUMIFS(TableDailySummary[Ventas primer cliente],TableDailySummary[Fecha],"&gt;="&amp;TableMonthlySummary[[#This Row],[Desde]],TableDailySummary[Fecha],"&lt;="&amp;TableMonthlySummary[[#This Row],[Hasta]])</f>
        <v>0</v>
      </c>
      <c r="H24" s="11">
        <f>SUMIFS(TableDailySummary[Órdenes primer cliente],TableDailySummary[Fecha],"&gt;="&amp;TableMonthlySummary[[#This Row],[Desde]],TableDailySummary[Fecha],"&lt;="&amp;TableMonthlySummary[[#This Row],[Hasta]])</f>
        <v>0</v>
      </c>
      <c r="I24" s="11">
        <f>SUMIFS(TableDailySummary[Online Store_net_sales],TableDailySummary[Fecha],"&gt;="&amp;TableMonthlySummary[[#This Row],[Desde]],TableDailySummary[Fecha],"&lt;="&amp;TableMonthlySummary[[#This Row],[Hasta]])</f>
        <v>0</v>
      </c>
      <c r="J24" s="11">
        <f>SUMIFS(TableDailySummary[Online Store_orders],TableDailySummary[Fecha],"&gt;="&amp;TableMonthlySummary[[#This Row],[Desde]],TableDailySummary[Fecha],"&lt;="&amp;TableMonthlySummary[[#This Row],[Hasta]])</f>
        <v>0</v>
      </c>
      <c r="K24" s="11">
        <f>SUMIFS(TableDailySummary[Tienda 81_net_sales],TableDailySummary[Fecha],"&gt;="&amp;TableMonthlySummary[[#This Row],[Desde]],TableDailySummary[Fecha],"&lt;="&amp;TableMonthlySummary[[#This Row],[Hasta]])</f>
        <v>0</v>
      </c>
      <c r="L24" s="11">
        <f>SUMIFS(TableDailySummary[Tienda 81_orders],TableDailySummary[Fecha],"&gt;="&amp;TableMonthlySummary[[#This Row],[Desde]],TableDailySummary[Fecha],"&lt;="&amp;TableMonthlySummary[[#This Row],[Hasta]])</f>
        <v>0</v>
      </c>
      <c r="M24" s="11">
        <f>SUMIFS(TableDailySummary[Rappi_net_sales],TableDailySummary[Fecha],"&gt;="&amp;TableMonthlySummary[[#This Row],[Desde]],TableDailySummary[Fecha],"&lt;="&amp;TableMonthlySummary[[#This Row],[Hasta]])</f>
        <v>0</v>
      </c>
      <c r="N24" s="11">
        <f>SUMIFS(TableDailySummary[Rappi_orders],TableDailySummary[Fecha],"&gt;="&amp;TableMonthlySummary[[#This Row],[Desde]],TableDailySummary[Fecha],"&lt;="&amp;TableMonthlySummary[[#This Row],[Hasta]])</f>
        <v>0</v>
      </c>
      <c r="O24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4" s="11">
        <f>SUMIFS(TableDailySummary[Corporativo no tienda_orders],TableDailySummary[Fecha],"&gt;="&amp;TableMonthlySummary[[#This Row],[Desde]],TableDailySummary[Fecha],"&lt;="&amp;TableMonthlySummary[[#This Row],[Hasta]])</f>
        <v>0</v>
      </c>
      <c r="Q24" s="11">
        <f>SUMIFS(TableDailySummary[Inversión google ads],TableDailySummary[Fecha],"&gt;="&amp;TableMonthlySummary[[#This Row],[Desde]],TableDailySummary[Fecha],"&lt;="&amp;TableMonthlySummary[[#This Row],[Hasta]])</f>
        <v>0</v>
      </c>
      <c r="R24" s="11">
        <f>SUMIFS(TableDailySummary[Ventas google ads],TableDailySummary[Fecha],"&gt;="&amp;TableMonthlySummary[[#This Row],[Desde]],TableDailySummary[Fecha],"&lt;="&amp;TableMonthlySummary[[#This Row],[Hasta]])</f>
        <v>0</v>
      </c>
      <c r="S24" s="11">
        <f>SUMIFS(TableDailySummary[Inversión meta ads],TableDailySummary[Fecha],"&gt;="&amp;TableMonthlySummary[[#This Row],[Desde]],TableDailySummary[Fecha],"&lt;="&amp;TableMonthlySummary[[#This Row],[Hasta]])</f>
        <v>0</v>
      </c>
      <c r="T24" s="11">
        <f>SUMIFS(TableDailySummary[Ventas meta ads],TableDailySummary[Fecha],"&gt;="&amp;TableMonthlySummary[[#This Row],[Desde]],TableDailySummary[Fecha],"&lt;="&amp;TableMonthlySummary[[#This Row],[Hasta]])</f>
        <v>0</v>
      </c>
      <c r="U24" s="11">
        <f>TableMonthlySummary[[#This Row],[Inversión google ads]]+TableMonthlySummary[[#This Row],[Inversión meta ads]]</f>
        <v>0</v>
      </c>
      <c r="V24" s="11">
        <f>TableMonthlySummary[[#This Row],[Ventas google ads]]+TableMonthlySummary[[#This Row],[Ventas meta ads]]</f>
        <v>0</v>
      </c>
      <c r="W24" s="14">
        <f>IFERROR(TableMonthlySummary[[#This Row],[Ventas publicidad]]/TableMonthlySummary[[#This Row],[Inversión publicidad]],0)</f>
        <v>0</v>
      </c>
      <c r="X24" s="14">
        <f>IFERROR(TableMonthlySummary[[#This Row],[Ventas primer cliente]]/TableMonthlySummary[[#This Row],[Inversión publicidad]],0)</f>
        <v>0</v>
      </c>
      <c r="Y24" s="14">
        <f>IFERROR(1/TableMonthlySummary[[#This Row],[Contribución %]],0)</f>
        <v>0</v>
      </c>
      <c r="Z24" s="14"/>
      <c r="AA24" s="11"/>
      <c r="AB24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4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4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4" s="11">
        <f>SUMIFS(AccountingReport[costs_fixed],AccountingReport[period],TableMonthlySummary[[#This Row],[Desde]])</f>
        <v>0</v>
      </c>
      <c r="AF24" s="17">
        <f>TableMonthlySummary[[#This Row],[Ventas netas totales]]-TableMonthlySummary[[#This Row],[Costos variables totales]]-TableMonthlySummary[[#This Row],[Costos fijos]]</f>
        <v>0</v>
      </c>
      <c r="AG24" s="18">
        <f>IFERROR(TableMonthlySummary[[#This Row],[Contribución $]] / TableMonthlySummary[[#This Row],[Ventas netas totales]],0)</f>
        <v>0</v>
      </c>
      <c r="AH24" s="11">
        <f>IFERROR(TableMonthlySummary[[#This Row],[Costos de publicidad totales]]/TableMonthlySummary[[#This Row],[Órdenes primer cliente]],0)</f>
        <v>0</v>
      </c>
      <c r="AI24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4" s="11">
        <f>SUMIFS(TableDailySummary[Costo de ventas registrado],TableDailySummary[Fecha],"&gt;="&amp;TableMonthlySummary[[#This Row],[Desde]],TableDailySummary[Fecha],"&lt;="&amp;TableMonthlySummary[[#This Row],[Hasta]])</f>
        <v>0</v>
      </c>
      <c r="AK24" s="11">
        <f>SUMIFS(TableDailySummary[Utilidad bruta],TableDailySummary[Fecha],"&gt;="&amp;TableMonthlySummary[[#This Row],[Desde]],TableDailySummary[Fecha],"&lt;="&amp;TableMonthlySummary[[#This Row],[Hasta]])</f>
        <v>0</v>
      </c>
      <c r="AL24" s="18">
        <f>IFERROR(TableMonthlySummary[[#This Row],[Utilidad bruta]]/TableMonthlySummary[[#This Row],[Ventas netas con costo registrado]],0)</f>
        <v>0</v>
      </c>
    </row>
    <row r="25" spans="2:38" x14ac:dyDescent="0.2">
      <c r="B25" s="16">
        <f>MONTH(TableMonthlySummary[[#This Row],[Hasta]])</f>
        <v>5</v>
      </c>
      <c r="C25" s="6">
        <f t="shared" si="0"/>
        <v>45051</v>
      </c>
      <c r="D25" s="6">
        <f>EOMONTH(TableMonthlySummary[[#This Row],[Desde]], 0)</f>
        <v>45077</v>
      </c>
      <c r="E25" s="11">
        <f>SUMIFS(TableDailySummary[Ventas netas totales],TableDailySummary[Fecha],"&gt;="&amp;TableMonthlySummary[[#This Row],[Desde]],TableDailySummary[Fecha],"&lt;="&amp;TableMonthlySummary[[#This Row],[Hasta]])</f>
        <v>0</v>
      </c>
      <c r="F25" s="11">
        <f>SUMIFS(TableDailySummary[Órdenes totales],TableDailySummary[Fecha],"&gt;="&amp;TableMonthlySummary[[#This Row],[Desde]],TableDailySummary[Fecha],"&lt;="&amp;TableMonthlySummary[[#This Row],[Hasta]])</f>
        <v>0</v>
      </c>
      <c r="G25" s="11">
        <f>SUMIFS(TableDailySummary[Ventas primer cliente],TableDailySummary[Fecha],"&gt;="&amp;TableMonthlySummary[[#This Row],[Desde]],TableDailySummary[Fecha],"&lt;="&amp;TableMonthlySummary[[#This Row],[Hasta]])</f>
        <v>0</v>
      </c>
      <c r="H25" s="11">
        <f>SUMIFS(TableDailySummary[Órdenes primer cliente],TableDailySummary[Fecha],"&gt;="&amp;TableMonthlySummary[[#This Row],[Desde]],TableDailySummary[Fecha],"&lt;="&amp;TableMonthlySummary[[#This Row],[Hasta]])</f>
        <v>0</v>
      </c>
      <c r="I25" s="11">
        <f>SUMIFS(TableDailySummary[Online Store_net_sales],TableDailySummary[Fecha],"&gt;="&amp;TableMonthlySummary[[#This Row],[Desde]],TableDailySummary[Fecha],"&lt;="&amp;TableMonthlySummary[[#This Row],[Hasta]])</f>
        <v>0</v>
      </c>
      <c r="J25" s="11">
        <f>SUMIFS(TableDailySummary[Online Store_orders],TableDailySummary[Fecha],"&gt;="&amp;TableMonthlySummary[[#This Row],[Desde]],TableDailySummary[Fecha],"&lt;="&amp;TableMonthlySummary[[#This Row],[Hasta]])</f>
        <v>0</v>
      </c>
      <c r="K25" s="11">
        <f>SUMIFS(TableDailySummary[Tienda 81_net_sales],TableDailySummary[Fecha],"&gt;="&amp;TableMonthlySummary[[#This Row],[Desde]],TableDailySummary[Fecha],"&lt;="&amp;TableMonthlySummary[[#This Row],[Hasta]])</f>
        <v>0</v>
      </c>
      <c r="L25" s="11">
        <f>SUMIFS(TableDailySummary[Tienda 81_orders],TableDailySummary[Fecha],"&gt;="&amp;TableMonthlySummary[[#This Row],[Desde]],TableDailySummary[Fecha],"&lt;="&amp;TableMonthlySummary[[#This Row],[Hasta]])</f>
        <v>0</v>
      </c>
      <c r="M25" s="11">
        <f>SUMIFS(TableDailySummary[Rappi_net_sales],TableDailySummary[Fecha],"&gt;="&amp;TableMonthlySummary[[#This Row],[Desde]],TableDailySummary[Fecha],"&lt;="&amp;TableMonthlySummary[[#This Row],[Hasta]])</f>
        <v>0</v>
      </c>
      <c r="N25" s="11">
        <f>SUMIFS(TableDailySummary[Rappi_orders],TableDailySummary[Fecha],"&gt;="&amp;TableMonthlySummary[[#This Row],[Desde]],TableDailySummary[Fecha],"&lt;="&amp;TableMonthlySummary[[#This Row],[Hasta]])</f>
        <v>0</v>
      </c>
      <c r="O25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5" s="11">
        <f>SUMIFS(TableDailySummary[Corporativo no tienda_orders],TableDailySummary[Fecha],"&gt;="&amp;TableMonthlySummary[[#This Row],[Desde]],TableDailySummary[Fecha],"&lt;="&amp;TableMonthlySummary[[#This Row],[Hasta]])</f>
        <v>0</v>
      </c>
      <c r="Q25" s="11">
        <f>SUMIFS(TableDailySummary[Inversión google ads],TableDailySummary[Fecha],"&gt;="&amp;TableMonthlySummary[[#This Row],[Desde]],TableDailySummary[Fecha],"&lt;="&amp;TableMonthlySummary[[#This Row],[Hasta]])</f>
        <v>0</v>
      </c>
      <c r="R25" s="11">
        <f>SUMIFS(TableDailySummary[Ventas google ads],TableDailySummary[Fecha],"&gt;="&amp;TableMonthlySummary[[#This Row],[Desde]],TableDailySummary[Fecha],"&lt;="&amp;TableMonthlySummary[[#This Row],[Hasta]])</f>
        <v>0</v>
      </c>
      <c r="S25" s="11">
        <f>SUMIFS(TableDailySummary[Inversión meta ads],TableDailySummary[Fecha],"&gt;="&amp;TableMonthlySummary[[#This Row],[Desde]],TableDailySummary[Fecha],"&lt;="&amp;TableMonthlySummary[[#This Row],[Hasta]])</f>
        <v>0</v>
      </c>
      <c r="T25" s="11">
        <f>SUMIFS(TableDailySummary[Ventas meta ads],TableDailySummary[Fecha],"&gt;="&amp;TableMonthlySummary[[#This Row],[Desde]],TableDailySummary[Fecha],"&lt;="&amp;TableMonthlySummary[[#This Row],[Hasta]])</f>
        <v>0</v>
      </c>
      <c r="U25" s="11">
        <f>TableMonthlySummary[[#This Row],[Inversión google ads]]+TableMonthlySummary[[#This Row],[Inversión meta ads]]</f>
        <v>0</v>
      </c>
      <c r="V25" s="11">
        <f>TableMonthlySummary[[#This Row],[Ventas google ads]]+TableMonthlySummary[[#This Row],[Ventas meta ads]]</f>
        <v>0</v>
      </c>
      <c r="W25" s="14">
        <f>IFERROR(TableMonthlySummary[[#This Row],[Ventas publicidad]]/TableMonthlySummary[[#This Row],[Inversión publicidad]],0)</f>
        <v>0</v>
      </c>
      <c r="X25" s="14">
        <f>IFERROR(TableMonthlySummary[[#This Row],[Ventas primer cliente]]/TableMonthlySummary[[#This Row],[Inversión publicidad]],0)</f>
        <v>0</v>
      </c>
      <c r="Y25" s="14">
        <f>IFERROR(1/TableMonthlySummary[[#This Row],[Contribución %]],0)</f>
        <v>0</v>
      </c>
      <c r="Z25" s="14"/>
      <c r="AA25" s="11"/>
      <c r="AB25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5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5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5" s="11">
        <f>SUMIFS(AccountingReport[costs_fixed],AccountingReport[period],TableMonthlySummary[[#This Row],[Desde]])</f>
        <v>0</v>
      </c>
      <c r="AF25" s="17">
        <f>TableMonthlySummary[[#This Row],[Ventas netas totales]]-TableMonthlySummary[[#This Row],[Costos variables totales]]-TableMonthlySummary[[#This Row],[Costos fijos]]</f>
        <v>0</v>
      </c>
      <c r="AG25" s="18">
        <f>IFERROR(TableMonthlySummary[[#This Row],[Contribución $]] / TableMonthlySummary[[#This Row],[Ventas netas totales]],0)</f>
        <v>0</v>
      </c>
      <c r="AH25" s="11">
        <f>IFERROR(TableMonthlySummary[[#This Row],[Costos de publicidad totales]]/TableMonthlySummary[[#This Row],[Órdenes primer cliente]],0)</f>
        <v>0</v>
      </c>
      <c r="AI25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5" s="11">
        <f>SUMIFS(TableDailySummary[Costo de ventas registrado],TableDailySummary[Fecha],"&gt;="&amp;TableMonthlySummary[[#This Row],[Desde]],TableDailySummary[Fecha],"&lt;="&amp;TableMonthlySummary[[#This Row],[Hasta]])</f>
        <v>0</v>
      </c>
      <c r="AK25" s="11">
        <f>SUMIFS(TableDailySummary[Utilidad bruta],TableDailySummary[Fecha],"&gt;="&amp;TableMonthlySummary[[#This Row],[Desde]],TableDailySummary[Fecha],"&lt;="&amp;TableMonthlySummary[[#This Row],[Hasta]])</f>
        <v>0</v>
      </c>
      <c r="AL25" s="18">
        <f>IFERROR(TableMonthlySummary[[#This Row],[Utilidad bruta]]/TableMonthlySummary[[#This Row],[Ventas netas con costo registrado]],0)</f>
        <v>0</v>
      </c>
    </row>
    <row r="26" spans="2:38" x14ac:dyDescent="0.2">
      <c r="B26" s="16">
        <f>MONTH(TableMonthlySummary[[#This Row],[Hasta]])</f>
        <v>6</v>
      </c>
      <c r="C26" s="6">
        <f t="shared" si="0"/>
        <v>45082</v>
      </c>
      <c r="D26" s="6">
        <f>EOMONTH(TableMonthlySummary[[#This Row],[Desde]], 0)</f>
        <v>45107</v>
      </c>
      <c r="E26" s="11">
        <f>SUMIFS(TableDailySummary[Ventas netas totales],TableDailySummary[Fecha],"&gt;="&amp;TableMonthlySummary[[#This Row],[Desde]],TableDailySummary[Fecha],"&lt;="&amp;TableMonthlySummary[[#This Row],[Hasta]])</f>
        <v>0</v>
      </c>
      <c r="F26" s="11">
        <f>SUMIFS(TableDailySummary[Órdenes totales],TableDailySummary[Fecha],"&gt;="&amp;TableMonthlySummary[[#This Row],[Desde]],TableDailySummary[Fecha],"&lt;="&amp;TableMonthlySummary[[#This Row],[Hasta]])</f>
        <v>0</v>
      </c>
      <c r="G26" s="11">
        <f>SUMIFS(TableDailySummary[Ventas primer cliente],TableDailySummary[Fecha],"&gt;="&amp;TableMonthlySummary[[#This Row],[Desde]],TableDailySummary[Fecha],"&lt;="&amp;TableMonthlySummary[[#This Row],[Hasta]])</f>
        <v>0</v>
      </c>
      <c r="H26" s="11">
        <f>SUMIFS(TableDailySummary[Órdenes primer cliente],TableDailySummary[Fecha],"&gt;="&amp;TableMonthlySummary[[#This Row],[Desde]],TableDailySummary[Fecha],"&lt;="&amp;TableMonthlySummary[[#This Row],[Hasta]])</f>
        <v>0</v>
      </c>
      <c r="I26" s="11">
        <f>SUMIFS(TableDailySummary[Online Store_net_sales],TableDailySummary[Fecha],"&gt;="&amp;TableMonthlySummary[[#This Row],[Desde]],TableDailySummary[Fecha],"&lt;="&amp;TableMonthlySummary[[#This Row],[Hasta]])</f>
        <v>0</v>
      </c>
      <c r="J26" s="11">
        <f>SUMIFS(TableDailySummary[Online Store_orders],TableDailySummary[Fecha],"&gt;="&amp;TableMonthlySummary[[#This Row],[Desde]],TableDailySummary[Fecha],"&lt;="&amp;TableMonthlySummary[[#This Row],[Hasta]])</f>
        <v>0</v>
      </c>
      <c r="K26" s="11">
        <f>SUMIFS(TableDailySummary[Tienda 81_net_sales],TableDailySummary[Fecha],"&gt;="&amp;TableMonthlySummary[[#This Row],[Desde]],TableDailySummary[Fecha],"&lt;="&amp;TableMonthlySummary[[#This Row],[Hasta]])</f>
        <v>0</v>
      </c>
      <c r="L26" s="11">
        <f>SUMIFS(TableDailySummary[Tienda 81_orders],TableDailySummary[Fecha],"&gt;="&amp;TableMonthlySummary[[#This Row],[Desde]],TableDailySummary[Fecha],"&lt;="&amp;TableMonthlySummary[[#This Row],[Hasta]])</f>
        <v>0</v>
      </c>
      <c r="M26" s="11">
        <f>SUMIFS(TableDailySummary[Rappi_net_sales],TableDailySummary[Fecha],"&gt;="&amp;TableMonthlySummary[[#This Row],[Desde]],TableDailySummary[Fecha],"&lt;="&amp;TableMonthlySummary[[#This Row],[Hasta]])</f>
        <v>0</v>
      </c>
      <c r="N26" s="11">
        <f>SUMIFS(TableDailySummary[Rappi_orders],TableDailySummary[Fecha],"&gt;="&amp;TableMonthlySummary[[#This Row],[Desde]],TableDailySummary[Fecha],"&lt;="&amp;TableMonthlySummary[[#This Row],[Hasta]])</f>
        <v>0</v>
      </c>
      <c r="O26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6" s="11">
        <f>SUMIFS(TableDailySummary[Corporativo no tienda_orders],TableDailySummary[Fecha],"&gt;="&amp;TableMonthlySummary[[#This Row],[Desde]],TableDailySummary[Fecha],"&lt;="&amp;TableMonthlySummary[[#This Row],[Hasta]])</f>
        <v>0</v>
      </c>
      <c r="Q26" s="11">
        <f>SUMIFS(TableDailySummary[Inversión google ads],TableDailySummary[Fecha],"&gt;="&amp;TableMonthlySummary[[#This Row],[Desde]],TableDailySummary[Fecha],"&lt;="&amp;TableMonthlySummary[[#This Row],[Hasta]])</f>
        <v>0</v>
      </c>
      <c r="R26" s="11">
        <f>SUMIFS(TableDailySummary[Ventas google ads],TableDailySummary[Fecha],"&gt;="&amp;TableMonthlySummary[[#This Row],[Desde]],TableDailySummary[Fecha],"&lt;="&amp;TableMonthlySummary[[#This Row],[Hasta]])</f>
        <v>0</v>
      </c>
      <c r="S26" s="11">
        <f>SUMIFS(TableDailySummary[Inversión meta ads],TableDailySummary[Fecha],"&gt;="&amp;TableMonthlySummary[[#This Row],[Desde]],TableDailySummary[Fecha],"&lt;="&amp;TableMonthlySummary[[#This Row],[Hasta]])</f>
        <v>0</v>
      </c>
      <c r="T26" s="11">
        <f>SUMIFS(TableDailySummary[Ventas meta ads],TableDailySummary[Fecha],"&gt;="&amp;TableMonthlySummary[[#This Row],[Desde]],TableDailySummary[Fecha],"&lt;="&amp;TableMonthlySummary[[#This Row],[Hasta]])</f>
        <v>0</v>
      </c>
      <c r="U26" s="11">
        <f>TableMonthlySummary[[#This Row],[Inversión google ads]]+TableMonthlySummary[[#This Row],[Inversión meta ads]]</f>
        <v>0</v>
      </c>
      <c r="V26" s="11">
        <f>TableMonthlySummary[[#This Row],[Ventas google ads]]+TableMonthlySummary[[#This Row],[Ventas meta ads]]</f>
        <v>0</v>
      </c>
      <c r="W26" s="14">
        <f>IFERROR(TableMonthlySummary[[#This Row],[Ventas publicidad]]/TableMonthlySummary[[#This Row],[Inversión publicidad]],0)</f>
        <v>0</v>
      </c>
      <c r="X26" s="14">
        <f>IFERROR(TableMonthlySummary[[#This Row],[Ventas primer cliente]]/TableMonthlySummary[[#This Row],[Inversión publicidad]],0)</f>
        <v>0</v>
      </c>
      <c r="Y26" s="14">
        <f>IFERROR(1/TableMonthlySummary[[#This Row],[Contribución %]],0)</f>
        <v>0</v>
      </c>
      <c r="Z26" s="14"/>
      <c r="AA26" s="11"/>
      <c r="AB26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6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6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6" s="11">
        <f>SUMIFS(AccountingReport[costs_fixed],AccountingReport[period],TableMonthlySummary[[#This Row],[Desde]])</f>
        <v>0</v>
      </c>
      <c r="AF26" s="17">
        <f>TableMonthlySummary[[#This Row],[Ventas netas totales]]-TableMonthlySummary[[#This Row],[Costos variables totales]]-TableMonthlySummary[[#This Row],[Costos fijos]]</f>
        <v>0</v>
      </c>
      <c r="AG26" s="18">
        <f>IFERROR(TableMonthlySummary[[#This Row],[Contribución $]] / TableMonthlySummary[[#This Row],[Ventas netas totales]],0)</f>
        <v>0</v>
      </c>
      <c r="AH26" s="11">
        <f>IFERROR(TableMonthlySummary[[#This Row],[Costos de publicidad totales]]/TableMonthlySummary[[#This Row],[Órdenes primer cliente]],0)</f>
        <v>0</v>
      </c>
      <c r="AI26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6" s="11">
        <f>SUMIFS(TableDailySummary[Costo de ventas registrado],TableDailySummary[Fecha],"&gt;="&amp;TableMonthlySummary[[#This Row],[Desde]],TableDailySummary[Fecha],"&lt;="&amp;TableMonthlySummary[[#This Row],[Hasta]])</f>
        <v>0</v>
      </c>
      <c r="AK26" s="11">
        <f>SUMIFS(TableDailySummary[Utilidad bruta],TableDailySummary[Fecha],"&gt;="&amp;TableMonthlySummary[[#This Row],[Desde]],TableDailySummary[Fecha],"&lt;="&amp;TableMonthlySummary[[#This Row],[Hasta]])</f>
        <v>0</v>
      </c>
      <c r="AL26" s="18">
        <f>IFERROR(TableMonthlySummary[[#This Row],[Utilidad bruta]]/TableMonthlySummary[[#This Row],[Ventas netas con costo registrado]],0)</f>
        <v>0</v>
      </c>
    </row>
    <row r="27" spans="2:38" x14ac:dyDescent="0.2">
      <c r="B27" s="16">
        <f>MONTH(TableMonthlySummary[[#This Row],[Hasta]])</f>
        <v>7</v>
      </c>
      <c r="C27" s="6">
        <f t="shared" si="0"/>
        <v>45112</v>
      </c>
      <c r="D27" s="6">
        <f>EOMONTH(TableMonthlySummary[[#This Row],[Desde]], 0)</f>
        <v>45138</v>
      </c>
      <c r="E27" s="11">
        <f>SUMIFS(TableDailySummary[Ventas netas totales],TableDailySummary[Fecha],"&gt;="&amp;TableMonthlySummary[[#This Row],[Desde]],TableDailySummary[Fecha],"&lt;="&amp;TableMonthlySummary[[#This Row],[Hasta]])</f>
        <v>0</v>
      </c>
      <c r="F27" s="11">
        <f>SUMIFS(TableDailySummary[Órdenes totales],TableDailySummary[Fecha],"&gt;="&amp;TableMonthlySummary[[#This Row],[Desde]],TableDailySummary[Fecha],"&lt;="&amp;TableMonthlySummary[[#This Row],[Hasta]])</f>
        <v>0</v>
      </c>
      <c r="G27" s="11">
        <f>SUMIFS(TableDailySummary[Ventas primer cliente],TableDailySummary[Fecha],"&gt;="&amp;TableMonthlySummary[[#This Row],[Desde]],TableDailySummary[Fecha],"&lt;="&amp;TableMonthlySummary[[#This Row],[Hasta]])</f>
        <v>0</v>
      </c>
      <c r="H27" s="11">
        <f>SUMIFS(TableDailySummary[Órdenes primer cliente],TableDailySummary[Fecha],"&gt;="&amp;TableMonthlySummary[[#This Row],[Desde]],TableDailySummary[Fecha],"&lt;="&amp;TableMonthlySummary[[#This Row],[Hasta]])</f>
        <v>0</v>
      </c>
      <c r="I27" s="11">
        <f>SUMIFS(TableDailySummary[Online Store_net_sales],TableDailySummary[Fecha],"&gt;="&amp;TableMonthlySummary[[#This Row],[Desde]],TableDailySummary[Fecha],"&lt;="&amp;TableMonthlySummary[[#This Row],[Hasta]])</f>
        <v>0</v>
      </c>
      <c r="J27" s="11">
        <f>SUMIFS(TableDailySummary[Online Store_orders],TableDailySummary[Fecha],"&gt;="&amp;TableMonthlySummary[[#This Row],[Desde]],TableDailySummary[Fecha],"&lt;="&amp;TableMonthlySummary[[#This Row],[Hasta]])</f>
        <v>0</v>
      </c>
      <c r="K27" s="11">
        <f>SUMIFS(TableDailySummary[Tienda 81_net_sales],TableDailySummary[Fecha],"&gt;="&amp;TableMonthlySummary[[#This Row],[Desde]],TableDailySummary[Fecha],"&lt;="&amp;TableMonthlySummary[[#This Row],[Hasta]])</f>
        <v>0</v>
      </c>
      <c r="L27" s="11">
        <f>SUMIFS(TableDailySummary[Tienda 81_orders],TableDailySummary[Fecha],"&gt;="&amp;TableMonthlySummary[[#This Row],[Desde]],TableDailySummary[Fecha],"&lt;="&amp;TableMonthlySummary[[#This Row],[Hasta]])</f>
        <v>0</v>
      </c>
      <c r="M27" s="11">
        <f>SUMIFS(TableDailySummary[Rappi_net_sales],TableDailySummary[Fecha],"&gt;="&amp;TableMonthlySummary[[#This Row],[Desde]],TableDailySummary[Fecha],"&lt;="&amp;TableMonthlySummary[[#This Row],[Hasta]])</f>
        <v>0</v>
      </c>
      <c r="N27" s="11">
        <f>SUMIFS(TableDailySummary[Rappi_orders],TableDailySummary[Fecha],"&gt;="&amp;TableMonthlySummary[[#This Row],[Desde]],TableDailySummary[Fecha],"&lt;="&amp;TableMonthlySummary[[#This Row],[Hasta]])</f>
        <v>0</v>
      </c>
      <c r="O27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7" s="11">
        <f>SUMIFS(TableDailySummary[Corporativo no tienda_orders],TableDailySummary[Fecha],"&gt;="&amp;TableMonthlySummary[[#This Row],[Desde]],TableDailySummary[Fecha],"&lt;="&amp;TableMonthlySummary[[#This Row],[Hasta]])</f>
        <v>0</v>
      </c>
      <c r="Q27" s="11">
        <f>SUMIFS(TableDailySummary[Inversión google ads],TableDailySummary[Fecha],"&gt;="&amp;TableMonthlySummary[[#This Row],[Desde]],TableDailySummary[Fecha],"&lt;="&amp;TableMonthlySummary[[#This Row],[Hasta]])</f>
        <v>0</v>
      </c>
      <c r="R27" s="11">
        <f>SUMIFS(TableDailySummary[Ventas google ads],TableDailySummary[Fecha],"&gt;="&amp;TableMonthlySummary[[#This Row],[Desde]],TableDailySummary[Fecha],"&lt;="&amp;TableMonthlySummary[[#This Row],[Hasta]])</f>
        <v>0</v>
      </c>
      <c r="S27" s="11">
        <f>SUMIFS(TableDailySummary[Inversión meta ads],TableDailySummary[Fecha],"&gt;="&amp;TableMonthlySummary[[#This Row],[Desde]],TableDailySummary[Fecha],"&lt;="&amp;TableMonthlySummary[[#This Row],[Hasta]])</f>
        <v>0</v>
      </c>
      <c r="T27" s="11">
        <f>SUMIFS(TableDailySummary[Ventas meta ads],TableDailySummary[Fecha],"&gt;="&amp;TableMonthlySummary[[#This Row],[Desde]],TableDailySummary[Fecha],"&lt;="&amp;TableMonthlySummary[[#This Row],[Hasta]])</f>
        <v>0</v>
      </c>
      <c r="U27" s="11">
        <f>TableMonthlySummary[[#This Row],[Inversión google ads]]+TableMonthlySummary[[#This Row],[Inversión meta ads]]</f>
        <v>0</v>
      </c>
      <c r="V27" s="11">
        <f>TableMonthlySummary[[#This Row],[Ventas google ads]]+TableMonthlySummary[[#This Row],[Ventas meta ads]]</f>
        <v>0</v>
      </c>
      <c r="W27" s="14">
        <f>IFERROR(TableMonthlySummary[[#This Row],[Ventas publicidad]]/TableMonthlySummary[[#This Row],[Inversión publicidad]],0)</f>
        <v>0</v>
      </c>
      <c r="X27" s="14">
        <f>IFERROR(TableMonthlySummary[[#This Row],[Ventas primer cliente]]/TableMonthlySummary[[#This Row],[Inversión publicidad]],0)</f>
        <v>0</v>
      </c>
      <c r="Y27" s="14">
        <f>IFERROR(1/TableMonthlySummary[[#This Row],[Contribución %]],0)</f>
        <v>0</v>
      </c>
      <c r="Z27" s="14"/>
      <c r="AA27" s="11"/>
      <c r="AB27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7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7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7" s="11">
        <f>SUMIFS(AccountingReport[costs_fixed],AccountingReport[period],TableMonthlySummary[[#This Row],[Desde]])</f>
        <v>0</v>
      </c>
      <c r="AF27" s="17">
        <f>TableMonthlySummary[[#This Row],[Ventas netas totales]]-TableMonthlySummary[[#This Row],[Costos variables totales]]-TableMonthlySummary[[#This Row],[Costos fijos]]</f>
        <v>0</v>
      </c>
      <c r="AG27" s="18">
        <f>IFERROR(TableMonthlySummary[[#This Row],[Contribución $]] / TableMonthlySummary[[#This Row],[Ventas netas totales]],0)</f>
        <v>0</v>
      </c>
      <c r="AH27" s="11">
        <f>IFERROR(TableMonthlySummary[[#This Row],[Costos de publicidad totales]]/TableMonthlySummary[[#This Row],[Órdenes primer cliente]],0)</f>
        <v>0</v>
      </c>
      <c r="AI27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7" s="11">
        <f>SUMIFS(TableDailySummary[Costo de ventas registrado],TableDailySummary[Fecha],"&gt;="&amp;TableMonthlySummary[[#This Row],[Desde]],TableDailySummary[Fecha],"&lt;="&amp;TableMonthlySummary[[#This Row],[Hasta]])</f>
        <v>0</v>
      </c>
      <c r="AK27" s="11">
        <f>SUMIFS(TableDailySummary[Utilidad bruta],TableDailySummary[Fecha],"&gt;="&amp;TableMonthlySummary[[#This Row],[Desde]],TableDailySummary[Fecha],"&lt;="&amp;TableMonthlySummary[[#This Row],[Hasta]])</f>
        <v>0</v>
      </c>
      <c r="AL27" s="18">
        <f>IFERROR(TableMonthlySummary[[#This Row],[Utilidad bruta]]/TableMonthlySummary[[#This Row],[Ventas netas con costo registrado]],0)</f>
        <v>0</v>
      </c>
    </row>
    <row r="28" spans="2:38" x14ac:dyDescent="0.2">
      <c r="B28" s="16">
        <f>MONTH(TableMonthlySummary[[#This Row],[Hasta]])</f>
        <v>8</v>
      </c>
      <c r="C28" s="6">
        <f t="shared" si="0"/>
        <v>45143</v>
      </c>
      <c r="D28" s="6">
        <f>EOMONTH(TableMonthlySummary[[#This Row],[Desde]], 0)</f>
        <v>45169</v>
      </c>
      <c r="E28" s="11">
        <f>SUMIFS(TableDailySummary[Ventas netas totales],TableDailySummary[Fecha],"&gt;="&amp;TableMonthlySummary[[#This Row],[Desde]],TableDailySummary[Fecha],"&lt;="&amp;TableMonthlySummary[[#This Row],[Hasta]])</f>
        <v>0</v>
      </c>
      <c r="F28" s="11">
        <f>SUMIFS(TableDailySummary[Órdenes totales],TableDailySummary[Fecha],"&gt;="&amp;TableMonthlySummary[[#This Row],[Desde]],TableDailySummary[Fecha],"&lt;="&amp;TableMonthlySummary[[#This Row],[Hasta]])</f>
        <v>0</v>
      </c>
      <c r="G28" s="11">
        <f>SUMIFS(TableDailySummary[Ventas primer cliente],TableDailySummary[Fecha],"&gt;="&amp;TableMonthlySummary[[#This Row],[Desde]],TableDailySummary[Fecha],"&lt;="&amp;TableMonthlySummary[[#This Row],[Hasta]])</f>
        <v>0</v>
      </c>
      <c r="H28" s="11">
        <f>SUMIFS(TableDailySummary[Órdenes primer cliente],TableDailySummary[Fecha],"&gt;="&amp;TableMonthlySummary[[#This Row],[Desde]],TableDailySummary[Fecha],"&lt;="&amp;TableMonthlySummary[[#This Row],[Hasta]])</f>
        <v>0</v>
      </c>
      <c r="I28" s="11">
        <f>SUMIFS(TableDailySummary[Online Store_net_sales],TableDailySummary[Fecha],"&gt;="&amp;TableMonthlySummary[[#This Row],[Desde]],TableDailySummary[Fecha],"&lt;="&amp;TableMonthlySummary[[#This Row],[Hasta]])</f>
        <v>0</v>
      </c>
      <c r="J28" s="11">
        <f>SUMIFS(TableDailySummary[Online Store_orders],TableDailySummary[Fecha],"&gt;="&amp;TableMonthlySummary[[#This Row],[Desde]],TableDailySummary[Fecha],"&lt;="&amp;TableMonthlySummary[[#This Row],[Hasta]])</f>
        <v>0</v>
      </c>
      <c r="K28" s="11">
        <f>SUMIFS(TableDailySummary[Tienda 81_net_sales],TableDailySummary[Fecha],"&gt;="&amp;TableMonthlySummary[[#This Row],[Desde]],TableDailySummary[Fecha],"&lt;="&amp;TableMonthlySummary[[#This Row],[Hasta]])</f>
        <v>0</v>
      </c>
      <c r="L28" s="11">
        <f>SUMIFS(TableDailySummary[Tienda 81_orders],TableDailySummary[Fecha],"&gt;="&amp;TableMonthlySummary[[#This Row],[Desde]],TableDailySummary[Fecha],"&lt;="&amp;TableMonthlySummary[[#This Row],[Hasta]])</f>
        <v>0</v>
      </c>
      <c r="M28" s="11">
        <f>SUMIFS(TableDailySummary[Rappi_net_sales],TableDailySummary[Fecha],"&gt;="&amp;TableMonthlySummary[[#This Row],[Desde]],TableDailySummary[Fecha],"&lt;="&amp;TableMonthlySummary[[#This Row],[Hasta]])</f>
        <v>0</v>
      </c>
      <c r="N28" s="11">
        <f>SUMIFS(TableDailySummary[Rappi_orders],TableDailySummary[Fecha],"&gt;="&amp;TableMonthlySummary[[#This Row],[Desde]],TableDailySummary[Fecha],"&lt;="&amp;TableMonthlySummary[[#This Row],[Hasta]])</f>
        <v>0</v>
      </c>
      <c r="O28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8" s="11">
        <f>SUMIFS(TableDailySummary[Corporativo no tienda_orders],TableDailySummary[Fecha],"&gt;="&amp;TableMonthlySummary[[#This Row],[Desde]],TableDailySummary[Fecha],"&lt;="&amp;TableMonthlySummary[[#This Row],[Hasta]])</f>
        <v>0</v>
      </c>
      <c r="Q28" s="11">
        <f>SUMIFS(TableDailySummary[Inversión google ads],TableDailySummary[Fecha],"&gt;="&amp;TableMonthlySummary[[#This Row],[Desde]],TableDailySummary[Fecha],"&lt;="&amp;TableMonthlySummary[[#This Row],[Hasta]])</f>
        <v>0</v>
      </c>
      <c r="R28" s="11">
        <f>SUMIFS(TableDailySummary[Ventas google ads],TableDailySummary[Fecha],"&gt;="&amp;TableMonthlySummary[[#This Row],[Desde]],TableDailySummary[Fecha],"&lt;="&amp;TableMonthlySummary[[#This Row],[Hasta]])</f>
        <v>0</v>
      </c>
      <c r="S28" s="11">
        <f>SUMIFS(TableDailySummary[Inversión meta ads],TableDailySummary[Fecha],"&gt;="&amp;TableMonthlySummary[[#This Row],[Desde]],TableDailySummary[Fecha],"&lt;="&amp;TableMonthlySummary[[#This Row],[Hasta]])</f>
        <v>0</v>
      </c>
      <c r="T28" s="11">
        <f>SUMIFS(TableDailySummary[Ventas meta ads],TableDailySummary[Fecha],"&gt;="&amp;TableMonthlySummary[[#This Row],[Desde]],TableDailySummary[Fecha],"&lt;="&amp;TableMonthlySummary[[#This Row],[Hasta]])</f>
        <v>0</v>
      </c>
      <c r="U28" s="11">
        <f>TableMonthlySummary[[#This Row],[Inversión google ads]]+TableMonthlySummary[[#This Row],[Inversión meta ads]]</f>
        <v>0</v>
      </c>
      <c r="V28" s="11">
        <f>TableMonthlySummary[[#This Row],[Ventas google ads]]+TableMonthlySummary[[#This Row],[Ventas meta ads]]</f>
        <v>0</v>
      </c>
      <c r="W28" s="14">
        <f>IFERROR(TableMonthlySummary[[#This Row],[Ventas publicidad]]/TableMonthlySummary[[#This Row],[Inversión publicidad]],0)</f>
        <v>0</v>
      </c>
      <c r="X28" s="14">
        <f>IFERROR(TableMonthlySummary[[#This Row],[Ventas primer cliente]]/TableMonthlySummary[[#This Row],[Inversión publicidad]],0)</f>
        <v>0</v>
      </c>
      <c r="Y28" s="14">
        <f>IFERROR(1/TableMonthlySummary[[#This Row],[Contribución %]],0)</f>
        <v>0</v>
      </c>
      <c r="Z28" s="14"/>
      <c r="AA28" s="11"/>
      <c r="AB28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8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8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8" s="11">
        <f>SUMIFS(AccountingReport[costs_fixed],AccountingReport[period],TableMonthlySummary[[#This Row],[Desde]])</f>
        <v>0</v>
      </c>
      <c r="AF28" s="17">
        <f>TableMonthlySummary[[#This Row],[Ventas netas totales]]-TableMonthlySummary[[#This Row],[Costos variables totales]]-TableMonthlySummary[[#This Row],[Costos fijos]]</f>
        <v>0</v>
      </c>
      <c r="AG28" s="18">
        <f>IFERROR(TableMonthlySummary[[#This Row],[Contribución $]] / TableMonthlySummary[[#This Row],[Ventas netas totales]],0)</f>
        <v>0</v>
      </c>
      <c r="AH28" s="11">
        <f>IFERROR(TableMonthlySummary[[#This Row],[Costos de publicidad totales]]/TableMonthlySummary[[#This Row],[Órdenes primer cliente]],0)</f>
        <v>0</v>
      </c>
      <c r="AI28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8" s="11">
        <f>SUMIFS(TableDailySummary[Costo de ventas registrado],TableDailySummary[Fecha],"&gt;="&amp;TableMonthlySummary[[#This Row],[Desde]],TableDailySummary[Fecha],"&lt;="&amp;TableMonthlySummary[[#This Row],[Hasta]])</f>
        <v>0</v>
      </c>
      <c r="AK28" s="11">
        <f>SUMIFS(TableDailySummary[Utilidad bruta],TableDailySummary[Fecha],"&gt;="&amp;TableMonthlySummary[[#This Row],[Desde]],TableDailySummary[Fecha],"&lt;="&amp;TableMonthlySummary[[#This Row],[Hasta]])</f>
        <v>0</v>
      </c>
      <c r="AL28" s="18">
        <f>IFERROR(TableMonthlySummary[[#This Row],[Utilidad bruta]]/TableMonthlySummary[[#This Row],[Ventas netas con costo registrado]],0)</f>
        <v>0</v>
      </c>
    </row>
    <row r="29" spans="2:38" x14ac:dyDescent="0.2">
      <c r="B29" s="16">
        <f>MONTH(TableMonthlySummary[[#This Row],[Hasta]])</f>
        <v>9</v>
      </c>
      <c r="C29" s="6">
        <f t="shared" si="0"/>
        <v>45174</v>
      </c>
      <c r="D29" s="6">
        <f>EOMONTH(TableMonthlySummary[[#This Row],[Desde]], 0)</f>
        <v>45199</v>
      </c>
      <c r="E29" s="11">
        <f>SUMIFS(TableDailySummary[Ventas netas totales],TableDailySummary[Fecha],"&gt;="&amp;TableMonthlySummary[[#This Row],[Desde]],TableDailySummary[Fecha],"&lt;="&amp;TableMonthlySummary[[#This Row],[Hasta]])</f>
        <v>0</v>
      </c>
      <c r="F29" s="11">
        <f>SUMIFS(TableDailySummary[Órdenes totales],TableDailySummary[Fecha],"&gt;="&amp;TableMonthlySummary[[#This Row],[Desde]],TableDailySummary[Fecha],"&lt;="&amp;TableMonthlySummary[[#This Row],[Hasta]])</f>
        <v>0</v>
      </c>
      <c r="G29" s="11">
        <f>SUMIFS(TableDailySummary[Ventas primer cliente],TableDailySummary[Fecha],"&gt;="&amp;TableMonthlySummary[[#This Row],[Desde]],TableDailySummary[Fecha],"&lt;="&amp;TableMonthlySummary[[#This Row],[Hasta]])</f>
        <v>0</v>
      </c>
      <c r="H29" s="11">
        <f>SUMIFS(TableDailySummary[Órdenes primer cliente],TableDailySummary[Fecha],"&gt;="&amp;TableMonthlySummary[[#This Row],[Desde]],TableDailySummary[Fecha],"&lt;="&amp;TableMonthlySummary[[#This Row],[Hasta]])</f>
        <v>0</v>
      </c>
      <c r="I29" s="11">
        <f>SUMIFS(TableDailySummary[Online Store_net_sales],TableDailySummary[Fecha],"&gt;="&amp;TableMonthlySummary[[#This Row],[Desde]],TableDailySummary[Fecha],"&lt;="&amp;TableMonthlySummary[[#This Row],[Hasta]])</f>
        <v>0</v>
      </c>
      <c r="J29" s="11">
        <f>SUMIFS(TableDailySummary[Online Store_orders],TableDailySummary[Fecha],"&gt;="&amp;TableMonthlySummary[[#This Row],[Desde]],TableDailySummary[Fecha],"&lt;="&amp;TableMonthlySummary[[#This Row],[Hasta]])</f>
        <v>0</v>
      </c>
      <c r="K29" s="11">
        <f>SUMIFS(TableDailySummary[Tienda 81_net_sales],TableDailySummary[Fecha],"&gt;="&amp;TableMonthlySummary[[#This Row],[Desde]],TableDailySummary[Fecha],"&lt;="&amp;TableMonthlySummary[[#This Row],[Hasta]])</f>
        <v>0</v>
      </c>
      <c r="L29" s="11">
        <f>SUMIFS(TableDailySummary[Tienda 81_orders],TableDailySummary[Fecha],"&gt;="&amp;TableMonthlySummary[[#This Row],[Desde]],TableDailySummary[Fecha],"&lt;="&amp;TableMonthlySummary[[#This Row],[Hasta]])</f>
        <v>0</v>
      </c>
      <c r="M29" s="11">
        <f>SUMIFS(TableDailySummary[Rappi_net_sales],TableDailySummary[Fecha],"&gt;="&amp;TableMonthlySummary[[#This Row],[Desde]],TableDailySummary[Fecha],"&lt;="&amp;TableMonthlySummary[[#This Row],[Hasta]])</f>
        <v>0</v>
      </c>
      <c r="N29" s="11">
        <f>SUMIFS(TableDailySummary[Rappi_orders],TableDailySummary[Fecha],"&gt;="&amp;TableMonthlySummary[[#This Row],[Desde]],TableDailySummary[Fecha],"&lt;="&amp;TableMonthlySummary[[#This Row],[Hasta]])</f>
        <v>0</v>
      </c>
      <c r="O29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29" s="11">
        <f>SUMIFS(TableDailySummary[Corporativo no tienda_orders],TableDailySummary[Fecha],"&gt;="&amp;TableMonthlySummary[[#This Row],[Desde]],TableDailySummary[Fecha],"&lt;="&amp;TableMonthlySummary[[#This Row],[Hasta]])</f>
        <v>0</v>
      </c>
      <c r="Q29" s="11">
        <f>SUMIFS(TableDailySummary[Inversión google ads],TableDailySummary[Fecha],"&gt;="&amp;TableMonthlySummary[[#This Row],[Desde]],TableDailySummary[Fecha],"&lt;="&amp;TableMonthlySummary[[#This Row],[Hasta]])</f>
        <v>0</v>
      </c>
      <c r="R29" s="11">
        <f>SUMIFS(TableDailySummary[Ventas google ads],TableDailySummary[Fecha],"&gt;="&amp;TableMonthlySummary[[#This Row],[Desde]],TableDailySummary[Fecha],"&lt;="&amp;TableMonthlySummary[[#This Row],[Hasta]])</f>
        <v>0</v>
      </c>
      <c r="S29" s="11">
        <f>SUMIFS(TableDailySummary[Inversión meta ads],TableDailySummary[Fecha],"&gt;="&amp;TableMonthlySummary[[#This Row],[Desde]],TableDailySummary[Fecha],"&lt;="&amp;TableMonthlySummary[[#This Row],[Hasta]])</f>
        <v>0</v>
      </c>
      <c r="T29" s="11">
        <f>SUMIFS(TableDailySummary[Ventas meta ads],TableDailySummary[Fecha],"&gt;="&amp;TableMonthlySummary[[#This Row],[Desde]],TableDailySummary[Fecha],"&lt;="&amp;TableMonthlySummary[[#This Row],[Hasta]])</f>
        <v>0</v>
      </c>
      <c r="U29" s="11">
        <f>TableMonthlySummary[[#This Row],[Inversión google ads]]+TableMonthlySummary[[#This Row],[Inversión meta ads]]</f>
        <v>0</v>
      </c>
      <c r="V29" s="11">
        <f>TableMonthlySummary[[#This Row],[Ventas google ads]]+TableMonthlySummary[[#This Row],[Ventas meta ads]]</f>
        <v>0</v>
      </c>
      <c r="W29" s="14">
        <f>IFERROR(TableMonthlySummary[[#This Row],[Ventas publicidad]]/TableMonthlySummary[[#This Row],[Inversión publicidad]],0)</f>
        <v>0</v>
      </c>
      <c r="X29" s="14">
        <f>IFERROR(TableMonthlySummary[[#This Row],[Ventas primer cliente]]/TableMonthlySummary[[#This Row],[Inversión publicidad]],0)</f>
        <v>0</v>
      </c>
      <c r="Y29" s="14">
        <f>IFERROR(1/TableMonthlySummary[[#This Row],[Contribución %]],0)</f>
        <v>0</v>
      </c>
      <c r="Z29" s="14"/>
      <c r="AA29" s="11"/>
      <c r="AB29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29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29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29" s="11">
        <f>SUMIFS(AccountingReport[costs_fixed],AccountingReport[period],TableMonthlySummary[[#This Row],[Desde]])</f>
        <v>0</v>
      </c>
      <c r="AF29" s="17">
        <f>TableMonthlySummary[[#This Row],[Ventas netas totales]]-TableMonthlySummary[[#This Row],[Costos variables totales]]-TableMonthlySummary[[#This Row],[Costos fijos]]</f>
        <v>0</v>
      </c>
      <c r="AG29" s="18">
        <f>IFERROR(TableMonthlySummary[[#This Row],[Contribución $]] / TableMonthlySummary[[#This Row],[Ventas netas totales]],0)</f>
        <v>0</v>
      </c>
      <c r="AH29" s="11">
        <f>IFERROR(TableMonthlySummary[[#This Row],[Costos de publicidad totales]]/TableMonthlySummary[[#This Row],[Órdenes primer cliente]],0)</f>
        <v>0</v>
      </c>
      <c r="AI29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29" s="11">
        <f>SUMIFS(TableDailySummary[Costo de ventas registrado],TableDailySummary[Fecha],"&gt;="&amp;TableMonthlySummary[[#This Row],[Desde]],TableDailySummary[Fecha],"&lt;="&amp;TableMonthlySummary[[#This Row],[Hasta]])</f>
        <v>0</v>
      </c>
      <c r="AK29" s="11">
        <f>SUMIFS(TableDailySummary[Utilidad bruta],TableDailySummary[Fecha],"&gt;="&amp;TableMonthlySummary[[#This Row],[Desde]],TableDailySummary[Fecha],"&lt;="&amp;TableMonthlySummary[[#This Row],[Hasta]])</f>
        <v>0</v>
      </c>
      <c r="AL29" s="18">
        <f>IFERROR(TableMonthlySummary[[#This Row],[Utilidad bruta]]/TableMonthlySummary[[#This Row],[Ventas netas con costo registrado]],0)</f>
        <v>0</v>
      </c>
    </row>
    <row r="30" spans="2:38" x14ac:dyDescent="0.2">
      <c r="B30" s="16">
        <f>MONTH(TableMonthlySummary[[#This Row],[Hasta]])</f>
        <v>10</v>
      </c>
      <c r="C30" s="6">
        <f t="shared" si="0"/>
        <v>45204</v>
      </c>
      <c r="D30" s="6">
        <f>EOMONTH(TableMonthlySummary[[#This Row],[Desde]], 0)</f>
        <v>45230</v>
      </c>
      <c r="E30" s="11">
        <f>SUMIFS(TableDailySummary[Ventas netas totales],TableDailySummary[Fecha],"&gt;="&amp;TableMonthlySummary[[#This Row],[Desde]],TableDailySummary[Fecha],"&lt;="&amp;TableMonthlySummary[[#This Row],[Hasta]])</f>
        <v>0</v>
      </c>
      <c r="F30" s="11">
        <f>SUMIFS(TableDailySummary[Órdenes totales],TableDailySummary[Fecha],"&gt;="&amp;TableMonthlySummary[[#This Row],[Desde]],TableDailySummary[Fecha],"&lt;="&amp;TableMonthlySummary[[#This Row],[Hasta]])</f>
        <v>0</v>
      </c>
      <c r="G30" s="11">
        <f>SUMIFS(TableDailySummary[Ventas primer cliente],TableDailySummary[Fecha],"&gt;="&amp;TableMonthlySummary[[#This Row],[Desde]],TableDailySummary[Fecha],"&lt;="&amp;TableMonthlySummary[[#This Row],[Hasta]])</f>
        <v>0</v>
      </c>
      <c r="H30" s="11">
        <f>SUMIFS(TableDailySummary[Órdenes primer cliente],TableDailySummary[Fecha],"&gt;="&amp;TableMonthlySummary[[#This Row],[Desde]],TableDailySummary[Fecha],"&lt;="&amp;TableMonthlySummary[[#This Row],[Hasta]])</f>
        <v>0</v>
      </c>
      <c r="I30" s="11">
        <f>SUMIFS(TableDailySummary[Online Store_net_sales],TableDailySummary[Fecha],"&gt;="&amp;TableMonthlySummary[[#This Row],[Desde]],TableDailySummary[Fecha],"&lt;="&amp;TableMonthlySummary[[#This Row],[Hasta]])</f>
        <v>0</v>
      </c>
      <c r="J30" s="11">
        <f>SUMIFS(TableDailySummary[Online Store_orders],TableDailySummary[Fecha],"&gt;="&amp;TableMonthlySummary[[#This Row],[Desde]],TableDailySummary[Fecha],"&lt;="&amp;TableMonthlySummary[[#This Row],[Hasta]])</f>
        <v>0</v>
      </c>
      <c r="K30" s="11">
        <f>SUMIFS(TableDailySummary[Tienda 81_net_sales],TableDailySummary[Fecha],"&gt;="&amp;TableMonthlySummary[[#This Row],[Desde]],TableDailySummary[Fecha],"&lt;="&amp;TableMonthlySummary[[#This Row],[Hasta]])</f>
        <v>0</v>
      </c>
      <c r="L30" s="11">
        <f>SUMIFS(TableDailySummary[Tienda 81_orders],TableDailySummary[Fecha],"&gt;="&amp;TableMonthlySummary[[#This Row],[Desde]],TableDailySummary[Fecha],"&lt;="&amp;TableMonthlySummary[[#This Row],[Hasta]])</f>
        <v>0</v>
      </c>
      <c r="M30" s="11">
        <f>SUMIFS(TableDailySummary[Rappi_net_sales],TableDailySummary[Fecha],"&gt;="&amp;TableMonthlySummary[[#This Row],[Desde]],TableDailySummary[Fecha],"&lt;="&amp;TableMonthlySummary[[#This Row],[Hasta]])</f>
        <v>0</v>
      </c>
      <c r="N30" s="11">
        <f>SUMIFS(TableDailySummary[Rappi_orders],TableDailySummary[Fecha],"&gt;="&amp;TableMonthlySummary[[#This Row],[Desde]],TableDailySummary[Fecha],"&lt;="&amp;TableMonthlySummary[[#This Row],[Hasta]])</f>
        <v>0</v>
      </c>
      <c r="O30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30" s="11">
        <f>SUMIFS(TableDailySummary[Corporativo no tienda_orders],TableDailySummary[Fecha],"&gt;="&amp;TableMonthlySummary[[#This Row],[Desde]],TableDailySummary[Fecha],"&lt;="&amp;TableMonthlySummary[[#This Row],[Hasta]])</f>
        <v>0</v>
      </c>
      <c r="Q30" s="11">
        <f>SUMIFS(TableDailySummary[Inversión google ads],TableDailySummary[Fecha],"&gt;="&amp;TableMonthlySummary[[#This Row],[Desde]],TableDailySummary[Fecha],"&lt;="&amp;TableMonthlySummary[[#This Row],[Hasta]])</f>
        <v>0</v>
      </c>
      <c r="R30" s="11">
        <f>SUMIFS(TableDailySummary[Ventas google ads],TableDailySummary[Fecha],"&gt;="&amp;TableMonthlySummary[[#This Row],[Desde]],TableDailySummary[Fecha],"&lt;="&amp;TableMonthlySummary[[#This Row],[Hasta]])</f>
        <v>0</v>
      </c>
      <c r="S30" s="11">
        <f>SUMIFS(TableDailySummary[Inversión meta ads],TableDailySummary[Fecha],"&gt;="&amp;TableMonthlySummary[[#This Row],[Desde]],TableDailySummary[Fecha],"&lt;="&amp;TableMonthlySummary[[#This Row],[Hasta]])</f>
        <v>0</v>
      </c>
      <c r="T30" s="11">
        <f>SUMIFS(TableDailySummary[Ventas meta ads],TableDailySummary[Fecha],"&gt;="&amp;TableMonthlySummary[[#This Row],[Desde]],TableDailySummary[Fecha],"&lt;="&amp;TableMonthlySummary[[#This Row],[Hasta]])</f>
        <v>0</v>
      </c>
      <c r="U30" s="11">
        <f>TableMonthlySummary[[#This Row],[Inversión google ads]]+TableMonthlySummary[[#This Row],[Inversión meta ads]]</f>
        <v>0</v>
      </c>
      <c r="V30" s="11">
        <f>TableMonthlySummary[[#This Row],[Ventas google ads]]+TableMonthlySummary[[#This Row],[Ventas meta ads]]</f>
        <v>0</v>
      </c>
      <c r="W30" s="14">
        <f>IFERROR(TableMonthlySummary[[#This Row],[Ventas publicidad]]/TableMonthlySummary[[#This Row],[Inversión publicidad]],0)</f>
        <v>0</v>
      </c>
      <c r="X30" s="14">
        <f>IFERROR(TableMonthlySummary[[#This Row],[Ventas primer cliente]]/TableMonthlySummary[[#This Row],[Inversión publicidad]],0)</f>
        <v>0</v>
      </c>
      <c r="Y30" s="14">
        <f>IFERROR(1/TableMonthlySummary[[#This Row],[Contribución %]],0)</f>
        <v>0</v>
      </c>
      <c r="Z30" s="14"/>
      <c r="AA30" s="11"/>
      <c r="AB30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30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30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30" s="11">
        <f>SUMIFS(AccountingReport[costs_fixed],AccountingReport[period],TableMonthlySummary[[#This Row],[Desde]])</f>
        <v>0</v>
      </c>
      <c r="AF30" s="17">
        <f>TableMonthlySummary[[#This Row],[Ventas netas totales]]-TableMonthlySummary[[#This Row],[Costos variables totales]]-TableMonthlySummary[[#This Row],[Costos fijos]]</f>
        <v>0</v>
      </c>
      <c r="AG30" s="18">
        <f>IFERROR(TableMonthlySummary[[#This Row],[Contribución $]] / TableMonthlySummary[[#This Row],[Ventas netas totales]],0)</f>
        <v>0</v>
      </c>
      <c r="AH30" s="11">
        <f>IFERROR(TableMonthlySummary[[#This Row],[Costos de publicidad totales]]/TableMonthlySummary[[#This Row],[Órdenes primer cliente]],0)</f>
        <v>0</v>
      </c>
      <c r="AI30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30" s="11">
        <f>SUMIFS(TableDailySummary[Costo de ventas registrado],TableDailySummary[Fecha],"&gt;="&amp;TableMonthlySummary[[#This Row],[Desde]],TableDailySummary[Fecha],"&lt;="&amp;TableMonthlySummary[[#This Row],[Hasta]])</f>
        <v>0</v>
      </c>
      <c r="AK30" s="11">
        <f>SUMIFS(TableDailySummary[Utilidad bruta],TableDailySummary[Fecha],"&gt;="&amp;TableMonthlySummary[[#This Row],[Desde]],TableDailySummary[Fecha],"&lt;="&amp;TableMonthlySummary[[#This Row],[Hasta]])</f>
        <v>0</v>
      </c>
      <c r="AL30" s="18">
        <f>IFERROR(TableMonthlySummary[[#This Row],[Utilidad bruta]]/TableMonthlySummary[[#This Row],[Ventas netas con costo registrado]],0)</f>
        <v>0</v>
      </c>
    </row>
    <row r="31" spans="2:38" x14ac:dyDescent="0.2">
      <c r="B31" s="16">
        <f>MONTH(TableMonthlySummary[[#This Row],[Hasta]])</f>
        <v>11</v>
      </c>
      <c r="C31" s="6">
        <f t="shared" si="0"/>
        <v>45235</v>
      </c>
      <c r="D31" s="6">
        <f>EOMONTH(TableMonthlySummary[[#This Row],[Desde]], 0)</f>
        <v>45260</v>
      </c>
      <c r="E31" s="11">
        <f>SUMIFS(TableDailySummary[Ventas netas totales],TableDailySummary[Fecha],"&gt;="&amp;TableMonthlySummary[[#This Row],[Desde]],TableDailySummary[Fecha],"&lt;="&amp;TableMonthlySummary[[#This Row],[Hasta]])</f>
        <v>0</v>
      </c>
      <c r="F31" s="11">
        <f>SUMIFS(TableDailySummary[Órdenes totales],TableDailySummary[Fecha],"&gt;="&amp;TableMonthlySummary[[#This Row],[Desde]],TableDailySummary[Fecha],"&lt;="&amp;TableMonthlySummary[[#This Row],[Hasta]])</f>
        <v>0</v>
      </c>
      <c r="G31" s="11">
        <f>SUMIFS(TableDailySummary[Ventas primer cliente],TableDailySummary[Fecha],"&gt;="&amp;TableMonthlySummary[[#This Row],[Desde]],TableDailySummary[Fecha],"&lt;="&amp;TableMonthlySummary[[#This Row],[Hasta]])</f>
        <v>0</v>
      </c>
      <c r="H31" s="11">
        <f>SUMIFS(TableDailySummary[Órdenes primer cliente],TableDailySummary[Fecha],"&gt;="&amp;TableMonthlySummary[[#This Row],[Desde]],TableDailySummary[Fecha],"&lt;="&amp;TableMonthlySummary[[#This Row],[Hasta]])</f>
        <v>0</v>
      </c>
      <c r="I31" s="11">
        <f>SUMIFS(TableDailySummary[Online Store_net_sales],TableDailySummary[Fecha],"&gt;="&amp;TableMonthlySummary[[#This Row],[Desde]],TableDailySummary[Fecha],"&lt;="&amp;TableMonthlySummary[[#This Row],[Hasta]])</f>
        <v>0</v>
      </c>
      <c r="J31" s="11">
        <f>SUMIFS(TableDailySummary[Online Store_orders],TableDailySummary[Fecha],"&gt;="&amp;TableMonthlySummary[[#This Row],[Desde]],TableDailySummary[Fecha],"&lt;="&amp;TableMonthlySummary[[#This Row],[Hasta]])</f>
        <v>0</v>
      </c>
      <c r="K31" s="11">
        <f>SUMIFS(TableDailySummary[Tienda 81_net_sales],TableDailySummary[Fecha],"&gt;="&amp;TableMonthlySummary[[#This Row],[Desde]],TableDailySummary[Fecha],"&lt;="&amp;TableMonthlySummary[[#This Row],[Hasta]])</f>
        <v>0</v>
      </c>
      <c r="L31" s="11">
        <f>SUMIFS(TableDailySummary[Tienda 81_orders],TableDailySummary[Fecha],"&gt;="&amp;TableMonthlySummary[[#This Row],[Desde]],TableDailySummary[Fecha],"&lt;="&amp;TableMonthlySummary[[#This Row],[Hasta]])</f>
        <v>0</v>
      </c>
      <c r="M31" s="11">
        <f>SUMIFS(TableDailySummary[Rappi_net_sales],TableDailySummary[Fecha],"&gt;="&amp;TableMonthlySummary[[#This Row],[Desde]],TableDailySummary[Fecha],"&lt;="&amp;TableMonthlySummary[[#This Row],[Hasta]])</f>
        <v>0</v>
      </c>
      <c r="N31" s="11">
        <f>SUMIFS(TableDailySummary[Rappi_orders],TableDailySummary[Fecha],"&gt;="&amp;TableMonthlySummary[[#This Row],[Desde]],TableDailySummary[Fecha],"&lt;="&amp;TableMonthlySummary[[#This Row],[Hasta]])</f>
        <v>0</v>
      </c>
      <c r="O31" s="11">
        <f>SUMIFS(TableDailySummary[Corporativo no tienda_net_sales],TableDailySummary[Fecha],"&gt;="&amp;TableMonthlySummary[[#This Row],[Desde]],TableDailySummary[Fecha],"&lt;="&amp;TableMonthlySummary[[#This Row],[Hasta]])</f>
        <v>0</v>
      </c>
      <c r="P31" s="11">
        <f>SUMIFS(TableDailySummary[Corporativo no tienda_orders],TableDailySummary[Fecha],"&gt;="&amp;TableMonthlySummary[[#This Row],[Desde]],TableDailySummary[Fecha],"&lt;="&amp;TableMonthlySummary[[#This Row],[Hasta]])</f>
        <v>0</v>
      </c>
      <c r="Q31" s="11">
        <f>SUMIFS(TableDailySummary[Inversión google ads],TableDailySummary[Fecha],"&gt;="&amp;TableMonthlySummary[[#This Row],[Desde]],TableDailySummary[Fecha],"&lt;="&amp;TableMonthlySummary[[#This Row],[Hasta]])</f>
        <v>0</v>
      </c>
      <c r="R31" s="11">
        <f>SUMIFS(TableDailySummary[Ventas google ads],TableDailySummary[Fecha],"&gt;="&amp;TableMonthlySummary[[#This Row],[Desde]],TableDailySummary[Fecha],"&lt;="&amp;TableMonthlySummary[[#This Row],[Hasta]])</f>
        <v>0</v>
      </c>
      <c r="S31" s="11">
        <f>SUMIFS(TableDailySummary[Inversión meta ads],TableDailySummary[Fecha],"&gt;="&amp;TableMonthlySummary[[#This Row],[Desde]],TableDailySummary[Fecha],"&lt;="&amp;TableMonthlySummary[[#This Row],[Hasta]])</f>
        <v>0</v>
      </c>
      <c r="T31" s="11">
        <f>SUMIFS(TableDailySummary[Ventas meta ads],TableDailySummary[Fecha],"&gt;="&amp;TableMonthlySummary[[#This Row],[Desde]],TableDailySummary[Fecha],"&lt;="&amp;TableMonthlySummary[[#This Row],[Hasta]])</f>
        <v>0</v>
      </c>
      <c r="U31" s="11">
        <f>TableMonthlySummary[[#This Row],[Inversión google ads]]+TableMonthlySummary[[#This Row],[Inversión meta ads]]</f>
        <v>0</v>
      </c>
      <c r="V31" s="11">
        <f>TableMonthlySummary[[#This Row],[Ventas google ads]]+TableMonthlySummary[[#This Row],[Ventas meta ads]]</f>
        <v>0</v>
      </c>
      <c r="W31" s="14">
        <f>IFERROR(TableMonthlySummary[[#This Row],[Ventas publicidad]]/TableMonthlySummary[[#This Row],[Inversión publicidad]],0)</f>
        <v>0</v>
      </c>
      <c r="X31" s="14">
        <f>IFERROR(TableMonthlySummary[[#This Row],[Ventas primer cliente]]/TableMonthlySummary[[#This Row],[Inversión publicidad]],0)</f>
        <v>0</v>
      </c>
      <c r="Y31" s="14">
        <f>IFERROR(1/TableMonthlySummary[[#This Row],[Contribución %]],0)</f>
        <v>0</v>
      </c>
      <c r="Z31" s="14"/>
      <c r="AA31" s="11"/>
      <c r="AB31" s="11">
        <f>MAX(SUMIFS(AccountingReport[costs_fixed],AccountingReport[period],TableMonthlySummary[[#This Row],[Desde]],AccountingReport[account_name],"Marketing corporativo") +
SUMIFS(AccountingReport[costs_variable],AccountingReport[period],TableMonthlySummary[[#This Row],[Desde]],AccountingReport[account_name],"Marketing corporativo"),TableMonthlySummary[[#This Row],[Inversión publicidad]])</f>
        <v>0</v>
      </c>
      <c r="AC31" s="11">
        <f>IFERROR(
(SUMIFS(SummaryDaily[cost_of_goods_sold],SummaryDaily[day],"&gt;="&amp;TableMonthlySummary[[#This Row],[Desde]],SummaryDaily[day],"&lt;="&amp;TableMonthlySummary[[#This Row],[Hasta]]) /
SUMIFS(SummaryDaily[net_sales_with_cost_recorded],SummaryDaily[day],"&gt;="&amp;TableMonthlySummary[[#This Row],[Desde]],SummaryDaily[day],"&lt;="&amp;TableMonthlySummary[[#This Row],[Hasta]])) *
SUMIFS(SummaryDaily[net_sales],SummaryDaily[day],"&gt;="&amp;TableMonthlySummary[[#This Row],[Desde]],SummaryDaily[day],"&lt;="&amp;TableMonthlySummary[[#This Row],[Hasta]]), 0)</f>
        <v>0</v>
      </c>
      <c r="AD31" s="11">
        <f>SUMIFS(AccountingReport[costs_variable],AccountingReport[period],TableMonthlySummary[[#This Row],[Desde]]) -
SUMIFS(AccountingReport[costs_variable],AccountingReport[period],TableMonthlySummary[[#This Row],[Desde]],AccountingReport[category],ParamAccountingCOGS) +
TableMonthlySummary[[#This Row],[Costo de ventas calc]]</f>
        <v>0</v>
      </c>
      <c r="AE31" s="11">
        <f>SUMIFS(AccountingReport[costs_fixed],AccountingReport[period],TableMonthlySummary[[#This Row],[Desde]])</f>
        <v>0</v>
      </c>
      <c r="AF31" s="17">
        <f>TableMonthlySummary[[#This Row],[Ventas netas totales]]-TableMonthlySummary[[#This Row],[Costos variables totales]]-TableMonthlySummary[[#This Row],[Costos fijos]]</f>
        <v>0</v>
      </c>
      <c r="AG31" s="18">
        <f>IFERROR(TableMonthlySummary[[#This Row],[Contribución $]] / TableMonthlySummary[[#This Row],[Ventas netas totales]],0)</f>
        <v>0</v>
      </c>
      <c r="AH31" s="11">
        <f>IFERROR(TableMonthlySummary[[#This Row],[Costos de publicidad totales]]/TableMonthlySummary[[#This Row],[Órdenes primer cliente]],0)</f>
        <v>0</v>
      </c>
      <c r="AI31" s="11">
        <f>SUMIFS(TableDailySummary[Ventas netas con costo registrado],TableDailySummary[Fecha],"&gt;="&amp;TableMonthlySummary[[#This Row],[Desde]],TableDailySummary[Fecha],"&lt;="&amp;TableMonthlySummary[[#This Row],[Hasta]])</f>
        <v>0</v>
      </c>
      <c r="AJ31" s="11">
        <f>SUMIFS(TableDailySummary[Costo de ventas registrado],TableDailySummary[Fecha],"&gt;="&amp;TableMonthlySummary[[#This Row],[Desde]],TableDailySummary[Fecha],"&lt;="&amp;TableMonthlySummary[[#This Row],[Hasta]])</f>
        <v>0</v>
      </c>
      <c r="AK31" s="11">
        <f>SUMIFS(TableDailySummary[Utilidad bruta],TableDailySummary[Fecha],"&gt;="&amp;TableMonthlySummary[[#This Row],[Desde]],TableDailySummary[Fecha],"&lt;="&amp;TableMonthlySummary[[#This Row],[Hasta]])</f>
        <v>0</v>
      </c>
      <c r="AL31" s="18">
        <f>IFERROR(TableMonthlySummary[[#This Row],[Utilidad bruta]]/TableMonthlySummary[[#This Row],[Ventas netas con costo registrado]],0)</f>
        <v>0</v>
      </c>
    </row>
  </sheetData>
  <phoneticPr fontId="49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776B-31F7-426B-BCA0-7A9CA0B944D7}">
  <dimension ref="B3:AL505"/>
  <sheetViews>
    <sheetView showGridLines="0" topLeftCell="A7" zoomScaleNormal="100" workbookViewId="0">
      <selection activeCell="B8" sqref="B8"/>
    </sheetView>
  </sheetViews>
  <sheetFormatPr defaultRowHeight="12" outlineLevelRow="1" outlineLevelCol="1" x14ac:dyDescent="0.2"/>
  <cols>
    <col min="1" max="1" width="3.83203125" customWidth="1"/>
    <col min="2" max="2" width="12.1640625" customWidth="1"/>
    <col min="3" max="3" width="11.83203125" bestFit="1" customWidth="1"/>
    <col min="4" max="4" width="11.83203125" customWidth="1"/>
    <col min="5" max="11" width="12" customWidth="1"/>
    <col min="12" max="19" width="11.83203125" customWidth="1" outlineLevel="1"/>
    <col min="20" max="25" width="12" customWidth="1"/>
    <col min="26" max="27" width="12.5" customWidth="1"/>
    <col min="28" max="28" width="12" customWidth="1"/>
    <col min="29" max="29" width="26.6640625" customWidth="1"/>
    <col min="30" max="30" width="26.5" customWidth="1"/>
    <col min="35" max="37" width="12.33203125" customWidth="1"/>
    <col min="39" max="39" width="23.1640625" customWidth="1"/>
    <col min="40" max="40" width="13" customWidth="1"/>
    <col min="41" max="41" width="13.83203125" customWidth="1"/>
    <col min="43" max="45" width="11.5" bestFit="1" customWidth="1"/>
  </cols>
  <sheetData>
    <row r="3" spans="2:38" ht="15" x14ac:dyDescent="0.2">
      <c r="B3" s="8" t="s">
        <v>123</v>
      </c>
    </row>
    <row r="5" spans="2:38" x14ac:dyDescent="0.2">
      <c r="E5" s="2" t="s">
        <v>2</v>
      </c>
      <c r="F5" s="2"/>
      <c r="G5" s="2"/>
      <c r="H5" s="2"/>
      <c r="I5" s="2"/>
      <c r="J5" s="3" t="s">
        <v>5</v>
      </c>
      <c r="K5" s="3"/>
      <c r="L5" s="22" t="s">
        <v>121</v>
      </c>
      <c r="M5" s="22"/>
      <c r="N5" s="21" t="s">
        <v>109</v>
      </c>
      <c r="O5" s="21"/>
      <c r="P5" s="20" t="s">
        <v>110</v>
      </c>
      <c r="Q5" s="20"/>
      <c r="R5" s="19" t="s">
        <v>108</v>
      </c>
      <c r="S5" s="19"/>
      <c r="T5" s="4" t="s">
        <v>6</v>
      </c>
      <c r="U5" s="4"/>
      <c r="V5" s="4" t="s">
        <v>7</v>
      </c>
      <c r="W5" s="4"/>
      <c r="X5" s="3" t="s">
        <v>907</v>
      </c>
      <c r="Y5" s="3"/>
      <c r="Z5" s="7" t="s">
        <v>9</v>
      </c>
      <c r="AA5" s="7" t="s">
        <v>837</v>
      </c>
      <c r="AB5" t="s">
        <v>30</v>
      </c>
    </row>
    <row r="6" spans="2:38" ht="24" customHeight="1" x14ac:dyDescent="0.2">
      <c r="B6" s="26" t="s">
        <v>91</v>
      </c>
      <c r="C6" s="27" t="s">
        <v>92</v>
      </c>
      <c r="D6" s="27" t="s">
        <v>93</v>
      </c>
      <c r="E6" s="27" t="s">
        <v>34</v>
      </c>
      <c r="F6" s="27" t="s">
        <v>4</v>
      </c>
      <c r="G6" s="27" t="s">
        <v>848</v>
      </c>
      <c r="H6" s="27" t="s">
        <v>880</v>
      </c>
      <c r="I6" s="27" t="s">
        <v>881</v>
      </c>
      <c r="J6" s="27" t="s">
        <v>3</v>
      </c>
      <c r="K6" s="27" t="s">
        <v>4</v>
      </c>
      <c r="L6" s="27" t="s">
        <v>3</v>
      </c>
      <c r="M6" s="27" t="s">
        <v>4</v>
      </c>
      <c r="N6" s="27" t="s">
        <v>3</v>
      </c>
      <c r="O6" s="27" t="s">
        <v>4</v>
      </c>
      <c r="P6" s="27" t="s">
        <v>3</v>
      </c>
      <c r="Q6" s="27" t="s">
        <v>4</v>
      </c>
      <c r="R6" s="27" t="s">
        <v>3</v>
      </c>
      <c r="S6" s="27" t="s">
        <v>4</v>
      </c>
      <c r="T6" s="27" t="s">
        <v>8</v>
      </c>
      <c r="U6" s="27" t="s">
        <v>3</v>
      </c>
      <c r="V6" s="27" t="s">
        <v>8</v>
      </c>
      <c r="W6" s="27" t="s">
        <v>3</v>
      </c>
      <c r="X6" s="27" t="s">
        <v>8</v>
      </c>
      <c r="Y6" s="27" t="s">
        <v>3</v>
      </c>
      <c r="Z6" s="27" t="s">
        <v>10</v>
      </c>
      <c r="AA6" s="27" t="s">
        <v>11</v>
      </c>
      <c r="AB6" s="27" t="s">
        <v>12</v>
      </c>
      <c r="AC6" s="27" t="s">
        <v>13</v>
      </c>
      <c r="AD6" s="27" t="s">
        <v>14</v>
      </c>
      <c r="AE6" s="27" t="s">
        <v>15</v>
      </c>
      <c r="AF6" s="27" t="s">
        <v>16</v>
      </c>
      <c r="AG6" s="28" t="s">
        <v>17</v>
      </c>
      <c r="AH6" s="28" t="s">
        <v>18</v>
      </c>
      <c r="AI6" s="29" t="s">
        <v>96</v>
      </c>
      <c r="AJ6" s="29" t="s">
        <v>97</v>
      </c>
      <c r="AK6" s="29" t="s">
        <v>98</v>
      </c>
      <c r="AL6" s="29" t="s">
        <v>99</v>
      </c>
    </row>
    <row r="7" spans="2:38" outlineLevel="1" x14ac:dyDescent="0.2">
      <c r="B7" t="s">
        <v>91</v>
      </c>
      <c r="C7" t="s">
        <v>92</v>
      </c>
      <c r="D7" t="s">
        <v>93</v>
      </c>
      <c r="E7" t="s">
        <v>35</v>
      </c>
      <c r="F7" t="s">
        <v>19</v>
      </c>
      <c r="G7" t="s">
        <v>849</v>
      </c>
      <c r="H7" t="s">
        <v>882</v>
      </c>
      <c r="I7" t="s">
        <v>883</v>
      </c>
      <c r="J7" t="s">
        <v>20</v>
      </c>
      <c r="K7" t="s">
        <v>21</v>
      </c>
      <c r="L7" t="s">
        <v>113</v>
      </c>
      <c r="M7" t="s">
        <v>114</v>
      </c>
      <c r="N7" t="s">
        <v>115</v>
      </c>
      <c r="O7" t="s">
        <v>116</v>
      </c>
      <c r="P7" t="s">
        <v>117</v>
      </c>
      <c r="Q7" t="s">
        <v>118</v>
      </c>
      <c r="R7" t="s">
        <v>119</v>
      </c>
      <c r="S7" t="s">
        <v>120</v>
      </c>
      <c r="T7" t="s">
        <v>22</v>
      </c>
      <c r="U7" t="s">
        <v>23</v>
      </c>
      <c r="V7" t="s">
        <v>24</v>
      </c>
      <c r="W7" t="s">
        <v>25</v>
      </c>
      <c r="X7" t="s">
        <v>26</v>
      </c>
      <c r="Y7" t="s">
        <v>27</v>
      </c>
      <c r="Z7" t="s">
        <v>28</v>
      </c>
      <c r="AA7" t="s">
        <v>29</v>
      </c>
      <c r="AB7" t="s">
        <v>12</v>
      </c>
      <c r="AC7" t="s">
        <v>13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I7" t="s">
        <v>95</v>
      </c>
      <c r="AJ7" t="s">
        <v>97</v>
      </c>
      <c r="AK7" t="s">
        <v>98</v>
      </c>
      <c r="AL7" t="s">
        <v>99</v>
      </c>
    </row>
    <row r="8" spans="2:38" x14ac:dyDescent="0.2">
      <c r="B8" s="16">
        <f>_xlfn.ISOWEEKNUM(TableWeeklySummary[[#This Row],[Hasta]])</f>
        <v>49</v>
      </c>
      <c r="C8" s="6">
        <f t="shared" ref="C8:C39" si="0">_xlfn.LET(
    _xlpm.fechaini, ParamFechaInicioReporte,
    _xlpm.start_friday, IF(WEEKDAY(_xlpm.fechaini, 1) = 6, _xlpm.fechaini, _xlpm.fechaini - MOD(WEEKDAY(_xlpm.fechaini, 1) + 1, 7)),
    IF(ROW()=8, _xlpm.start_friday, C7 + 7)
)</f>
        <v>44533</v>
      </c>
      <c r="D8" s="6">
        <f>TableWeeklySummary[[#This Row],[Desde]]+7-1</f>
        <v>44539</v>
      </c>
      <c r="E8" s="11">
        <f>SUMIFS(TableDailySummary[Ventas netas totales],TableDailySummary[Fecha],"&gt;="&amp;TableWeeklySummary[[#This Row],[Desde]],TableDailySummary[Fecha],"&lt;="&amp;TableWeeklySummary[[#This Row],[Hasta]])</f>
        <v>0</v>
      </c>
      <c r="F8" s="11">
        <f>SUMIFS(TableDailySummary[Órdenes totales],TableDailySummary[Fecha],"&gt;="&amp;TableWeeklySummary[[#This Row],[Desde]],TableDailySummary[Fecha],"&lt;="&amp;TableWeeklySummary[[#This Row],[Hasta]])</f>
        <v>0</v>
      </c>
      <c r="G8" s="11">
        <f>IFERROR(TableWeeklySummary[[#This Row],[Ventas netas totales]]/TableWeeklySummary[[#This Row],[Órdenes totales]],0)</f>
        <v>0</v>
      </c>
      <c r="H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" s="11">
        <f>TableWeeklySummary[[#This Row],[Órden promedio totales]]*TableWeeklySummary[[#This Row],[CR totales]]</f>
        <v>0</v>
      </c>
      <c r="J8" s="11">
        <f>SUMIFS(TableDailySummary[Ventas primer cliente],TableDailySummary[Fecha],"&gt;="&amp;TableWeeklySummary[[#This Row],[Desde]],TableDailySummary[Fecha],"&lt;="&amp;TableWeeklySummary[[#This Row],[Hasta]])</f>
        <v>0</v>
      </c>
      <c r="K8" s="11">
        <f>SUMIFS(TableDailySummary[Órdenes primer cliente],TableDailySummary[Fecha],"&gt;="&amp;TableWeeklySummary[[#This Row],[Desde]],TableDailySummary[Fecha],"&lt;="&amp;TableWeeklySummary[[#This Row],[Hasta]])</f>
        <v>0</v>
      </c>
      <c r="L8" s="11">
        <f>SUMIFS(TableDailySummary[Online Store_net_sales],TableDailySummary[Fecha],"&gt;="&amp;TableWeeklySummary[[#This Row],[Desde]],TableDailySummary[Fecha],"&lt;="&amp;TableWeeklySummary[[#This Row],[Hasta]])</f>
        <v>0</v>
      </c>
      <c r="M8" s="11">
        <f>SUMIFS(TableDailySummary[Online Store_orders],TableDailySummary[Fecha],"&gt;="&amp;TableWeeklySummary[[#This Row],[Desde]],TableDailySummary[Fecha],"&lt;="&amp;TableWeeklySummary[[#This Row],[Hasta]])</f>
        <v>0</v>
      </c>
      <c r="N8" s="11">
        <f>SUMIFS(TableDailySummary[Tienda 81_net_sales],TableDailySummary[Fecha],"&gt;="&amp;TableWeeklySummary[[#This Row],[Desde]],TableDailySummary[Fecha],"&lt;="&amp;TableWeeklySummary[[#This Row],[Hasta]])</f>
        <v>0</v>
      </c>
      <c r="O8" s="11">
        <f>SUMIFS(TableDailySummary[Tienda 81_orders],TableDailySummary[Fecha],"&gt;="&amp;TableWeeklySummary[[#This Row],[Desde]],TableDailySummary[Fecha],"&lt;="&amp;TableWeeklySummary[[#This Row],[Hasta]])</f>
        <v>0</v>
      </c>
      <c r="P8" s="11">
        <f>SUMIFS(TableDailySummary[Rappi_net_sales],TableDailySummary[Fecha],"&gt;="&amp;TableWeeklySummary[[#This Row],[Desde]],TableDailySummary[Fecha],"&lt;="&amp;TableWeeklySummary[[#This Row],[Hasta]])</f>
        <v>0</v>
      </c>
      <c r="Q8" s="11">
        <f>SUMIFS(TableDailySummary[Rappi_orders],TableDailySummary[Fecha],"&gt;="&amp;TableWeeklySummary[[#This Row],[Desde]],TableDailySummary[Fecha],"&lt;="&amp;TableWeeklySummary[[#This Row],[Hasta]])</f>
        <v>0</v>
      </c>
      <c r="R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" s="11">
        <f>SUMIFS(TableDailySummary[Corporativo no tienda_orders],TableDailySummary[Fecha],"&gt;="&amp;TableWeeklySummary[[#This Row],[Desde]],TableDailySummary[Fecha],"&lt;="&amp;TableWeeklySummary[[#This Row],[Hasta]])</f>
        <v>0</v>
      </c>
      <c r="T8" s="11">
        <f>SUMIFS(TableDailySummary[Inversión google ads],TableDailySummary[Fecha],"&gt;="&amp;TableWeeklySummary[[#This Row],[Desde]],TableDailySummary[Fecha],"&lt;="&amp;TableWeeklySummary[[#This Row],[Hasta]])</f>
        <v>0</v>
      </c>
      <c r="U8" s="11">
        <f>SUMIFS(TableDailySummary[Ventas google ads],TableDailySummary[Fecha],"&gt;="&amp;TableWeeklySummary[[#This Row],[Desde]],TableDailySummary[Fecha],"&lt;="&amp;TableWeeklySummary[[#This Row],[Hasta]])</f>
        <v>0</v>
      </c>
      <c r="V8" s="11">
        <f>SUMIFS(TableDailySummary[Inversión meta ads],TableDailySummary[Fecha],"&gt;="&amp;TableWeeklySummary[[#This Row],[Desde]],TableDailySummary[Fecha],"&lt;="&amp;TableWeeklySummary[[#This Row],[Hasta]])</f>
        <v>0</v>
      </c>
      <c r="W8" s="11">
        <f>SUMIFS(TableDailySummary[Ventas meta ads],TableDailySummary[Fecha],"&gt;="&amp;TableWeeklySummary[[#This Row],[Desde]],TableDailySummary[Fecha],"&lt;="&amp;TableWeeklySummary[[#This Row],[Hasta]])</f>
        <v>0</v>
      </c>
      <c r="X8" s="11">
        <f>TableWeeklySummary[[#This Row],[Inversión google ads]]+TableWeeklySummary[[#This Row],[Inversión meta ads]]</f>
        <v>0</v>
      </c>
      <c r="Y8" s="11">
        <f>TableWeeklySummary[[#This Row],[Ventas google ads]]+TableWeeklySummary[[#This Row],[Ventas meta ads]]</f>
        <v>0</v>
      </c>
      <c r="Z8" s="14">
        <f>IFERROR(TableWeeklySummary[[#This Row],[Ventas publicidad]]/TableWeeklySummary[[#This Row],[Inversión publicidad]],0)</f>
        <v>0</v>
      </c>
      <c r="AA8" s="14">
        <f>IFERROR(TableWeeklySummary[[#This Row],[Ventas primer cliente]]/TableWeeklySummary[[#This Row],[Inversión publicidad]],0)</f>
        <v>0</v>
      </c>
      <c r="AB8" s="14"/>
      <c r="AC8" s="11"/>
      <c r="AI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" s="11">
        <f>SUMIFS(TableDailySummary[Costo de ventas registrado],TableDailySummary[Fecha],"&gt;="&amp;TableWeeklySummary[[#This Row],[Desde]],TableDailySummary[Fecha],"&lt;="&amp;TableWeeklySummary[[#This Row],[Hasta]])</f>
        <v>0</v>
      </c>
      <c r="AK8" s="11">
        <f>SUMIFS(TableDailySummary[Utilidad bruta],TableDailySummary[Fecha],"&gt;="&amp;TableWeeklySummary[[#This Row],[Desde]],TableDailySummary[Fecha],"&lt;="&amp;TableWeeklySummary[[#This Row],[Hasta]])</f>
        <v>0</v>
      </c>
      <c r="AL8" s="18">
        <f>IFERROR(TableWeeklySummary[[#This Row],[Utilidad bruta]]/TableWeeklySummary[[#This Row],[Ventas netas con costo registrado]],0)</f>
        <v>0</v>
      </c>
    </row>
    <row r="9" spans="2:38" x14ac:dyDescent="0.2">
      <c r="B9" s="16">
        <f>_xlfn.ISOWEEKNUM(TableWeeklySummary[[#This Row],[Hasta]])</f>
        <v>50</v>
      </c>
      <c r="C9" s="6">
        <f t="shared" si="0"/>
        <v>44540</v>
      </c>
      <c r="D9" s="6">
        <f>TableWeeklySummary[[#This Row],[Desde]]+7-1</f>
        <v>44546</v>
      </c>
      <c r="E9" s="11">
        <f>SUMIFS(TableDailySummary[Ventas netas totales],TableDailySummary[Fecha],"&gt;="&amp;TableWeeklySummary[[#This Row],[Desde]],TableDailySummary[Fecha],"&lt;="&amp;TableWeeklySummary[[#This Row],[Hasta]])</f>
        <v>0</v>
      </c>
      <c r="F9" s="11">
        <f>SUMIFS(TableDailySummary[Órdenes totales],TableDailySummary[Fecha],"&gt;="&amp;TableWeeklySummary[[#This Row],[Desde]],TableDailySummary[Fecha],"&lt;="&amp;TableWeeklySummary[[#This Row],[Hasta]])</f>
        <v>0</v>
      </c>
      <c r="G9" s="11">
        <f>IFERROR(TableWeeklySummary[[#This Row],[Ventas netas totales]]/TableWeeklySummary[[#This Row],[Órdenes totales]],0)</f>
        <v>0</v>
      </c>
      <c r="H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" s="11">
        <f>TableWeeklySummary[[#This Row],[Órden promedio totales]]*TableWeeklySummary[[#This Row],[CR totales]]</f>
        <v>0</v>
      </c>
      <c r="J9" s="11">
        <f>SUMIFS(TableDailySummary[Ventas primer cliente],TableDailySummary[Fecha],"&gt;="&amp;TableWeeklySummary[[#This Row],[Desde]],TableDailySummary[Fecha],"&lt;="&amp;TableWeeklySummary[[#This Row],[Hasta]])</f>
        <v>0</v>
      </c>
      <c r="K9" s="11">
        <f>SUMIFS(TableDailySummary[Órdenes primer cliente],TableDailySummary[Fecha],"&gt;="&amp;TableWeeklySummary[[#This Row],[Desde]],TableDailySummary[Fecha],"&lt;="&amp;TableWeeklySummary[[#This Row],[Hasta]])</f>
        <v>0</v>
      </c>
      <c r="L9" s="11">
        <f>SUMIFS(TableDailySummary[Online Store_net_sales],TableDailySummary[Fecha],"&gt;="&amp;TableWeeklySummary[[#This Row],[Desde]],TableDailySummary[Fecha],"&lt;="&amp;TableWeeklySummary[[#This Row],[Hasta]])</f>
        <v>0</v>
      </c>
      <c r="M9" s="11">
        <f>SUMIFS(TableDailySummary[Online Store_orders],TableDailySummary[Fecha],"&gt;="&amp;TableWeeklySummary[[#This Row],[Desde]],TableDailySummary[Fecha],"&lt;="&amp;TableWeeklySummary[[#This Row],[Hasta]])</f>
        <v>0</v>
      </c>
      <c r="N9" s="11">
        <f>SUMIFS(TableDailySummary[Tienda 81_net_sales],TableDailySummary[Fecha],"&gt;="&amp;TableWeeklySummary[[#This Row],[Desde]],TableDailySummary[Fecha],"&lt;="&amp;TableWeeklySummary[[#This Row],[Hasta]])</f>
        <v>0</v>
      </c>
      <c r="O9" s="11">
        <f>SUMIFS(TableDailySummary[Tienda 81_orders],TableDailySummary[Fecha],"&gt;="&amp;TableWeeklySummary[[#This Row],[Desde]],TableDailySummary[Fecha],"&lt;="&amp;TableWeeklySummary[[#This Row],[Hasta]])</f>
        <v>0</v>
      </c>
      <c r="P9" s="11">
        <f>SUMIFS(TableDailySummary[Rappi_net_sales],TableDailySummary[Fecha],"&gt;="&amp;TableWeeklySummary[[#This Row],[Desde]],TableDailySummary[Fecha],"&lt;="&amp;TableWeeklySummary[[#This Row],[Hasta]])</f>
        <v>0</v>
      </c>
      <c r="Q9" s="11">
        <f>SUMIFS(TableDailySummary[Rappi_orders],TableDailySummary[Fecha],"&gt;="&amp;TableWeeklySummary[[#This Row],[Desde]],TableDailySummary[Fecha],"&lt;="&amp;TableWeeklySummary[[#This Row],[Hasta]])</f>
        <v>0</v>
      </c>
      <c r="R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" s="11">
        <f>SUMIFS(TableDailySummary[Corporativo no tienda_orders],TableDailySummary[Fecha],"&gt;="&amp;TableWeeklySummary[[#This Row],[Desde]],TableDailySummary[Fecha],"&lt;="&amp;TableWeeklySummary[[#This Row],[Hasta]])</f>
        <v>0</v>
      </c>
      <c r="T9" s="11">
        <f>SUMIFS(TableDailySummary[Inversión google ads],TableDailySummary[Fecha],"&gt;="&amp;TableWeeklySummary[[#This Row],[Desde]],TableDailySummary[Fecha],"&lt;="&amp;TableWeeklySummary[[#This Row],[Hasta]])</f>
        <v>0</v>
      </c>
      <c r="U9" s="11">
        <f>SUMIFS(TableDailySummary[Ventas google ads],TableDailySummary[Fecha],"&gt;="&amp;TableWeeklySummary[[#This Row],[Desde]],TableDailySummary[Fecha],"&lt;="&amp;TableWeeklySummary[[#This Row],[Hasta]])</f>
        <v>0</v>
      </c>
      <c r="V9" s="11">
        <f>SUMIFS(TableDailySummary[Inversión meta ads],TableDailySummary[Fecha],"&gt;="&amp;TableWeeklySummary[[#This Row],[Desde]],TableDailySummary[Fecha],"&lt;="&amp;TableWeeklySummary[[#This Row],[Hasta]])</f>
        <v>0</v>
      </c>
      <c r="W9" s="11">
        <f>SUMIFS(TableDailySummary[Ventas meta ads],TableDailySummary[Fecha],"&gt;="&amp;TableWeeklySummary[[#This Row],[Desde]],TableDailySummary[Fecha],"&lt;="&amp;TableWeeklySummary[[#This Row],[Hasta]])</f>
        <v>0</v>
      </c>
      <c r="X9" s="11">
        <f>TableWeeklySummary[[#This Row],[Inversión google ads]]+TableWeeklySummary[[#This Row],[Inversión meta ads]]</f>
        <v>0</v>
      </c>
      <c r="Y9" s="11">
        <f>TableWeeklySummary[[#This Row],[Ventas google ads]]+TableWeeklySummary[[#This Row],[Ventas meta ads]]</f>
        <v>0</v>
      </c>
      <c r="Z9" s="14">
        <f>IFERROR(TableWeeklySummary[[#This Row],[Ventas publicidad]]/TableWeeklySummary[[#This Row],[Inversión publicidad]],0)</f>
        <v>0</v>
      </c>
      <c r="AA9" s="14">
        <f>IFERROR(TableWeeklySummary[[#This Row],[Ventas primer cliente]]/TableWeeklySummary[[#This Row],[Inversión publicidad]],0)</f>
        <v>0</v>
      </c>
      <c r="AB9" s="14"/>
      <c r="AC9" s="11"/>
      <c r="AI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" s="11">
        <f>SUMIFS(TableDailySummary[Costo de ventas registrado],TableDailySummary[Fecha],"&gt;="&amp;TableWeeklySummary[[#This Row],[Desde]],TableDailySummary[Fecha],"&lt;="&amp;TableWeeklySummary[[#This Row],[Hasta]])</f>
        <v>0</v>
      </c>
      <c r="AK9" s="11">
        <f>SUMIFS(TableDailySummary[Utilidad bruta],TableDailySummary[Fecha],"&gt;="&amp;TableWeeklySummary[[#This Row],[Desde]],TableDailySummary[Fecha],"&lt;="&amp;TableWeeklySummary[[#This Row],[Hasta]])</f>
        <v>0</v>
      </c>
      <c r="AL9" s="18">
        <f>IFERROR(TableWeeklySummary[[#This Row],[Utilidad bruta]]/TableWeeklySummary[[#This Row],[Ventas netas con costo registrado]],0)</f>
        <v>0</v>
      </c>
    </row>
    <row r="10" spans="2:38" x14ac:dyDescent="0.2">
      <c r="B10" s="16">
        <f>_xlfn.ISOWEEKNUM(TableWeeklySummary[[#This Row],[Hasta]])</f>
        <v>51</v>
      </c>
      <c r="C10" s="6">
        <f t="shared" si="0"/>
        <v>44547</v>
      </c>
      <c r="D10" s="6">
        <f>TableWeeklySummary[[#This Row],[Desde]]+7-1</f>
        <v>44553</v>
      </c>
      <c r="E10" s="11">
        <f>SUMIFS(TableDailySummary[Ventas netas totales],TableDailySummary[Fecha],"&gt;="&amp;TableWeeklySummary[[#This Row],[Desde]],TableDailySummary[Fecha],"&lt;="&amp;TableWeeklySummary[[#This Row],[Hasta]])</f>
        <v>0</v>
      </c>
      <c r="F10" s="11">
        <f>SUMIFS(TableDailySummary[Órdenes totales],TableDailySummary[Fecha],"&gt;="&amp;TableWeeklySummary[[#This Row],[Desde]],TableDailySummary[Fecha],"&lt;="&amp;TableWeeklySummary[[#This Row],[Hasta]])</f>
        <v>0</v>
      </c>
      <c r="G10" s="11">
        <f>IFERROR(TableWeeklySummary[[#This Row],[Ventas netas totales]]/TableWeeklySummary[[#This Row],[Órdenes totales]],0)</f>
        <v>0</v>
      </c>
      <c r="H1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" s="11">
        <f>TableWeeklySummary[[#This Row],[Órden promedio totales]]*TableWeeklySummary[[#This Row],[CR totales]]</f>
        <v>0</v>
      </c>
      <c r="J10" s="11">
        <f>SUMIFS(TableDailySummary[Ventas primer cliente],TableDailySummary[Fecha],"&gt;="&amp;TableWeeklySummary[[#This Row],[Desde]],TableDailySummary[Fecha],"&lt;="&amp;TableWeeklySummary[[#This Row],[Hasta]])</f>
        <v>0</v>
      </c>
      <c r="K10" s="11">
        <f>SUMIFS(TableDailySummary[Órdenes primer cliente],TableDailySummary[Fecha],"&gt;="&amp;TableWeeklySummary[[#This Row],[Desde]],TableDailySummary[Fecha],"&lt;="&amp;TableWeeklySummary[[#This Row],[Hasta]])</f>
        <v>0</v>
      </c>
      <c r="L10" s="11">
        <f>SUMIFS(TableDailySummary[Online Store_net_sales],TableDailySummary[Fecha],"&gt;="&amp;TableWeeklySummary[[#This Row],[Desde]],TableDailySummary[Fecha],"&lt;="&amp;TableWeeklySummary[[#This Row],[Hasta]])</f>
        <v>0</v>
      </c>
      <c r="M10" s="11">
        <f>SUMIFS(TableDailySummary[Online Store_orders],TableDailySummary[Fecha],"&gt;="&amp;TableWeeklySummary[[#This Row],[Desde]],TableDailySummary[Fecha],"&lt;="&amp;TableWeeklySummary[[#This Row],[Hasta]])</f>
        <v>0</v>
      </c>
      <c r="N10" s="11">
        <f>SUMIFS(TableDailySummary[Tienda 81_net_sales],TableDailySummary[Fecha],"&gt;="&amp;TableWeeklySummary[[#This Row],[Desde]],TableDailySummary[Fecha],"&lt;="&amp;TableWeeklySummary[[#This Row],[Hasta]])</f>
        <v>0</v>
      </c>
      <c r="O10" s="11">
        <f>SUMIFS(TableDailySummary[Tienda 81_orders],TableDailySummary[Fecha],"&gt;="&amp;TableWeeklySummary[[#This Row],[Desde]],TableDailySummary[Fecha],"&lt;="&amp;TableWeeklySummary[[#This Row],[Hasta]])</f>
        <v>0</v>
      </c>
      <c r="P10" s="11">
        <f>SUMIFS(TableDailySummary[Rappi_net_sales],TableDailySummary[Fecha],"&gt;="&amp;TableWeeklySummary[[#This Row],[Desde]],TableDailySummary[Fecha],"&lt;="&amp;TableWeeklySummary[[#This Row],[Hasta]])</f>
        <v>0</v>
      </c>
      <c r="Q10" s="11">
        <f>SUMIFS(TableDailySummary[Rappi_orders],TableDailySummary[Fecha],"&gt;="&amp;TableWeeklySummary[[#This Row],[Desde]],TableDailySummary[Fecha],"&lt;="&amp;TableWeeklySummary[[#This Row],[Hasta]])</f>
        <v>0</v>
      </c>
      <c r="R1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" s="11">
        <f>SUMIFS(TableDailySummary[Corporativo no tienda_orders],TableDailySummary[Fecha],"&gt;="&amp;TableWeeklySummary[[#This Row],[Desde]],TableDailySummary[Fecha],"&lt;="&amp;TableWeeklySummary[[#This Row],[Hasta]])</f>
        <v>0</v>
      </c>
      <c r="T10" s="11">
        <f>SUMIFS(TableDailySummary[Inversión google ads],TableDailySummary[Fecha],"&gt;="&amp;TableWeeklySummary[[#This Row],[Desde]],TableDailySummary[Fecha],"&lt;="&amp;TableWeeklySummary[[#This Row],[Hasta]])</f>
        <v>0</v>
      </c>
      <c r="U10" s="11">
        <f>SUMIFS(TableDailySummary[Ventas google ads],TableDailySummary[Fecha],"&gt;="&amp;TableWeeklySummary[[#This Row],[Desde]],TableDailySummary[Fecha],"&lt;="&amp;TableWeeklySummary[[#This Row],[Hasta]])</f>
        <v>0</v>
      </c>
      <c r="V10" s="11">
        <f>SUMIFS(TableDailySummary[Inversión meta ads],TableDailySummary[Fecha],"&gt;="&amp;TableWeeklySummary[[#This Row],[Desde]],TableDailySummary[Fecha],"&lt;="&amp;TableWeeklySummary[[#This Row],[Hasta]])</f>
        <v>0</v>
      </c>
      <c r="W10" s="11">
        <f>SUMIFS(TableDailySummary[Ventas meta ads],TableDailySummary[Fecha],"&gt;="&amp;TableWeeklySummary[[#This Row],[Desde]],TableDailySummary[Fecha],"&lt;="&amp;TableWeeklySummary[[#This Row],[Hasta]])</f>
        <v>0</v>
      </c>
      <c r="X10" s="11">
        <f>TableWeeklySummary[[#This Row],[Inversión google ads]]+TableWeeklySummary[[#This Row],[Inversión meta ads]]</f>
        <v>0</v>
      </c>
      <c r="Y10" s="11">
        <f>TableWeeklySummary[[#This Row],[Ventas google ads]]+TableWeeklySummary[[#This Row],[Ventas meta ads]]</f>
        <v>0</v>
      </c>
      <c r="Z10" s="14">
        <f>IFERROR(TableWeeklySummary[[#This Row],[Ventas publicidad]]/TableWeeklySummary[[#This Row],[Inversión publicidad]],0)</f>
        <v>0</v>
      </c>
      <c r="AA10" s="14">
        <f>IFERROR(TableWeeklySummary[[#This Row],[Ventas primer cliente]]/TableWeeklySummary[[#This Row],[Inversión publicidad]],0)</f>
        <v>0</v>
      </c>
      <c r="AB10" s="14"/>
      <c r="AC10" s="11"/>
      <c r="AI1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" s="11">
        <f>SUMIFS(TableDailySummary[Costo de ventas registrado],TableDailySummary[Fecha],"&gt;="&amp;TableWeeklySummary[[#This Row],[Desde]],TableDailySummary[Fecha],"&lt;="&amp;TableWeeklySummary[[#This Row],[Hasta]])</f>
        <v>0</v>
      </c>
      <c r="AK10" s="11">
        <f>SUMIFS(TableDailySummary[Utilidad bruta],TableDailySummary[Fecha],"&gt;="&amp;TableWeeklySummary[[#This Row],[Desde]],TableDailySummary[Fecha],"&lt;="&amp;TableWeeklySummary[[#This Row],[Hasta]])</f>
        <v>0</v>
      </c>
      <c r="AL10" s="18">
        <f>IFERROR(TableWeeklySummary[[#This Row],[Utilidad bruta]]/TableWeeklySummary[[#This Row],[Ventas netas con costo registrado]],0)</f>
        <v>0</v>
      </c>
    </row>
    <row r="11" spans="2:38" x14ac:dyDescent="0.2">
      <c r="B11" s="16">
        <f>_xlfn.ISOWEEKNUM(TableWeeklySummary[[#This Row],[Hasta]])</f>
        <v>52</v>
      </c>
      <c r="C11" s="6">
        <f t="shared" si="0"/>
        <v>44554</v>
      </c>
      <c r="D11" s="6">
        <f>TableWeeklySummary[[#This Row],[Desde]]+7-1</f>
        <v>44560</v>
      </c>
      <c r="E11" s="11">
        <f>SUMIFS(TableDailySummary[Ventas netas totales],TableDailySummary[Fecha],"&gt;="&amp;TableWeeklySummary[[#This Row],[Desde]],TableDailySummary[Fecha],"&lt;="&amp;TableWeeklySummary[[#This Row],[Hasta]])</f>
        <v>0</v>
      </c>
      <c r="F11" s="11">
        <f>SUMIFS(TableDailySummary[Órdenes totales],TableDailySummary[Fecha],"&gt;="&amp;TableWeeklySummary[[#This Row],[Desde]],TableDailySummary[Fecha],"&lt;="&amp;TableWeeklySummary[[#This Row],[Hasta]])</f>
        <v>0</v>
      </c>
      <c r="G11" s="11">
        <f>IFERROR(TableWeeklySummary[[#This Row],[Ventas netas totales]]/TableWeeklySummary[[#This Row],[Órdenes totales]],0)</f>
        <v>0</v>
      </c>
      <c r="H1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" s="11">
        <f>TableWeeklySummary[[#This Row],[Órden promedio totales]]*TableWeeklySummary[[#This Row],[CR totales]]</f>
        <v>0</v>
      </c>
      <c r="J11" s="11">
        <f>SUMIFS(TableDailySummary[Ventas primer cliente],TableDailySummary[Fecha],"&gt;="&amp;TableWeeklySummary[[#This Row],[Desde]],TableDailySummary[Fecha],"&lt;="&amp;TableWeeklySummary[[#This Row],[Hasta]])</f>
        <v>0</v>
      </c>
      <c r="K11" s="11">
        <f>SUMIFS(TableDailySummary[Órdenes primer cliente],TableDailySummary[Fecha],"&gt;="&amp;TableWeeklySummary[[#This Row],[Desde]],TableDailySummary[Fecha],"&lt;="&amp;TableWeeklySummary[[#This Row],[Hasta]])</f>
        <v>0</v>
      </c>
      <c r="L11" s="11">
        <f>SUMIFS(TableDailySummary[Online Store_net_sales],TableDailySummary[Fecha],"&gt;="&amp;TableWeeklySummary[[#This Row],[Desde]],TableDailySummary[Fecha],"&lt;="&amp;TableWeeklySummary[[#This Row],[Hasta]])</f>
        <v>0</v>
      </c>
      <c r="M11" s="11">
        <f>SUMIFS(TableDailySummary[Online Store_orders],TableDailySummary[Fecha],"&gt;="&amp;TableWeeklySummary[[#This Row],[Desde]],TableDailySummary[Fecha],"&lt;="&amp;TableWeeklySummary[[#This Row],[Hasta]])</f>
        <v>0</v>
      </c>
      <c r="N11" s="11">
        <f>SUMIFS(TableDailySummary[Tienda 81_net_sales],TableDailySummary[Fecha],"&gt;="&amp;TableWeeklySummary[[#This Row],[Desde]],TableDailySummary[Fecha],"&lt;="&amp;TableWeeklySummary[[#This Row],[Hasta]])</f>
        <v>0</v>
      </c>
      <c r="O11" s="11">
        <f>SUMIFS(TableDailySummary[Tienda 81_orders],TableDailySummary[Fecha],"&gt;="&amp;TableWeeklySummary[[#This Row],[Desde]],TableDailySummary[Fecha],"&lt;="&amp;TableWeeklySummary[[#This Row],[Hasta]])</f>
        <v>0</v>
      </c>
      <c r="P11" s="11">
        <f>SUMIFS(TableDailySummary[Rappi_net_sales],TableDailySummary[Fecha],"&gt;="&amp;TableWeeklySummary[[#This Row],[Desde]],TableDailySummary[Fecha],"&lt;="&amp;TableWeeklySummary[[#This Row],[Hasta]])</f>
        <v>0</v>
      </c>
      <c r="Q11" s="11">
        <f>SUMIFS(TableDailySummary[Rappi_orders],TableDailySummary[Fecha],"&gt;="&amp;TableWeeklySummary[[#This Row],[Desde]],TableDailySummary[Fecha],"&lt;="&amp;TableWeeklySummary[[#This Row],[Hasta]])</f>
        <v>0</v>
      </c>
      <c r="R1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" s="11">
        <f>SUMIFS(TableDailySummary[Corporativo no tienda_orders],TableDailySummary[Fecha],"&gt;="&amp;TableWeeklySummary[[#This Row],[Desde]],TableDailySummary[Fecha],"&lt;="&amp;TableWeeklySummary[[#This Row],[Hasta]])</f>
        <v>0</v>
      </c>
      <c r="T11" s="11">
        <f>SUMIFS(TableDailySummary[Inversión google ads],TableDailySummary[Fecha],"&gt;="&amp;TableWeeklySummary[[#This Row],[Desde]],TableDailySummary[Fecha],"&lt;="&amp;TableWeeklySummary[[#This Row],[Hasta]])</f>
        <v>0</v>
      </c>
      <c r="U11" s="11">
        <f>SUMIFS(TableDailySummary[Ventas google ads],TableDailySummary[Fecha],"&gt;="&amp;TableWeeklySummary[[#This Row],[Desde]],TableDailySummary[Fecha],"&lt;="&amp;TableWeeklySummary[[#This Row],[Hasta]])</f>
        <v>0</v>
      </c>
      <c r="V11" s="11">
        <f>SUMIFS(TableDailySummary[Inversión meta ads],TableDailySummary[Fecha],"&gt;="&amp;TableWeeklySummary[[#This Row],[Desde]],TableDailySummary[Fecha],"&lt;="&amp;TableWeeklySummary[[#This Row],[Hasta]])</f>
        <v>0</v>
      </c>
      <c r="W11" s="11">
        <f>SUMIFS(TableDailySummary[Ventas meta ads],TableDailySummary[Fecha],"&gt;="&amp;TableWeeklySummary[[#This Row],[Desde]],TableDailySummary[Fecha],"&lt;="&amp;TableWeeklySummary[[#This Row],[Hasta]])</f>
        <v>0</v>
      </c>
      <c r="X11" s="11">
        <f>TableWeeklySummary[[#This Row],[Inversión google ads]]+TableWeeklySummary[[#This Row],[Inversión meta ads]]</f>
        <v>0</v>
      </c>
      <c r="Y11" s="11">
        <f>TableWeeklySummary[[#This Row],[Ventas google ads]]+TableWeeklySummary[[#This Row],[Ventas meta ads]]</f>
        <v>0</v>
      </c>
      <c r="Z11" s="14">
        <f>IFERROR(TableWeeklySummary[[#This Row],[Ventas publicidad]]/TableWeeklySummary[[#This Row],[Inversión publicidad]],0)</f>
        <v>0</v>
      </c>
      <c r="AA11" s="14">
        <f>IFERROR(TableWeeklySummary[[#This Row],[Ventas primer cliente]]/TableWeeklySummary[[#This Row],[Inversión publicidad]],0)</f>
        <v>0</v>
      </c>
      <c r="AB11" s="14"/>
      <c r="AC11" s="11"/>
      <c r="AI1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" s="11">
        <f>SUMIFS(TableDailySummary[Costo de ventas registrado],TableDailySummary[Fecha],"&gt;="&amp;TableWeeklySummary[[#This Row],[Desde]],TableDailySummary[Fecha],"&lt;="&amp;TableWeeklySummary[[#This Row],[Hasta]])</f>
        <v>0</v>
      </c>
      <c r="AK11" s="11">
        <f>SUMIFS(TableDailySummary[Utilidad bruta],TableDailySummary[Fecha],"&gt;="&amp;TableWeeklySummary[[#This Row],[Desde]],TableDailySummary[Fecha],"&lt;="&amp;TableWeeklySummary[[#This Row],[Hasta]])</f>
        <v>0</v>
      </c>
      <c r="AL11" s="18">
        <f>IFERROR(TableWeeklySummary[[#This Row],[Utilidad bruta]]/TableWeeklySummary[[#This Row],[Ventas netas con costo registrado]],0)</f>
        <v>0</v>
      </c>
    </row>
    <row r="12" spans="2:38" x14ac:dyDescent="0.2">
      <c r="B12" s="16">
        <f>_xlfn.ISOWEEKNUM(TableWeeklySummary[[#This Row],[Hasta]])</f>
        <v>1</v>
      </c>
      <c r="C12" s="6">
        <f t="shared" si="0"/>
        <v>44561</v>
      </c>
      <c r="D12" s="6">
        <f>TableWeeklySummary[[#This Row],[Desde]]+7-1</f>
        <v>44567</v>
      </c>
      <c r="E12" s="11">
        <f>SUMIFS(TableDailySummary[Ventas netas totales],TableDailySummary[Fecha],"&gt;="&amp;TableWeeklySummary[[#This Row],[Desde]],TableDailySummary[Fecha],"&lt;="&amp;TableWeeklySummary[[#This Row],[Hasta]])</f>
        <v>0</v>
      </c>
      <c r="F12" s="11">
        <f>SUMIFS(TableDailySummary[Órdenes totales],TableDailySummary[Fecha],"&gt;="&amp;TableWeeklySummary[[#This Row],[Desde]],TableDailySummary[Fecha],"&lt;="&amp;TableWeeklySummary[[#This Row],[Hasta]])</f>
        <v>0</v>
      </c>
      <c r="G12" s="11">
        <f>IFERROR(TableWeeklySummary[[#This Row],[Ventas netas totales]]/TableWeeklySummary[[#This Row],[Órdenes totales]],0)</f>
        <v>0</v>
      </c>
      <c r="H1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" s="11">
        <f>TableWeeklySummary[[#This Row],[Órden promedio totales]]*TableWeeklySummary[[#This Row],[CR totales]]</f>
        <v>0</v>
      </c>
      <c r="J12" s="11">
        <f>SUMIFS(TableDailySummary[Ventas primer cliente],TableDailySummary[Fecha],"&gt;="&amp;TableWeeklySummary[[#This Row],[Desde]],TableDailySummary[Fecha],"&lt;="&amp;TableWeeklySummary[[#This Row],[Hasta]])</f>
        <v>0</v>
      </c>
      <c r="K12" s="11">
        <f>SUMIFS(TableDailySummary[Órdenes primer cliente],TableDailySummary[Fecha],"&gt;="&amp;TableWeeklySummary[[#This Row],[Desde]],TableDailySummary[Fecha],"&lt;="&amp;TableWeeklySummary[[#This Row],[Hasta]])</f>
        <v>0</v>
      </c>
      <c r="L12" s="11">
        <f>SUMIFS(TableDailySummary[Online Store_net_sales],TableDailySummary[Fecha],"&gt;="&amp;TableWeeklySummary[[#This Row],[Desde]],TableDailySummary[Fecha],"&lt;="&amp;TableWeeklySummary[[#This Row],[Hasta]])</f>
        <v>0</v>
      </c>
      <c r="M12" s="11">
        <f>SUMIFS(TableDailySummary[Online Store_orders],TableDailySummary[Fecha],"&gt;="&amp;TableWeeklySummary[[#This Row],[Desde]],TableDailySummary[Fecha],"&lt;="&amp;TableWeeklySummary[[#This Row],[Hasta]])</f>
        <v>0</v>
      </c>
      <c r="N12" s="11">
        <f>SUMIFS(TableDailySummary[Tienda 81_net_sales],TableDailySummary[Fecha],"&gt;="&amp;TableWeeklySummary[[#This Row],[Desde]],TableDailySummary[Fecha],"&lt;="&amp;TableWeeklySummary[[#This Row],[Hasta]])</f>
        <v>0</v>
      </c>
      <c r="O12" s="11">
        <f>SUMIFS(TableDailySummary[Tienda 81_orders],TableDailySummary[Fecha],"&gt;="&amp;TableWeeklySummary[[#This Row],[Desde]],TableDailySummary[Fecha],"&lt;="&amp;TableWeeklySummary[[#This Row],[Hasta]])</f>
        <v>0</v>
      </c>
      <c r="P12" s="11">
        <f>SUMIFS(TableDailySummary[Rappi_net_sales],TableDailySummary[Fecha],"&gt;="&amp;TableWeeklySummary[[#This Row],[Desde]],TableDailySummary[Fecha],"&lt;="&amp;TableWeeklySummary[[#This Row],[Hasta]])</f>
        <v>0</v>
      </c>
      <c r="Q12" s="11">
        <f>SUMIFS(TableDailySummary[Rappi_orders],TableDailySummary[Fecha],"&gt;="&amp;TableWeeklySummary[[#This Row],[Desde]],TableDailySummary[Fecha],"&lt;="&amp;TableWeeklySummary[[#This Row],[Hasta]])</f>
        <v>0</v>
      </c>
      <c r="R1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" s="11">
        <f>SUMIFS(TableDailySummary[Corporativo no tienda_orders],TableDailySummary[Fecha],"&gt;="&amp;TableWeeklySummary[[#This Row],[Desde]],TableDailySummary[Fecha],"&lt;="&amp;TableWeeklySummary[[#This Row],[Hasta]])</f>
        <v>0</v>
      </c>
      <c r="T12" s="11">
        <f>SUMIFS(TableDailySummary[Inversión google ads],TableDailySummary[Fecha],"&gt;="&amp;TableWeeklySummary[[#This Row],[Desde]],TableDailySummary[Fecha],"&lt;="&amp;TableWeeklySummary[[#This Row],[Hasta]])</f>
        <v>0</v>
      </c>
      <c r="U12" s="11">
        <f>SUMIFS(TableDailySummary[Ventas google ads],TableDailySummary[Fecha],"&gt;="&amp;TableWeeklySummary[[#This Row],[Desde]],TableDailySummary[Fecha],"&lt;="&amp;TableWeeklySummary[[#This Row],[Hasta]])</f>
        <v>0</v>
      </c>
      <c r="V12" s="11">
        <f>SUMIFS(TableDailySummary[Inversión meta ads],TableDailySummary[Fecha],"&gt;="&amp;TableWeeklySummary[[#This Row],[Desde]],TableDailySummary[Fecha],"&lt;="&amp;TableWeeklySummary[[#This Row],[Hasta]])</f>
        <v>0</v>
      </c>
      <c r="W12" s="11">
        <f>SUMIFS(TableDailySummary[Ventas meta ads],TableDailySummary[Fecha],"&gt;="&amp;TableWeeklySummary[[#This Row],[Desde]],TableDailySummary[Fecha],"&lt;="&amp;TableWeeklySummary[[#This Row],[Hasta]])</f>
        <v>0</v>
      </c>
      <c r="X12" s="11">
        <f>TableWeeklySummary[[#This Row],[Inversión google ads]]+TableWeeklySummary[[#This Row],[Inversión meta ads]]</f>
        <v>0</v>
      </c>
      <c r="Y12" s="11">
        <f>TableWeeklySummary[[#This Row],[Ventas google ads]]+TableWeeklySummary[[#This Row],[Ventas meta ads]]</f>
        <v>0</v>
      </c>
      <c r="Z12" s="14">
        <f>IFERROR(TableWeeklySummary[[#This Row],[Ventas publicidad]]/TableWeeklySummary[[#This Row],[Inversión publicidad]],0)</f>
        <v>0</v>
      </c>
      <c r="AA12" s="14">
        <f>IFERROR(TableWeeklySummary[[#This Row],[Ventas primer cliente]]/TableWeeklySummary[[#This Row],[Inversión publicidad]],0)</f>
        <v>0</v>
      </c>
      <c r="AB12" s="14"/>
      <c r="AC12" s="11"/>
      <c r="AI1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" s="11">
        <f>SUMIFS(TableDailySummary[Costo de ventas registrado],TableDailySummary[Fecha],"&gt;="&amp;TableWeeklySummary[[#This Row],[Desde]],TableDailySummary[Fecha],"&lt;="&amp;TableWeeklySummary[[#This Row],[Hasta]])</f>
        <v>0</v>
      </c>
      <c r="AK12" s="11">
        <f>SUMIFS(TableDailySummary[Utilidad bruta],TableDailySummary[Fecha],"&gt;="&amp;TableWeeklySummary[[#This Row],[Desde]],TableDailySummary[Fecha],"&lt;="&amp;TableWeeklySummary[[#This Row],[Hasta]])</f>
        <v>0</v>
      </c>
      <c r="AL12" s="18">
        <f>IFERROR(TableWeeklySummary[[#This Row],[Utilidad bruta]]/TableWeeklySummary[[#This Row],[Ventas netas con costo registrado]],0)</f>
        <v>0</v>
      </c>
    </row>
    <row r="13" spans="2:38" x14ac:dyDescent="0.2">
      <c r="B13" s="16">
        <f>_xlfn.ISOWEEKNUM(TableWeeklySummary[[#This Row],[Hasta]])</f>
        <v>2</v>
      </c>
      <c r="C13" s="6">
        <f t="shared" si="0"/>
        <v>44568</v>
      </c>
      <c r="D13" s="6">
        <f>TableWeeklySummary[[#This Row],[Desde]]+7-1</f>
        <v>44574</v>
      </c>
      <c r="E13" s="11">
        <f>SUMIFS(TableDailySummary[Ventas netas totales],TableDailySummary[Fecha],"&gt;="&amp;TableWeeklySummary[[#This Row],[Desde]],TableDailySummary[Fecha],"&lt;="&amp;TableWeeklySummary[[#This Row],[Hasta]])</f>
        <v>0</v>
      </c>
      <c r="F13" s="11">
        <f>SUMIFS(TableDailySummary[Órdenes totales],TableDailySummary[Fecha],"&gt;="&amp;TableWeeklySummary[[#This Row],[Desde]],TableDailySummary[Fecha],"&lt;="&amp;TableWeeklySummary[[#This Row],[Hasta]])</f>
        <v>0</v>
      </c>
      <c r="G13" s="11">
        <f>IFERROR(TableWeeklySummary[[#This Row],[Ventas netas totales]]/TableWeeklySummary[[#This Row],[Órdenes totales]],0)</f>
        <v>0</v>
      </c>
      <c r="H1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" s="11">
        <f>TableWeeklySummary[[#This Row],[Órden promedio totales]]*TableWeeklySummary[[#This Row],[CR totales]]</f>
        <v>0</v>
      </c>
      <c r="J13" s="11">
        <f>SUMIFS(TableDailySummary[Ventas primer cliente],TableDailySummary[Fecha],"&gt;="&amp;TableWeeklySummary[[#This Row],[Desde]],TableDailySummary[Fecha],"&lt;="&amp;TableWeeklySummary[[#This Row],[Hasta]])</f>
        <v>0</v>
      </c>
      <c r="K13" s="11">
        <f>SUMIFS(TableDailySummary[Órdenes primer cliente],TableDailySummary[Fecha],"&gt;="&amp;TableWeeklySummary[[#This Row],[Desde]],TableDailySummary[Fecha],"&lt;="&amp;TableWeeklySummary[[#This Row],[Hasta]])</f>
        <v>0</v>
      </c>
      <c r="L13" s="11">
        <f>SUMIFS(TableDailySummary[Online Store_net_sales],TableDailySummary[Fecha],"&gt;="&amp;TableWeeklySummary[[#This Row],[Desde]],TableDailySummary[Fecha],"&lt;="&amp;TableWeeklySummary[[#This Row],[Hasta]])</f>
        <v>0</v>
      </c>
      <c r="M13" s="11">
        <f>SUMIFS(TableDailySummary[Online Store_orders],TableDailySummary[Fecha],"&gt;="&amp;TableWeeklySummary[[#This Row],[Desde]],TableDailySummary[Fecha],"&lt;="&amp;TableWeeklySummary[[#This Row],[Hasta]])</f>
        <v>0</v>
      </c>
      <c r="N13" s="11">
        <f>SUMIFS(TableDailySummary[Tienda 81_net_sales],TableDailySummary[Fecha],"&gt;="&amp;TableWeeklySummary[[#This Row],[Desde]],TableDailySummary[Fecha],"&lt;="&amp;TableWeeklySummary[[#This Row],[Hasta]])</f>
        <v>0</v>
      </c>
      <c r="O13" s="11">
        <f>SUMIFS(TableDailySummary[Tienda 81_orders],TableDailySummary[Fecha],"&gt;="&amp;TableWeeklySummary[[#This Row],[Desde]],TableDailySummary[Fecha],"&lt;="&amp;TableWeeklySummary[[#This Row],[Hasta]])</f>
        <v>0</v>
      </c>
      <c r="P13" s="11">
        <f>SUMIFS(TableDailySummary[Rappi_net_sales],TableDailySummary[Fecha],"&gt;="&amp;TableWeeklySummary[[#This Row],[Desde]],TableDailySummary[Fecha],"&lt;="&amp;TableWeeklySummary[[#This Row],[Hasta]])</f>
        <v>0</v>
      </c>
      <c r="Q13" s="11">
        <f>SUMIFS(TableDailySummary[Rappi_orders],TableDailySummary[Fecha],"&gt;="&amp;TableWeeklySummary[[#This Row],[Desde]],TableDailySummary[Fecha],"&lt;="&amp;TableWeeklySummary[[#This Row],[Hasta]])</f>
        <v>0</v>
      </c>
      <c r="R1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" s="11">
        <f>SUMIFS(TableDailySummary[Corporativo no tienda_orders],TableDailySummary[Fecha],"&gt;="&amp;TableWeeklySummary[[#This Row],[Desde]],TableDailySummary[Fecha],"&lt;="&amp;TableWeeklySummary[[#This Row],[Hasta]])</f>
        <v>0</v>
      </c>
      <c r="T13" s="11">
        <f>SUMIFS(TableDailySummary[Inversión google ads],TableDailySummary[Fecha],"&gt;="&amp;TableWeeklySummary[[#This Row],[Desde]],TableDailySummary[Fecha],"&lt;="&amp;TableWeeklySummary[[#This Row],[Hasta]])</f>
        <v>0</v>
      </c>
      <c r="U13" s="11">
        <f>SUMIFS(TableDailySummary[Ventas google ads],TableDailySummary[Fecha],"&gt;="&amp;TableWeeklySummary[[#This Row],[Desde]],TableDailySummary[Fecha],"&lt;="&amp;TableWeeklySummary[[#This Row],[Hasta]])</f>
        <v>0</v>
      </c>
      <c r="V13" s="11">
        <f>SUMIFS(TableDailySummary[Inversión meta ads],TableDailySummary[Fecha],"&gt;="&amp;TableWeeklySummary[[#This Row],[Desde]],TableDailySummary[Fecha],"&lt;="&amp;TableWeeklySummary[[#This Row],[Hasta]])</f>
        <v>0</v>
      </c>
      <c r="W13" s="11">
        <f>SUMIFS(TableDailySummary[Ventas meta ads],TableDailySummary[Fecha],"&gt;="&amp;TableWeeklySummary[[#This Row],[Desde]],TableDailySummary[Fecha],"&lt;="&amp;TableWeeklySummary[[#This Row],[Hasta]])</f>
        <v>0</v>
      </c>
      <c r="X13" s="11">
        <f>TableWeeklySummary[[#This Row],[Inversión google ads]]+TableWeeklySummary[[#This Row],[Inversión meta ads]]</f>
        <v>0</v>
      </c>
      <c r="Y13" s="11">
        <f>TableWeeklySummary[[#This Row],[Ventas google ads]]+TableWeeklySummary[[#This Row],[Ventas meta ads]]</f>
        <v>0</v>
      </c>
      <c r="Z13" s="14">
        <f>IFERROR(TableWeeklySummary[[#This Row],[Ventas publicidad]]/TableWeeklySummary[[#This Row],[Inversión publicidad]],0)</f>
        <v>0</v>
      </c>
      <c r="AA13" s="14">
        <f>IFERROR(TableWeeklySummary[[#This Row],[Ventas primer cliente]]/TableWeeklySummary[[#This Row],[Inversión publicidad]],0)</f>
        <v>0</v>
      </c>
      <c r="AB13" s="14"/>
      <c r="AC13" s="11"/>
      <c r="AI1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" s="11">
        <f>SUMIFS(TableDailySummary[Costo de ventas registrado],TableDailySummary[Fecha],"&gt;="&amp;TableWeeklySummary[[#This Row],[Desde]],TableDailySummary[Fecha],"&lt;="&amp;TableWeeklySummary[[#This Row],[Hasta]])</f>
        <v>0</v>
      </c>
      <c r="AK13" s="11">
        <f>SUMIFS(TableDailySummary[Utilidad bruta],TableDailySummary[Fecha],"&gt;="&amp;TableWeeklySummary[[#This Row],[Desde]],TableDailySummary[Fecha],"&lt;="&amp;TableWeeklySummary[[#This Row],[Hasta]])</f>
        <v>0</v>
      </c>
      <c r="AL13" s="18">
        <f>IFERROR(TableWeeklySummary[[#This Row],[Utilidad bruta]]/TableWeeklySummary[[#This Row],[Ventas netas con costo registrado]],0)</f>
        <v>0</v>
      </c>
    </row>
    <row r="14" spans="2:38" x14ac:dyDescent="0.2">
      <c r="B14" s="16">
        <f>_xlfn.ISOWEEKNUM(TableWeeklySummary[[#This Row],[Hasta]])</f>
        <v>3</v>
      </c>
      <c r="C14" s="6">
        <f t="shared" si="0"/>
        <v>44575</v>
      </c>
      <c r="D14" s="6">
        <f>TableWeeklySummary[[#This Row],[Desde]]+7-1</f>
        <v>44581</v>
      </c>
      <c r="E14" s="11">
        <f>SUMIFS(TableDailySummary[Ventas netas totales],TableDailySummary[Fecha],"&gt;="&amp;TableWeeklySummary[[#This Row],[Desde]],TableDailySummary[Fecha],"&lt;="&amp;TableWeeklySummary[[#This Row],[Hasta]])</f>
        <v>0</v>
      </c>
      <c r="F14" s="11">
        <f>SUMIFS(TableDailySummary[Órdenes totales],TableDailySummary[Fecha],"&gt;="&amp;TableWeeklySummary[[#This Row],[Desde]],TableDailySummary[Fecha],"&lt;="&amp;TableWeeklySummary[[#This Row],[Hasta]])</f>
        <v>0</v>
      </c>
      <c r="G14" s="11">
        <f>IFERROR(TableWeeklySummary[[#This Row],[Ventas netas totales]]/TableWeeklySummary[[#This Row],[Órdenes totales]],0)</f>
        <v>0</v>
      </c>
      <c r="H1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" s="11">
        <f>TableWeeklySummary[[#This Row],[Órden promedio totales]]*TableWeeklySummary[[#This Row],[CR totales]]</f>
        <v>0</v>
      </c>
      <c r="J14" s="11">
        <f>SUMIFS(TableDailySummary[Ventas primer cliente],TableDailySummary[Fecha],"&gt;="&amp;TableWeeklySummary[[#This Row],[Desde]],TableDailySummary[Fecha],"&lt;="&amp;TableWeeklySummary[[#This Row],[Hasta]])</f>
        <v>0</v>
      </c>
      <c r="K14" s="11">
        <f>SUMIFS(TableDailySummary[Órdenes primer cliente],TableDailySummary[Fecha],"&gt;="&amp;TableWeeklySummary[[#This Row],[Desde]],TableDailySummary[Fecha],"&lt;="&amp;TableWeeklySummary[[#This Row],[Hasta]])</f>
        <v>0</v>
      </c>
      <c r="L14" s="11">
        <f>SUMIFS(TableDailySummary[Online Store_net_sales],TableDailySummary[Fecha],"&gt;="&amp;TableWeeklySummary[[#This Row],[Desde]],TableDailySummary[Fecha],"&lt;="&amp;TableWeeklySummary[[#This Row],[Hasta]])</f>
        <v>0</v>
      </c>
      <c r="M14" s="11">
        <f>SUMIFS(TableDailySummary[Online Store_orders],TableDailySummary[Fecha],"&gt;="&amp;TableWeeklySummary[[#This Row],[Desde]],TableDailySummary[Fecha],"&lt;="&amp;TableWeeklySummary[[#This Row],[Hasta]])</f>
        <v>0</v>
      </c>
      <c r="N14" s="11">
        <f>SUMIFS(TableDailySummary[Tienda 81_net_sales],TableDailySummary[Fecha],"&gt;="&amp;TableWeeklySummary[[#This Row],[Desde]],TableDailySummary[Fecha],"&lt;="&amp;TableWeeklySummary[[#This Row],[Hasta]])</f>
        <v>0</v>
      </c>
      <c r="O14" s="11">
        <f>SUMIFS(TableDailySummary[Tienda 81_orders],TableDailySummary[Fecha],"&gt;="&amp;TableWeeklySummary[[#This Row],[Desde]],TableDailySummary[Fecha],"&lt;="&amp;TableWeeklySummary[[#This Row],[Hasta]])</f>
        <v>0</v>
      </c>
      <c r="P14" s="11">
        <f>SUMIFS(TableDailySummary[Rappi_net_sales],TableDailySummary[Fecha],"&gt;="&amp;TableWeeklySummary[[#This Row],[Desde]],TableDailySummary[Fecha],"&lt;="&amp;TableWeeklySummary[[#This Row],[Hasta]])</f>
        <v>0</v>
      </c>
      <c r="Q14" s="11">
        <f>SUMIFS(TableDailySummary[Rappi_orders],TableDailySummary[Fecha],"&gt;="&amp;TableWeeklySummary[[#This Row],[Desde]],TableDailySummary[Fecha],"&lt;="&amp;TableWeeklySummary[[#This Row],[Hasta]])</f>
        <v>0</v>
      </c>
      <c r="R1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" s="11">
        <f>SUMIFS(TableDailySummary[Corporativo no tienda_orders],TableDailySummary[Fecha],"&gt;="&amp;TableWeeklySummary[[#This Row],[Desde]],TableDailySummary[Fecha],"&lt;="&amp;TableWeeklySummary[[#This Row],[Hasta]])</f>
        <v>0</v>
      </c>
      <c r="T14" s="11">
        <f>SUMIFS(TableDailySummary[Inversión google ads],TableDailySummary[Fecha],"&gt;="&amp;TableWeeklySummary[[#This Row],[Desde]],TableDailySummary[Fecha],"&lt;="&amp;TableWeeklySummary[[#This Row],[Hasta]])</f>
        <v>0</v>
      </c>
      <c r="U14" s="11">
        <f>SUMIFS(TableDailySummary[Ventas google ads],TableDailySummary[Fecha],"&gt;="&amp;TableWeeklySummary[[#This Row],[Desde]],TableDailySummary[Fecha],"&lt;="&amp;TableWeeklySummary[[#This Row],[Hasta]])</f>
        <v>0</v>
      </c>
      <c r="V14" s="11">
        <f>SUMIFS(TableDailySummary[Inversión meta ads],TableDailySummary[Fecha],"&gt;="&amp;TableWeeklySummary[[#This Row],[Desde]],TableDailySummary[Fecha],"&lt;="&amp;TableWeeklySummary[[#This Row],[Hasta]])</f>
        <v>0</v>
      </c>
      <c r="W14" s="11">
        <f>SUMIFS(TableDailySummary[Ventas meta ads],TableDailySummary[Fecha],"&gt;="&amp;TableWeeklySummary[[#This Row],[Desde]],TableDailySummary[Fecha],"&lt;="&amp;TableWeeklySummary[[#This Row],[Hasta]])</f>
        <v>0</v>
      </c>
      <c r="X14" s="11">
        <f>TableWeeklySummary[[#This Row],[Inversión google ads]]+TableWeeklySummary[[#This Row],[Inversión meta ads]]</f>
        <v>0</v>
      </c>
      <c r="Y14" s="11">
        <f>TableWeeklySummary[[#This Row],[Ventas google ads]]+TableWeeklySummary[[#This Row],[Ventas meta ads]]</f>
        <v>0</v>
      </c>
      <c r="Z14" s="14">
        <f>IFERROR(TableWeeklySummary[[#This Row],[Ventas publicidad]]/TableWeeklySummary[[#This Row],[Inversión publicidad]],0)</f>
        <v>0</v>
      </c>
      <c r="AA14" s="14">
        <f>IFERROR(TableWeeklySummary[[#This Row],[Ventas primer cliente]]/TableWeeklySummary[[#This Row],[Inversión publicidad]],0)</f>
        <v>0</v>
      </c>
      <c r="AB14" s="14"/>
      <c r="AC14" s="11"/>
      <c r="AI1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" s="11">
        <f>SUMIFS(TableDailySummary[Costo de ventas registrado],TableDailySummary[Fecha],"&gt;="&amp;TableWeeklySummary[[#This Row],[Desde]],TableDailySummary[Fecha],"&lt;="&amp;TableWeeklySummary[[#This Row],[Hasta]])</f>
        <v>0</v>
      </c>
      <c r="AK14" s="11">
        <f>SUMIFS(TableDailySummary[Utilidad bruta],TableDailySummary[Fecha],"&gt;="&amp;TableWeeklySummary[[#This Row],[Desde]],TableDailySummary[Fecha],"&lt;="&amp;TableWeeklySummary[[#This Row],[Hasta]])</f>
        <v>0</v>
      </c>
      <c r="AL14" s="18">
        <f>IFERROR(TableWeeklySummary[[#This Row],[Utilidad bruta]]/TableWeeklySummary[[#This Row],[Ventas netas con costo registrado]],0)</f>
        <v>0</v>
      </c>
    </row>
    <row r="15" spans="2:38" x14ac:dyDescent="0.2">
      <c r="B15" s="16">
        <f>_xlfn.ISOWEEKNUM(TableWeeklySummary[[#This Row],[Hasta]])</f>
        <v>4</v>
      </c>
      <c r="C15" s="6">
        <f t="shared" si="0"/>
        <v>44582</v>
      </c>
      <c r="D15" s="6">
        <f>TableWeeklySummary[[#This Row],[Desde]]+7-1</f>
        <v>44588</v>
      </c>
      <c r="E15" s="11">
        <f>SUMIFS(TableDailySummary[Ventas netas totales],TableDailySummary[Fecha],"&gt;="&amp;TableWeeklySummary[[#This Row],[Desde]],TableDailySummary[Fecha],"&lt;="&amp;TableWeeklySummary[[#This Row],[Hasta]])</f>
        <v>0</v>
      </c>
      <c r="F15" s="11">
        <f>SUMIFS(TableDailySummary[Órdenes totales],TableDailySummary[Fecha],"&gt;="&amp;TableWeeklySummary[[#This Row],[Desde]],TableDailySummary[Fecha],"&lt;="&amp;TableWeeklySummary[[#This Row],[Hasta]])</f>
        <v>0</v>
      </c>
      <c r="G15" s="11">
        <f>IFERROR(TableWeeklySummary[[#This Row],[Ventas netas totales]]/TableWeeklySummary[[#This Row],[Órdenes totales]],0)</f>
        <v>0</v>
      </c>
      <c r="H1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" s="11">
        <f>TableWeeklySummary[[#This Row],[Órden promedio totales]]*TableWeeklySummary[[#This Row],[CR totales]]</f>
        <v>0</v>
      </c>
      <c r="J15" s="11">
        <f>SUMIFS(TableDailySummary[Ventas primer cliente],TableDailySummary[Fecha],"&gt;="&amp;TableWeeklySummary[[#This Row],[Desde]],TableDailySummary[Fecha],"&lt;="&amp;TableWeeklySummary[[#This Row],[Hasta]])</f>
        <v>0</v>
      </c>
      <c r="K15" s="11">
        <f>SUMIFS(TableDailySummary[Órdenes primer cliente],TableDailySummary[Fecha],"&gt;="&amp;TableWeeklySummary[[#This Row],[Desde]],TableDailySummary[Fecha],"&lt;="&amp;TableWeeklySummary[[#This Row],[Hasta]])</f>
        <v>0</v>
      </c>
      <c r="L15" s="11">
        <f>SUMIFS(TableDailySummary[Online Store_net_sales],TableDailySummary[Fecha],"&gt;="&amp;TableWeeklySummary[[#This Row],[Desde]],TableDailySummary[Fecha],"&lt;="&amp;TableWeeklySummary[[#This Row],[Hasta]])</f>
        <v>0</v>
      </c>
      <c r="M15" s="11">
        <f>SUMIFS(TableDailySummary[Online Store_orders],TableDailySummary[Fecha],"&gt;="&amp;TableWeeklySummary[[#This Row],[Desde]],TableDailySummary[Fecha],"&lt;="&amp;TableWeeklySummary[[#This Row],[Hasta]])</f>
        <v>0</v>
      </c>
      <c r="N15" s="11">
        <f>SUMIFS(TableDailySummary[Tienda 81_net_sales],TableDailySummary[Fecha],"&gt;="&amp;TableWeeklySummary[[#This Row],[Desde]],TableDailySummary[Fecha],"&lt;="&amp;TableWeeklySummary[[#This Row],[Hasta]])</f>
        <v>0</v>
      </c>
      <c r="O15" s="11">
        <f>SUMIFS(TableDailySummary[Tienda 81_orders],TableDailySummary[Fecha],"&gt;="&amp;TableWeeklySummary[[#This Row],[Desde]],TableDailySummary[Fecha],"&lt;="&amp;TableWeeklySummary[[#This Row],[Hasta]])</f>
        <v>0</v>
      </c>
      <c r="P15" s="11">
        <f>SUMIFS(TableDailySummary[Rappi_net_sales],TableDailySummary[Fecha],"&gt;="&amp;TableWeeklySummary[[#This Row],[Desde]],TableDailySummary[Fecha],"&lt;="&amp;TableWeeklySummary[[#This Row],[Hasta]])</f>
        <v>0</v>
      </c>
      <c r="Q15" s="11">
        <f>SUMIFS(TableDailySummary[Rappi_orders],TableDailySummary[Fecha],"&gt;="&amp;TableWeeklySummary[[#This Row],[Desde]],TableDailySummary[Fecha],"&lt;="&amp;TableWeeklySummary[[#This Row],[Hasta]])</f>
        <v>0</v>
      </c>
      <c r="R1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" s="11">
        <f>SUMIFS(TableDailySummary[Corporativo no tienda_orders],TableDailySummary[Fecha],"&gt;="&amp;TableWeeklySummary[[#This Row],[Desde]],TableDailySummary[Fecha],"&lt;="&amp;TableWeeklySummary[[#This Row],[Hasta]])</f>
        <v>0</v>
      </c>
      <c r="T15" s="11">
        <f>SUMIFS(TableDailySummary[Inversión google ads],TableDailySummary[Fecha],"&gt;="&amp;TableWeeklySummary[[#This Row],[Desde]],TableDailySummary[Fecha],"&lt;="&amp;TableWeeklySummary[[#This Row],[Hasta]])</f>
        <v>0</v>
      </c>
      <c r="U15" s="11">
        <f>SUMIFS(TableDailySummary[Ventas google ads],TableDailySummary[Fecha],"&gt;="&amp;TableWeeklySummary[[#This Row],[Desde]],TableDailySummary[Fecha],"&lt;="&amp;TableWeeklySummary[[#This Row],[Hasta]])</f>
        <v>0</v>
      </c>
      <c r="V15" s="11">
        <f>SUMIFS(TableDailySummary[Inversión meta ads],TableDailySummary[Fecha],"&gt;="&amp;TableWeeklySummary[[#This Row],[Desde]],TableDailySummary[Fecha],"&lt;="&amp;TableWeeklySummary[[#This Row],[Hasta]])</f>
        <v>0</v>
      </c>
      <c r="W15" s="11">
        <f>SUMIFS(TableDailySummary[Ventas meta ads],TableDailySummary[Fecha],"&gt;="&amp;TableWeeklySummary[[#This Row],[Desde]],TableDailySummary[Fecha],"&lt;="&amp;TableWeeklySummary[[#This Row],[Hasta]])</f>
        <v>0</v>
      </c>
      <c r="X15" s="11">
        <f>TableWeeklySummary[[#This Row],[Inversión google ads]]+TableWeeklySummary[[#This Row],[Inversión meta ads]]</f>
        <v>0</v>
      </c>
      <c r="Y15" s="11">
        <f>TableWeeklySummary[[#This Row],[Ventas google ads]]+TableWeeklySummary[[#This Row],[Ventas meta ads]]</f>
        <v>0</v>
      </c>
      <c r="Z15" s="14">
        <f>IFERROR(TableWeeklySummary[[#This Row],[Ventas publicidad]]/TableWeeklySummary[[#This Row],[Inversión publicidad]],0)</f>
        <v>0</v>
      </c>
      <c r="AA15" s="14">
        <f>IFERROR(TableWeeklySummary[[#This Row],[Ventas primer cliente]]/TableWeeklySummary[[#This Row],[Inversión publicidad]],0)</f>
        <v>0</v>
      </c>
      <c r="AB15" s="14"/>
      <c r="AC15" s="11"/>
      <c r="AI1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" s="11">
        <f>SUMIFS(TableDailySummary[Costo de ventas registrado],TableDailySummary[Fecha],"&gt;="&amp;TableWeeklySummary[[#This Row],[Desde]],TableDailySummary[Fecha],"&lt;="&amp;TableWeeklySummary[[#This Row],[Hasta]])</f>
        <v>0</v>
      </c>
      <c r="AK15" s="11">
        <f>SUMIFS(TableDailySummary[Utilidad bruta],TableDailySummary[Fecha],"&gt;="&amp;TableWeeklySummary[[#This Row],[Desde]],TableDailySummary[Fecha],"&lt;="&amp;TableWeeklySummary[[#This Row],[Hasta]])</f>
        <v>0</v>
      </c>
      <c r="AL15" s="18">
        <f>IFERROR(TableWeeklySummary[[#This Row],[Utilidad bruta]]/TableWeeklySummary[[#This Row],[Ventas netas con costo registrado]],0)</f>
        <v>0</v>
      </c>
    </row>
    <row r="16" spans="2:38" x14ac:dyDescent="0.2">
      <c r="B16" s="16">
        <f>_xlfn.ISOWEEKNUM(TableWeeklySummary[[#This Row],[Hasta]])</f>
        <v>5</v>
      </c>
      <c r="C16" s="6">
        <f t="shared" si="0"/>
        <v>44589</v>
      </c>
      <c r="D16" s="6">
        <f>TableWeeklySummary[[#This Row],[Desde]]+7-1</f>
        <v>44595</v>
      </c>
      <c r="E16" s="11">
        <f>SUMIFS(TableDailySummary[Ventas netas totales],TableDailySummary[Fecha],"&gt;="&amp;TableWeeklySummary[[#This Row],[Desde]],TableDailySummary[Fecha],"&lt;="&amp;TableWeeklySummary[[#This Row],[Hasta]])</f>
        <v>0</v>
      </c>
      <c r="F16" s="11">
        <f>SUMIFS(TableDailySummary[Órdenes totales],TableDailySummary[Fecha],"&gt;="&amp;TableWeeklySummary[[#This Row],[Desde]],TableDailySummary[Fecha],"&lt;="&amp;TableWeeklySummary[[#This Row],[Hasta]])</f>
        <v>0</v>
      </c>
      <c r="G16" s="11">
        <f>IFERROR(TableWeeklySummary[[#This Row],[Ventas netas totales]]/TableWeeklySummary[[#This Row],[Órdenes totales]],0)</f>
        <v>0</v>
      </c>
      <c r="H1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" s="11">
        <f>TableWeeklySummary[[#This Row],[Órden promedio totales]]*TableWeeklySummary[[#This Row],[CR totales]]</f>
        <v>0</v>
      </c>
      <c r="J16" s="11">
        <f>SUMIFS(TableDailySummary[Ventas primer cliente],TableDailySummary[Fecha],"&gt;="&amp;TableWeeklySummary[[#This Row],[Desde]],TableDailySummary[Fecha],"&lt;="&amp;TableWeeklySummary[[#This Row],[Hasta]])</f>
        <v>0</v>
      </c>
      <c r="K16" s="11">
        <f>SUMIFS(TableDailySummary[Órdenes primer cliente],TableDailySummary[Fecha],"&gt;="&amp;TableWeeklySummary[[#This Row],[Desde]],TableDailySummary[Fecha],"&lt;="&amp;TableWeeklySummary[[#This Row],[Hasta]])</f>
        <v>0</v>
      </c>
      <c r="L16" s="11">
        <f>SUMIFS(TableDailySummary[Online Store_net_sales],TableDailySummary[Fecha],"&gt;="&amp;TableWeeklySummary[[#This Row],[Desde]],TableDailySummary[Fecha],"&lt;="&amp;TableWeeklySummary[[#This Row],[Hasta]])</f>
        <v>0</v>
      </c>
      <c r="M16" s="11">
        <f>SUMIFS(TableDailySummary[Online Store_orders],TableDailySummary[Fecha],"&gt;="&amp;TableWeeklySummary[[#This Row],[Desde]],TableDailySummary[Fecha],"&lt;="&amp;TableWeeklySummary[[#This Row],[Hasta]])</f>
        <v>0</v>
      </c>
      <c r="N16" s="11">
        <f>SUMIFS(TableDailySummary[Tienda 81_net_sales],TableDailySummary[Fecha],"&gt;="&amp;TableWeeklySummary[[#This Row],[Desde]],TableDailySummary[Fecha],"&lt;="&amp;TableWeeklySummary[[#This Row],[Hasta]])</f>
        <v>0</v>
      </c>
      <c r="O16" s="11">
        <f>SUMIFS(TableDailySummary[Tienda 81_orders],TableDailySummary[Fecha],"&gt;="&amp;TableWeeklySummary[[#This Row],[Desde]],TableDailySummary[Fecha],"&lt;="&amp;TableWeeklySummary[[#This Row],[Hasta]])</f>
        <v>0</v>
      </c>
      <c r="P16" s="11">
        <f>SUMIFS(TableDailySummary[Rappi_net_sales],TableDailySummary[Fecha],"&gt;="&amp;TableWeeklySummary[[#This Row],[Desde]],TableDailySummary[Fecha],"&lt;="&amp;TableWeeklySummary[[#This Row],[Hasta]])</f>
        <v>0</v>
      </c>
      <c r="Q16" s="11">
        <f>SUMIFS(TableDailySummary[Rappi_orders],TableDailySummary[Fecha],"&gt;="&amp;TableWeeklySummary[[#This Row],[Desde]],TableDailySummary[Fecha],"&lt;="&amp;TableWeeklySummary[[#This Row],[Hasta]])</f>
        <v>0</v>
      </c>
      <c r="R1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" s="11">
        <f>SUMIFS(TableDailySummary[Corporativo no tienda_orders],TableDailySummary[Fecha],"&gt;="&amp;TableWeeklySummary[[#This Row],[Desde]],TableDailySummary[Fecha],"&lt;="&amp;TableWeeklySummary[[#This Row],[Hasta]])</f>
        <v>0</v>
      </c>
      <c r="T16" s="11">
        <f>SUMIFS(TableDailySummary[Inversión google ads],TableDailySummary[Fecha],"&gt;="&amp;TableWeeklySummary[[#This Row],[Desde]],TableDailySummary[Fecha],"&lt;="&amp;TableWeeklySummary[[#This Row],[Hasta]])</f>
        <v>0</v>
      </c>
      <c r="U16" s="11">
        <f>SUMIFS(TableDailySummary[Ventas google ads],TableDailySummary[Fecha],"&gt;="&amp;TableWeeklySummary[[#This Row],[Desde]],TableDailySummary[Fecha],"&lt;="&amp;TableWeeklySummary[[#This Row],[Hasta]])</f>
        <v>0</v>
      </c>
      <c r="V16" s="11">
        <f>SUMIFS(TableDailySummary[Inversión meta ads],TableDailySummary[Fecha],"&gt;="&amp;TableWeeklySummary[[#This Row],[Desde]],TableDailySummary[Fecha],"&lt;="&amp;TableWeeklySummary[[#This Row],[Hasta]])</f>
        <v>0</v>
      </c>
      <c r="W16" s="11">
        <f>SUMIFS(TableDailySummary[Ventas meta ads],TableDailySummary[Fecha],"&gt;="&amp;TableWeeklySummary[[#This Row],[Desde]],TableDailySummary[Fecha],"&lt;="&amp;TableWeeklySummary[[#This Row],[Hasta]])</f>
        <v>0</v>
      </c>
      <c r="X16" s="11">
        <f>TableWeeklySummary[[#This Row],[Inversión google ads]]+TableWeeklySummary[[#This Row],[Inversión meta ads]]</f>
        <v>0</v>
      </c>
      <c r="Y16" s="11">
        <f>TableWeeklySummary[[#This Row],[Ventas google ads]]+TableWeeklySummary[[#This Row],[Ventas meta ads]]</f>
        <v>0</v>
      </c>
      <c r="Z16" s="14">
        <f>IFERROR(TableWeeklySummary[[#This Row],[Ventas publicidad]]/TableWeeklySummary[[#This Row],[Inversión publicidad]],0)</f>
        <v>0</v>
      </c>
      <c r="AA16" s="14">
        <f>IFERROR(TableWeeklySummary[[#This Row],[Ventas primer cliente]]/TableWeeklySummary[[#This Row],[Inversión publicidad]],0)</f>
        <v>0</v>
      </c>
      <c r="AB16" s="14"/>
      <c r="AC16" s="11"/>
      <c r="AI1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" s="11">
        <f>SUMIFS(TableDailySummary[Costo de ventas registrado],TableDailySummary[Fecha],"&gt;="&amp;TableWeeklySummary[[#This Row],[Desde]],TableDailySummary[Fecha],"&lt;="&amp;TableWeeklySummary[[#This Row],[Hasta]])</f>
        <v>0</v>
      </c>
      <c r="AK16" s="11">
        <f>SUMIFS(TableDailySummary[Utilidad bruta],TableDailySummary[Fecha],"&gt;="&amp;TableWeeklySummary[[#This Row],[Desde]],TableDailySummary[Fecha],"&lt;="&amp;TableWeeklySummary[[#This Row],[Hasta]])</f>
        <v>0</v>
      </c>
      <c r="AL16" s="18">
        <f>IFERROR(TableWeeklySummary[[#This Row],[Utilidad bruta]]/TableWeeklySummary[[#This Row],[Ventas netas con costo registrado]],0)</f>
        <v>0</v>
      </c>
    </row>
    <row r="17" spans="2:38" x14ac:dyDescent="0.2">
      <c r="B17" s="16">
        <f>_xlfn.ISOWEEKNUM(TableWeeklySummary[[#This Row],[Hasta]])</f>
        <v>6</v>
      </c>
      <c r="C17" s="6">
        <f t="shared" si="0"/>
        <v>44596</v>
      </c>
      <c r="D17" s="6">
        <f>TableWeeklySummary[[#This Row],[Desde]]+7-1</f>
        <v>44602</v>
      </c>
      <c r="E17" s="11">
        <f>SUMIFS(TableDailySummary[Ventas netas totales],TableDailySummary[Fecha],"&gt;="&amp;TableWeeklySummary[[#This Row],[Desde]],TableDailySummary[Fecha],"&lt;="&amp;TableWeeklySummary[[#This Row],[Hasta]])</f>
        <v>0</v>
      </c>
      <c r="F17" s="11">
        <f>SUMIFS(TableDailySummary[Órdenes totales],TableDailySummary[Fecha],"&gt;="&amp;TableWeeklySummary[[#This Row],[Desde]],TableDailySummary[Fecha],"&lt;="&amp;TableWeeklySummary[[#This Row],[Hasta]])</f>
        <v>0</v>
      </c>
      <c r="G17" s="11">
        <f>IFERROR(TableWeeklySummary[[#This Row],[Ventas netas totales]]/TableWeeklySummary[[#This Row],[Órdenes totales]],0)</f>
        <v>0</v>
      </c>
      <c r="H1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" s="11">
        <f>TableWeeklySummary[[#This Row],[Órden promedio totales]]*TableWeeklySummary[[#This Row],[CR totales]]</f>
        <v>0</v>
      </c>
      <c r="J17" s="11">
        <f>SUMIFS(TableDailySummary[Ventas primer cliente],TableDailySummary[Fecha],"&gt;="&amp;TableWeeklySummary[[#This Row],[Desde]],TableDailySummary[Fecha],"&lt;="&amp;TableWeeklySummary[[#This Row],[Hasta]])</f>
        <v>0</v>
      </c>
      <c r="K17" s="11">
        <f>SUMIFS(TableDailySummary[Órdenes primer cliente],TableDailySummary[Fecha],"&gt;="&amp;TableWeeklySummary[[#This Row],[Desde]],TableDailySummary[Fecha],"&lt;="&amp;TableWeeklySummary[[#This Row],[Hasta]])</f>
        <v>0</v>
      </c>
      <c r="L17" s="11">
        <f>SUMIFS(TableDailySummary[Online Store_net_sales],TableDailySummary[Fecha],"&gt;="&amp;TableWeeklySummary[[#This Row],[Desde]],TableDailySummary[Fecha],"&lt;="&amp;TableWeeklySummary[[#This Row],[Hasta]])</f>
        <v>0</v>
      </c>
      <c r="M17" s="11">
        <f>SUMIFS(TableDailySummary[Online Store_orders],TableDailySummary[Fecha],"&gt;="&amp;TableWeeklySummary[[#This Row],[Desde]],TableDailySummary[Fecha],"&lt;="&amp;TableWeeklySummary[[#This Row],[Hasta]])</f>
        <v>0</v>
      </c>
      <c r="N17" s="11">
        <f>SUMIFS(TableDailySummary[Tienda 81_net_sales],TableDailySummary[Fecha],"&gt;="&amp;TableWeeklySummary[[#This Row],[Desde]],TableDailySummary[Fecha],"&lt;="&amp;TableWeeklySummary[[#This Row],[Hasta]])</f>
        <v>0</v>
      </c>
      <c r="O17" s="11">
        <f>SUMIFS(TableDailySummary[Tienda 81_orders],TableDailySummary[Fecha],"&gt;="&amp;TableWeeklySummary[[#This Row],[Desde]],TableDailySummary[Fecha],"&lt;="&amp;TableWeeklySummary[[#This Row],[Hasta]])</f>
        <v>0</v>
      </c>
      <c r="P17" s="11">
        <f>SUMIFS(TableDailySummary[Rappi_net_sales],TableDailySummary[Fecha],"&gt;="&amp;TableWeeklySummary[[#This Row],[Desde]],TableDailySummary[Fecha],"&lt;="&amp;TableWeeklySummary[[#This Row],[Hasta]])</f>
        <v>0</v>
      </c>
      <c r="Q17" s="11">
        <f>SUMIFS(TableDailySummary[Rappi_orders],TableDailySummary[Fecha],"&gt;="&amp;TableWeeklySummary[[#This Row],[Desde]],TableDailySummary[Fecha],"&lt;="&amp;TableWeeklySummary[[#This Row],[Hasta]])</f>
        <v>0</v>
      </c>
      <c r="R1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" s="11">
        <f>SUMIFS(TableDailySummary[Corporativo no tienda_orders],TableDailySummary[Fecha],"&gt;="&amp;TableWeeklySummary[[#This Row],[Desde]],TableDailySummary[Fecha],"&lt;="&amp;TableWeeklySummary[[#This Row],[Hasta]])</f>
        <v>0</v>
      </c>
      <c r="T17" s="11">
        <f>SUMIFS(TableDailySummary[Inversión google ads],TableDailySummary[Fecha],"&gt;="&amp;TableWeeklySummary[[#This Row],[Desde]],TableDailySummary[Fecha],"&lt;="&amp;TableWeeklySummary[[#This Row],[Hasta]])</f>
        <v>0</v>
      </c>
      <c r="U17" s="11">
        <f>SUMIFS(TableDailySummary[Ventas google ads],TableDailySummary[Fecha],"&gt;="&amp;TableWeeklySummary[[#This Row],[Desde]],TableDailySummary[Fecha],"&lt;="&amp;TableWeeklySummary[[#This Row],[Hasta]])</f>
        <v>0</v>
      </c>
      <c r="V17" s="11">
        <f>SUMIFS(TableDailySummary[Inversión meta ads],TableDailySummary[Fecha],"&gt;="&amp;TableWeeklySummary[[#This Row],[Desde]],TableDailySummary[Fecha],"&lt;="&amp;TableWeeklySummary[[#This Row],[Hasta]])</f>
        <v>0</v>
      </c>
      <c r="W17" s="11">
        <f>SUMIFS(TableDailySummary[Ventas meta ads],TableDailySummary[Fecha],"&gt;="&amp;TableWeeklySummary[[#This Row],[Desde]],TableDailySummary[Fecha],"&lt;="&amp;TableWeeklySummary[[#This Row],[Hasta]])</f>
        <v>0</v>
      </c>
      <c r="X17" s="11">
        <f>TableWeeklySummary[[#This Row],[Inversión google ads]]+TableWeeklySummary[[#This Row],[Inversión meta ads]]</f>
        <v>0</v>
      </c>
      <c r="Y17" s="11">
        <f>TableWeeklySummary[[#This Row],[Ventas google ads]]+TableWeeklySummary[[#This Row],[Ventas meta ads]]</f>
        <v>0</v>
      </c>
      <c r="Z17" s="14">
        <f>IFERROR(TableWeeklySummary[[#This Row],[Ventas publicidad]]/TableWeeklySummary[[#This Row],[Inversión publicidad]],0)</f>
        <v>0</v>
      </c>
      <c r="AA17" s="14">
        <f>IFERROR(TableWeeklySummary[[#This Row],[Ventas primer cliente]]/TableWeeklySummary[[#This Row],[Inversión publicidad]],0)</f>
        <v>0</v>
      </c>
      <c r="AB17" s="14"/>
      <c r="AC17" s="11"/>
      <c r="AI1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" s="11">
        <f>SUMIFS(TableDailySummary[Costo de ventas registrado],TableDailySummary[Fecha],"&gt;="&amp;TableWeeklySummary[[#This Row],[Desde]],TableDailySummary[Fecha],"&lt;="&amp;TableWeeklySummary[[#This Row],[Hasta]])</f>
        <v>0</v>
      </c>
      <c r="AK17" s="11">
        <f>SUMIFS(TableDailySummary[Utilidad bruta],TableDailySummary[Fecha],"&gt;="&amp;TableWeeklySummary[[#This Row],[Desde]],TableDailySummary[Fecha],"&lt;="&amp;TableWeeklySummary[[#This Row],[Hasta]])</f>
        <v>0</v>
      </c>
      <c r="AL17" s="18">
        <f>IFERROR(TableWeeklySummary[[#This Row],[Utilidad bruta]]/TableWeeklySummary[[#This Row],[Ventas netas con costo registrado]],0)</f>
        <v>0</v>
      </c>
    </row>
    <row r="18" spans="2:38" x14ac:dyDescent="0.2">
      <c r="B18" s="16">
        <f>_xlfn.ISOWEEKNUM(TableWeeklySummary[[#This Row],[Hasta]])</f>
        <v>7</v>
      </c>
      <c r="C18" s="6">
        <f t="shared" si="0"/>
        <v>44603</v>
      </c>
      <c r="D18" s="6">
        <f>TableWeeklySummary[[#This Row],[Desde]]+7-1</f>
        <v>44609</v>
      </c>
      <c r="E18" s="11">
        <f>SUMIFS(TableDailySummary[Ventas netas totales],TableDailySummary[Fecha],"&gt;="&amp;TableWeeklySummary[[#This Row],[Desde]],TableDailySummary[Fecha],"&lt;="&amp;TableWeeklySummary[[#This Row],[Hasta]])</f>
        <v>0</v>
      </c>
      <c r="F18" s="11">
        <f>SUMIFS(TableDailySummary[Órdenes totales],TableDailySummary[Fecha],"&gt;="&amp;TableWeeklySummary[[#This Row],[Desde]],TableDailySummary[Fecha],"&lt;="&amp;TableWeeklySummary[[#This Row],[Hasta]])</f>
        <v>0</v>
      </c>
      <c r="G18" s="11">
        <f>IFERROR(TableWeeklySummary[[#This Row],[Ventas netas totales]]/TableWeeklySummary[[#This Row],[Órdenes totales]],0)</f>
        <v>0</v>
      </c>
      <c r="H1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8" s="11">
        <f>TableWeeklySummary[[#This Row],[Órden promedio totales]]*TableWeeklySummary[[#This Row],[CR totales]]</f>
        <v>0</v>
      </c>
      <c r="J18" s="11">
        <f>SUMIFS(TableDailySummary[Ventas primer cliente],TableDailySummary[Fecha],"&gt;="&amp;TableWeeklySummary[[#This Row],[Desde]],TableDailySummary[Fecha],"&lt;="&amp;TableWeeklySummary[[#This Row],[Hasta]])</f>
        <v>0</v>
      </c>
      <c r="K18" s="11">
        <f>SUMIFS(TableDailySummary[Órdenes primer cliente],TableDailySummary[Fecha],"&gt;="&amp;TableWeeklySummary[[#This Row],[Desde]],TableDailySummary[Fecha],"&lt;="&amp;TableWeeklySummary[[#This Row],[Hasta]])</f>
        <v>0</v>
      </c>
      <c r="L18" s="11">
        <f>SUMIFS(TableDailySummary[Online Store_net_sales],TableDailySummary[Fecha],"&gt;="&amp;TableWeeklySummary[[#This Row],[Desde]],TableDailySummary[Fecha],"&lt;="&amp;TableWeeklySummary[[#This Row],[Hasta]])</f>
        <v>0</v>
      </c>
      <c r="M18" s="11">
        <f>SUMIFS(TableDailySummary[Online Store_orders],TableDailySummary[Fecha],"&gt;="&amp;TableWeeklySummary[[#This Row],[Desde]],TableDailySummary[Fecha],"&lt;="&amp;TableWeeklySummary[[#This Row],[Hasta]])</f>
        <v>0</v>
      </c>
      <c r="N18" s="11">
        <f>SUMIFS(TableDailySummary[Tienda 81_net_sales],TableDailySummary[Fecha],"&gt;="&amp;TableWeeklySummary[[#This Row],[Desde]],TableDailySummary[Fecha],"&lt;="&amp;TableWeeklySummary[[#This Row],[Hasta]])</f>
        <v>0</v>
      </c>
      <c r="O18" s="11">
        <f>SUMIFS(TableDailySummary[Tienda 81_orders],TableDailySummary[Fecha],"&gt;="&amp;TableWeeklySummary[[#This Row],[Desde]],TableDailySummary[Fecha],"&lt;="&amp;TableWeeklySummary[[#This Row],[Hasta]])</f>
        <v>0</v>
      </c>
      <c r="P18" s="11">
        <f>SUMIFS(TableDailySummary[Rappi_net_sales],TableDailySummary[Fecha],"&gt;="&amp;TableWeeklySummary[[#This Row],[Desde]],TableDailySummary[Fecha],"&lt;="&amp;TableWeeklySummary[[#This Row],[Hasta]])</f>
        <v>0</v>
      </c>
      <c r="Q18" s="11">
        <f>SUMIFS(TableDailySummary[Rappi_orders],TableDailySummary[Fecha],"&gt;="&amp;TableWeeklySummary[[#This Row],[Desde]],TableDailySummary[Fecha],"&lt;="&amp;TableWeeklySummary[[#This Row],[Hasta]])</f>
        <v>0</v>
      </c>
      <c r="R1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" s="11">
        <f>SUMIFS(TableDailySummary[Corporativo no tienda_orders],TableDailySummary[Fecha],"&gt;="&amp;TableWeeklySummary[[#This Row],[Desde]],TableDailySummary[Fecha],"&lt;="&amp;TableWeeklySummary[[#This Row],[Hasta]])</f>
        <v>0</v>
      </c>
      <c r="T18" s="11">
        <f>SUMIFS(TableDailySummary[Inversión google ads],TableDailySummary[Fecha],"&gt;="&amp;TableWeeklySummary[[#This Row],[Desde]],TableDailySummary[Fecha],"&lt;="&amp;TableWeeklySummary[[#This Row],[Hasta]])</f>
        <v>0</v>
      </c>
      <c r="U18" s="11">
        <f>SUMIFS(TableDailySummary[Ventas google ads],TableDailySummary[Fecha],"&gt;="&amp;TableWeeklySummary[[#This Row],[Desde]],TableDailySummary[Fecha],"&lt;="&amp;TableWeeklySummary[[#This Row],[Hasta]])</f>
        <v>0</v>
      </c>
      <c r="V18" s="11">
        <f>SUMIFS(TableDailySummary[Inversión meta ads],TableDailySummary[Fecha],"&gt;="&amp;TableWeeklySummary[[#This Row],[Desde]],TableDailySummary[Fecha],"&lt;="&amp;TableWeeklySummary[[#This Row],[Hasta]])</f>
        <v>0</v>
      </c>
      <c r="W18" s="11">
        <f>SUMIFS(TableDailySummary[Ventas meta ads],TableDailySummary[Fecha],"&gt;="&amp;TableWeeklySummary[[#This Row],[Desde]],TableDailySummary[Fecha],"&lt;="&amp;TableWeeklySummary[[#This Row],[Hasta]])</f>
        <v>0</v>
      </c>
      <c r="X18" s="11">
        <f>TableWeeklySummary[[#This Row],[Inversión google ads]]+TableWeeklySummary[[#This Row],[Inversión meta ads]]</f>
        <v>0</v>
      </c>
      <c r="Y18" s="11">
        <f>TableWeeklySummary[[#This Row],[Ventas google ads]]+TableWeeklySummary[[#This Row],[Ventas meta ads]]</f>
        <v>0</v>
      </c>
      <c r="Z18" s="14">
        <f>IFERROR(TableWeeklySummary[[#This Row],[Ventas publicidad]]/TableWeeklySummary[[#This Row],[Inversión publicidad]],0)</f>
        <v>0</v>
      </c>
      <c r="AA18" s="14">
        <f>IFERROR(TableWeeklySummary[[#This Row],[Ventas primer cliente]]/TableWeeklySummary[[#This Row],[Inversión publicidad]],0)</f>
        <v>0</v>
      </c>
      <c r="AB18" s="14"/>
      <c r="AC18" s="11"/>
      <c r="AI1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" s="11">
        <f>SUMIFS(TableDailySummary[Costo de ventas registrado],TableDailySummary[Fecha],"&gt;="&amp;TableWeeklySummary[[#This Row],[Desde]],TableDailySummary[Fecha],"&lt;="&amp;TableWeeklySummary[[#This Row],[Hasta]])</f>
        <v>0</v>
      </c>
      <c r="AK18" s="11">
        <f>SUMIFS(TableDailySummary[Utilidad bruta],TableDailySummary[Fecha],"&gt;="&amp;TableWeeklySummary[[#This Row],[Desde]],TableDailySummary[Fecha],"&lt;="&amp;TableWeeklySummary[[#This Row],[Hasta]])</f>
        <v>0</v>
      </c>
      <c r="AL18" s="18">
        <f>IFERROR(TableWeeklySummary[[#This Row],[Utilidad bruta]]/TableWeeklySummary[[#This Row],[Ventas netas con costo registrado]],0)</f>
        <v>0</v>
      </c>
    </row>
    <row r="19" spans="2:38" x14ac:dyDescent="0.2">
      <c r="B19" s="16">
        <f>_xlfn.ISOWEEKNUM(TableWeeklySummary[[#This Row],[Hasta]])</f>
        <v>8</v>
      </c>
      <c r="C19" s="6">
        <f t="shared" si="0"/>
        <v>44610</v>
      </c>
      <c r="D19" s="6">
        <f>TableWeeklySummary[[#This Row],[Desde]]+7-1</f>
        <v>44616</v>
      </c>
      <c r="E19" s="11">
        <f>SUMIFS(TableDailySummary[Ventas netas totales],TableDailySummary[Fecha],"&gt;="&amp;TableWeeklySummary[[#This Row],[Desde]],TableDailySummary[Fecha],"&lt;="&amp;TableWeeklySummary[[#This Row],[Hasta]])</f>
        <v>0</v>
      </c>
      <c r="F19" s="11">
        <f>SUMIFS(TableDailySummary[Órdenes totales],TableDailySummary[Fecha],"&gt;="&amp;TableWeeklySummary[[#This Row],[Desde]],TableDailySummary[Fecha],"&lt;="&amp;TableWeeklySummary[[#This Row],[Hasta]])</f>
        <v>0</v>
      </c>
      <c r="G19" s="11">
        <f>IFERROR(TableWeeklySummary[[#This Row],[Ventas netas totales]]/TableWeeklySummary[[#This Row],[Órdenes totales]],0)</f>
        <v>0</v>
      </c>
      <c r="H1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9" s="11">
        <f>TableWeeklySummary[[#This Row],[Órden promedio totales]]*TableWeeklySummary[[#This Row],[CR totales]]</f>
        <v>0</v>
      </c>
      <c r="J19" s="11">
        <f>SUMIFS(TableDailySummary[Ventas primer cliente],TableDailySummary[Fecha],"&gt;="&amp;TableWeeklySummary[[#This Row],[Desde]],TableDailySummary[Fecha],"&lt;="&amp;TableWeeklySummary[[#This Row],[Hasta]])</f>
        <v>0</v>
      </c>
      <c r="K19" s="11">
        <f>SUMIFS(TableDailySummary[Órdenes primer cliente],TableDailySummary[Fecha],"&gt;="&amp;TableWeeklySummary[[#This Row],[Desde]],TableDailySummary[Fecha],"&lt;="&amp;TableWeeklySummary[[#This Row],[Hasta]])</f>
        <v>0</v>
      </c>
      <c r="L19" s="11">
        <f>SUMIFS(TableDailySummary[Online Store_net_sales],TableDailySummary[Fecha],"&gt;="&amp;TableWeeklySummary[[#This Row],[Desde]],TableDailySummary[Fecha],"&lt;="&amp;TableWeeklySummary[[#This Row],[Hasta]])</f>
        <v>0</v>
      </c>
      <c r="M19" s="11">
        <f>SUMIFS(TableDailySummary[Online Store_orders],TableDailySummary[Fecha],"&gt;="&amp;TableWeeklySummary[[#This Row],[Desde]],TableDailySummary[Fecha],"&lt;="&amp;TableWeeklySummary[[#This Row],[Hasta]])</f>
        <v>0</v>
      </c>
      <c r="N19" s="11">
        <f>SUMIFS(TableDailySummary[Tienda 81_net_sales],TableDailySummary[Fecha],"&gt;="&amp;TableWeeklySummary[[#This Row],[Desde]],TableDailySummary[Fecha],"&lt;="&amp;TableWeeklySummary[[#This Row],[Hasta]])</f>
        <v>0</v>
      </c>
      <c r="O19" s="11">
        <f>SUMIFS(TableDailySummary[Tienda 81_orders],TableDailySummary[Fecha],"&gt;="&amp;TableWeeklySummary[[#This Row],[Desde]],TableDailySummary[Fecha],"&lt;="&amp;TableWeeklySummary[[#This Row],[Hasta]])</f>
        <v>0</v>
      </c>
      <c r="P19" s="11">
        <f>SUMIFS(TableDailySummary[Rappi_net_sales],TableDailySummary[Fecha],"&gt;="&amp;TableWeeklySummary[[#This Row],[Desde]],TableDailySummary[Fecha],"&lt;="&amp;TableWeeklySummary[[#This Row],[Hasta]])</f>
        <v>0</v>
      </c>
      <c r="Q19" s="11">
        <f>SUMIFS(TableDailySummary[Rappi_orders],TableDailySummary[Fecha],"&gt;="&amp;TableWeeklySummary[[#This Row],[Desde]],TableDailySummary[Fecha],"&lt;="&amp;TableWeeklySummary[[#This Row],[Hasta]])</f>
        <v>0</v>
      </c>
      <c r="R1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" s="11">
        <f>SUMIFS(TableDailySummary[Corporativo no tienda_orders],TableDailySummary[Fecha],"&gt;="&amp;TableWeeklySummary[[#This Row],[Desde]],TableDailySummary[Fecha],"&lt;="&amp;TableWeeklySummary[[#This Row],[Hasta]])</f>
        <v>0</v>
      </c>
      <c r="T19" s="11">
        <f>SUMIFS(TableDailySummary[Inversión google ads],TableDailySummary[Fecha],"&gt;="&amp;TableWeeklySummary[[#This Row],[Desde]],TableDailySummary[Fecha],"&lt;="&amp;TableWeeklySummary[[#This Row],[Hasta]])</f>
        <v>0</v>
      </c>
      <c r="U19" s="11">
        <f>SUMIFS(TableDailySummary[Ventas google ads],TableDailySummary[Fecha],"&gt;="&amp;TableWeeklySummary[[#This Row],[Desde]],TableDailySummary[Fecha],"&lt;="&amp;TableWeeklySummary[[#This Row],[Hasta]])</f>
        <v>0</v>
      </c>
      <c r="V19" s="11">
        <f>SUMIFS(TableDailySummary[Inversión meta ads],TableDailySummary[Fecha],"&gt;="&amp;TableWeeklySummary[[#This Row],[Desde]],TableDailySummary[Fecha],"&lt;="&amp;TableWeeklySummary[[#This Row],[Hasta]])</f>
        <v>0</v>
      </c>
      <c r="W19" s="11">
        <f>SUMIFS(TableDailySummary[Ventas meta ads],TableDailySummary[Fecha],"&gt;="&amp;TableWeeklySummary[[#This Row],[Desde]],TableDailySummary[Fecha],"&lt;="&amp;TableWeeklySummary[[#This Row],[Hasta]])</f>
        <v>0</v>
      </c>
      <c r="X19" s="11">
        <f>TableWeeklySummary[[#This Row],[Inversión google ads]]+TableWeeklySummary[[#This Row],[Inversión meta ads]]</f>
        <v>0</v>
      </c>
      <c r="Y19" s="11">
        <f>TableWeeklySummary[[#This Row],[Ventas google ads]]+TableWeeklySummary[[#This Row],[Ventas meta ads]]</f>
        <v>0</v>
      </c>
      <c r="Z19" s="14">
        <f>IFERROR(TableWeeklySummary[[#This Row],[Ventas publicidad]]/TableWeeklySummary[[#This Row],[Inversión publicidad]],0)</f>
        <v>0</v>
      </c>
      <c r="AA19" s="14">
        <f>IFERROR(TableWeeklySummary[[#This Row],[Ventas primer cliente]]/TableWeeklySummary[[#This Row],[Inversión publicidad]],0)</f>
        <v>0</v>
      </c>
      <c r="AB19" s="14"/>
      <c r="AC19" s="11"/>
      <c r="AI1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" s="11">
        <f>SUMIFS(TableDailySummary[Costo de ventas registrado],TableDailySummary[Fecha],"&gt;="&amp;TableWeeklySummary[[#This Row],[Desde]],TableDailySummary[Fecha],"&lt;="&amp;TableWeeklySummary[[#This Row],[Hasta]])</f>
        <v>0</v>
      </c>
      <c r="AK19" s="11">
        <f>SUMIFS(TableDailySummary[Utilidad bruta],TableDailySummary[Fecha],"&gt;="&amp;TableWeeklySummary[[#This Row],[Desde]],TableDailySummary[Fecha],"&lt;="&amp;TableWeeklySummary[[#This Row],[Hasta]])</f>
        <v>0</v>
      </c>
      <c r="AL19" s="18">
        <f>IFERROR(TableWeeklySummary[[#This Row],[Utilidad bruta]]/TableWeeklySummary[[#This Row],[Ventas netas con costo registrado]],0)</f>
        <v>0</v>
      </c>
    </row>
    <row r="20" spans="2:38" x14ac:dyDescent="0.2">
      <c r="B20" s="16">
        <f>_xlfn.ISOWEEKNUM(TableWeeklySummary[[#This Row],[Hasta]])</f>
        <v>9</v>
      </c>
      <c r="C20" s="6">
        <f t="shared" si="0"/>
        <v>44617</v>
      </c>
      <c r="D20" s="6">
        <f>TableWeeklySummary[[#This Row],[Desde]]+7-1</f>
        <v>44623</v>
      </c>
      <c r="E20" s="11">
        <f>SUMIFS(TableDailySummary[Ventas netas totales],TableDailySummary[Fecha],"&gt;="&amp;TableWeeklySummary[[#This Row],[Desde]],TableDailySummary[Fecha],"&lt;="&amp;TableWeeklySummary[[#This Row],[Hasta]])</f>
        <v>0</v>
      </c>
      <c r="F20" s="11">
        <f>SUMIFS(TableDailySummary[Órdenes totales],TableDailySummary[Fecha],"&gt;="&amp;TableWeeklySummary[[#This Row],[Desde]],TableDailySummary[Fecha],"&lt;="&amp;TableWeeklySummary[[#This Row],[Hasta]])</f>
        <v>0</v>
      </c>
      <c r="G20" s="11">
        <f>IFERROR(TableWeeklySummary[[#This Row],[Ventas netas totales]]/TableWeeklySummary[[#This Row],[Órdenes totales]],0)</f>
        <v>0</v>
      </c>
      <c r="H2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0" s="11">
        <f>TableWeeklySummary[[#This Row],[Órden promedio totales]]*TableWeeklySummary[[#This Row],[CR totales]]</f>
        <v>0</v>
      </c>
      <c r="J20" s="11">
        <f>SUMIFS(TableDailySummary[Ventas primer cliente],TableDailySummary[Fecha],"&gt;="&amp;TableWeeklySummary[[#This Row],[Desde]],TableDailySummary[Fecha],"&lt;="&amp;TableWeeklySummary[[#This Row],[Hasta]])</f>
        <v>0</v>
      </c>
      <c r="K20" s="11">
        <f>SUMIFS(TableDailySummary[Órdenes primer cliente],TableDailySummary[Fecha],"&gt;="&amp;TableWeeklySummary[[#This Row],[Desde]],TableDailySummary[Fecha],"&lt;="&amp;TableWeeklySummary[[#This Row],[Hasta]])</f>
        <v>0</v>
      </c>
      <c r="L20" s="11">
        <f>SUMIFS(TableDailySummary[Online Store_net_sales],TableDailySummary[Fecha],"&gt;="&amp;TableWeeklySummary[[#This Row],[Desde]],TableDailySummary[Fecha],"&lt;="&amp;TableWeeklySummary[[#This Row],[Hasta]])</f>
        <v>0</v>
      </c>
      <c r="M20" s="11">
        <f>SUMIFS(TableDailySummary[Online Store_orders],TableDailySummary[Fecha],"&gt;="&amp;TableWeeklySummary[[#This Row],[Desde]],TableDailySummary[Fecha],"&lt;="&amp;TableWeeklySummary[[#This Row],[Hasta]])</f>
        <v>0</v>
      </c>
      <c r="N20" s="11">
        <f>SUMIFS(TableDailySummary[Tienda 81_net_sales],TableDailySummary[Fecha],"&gt;="&amp;TableWeeklySummary[[#This Row],[Desde]],TableDailySummary[Fecha],"&lt;="&amp;TableWeeklySummary[[#This Row],[Hasta]])</f>
        <v>0</v>
      </c>
      <c r="O20" s="11">
        <f>SUMIFS(TableDailySummary[Tienda 81_orders],TableDailySummary[Fecha],"&gt;="&amp;TableWeeklySummary[[#This Row],[Desde]],TableDailySummary[Fecha],"&lt;="&amp;TableWeeklySummary[[#This Row],[Hasta]])</f>
        <v>0</v>
      </c>
      <c r="P20" s="11">
        <f>SUMIFS(TableDailySummary[Rappi_net_sales],TableDailySummary[Fecha],"&gt;="&amp;TableWeeklySummary[[#This Row],[Desde]],TableDailySummary[Fecha],"&lt;="&amp;TableWeeklySummary[[#This Row],[Hasta]])</f>
        <v>0</v>
      </c>
      <c r="Q20" s="11">
        <f>SUMIFS(TableDailySummary[Rappi_orders],TableDailySummary[Fecha],"&gt;="&amp;TableWeeklySummary[[#This Row],[Desde]],TableDailySummary[Fecha],"&lt;="&amp;TableWeeklySummary[[#This Row],[Hasta]])</f>
        <v>0</v>
      </c>
      <c r="R2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" s="11">
        <f>SUMIFS(TableDailySummary[Corporativo no tienda_orders],TableDailySummary[Fecha],"&gt;="&amp;TableWeeklySummary[[#This Row],[Desde]],TableDailySummary[Fecha],"&lt;="&amp;TableWeeklySummary[[#This Row],[Hasta]])</f>
        <v>0</v>
      </c>
      <c r="T20" s="11">
        <f>SUMIFS(TableDailySummary[Inversión google ads],TableDailySummary[Fecha],"&gt;="&amp;TableWeeklySummary[[#This Row],[Desde]],TableDailySummary[Fecha],"&lt;="&amp;TableWeeklySummary[[#This Row],[Hasta]])</f>
        <v>0</v>
      </c>
      <c r="U20" s="11">
        <f>SUMIFS(TableDailySummary[Ventas google ads],TableDailySummary[Fecha],"&gt;="&amp;TableWeeklySummary[[#This Row],[Desde]],TableDailySummary[Fecha],"&lt;="&amp;TableWeeklySummary[[#This Row],[Hasta]])</f>
        <v>0</v>
      </c>
      <c r="V20" s="11">
        <f>SUMIFS(TableDailySummary[Inversión meta ads],TableDailySummary[Fecha],"&gt;="&amp;TableWeeklySummary[[#This Row],[Desde]],TableDailySummary[Fecha],"&lt;="&amp;TableWeeklySummary[[#This Row],[Hasta]])</f>
        <v>0</v>
      </c>
      <c r="W20" s="11">
        <f>SUMIFS(TableDailySummary[Ventas meta ads],TableDailySummary[Fecha],"&gt;="&amp;TableWeeklySummary[[#This Row],[Desde]],TableDailySummary[Fecha],"&lt;="&amp;TableWeeklySummary[[#This Row],[Hasta]])</f>
        <v>0</v>
      </c>
      <c r="X20" s="11">
        <f>TableWeeklySummary[[#This Row],[Inversión google ads]]+TableWeeklySummary[[#This Row],[Inversión meta ads]]</f>
        <v>0</v>
      </c>
      <c r="Y20" s="11">
        <f>TableWeeklySummary[[#This Row],[Ventas google ads]]+TableWeeklySummary[[#This Row],[Ventas meta ads]]</f>
        <v>0</v>
      </c>
      <c r="Z20" s="14">
        <f>IFERROR(TableWeeklySummary[[#This Row],[Ventas publicidad]]/TableWeeklySummary[[#This Row],[Inversión publicidad]],0)</f>
        <v>0</v>
      </c>
      <c r="AA20" s="14">
        <f>IFERROR(TableWeeklySummary[[#This Row],[Ventas primer cliente]]/TableWeeklySummary[[#This Row],[Inversión publicidad]],0)</f>
        <v>0</v>
      </c>
      <c r="AB20" s="14"/>
      <c r="AC20" s="11"/>
      <c r="AI2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" s="11">
        <f>SUMIFS(TableDailySummary[Costo de ventas registrado],TableDailySummary[Fecha],"&gt;="&amp;TableWeeklySummary[[#This Row],[Desde]],TableDailySummary[Fecha],"&lt;="&amp;TableWeeklySummary[[#This Row],[Hasta]])</f>
        <v>0</v>
      </c>
      <c r="AK20" s="11">
        <f>SUMIFS(TableDailySummary[Utilidad bruta],TableDailySummary[Fecha],"&gt;="&amp;TableWeeklySummary[[#This Row],[Desde]],TableDailySummary[Fecha],"&lt;="&amp;TableWeeklySummary[[#This Row],[Hasta]])</f>
        <v>0</v>
      </c>
      <c r="AL20" s="18">
        <f>IFERROR(TableWeeklySummary[[#This Row],[Utilidad bruta]]/TableWeeklySummary[[#This Row],[Ventas netas con costo registrado]],0)</f>
        <v>0</v>
      </c>
    </row>
    <row r="21" spans="2:38" x14ac:dyDescent="0.2">
      <c r="B21" s="16">
        <f>_xlfn.ISOWEEKNUM(TableWeeklySummary[[#This Row],[Hasta]])</f>
        <v>10</v>
      </c>
      <c r="C21" s="6">
        <f t="shared" si="0"/>
        <v>44624</v>
      </c>
      <c r="D21" s="6">
        <f>TableWeeklySummary[[#This Row],[Desde]]+7-1</f>
        <v>44630</v>
      </c>
      <c r="E21" s="11">
        <f>SUMIFS(TableDailySummary[Ventas netas totales],TableDailySummary[Fecha],"&gt;="&amp;TableWeeklySummary[[#This Row],[Desde]],TableDailySummary[Fecha],"&lt;="&amp;TableWeeklySummary[[#This Row],[Hasta]])</f>
        <v>0</v>
      </c>
      <c r="F21" s="11">
        <f>SUMIFS(TableDailySummary[Órdenes totales],TableDailySummary[Fecha],"&gt;="&amp;TableWeeklySummary[[#This Row],[Desde]],TableDailySummary[Fecha],"&lt;="&amp;TableWeeklySummary[[#This Row],[Hasta]])</f>
        <v>0</v>
      </c>
      <c r="G21" s="11">
        <f>IFERROR(TableWeeklySummary[[#This Row],[Ventas netas totales]]/TableWeeklySummary[[#This Row],[Órdenes totales]],0)</f>
        <v>0</v>
      </c>
      <c r="H2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1" s="11">
        <f>TableWeeklySummary[[#This Row],[Órden promedio totales]]*TableWeeklySummary[[#This Row],[CR totales]]</f>
        <v>0</v>
      </c>
      <c r="J21" s="11">
        <f>SUMIFS(TableDailySummary[Ventas primer cliente],TableDailySummary[Fecha],"&gt;="&amp;TableWeeklySummary[[#This Row],[Desde]],TableDailySummary[Fecha],"&lt;="&amp;TableWeeklySummary[[#This Row],[Hasta]])</f>
        <v>0</v>
      </c>
      <c r="K21" s="11">
        <f>SUMIFS(TableDailySummary[Órdenes primer cliente],TableDailySummary[Fecha],"&gt;="&amp;TableWeeklySummary[[#This Row],[Desde]],TableDailySummary[Fecha],"&lt;="&amp;TableWeeklySummary[[#This Row],[Hasta]])</f>
        <v>0</v>
      </c>
      <c r="L21" s="11">
        <f>SUMIFS(TableDailySummary[Online Store_net_sales],TableDailySummary[Fecha],"&gt;="&amp;TableWeeklySummary[[#This Row],[Desde]],TableDailySummary[Fecha],"&lt;="&amp;TableWeeklySummary[[#This Row],[Hasta]])</f>
        <v>0</v>
      </c>
      <c r="M21" s="11">
        <f>SUMIFS(TableDailySummary[Online Store_orders],TableDailySummary[Fecha],"&gt;="&amp;TableWeeklySummary[[#This Row],[Desde]],TableDailySummary[Fecha],"&lt;="&amp;TableWeeklySummary[[#This Row],[Hasta]])</f>
        <v>0</v>
      </c>
      <c r="N21" s="11">
        <f>SUMIFS(TableDailySummary[Tienda 81_net_sales],TableDailySummary[Fecha],"&gt;="&amp;TableWeeklySummary[[#This Row],[Desde]],TableDailySummary[Fecha],"&lt;="&amp;TableWeeklySummary[[#This Row],[Hasta]])</f>
        <v>0</v>
      </c>
      <c r="O21" s="11">
        <f>SUMIFS(TableDailySummary[Tienda 81_orders],TableDailySummary[Fecha],"&gt;="&amp;TableWeeklySummary[[#This Row],[Desde]],TableDailySummary[Fecha],"&lt;="&amp;TableWeeklySummary[[#This Row],[Hasta]])</f>
        <v>0</v>
      </c>
      <c r="P21" s="11">
        <f>SUMIFS(TableDailySummary[Rappi_net_sales],TableDailySummary[Fecha],"&gt;="&amp;TableWeeklySummary[[#This Row],[Desde]],TableDailySummary[Fecha],"&lt;="&amp;TableWeeklySummary[[#This Row],[Hasta]])</f>
        <v>0</v>
      </c>
      <c r="Q21" s="11">
        <f>SUMIFS(TableDailySummary[Rappi_orders],TableDailySummary[Fecha],"&gt;="&amp;TableWeeklySummary[[#This Row],[Desde]],TableDailySummary[Fecha],"&lt;="&amp;TableWeeklySummary[[#This Row],[Hasta]])</f>
        <v>0</v>
      </c>
      <c r="R2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" s="11">
        <f>SUMIFS(TableDailySummary[Corporativo no tienda_orders],TableDailySummary[Fecha],"&gt;="&amp;TableWeeklySummary[[#This Row],[Desde]],TableDailySummary[Fecha],"&lt;="&amp;TableWeeklySummary[[#This Row],[Hasta]])</f>
        <v>0</v>
      </c>
      <c r="T21" s="11">
        <f>SUMIFS(TableDailySummary[Inversión google ads],TableDailySummary[Fecha],"&gt;="&amp;TableWeeklySummary[[#This Row],[Desde]],TableDailySummary[Fecha],"&lt;="&amp;TableWeeklySummary[[#This Row],[Hasta]])</f>
        <v>0</v>
      </c>
      <c r="U21" s="11">
        <f>SUMIFS(TableDailySummary[Ventas google ads],TableDailySummary[Fecha],"&gt;="&amp;TableWeeklySummary[[#This Row],[Desde]],TableDailySummary[Fecha],"&lt;="&amp;TableWeeklySummary[[#This Row],[Hasta]])</f>
        <v>0</v>
      </c>
      <c r="V21" s="11">
        <f>SUMIFS(TableDailySummary[Inversión meta ads],TableDailySummary[Fecha],"&gt;="&amp;TableWeeklySummary[[#This Row],[Desde]],TableDailySummary[Fecha],"&lt;="&amp;TableWeeklySummary[[#This Row],[Hasta]])</f>
        <v>0</v>
      </c>
      <c r="W21" s="11">
        <f>SUMIFS(TableDailySummary[Ventas meta ads],TableDailySummary[Fecha],"&gt;="&amp;TableWeeklySummary[[#This Row],[Desde]],TableDailySummary[Fecha],"&lt;="&amp;TableWeeklySummary[[#This Row],[Hasta]])</f>
        <v>0</v>
      </c>
      <c r="X21" s="11">
        <f>TableWeeklySummary[[#This Row],[Inversión google ads]]+TableWeeklySummary[[#This Row],[Inversión meta ads]]</f>
        <v>0</v>
      </c>
      <c r="Y21" s="11">
        <f>TableWeeklySummary[[#This Row],[Ventas google ads]]+TableWeeklySummary[[#This Row],[Ventas meta ads]]</f>
        <v>0</v>
      </c>
      <c r="Z21" s="14">
        <f>IFERROR(TableWeeklySummary[[#This Row],[Ventas publicidad]]/TableWeeklySummary[[#This Row],[Inversión publicidad]],0)</f>
        <v>0</v>
      </c>
      <c r="AA21" s="14">
        <f>IFERROR(TableWeeklySummary[[#This Row],[Ventas primer cliente]]/TableWeeklySummary[[#This Row],[Inversión publicidad]],0)</f>
        <v>0</v>
      </c>
      <c r="AB21" s="14"/>
      <c r="AC21" s="11"/>
      <c r="AI2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" s="11">
        <f>SUMIFS(TableDailySummary[Costo de ventas registrado],TableDailySummary[Fecha],"&gt;="&amp;TableWeeklySummary[[#This Row],[Desde]],TableDailySummary[Fecha],"&lt;="&amp;TableWeeklySummary[[#This Row],[Hasta]])</f>
        <v>0</v>
      </c>
      <c r="AK21" s="11">
        <f>SUMIFS(TableDailySummary[Utilidad bruta],TableDailySummary[Fecha],"&gt;="&amp;TableWeeklySummary[[#This Row],[Desde]],TableDailySummary[Fecha],"&lt;="&amp;TableWeeklySummary[[#This Row],[Hasta]])</f>
        <v>0</v>
      </c>
      <c r="AL21" s="18">
        <f>IFERROR(TableWeeklySummary[[#This Row],[Utilidad bruta]]/TableWeeklySummary[[#This Row],[Ventas netas con costo registrado]],0)</f>
        <v>0</v>
      </c>
    </row>
    <row r="22" spans="2:38" x14ac:dyDescent="0.2">
      <c r="B22" s="16">
        <f>_xlfn.ISOWEEKNUM(TableWeeklySummary[[#This Row],[Hasta]])</f>
        <v>11</v>
      </c>
      <c r="C22" s="6">
        <f t="shared" si="0"/>
        <v>44631</v>
      </c>
      <c r="D22" s="6">
        <f>TableWeeklySummary[[#This Row],[Desde]]+7-1</f>
        <v>44637</v>
      </c>
      <c r="E22" s="11">
        <f>SUMIFS(TableDailySummary[Ventas netas totales],TableDailySummary[Fecha],"&gt;="&amp;TableWeeklySummary[[#This Row],[Desde]],TableDailySummary[Fecha],"&lt;="&amp;TableWeeklySummary[[#This Row],[Hasta]])</f>
        <v>0</v>
      </c>
      <c r="F22" s="11">
        <f>SUMIFS(TableDailySummary[Órdenes totales],TableDailySummary[Fecha],"&gt;="&amp;TableWeeklySummary[[#This Row],[Desde]],TableDailySummary[Fecha],"&lt;="&amp;TableWeeklySummary[[#This Row],[Hasta]])</f>
        <v>0</v>
      </c>
      <c r="G22" s="11">
        <f>IFERROR(TableWeeklySummary[[#This Row],[Ventas netas totales]]/TableWeeklySummary[[#This Row],[Órdenes totales]],0)</f>
        <v>0</v>
      </c>
      <c r="H2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2" s="11">
        <f>TableWeeklySummary[[#This Row],[Órden promedio totales]]*TableWeeklySummary[[#This Row],[CR totales]]</f>
        <v>0</v>
      </c>
      <c r="J22" s="11">
        <f>SUMIFS(TableDailySummary[Ventas primer cliente],TableDailySummary[Fecha],"&gt;="&amp;TableWeeklySummary[[#This Row],[Desde]],TableDailySummary[Fecha],"&lt;="&amp;TableWeeklySummary[[#This Row],[Hasta]])</f>
        <v>0</v>
      </c>
      <c r="K22" s="11">
        <f>SUMIFS(TableDailySummary[Órdenes primer cliente],TableDailySummary[Fecha],"&gt;="&amp;TableWeeklySummary[[#This Row],[Desde]],TableDailySummary[Fecha],"&lt;="&amp;TableWeeklySummary[[#This Row],[Hasta]])</f>
        <v>0</v>
      </c>
      <c r="L22" s="11">
        <f>SUMIFS(TableDailySummary[Online Store_net_sales],TableDailySummary[Fecha],"&gt;="&amp;TableWeeklySummary[[#This Row],[Desde]],TableDailySummary[Fecha],"&lt;="&amp;TableWeeklySummary[[#This Row],[Hasta]])</f>
        <v>0</v>
      </c>
      <c r="M22" s="11">
        <f>SUMIFS(TableDailySummary[Online Store_orders],TableDailySummary[Fecha],"&gt;="&amp;TableWeeklySummary[[#This Row],[Desde]],TableDailySummary[Fecha],"&lt;="&amp;TableWeeklySummary[[#This Row],[Hasta]])</f>
        <v>0</v>
      </c>
      <c r="N22" s="11">
        <f>SUMIFS(TableDailySummary[Tienda 81_net_sales],TableDailySummary[Fecha],"&gt;="&amp;TableWeeklySummary[[#This Row],[Desde]],TableDailySummary[Fecha],"&lt;="&amp;TableWeeklySummary[[#This Row],[Hasta]])</f>
        <v>0</v>
      </c>
      <c r="O22" s="11">
        <f>SUMIFS(TableDailySummary[Tienda 81_orders],TableDailySummary[Fecha],"&gt;="&amp;TableWeeklySummary[[#This Row],[Desde]],TableDailySummary[Fecha],"&lt;="&amp;TableWeeklySummary[[#This Row],[Hasta]])</f>
        <v>0</v>
      </c>
      <c r="P22" s="11">
        <f>SUMIFS(TableDailySummary[Rappi_net_sales],TableDailySummary[Fecha],"&gt;="&amp;TableWeeklySummary[[#This Row],[Desde]],TableDailySummary[Fecha],"&lt;="&amp;TableWeeklySummary[[#This Row],[Hasta]])</f>
        <v>0</v>
      </c>
      <c r="Q22" s="11">
        <f>SUMIFS(TableDailySummary[Rappi_orders],TableDailySummary[Fecha],"&gt;="&amp;TableWeeklySummary[[#This Row],[Desde]],TableDailySummary[Fecha],"&lt;="&amp;TableWeeklySummary[[#This Row],[Hasta]])</f>
        <v>0</v>
      </c>
      <c r="R2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" s="11">
        <f>SUMIFS(TableDailySummary[Corporativo no tienda_orders],TableDailySummary[Fecha],"&gt;="&amp;TableWeeklySummary[[#This Row],[Desde]],TableDailySummary[Fecha],"&lt;="&amp;TableWeeklySummary[[#This Row],[Hasta]])</f>
        <v>0</v>
      </c>
      <c r="T22" s="11">
        <f>SUMIFS(TableDailySummary[Inversión google ads],TableDailySummary[Fecha],"&gt;="&amp;TableWeeklySummary[[#This Row],[Desde]],TableDailySummary[Fecha],"&lt;="&amp;TableWeeklySummary[[#This Row],[Hasta]])</f>
        <v>0</v>
      </c>
      <c r="U22" s="11">
        <f>SUMIFS(TableDailySummary[Ventas google ads],TableDailySummary[Fecha],"&gt;="&amp;TableWeeklySummary[[#This Row],[Desde]],TableDailySummary[Fecha],"&lt;="&amp;TableWeeklySummary[[#This Row],[Hasta]])</f>
        <v>0</v>
      </c>
      <c r="V22" s="11">
        <f>SUMIFS(TableDailySummary[Inversión meta ads],TableDailySummary[Fecha],"&gt;="&amp;TableWeeklySummary[[#This Row],[Desde]],TableDailySummary[Fecha],"&lt;="&amp;TableWeeklySummary[[#This Row],[Hasta]])</f>
        <v>0</v>
      </c>
      <c r="W22" s="11">
        <f>SUMIFS(TableDailySummary[Ventas meta ads],TableDailySummary[Fecha],"&gt;="&amp;TableWeeklySummary[[#This Row],[Desde]],TableDailySummary[Fecha],"&lt;="&amp;TableWeeklySummary[[#This Row],[Hasta]])</f>
        <v>0</v>
      </c>
      <c r="X22" s="11">
        <f>TableWeeklySummary[[#This Row],[Inversión google ads]]+TableWeeklySummary[[#This Row],[Inversión meta ads]]</f>
        <v>0</v>
      </c>
      <c r="Y22" s="11">
        <f>TableWeeklySummary[[#This Row],[Ventas google ads]]+TableWeeklySummary[[#This Row],[Ventas meta ads]]</f>
        <v>0</v>
      </c>
      <c r="Z22" s="14">
        <f>IFERROR(TableWeeklySummary[[#This Row],[Ventas publicidad]]/TableWeeklySummary[[#This Row],[Inversión publicidad]],0)</f>
        <v>0</v>
      </c>
      <c r="AA22" s="14">
        <f>IFERROR(TableWeeklySummary[[#This Row],[Ventas primer cliente]]/TableWeeklySummary[[#This Row],[Inversión publicidad]],0)</f>
        <v>0</v>
      </c>
      <c r="AB22" s="14"/>
      <c r="AC22" s="11"/>
      <c r="AI2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" s="11">
        <f>SUMIFS(TableDailySummary[Costo de ventas registrado],TableDailySummary[Fecha],"&gt;="&amp;TableWeeklySummary[[#This Row],[Desde]],TableDailySummary[Fecha],"&lt;="&amp;TableWeeklySummary[[#This Row],[Hasta]])</f>
        <v>0</v>
      </c>
      <c r="AK22" s="11">
        <f>SUMIFS(TableDailySummary[Utilidad bruta],TableDailySummary[Fecha],"&gt;="&amp;TableWeeklySummary[[#This Row],[Desde]],TableDailySummary[Fecha],"&lt;="&amp;TableWeeklySummary[[#This Row],[Hasta]])</f>
        <v>0</v>
      </c>
      <c r="AL22" s="18">
        <f>IFERROR(TableWeeklySummary[[#This Row],[Utilidad bruta]]/TableWeeklySummary[[#This Row],[Ventas netas con costo registrado]],0)</f>
        <v>0</v>
      </c>
    </row>
    <row r="23" spans="2:38" x14ac:dyDescent="0.2">
      <c r="B23" s="16">
        <f>_xlfn.ISOWEEKNUM(TableWeeklySummary[[#This Row],[Hasta]])</f>
        <v>12</v>
      </c>
      <c r="C23" s="6">
        <f t="shared" si="0"/>
        <v>44638</v>
      </c>
      <c r="D23" s="6">
        <f>TableWeeklySummary[[#This Row],[Desde]]+7-1</f>
        <v>44644</v>
      </c>
      <c r="E23" s="11">
        <f>SUMIFS(TableDailySummary[Ventas netas totales],TableDailySummary[Fecha],"&gt;="&amp;TableWeeklySummary[[#This Row],[Desde]],TableDailySummary[Fecha],"&lt;="&amp;TableWeeklySummary[[#This Row],[Hasta]])</f>
        <v>0</v>
      </c>
      <c r="F23" s="11">
        <f>SUMIFS(TableDailySummary[Órdenes totales],TableDailySummary[Fecha],"&gt;="&amp;TableWeeklySummary[[#This Row],[Desde]],TableDailySummary[Fecha],"&lt;="&amp;TableWeeklySummary[[#This Row],[Hasta]])</f>
        <v>0</v>
      </c>
      <c r="G23" s="11">
        <f>IFERROR(TableWeeklySummary[[#This Row],[Ventas netas totales]]/TableWeeklySummary[[#This Row],[Órdenes totales]],0)</f>
        <v>0</v>
      </c>
      <c r="H2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3" s="11">
        <f>TableWeeklySummary[[#This Row],[Órden promedio totales]]*TableWeeklySummary[[#This Row],[CR totales]]</f>
        <v>0</v>
      </c>
      <c r="J23" s="11">
        <f>SUMIFS(TableDailySummary[Ventas primer cliente],TableDailySummary[Fecha],"&gt;="&amp;TableWeeklySummary[[#This Row],[Desde]],TableDailySummary[Fecha],"&lt;="&amp;TableWeeklySummary[[#This Row],[Hasta]])</f>
        <v>0</v>
      </c>
      <c r="K23" s="11">
        <f>SUMIFS(TableDailySummary[Órdenes primer cliente],TableDailySummary[Fecha],"&gt;="&amp;TableWeeklySummary[[#This Row],[Desde]],TableDailySummary[Fecha],"&lt;="&amp;TableWeeklySummary[[#This Row],[Hasta]])</f>
        <v>0</v>
      </c>
      <c r="L23" s="11">
        <f>SUMIFS(TableDailySummary[Online Store_net_sales],TableDailySummary[Fecha],"&gt;="&amp;TableWeeklySummary[[#This Row],[Desde]],TableDailySummary[Fecha],"&lt;="&amp;TableWeeklySummary[[#This Row],[Hasta]])</f>
        <v>0</v>
      </c>
      <c r="M23" s="11">
        <f>SUMIFS(TableDailySummary[Online Store_orders],TableDailySummary[Fecha],"&gt;="&amp;TableWeeklySummary[[#This Row],[Desde]],TableDailySummary[Fecha],"&lt;="&amp;TableWeeklySummary[[#This Row],[Hasta]])</f>
        <v>0</v>
      </c>
      <c r="N23" s="11">
        <f>SUMIFS(TableDailySummary[Tienda 81_net_sales],TableDailySummary[Fecha],"&gt;="&amp;TableWeeklySummary[[#This Row],[Desde]],TableDailySummary[Fecha],"&lt;="&amp;TableWeeklySummary[[#This Row],[Hasta]])</f>
        <v>0</v>
      </c>
      <c r="O23" s="11">
        <f>SUMIFS(TableDailySummary[Tienda 81_orders],TableDailySummary[Fecha],"&gt;="&amp;TableWeeklySummary[[#This Row],[Desde]],TableDailySummary[Fecha],"&lt;="&amp;TableWeeklySummary[[#This Row],[Hasta]])</f>
        <v>0</v>
      </c>
      <c r="P23" s="11">
        <f>SUMIFS(TableDailySummary[Rappi_net_sales],TableDailySummary[Fecha],"&gt;="&amp;TableWeeklySummary[[#This Row],[Desde]],TableDailySummary[Fecha],"&lt;="&amp;TableWeeklySummary[[#This Row],[Hasta]])</f>
        <v>0</v>
      </c>
      <c r="Q23" s="11">
        <f>SUMIFS(TableDailySummary[Rappi_orders],TableDailySummary[Fecha],"&gt;="&amp;TableWeeklySummary[[#This Row],[Desde]],TableDailySummary[Fecha],"&lt;="&amp;TableWeeklySummary[[#This Row],[Hasta]])</f>
        <v>0</v>
      </c>
      <c r="R2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" s="11">
        <f>SUMIFS(TableDailySummary[Corporativo no tienda_orders],TableDailySummary[Fecha],"&gt;="&amp;TableWeeklySummary[[#This Row],[Desde]],TableDailySummary[Fecha],"&lt;="&amp;TableWeeklySummary[[#This Row],[Hasta]])</f>
        <v>0</v>
      </c>
      <c r="T23" s="11">
        <f>SUMIFS(TableDailySummary[Inversión google ads],TableDailySummary[Fecha],"&gt;="&amp;TableWeeklySummary[[#This Row],[Desde]],TableDailySummary[Fecha],"&lt;="&amp;TableWeeklySummary[[#This Row],[Hasta]])</f>
        <v>0</v>
      </c>
      <c r="U23" s="11">
        <f>SUMIFS(TableDailySummary[Ventas google ads],TableDailySummary[Fecha],"&gt;="&amp;TableWeeklySummary[[#This Row],[Desde]],TableDailySummary[Fecha],"&lt;="&amp;TableWeeklySummary[[#This Row],[Hasta]])</f>
        <v>0</v>
      </c>
      <c r="V23" s="11">
        <f>SUMIFS(TableDailySummary[Inversión meta ads],TableDailySummary[Fecha],"&gt;="&amp;TableWeeklySummary[[#This Row],[Desde]],TableDailySummary[Fecha],"&lt;="&amp;TableWeeklySummary[[#This Row],[Hasta]])</f>
        <v>0</v>
      </c>
      <c r="W23" s="11">
        <f>SUMIFS(TableDailySummary[Ventas meta ads],TableDailySummary[Fecha],"&gt;="&amp;TableWeeklySummary[[#This Row],[Desde]],TableDailySummary[Fecha],"&lt;="&amp;TableWeeklySummary[[#This Row],[Hasta]])</f>
        <v>0</v>
      </c>
      <c r="X23" s="11">
        <f>TableWeeklySummary[[#This Row],[Inversión google ads]]+TableWeeklySummary[[#This Row],[Inversión meta ads]]</f>
        <v>0</v>
      </c>
      <c r="Y23" s="11">
        <f>TableWeeklySummary[[#This Row],[Ventas google ads]]+TableWeeklySummary[[#This Row],[Ventas meta ads]]</f>
        <v>0</v>
      </c>
      <c r="Z23" s="14">
        <f>IFERROR(TableWeeklySummary[[#This Row],[Ventas publicidad]]/TableWeeklySummary[[#This Row],[Inversión publicidad]],0)</f>
        <v>0</v>
      </c>
      <c r="AA23" s="14">
        <f>IFERROR(TableWeeklySummary[[#This Row],[Ventas primer cliente]]/TableWeeklySummary[[#This Row],[Inversión publicidad]],0)</f>
        <v>0</v>
      </c>
      <c r="AB23" s="14"/>
      <c r="AC23" s="11"/>
      <c r="AI2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" s="11">
        <f>SUMIFS(TableDailySummary[Costo de ventas registrado],TableDailySummary[Fecha],"&gt;="&amp;TableWeeklySummary[[#This Row],[Desde]],TableDailySummary[Fecha],"&lt;="&amp;TableWeeklySummary[[#This Row],[Hasta]])</f>
        <v>0</v>
      </c>
      <c r="AK23" s="11">
        <f>SUMIFS(TableDailySummary[Utilidad bruta],TableDailySummary[Fecha],"&gt;="&amp;TableWeeklySummary[[#This Row],[Desde]],TableDailySummary[Fecha],"&lt;="&amp;TableWeeklySummary[[#This Row],[Hasta]])</f>
        <v>0</v>
      </c>
      <c r="AL23" s="18">
        <f>IFERROR(TableWeeklySummary[[#This Row],[Utilidad bruta]]/TableWeeklySummary[[#This Row],[Ventas netas con costo registrado]],0)</f>
        <v>0</v>
      </c>
    </row>
    <row r="24" spans="2:38" x14ac:dyDescent="0.2">
      <c r="B24" s="16">
        <f>_xlfn.ISOWEEKNUM(TableWeeklySummary[[#This Row],[Hasta]])</f>
        <v>13</v>
      </c>
      <c r="C24" s="6">
        <f t="shared" si="0"/>
        <v>44645</v>
      </c>
      <c r="D24" s="6">
        <f>TableWeeklySummary[[#This Row],[Desde]]+7-1</f>
        <v>44651</v>
      </c>
      <c r="E24" s="11">
        <f>SUMIFS(TableDailySummary[Ventas netas totales],TableDailySummary[Fecha],"&gt;="&amp;TableWeeklySummary[[#This Row],[Desde]],TableDailySummary[Fecha],"&lt;="&amp;TableWeeklySummary[[#This Row],[Hasta]])</f>
        <v>0</v>
      </c>
      <c r="F24" s="11">
        <f>SUMIFS(TableDailySummary[Órdenes totales],TableDailySummary[Fecha],"&gt;="&amp;TableWeeklySummary[[#This Row],[Desde]],TableDailySummary[Fecha],"&lt;="&amp;TableWeeklySummary[[#This Row],[Hasta]])</f>
        <v>0</v>
      </c>
      <c r="G24" s="11">
        <f>IFERROR(TableWeeklySummary[[#This Row],[Ventas netas totales]]/TableWeeklySummary[[#This Row],[Órdenes totales]],0)</f>
        <v>0</v>
      </c>
      <c r="H2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" s="11">
        <f>TableWeeklySummary[[#This Row],[Órden promedio totales]]*TableWeeklySummary[[#This Row],[CR totales]]</f>
        <v>0</v>
      </c>
      <c r="J24" s="11">
        <f>SUMIFS(TableDailySummary[Ventas primer cliente],TableDailySummary[Fecha],"&gt;="&amp;TableWeeklySummary[[#This Row],[Desde]],TableDailySummary[Fecha],"&lt;="&amp;TableWeeklySummary[[#This Row],[Hasta]])</f>
        <v>0</v>
      </c>
      <c r="K24" s="11">
        <f>SUMIFS(TableDailySummary[Órdenes primer cliente],TableDailySummary[Fecha],"&gt;="&amp;TableWeeklySummary[[#This Row],[Desde]],TableDailySummary[Fecha],"&lt;="&amp;TableWeeklySummary[[#This Row],[Hasta]])</f>
        <v>0</v>
      </c>
      <c r="L24" s="11">
        <f>SUMIFS(TableDailySummary[Online Store_net_sales],TableDailySummary[Fecha],"&gt;="&amp;TableWeeklySummary[[#This Row],[Desde]],TableDailySummary[Fecha],"&lt;="&amp;TableWeeklySummary[[#This Row],[Hasta]])</f>
        <v>0</v>
      </c>
      <c r="M24" s="11">
        <f>SUMIFS(TableDailySummary[Online Store_orders],TableDailySummary[Fecha],"&gt;="&amp;TableWeeklySummary[[#This Row],[Desde]],TableDailySummary[Fecha],"&lt;="&amp;TableWeeklySummary[[#This Row],[Hasta]])</f>
        <v>0</v>
      </c>
      <c r="N24" s="11">
        <f>SUMIFS(TableDailySummary[Tienda 81_net_sales],TableDailySummary[Fecha],"&gt;="&amp;TableWeeklySummary[[#This Row],[Desde]],TableDailySummary[Fecha],"&lt;="&amp;TableWeeklySummary[[#This Row],[Hasta]])</f>
        <v>0</v>
      </c>
      <c r="O24" s="11">
        <f>SUMIFS(TableDailySummary[Tienda 81_orders],TableDailySummary[Fecha],"&gt;="&amp;TableWeeklySummary[[#This Row],[Desde]],TableDailySummary[Fecha],"&lt;="&amp;TableWeeklySummary[[#This Row],[Hasta]])</f>
        <v>0</v>
      </c>
      <c r="P24" s="11">
        <f>SUMIFS(TableDailySummary[Rappi_net_sales],TableDailySummary[Fecha],"&gt;="&amp;TableWeeklySummary[[#This Row],[Desde]],TableDailySummary[Fecha],"&lt;="&amp;TableWeeklySummary[[#This Row],[Hasta]])</f>
        <v>0</v>
      </c>
      <c r="Q24" s="11">
        <f>SUMIFS(TableDailySummary[Rappi_orders],TableDailySummary[Fecha],"&gt;="&amp;TableWeeklySummary[[#This Row],[Desde]],TableDailySummary[Fecha],"&lt;="&amp;TableWeeklySummary[[#This Row],[Hasta]])</f>
        <v>0</v>
      </c>
      <c r="R2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" s="11">
        <f>SUMIFS(TableDailySummary[Corporativo no tienda_orders],TableDailySummary[Fecha],"&gt;="&amp;TableWeeklySummary[[#This Row],[Desde]],TableDailySummary[Fecha],"&lt;="&amp;TableWeeklySummary[[#This Row],[Hasta]])</f>
        <v>0</v>
      </c>
      <c r="T24" s="11">
        <f>SUMIFS(TableDailySummary[Inversión google ads],TableDailySummary[Fecha],"&gt;="&amp;TableWeeklySummary[[#This Row],[Desde]],TableDailySummary[Fecha],"&lt;="&amp;TableWeeklySummary[[#This Row],[Hasta]])</f>
        <v>0</v>
      </c>
      <c r="U24" s="11">
        <f>SUMIFS(TableDailySummary[Ventas google ads],TableDailySummary[Fecha],"&gt;="&amp;TableWeeklySummary[[#This Row],[Desde]],TableDailySummary[Fecha],"&lt;="&amp;TableWeeklySummary[[#This Row],[Hasta]])</f>
        <v>0</v>
      </c>
      <c r="V24" s="11">
        <f>SUMIFS(TableDailySummary[Inversión meta ads],TableDailySummary[Fecha],"&gt;="&amp;TableWeeklySummary[[#This Row],[Desde]],TableDailySummary[Fecha],"&lt;="&amp;TableWeeklySummary[[#This Row],[Hasta]])</f>
        <v>0</v>
      </c>
      <c r="W24" s="11">
        <f>SUMIFS(TableDailySummary[Ventas meta ads],TableDailySummary[Fecha],"&gt;="&amp;TableWeeklySummary[[#This Row],[Desde]],TableDailySummary[Fecha],"&lt;="&amp;TableWeeklySummary[[#This Row],[Hasta]])</f>
        <v>0</v>
      </c>
      <c r="X24" s="11">
        <f>TableWeeklySummary[[#This Row],[Inversión google ads]]+TableWeeklySummary[[#This Row],[Inversión meta ads]]</f>
        <v>0</v>
      </c>
      <c r="Y24" s="11">
        <f>TableWeeklySummary[[#This Row],[Ventas google ads]]+TableWeeklySummary[[#This Row],[Ventas meta ads]]</f>
        <v>0</v>
      </c>
      <c r="Z24" s="14">
        <f>IFERROR(TableWeeklySummary[[#This Row],[Ventas publicidad]]/TableWeeklySummary[[#This Row],[Inversión publicidad]],0)</f>
        <v>0</v>
      </c>
      <c r="AA24" s="14">
        <f>IFERROR(TableWeeklySummary[[#This Row],[Ventas primer cliente]]/TableWeeklySummary[[#This Row],[Inversión publicidad]],0)</f>
        <v>0</v>
      </c>
      <c r="AB24" s="14"/>
      <c r="AC24" s="11"/>
      <c r="AI2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" s="11">
        <f>SUMIFS(TableDailySummary[Costo de ventas registrado],TableDailySummary[Fecha],"&gt;="&amp;TableWeeklySummary[[#This Row],[Desde]],TableDailySummary[Fecha],"&lt;="&amp;TableWeeklySummary[[#This Row],[Hasta]])</f>
        <v>0</v>
      </c>
      <c r="AK24" s="11">
        <f>SUMIFS(TableDailySummary[Utilidad bruta],TableDailySummary[Fecha],"&gt;="&amp;TableWeeklySummary[[#This Row],[Desde]],TableDailySummary[Fecha],"&lt;="&amp;TableWeeklySummary[[#This Row],[Hasta]])</f>
        <v>0</v>
      </c>
      <c r="AL24" s="18">
        <f>IFERROR(TableWeeklySummary[[#This Row],[Utilidad bruta]]/TableWeeklySummary[[#This Row],[Ventas netas con costo registrado]],0)</f>
        <v>0</v>
      </c>
    </row>
    <row r="25" spans="2:38" x14ac:dyDescent="0.2">
      <c r="B25" s="16">
        <f>_xlfn.ISOWEEKNUM(TableWeeklySummary[[#This Row],[Hasta]])</f>
        <v>14</v>
      </c>
      <c r="C25" s="6">
        <f t="shared" si="0"/>
        <v>44652</v>
      </c>
      <c r="D25" s="6">
        <f>TableWeeklySummary[[#This Row],[Desde]]+7-1</f>
        <v>44658</v>
      </c>
      <c r="E25" s="11">
        <f>SUMIFS(TableDailySummary[Ventas netas totales],TableDailySummary[Fecha],"&gt;="&amp;TableWeeklySummary[[#This Row],[Desde]],TableDailySummary[Fecha],"&lt;="&amp;TableWeeklySummary[[#This Row],[Hasta]])</f>
        <v>0</v>
      </c>
      <c r="F25" s="11">
        <f>SUMIFS(TableDailySummary[Órdenes totales],TableDailySummary[Fecha],"&gt;="&amp;TableWeeklySummary[[#This Row],[Desde]],TableDailySummary[Fecha],"&lt;="&amp;TableWeeklySummary[[#This Row],[Hasta]])</f>
        <v>0</v>
      </c>
      <c r="G25" s="11">
        <f>IFERROR(TableWeeklySummary[[#This Row],[Ventas netas totales]]/TableWeeklySummary[[#This Row],[Órdenes totales]],0)</f>
        <v>0</v>
      </c>
      <c r="H2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" s="11">
        <f>TableWeeklySummary[[#This Row],[Órden promedio totales]]*TableWeeklySummary[[#This Row],[CR totales]]</f>
        <v>0</v>
      </c>
      <c r="J25" s="11">
        <f>SUMIFS(TableDailySummary[Ventas primer cliente],TableDailySummary[Fecha],"&gt;="&amp;TableWeeklySummary[[#This Row],[Desde]],TableDailySummary[Fecha],"&lt;="&amp;TableWeeklySummary[[#This Row],[Hasta]])</f>
        <v>0</v>
      </c>
      <c r="K25" s="11">
        <f>SUMIFS(TableDailySummary[Órdenes primer cliente],TableDailySummary[Fecha],"&gt;="&amp;TableWeeklySummary[[#This Row],[Desde]],TableDailySummary[Fecha],"&lt;="&amp;TableWeeklySummary[[#This Row],[Hasta]])</f>
        <v>0</v>
      </c>
      <c r="L25" s="11">
        <f>SUMIFS(TableDailySummary[Online Store_net_sales],TableDailySummary[Fecha],"&gt;="&amp;TableWeeklySummary[[#This Row],[Desde]],TableDailySummary[Fecha],"&lt;="&amp;TableWeeklySummary[[#This Row],[Hasta]])</f>
        <v>0</v>
      </c>
      <c r="M25" s="11">
        <f>SUMIFS(TableDailySummary[Online Store_orders],TableDailySummary[Fecha],"&gt;="&amp;TableWeeklySummary[[#This Row],[Desde]],TableDailySummary[Fecha],"&lt;="&amp;TableWeeklySummary[[#This Row],[Hasta]])</f>
        <v>0</v>
      </c>
      <c r="N25" s="11">
        <f>SUMIFS(TableDailySummary[Tienda 81_net_sales],TableDailySummary[Fecha],"&gt;="&amp;TableWeeklySummary[[#This Row],[Desde]],TableDailySummary[Fecha],"&lt;="&amp;TableWeeklySummary[[#This Row],[Hasta]])</f>
        <v>0</v>
      </c>
      <c r="O25" s="11">
        <f>SUMIFS(TableDailySummary[Tienda 81_orders],TableDailySummary[Fecha],"&gt;="&amp;TableWeeklySummary[[#This Row],[Desde]],TableDailySummary[Fecha],"&lt;="&amp;TableWeeklySummary[[#This Row],[Hasta]])</f>
        <v>0</v>
      </c>
      <c r="P25" s="11">
        <f>SUMIFS(TableDailySummary[Rappi_net_sales],TableDailySummary[Fecha],"&gt;="&amp;TableWeeklySummary[[#This Row],[Desde]],TableDailySummary[Fecha],"&lt;="&amp;TableWeeklySummary[[#This Row],[Hasta]])</f>
        <v>0</v>
      </c>
      <c r="Q25" s="11">
        <f>SUMIFS(TableDailySummary[Rappi_orders],TableDailySummary[Fecha],"&gt;="&amp;TableWeeklySummary[[#This Row],[Desde]],TableDailySummary[Fecha],"&lt;="&amp;TableWeeklySummary[[#This Row],[Hasta]])</f>
        <v>0</v>
      </c>
      <c r="R2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" s="11">
        <f>SUMIFS(TableDailySummary[Corporativo no tienda_orders],TableDailySummary[Fecha],"&gt;="&amp;TableWeeklySummary[[#This Row],[Desde]],TableDailySummary[Fecha],"&lt;="&amp;TableWeeklySummary[[#This Row],[Hasta]])</f>
        <v>0</v>
      </c>
      <c r="T25" s="11">
        <f>SUMIFS(TableDailySummary[Inversión google ads],TableDailySummary[Fecha],"&gt;="&amp;TableWeeklySummary[[#This Row],[Desde]],TableDailySummary[Fecha],"&lt;="&amp;TableWeeklySummary[[#This Row],[Hasta]])</f>
        <v>0</v>
      </c>
      <c r="U25" s="11">
        <f>SUMIFS(TableDailySummary[Ventas google ads],TableDailySummary[Fecha],"&gt;="&amp;TableWeeklySummary[[#This Row],[Desde]],TableDailySummary[Fecha],"&lt;="&amp;TableWeeklySummary[[#This Row],[Hasta]])</f>
        <v>0</v>
      </c>
      <c r="V25" s="11">
        <f>SUMIFS(TableDailySummary[Inversión meta ads],TableDailySummary[Fecha],"&gt;="&amp;TableWeeklySummary[[#This Row],[Desde]],TableDailySummary[Fecha],"&lt;="&amp;TableWeeklySummary[[#This Row],[Hasta]])</f>
        <v>0</v>
      </c>
      <c r="W25" s="11">
        <f>SUMIFS(TableDailySummary[Ventas meta ads],TableDailySummary[Fecha],"&gt;="&amp;TableWeeklySummary[[#This Row],[Desde]],TableDailySummary[Fecha],"&lt;="&amp;TableWeeklySummary[[#This Row],[Hasta]])</f>
        <v>0</v>
      </c>
      <c r="X25" s="11">
        <f>TableWeeklySummary[[#This Row],[Inversión google ads]]+TableWeeklySummary[[#This Row],[Inversión meta ads]]</f>
        <v>0</v>
      </c>
      <c r="Y25" s="11">
        <f>TableWeeklySummary[[#This Row],[Ventas google ads]]+TableWeeklySummary[[#This Row],[Ventas meta ads]]</f>
        <v>0</v>
      </c>
      <c r="Z25" s="14">
        <f>IFERROR(TableWeeklySummary[[#This Row],[Ventas publicidad]]/TableWeeklySummary[[#This Row],[Inversión publicidad]],0)</f>
        <v>0</v>
      </c>
      <c r="AA25" s="14">
        <f>IFERROR(TableWeeklySummary[[#This Row],[Ventas primer cliente]]/TableWeeklySummary[[#This Row],[Inversión publicidad]],0)</f>
        <v>0</v>
      </c>
      <c r="AB25" s="14"/>
      <c r="AC25" s="11"/>
      <c r="AI2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" s="11">
        <f>SUMIFS(TableDailySummary[Costo de ventas registrado],TableDailySummary[Fecha],"&gt;="&amp;TableWeeklySummary[[#This Row],[Desde]],TableDailySummary[Fecha],"&lt;="&amp;TableWeeklySummary[[#This Row],[Hasta]])</f>
        <v>0</v>
      </c>
      <c r="AK25" s="11">
        <f>SUMIFS(TableDailySummary[Utilidad bruta],TableDailySummary[Fecha],"&gt;="&amp;TableWeeklySummary[[#This Row],[Desde]],TableDailySummary[Fecha],"&lt;="&amp;TableWeeklySummary[[#This Row],[Hasta]])</f>
        <v>0</v>
      </c>
      <c r="AL25" s="18">
        <f>IFERROR(TableWeeklySummary[[#This Row],[Utilidad bruta]]/TableWeeklySummary[[#This Row],[Ventas netas con costo registrado]],0)</f>
        <v>0</v>
      </c>
    </row>
    <row r="26" spans="2:38" x14ac:dyDescent="0.2">
      <c r="B26" s="16">
        <f>_xlfn.ISOWEEKNUM(TableWeeklySummary[[#This Row],[Hasta]])</f>
        <v>15</v>
      </c>
      <c r="C26" s="6">
        <f t="shared" si="0"/>
        <v>44659</v>
      </c>
      <c r="D26" s="6">
        <f>TableWeeklySummary[[#This Row],[Desde]]+7-1</f>
        <v>44665</v>
      </c>
      <c r="E26" s="11">
        <f>SUMIFS(TableDailySummary[Ventas netas totales],TableDailySummary[Fecha],"&gt;="&amp;TableWeeklySummary[[#This Row],[Desde]],TableDailySummary[Fecha],"&lt;="&amp;TableWeeklySummary[[#This Row],[Hasta]])</f>
        <v>0</v>
      </c>
      <c r="F26" s="11">
        <f>SUMIFS(TableDailySummary[Órdenes totales],TableDailySummary[Fecha],"&gt;="&amp;TableWeeklySummary[[#This Row],[Desde]],TableDailySummary[Fecha],"&lt;="&amp;TableWeeklySummary[[#This Row],[Hasta]])</f>
        <v>0</v>
      </c>
      <c r="G26" s="11">
        <f>IFERROR(TableWeeklySummary[[#This Row],[Ventas netas totales]]/TableWeeklySummary[[#This Row],[Órdenes totales]],0)</f>
        <v>0</v>
      </c>
      <c r="H2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" s="11">
        <f>TableWeeklySummary[[#This Row],[Órden promedio totales]]*TableWeeklySummary[[#This Row],[CR totales]]</f>
        <v>0</v>
      </c>
      <c r="J26" s="11">
        <f>SUMIFS(TableDailySummary[Ventas primer cliente],TableDailySummary[Fecha],"&gt;="&amp;TableWeeklySummary[[#This Row],[Desde]],TableDailySummary[Fecha],"&lt;="&amp;TableWeeklySummary[[#This Row],[Hasta]])</f>
        <v>0</v>
      </c>
      <c r="K26" s="11">
        <f>SUMIFS(TableDailySummary[Órdenes primer cliente],TableDailySummary[Fecha],"&gt;="&amp;TableWeeklySummary[[#This Row],[Desde]],TableDailySummary[Fecha],"&lt;="&amp;TableWeeklySummary[[#This Row],[Hasta]])</f>
        <v>0</v>
      </c>
      <c r="L26" s="11">
        <f>SUMIFS(TableDailySummary[Online Store_net_sales],TableDailySummary[Fecha],"&gt;="&amp;TableWeeklySummary[[#This Row],[Desde]],TableDailySummary[Fecha],"&lt;="&amp;TableWeeklySummary[[#This Row],[Hasta]])</f>
        <v>0</v>
      </c>
      <c r="M26" s="11">
        <f>SUMIFS(TableDailySummary[Online Store_orders],TableDailySummary[Fecha],"&gt;="&amp;TableWeeklySummary[[#This Row],[Desde]],TableDailySummary[Fecha],"&lt;="&amp;TableWeeklySummary[[#This Row],[Hasta]])</f>
        <v>0</v>
      </c>
      <c r="N26" s="11">
        <f>SUMIFS(TableDailySummary[Tienda 81_net_sales],TableDailySummary[Fecha],"&gt;="&amp;TableWeeklySummary[[#This Row],[Desde]],TableDailySummary[Fecha],"&lt;="&amp;TableWeeklySummary[[#This Row],[Hasta]])</f>
        <v>0</v>
      </c>
      <c r="O26" s="11">
        <f>SUMIFS(TableDailySummary[Tienda 81_orders],TableDailySummary[Fecha],"&gt;="&amp;TableWeeklySummary[[#This Row],[Desde]],TableDailySummary[Fecha],"&lt;="&amp;TableWeeklySummary[[#This Row],[Hasta]])</f>
        <v>0</v>
      </c>
      <c r="P26" s="11">
        <f>SUMIFS(TableDailySummary[Rappi_net_sales],TableDailySummary[Fecha],"&gt;="&amp;TableWeeklySummary[[#This Row],[Desde]],TableDailySummary[Fecha],"&lt;="&amp;TableWeeklySummary[[#This Row],[Hasta]])</f>
        <v>0</v>
      </c>
      <c r="Q26" s="11">
        <f>SUMIFS(TableDailySummary[Rappi_orders],TableDailySummary[Fecha],"&gt;="&amp;TableWeeklySummary[[#This Row],[Desde]],TableDailySummary[Fecha],"&lt;="&amp;TableWeeklySummary[[#This Row],[Hasta]])</f>
        <v>0</v>
      </c>
      <c r="R2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" s="11">
        <f>SUMIFS(TableDailySummary[Corporativo no tienda_orders],TableDailySummary[Fecha],"&gt;="&amp;TableWeeklySummary[[#This Row],[Desde]],TableDailySummary[Fecha],"&lt;="&amp;TableWeeklySummary[[#This Row],[Hasta]])</f>
        <v>0</v>
      </c>
      <c r="T26" s="11">
        <f>SUMIFS(TableDailySummary[Inversión google ads],TableDailySummary[Fecha],"&gt;="&amp;TableWeeklySummary[[#This Row],[Desde]],TableDailySummary[Fecha],"&lt;="&amp;TableWeeklySummary[[#This Row],[Hasta]])</f>
        <v>0</v>
      </c>
      <c r="U26" s="11">
        <f>SUMIFS(TableDailySummary[Ventas google ads],TableDailySummary[Fecha],"&gt;="&amp;TableWeeklySummary[[#This Row],[Desde]],TableDailySummary[Fecha],"&lt;="&amp;TableWeeklySummary[[#This Row],[Hasta]])</f>
        <v>0</v>
      </c>
      <c r="V26" s="11">
        <f>SUMIFS(TableDailySummary[Inversión meta ads],TableDailySummary[Fecha],"&gt;="&amp;TableWeeklySummary[[#This Row],[Desde]],TableDailySummary[Fecha],"&lt;="&amp;TableWeeklySummary[[#This Row],[Hasta]])</f>
        <v>0</v>
      </c>
      <c r="W26" s="11">
        <f>SUMIFS(TableDailySummary[Ventas meta ads],TableDailySummary[Fecha],"&gt;="&amp;TableWeeklySummary[[#This Row],[Desde]],TableDailySummary[Fecha],"&lt;="&amp;TableWeeklySummary[[#This Row],[Hasta]])</f>
        <v>0</v>
      </c>
      <c r="X26" s="11">
        <f>TableWeeklySummary[[#This Row],[Inversión google ads]]+TableWeeklySummary[[#This Row],[Inversión meta ads]]</f>
        <v>0</v>
      </c>
      <c r="Y26" s="11">
        <f>TableWeeklySummary[[#This Row],[Ventas google ads]]+TableWeeklySummary[[#This Row],[Ventas meta ads]]</f>
        <v>0</v>
      </c>
      <c r="Z26" s="14">
        <f>IFERROR(TableWeeklySummary[[#This Row],[Ventas publicidad]]/TableWeeklySummary[[#This Row],[Inversión publicidad]],0)</f>
        <v>0</v>
      </c>
      <c r="AA26" s="14">
        <f>IFERROR(TableWeeklySummary[[#This Row],[Ventas primer cliente]]/TableWeeklySummary[[#This Row],[Inversión publicidad]],0)</f>
        <v>0</v>
      </c>
      <c r="AB26" s="14"/>
      <c r="AC26" s="11"/>
      <c r="AI2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" s="11">
        <f>SUMIFS(TableDailySummary[Costo de ventas registrado],TableDailySummary[Fecha],"&gt;="&amp;TableWeeklySummary[[#This Row],[Desde]],TableDailySummary[Fecha],"&lt;="&amp;TableWeeklySummary[[#This Row],[Hasta]])</f>
        <v>0</v>
      </c>
      <c r="AK26" s="11">
        <f>SUMIFS(TableDailySummary[Utilidad bruta],TableDailySummary[Fecha],"&gt;="&amp;TableWeeklySummary[[#This Row],[Desde]],TableDailySummary[Fecha],"&lt;="&amp;TableWeeklySummary[[#This Row],[Hasta]])</f>
        <v>0</v>
      </c>
      <c r="AL26" s="18">
        <f>IFERROR(TableWeeklySummary[[#This Row],[Utilidad bruta]]/TableWeeklySummary[[#This Row],[Ventas netas con costo registrado]],0)</f>
        <v>0</v>
      </c>
    </row>
    <row r="27" spans="2:38" x14ac:dyDescent="0.2">
      <c r="B27" s="16">
        <f>_xlfn.ISOWEEKNUM(TableWeeklySummary[[#This Row],[Hasta]])</f>
        <v>16</v>
      </c>
      <c r="C27" s="6">
        <f t="shared" si="0"/>
        <v>44666</v>
      </c>
      <c r="D27" s="6">
        <f>TableWeeklySummary[[#This Row],[Desde]]+7-1</f>
        <v>44672</v>
      </c>
      <c r="E27" s="11">
        <f>SUMIFS(TableDailySummary[Ventas netas totales],TableDailySummary[Fecha],"&gt;="&amp;TableWeeklySummary[[#This Row],[Desde]],TableDailySummary[Fecha],"&lt;="&amp;TableWeeklySummary[[#This Row],[Hasta]])</f>
        <v>0</v>
      </c>
      <c r="F27" s="11">
        <f>SUMIFS(TableDailySummary[Órdenes totales],TableDailySummary[Fecha],"&gt;="&amp;TableWeeklySummary[[#This Row],[Desde]],TableDailySummary[Fecha],"&lt;="&amp;TableWeeklySummary[[#This Row],[Hasta]])</f>
        <v>0</v>
      </c>
      <c r="G27" s="11">
        <f>IFERROR(TableWeeklySummary[[#This Row],[Ventas netas totales]]/TableWeeklySummary[[#This Row],[Órdenes totales]],0)</f>
        <v>0</v>
      </c>
      <c r="H2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" s="11">
        <f>TableWeeklySummary[[#This Row],[Órden promedio totales]]*TableWeeklySummary[[#This Row],[CR totales]]</f>
        <v>0</v>
      </c>
      <c r="J27" s="11">
        <f>SUMIFS(TableDailySummary[Ventas primer cliente],TableDailySummary[Fecha],"&gt;="&amp;TableWeeklySummary[[#This Row],[Desde]],TableDailySummary[Fecha],"&lt;="&amp;TableWeeklySummary[[#This Row],[Hasta]])</f>
        <v>0</v>
      </c>
      <c r="K27" s="11">
        <f>SUMIFS(TableDailySummary[Órdenes primer cliente],TableDailySummary[Fecha],"&gt;="&amp;TableWeeklySummary[[#This Row],[Desde]],TableDailySummary[Fecha],"&lt;="&amp;TableWeeklySummary[[#This Row],[Hasta]])</f>
        <v>0</v>
      </c>
      <c r="L27" s="11">
        <f>SUMIFS(TableDailySummary[Online Store_net_sales],TableDailySummary[Fecha],"&gt;="&amp;TableWeeklySummary[[#This Row],[Desde]],TableDailySummary[Fecha],"&lt;="&amp;TableWeeklySummary[[#This Row],[Hasta]])</f>
        <v>0</v>
      </c>
      <c r="M27" s="11">
        <f>SUMIFS(TableDailySummary[Online Store_orders],TableDailySummary[Fecha],"&gt;="&amp;TableWeeklySummary[[#This Row],[Desde]],TableDailySummary[Fecha],"&lt;="&amp;TableWeeklySummary[[#This Row],[Hasta]])</f>
        <v>0</v>
      </c>
      <c r="N27" s="11">
        <f>SUMIFS(TableDailySummary[Tienda 81_net_sales],TableDailySummary[Fecha],"&gt;="&amp;TableWeeklySummary[[#This Row],[Desde]],TableDailySummary[Fecha],"&lt;="&amp;TableWeeklySummary[[#This Row],[Hasta]])</f>
        <v>0</v>
      </c>
      <c r="O27" s="11">
        <f>SUMIFS(TableDailySummary[Tienda 81_orders],TableDailySummary[Fecha],"&gt;="&amp;TableWeeklySummary[[#This Row],[Desde]],TableDailySummary[Fecha],"&lt;="&amp;TableWeeklySummary[[#This Row],[Hasta]])</f>
        <v>0</v>
      </c>
      <c r="P27" s="11">
        <f>SUMIFS(TableDailySummary[Rappi_net_sales],TableDailySummary[Fecha],"&gt;="&amp;TableWeeklySummary[[#This Row],[Desde]],TableDailySummary[Fecha],"&lt;="&amp;TableWeeklySummary[[#This Row],[Hasta]])</f>
        <v>0</v>
      </c>
      <c r="Q27" s="11">
        <f>SUMIFS(TableDailySummary[Rappi_orders],TableDailySummary[Fecha],"&gt;="&amp;TableWeeklySummary[[#This Row],[Desde]],TableDailySummary[Fecha],"&lt;="&amp;TableWeeklySummary[[#This Row],[Hasta]])</f>
        <v>0</v>
      </c>
      <c r="R2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" s="11">
        <f>SUMIFS(TableDailySummary[Corporativo no tienda_orders],TableDailySummary[Fecha],"&gt;="&amp;TableWeeklySummary[[#This Row],[Desde]],TableDailySummary[Fecha],"&lt;="&amp;TableWeeklySummary[[#This Row],[Hasta]])</f>
        <v>0</v>
      </c>
      <c r="T27" s="11">
        <f>SUMIFS(TableDailySummary[Inversión google ads],TableDailySummary[Fecha],"&gt;="&amp;TableWeeklySummary[[#This Row],[Desde]],TableDailySummary[Fecha],"&lt;="&amp;TableWeeklySummary[[#This Row],[Hasta]])</f>
        <v>0</v>
      </c>
      <c r="U27" s="11">
        <f>SUMIFS(TableDailySummary[Ventas google ads],TableDailySummary[Fecha],"&gt;="&amp;TableWeeklySummary[[#This Row],[Desde]],TableDailySummary[Fecha],"&lt;="&amp;TableWeeklySummary[[#This Row],[Hasta]])</f>
        <v>0</v>
      </c>
      <c r="V27" s="11">
        <f>SUMIFS(TableDailySummary[Inversión meta ads],TableDailySummary[Fecha],"&gt;="&amp;TableWeeklySummary[[#This Row],[Desde]],TableDailySummary[Fecha],"&lt;="&amp;TableWeeklySummary[[#This Row],[Hasta]])</f>
        <v>0</v>
      </c>
      <c r="W27" s="11">
        <f>SUMIFS(TableDailySummary[Ventas meta ads],TableDailySummary[Fecha],"&gt;="&amp;TableWeeklySummary[[#This Row],[Desde]],TableDailySummary[Fecha],"&lt;="&amp;TableWeeklySummary[[#This Row],[Hasta]])</f>
        <v>0</v>
      </c>
      <c r="X27" s="11">
        <f>TableWeeklySummary[[#This Row],[Inversión google ads]]+TableWeeklySummary[[#This Row],[Inversión meta ads]]</f>
        <v>0</v>
      </c>
      <c r="Y27" s="11">
        <f>TableWeeklySummary[[#This Row],[Ventas google ads]]+TableWeeklySummary[[#This Row],[Ventas meta ads]]</f>
        <v>0</v>
      </c>
      <c r="Z27" s="14">
        <f>IFERROR(TableWeeklySummary[[#This Row],[Ventas publicidad]]/TableWeeklySummary[[#This Row],[Inversión publicidad]],0)</f>
        <v>0</v>
      </c>
      <c r="AA27" s="14">
        <f>IFERROR(TableWeeklySummary[[#This Row],[Ventas primer cliente]]/TableWeeklySummary[[#This Row],[Inversión publicidad]],0)</f>
        <v>0</v>
      </c>
      <c r="AB27" s="14"/>
      <c r="AC27" s="11"/>
      <c r="AI2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" s="11">
        <f>SUMIFS(TableDailySummary[Costo de ventas registrado],TableDailySummary[Fecha],"&gt;="&amp;TableWeeklySummary[[#This Row],[Desde]],TableDailySummary[Fecha],"&lt;="&amp;TableWeeklySummary[[#This Row],[Hasta]])</f>
        <v>0</v>
      </c>
      <c r="AK27" s="11">
        <f>SUMIFS(TableDailySummary[Utilidad bruta],TableDailySummary[Fecha],"&gt;="&amp;TableWeeklySummary[[#This Row],[Desde]],TableDailySummary[Fecha],"&lt;="&amp;TableWeeklySummary[[#This Row],[Hasta]])</f>
        <v>0</v>
      </c>
      <c r="AL27" s="18">
        <f>IFERROR(TableWeeklySummary[[#This Row],[Utilidad bruta]]/TableWeeklySummary[[#This Row],[Ventas netas con costo registrado]],0)</f>
        <v>0</v>
      </c>
    </row>
    <row r="28" spans="2:38" x14ac:dyDescent="0.2">
      <c r="B28" s="16">
        <f>_xlfn.ISOWEEKNUM(TableWeeklySummary[[#This Row],[Hasta]])</f>
        <v>17</v>
      </c>
      <c r="C28" s="6">
        <f t="shared" si="0"/>
        <v>44673</v>
      </c>
      <c r="D28" s="6">
        <f>TableWeeklySummary[[#This Row],[Desde]]+7-1</f>
        <v>44679</v>
      </c>
      <c r="E28" s="11">
        <f>SUMIFS(TableDailySummary[Ventas netas totales],TableDailySummary[Fecha],"&gt;="&amp;TableWeeklySummary[[#This Row],[Desde]],TableDailySummary[Fecha],"&lt;="&amp;TableWeeklySummary[[#This Row],[Hasta]])</f>
        <v>0</v>
      </c>
      <c r="F28" s="11">
        <f>SUMIFS(TableDailySummary[Órdenes totales],TableDailySummary[Fecha],"&gt;="&amp;TableWeeklySummary[[#This Row],[Desde]],TableDailySummary[Fecha],"&lt;="&amp;TableWeeklySummary[[#This Row],[Hasta]])</f>
        <v>0</v>
      </c>
      <c r="G28" s="11">
        <f>IFERROR(TableWeeklySummary[[#This Row],[Ventas netas totales]]/TableWeeklySummary[[#This Row],[Órdenes totales]],0)</f>
        <v>0</v>
      </c>
      <c r="H2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" s="11">
        <f>TableWeeklySummary[[#This Row],[Órden promedio totales]]*TableWeeklySummary[[#This Row],[CR totales]]</f>
        <v>0</v>
      </c>
      <c r="J28" s="11">
        <f>SUMIFS(TableDailySummary[Ventas primer cliente],TableDailySummary[Fecha],"&gt;="&amp;TableWeeklySummary[[#This Row],[Desde]],TableDailySummary[Fecha],"&lt;="&amp;TableWeeklySummary[[#This Row],[Hasta]])</f>
        <v>0</v>
      </c>
      <c r="K28" s="11">
        <f>SUMIFS(TableDailySummary[Órdenes primer cliente],TableDailySummary[Fecha],"&gt;="&amp;TableWeeklySummary[[#This Row],[Desde]],TableDailySummary[Fecha],"&lt;="&amp;TableWeeklySummary[[#This Row],[Hasta]])</f>
        <v>0</v>
      </c>
      <c r="L28" s="11">
        <f>SUMIFS(TableDailySummary[Online Store_net_sales],TableDailySummary[Fecha],"&gt;="&amp;TableWeeklySummary[[#This Row],[Desde]],TableDailySummary[Fecha],"&lt;="&amp;TableWeeklySummary[[#This Row],[Hasta]])</f>
        <v>0</v>
      </c>
      <c r="M28" s="11">
        <f>SUMIFS(TableDailySummary[Online Store_orders],TableDailySummary[Fecha],"&gt;="&amp;TableWeeklySummary[[#This Row],[Desde]],TableDailySummary[Fecha],"&lt;="&amp;TableWeeklySummary[[#This Row],[Hasta]])</f>
        <v>0</v>
      </c>
      <c r="N28" s="11">
        <f>SUMIFS(TableDailySummary[Tienda 81_net_sales],TableDailySummary[Fecha],"&gt;="&amp;TableWeeklySummary[[#This Row],[Desde]],TableDailySummary[Fecha],"&lt;="&amp;TableWeeklySummary[[#This Row],[Hasta]])</f>
        <v>0</v>
      </c>
      <c r="O28" s="11">
        <f>SUMIFS(TableDailySummary[Tienda 81_orders],TableDailySummary[Fecha],"&gt;="&amp;TableWeeklySummary[[#This Row],[Desde]],TableDailySummary[Fecha],"&lt;="&amp;TableWeeklySummary[[#This Row],[Hasta]])</f>
        <v>0</v>
      </c>
      <c r="P28" s="11">
        <f>SUMIFS(TableDailySummary[Rappi_net_sales],TableDailySummary[Fecha],"&gt;="&amp;TableWeeklySummary[[#This Row],[Desde]],TableDailySummary[Fecha],"&lt;="&amp;TableWeeklySummary[[#This Row],[Hasta]])</f>
        <v>0</v>
      </c>
      <c r="Q28" s="11">
        <f>SUMIFS(TableDailySummary[Rappi_orders],TableDailySummary[Fecha],"&gt;="&amp;TableWeeklySummary[[#This Row],[Desde]],TableDailySummary[Fecha],"&lt;="&amp;TableWeeklySummary[[#This Row],[Hasta]])</f>
        <v>0</v>
      </c>
      <c r="R2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" s="11">
        <f>SUMIFS(TableDailySummary[Corporativo no tienda_orders],TableDailySummary[Fecha],"&gt;="&amp;TableWeeklySummary[[#This Row],[Desde]],TableDailySummary[Fecha],"&lt;="&amp;TableWeeklySummary[[#This Row],[Hasta]])</f>
        <v>0</v>
      </c>
      <c r="T28" s="11">
        <f>SUMIFS(TableDailySummary[Inversión google ads],TableDailySummary[Fecha],"&gt;="&amp;TableWeeklySummary[[#This Row],[Desde]],TableDailySummary[Fecha],"&lt;="&amp;TableWeeklySummary[[#This Row],[Hasta]])</f>
        <v>0</v>
      </c>
      <c r="U28" s="11">
        <f>SUMIFS(TableDailySummary[Ventas google ads],TableDailySummary[Fecha],"&gt;="&amp;TableWeeklySummary[[#This Row],[Desde]],TableDailySummary[Fecha],"&lt;="&amp;TableWeeklySummary[[#This Row],[Hasta]])</f>
        <v>0</v>
      </c>
      <c r="V28" s="11">
        <f>SUMIFS(TableDailySummary[Inversión meta ads],TableDailySummary[Fecha],"&gt;="&amp;TableWeeklySummary[[#This Row],[Desde]],TableDailySummary[Fecha],"&lt;="&amp;TableWeeklySummary[[#This Row],[Hasta]])</f>
        <v>0</v>
      </c>
      <c r="W28" s="11">
        <f>SUMIFS(TableDailySummary[Ventas meta ads],TableDailySummary[Fecha],"&gt;="&amp;TableWeeklySummary[[#This Row],[Desde]],TableDailySummary[Fecha],"&lt;="&amp;TableWeeklySummary[[#This Row],[Hasta]])</f>
        <v>0</v>
      </c>
      <c r="X28" s="11">
        <f>TableWeeklySummary[[#This Row],[Inversión google ads]]+TableWeeklySummary[[#This Row],[Inversión meta ads]]</f>
        <v>0</v>
      </c>
      <c r="Y28" s="11">
        <f>TableWeeklySummary[[#This Row],[Ventas google ads]]+TableWeeklySummary[[#This Row],[Ventas meta ads]]</f>
        <v>0</v>
      </c>
      <c r="Z28" s="14">
        <f>IFERROR(TableWeeklySummary[[#This Row],[Ventas publicidad]]/TableWeeklySummary[[#This Row],[Inversión publicidad]],0)</f>
        <v>0</v>
      </c>
      <c r="AA28" s="14">
        <f>IFERROR(TableWeeklySummary[[#This Row],[Ventas primer cliente]]/TableWeeklySummary[[#This Row],[Inversión publicidad]],0)</f>
        <v>0</v>
      </c>
      <c r="AB28" s="14"/>
      <c r="AC28" s="11"/>
      <c r="AI2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" s="11">
        <f>SUMIFS(TableDailySummary[Costo de ventas registrado],TableDailySummary[Fecha],"&gt;="&amp;TableWeeklySummary[[#This Row],[Desde]],TableDailySummary[Fecha],"&lt;="&amp;TableWeeklySummary[[#This Row],[Hasta]])</f>
        <v>0</v>
      </c>
      <c r="AK28" s="11">
        <f>SUMIFS(TableDailySummary[Utilidad bruta],TableDailySummary[Fecha],"&gt;="&amp;TableWeeklySummary[[#This Row],[Desde]],TableDailySummary[Fecha],"&lt;="&amp;TableWeeklySummary[[#This Row],[Hasta]])</f>
        <v>0</v>
      </c>
      <c r="AL28" s="18">
        <f>IFERROR(TableWeeklySummary[[#This Row],[Utilidad bruta]]/TableWeeklySummary[[#This Row],[Ventas netas con costo registrado]],0)</f>
        <v>0</v>
      </c>
    </row>
    <row r="29" spans="2:38" x14ac:dyDescent="0.2">
      <c r="B29" s="16">
        <f>_xlfn.ISOWEEKNUM(TableWeeklySummary[[#This Row],[Hasta]])</f>
        <v>18</v>
      </c>
      <c r="C29" s="6">
        <f t="shared" si="0"/>
        <v>44680</v>
      </c>
      <c r="D29" s="6">
        <f>TableWeeklySummary[[#This Row],[Desde]]+7-1</f>
        <v>44686</v>
      </c>
      <c r="E29" s="11">
        <f>SUMIFS(TableDailySummary[Ventas netas totales],TableDailySummary[Fecha],"&gt;="&amp;TableWeeklySummary[[#This Row],[Desde]],TableDailySummary[Fecha],"&lt;="&amp;TableWeeklySummary[[#This Row],[Hasta]])</f>
        <v>0</v>
      </c>
      <c r="F29" s="11">
        <f>SUMIFS(TableDailySummary[Órdenes totales],TableDailySummary[Fecha],"&gt;="&amp;TableWeeklySummary[[#This Row],[Desde]],TableDailySummary[Fecha],"&lt;="&amp;TableWeeklySummary[[#This Row],[Hasta]])</f>
        <v>0</v>
      </c>
      <c r="G29" s="11">
        <f>IFERROR(TableWeeklySummary[[#This Row],[Ventas netas totales]]/TableWeeklySummary[[#This Row],[Órdenes totales]],0)</f>
        <v>0</v>
      </c>
      <c r="H2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" s="11">
        <f>TableWeeklySummary[[#This Row],[Órden promedio totales]]*TableWeeklySummary[[#This Row],[CR totales]]</f>
        <v>0</v>
      </c>
      <c r="J29" s="11">
        <f>SUMIFS(TableDailySummary[Ventas primer cliente],TableDailySummary[Fecha],"&gt;="&amp;TableWeeklySummary[[#This Row],[Desde]],TableDailySummary[Fecha],"&lt;="&amp;TableWeeklySummary[[#This Row],[Hasta]])</f>
        <v>0</v>
      </c>
      <c r="K29" s="11">
        <f>SUMIFS(TableDailySummary[Órdenes primer cliente],TableDailySummary[Fecha],"&gt;="&amp;TableWeeklySummary[[#This Row],[Desde]],TableDailySummary[Fecha],"&lt;="&amp;TableWeeklySummary[[#This Row],[Hasta]])</f>
        <v>0</v>
      </c>
      <c r="L29" s="11">
        <f>SUMIFS(TableDailySummary[Online Store_net_sales],TableDailySummary[Fecha],"&gt;="&amp;TableWeeklySummary[[#This Row],[Desde]],TableDailySummary[Fecha],"&lt;="&amp;TableWeeklySummary[[#This Row],[Hasta]])</f>
        <v>0</v>
      </c>
      <c r="M29" s="11">
        <f>SUMIFS(TableDailySummary[Online Store_orders],TableDailySummary[Fecha],"&gt;="&amp;TableWeeklySummary[[#This Row],[Desde]],TableDailySummary[Fecha],"&lt;="&amp;TableWeeklySummary[[#This Row],[Hasta]])</f>
        <v>0</v>
      </c>
      <c r="N29" s="11">
        <f>SUMIFS(TableDailySummary[Tienda 81_net_sales],TableDailySummary[Fecha],"&gt;="&amp;TableWeeklySummary[[#This Row],[Desde]],TableDailySummary[Fecha],"&lt;="&amp;TableWeeklySummary[[#This Row],[Hasta]])</f>
        <v>0</v>
      </c>
      <c r="O29" s="11">
        <f>SUMIFS(TableDailySummary[Tienda 81_orders],TableDailySummary[Fecha],"&gt;="&amp;TableWeeklySummary[[#This Row],[Desde]],TableDailySummary[Fecha],"&lt;="&amp;TableWeeklySummary[[#This Row],[Hasta]])</f>
        <v>0</v>
      </c>
      <c r="P29" s="11">
        <f>SUMIFS(TableDailySummary[Rappi_net_sales],TableDailySummary[Fecha],"&gt;="&amp;TableWeeklySummary[[#This Row],[Desde]],TableDailySummary[Fecha],"&lt;="&amp;TableWeeklySummary[[#This Row],[Hasta]])</f>
        <v>0</v>
      </c>
      <c r="Q29" s="11">
        <f>SUMIFS(TableDailySummary[Rappi_orders],TableDailySummary[Fecha],"&gt;="&amp;TableWeeklySummary[[#This Row],[Desde]],TableDailySummary[Fecha],"&lt;="&amp;TableWeeklySummary[[#This Row],[Hasta]])</f>
        <v>0</v>
      </c>
      <c r="R2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" s="11">
        <f>SUMIFS(TableDailySummary[Corporativo no tienda_orders],TableDailySummary[Fecha],"&gt;="&amp;TableWeeklySummary[[#This Row],[Desde]],TableDailySummary[Fecha],"&lt;="&amp;TableWeeklySummary[[#This Row],[Hasta]])</f>
        <v>0</v>
      </c>
      <c r="T29" s="11">
        <f>SUMIFS(TableDailySummary[Inversión google ads],TableDailySummary[Fecha],"&gt;="&amp;TableWeeklySummary[[#This Row],[Desde]],TableDailySummary[Fecha],"&lt;="&amp;TableWeeklySummary[[#This Row],[Hasta]])</f>
        <v>0</v>
      </c>
      <c r="U29" s="11">
        <f>SUMIFS(TableDailySummary[Ventas google ads],TableDailySummary[Fecha],"&gt;="&amp;TableWeeklySummary[[#This Row],[Desde]],TableDailySummary[Fecha],"&lt;="&amp;TableWeeklySummary[[#This Row],[Hasta]])</f>
        <v>0</v>
      </c>
      <c r="V29" s="11">
        <f>SUMIFS(TableDailySummary[Inversión meta ads],TableDailySummary[Fecha],"&gt;="&amp;TableWeeklySummary[[#This Row],[Desde]],TableDailySummary[Fecha],"&lt;="&amp;TableWeeklySummary[[#This Row],[Hasta]])</f>
        <v>0</v>
      </c>
      <c r="W29" s="11">
        <f>SUMIFS(TableDailySummary[Ventas meta ads],TableDailySummary[Fecha],"&gt;="&amp;TableWeeklySummary[[#This Row],[Desde]],TableDailySummary[Fecha],"&lt;="&amp;TableWeeklySummary[[#This Row],[Hasta]])</f>
        <v>0</v>
      </c>
      <c r="X29" s="11">
        <f>TableWeeklySummary[[#This Row],[Inversión google ads]]+TableWeeklySummary[[#This Row],[Inversión meta ads]]</f>
        <v>0</v>
      </c>
      <c r="Y29" s="11">
        <f>TableWeeklySummary[[#This Row],[Ventas google ads]]+TableWeeklySummary[[#This Row],[Ventas meta ads]]</f>
        <v>0</v>
      </c>
      <c r="Z29" s="14">
        <f>IFERROR(TableWeeklySummary[[#This Row],[Ventas publicidad]]/TableWeeklySummary[[#This Row],[Inversión publicidad]],0)</f>
        <v>0</v>
      </c>
      <c r="AA29" s="14">
        <f>IFERROR(TableWeeklySummary[[#This Row],[Ventas primer cliente]]/TableWeeklySummary[[#This Row],[Inversión publicidad]],0)</f>
        <v>0</v>
      </c>
      <c r="AB29" s="14"/>
      <c r="AC29" s="11"/>
      <c r="AI2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" s="11">
        <f>SUMIFS(TableDailySummary[Costo de ventas registrado],TableDailySummary[Fecha],"&gt;="&amp;TableWeeklySummary[[#This Row],[Desde]],TableDailySummary[Fecha],"&lt;="&amp;TableWeeklySummary[[#This Row],[Hasta]])</f>
        <v>0</v>
      </c>
      <c r="AK29" s="11">
        <f>SUMIFS(TableDailySummary[Utilidad bruta],TableDailySummary[Fecha],"&gt;="&amp;TableWeeklySummary[[#This Row],[Desde]],TableDailySummary[Fecha],"&lt;="&amp;TableWeeklySummary[[#This Row],[Hasta]])</f>
        <v>0</v>
      </c>
      <c r="AL29" s="18">
        <f>IFERROR(TableWeeklySummary[[#This Row],[Utilidad bruta]]/TableWeeklySummary[[#This Row],[Ventas netas con costo registrado]],0)</f>
        <v>0</v>
      </c>
    </row>
    <row r="30" spans="2:38" x14ac:dyDescent="0.2">
      <c r="B30" s="16">
        <f>_xlfn.ISOWEEKNUM(TableWeeklySummary[[#This Row],[Hasta]])</f>
        <v>19</v>
      </c>
      <c r="C30" s="6">
        <f t="shared" si="0"/>
        <v>44687</v>
      </c>
      <c r="D30" s="6">
        <f>TableWeeklySummary[[#This Row],[Desde]]+7-1</f>
        <v>44693</v>
      </c>
      <c r="E30" s="11">
        <f>SUMIFS(TableDailySummary[Ventas netas totales],TableDailySummary[Fecha],"&gt;="&amp;TableWeeklySummary[[#This Row],[Desde]],TableDailySummary[Fecha],"&lt;="&amp;TableWeeklySummary[[#This Row],[Hasta]])</f>
        <v>0</v>
      </c>
      <c r="F30" s="11">
        <f>SUMIFS(TableDailySummary[Órdenes totales],TableDailySummary[Fecha],"&gt;="&amp;TableWeeklySummary[[#This Row],[Desde]],TableDailySummary[Fecha],"&lt;="&amp;TableWeeklySummary[[#This Row],[Hasta]])</f>
        <v>0</v>
      </c>
      <c r="G30" s="11">
        <f>IFERROR(TableWeeklySummary[[#This Row],[Ventas netas totales]]/TableWeeklySummary[[#This Row],[Órdenes totales]],0)</f>
        <v>0</v>
      </c>
      <c r="H3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" s="11">
        <f>TableWeeklySummary[[#This Row],[Órden promedio totales]]*TableWeeklySummary[[#This Row],[CR totales]]</f>
        <v>0</v>
      </c>
      <c r="J30" s="11">
        <f>SUMIFS(TableDailySummary[Ventas primer cliente],TableDailySummary[Fecha],"&gt;="&amp;TableWeeklySummary[[#This Row],[Desde]],TableDailySummary[Fecha],"&lt;="&amp;TableWeeklySummary[[#This Row],[Hasta]])</f>
        <v>0</v>
      </c>
      <c r="K30" s="11">
        <f>SUMIFS(TableDailySummary[Órdenes primer cliente],TableDailySummary[Fecha],"&gt;="&amp;TableWeeklySummary[[#This Row],[Desde]],TableDailySummary[Fecha],"&lt;="&amp;TableWeeklySummary[[#This Row],[Hasta]])</f>
        <v>0</v>
      </c>
      <c r="L30" s="11">
        <f>SUMIFS(TableDailySummary[Online Store_net_sales],TableDailySummary[Fecha],"&gt;="&amp;TableWeeklySummary[[#This Row],[Desde]],TableDailySummary[Fecha],"&lt;="&amp;TableWeeklySummary[[#This Row],[Hasta]])</f>
        <v>0</v>
      </c>
      <c r="M30" s="11">
        <f>SUMIFS(TableDailySummary[Online Store_orders],TableDailySummary[Fecha],"&gt;="&amp;TableWeeklySummary[[#This Row],[Desde]],TableDailySummary[Fecha],"&lt;="&amp;TableWeeklySummary[[#This Row],[Hasta]])</f>
        <v>0</v>
      </c>
      <c r="N30" s="11">
        <f>SUMIFS(TableDailySummary[Tienda 81_net_sales],TableDailySummary[Fecha],"&gt;="&amp;TableWeeklySummary[[#This Row],[Desde]],TableDailySummary[Fecha],"&lt;="&amp;TableWeeklySummary[[#This Row],[Hasta]])</f>
        <v>0</v>
      </c>
      <c r="O30" s="11">
        <f>SUMIFS(TableDailySummary[Tienda 81_orders],TableDailySummary[Fecha],"&gt;="&amp;TableWeeklySummary[[#This Row],[Desde]],TableDailySummary[Fecha],"&lt;="&amp;TableWeeklySummary[[#This Row],[Hasta]])</f>
        <v>0</v>
      </c>
      <c r="P30" s="11">
        <f>SUMIFS(TableDailySummary[Rappi_net_sales],TableDailySummary[Fecha],"&gt;="&amp;TableWeeklySummary[[#This Row],[Desde]],TableDailySummary[Fecha],"&lt;="&amp;TableWeeklySummary[[#This Row],[Hasta]])</f>
        <v>0</v>
      </c>
      <c r="Q30" s="11">
        <f>SUMIFS(TableDailySummary[Rappi_orders],TableDailySummary[Fecha],"&gt;="&amp;TableWeeklySummary[[#This Row],[Desde]],TableDailySummary[Fecha],"&lt;="&amp;TableWeeklySummary[[#This Row],[Hasta]])</f>
        <v>0</v>
      </c>
      <c r="R3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" s="11">
        <f>SUMIFS(TableDailySummary[Corporativo no tienda_orders],TableDailySummary[Fecha],"&gt;="&amp;TableWeeklySummary[[#This Row],[Desde]],TableDailySummary[Fecha],"&lt;="&amp;TableWeeklySummary[[#This Row],[Hasta]])</f>
        <v>0</v>
      </c>
      <c r="T30" s="11">
        <f>SUMIFS(TableDailySummary[Inversión google ads],TableDailySummary[Fecha],"&gt;="&amp;TableWeeklySummary[[#This Row],[Desde]],TableDailySummary[Fecha],"&lt;="&amp;TableWeeklySummary[[#This Row],[Hasta]])</f>
        <v>0</v>
      </c>
      <c r="U30" s="11">
        <f>SUMIFS(TableDailySummary[Ventas google ads],TableDailySummary[Fecha],"&gt;="&amp;TableWeeklySummary[[#This Row],[Desde]],TableDailySummary[Fecha],"&lt;="&amp;TableWeeklySummary[[#This Row],[Hasta]])</f>
        <v>0</v>
      </c>
      <c r="V30" s="11">
        <f>SUMIFS(TableDailySummary[Inversión meta ads],TableDailySummary[Fecha],"&gt;="&amp;TableWeeklySummary[[#This Row],[Desde]],TableDailySummary[Fecha],"&lt;="&amp;TableWeeklySummary[[#This Row],[Hasta]])</f>
        <v>0</v>
      </c>
      <c r="W30" s="11">
        <f>SUMIFS(TableDailySummary[Ventas meta ads],TableDailySummary[Fecha],"&gt;="&amp;TableWeeklySummary[[#This Row],[Desde]],TableDailySummary[Fecha],"&lt;="&amp;TableWeeklySummary[[#This Row],[Hasta]])</f>
        <v>0</v>
      </c>
      <c r="X30" s="11">
        <f>TableWeeklySummary[[#This Row],[Inversión google ads]]+TableWeeklySummary[[#This Row],[Inversión meta ads]]</f>
        <v>0</v>
      </c>
      <c r="Y30" s="11">
        <f>TableWeeklySummary[[#This Row],[Ventas google ads]]+TableWeeklySummary[[#This Row],[Ventas meta ads]]</f>
        <v>0</v>
      </c>
      <c r="Z30" s="14">
        <f>IFERROR(TableWeeklySummary[[#This Row],[Ventas publicidad]]/TableWeeklySummary[[#This Row],[Inversión publicidad]],0)</f>
        <v>0</v>
      </c>
      <c r="AA30" s="14">
        <f>IFERROR(TableWeeklySummary[[#This Row],[Ventas primer cliente]]/TableWeeklySummary[[#This Row],[Inversión publicidad]],0)</f>
        <v>0</v>
      </c>
      <c r="AB30" s="14"/>
      <c r="AC30" s="11"/>
      <c r="AI3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" s="11">
        <f>SUMIFS(TableDailySummary[Costo de ventas registrado],TableDailySummary[Fecha],"&gt;="&amp;TableWeeklySummary[[#This Row],[Desde]],TableDailySummary[Fecha],"&lt;="&amp;TableWeeklySummary[[#This Row],[Hasta]])</f>
        <v>0</v>
      </c>
      <c r="AK30" s="11">
        <f>SUMIFS(TableDailySummary[Utilidad bruta],TableDailySummary[Fecha],"&gt;="&amp;TableWeeklySummary[[#This Row],[Desde]],TableDailySummary[Fecha],"&lt;="&amp;TableWeeklySummary[[#This Row],[Hasta]])</f>
        <v>0</v>
      </c>
      <c r="AL30" s="18">
        <f>IFERROR(TableWeeklySummary[[#This Row],[Utilidad bruta]]/TableWeeklySummary[[#This Row],[Ventas netas con costo registrado]],0)</f>
        <v>0</v>
      </c>
    </row>
    <row r="31" spans="2:38" x14ac:dyDescent="0.2">
      <c r="B31" s="16">
        <f>_xlfn.ISOWEEKNUM(TableWeeklySummary[[#This Row],[Hasta]])</f>
        <v>20</v>
      </c>
      <c r="C31" s="6">
        <f t="shared" si="0"/>
        <v>44694</v>
      </c>
      <c r="D31" s="6">
        <f>TableWeeklySummary[[#This Row],[Desde]]+7-1</f>
        <v>44700</v>
      </c>
      <c r="E31" s="11">
        <f>SUMIFS(TableDailySummary[Ventas netas totales],TableDailySummary[Fecha],"&gt;="&amp;TableWeeklySummary[[#This Row],[Desde]],TableDailySummary[Fecha],"&lt;="&amp;TableWeeklySummary[[#This Row],[Hasta]])</f>
        <v>0</v>
      </c>
      <c r="F31" s="11">
        <f>SUMIFS(TableDailySummary[Órdenes totales],TableDailySummary[Fecha],"&gt;="&amp;TableWeeklySummary[[#This Row],[Desde]],TableDailySummary[Fecha],"&lt;="&amp;TableWeeklySummary[[#This Row],[Hasta]])</f>
        <v>0</v>
      </c>
      <c r="G31" s="11">
        <f>IFERROR(TableWeeklySummary[[#This Row],[Ventas netas totales]]/TableWeeklySummary[[#This Row],[Órdenes totales]],0)</f>
        <v>0</v>
      </c>
      <c r="H3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" s="11">
        <f>TableWeeklySummary[[#This Row],[Órden promedio totales]]*TableWeeklySummary[[#This Row],[CR totales]]</f>
        <v>0</v>
      </c>
      <c r="J31" s="11">
        <f>SUMIFS(TableDailySummary[Ventas primer cliente],TableDailySummary[Fecha],"&gt;="&amp;TableWeeklySummary[[#This Row],[Desde]],TableDailySummary[Fecha],"&lt;="&amp;TableWeeklySummary[[#This Row],[Hasta]])</f>
        <v>0</v>
      </c>
      <c r="K31" s="11">
        <f>SUMIFS(TableDailySummary[Órdenes primer cliente],TableDailySummary[Fecha],"&gt;="&amp;TableWeeklySummary[[#This Row],[Desde]],TableDailySummary[Fecha],"&lt;="&amp;TableWeeklySummary[[#This Row],[Hasta]])</f>
        <v>0</v>
      </c>
      <c r="L31" s="11">
        <f>SUMIFS(TableDailySummary[Online Store_net_sales],TableDailySummary[Fecha],"&gt;="&amp;TableWeeklySummary[[#This Row],[Desde]],TableDailySummary[Fecha],"&lt;="&amp;TableWeeklySummary[[#This Row],[Hasta]])</f>
        <v>0</v>
      </c>
      <c r="M31" s="11">
        <f>SUMIFS(TableDailySummary[Online Store_orders],TableDailySummary[Fecha],"&gt;="&amp;TableWeeklySummary[[#This Row],[Desde]],TableDailySummary[Fecha],"&lt;="&amp;TableWeeklySummary[[#This Row],[Hasta]])</f>
        <v>0</v>
      </c>
      <c r="N31" s="11">
        <f>SUMIFS(TableDailySummary[Tienda 81_net_sales],TableDailySummary[Fecha],"&gt;="&amp;TableWeeklySummary[[#This Row],[Desde]],TableDailySummary[Fecha],"&lt;="&amp;TableWeeklySummary[[#This Row],[Hasta]])</f>
        <v>0</v>
      </c>
      <c r="O31" s="11">
        <f>SUMIFS(TableDailySummary[Tienda 81_orders],TableDailySummary[Fecha],"&gt;="&amp;TableWeeklySummary[[#This Row],[Desde]],TableDailySummary[Fecha],"&lt;="&amp;TableWeeklySummary[[#This Row],[Hasta]])</f>
        <v>0</v>
      </c>
      <c r="P31" s="11">
        <f>SUMIFS(TableDailySummary[Rappi_net_sales],TableDailySummary[Fecha],"&gt;="&amp;TableWeeklySummary[[#This Row],[Desde]],TableDailySummary[Fecha],"&lt;="&amp;TableWeeklySummary[[#This Row],[Hasta]])</f>
        <v>0</v>
      </c>
      <c r="Q31" s="11">
        <f>SUMIFS(TableDailySummary[Rappi_orders],TableDailySummary[Fecha],"&gt;="&amp;TableWeeklySummary[[#This Row],[Desde]],TableDailySummary[Fecha],"&lt;="&amp;TableWeeklySummary[[#This Row],[Hasta]])</f>
        <v>0</v>
      </c>
      <c r="R3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" s="11">
        <f>SUMIFS(TableDailySummary[Corporativo no tienda_orders],TableDailySummary[Fecha],"&gt;="&amp;TableWeeklySummary[[#This Row],[Desde]],TableDailySummary[Fecha],"&lt;="&amp;TableWeeklySummary[[#This Row],[Hasta]])</f>
        <v>0</v>
      </c>
      <c r="T31" s="11">
        <f>SUMIFS(TableDailySummary[Inversión google ads],TableDailySummary[Fecha],"&gt;="&amp;TableWeeklySummary[[#This Row],[Desde]],TableDailySummary[Fecha],"&lt;="&amp;TableWeeklySummary[[#This Row],[Hasta]])</f>
        <v>0</v>
      </c>
      <c r="U31" s="11">
        <f>SUMIFS(TableDailySummary[Ventas google ads],TableDailySummary[Fecha],"&gt;="&amp;TableWeeklySummary[[#This Row],[Desde]],TableDailySummary[Fecha],"&lt;="&amp;TableWeeklySummary[[#This Row],[Hasta]])</f>
        <v>0</v>
      </c>
      <c r="V31" s="11">
        <f>SUMIFS(TableDailySummary[Inversión meta ads],TableDailySummary[Fecha],"&gt;="&amp;TableWeeklySummary[[#This Row],[Desde]],TableDailySummary[Fecha],"&lt;="&amp;TableWeeklySummary[[#This Row],[Hasta]])</f>
        <v>0</v>
      </c>
      <c r="W31" s="11">
        <f>SUMIFS(TableDailySummary[Ventas meta ads],TableDailySummary[Fecha],"&gt;="&amp;TableWeeklySummary[[#This Row],[Desde]],TableDailySummary[Fecha],"&lt;="&amp;TableWeeklySummary[[#This Row],[Hasta]])</f>
        <v>0</v>
      </c>
      <c r="X31" s="11">
        <f>TableWeeklySummary[[#This Row],[Inversión google ads]]+TableWeeklySummary[[#This Row],[Inversión meta ads]]</f>
        <v>0</v>
      </c>
      <c r="Y31" s="11">
        <f>TableWeeklySummary[[#This Row],[Ventas google ads]]+TableWeeklySummary[[#This Row],[Ventas meta ads]]</f>
        <v>0</v>
      </c>
      <c r="Z31" s="14">
        <f>IFERROR(TableWeeklySummary[[#This Row],[Ventas publicidad]]/TableWeeklySummary[[#This Row],[Inversión publicidad]],0)</f>
        <v>0</v>
      </c>
      <c r="AA31" s="14">
        <f>IFERROR(TableWeeklySummary[[#This Row],[Ventas primer cliente]]/TableWeeklySummary[[#This Row],[Inversión publicidad]],0)</f>
        <v>0</v>
      </c>
      <c r="AB31" s="14"/>
      <c r="AC31" s="11"/>
      <c r="AI3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" s="11">
        <f>SUMIFS(TableDailySummary[Costo de ventas registrado],TableDailySummary[Fecha],"&gt;="&amp;TableWeeklySummary[[#This Row],[Desde]],TableDailySummary[Fecha],"&lt;="&amp;TableWeeklySummary[[#This Row],[Hasta]])</f>
        <v>0</v>
      </c>
      <c r="AK31" s="11">
        <f>SUMIFS(TableDailySummary[Utilidad bruta],TableDailySummary[Fecha],"&gt;="&amp;TableWeeklySummary[[#This Row],[Desde]],TableDailySummary[Fecha],"&lt;="&amp;TableWeeklySummary[[#This Row],[Hasta]])</f>
        <v>0</v>
      </c>
      <c r="AL31" s="18">
        <f>IFERROR(TableWeeklySummary[[#This Row],[Utilidad bruta]]/TableWeeklySummary[[#This Row],[Ventas netas con costo registrado]],0)</f>
        <v>0</v>
      </c>
    </row>
    <row r="32" spans="2:38" x14ac:dyDescent="0.2">
      <c r="B32" s="16">
        <f>_xlfn.ISOWEEKNUM(TableWeeklySummary[[#This Row],[Hasta]])</f>
        <v>21</v>
      </c>
      <c r="C32" s="6">
        <f t="shared" si="0"/>
        <v>44701</v>
      </c>
      <c r="D32" s="6">
        <f>TableWeeklySummary[[#This Row],[Desde]]+7-1</f>
        <v>44707</v>
      </c>
      <c r="E32" s="11">
        <f>SUMIFS(TableDailySummary[Ventas netas totales],TableDailySummary[Fecha],"&gt;="&amp;TableWeeklySummary[[#This Row],[Desde]],TableDailySummary[Fecha],"&lt;="&amp;TableWeeklySummary[[#This Row],[Hasta]])</f>
        <v>0</v>
      </c>
      <c r="F32" s="11">
        <f>SUMIFS(TableDailySummary[Órdenes totales],TableDailySummary[Fecha],"&gt;="&amp;TableWeeklySummary[[#This Row],[Desde]],TableDailySummary[Fecha],"&lt;="&amp;TableWeeklySummary[[#This Row],[Hasta]])</f>
        <v>0</v>
      </c>
      <c r="G32" s="11">
        <f>IFERROR(TableWeeklySummary[[#This Row],[Ventas netas totales]]/TableWeeklySummary[[#This Row],[Órdenes totales]],0)</f>
        <v>0</v>
      </c>
      <c r="H3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" s="11">
        <f>TableWeeklySummary[[#This Row],[Órden promedio totales]]*TableWeeklySummary[[#This Row],[CR totales]]</f>
        <v>0</v>
      </c>
      <c r="J32" s="11">
        <f>SUMIFS(TableDailySummary[Ventas primer cliente],TableDailySummary[Fecha],"&gt;="&amp;TableWeeklySummary[[#This Row],[Desde]],TableDailySummary[Fecha],"&lt;="&amp;TableWeeklySummary[[#This Row],[Hasta]])</f>
        <v>0</v>
      </c>
      <c r="K32" s="11">
        <f>SUMIFS(TableDailySummary[Órdenes primer cliente],TableDailySummary[Fecha],"&gt;="&amp;TableWeeklySummary[[#This Row],[Desde]],TableDailySummary[Fecha],"&lt;="&amp;TableWeeklySummary[[#This Row],[Hasta]])</f>
        <v>0</v>
      </c>
      <c r="L32" s="11">
        <f>SUMIFS(TableDailySummary[Online Store_net_sales],TableDailySummary[Fecha],"&gt;="&amp;TableWeeklySummary[[#This Row],[Desde]],TableDailySummary[Fecha],"&lt;="&amp;TableWeeklySummary[[#This Row],[Hasta]])</f>
        <v>0</v>
      </c>
      <c r="M32" s="11">
        <f>SUMIFS(TableDailySummary[Online Store_orders],TableDailySummary[Fecha],"&gt;="&amp;TableWeeklySummary[[#This Row],[Desde]],TableDailySummary[Fecha],"&lt;="&amp;TableWeeklySummary[[#This Row],[Hasta]])</f>
        <v>0</v>
      </c>
      <c r="N32" s="11">
        <f>SUMIFS(TableDailySummary[Tienda 81_net_sales],TableDailySummary[Fecha],"&gt;="&amp;TableWeeklySummary[[#This Row],[Desde]],TableDailySummary[Fecha],"&lt;="&amp;TableWeeklySummary[[#This Row],[Hasta]])</f>
        <v>0</v>
      </c>
      <c r="O32" s="11">
        <f>SUMIFS(TableDailySummary[Tienda 81_orders],TableDailySummary[Fecha],"&gt;="&amp;TableWeeklySummary[[#This Row],[Desde]],TableDailySummary[Fecha],"&lt;="&amp;TableWeeklySummary[[#This Row],[Hasta]])</f>
        <v>0</v>
      </c>
      <c r="P32" s="11">
        <f>SUMIFS(TableDailySummary[Rappi_net_sales],TableDailySummary[Fecha],"&gt;="&amp;TableWeeklySummary[[#This Row],[Desde]],TableDailySummary[Fecha],"&lt;="&amp;TableWeeklySummary[[#This Row],[Hasta]])</f>
        <v>0</v>
      </c>
      <c r="Q32" s="11">
        <f>SUMIFS(TableDailySummary[Rappi_orders],TableDailySummary[Fecha],"&gt;="&amp;TableWeeklySummary[[#This Row],[Desde]],TableDailySummary[Fecha],"&lt;="&amp;TableWeeklySummary[[#This Row],[Hasta]])</f>
        <v>0</v>
      </c>
      <c r="R3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" s="11">
        <f>SUMIFS(TableDailySummary[Corporativo no tienda_orders],TableDailySummary[Fecha],"&gt;="&amp;TableWeeklySummary[[#This Row],[Desde]],TableDailySummary[Fecha],"&lt;="&amp;TableWeeklySummary[[#This Row],[Hasta]])</f>
        <v>0</v>
      </c>
      <c r="T32" s="11">
        <f>SUMIFS(TableDailySummary[Inversión google ads],TableDailySummary[Fecha],"&gt;="&amp;TableWeeklySummary[[#This Row],[Desde]],TableDailySummary[Fecha],"&lt;="&amp;TableWeeklySummary[[#This Row],[Hasta]])</f>
        <v>0</v>
      </c>
      <c r="U32" s="11">
        <f>SUMIFS(TableDailySummary[Ventas google ads],TableDailySummary[Fecha],"&gt;="&amp;TableWeeklySummary[[#This Row],[Desde]],TableDailySummary[Fecha],"&lt;="&amp;TableWeeklySummary[[#This Row],[Hasta]])</f>
        <v>0</v>
      </c>
      <c r="V32" s="11">
        <f>SUMIFS(TableDailySummary[Inversión meta ads],TableDailySummary[Fecha],"&gt;="&amp;TableWeeklySummary[[#This Row],[Desde]],TableDailySummary[Fecha],"&lt;="&amp;TableWeeklySummary[[#This Row],[Hasta]])</f>
        <v>0</v>
      </c>
      <c r="W32" s="11">
        <f>SUMIFS(TableDailySummary[Ventas meta ads],TableDailySummary[Fecha],"&gt;="&amp;TableWeeklySummary[[#This Row],[Desde]],TableDailySummary[Fecha],"&lt;="&amp;TableWeeklySummary[[#This Row],[Hasta]])</f>
        <v>0</v>
      </c>
      <c r="X32" s="11">
        <f>TableWeeklySummary[[#This Row],[Inversión google ads]]+TableWeeklySummary[[#This Row],[Inversión meta ads]]</f>
        <v>0</v>
      </c>
      <c r="Y32" s="11">
        <f>TableWeeklySummary[[#This Row],[Ventas google ads]]+TableWeeklySummary[[#This Row],[Ventas meta ads]]</f>
        <v>0</v>
      </c>
      <c r="Z32" s="14">
        <f>IFERROR(TableWeeklySummary[[#This Row],[Ventas publicidad]]/TableWeeklySummary[[#This Row],[Inversión publicidad]],0)</f>
        <v>0</v>
      </c>
      <c r="AA32" s="14">
        <f>IFERROR(TableWeeklySummary[[#This Row],[Ventas primer cliente]]/TableWeeklySummary[[#This Row],[Inversión publicidad]],0)</f>
        <v>0</v>
      </c>
      <c r="AB32" s="14"/>
      <c r="AC32" s="11"/>
      <c r="AI3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" s="11">
        <f>SUMIFS(TableDailySummary[Costo de ventas registrado],TableDailySummary[Fecha],"&gt;="&amp;TableWeeklySummary[[#This Row],[Desde]],TableDailySummary[Fecha],"&lt;="&amp;TableWeeklySummary[[#This Row],[Hasta]])</f>
        <v>0</v>
      </c>
      <c r="AK32" s="11">
        <f>SUMIFS(TableDailySummary[Utilidad bruta],TableDailySummary[Fecha],"&gt;="&amp;TableWeeklySummary[[#This Row],[Desde]],TableDailySummary[Fecha],"&lt;="&amp;TableWeeklySummary[[#This Row],[Hasta]])</f>
        <v>0</v>
      </c>
      <c r="AL32" s="18">
        <f>IFERROR(TableWeeklySummary[[#This Row],[Utilidad bruta]]/TableWeeklySummary[[#This Row],[Ventas netas con costo registrado]],0)</f>
        <v>0</v>
      </c>
    </row>
    <row r="33" spans="2:38" x14ac:dyDescent="0.2">
      <c r="B33" s="16">
        <f>_xlfn.ISOWEEKNUM(TableWeeklySummary[[#This Row],[Hasta]])</f>
        <v>22</v>
      </c>
      <c r="C33" s="6">
        <f t="shared" si="0"/>
        <v>44708</v>
      </c>
      <c r="D33" s="6">
        <f>TableWeeklySummary[[#This Row],[Desde]]+7-1</f>
        <v>44714</v>
      </c>
      <c r="E33" s="11">
        <f>SUMIFS(TableDailySummary[Ventas netas totales],TableDailySummary[Fecha],"&gt;="&amp;TableWeeklySummary[[#This Row],[Desde]],TableDailySummary[Fecha],"&lt;="&amp;TableWeeklySummary[[#This Row],[Hasta]])</f>
        <v>0</v>
      </c>
      <c r="F33" s="11">
        <f>SUMIFS(TableDailySummary[Órdenes totales],TableDailySummary[Fecha],"&gt;="&amp;TableWeeklySummary[[#This Row],[Desde]],TableDailySummary[Fecha],"&lt;="&amp;TableWeeklySummary[[#This Row],[Hasta]])</f>
        <v>0</v>
      </c>
      <c r="G33" s="11">
        <f>IFERROR(TableWeeklySummary[[#This Row],[Ventas netas totales]]/TableWeeklySummary[[#This Row],[Órdenes totales]],0)</f>
        <v>0</v>
      </c>
      <c r="H3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" s="11">
        <f>TableWeeklySummary[[#This Row],[Órden promedio totales]]*TableWeeklySummary[[#This Row],[CR totales]]</f>
        <v>0</v>
      </c>
      <c r="J33" s="11">
        <f>SUMIFS(TableDailySummary[Ventas primer cliente],TableDailySummary[Fecha],"&gt;="&amp;TableWeeklySummary[[#This Row],[Desde]],TableDailySummary[Fecha],"&lt;="&amp;TableWeeklySummary[[#This Row],[Hasta]])</f>
        <v>0</v>
      </c>
      <c r="K33" s="11">
        <f>SUMIFS(TableDailySummary[Órdenes primer cliente],TableDailySummary[Fecha],"&gt;="&amp;TableWeeklySummary[[#This Row],[Desde]],TableDailySummary[Fecha],"&lt;="&amp;TableWeeklySummary[[#This Row],[Hasta]])</f>
        <v>0</v>
      </c>
      <c r="L33" s="11">
        <f>SUMIFS(TableDailySummary[Online Store_net_sales],TableDailySummary[Fecha],"&gt;="&amp;TableWeeklySummary[[#This Row],[Desde]],TableDailySummary[Fecha],"&lt;="&amp;TableWeeklySummary[[#This Row],[Hasta]])</f>
        <v>0</v>
      </c>
      <c r="M33" s="11">
        <f>SUMIFS(TableDailySummary[Online Store_orders],TableDailySummary[Fecha],"&gt;="&amp;TableWeeklySummary[[#This Row],[Desde]],TableDailySummary[Fecha],"&lt;="&amp;TableWeeklySummary[[#This Row],[Hasta]])</f>
        <v>0</v>
      </c>
      <c r="N33" s="11">
        <f>SUMIFS(TableDailySummary[Tienda 81_net_sales],TableDailySummary[Fecha],"&gt;="&amp;TableWeeklySummary[[#This Row],[Desde]],TableDailySummary[Fecha],"&lt;="&amp;TableWeeklySummary[[#This Row],[Hasta]])</f>
        <v>0</v>
      </c>
      <c r="O33" s="11">
        <f>SUMIFS(TableDailySummary[Tienda 81_orders],TableDailySummary[Fecha],"&gt;="&amp;TableWeeklySummary[[#This Row],[Desde]],TableDailySummary[Fecha],"&lt;="&amp;TableWeeklySummary[[#This Row],[Hasta]])</f>
        <v>0</v>
      </c>
      <c r="P33" s="11">
        <f>SUMIFS(TableDailySummary[Rappi_net_sales],TableDailySummary[Fecha],"&gt;="&amp;TableWeeklySummary[[#This Row],[Desde]],TableDailySummary[Fecha],"&lt;="&amp;TableWeeklySummary[[#This Row],[Hasta]])</f>
        <v>0</v>
      </c>
      <c r="Q33" s="11">
        <f>SUMIFS(TableDailySummary[Rappi_orders],TableDailySummary[Fecha],"&gt;="&amp;TableWeeklySummary[[#This Row],[Desde]],TableDailySummary[Fecha],"&lt;="&amp;TableWeeklySummary[[#This Row],[Hasta]])</f>
        <v>0</v>
      </c>
      <c r="R3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" s="11">
        <f>SUMIFS(TableDailySummary[Corporativo no tienda_orders],TableDailySummary[Fecha],"&gt;="&amp;TableWeeklySummary[[#This Row],[Desde]],TableDailySummary[Fecha],"&lt;="&amp;TableWeeklySummary[[#This Row],[Hasta]])</f>
        <v>0</v>
      </c>
      <c r="T33" s="11">
        <f>SUMIFS(TableDailySummary[Inversión google ads],TableDailySummary[Fecha],"&gt;="&amp;TableWeeklySummary[[#This Row],[Desde]],TableDailySummary[Fecha],"&lt;="&amp;TableWeeklySummary[[#This Row],[Hasta]])</f>
        <v>0</v>
      </c>
      <c r="U33" s="11">
        <f>SUMIFS(TableDailySummary[Ventas google ads],TableDailySummary[Fecha],"&gt;="&amp;TableWeeklySummary[[#This Row],[Desde]],TableDailySummary[Fecha],"&lt;="&amp;TableWeeklySummary[[#This Row],[Hasta]])</f>
        <v>0</v>
      </c>
      <c r="V33" s="11">
        <f>SUMIFS(TableDailySummary[Inversión meta ads],TableDailySummary[Fecha],"&gt;="&amp;TableWeeklySummary[[#This Row],[Desde]],TableDailySummary[Fecha],"&lt;="&amp;TableWeeklySummary[[#This Row],[Hasta]])</f>
        <v>0</v>
      </c>
      <c r="W33" s="11">
        <f>SUMIFS(TableDailySummary[Ventas meta ads],TableDailySummary[Fecha],"&gt;="&amp;TableWeeklySummary[[#This Row],[Desde]],TableDailySummary[Fecha],"&lt;="&amp;TableWeeklySummary[[#This Row],[Hasta]])</f>
        <v>0</v>
      </c>
      <c r="X33" s="11">
        <f>TableWeeklySummary[[#This Row],[Inversión google ads]]+TableWeeklySummary[[#This Row],[Inversión meta ads]]</f>
        <v>0</v>
      </c>
      <c r="Y33" s="11">
        <f>TableWeeklySummary[[#This Row],[Ventas google ads]]+TableWeeklySummary[[#This Row],[Ventas meta ads]]</f>
        <v>0</v>
      </c>
      <c r="Z33" s="14">
        <f>IFERROR(TableWeeklySummary[[#This Row],[Ventas publicidad]]/TableWeeklySummary[[#This Row],[Inversión publicidad]],0)</f>
        <v>0</v>
      </c>
      <c r="AA33" s="14">
        <f>IFERROR(TableWeeklySummary[[#This Row],[Ventas primer cliente]]/TableWeeklySummary[[#This Row],[Inversión publicidad]],0)</f>
        <v>0</v>
      </c>
      <c r="AB33" s="14"/>
      <c r="AC33" s="11"/>
      <c r="AI3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" s="11">
        <f>SUMIFS(TableDailySummary[Costo de ventas registrado],TableDailySummary[Fecha],"&gt;="&amp;TableWeeklySummary[[#This Row],[Desde]],TableDailySummary[Fecha],"&lt;="&amp;TableWeeklySummary[[#This Row],[Hasta]])</f>
        <v>0</v>
      </c>
      <c r="AK33" s="11">
        <f>SUMIFS(TableDailySummary[Utilidad bruta],TableDailySummary[Fecha],"&gt;="&amp;TableWeeklySummary[[#This Row],[Desde]],TableDailySummary[Fecha],"&lt;="&amp;TableWeeklySummary[[#This Row],[Hasta]])</f>
        <v>0</v>
      </c>
      <c r="AL33" s="18">
        <f>IFERROR(TableWeeklySummary[[#This Row],[Utilidad bruta]]/TableWeeklySummary[[#This Row],[Ventas netas con costo registrado]],0)</f>
        <v>0</v>
      </c>
    </row>
    <row r="34" spans="2:38" x14ac:dyDescent="0.2">
      <c r="B34" s="16">
        <f>_xlfn.ISOWEEKNUM(TableWeeklySummary[[#This Row],[Hasta]])</f>
        <v>23</v>
      </c>
      <c r="C34" s="6">
        <f t="shared" si="0"/>
        <v>44715</v>
      </c>
      <c r="D34" s="6">
        <f>TableWeeklySummary[[#This Row],[Desde]]+7-1</f>
        <v>44721</v>
      </c>
      <c r="E34" s="11">
        <f>SUMIFS(TableDailySummary[Ventas netas totales],TableDailySummary[Fecha],"&gt;="&amp;TableWeeklySummary[[#This Row],[Desde]],TableDailySummary[Fecha],"&lt;="&amp;TableWeeklySummary[[#This Row],[Hasta]])</f>
        <v>0</v>
      </c>
      <c r="F34" s="11">
        <f>SUMIFS(TableDailySummary[Órdenes totales],TableDailySummary[Fecha],"&gt;="&amp;TableWeeklySummary[[#This Row],[Desde]],TableDailySummary[Fecha],"&lt;="&amp;TableWeeklySummary[[#This Row],[Hasta]])</f>
        <v>0</v>
      </c>
      <c r="G34" s="11">
        <f>IFERROR(TableWeeklySummary[[#This Row],[Ventas netas totales]]/TableWeeklySummary[[#This Row],[Órdenes totales]],0)</f>
        <v>0</v>
      </c>
      <c r="H3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" s="11">
        <f>TableWeeklySummary[[#This Row],[Órden promedio totales]]*TableWeeklySummary[[#This Row],[CR totales]]</f>
        <v>0</v>
      </c>
      <c r="J34" s="11">
        <f>SUMIFS(TableDailySummary[Ventas primer cliente],TableDailySummary[Fecha],"&gt;="&amp;TableWeeklySummary[[#This Row],[Desde]],TableDailySummary[Fecha],"&lt;="&amp;TableWeeklySummary[[#This Row],[Hasta]])</f>
        <v>0</v>
      </c>
      <c r="K34" s="11">
        <f>SUMIFS(TableDailySummary[Órdenes primer cliente],TableDailySummary[Fecha],"&gt;="&amp;TableWeeklySummary[[#This Row],[Desde]],TableDailySummary[Fecha],"&lt;="&amp;TableWeeklySummary[[#This Row],[Hasta]])</f>
        <v>0</v>
      </c>
      <c r="L34" s="11">
        <f>SUMIFS(TableDailySummary[Online Store_net_sales],TableDailySummary[Fecha],"&gt;="&amp;TableWeeklySummary[[#This Row],[Desde]],TableDailySummary[Fecha],"&lt;="&amp;TableWeeklySummary[[#This Row],[Hasta]])</f>
        <v>0</v>
      </c>
      <c r="M34" s="11">
        <f>SUMIFS(TableDailySummary[Online Store_orders],TableDailySummary[Fecha],"&gt;="&amp;TableWeeklySummary[[#This Row],[Desde]],TableDailySummary[Fecha],"&lt;="&amp;TableWeeklySummary[[#This Row],[Hasta]])</f>
        <v>0</v>
      </c>
      <c r="N34" s="11">
        <f>SUMIFS(TableDailySummary[Tienda 81_net_sales],TableDailySummary[Fecha],"&gt;="&amp;TableWeeklySummary[[#This Row],[Desde]],TableDailySummary[Fecha],"&lt;="&amp;TableWeeklySummary[[#This Row],[Hasta]])</f>
        <v>0</v>
      </c>
      <c r="O34" s="11">
        <f>SUMIFS(TableDailySummary[Tienda 81_orders],TableDailySummary[Fecha],"&gt;="&amp;TableWeeklySummary[[#This Row],[Desde]],TableDailySummary[Fecha],"&lt;="&amp;TableWeeklySummary[[#This Row],[Hasta]])</f>
        <v>0</v>
      </c>
      <c r="P34" s="11">
        <f>SUMIFS(TableDailySummary[Rappi_net_sales],TableDailySummary[Fecha],"&gt;="&amp;TableWeeklySummary[[#This Row],[Desde]],TableDailySummary[Fecha],"&lt;="&amp;TableWeeklySummary[[#This Row],[Hasta]])</f>
        <v>0</v>
      </c>
      <c r="Q34" s="11">
        <f>SUMIFS(TableDailySummary[Rappi_orders],TableDailySummary[Fecha],"&gt;="&amp;TableWeeklySummary[[#This Row],[Desde]],TableDailySummary[Fecha],"&lt;="&amp;TableWeeklySummary[[#This Row],[Hasta]])</f>
        <v>0</v>
      </c>
      <c r="R3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" s="11">
        <f>SUMIFS(TableDailySummary[Corporativo no tienda_orders],TableDailySummary[Fecha],"&gt;="&amp;TableWeeklySummary[[#This Row],[Desde]],TableDailySummary[Fecha],"&lt;="&amp;TableWeeklySummary[[#This Row],[Hasta]])</f>
        <v>0</v>
      </c>
      <c r="T34" s="11">
        <f>SUMIFS(TableDailySummary[Inversión google ads],TableDailySummary[Fecha],"&gt;="&amp;TableWeeklySummary[[#This Row],[Desde]],TableDailySummary[Fecha],"&lt;="&amp;TableWeeklySummary[[#This Row],[Hasta]])</f>
        <v>0</v>
      </c>
      <c r="U34" s="11">
        <f>SUMIFS(TableDailySummary[Ventas google ads],TableDailySummary[Fecha],"&gt;="&amp;TableWeeklySummary[[#This Row],[Desde]],TableDailySummary[Fecha],"&lt;="&amp;TableWeeklySummary[[#This Row],[Hasta]])</f>
        <v>0</v>
      </c>
      <c r="V34" s="11">
        <f>SUMIFS(TableDailySummary[Inversión meta ads],TableDailySummary[Fecha],"&gt;="&amp;TableWeeklySummary[[#This Row],[Desde]],TableDailySummary[Fecha],"&lt;="&amp;TableWeeklySummary[[#This Row],[Hasta]])</f>
        <v>0</v>
      </c>
      <c r="W34" s="11">
        <f>SUMIFS(TableDailySummary[Ventas meta ads],TableDailySummary[Fecha],"&gt;="&amp;TableWeeklySummary[[#This Row],[Desde]],TableDailySummary[Fecha],"&lt;="&amp;TableWeeklySummary[[#This Row],[Hasta]])</f>
        <v>0</v>
      </c>
      <c r="X34" s="11">
        <f>TableWeeklySummary[[#This Row],[Inversión google ads]]+TableWeeklySummary[[#This Row],[Inversión meta ads]]</f>
        <v>0</v>
      </c>
      <c r="Y34" s="11">
        <f>TableWeeklySummary[[#This Row],[Ventas google ads]]+TableWeeklySummary[[#This Row],[Ventas meta ads]]</f>
        <v>0</v>
      </c>
      <c r="Z34" s="14">
        <f>IFERROR(TableWeeklySummary[[#This Row],[Ventas publicidad]]/TableWeeklySummary[[#This Row],[Inversión publicidad]],0)</f>
        <v>0</v>
      </c>
      <c r="AA34" s="14">
        <f>IFERROR(TableWeeklySummary[[#This Row],[Ventas primer cliente]]/TableWeeklySummary[[#This Row],[Inversión publicidad]],0)</f>
        <v>0</v>
      </c>
      <c r="AB34" s="14"/>
      <c r="AC34" s="11"/>
      <c r="AI3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" s="11">
        <f>SUMIFS(TableDailySummary[Costo de ventas registrado],TableDailySummary[Fecha],"&gt;="&amp;TableWeeklySummary[[#This Row],[Desde]],TableDailySummary[Fecha],"&lt;="&amp;TableWeeklySummary[[#This Row],[Hasta]])</f>
        <v>0</v>
      </c>
      <c r="AK34" s="11">
        <f>SUMIFS(TableDailySummary[Utilidad bruta],TableDailySummary[Fecha],"&gt;="&amp;TableWeeklySummary[[#This Row],[Desde]],TableDailySummary[Fecha],"&lt;="&amp;TableWeeklySummary[[#This Row],[Hasta]])</f>
        <v>0</v>
      </c>
      <c r="AL34" s="18">
        <f>IFERROR(TableWeeklySummary[[#This Row],[Utilidad bruta]]/TableWeeklySummary[[#This Row],[Ventas netas con costo registrado]],0)</f>
        <v>0</v>
      </c>
    </row>
    <row r="35" spans="2:38" x14ac:dyDescent="0.2">
      <c r="B35" s="16">
        <f>_xlfn.ISOWEEKNUM(TableWeeklySummary[[#This Row],[Hasta]])</f>
        <v>24</v>
      </c>
      <c r="C35" s="6">
        <f t="shared" si="0"/>
        <v>44722</v>
      </c>
      <c r="D35" s="6">
        <f>TableWeeklySummary[[#This Row],[Desde]]+7-1</f>
        <v>44728</v>
      </c>
      <c r="E35" s="11">
        <f>SUMIFS(TableDailySummary[Ventas netas totales],TableDailySummary[Fecha],"&gt;="&amp;TableWeeklySummary[[#This Row],[Desde]],TableDailySummary[Fecha],"&lt;="&amp;TableWeeklySummary[[#This Row],[Hasta]])</f>
        <v>0</v>
      </c>
      <c r="F35" s="11">
        <f>SUMIFS(TableDailySummary[Órdenes totales],TableDailySummary[Fecha],"&gt;="&amp;TableWeeklySummary[[#This Row],[Desde]],TableDailySummary[Fecha],"&lt;="&amp;TableWeeklySummary[[#This Row],[Hasta]])</f>
        <v>0</v>
      </c>
      <c r="G35" s="11">
        <f>IFERROR(TableWeeklySummary[[#This Row],[Ventas netas totales]]/TableWeeklySummary[[#This Row],[Órdenes totales]],0)</f>
        <v>0</v>
      </c>
      <c r="H3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" s="11">
        <f>TableWeeklySummary[[#This Row],[Órden promedio totales]]*TableWeeklySummary[[#This Row],[CR totales]]</f>
        <v>0</v>
      </c>
      <c r="J35" s="11">
        <f>SUMIFS(TableDailySummary[Ventas primer cliente],TableDailySummary[Fecha],"&gt;="&amp;TableWeeklySummary[[#This Row],[Desde]],TableDailySummary[Fecha],"&lt;="&amp;TableWeeklySummary[[#This Row],[Hasta]])</f>
        <v>0</v>
      </c>
      <c r="K35" s="11">
        <f>SUMIFS(TableDailySummary[Órdenes primer cliente],TableDailySummary[Fecha],"&gt;="&amp;TableWeeklySummary[[#This Row],[Desde]],TableDailySummary[Fecha],"&lt;="&amp;TableWeeklySummary[[#This Row],[Hasta]])</f>
        <v>0</v>
      </c>
      <c r="L35" s="11">
        <f>SUMIFS(TableDailySummary[Online Store_net_sales],TableDailySummary[Fecha],"&gt;="&amp;TableWeeklySummary[[#This Row],[Desde]],TableDailySummary[Fecha],"&lt;="&amp;TableWeeklySummary[[#This Row],[Hasta]])</f>
        <v>0</v>
      </c>
      <c r="M35" s="11">
        <f>SUMIFS(TableDailySummary[Online Store_orders],TableDailySummary[Fecha],"&gt;="&amp;TableWeeklySummary[[#This Row],[Desde]],TableDailySummary[Fecha],"&lt;="&amp;TableWeeklySummary[[#This Row],[Hasta]])</f>
        <v>0</v>
      </c>
      <c r="N35" s="11">
        <f>SUMIFS(TableDailySummary[Tienda 81_net_sales],TableDailySummary[Fecha],"&gt;="&amp;TableWeeklySummary[[#This Row],[Desde]],TableDailySummary[Fecha],"&lt;="&amp;TableWeeklySummary[[#This Row],[Hasta]])</f>
        <v>0</v>
      </c>
      <c r="O35" s="11">
        <f>SUMIFS(TableDailySummary[Tienda 81_orders],TableDailySummary[Fecha],"&gt;="&amp;TableWeeklySummary[[#This Row],[Desde]],TableDailySummary[Fecha],"&lt;="&amp;TableWeeklySummary[[#This Row],[Hasta]])</f>
        <v>0</v>
      </c>
      <c r="P35" s="11">
        <f>SUMIFS(TableDailySummary[Rappi_net_sales],TableDailySummary[Fecha],"&gt;="&amp;TableWeeklySummary[[#This Row],[Desde]],TableDailySummary[Fecha],"&lt;="&amp;TableWeeklySummary[[#This Row],[Hasta]])</f>
        <v>0</v>
      </c>
      <c r="Q35" s="11">
        <f>SUMIFS(TableDailySummary[Rappi_orders],TableDailySummary[Fecha],"&gt;="&amp;TableWeeklySummary[[#This Row],[Desde]],TableDailySummary[Fecha],"&lt;="&amp;TableWeeklySummary[[#This Row],[Hasta]])</f>
        <v>0</v>
      </c>
      <c r="R3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" s="11">
        <f>SUMIFS(TableDailySummary[Corporativo no tienda_orders],TableDailySummary[Fecha],"&gt;="&amp;TableWeeklySummary[[#This Row],[Desde]],TableDailySummary[Fecha],"&lt;="&amp;TableWeeklySummary[[#This Row],[Hasta]])</f>
        <v>0</v>
      </c>
      <c r="T35" s="11">
        <f>SUMIFS(TableDailySummary[Inversión google ads],TableDailySummary[Fecha],"&gt;="&amp;TableWeeklySummary[[#This Row],[Desde]],TableDailySummary[Fecha],"&lt;="&amp;TableWeeklySummary[[#This Row],[Hasta]])</f>
        <v>0</v>
      </c>
      <c r="U35" s="11">
        <f>SUMIFS(TableDailySummary[Ventas google ads],TableDailySummary[Fecha],"&gt;="&amp;TableWeeklySummary[[#This Row],[Desde]],TableDailySummary[Fecha],"&lt;="&amp;TableWeeklySummary[[#This Row],[Hasta]])</f>
        <v>0</v>
      </c>
      <c r="V35" s="11">
        <f>SUMIFS(TableDailySummary[Inversión meta ads],TableDailySummary[Fecha],"&gt;="&amp;TableWeeklySummary[[#This Row],[Desde]],TableDailySummary[Fecha],"&lt;="&amp;TableWeeklySummary[[#This Row],[Hasta]])</f>
        <v>0</v>
      </c>
      <c r="W35" s="11">
        <f>SUMIFS(TableDailySummary[Ventas meta ads],TableDailySummary[Fecha],"&gt;="&amp;TableWeeklySummary[[#This Row],[Desde]],TableDailySummary[Fecha],"&lt;="&amp;TableWeeklySummary[[#This Row],[Hasta]])</f>
        <v>0</v>
      </c>
      <c r="X35" s="11">
        <f>TableWeeklySummary[[#This Row],[Inversión google ads]]+TableWeeklySummary[[#This Row],[Inversión meta ads]]</f>
        <v>0</v>
      </c>
      <c r="Y35" s="11">
        <f>TableWeeklySummary[[#This Row],[Ventas google ads]]+TableWeeklySummary[[#This Row],[Ventas meta ads]]</f>
        <v>0</v>
      </c>
      <c r="Z35" s="14">
        <f>IFERROR(TableWeeklySummary[[#This Row],[Ventas publicidad]]/TableWeeklySummary[[#This Row],[Inversión publicidad]],0)</f>
        <v>0</v>
      </c>
      <c r="AA35" s="14">
        <f>IFERROR(TableWeeklySummary[[#This Row],[Ventas primer cliente]]/TableWeeklySummary[[#This Row],[Inversión publicidad]],0)</f>
        <v>0</v>
      </c>
      <c r="AB35" s="14"/>
      <c r="AC35" s="11"/>
      <c r="AI3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" s="11">
        <f>SUMIFS(TableDailySummary[Costo de ventas registrado],TableDailySummary[Fecha],"&gt;="&amp;TableWeeklySummary[[#This Row],[Desde]],TableDailySummary[Fecha],"&lt;="&amp;TableWeeklySummary[[#This Row],[Hasta]])</f>
        <v>0</v>
      </c>
      <c r="AK35" s="11">
        <f>SUMIFS(TableDailySummary[Utilidad bruta],TableDailySummary[Fecha],"&gt;="&amp;TableWeeklySummary[[#This Row],[Desde]],TableDailySummary[Fecha],"&lt;="&amp;TableWeeklySummary[[#This Row],[Hasta]])</f>
        <v>0</v>
      </c>
      <c r="AL35" s="18">
        <f>IFERROR(TableWeeklySummary[[#This Row],[Utilidad bruta]]/TableWeeklySummary[[#This Row],[Ventas netas con costo registrado]],0)</f>
        <v>0</v>
      </c>
    </row>
    <row r="36" spans="2:38" x14ac:dyDescent="0.2">
      <c r="B36" s="16">
        <f>_xlfn.ISOWEEKNUM(TableWeeklySummary[[#This Row],[Hasta]])</f>
        <v>25</v>
      </c>
      <c r="C36" s="6">
        <f t="shared" si="0"/>
        <v>44729</v>
      </c>
      <c r="D36" s="6">
        <f>TableWeeklySummary[[#This Row],[Desde]]+7-1</f>
        <v>44735</v>
      </c>
      <c r="E36" s="11">
        <f>SUMIFS(TableDailySummary[Ventas netas totales],TableDailySummary[Fecha],"&gt;="&amp;TableWeeklySummary[[#This Row],[Desde]],TableDailySummary[Fecha],"&lt;="&amp;TableWeeklySummary[[#This Row],[Hasta]])</f>
        <v>0</v>
      </c>
      <c r="F36" s="11">
        <f>SUMIFS(TableDailySummary[Órdenes totales],TableDailySummary[Fecha],"&gt;="&amp;TableWeeklySummary[[#This Row],[Desde]],TableDailySummary[Fecha],"&lt;="&amp;TableWeeklySummary[[#This Row],[Hasta]])</f>
        <v>0</v>
      </c>
      <c r="G36" s="11">
        <f>IFERROR(TableWeeklySummary[[#This Row],[Ventas netas totales]]/TableWeeklySummary[[#This Row],[Órdenes totales]],0)</f>
        <v>0</v>
      </c>
      <c r="H3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" s="11">
        <f>TableWeeklySummary[[#This Row],[Órden promedio totales]]*TableWeeklySummary[[#This Row],[CR totales]]</f>
        <v>0</v>
      </c>
      <c r="J36" s="11">
        <f>SUMIFS(TableDailySummary[Ventas primer cliente],TableDailySummary[Fecha],"&gt;="&amp;TableWeeklySummary[[#This Row],[Desde]],TableDailySummary[Fecha],"&lt;="&amp;TableWeeklySummary[[#This Row],[Hasta]])</f>
        <v>0</v>
      </c>
      <c r="K36" s="11">
        <f>SUMIFS(TableDailySummary[Órdenes primer cliente],TableDailySummary[Fecha],"&gt;="&amp;TableWeeklySummary[[#This Row],[Desde]],TableDailySummary[Fecha],"&lt;="&amp;TableWeeklySummary[[#This Row],[Hasta]])</f>
        <v>0</v>
      </c>
      <c r="L36" s="11">
        <f>SUMIFS(TableDailySummary[Online Store_net_sales],TableDailySummary[Fecha],"&gt;="&amp;TableWeeklySummary[[#This Row],[Desde]],TableDailySummary[Fecha],"&lt;="&amp;TableWeeklySummary[[#This Row],[Hasta]])</f>
        <v>0</v>
      </c>
      <c r="M36" s="11">
        <f>SUMIFS(TableDailySummary[Online Store_orders],TableDailySummary[Fecha],"&gt;="&amp;TableWeeklySummary[[#This Row],[Desde]],TableDailySummary[Fecha],"&lt;="&amp;TableWeeklySummary[[#This Row],[Hasta]])</f>
        <v>0</v>
      </c>
      <c r="N36" s="11">
        <f>SUMIFS(TableDailySummary[Tienda 81_net_sales],TableDailySummary[Fecha],"&gt;="&amp;TableWeeklySummary[[#This Row],[Desde]],TableDailySummary[Fecha],"&lt;="&amp;TableWeeklySummary[[#This Row],[Hasta]])</f>
        <v>0</v>
      </c>
      <c r="O36" s="11">
        <f>SUMIFS(TableDailySummary[Tienda 81_orders],TableDailySummary[Fecha],"&gt;="&amp;TableWeeklySummary[[#This Row],[Desde]],TableDailySummary[Fecha],"&lt;="&amp;TableWeeklySummary[[#This Row],[Hasta]])</f>
        <v>0</v>
      </c>
      <c r="P36" s="11">
        <f>SUMIFS(TableDailySummary[Rappi_net_sales],TableDailySummary[Fecha],"&gt;="&amp;TableWeeklySummary[[#This Row],[Desde]],TableDailySummary[Fecha],"&lt;="&amp;TableWeeklySummary[[#This Row],[Hasta]])</f>
        <v>0</v>
      </c>
      <c r="Q36" s="11">
        <f>SUMIFS(TableDailySummary[Rappi_orders],TableDailySummary[Fecha],"&gt;="&amp;TableWeeklySummary[[#This Row],[Desde]],TableDailySummary[Fecha],"&lt;="&amp;TableWeeklySummary[[#This Row],[Hasta]])</f>
        <v>0</v>
      </c>
      <c r="R3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" s="11">
        <f>SUMIFS(TableDailySummary[Corporativo no tienda_orders],TableDailySummary[Fecha],"&gt;="&amp;TableWeeklySummary[[#This Row],[Desde]],TableDailySummary[Fecha],"&lt;="&amp;TableWeeklySummary[[#This Row],[Hasta]])</f>
        <v>0</v>
      </c>
      <c r="T36" s="11">
        <f>SUMIFS(TableDailySummary[Inversión google ads],TableDailySummary[Fecha],"&gt;="&amp;TableWeeklySummary[[#This Row],[Desde]],TableDailySummary[Fecha],"&lt;="&amp;TableWeeklySummary[[#This Row],[Hasta]])</f>
        <v>0</v>
      </c>
      <c r="U36" s="11">
        <f>SUMIFS(TableDailySummary[Ventas google ads],TableDailySummary[Fecha],"&gt;="&amp;TableWeeklySummary[[#This Row],[Desde]],TableDailySummary[Fecha],"&lt;="&amp;TableWeeklySummary[[#This Row],[Hasta]])</f>
        <v>0</v>
      </c>
      <c r="V36" s="11">
        <f>SUMIFS(TableDailySummary[Inversión meta ads],TableDailySummary[Fecha],"&gt;="&amp;TableWeeklySummary[[#This Row],[Desde]],TableDailySummary[Fecha],"&lt;="&amp;TableWeeklySummary[[#This Row],[Hasta]])</f>
        <v>0</v>
      </c>
      <c r="W36" s="11">
        <f>SUMIFS(TableDailySummary[Ventas meta ads],TableDailySummary[Fecha],"&gt;="&amp;TableWeeklySummary[[#This Row],[Desde]],TableDailySummary[Fecha],"&lt;="&amp;TableWeeklySummary[[#This Row],[Hasta]])</f>
        <v>0</v>
      </c>
      <c r="X36" s="11">
        <f>TableWeeklySummary[[#This Row],[Inversión google ads]]+TableWeeklySummary[[#This Row],[Inversión meta ads]]</f>
        <v>0</v>
      </c>
      <c r="Y36" s="11">
        <f>TableWeeklySummary[[#This Row],[Ventas google ads]]+TableWeeklySummary[[#This Row],[Ventas meta ads]]</f>
        <v>0</v>
      </c>
      <c r="Z36" s="14">
        <f>IFERROR(TableWeeklySummary[[#This Row],[Ventas publicidad]]/TableWeeklySummary[[#This Row],[Inversión publicidad]],0)</f>
        <v>0</v>
      </c>
      <c r="AA36" s="14">
        <f>IFERROR(TableWeeklySummary[[#This Row],[Ventas primer cliente]]/TableWeeklySummary[[#This Row],[Inversión publicidad]],0)</f>
        <v>0</v>
      </c>
      <c r="AB36" s="14"/>
      <c r="AC36" s="11"/>
      <c r="AI3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" s="11">
        <f>SUMIFS(TableDailySummary[Costo de ventas registrado],TableDailySummary[Fecha],"&gt;="&amp;TableWeeklySummary[[#This Row],[Desde]],TableDailySummary[Fecha],"&lt;="&amp;TableWeeklySummary[[#This Row],[Hasta]])</f>
        <v>0</v>
      </c>
      <c r="AK36" s="11">
        <f>SUMIFS(TableDailySummary[Utilidad bruta],TableDailySummary[Fecha],"&gt;="&amp;TableWeeklySummary[[#This Row],[Desde]],TableDailySummary[Fecha],"&lt;="&amp;TableWeeklySummary[[#This Row],[Hasta]])</f>
        <v>0</v>
      </c>
      <c r="AL36" s="18">
        <f>IFERROR(TableWeeklySummary[[#This Row],[Utilidad bruta]]/TableWeeklySummary[[#This Row],[Ventas netas con costo registrado]],0)</f>
        <v>0</v>
      </c>
    </row>
    <row r="37" spans="2:38" x14ac:dyDescent="0.2">
      <c r="B37" s="16">
        <f>_xlfn.ISOWEEKNUM(TableWeeklySummary[[#This Row],[Hasta]])</f>
        <v>26</v>
      </c>
      <c r="C37" s="6">
        <f t="shared" si="0"/>
        <v>44736</v>
      </c>
      <c r="D37" s="6">
        <f>TableWeeklySummary[[#This Row],[Desde]]+7-1</f>
        <v>44742</v>
      </c>
      <c r="E37" s="11">
        <f>SUMIFS(TableDailySummary[Ventas netas totales],TableDailySummary[Fecha],"&gt;="&amp;TableWeeklySummary[[#This Row],[Desde]],TableDailySummary[Fecha],"&lt;="&amp;TableWeeklySummary[[#This Row],[Hasta]])</f>
        <v>0</v>
      </c>
      <c r="F37" s="11">
        <f>SUMIFS(TableDailySummary[Órdenes totales],TableDailySummary[Fecha],"&gt;="&amp;TableWeeklySummary[[#This Row],[Desde]],TableDailySummary[Fecha],"&lt;="&amp;TableWeeklySummary[[#This Row],[Hasta]])</f>
        <v>0</v>
      </c>
      <c r="G37" s="11">
        <f>IFERROR(TableWeeklySummary[[#This Row],[Ventas netas totales]]/TableWeeklySummary[[#This Row],[Órdenes totales]],0)</f>
        <v>0</v>
      </c>
      <c r="H3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" s="11">
        <f>TableWeeklySummary[[#This Row],[Órden promedio totales]]*TableWeeklySummary[[#This Row],[CR totales]]</f>
        <v>0</v>
      </c>
      <c r="J37" s="11">
        <f>SUMIFS(TableDailySummary[Ventas primer cliente],TableDailySummary[Fecha],"&gt;="&amp;TableWeeklySummary[[#This Row],[Desde]],TableDailySummary[Fecha],"&lt;="&amp;TableWeeklySummary[[#This Row],[Hasta]])</f>
        <v>0</v>
      </c>
      <c r="K37" s="11">
        <f>SUMIFS(TableDailySummary[Órdenes primer cliente],TableDailySummary[Fecha],"&gt;="&amp;TableWeeklySummary[[#This Row],[Desde]],TableDailySummary[Fecha],"&lt;="&amp;TableWeeklySummary[[#This Row],[Hasta]])</f>
        <v>0</v>
      </c>
      <c r="L37" s="11">
        <f>SUMIFS(TableDailySummary[Online Store_net_sales],TableDailySummary[Fecha],"&gt;="&amp;TableWeeklySummary[[#This Row],[Desde]],TableDailySummary[Fecha],"&lt;="&amp;TableWeeklySummary[[#This Row],[Hasta]])</f>
        <v>0</v>
      </c>
      <c r="M37" s="11">
        <f>SUMIFS(TableDailySummary[Online Store_orders],TableDailySummary[Fecha],"&gt;="&amp;TableWeeklySummary[[#This Row],[Desde]],TableDailySummary[Fecha],"&lt;="&amp;TableWeeklySummary[[#This Row],[Hasta]])</f>
        <v>0</v>
      </c>
      <c r="N37" s="11">
        <f>SUMIFS(TableDailySummary[Tienda 81_net_sales],TableDailySummary[Fecha],"&gt;="&amp;TableWeeklySummary[[#This Row],[Desde]],TableDailySummary[Fecha],"&lt;="&amp;TableWeeklySummary[[#This Row],[Hasta]])</f>
        <v>0</v>
      </c>
      <c r="O37" s="11">
        <f>SUMIFS(TableDailySummary[Tienda 81_orders],TableDailySummary[Fecha],"&gt;="&amp;TableWeeklySummary[[#This Row],[Desde]],TableDailySummary[Fecha],"&lt;="&amp;TableWeeklySummary[[#This Row],[Hasta]])</f>
        <v>0</v>
      </c>
      <c r="P37" s="11">
        <f>SUMIFS(TableDailySummary[Rappi_net_sales],TableDailySummary[Fecha],"&gt;="&amp;TableWeeklySummary[[#This Row],[Desde]],TableDailySummary[Fecha],"&lt;="&amp;TableWeeklySummary[[#This Row],[Hasta]])</f>
        <v>0</v>
      </c>
      <c r="Q37" s="11">
        <f>SUMIFS(TableDailySummary[Rappi_orders],TableDailySummary[Fecha],"&gt;="&amp;TableWeeklySummary[[#This Row],[Desde]],TableDailySummary[Fecha],"&lt;="&amp;TableWeeklySummary[[#This Row],[Hasta]])</f>
        <v>0</v>
      </c>
      <c r="R3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" s="11">
        <f>SUMIFS(TableDailySummary[Corporativo no tienda_orders],TableDailySummary[Fecha],"&gt;="&amp;TableWeeklySummary[[#This Row],[Desde]],TableDailySummary[Fecha],"&lt;="&amp;TableWeeklySummary[[#This Row],[Hasta]])</f>
        <v>0</v>
      </c>
      <c r="T37" s="11">
        <f>SUMIFS(TableDailySummary[Inversión google ads],TableDailySummary[Fecha],"&gt;="&amp;TableWeeklySummary[[#This Row],[Desde]],TableDailySummary[Fecha],"&lt;="&amp;TableWeeklySummary[[#This Row],[Hasta]])</f>
        <v>0</v>
      </c>
      <c r="U37" s="11">
        <f>SUMIFS(TableDailySummary[Ventas google ads],TableDailySummary[Fecha],"&gt;="&amp;TableWeeklySummary[[#This Row],[Desde]],TableDailySummary[Fecha],"&lt;="&amp;TableWeeklySummary[[#This Row],[Hasta]])</f>
        <v>0</v>
      </c>
      <c r="V37" s="11">
        <f>SUMIFS(TableDailySummary[Inversión meta ads],TableDailySummary[Fecha],"&gt;="&amp;TableWeeklySummary[[#This Row],[Desde]],TableDailySummary[Fecha],"&lt;="&amp;TableWeeklySummary[[#This Row],[Hasta]])</f>
        <v>0</v>
      </c>
      <c r="W37" s="11">
        <f>SUMIFS(TableDailySummary[Ventas meta ads],TableDailySummary[Fecha],"&gt;="&amp;TableWeeklySummary[[#This Row],[Desde]],TableDailySummary[Fecha],"&lt;="&amp;TableWeeklySummary[[#This Row],[Hasta]])</f>
        <v>0</v>
      </c>
      <c r="X37" s="11">
        <f>TableWeeklySummary[[#This Row],[Inversión google ads]]+TableWeeklySummary[[#This Row],[Inversión meta ads]]</f>
        <v>0</v>
      </c>
      <c r="Y37" s="11">
        <f>TableWeeklySummary[[#This Row],[Ventas google ads]]+TableWeeklySummary[[#This Row],[Ventas meta ads]]</f>
        <v>0</v>
      </c>
      <c r="Z37" s="14">
        <f>IFERROR(TableWeeklySummary[[#This Row],[Ventas publicidad]]/TableWeeklySummary[[#This Row],[Inversión publicidad]],0)</f>
        <v>0</v>
      </c>
      <c r="AA37" s="14">
        <f>IFERROR(TableWeeklySummary[[#This Row],[Ventas primer cliente]]/TableWeeklySummary[[#This Row],[Inversión publicidad]],0)</f>
        <v>0</v>
      </c>
      <c r="AB37" s="14"/>
      <c r="AC37" s="11"/>
      <c r="AI3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" s="11">
        <f>SUMIFS(TableDailySummary[Costo de ventas registrado],TableDailySummary[Fecha],"&gt;="&amp;TableWeeklySummary[[#This Row],[Desde]],TableDailySummary[Fecha],"&lt;="&amp;TableWeeklySummary[[#This Row],[Hasta]])</f>
        <v>0</v>
      </c>
      <c r="AK37" s="11">
        <f>SUMIFS(TableDailySummary[Utilidad bruta],TableDailySummary[Fecha],"&gt;="&amp;TableWeeklySummary[[#This Row],[Desde]],TableDailySummary[Fecha],"&lt;="&amp;TableWeeklySummary[[#This Row],[Hasta]])</f>
        <v>0</v>
      </c>
      <c r="AL37" s="18">
        <f>IFERROR(TableWeeklySummary[[#This Row],[Utilidad bruta]]/TableWeeklySummary[[#This Row],[Ventas netas con costo registrado]],0)</f>
        <v>0</v>
      </c>
    </row>
    <row r="38" spans="2:38" x14ac:dyDescent="0.2">
      <c r="B38" s="16">
        <f>_xlfn.ISOWEEKNUM(TableWeeklySummary[[#This Row],[Hasta]])</f>
        <v>27</v>
      </c>
      <c r="C38" s="6">
        <f t="shared" si="0"/>
        <v>44743</v>
      </c>
      <c r="D38" s="6">
        <f>TableWeeklySummary[[#This Row],[Desde]]+7-1</f>
        <v>44749</v>
      </c>
      <c r="E38" s="11">
        <f>SUMIFS(TableDailySummary[Ventas netas totales],TableDailySummary[Fecha],"&gt;="&amp;TableWeeklySummary[[#This Row],[Desde]],TableDailySummary[Fecha],"&lt;="&amp;TableWeeklySummary[[#This Row],[Hasta]])</f>
        <v>0</v>
      </c>
      <c r="F38" s="11">
        <f>SUMIFS(TableDailySummary[Órdenes totales],TableDailySummary[Fecha],"&gt;="&amp;TableWeeklySummary[[#This Row],[Desde]],TableDailySummary[Fecha],"&lt;="&amp;TableWeeklySummary[[#This Row],[Hasta]])</f>
        <v>0</v>
      </c>
      <c r="G38" s="11">
        <f>IFERROR(TableWeeklySummary[[#This Row],[Ventas netas totales]]/TableWeeklySummary[[#This Row],[Órdenes totales]],0)</f>
        <v>0</v>
      </c>
      <c r="H3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" s="11">
        <f>TableWeeklySummary[[#This Row],[Órden promedio totales]]*TableWeeklySummary[[#This Row],[CR totales]]</f>
        <v>0</v>
      </c>
      <c r="J38" s="11">
        <f>SUMIFS(TableDailySummary[Ventas primer cliente],TableDailySummary[Fecha],"&gt;="&amp;TableWeeklySummary[[#This Row],[Desde]],TableDailySummary[Fecha],"&lt;="&amp;TableWeeklySummary[[#This Row],[Hasta]])</f>
        <v>0</v>
      </c>
      <c r="K38" s="11">
        <f>SUMIFS(TableDailySummary[Órdenes primer cliente],TableDailySummary[Fecha],"&gt;="&amp;TableWeeklySummary[[#This Row],[Desde]],TableDailySummary[Fecha],"&lt;="&amp;TableWeeklySummary[[#This Row],[Hasta]])</f>
        <v>0</v>
      </c>
      <c r="L38" s="11">
        <f>SUMIFS(TableDailySummary[Online Store_net_sales],TableDailySummary[Fecha],"&gt;="&amp;TableWeeklySummary[[#This Row],[Desde]],TableDailySummary[Fecha],"&lt;="&amp;TableWeeklySummary[[#This Row],[Hasta]])</f>
        <v>0</v>
      </c>
      <c r="M38" s="11">
        <f>SUMIFS(TableDailySummary[Online Store_orders],TableDailySummary[Fecha],"&gt;="&amp;TableWeeklySummary[[#This Row],[Desde]],TableDailySummary[Fecha],"&lt;="&amp;TableWeeklySummary[[#This Row],[Hasta]])</f>
        <v>0</v>
      </c>
      <c r="N38" s="11">
        <f>SUMIFS(TableDailySummary[Tienda 81_net_sales],TableDailySummary[Fecha],"&gt;="&amp;TableWeeklySummary[[#This Row],[Desde]],TableDailySummary[Fecha],"&lt;="&amp;TableWeeklySummary[[#This Row],[Hasta]])</f>
        <v>0</v>
      </c>
      <c r="O38" s="11">
        <f>SUMIFS(TableDailySummary[Tienda 81_orders],TableDailySummary[Fecha],"&gt;="&amp;TableWeeklySummary[[#This Row],[Desde]],TableDailySummary[Fecha],"&lt;="&amp;TableWeeklySummary[[#This Row],[Hasta]])</f>
        <v>0</v>
      </c>
      <c r="P38" s="11">
        <f>SUMIFS(TableDailySummary[Rappi_net_sales],TableDailySummary[Fecha],"&gt;="&amp;TableWeeklySummary[[#This Row],[Desde]],TableDailySummary[Fecha],"&lt;="&amp;TableWeeklySummary[[#This Row],[Hasta]])</f>
        <v>0</v>
      </c>
      <c r="Q38" s="11">
        <f>SUMIFS(TableDailySummary[Rappi_orders],TableDailySummary[Fecha],"&gt;="&amp;TableWeeklySummary[[#This Row],[Desde]],TableDailySummary[Fecha],"&lt;="&amp;TableWeeklySummary[[#This Row],[Hasta]])</f>
        <v>0</v>
      </c>
      <c r="R3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" s="11">
        <f>SUMIFS(TableDailySummary[Corporativo no tienda_orders],TableDailySummary[Fecha],"&gt;="&amp;TableWeeklySummary[[#This Row],[Desde]],TableDailySummary[Fecha],"&lt;="&amp;TableWeeklySummary[[#This Row],[Hasta]])</f>
        <v>0</v>
      </c>
      <c r="T38" s="11">
        <f>SUMIFS(TableDailySummary[Inversión google ads],TableDailySummary[Fecha],"&gt;="&amp;TableWeeklySummary[[#This Row],[Desde]],TableDailySummary[Fecha],"&lt;="&amp;TableWeeklySummary[[#This Row],[Hasta]])</f>
        <v>0</v>
      </c>
      <c r="U38" s="11">
        <f>SUMIFS(TableDailySummary[Ventas google ads],TableDailySummary[Fecha],"&gt;="&amp;TableWeeklySummary[[#This Row],[Desde]],TableDailySummary[Fecha],"&lt;="&amp;TableWeeklySummary[[#This Row],[Hasta]])</f>
        <v>0</v>
      </c>
      <c r="V38" s="11">
        <f>SUMIFS(TableDailySummary[Inversión meta ads],TableDailySummary[Fecha],"&gt;="&amp;TableWeeklySummary[[#This Row],[Desde]],TableDailySummary[Fecha],"&lt;="&amp;TableWeeklySummary[[#This Row],[Hasta]])</f>
        <v>0</v>
      </c>
      <c r="W38" s="11">
        <f>SUMIFS(TableDailySummary[Ventas meta ads],TableDailySummary[Fecha],"&gt;="&amp;TableWeeklySummary[[#This Row],[Desde]],TableDailySummary[Fecha],"&lt;="&amp;TableWeeklySummary[[#This Row],[Hasta]])</f>
        <v>0</v>
      </c>
      <c r="X38" s="11">
        <f>TableWeeklySummary[[#This Row],[Inversión google ads]]+TableWeeklySummary[[#This Row],[Inversión meta ads]]</f>
        <v>0</v>
      </c>
      <c r="Y38" s="11">
        <f>TableWeeklySummary[[#This Row],[Ventas google ads]]+TableWeeklySummary[[#This Row],[Ventas meta ads]]</f>
        <v>0</v>
      </c>
      <c r="Z38" s="14">
        <f>IFERROR(TableWeeklySummary[[#This Row],[Ventas publicidad]]/TableWeeklySummary[[#This Row],[Inversión publicidad]],0)</f>
        <v>0</v>
      </c>
      <c r="AA38" s="14">
        <f>IFERROR(TableWeeklySummary[[#This Row],[Ventas primer cliente]]/TableWeeklySummary[[#This Row],[Inversión publicidad]],0)</f>
        <v>0</v>
      </c>
      <c r="AB38" s="14"/>
      <c r="AC38" s="11"/>
      <c r="AI3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" s="11">
        <f>SUMIFS(TableDailySummary[Costo de ventas registrado],TableDailySummary[Fecha],"&gt;="&amp;TableWeeklySummary[[#This Row],[Desde]],TableDailySummary[Fecha],"&lt;="&amp;TableWeeklySummary[[#This Row],[Hasta]])</f>
        <v>0</v>
      </c>
      <c r="AK38" s="11">
        <f>SUMIFS(TableDailySummary[Utilidad bruta],TableDailySummary[Fecha],"&gt;="&amp;TableWeeklySummary[[#This Row],[Desde]],TableDailySummary[Fecha],"&lt;="&amp;TableWeeklySummary[[#This Row],[Hasta]])</f>
        <v>0</v>
      </c>
      <c r="AL38" s="18">
        <f>IFERROR(TableWeeklySummary[[#This Row],[Utilidad bruta]]/TableWeeklySummary[[#This Row],[Ventas netas con costo registrado]],0)</f>
        <v>0</v>
      </c>
    </row>
    <row r="39" spans="2:38" x14ac:dyDescent="0.2">
      <c r="B39" s="16">
        <f>_xlfn.ISOWEEKNUM(TableWeeklySummary[[#This Row],[Hasta]])</f>
        <v>28</v>
      </c>
      <c r="C39" s="6">
        <f t="shared" si="0"/>
        <v>44750</v>
      </c>
      <c r="D39" s="6">
        <f>TableWeeklySummary[[#This Row],[Desde]]+7-1</f>
        <v>44756</v>
      </c>
      <c r="E39" s="11">
        <f>SUMIFS(TableDailySummary[Ventas netas totales],TableDailySummary[Fecha],"&gt;="&amp;TableWeeklySummary[[#This Row],[Desde]],TableDailySummary[Fecha],"&lt;="&amp;TableWeeklySummary[[#This Row],[Hasta]])</f>
        <v>0</v>
      </c>
      <c r="F39" s="11">
        <f>SUMIFS(TableDailySummary[Órdenes totales],TableDailySummary[Fecha],"&gt;="&amp;TableWeeklySummary[[#This Row],[Desde]],TableDailySummary[Fecha],"&lt;="&amp;TableWeeklySummary[[#This Row],[Hasta]])</f>
        <v>0</v>
      </c>
      <c r="G39" s="11">
        <f>IFERROR(TableWeeklySummary[[#This Row],[Ventas netas totales]]/TableWeeklySummary[[#This Row],[Órdenes totales]],0)</f>
        <v>0</v>
      </c>
      <c r="H3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" s="11">
        <f>TableWeeklySummary[[#This Row],[Órden promedio totales]]*TableWeeklySummary[[#This Row],[CR totales]]</f>
        <v>0</v>
      </c>
      <c r="J39" s="11">
        <f>SUMIFS(TableDailySummary[Ventas primer cliente],TableDailySummary[Fecha],"&gt;="&amp;TableWeeklySummary[[#This Row],[Desde]],TableDailySummary[Fecha],"&lt;="&amp;TableWeeklySummary[[#This Row],[Hasta]])</f>
        <v>0</v>
      </c>
      <c r="K39" s="11">
        <f>SUMIFS(TableDailySummary[Órdenes primer cliente],TableDailySummary[Fecha],"&gt;="&amp;TableWeeklySummary[[#This Row],[Desde]],TableDailySummary[Fecha],"&lt;="&amp;TableWeeklySummary[[#This Row],[Hasta]])</f>
        <v>0</v>
      </c>
      <c r="L39" s="11">
        <f>SUMIFS(TableDailySummary[Online Store_net_sales],TableDailySummary[Fecha],"&gt;="&amp;TableWeeklySummary[[#This Row],[Desde]],TableDailySummary[Fecha],"&lt;="&amp;TableWeeklySummary[[#This Row],[Hasta]])</f>
        <v>0</v>
      </c>
      <c r="M39" s="11">
        <f>SUMIFS(TableDailySummary[Online Store_orders],TableDailySummary[Fecha],"&gt;="&amp;TableWeeklySummary[[#This Row],[Desde]],TableDailySummary[Fecha],"&lt;="&amp;TableWeeklySummary[[#This Row],[Hasta]])</f>
        <v>0</v>
      </c>
      <c r="N39" s="11">
        <f>SUMIFS(TableDailySummary[Tienda 81_net_sales],TableDailySummary[Fecha],"&gt;="&amp;TableWeeklySummary[[#This Row],[Desde]],TableDailySummary[Fecha],"&lt;="&amp;TableWeeklySummary[[#This Row],[Hasta]])</f>
        <v>0</v>
      </c>
      <c r="O39" s="11">
        <f>SUMIFS(TableDailySummary[Tienda 81_orders],TableDailySummary[Fecha],"&gt;="&amp;TableWeeklySummary[[#This Row],[Desde]],TableDailySummary[Fecha],"&lt;="&amp;TableWeeklySummary[[#This Row],[Hasta]])</f>
        <v>0</v>
      </c>
      <c r="P39" s="11">
        <f>SUMIFS(TableDailySummary[Rappi_net_sales],TableDailySummary[Fecha],"&gt;="&amp;TableWeeklySummary[[#This Row],[Desde]],TableDailySummary[Fecha],"&lt;="&amp;TableWeeklySummary[[#This Row],[Hasta]])</f>
        <v>0</v>
      </c>
      <c r="Q39" s="11">
        <f>SUMIFS(TableDailySummary[Rappi_orders],TableDailySummary[Fecha],"&gt;="&amp;TableWeeklySummary[[#This Row],[Desde]],TableDailySummary[Fecha],"&lt;="&amp;TableWeeklySummary[[#This Row],[Hasta]])</f>
        <v>0</v>
      </c>
      <c r="R3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" s="11">
        <f>SUMIFS(TableDailySummary[Corporativo no tienda_orders],TableDailySummary[Fecha],"&gt;="&amp;TableWeeklySummary[[#This Row],[Desde]],TableDailySummary[Fecha],"&lt;="&amp;TableWeeklySummary[[#This Row],[Hasta]])</f>
        <v>0</v>
      </c>
      <c r="T39" s="11">
        <f>SUMIFS(TableDailySummary[Inversión google ads],TableDailySummary[Fecha],"&gt;="&amp;TableWeeklySummary[[#This Row],[Desde]],TableDailySummary[Fecha],"&lt;="&amp;TableWeeklySummary[[#This Row],[Hasta]])</f>
        <v>0</v>
      </c>
      <c r="U39" s="11">
        <f>SUMIFS(TableDailySummary[Ventas google ads],TableDailySummary[Fecha],"&gt;="&amp;TableWeeklySummary[[#This Row],[Desde]],TableDailySummary[Fecha],"&lt;="&amp;TableWeeklySummary[[#This Row],[Hasta]])</f>
        <v>0</v>
      </c>
      <c r="V39" s="11">
        <f>SUMIFS(TableDailySummary[Inversión meta ads],TableDailySummary[Fecha],"&gt;="&amp;TableWeeklySummary[[#This Row],[Desde]],TableDailySummary[Fecha],"&lt;="&amp;TableWeeklySummary[[#This Row],[Hasta]])</f>
        <v>0</v>
      </c>
      <c r="W39" s="11">
        <f>SUMIFS(TableDailySummary[Ventas meta ads],TableDailySummary[Fecha],"&gt;="&amp;TableWeeklySummary[[#This Row],[Desde]],TableDailySummary[Fecha],"&lt;="&amp;TableWeeklySummary[[#This Row],[Hasta]])</f>
        <v>0</v>
      </c>
      <c r="X39" s="11">
        <f>TableWeeklySummary[[#This Row],[Inversión google ads]]+TableWeeklySummary[[#This Row],[Inversión meta ads]]</f>
        <v>0</v>
      </c>
      <c r="Y39" s="11">
        <f>TableWeeklySummary[[#This Row],[Ventas google ads]]+TableWeeklySummary[[#This Row],[Ventas meta ads]]</f>
        <v>0</v>
      </c>
      <c r="Z39" s="14">
        <f>IFERROR(TableWeeklySummary[[#This Row],[Ventas publicidad]]/TableWeeklySummary[[#This Row],[Inversión publicidad]],0)</f>
        <v>0</v>
      </c>
      <c r="AA39" s="14">
        <f>IFERROR(TableWeeklySummary[[#This Row],[Ventas primer cliente]]/TableWeeklySummary[[#This Row],[Inversión publicidad]],0)</f>
        <v>0</v>
      </c>
      <c r="AB39" s="14"/>
      <c r="AC39" s="11"/>
      <c r="AI3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" s="11">
        <f>SUMIFS(TableDailySummary[Costo de ventas registrado],TableDailySummary[Fecha],"&gt;="&amp;TableWeeklySummary[[#This Row],[Desde]],TableDailySummary[Fecha],"&lt;="&amp;TableWeeklySummary[[#This Row],[Hasta]])</f>
        <v>0</v>
      </c>
      <c r="AK39" s="11">
        <f>SUMIFS(TableDailySummary[Utilidad bruta],TableDailySummary[Fecha],"&gt;="&amp;TableWeeklySummary[[#This Row],[Desde]],TableDailySummary[Fecha],"&lt;="&amp;TableWeeklySummary[[#This Row],[Hasta]])</f>
        <v>0</v>
      </c>
      <c r="AL39" s="18">
        <f>IFERROR(TableWeeklySummary[[#This Row],[Utilidad bruta]]/TableWeeklySummary[[#This Row],[Ventas netas con costo registrado]],0)</f>
        <v>0</v>
      </c>
    </row>
    <row r="40" spans="2:38" x14ac:dyDescent="0.2">
      <c r="B40" s="16">
        <f>_xlfn.ISOWEEKNUM(TableWeeklySummary[[#This Row],[Hasta]])</f>
        <v>29</v>
      </c>
      <c r="C40" s="6">
        <f t="shared" ref="C40:C71" si="1">_xlfn.LET(
    _xlpm.fechaini, ParamFechaInicioReporte,
    _xlpm.start_friday, IF(WEEKDAY(_xlpm.fechaini, 1) = 6, _xlpm.fechaini, _xlpm.fechaini - MOD(WEEKDAY(_xlpm.fechaini, 1) + 1, 7)),
    IF(ROW()=8, _xlpm.start_friday, C39 + 7)
)</f>
        <v>44757</v>
      </c>
      <c r="D40" s="6">
        <f>TableWeeklySummary[[#This Row],[Desde]]+7-1</f>
        <v>44763</v>
      </c>
      <c r="E40" s="11">
        <f>SUMIFS(TableDailySummary[Ventas netas totales],TableDailySummary[Fecha],"&gt;="&amp;TableWeeklySummary[[#This Row],[Desde]],TableDailySummary[Fecha],"&lt;="&amp;TableWeeklySummary[[#This Row],[Hasta]])</f>
        <v>0</v>
      </c>
      <c r="F40" s="11">
        <f>SUMIFS(TableDailySummary[Órdenes totales],TableDailySummary[Fecha],"&gt;="&amp;TableWeeklySummary[[#This Row],[Desde]],TableDailySummary[Fecha],"&lt;="&amp;TableWeeklySummary[[#This Row],[Hasta]])</f>
        <v>0</v>
      </c>
      <c r="G40" s="11">
        <f>IFERROR(TableWeeklySummary[[#This Row],[Ventas netas totales]]/TableWeeklySummary[[#This Row],[Órdenes totales]],0)</f>
        <v>0</v>
      </c>
      <c r="H4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" s="11">
        <f>TableWeeklySummary[[#This Row],[Órden promedio totales]]*TableWeeklySummary[[#This Row],[CR totales]]</f>
        <v>0</v>
      </c>
      <c r="J40" s="11">
        <f>SUMIFS(TableDailySummary[Ventas primer cliente],TableDailySummary[Fecha],"&gt;="&amp;TableWeeklySummary[[#This Row],[Desde]],TableDailySummary[Fecha],"&lt;="&amp;TableWeeklySummary[[#This Row],[Hasta]])</f>
        <v>0</v>
      </c>
      <c r="K40" s="11">
        <f>SUMIFS(TableDailySummary[Órdenes primer cliente],TableDailySummary[Fecha],"&gt;="&amp;TableWeeklySummary[[#This Row],[Desde]],TableDailySummary[Fecha],"&lt;="&amp;TableWeeklySummary[[#This Row],[Hasta]])</f>
        <v>0</v>
      </c>
      <c r="L40" s="11">
        <f>SUMIFS(TableDailySummary[Online Store_net_sales],TableDailySummary[Fecha],"&gt;="&amp;TableWeeklySummary[[#This Row],[Desde]],TableDailySummary[Fecha],"&lt;="&amp;TableWeeklySummary[[#This Row],[Hasta]])</f>
        <v>0</v>
      </c>
      <c r="M40" s="11">
        <f>SUMIFS(TableDailySummary[Online Store_orders],TableDailySummary[Fecha],"&gt;="&amp;TableWeeklySummary[[#This Row],[Desde]],TableDailySummary[Fecha],"&lt;="&amp;TableWeeklySummary[[#This Row],[Hasta]])</f>
        <v>0</v>
      </c>
      <c r="N40" s="11">
        <f>SUMIFS(TableDailySummary[Tienda 81_net_sales],TableDailySummary[Fecha],"&gt;="&amp;TableWeeklySummary[[#This Row],[Desde]],TableDailySummary[Fecha],"&lt;="&amp;TableWeeklySummary[[#This Row],[Hasta]])</f>
        <v>0</v>
      </c>
      <c r="O40" s="11">
        <f>SUMIFS(TableDailySummary[Tienda 81_orders],TableDailySummary[Fecha],"&gt;="&amp;TableWeeklySummary[[#This Row],[Desde]],TableDailySummary[Fecha],"&lt;="&amp;TableWeeklySummary[[#This Row],[Hasta]])</f>
        <v>0</v>
      </c>
      <c r="P40" s="11">
        <f>SUMIFS(TableDailySummary[Rappi_net_sales],TableDailySummary[Fecha],"&gt;="&amp;TableWeeklySummary[[#This Row],[Desde]],TableDailySummary[Fecha],"&lt;="&amp;TableWeeklySummary[[#This Row],[Hasta]])</f>
        <v>0</v>
      </c>
      <c r="Q40" s="11">
        <f>SUMIFS(TableDailySummary[Rappi_orders],TableDailySummary[Fecha],"&gt;="&amp;TableWeeklySummary[[#This Row],[Desde]],TableDailySummary[Fecha],"&lt;="&amp;TableWeeklySummary[[#This Row],[Hasta]])</f>
        <v>0</v>
      </c>
      <c r="R4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" s="11">
        <f>SUMIFS(TableDailySummary[Corporativo no tienda_orders],TableDailySummary[Fecha],"&gt;="&amp;TableWeeklySummary[[#This Row],[Desde]],TableDailySummary[Fecha],"&lt;="&amp;TableWeeklySummary[[#This Row],[Hasta]])</f>
        <v>0</v>
      </c>
      <c r="T40" s="11">
        <f>SUMIFS(TableDailySummary[Inversión google ads],TableDailySummary[Fecha],"&gt;="&amp;TableWeeklySummary[[#This Row],[Desde]],TableDailySummary[Fecha],"&lt;="&amp;TableWeeklySummary[[#This Row],[Hasta]])</f>
        <v>0</v>
      </c>
      <c r="U40" s="11">
        <f>SUMIFS(TableDailySummary[Ventas google ads],TableDailySummary[Fecha],"&gt;="&amp;TableWeeklySummary[[#This Row],[Desde]],TableDailySummary[Fecha],"&lt;="&amp;TableWeeklySummary[[#This Row],[Hasta]])</f>
        <v>0</v>
      </c>
      <c r="V40" s="11">
        <f>SUMIFS(TableDailySummary[Inversión meta ads],TableDailySummary[Fecha],"&gt;="&amp;TableWeeklySummary[[#This Row],[Desde]],TableDailySummary[Fecha],"&lt;="&amp;TableWeeklySummary[[#This Row],[Hasta]])</f>
        <v>0</v>
      </c>
      <c r="W40" s="11">
        <f>SUMIFS(TableDailySummary[Ventas meta ads],TableDailySummary[Fecha],"&gt;="&amp;TableWeeklySummary[[#This Row],[Desde]],TableDailySummary[Fecha],"&lt;="&amp;TableWeeklySummary[[#This Row],[Hasta]])</f>
        <v>0</v>
      </c>
      <c r="X40" s="11">
        <f>TableWeeklySummary[[#This Row],[Inversión google ads]]+TableWeeklySummary[[#This Row],[Inversión meta ads]]</f>
        <v>0</v>
      </c>
      <c r="Y40" s="11">
        <f>TableWeeklySummary[[#This Row],[Ventas google ads]]+TableWeeklySummary[[#This Row],[Ventas meta ads]]</f>
        <v>0</v>
      </c>
      <c r="Z40" s="14">
        <f>IFERROR(TableWeeklySummary[[#This Row],[Ventas publicidad]]/TableWeeklySummary[[#This Row],[Inversión publicidad]],0)</f>
        <v>0</v>
      </c>
      <c r="AA40" s="14">
        <f>IFERROR(TableWeeklySummary[[#This Row],[Ventas primer cliente]]/TableWeeklySummary[[#This Row],[Inversión publicidad]],0)</f>
        <v>0</v>
      </c>
      <c r="AB40" s="14"/>
      <c r="AC40" s="11"/>
      <c r="AI4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" s="11">
        <f>SUMIFS(TableDailySummary[Costo de ventas registrado],TableDailySummary[Fecha],"&gt;="&amp;TableWeeklySummary[[#This Row],[Desde]],TableDailySummary[Fecha],"&lt;="&amp;TableWeeklySummary[[#This Row],[Hasta]])</f>
        <v>0</v>
      </c>
      <c r="AK40" s="11">
        <f>SUMIFS(TableDailySummary[Utilidad bruta],TableDailySummary[Fecha],"&gt;="&amp;TableWeeklySummary[[#This Row],[Desde]],TableDailySummary[Fecha],"&lt;="&amp;TableWeeklySummary[[#This Row],[Hasta]])</f>
        <v>0</v>
      </c>
      <c r="AL40" s="18">
        <f>IFERROR(TableWeeklySummary[[#This Row],[Utilidad bruta]]/TableWeeklySummary[[#This Row],[Ventas netas con costo registrado]],0)</f>
        <v>0</v>
      </c>
    </row>
    <row r="41" spans="2:38" x14ac:dyDescent="0.2">
      <c r="B41" s="16">
        <f>_xlfn.ISOWEEKNUM(TableWeeklySummary[[#This Row],[Hasta]])</f>
        <v>30</v>
      </c>
      <c r="C41" s="6">
        <f t="shared" si="1"/>
        <v>44764</v>
      </c>
      <c r="D41" s="6">
        <f>TableWeeklySummary[[#This Row],[Desde]]+7-1</f>
        <v>44770</v>
      </c>
      <c r="E41" s="11">
        <f>SUMIFS(TableDailySummary[Ventas netas totales],TableDailySummary[Fecha],"&gt;="&amp;TableWeeklySummary[[#This Row],[Desde]],TableDailySummary[Fecha],"&lt;="&amp;TableWeeklySummary[[#This Row],[Hasta]])</f>
        <v>0</v>
      </c>
      <c r="F41" s="11">
        <f>SUMIFS(TableDailySummary[Órdenes totales],TableDailySummary[Fecha],"&gt;="&amp;TableWeeklySummary[[#This Row],[Desde]],TableDailySummary[Fecha],"&lt;="&amp;TableWeeklySummary[[#This Row],[Hasta]])</f>
        <v>0</v>
      </c>
      <c r="G41" s="11">
        <f>IFERROR(TableWeeklySummary[[#This Row],[Ventas netas totales]]/TableWeeklySummary[[#This Row],[Órdenes totales]],0)</f>
        <v>0</v>
      </c>
      <c r="H4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" s="11">
        <f>TableWeeklySummary[[#This Row],[Órden promedio totales]]*TableWeeklySummary[[#This Row],[CR totales]]</f>
        <v>0</v>
      </c>
      <c r="J41" s="11">
        <f>SUMIFS(TableDailySummary[Ventas primer cliente],TableDailySummary[Fecha],"&gt;="&amp;TableWeeklySummary[[#This Row],[Desde]],TableDailySummary[Fecha],"&lt;="&amp;TableWeeklySummary[[#This Row],[Hasta]])</f>
        <v>0</v>
      </c>
      <c r="K41" s="11">
        <f>SUMIFS(TableDailySummary[Órdenes primer cliente],TableDailySummary[Fecha],"&gt;="&amp;TableWeeklySummary[[#This Row],[Desde]],TableDailySummary[Fecha],"&lt;="&amp;TableWeeklySummary[[#This Row],[Hasta]])</f>
        <v>0</v>
      </c>
      <c r="L41" s="11">
        <f>SUMIFS(TableDailySummary[Online Store_net_sales],TableDailySummary[Fecha],"&gt;="&amp;TableWeeklySummary[[#This Row],[Desde]],TableDailySummary[Fecha],"&lt;="&amp;TableWeeklySummary[[#This Row],[Hasta]])</f>
        <v>0</v>
      </c>
      <c r="M41" s="11">
        <f>SUMIFS(TableDailySummary[Online Store_orders],TableDailySummary[Fecha],"&gt;="&amp;TableWeeklySummary[[#This Row],[Desde]],TableDailySummary[Fecha],"&lt;="&amp;TableWeeklySummary[[#This Row],[Hasta]])</f>
        <v>0</v>
      </c>
      <c r="N41" s="11">
        <f>SUMIFS(TableDailySummary[Tienda 81_net_sales],TableDailySummary[Fecha],"&gt;="&amp;TableWeeklySummary[[#This Row],[Desde]],TableDailySummary[Fecha],"&lt;="&amp;TableWeeklySummary[[#This Row],[Hasta]])</f>
        <v>0</v>
      </c>
      <c r="O41" s="11">
        <f>SUMIFS(TableDailySummary[Tienda 81_orders],TableDailySummary[Fecha],"&gt;="&amp;TableWeeklySummary[[#This Row],[Desde]],TableDailySummary[Fecha],"&lt;="&amp;TableWeeklySummary[[#This Row],[Hasta]])</f>
        <v>0</v>
      </c>
      <c r="P41" s="11">
        <f>SUMIFS(TableDailySummary[Rappi_net_sales],TableDailySummary[Fecha],"&gt;="&amp;TableWeeklySummary[[#This Row],[Desde]],TableDailySummary[Fecha],"&lt;="&amp;TableWeeklySummary[[#This Row],[Hasta]])</f>
        <v>0</v>
      </c>
      <c r="Q41" s="11">
        <f>SUMIFS(TableDailySummary[Rappi_orders],TableDailySummary[Fecha],"&gt;="&amp;TableWeeklySummary[[#This Row],[Desde]],TableDailySummary[Fecha],"&lt;="&amp;TableWeeklySummary[[#This Row],[Hasta]])</f>
        <v>0</v>
      </c>
      <c r="R4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" s="11">
        <f>SUMIFS(TableDailySummary[Corporativo no tienda_orders],TableDailySummary[Fecha],"&gt;="&amp;TableWeeklySummary[[#This Row],[Desde]],TableDailySummary[Fecha],"&lt;="&amp;TableWeeklySummary[[#This Row],[Hasta]])</f>
        <v>0</v>
      </c>
      <c r="T41" s="11">
        <f>SUMIFS(TableDailySummary[Inversión google ads],TableDailySummary[Fecha],"&gt;="&amp;TableWeeklySummary[[#This Row],[Desde]],TableDailySummary[Fecha],"&lt;="&amp;TableWeeklySummary[[#This Row],[Hasta]])</f>
        <v>0</v>
      </c>
      <c r="U41" s="11">
        <f>SUMIFS(TableDailySummary[Ventas google ads],TableDailySummary[Fecha],"&gt;="&amp;TableWeeklySummary[[#This Row],[Desde]],TableDailySummary[Fecha],"&lt;="&amp;TableWeeklySummary[[#This Row],[Hasta]])</f>
        <v>0</v>
      </c>
      <c r="V41" s="11">
        <f>SUMIFS(TableDailySummary[Inversión meta ads],TableDailySummary[Fecha],"&gt;="&amp;TableWeeklySummary[[#This Row],[Desde]],TableDailySummary[Fecha],"&lt;="&amp;TableWeeklySummary[[#This Row],[Hasta]])</f>
        <v>0</v>
      </c>
      <c r="W41" s="11">
        <f>SUMIFS(TableDailySummary[Ventas meta ads],TableDailySummary[Fecha],"&gt;="&amp;TableWeeklySummary[[#This Row],[Desde]],TableDailySummary[Fecha],"&lt;="&amp;TableWeeklySummary[[#This Row],[Hasta]])</f>
        <v>0</v>
      </c>
      <c r="X41" s="11">
        <f>TableWeeklySummary[[#This Row],[Inversión google ads]]+TableWeeklySummary[[#This Row],[Inversión meta ads]]</f>
        <v>0</v>
      </c>
      <c r="Y41" s="11">
        <f>TableWeeklySummary[[#This Row],[Ventas google ads]]+TableWeeklySummary[[#This Row],[Ventas meta ads]]</f>
        <v>0</v>
      </c>
      <c r="Z41" s="14">
        <f>IFERROR(TableWeeklySummary[[#This Row],[Ventas publicidad]]/TableWeeklySummary[[#This Row],[Inversión publicidad]],0)</f>
        <v>0</v>
      </c>
      <c r="AA41" s="14">
        <f>IFERROR(TableWeeklySummary[[#This Row],[Ventas primer cliente]]/TableWeeklySummary[[#This Row],[Inversión publicidad]],0)</f>
        <v>0</v>
      </c>
      <c r="AB41" s="14"/>
      <c r="AC41" s="11"/>
      <c r="AI4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" s="11">
        <f>SUMIFS(TableDailySummary[Costo de ventas registrado],TableDailySummary[Fecha],"&gt;="&amp;TableWeeklySummary[[#This Row],[Desde]],TableDailySummary[Fecha],"&lt;="&amp;TableWeeklySummary[[#This Row],[Hasta]])</f>
        <v>0</v>
      </c>
      <c r="AK41" s="11">
        <f>SUMIFS(TableDailySummary[Utilidad bruta],TableDailySummary[Fecha],"&gt;="&amp;TableWeeklySummary[[#This Row],[Desde]],TableDailySummary[Fecha],"&lt;="&amp;TableWeeklySummary[[#This Row],[Hasta]])</f>
        <v>0</v>
      </c>
      <c r="AL41" s="18">
        <f>IFERROR(TableWeeklySummary[[#This Row],[Utilidad bruta]]/TableWeeklySummary[[#This Row],[Ventas netas con costo registrado]],0)</f>
        <v>0</v>
      </c>
    </row>
    <row r="42" spans="2:38" x14ac:dyDescent="0.2">
      <c r="B42" s="16">
        <f>_xlfn.ISOWEEKNUM(TableWeeklySummary[[#This Row],[Hasta]])</f>
        <v>31</v>
      </c>
      <c r="C42" s="6">
        <f t="shared" si="1"/>
        <v>44771</v>
      </c>
      <c r="D42" s="6">
        <f>TableWeeklySummary[[#This Row],[Desde]]+7-1</f>
        <v>44777</v>
      </c>
      <c r="E42" s="11">
        <f>SUMIFS(TableDailySummary[Ventas netas totales],TableDailySummary[Fecha],"&gt;="&amp;TableWeeklySummary[[#This Row],[Desde]],TableDailySummary[Fecha],"&lt;="&amp;TableWeeklySummary[[#This Row],[Hasta]])</f>
        <v>0</v>
      </c>
      <c r="F42" s="11">
        <f>SUMIFS(TableDailySummary[Órdenes totales],TableDailySummary[Fecha],"&gt;="&amp;TableWeeklySummary[[#This Row],[Desde]],TableDailySummary[Fecha],"&lt;="&amp;TableWeeklySummary[[#This Row],[Hasta]])</f>
        <v>0</v>
      </c>
      <c r="G42" s="11">
        <f>IFERROR(TableWeeklySummary[[#This Row],[Ventas netas totales]]/TableWeeklySummary[[#This Row],[Órdenes totales]],0)</f>
        <v>0</v>
      </c>
      <c r="H4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" s="11">
        <f>TableWeeklySummary[[#This Row],[Órden promedio totales]]*TableWeeklySummary[[#This Row],[CR totales]]</f>
        <v>0</v>
      </c>
      <c r="J42" s="11">
        <f>SUMIFS(TableDailySummary[Ventas primer cliente],TableDailySummary[Fecha],"&gt;="&amp;TableWeeklySummary[[#This Row],[Desde]],TableDailySummary[Fecha],"&lt;="&amp;TableWeeklySummary[[#This Row],[Hasta]])</f>
        <v>0</v>
      </c>
      <c r="K42" s="11">
        <f>SUMIFS(TableDailySummary[Órdenes primer cliente],TableDailySummary[Fecha],"&gt;="&amp;TableWeeklySummary[[#This Row],[Desde]],TableDailySummary[Fecha],"&lt;="&amp;TableWeeklySummary[[#This Row],[Hasta]])</f>
        <v>0</v>
      </c>
      <c r="L42" s="11">
        <f>SUMIFS(TableDailySummary[Online Store_net_sales],TableDailySummary[Fecha],"&gt;="&amp;TableWeeklySummary[[#This Row],[Desde]],TableDailySummary[Fecha],"&lt;="&amp;TableWeeklySummary[[#This Row],[Hasta]])</f>
        <v>0</v>
      </c>
      <c r="M42" s="11">
        <f>SUMIFS(TableDailySummary[Online Store_orders],TableDailySummary[Fecha],"&gt;="&amp;TableWeeklySummary[[#This Row],[Desde]],TableDailySummary[Fecha],"&lt;="&amp;TableWeeklySummary[[#This Row],[Hasta]])</f>
        <v>0</v>
      </c>
      <c r="N42" s="11">
        <f>SUMIFS(TableDailySummary[Tienda 81_net_sales],TableDailySummary[Fecha],"&gt;="&amp;TableWeeklySummary[[#This Row],[Desde]],TableDailySummary[Fecha],"&lt;="&amp;TableWeeklySummary[[#This Row],[Hasta]])</f>
        <v>0</v>
      </c>
      <c r="O42" s="11">
        <f>SUMIFS(TableDailySummary[Tienda 81_orders],TableDailySummary[Fecha],"&gt;="&amp;TableWeeklySummary[[#This Row],[Desde]],TableDailySummary[Fecha],"&lt;="&amp;TableWeeklySummary[[#This Row],[Hasta]])</f>
        <v>0</v>
      </c>
      <c r="P42" s="11">
        <f>SUMIFS(TableDailySummary[Rappi_net_sales],TableDailySummary[Fecha],"&gt;="&amp;TableWeeklySummary[[#This Row],[Desde]],TableDailySummary[Fecha],"&lt;="&amp;TableWeeklySummary[[#This Row],[Hasta]])</f>
        <v>0</v>
      </c>
      <c r="Q42" s="11">
        <f>SUMIFS(TableDailySummary[Rappi_orders],TableDailySummary[Fecha],"&gt;="&amp;TableWeeklySummary[[#This Row],[Desde]],TableDailySummary[Fecha],"&lt;="&amp;TableWeeklySummary[[#This Row],[Hasta]])</f>
        <v>0</v>
      </c>
      <c r="R4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" s="11">
        <f>SUMIFS(TableDailySummary[Corporativo no tienda_orders],TableDailySummary[Fecha],"&gt;="&amp;TableWeeklySummary[[#This Row],[Desde]],TableDailySummary[Fecha],"&lt;="&amp;TableWeeklySummary[[#This Row],[Hasta]])</f>
        <v>0</v>
      </c>
      <c r="T42" s="11">
        <f>SUMIFS(TableDailySummary[Inversión google ads],TableDailySummary[Fecha],"&gt;="&amp;TableWeeklySummary[[#This Row],[Desde]],TableDailySummary[Fecha],"&lt;="&amp;TableWeeklySummary[[#This Row],[Hasta]])</f>
        <v>0</v>
      </c>
      <c r="U42" s="11">
        <f>SUMIFS(TableDailySummary[Ventas google ads],TableDailySummary[Fecha],"&gt;="&amp;TableWeeklySummary[[#This Row],[Desde]],TableDailySummary[Fecha],"&lt;="&amp;TableWeeklySummary[[#This Row],[Hasta]])</f>
        <v>0</v>
      </c>
      <c r="V42" s="11">
        <f>SUMIFS(TableDailySummary[Inversión meta ads],TableDailySummary[Fecha],"&gt;="&amp;TableWeeklySummary[[#This Row],[Desde]],TableDailySummary[Fecha],"&lt;="&amp;TableWeeklySummary[[#This Row],[Hasta]])</f>
        <v>0</v>
      </c>
      <c r="W42" s="11">
        <f>SUMIFS(TableDailySummary[Ventas meta ads],TableDailySummary[Fecha],"&gt;="&amp;TableWeeklySummary[[#This Row],[Desde]],TableDailySummary[Fecha],"&lt;="&amp;TableWeeklySummary[[#This Row],[Hasta]])</f>
        <v>0</v>
      </c>
      <c r="X42" s="11">
        <f>TableWeeklySummary[[#This Row],[Inversión google ads]]+TableWeeklySummary[[#This Row],[Inversión meta ads]]</f>
        <v>0</v>
      </c>
      <c r="Y42" s="11">
        <f>TableWeeklySummary[[#This Row],[Ventas google ads]]+TableWeeklySummary[[#This Row],[Ventas meta ads]]</f>
        <v>0</v>
      </c>
      <c r="Z42" s="14">
        <f>IFERROR(TableWeeklySummary[[#This Row],[Ventas publicidad]]/TableWeeklySummary[[#This Row],[Inversión publicidad]],0)</f>
        <v>0</v>
      </c>
      <c r="AA42" s="14">
        <f>IFERROR(TableWeeklySummary[[#This Row],[Ventas primer cliente]]/TableWeeklySummary[[#This Row],[Inversión publicidad]],0)</f>
        <v>0</v>
      </c>
      <c r="AB42" s="14"/>
      <c r="AC42" s="11"/>
      <c r="AI4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" s="11">
        <f>SUMIFS(TableDailySummary[Costo de ventas registrado],TableDailySummary[Fecha],"&gt;="&amp;TableWeeklySummary[[#This Row],[Desde]],TableDailySummary[Fecha],"&lt;="&amp;TableWeeklySummary[[#This Row],[Hasta]])</f>
        <v>0</v>
      </c>
      <c r="AK42" s="11">
        <f>SUMIFS(TableDailySummary[Utilidad bruta],TableDailySummary[Fecha],"&gt;="&amp;TableWeeklySummary[[#This Row],[Desde]],TableDailySummary[Fecha],"&lt;="&amp;TableWeeklySummary[[#This Row],[Hasta]])</f>
        <v>0</v>
      </c>
      <c r="AL42" s="18">
        <f>IFERROR(TableWeeklySummary[[#This Row],[Utilidad bruta]]/TableWeeklySummary[[#This Row],[Ventas netas con costo registrado]],0)</f>
        <v>0</v>
      </c>
    </row>
    <row r="43" spans="2:38" x14ac:dyDescent="0.2">
      <c r="B43" s="16">
        <f>_xlfn.ISOWEEKNUM(TableWeeklySummary[[#This Row],[Hasta]])</f>
        <v>32</v>
      </c>
      <c r="C43" s="6">
        <f t="shared" si="1"/>
        <v>44778</v>
      </c>
      <c r="D43" s="6">
        <f>TableWeeklySummary[[#This Row],[Desde]]+7-1</f>
        <v>44784</v>
      </c>
      <c r="E43" s="11">
        <f>SUMIFS(TableDailySummary[Ventas netas totales],TableDailySummary[Fecha],"&gt;="&amp;TableWeeklySummary[[#This Row],[Desde]],TableDailySummary[Fecha],"&lt;="&amp;TableWeeklySummary[[#This Row],[Hasta]])</f>
        <v>0</v>
      </c>
      <c r="F43" s="11">
        <f>SUMIFS(TableDailySummary[Órdenes totales],TableDailySummary[Fecha],"&gt;="&amp;TableWeeklySummary[[#This Row],[Desde]],TableDailySummary[Fecha],"&lt;="&amp;TableWeeklySummary[[#This Row],[Hasta]])</f>
        <v>0</v>
      </c>
      <c r="G43" s="11">
        <f>IFERROR(TableWeeklySummary[[#This Row],[Ventas netas totales]]/TableWeeklySummary[[#This Row],[Órdenes totales]],0)</f>
        <v>0</v>
      </c>
      <c r="H4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" s="11">
        <f>TableWeeklySummary[[#This Row],[Órden promedio totales]]*TableWeeklySummary[[#This Row],[CR totales]]</f>
        <v>0</v>
      </c>
      <c r="J43" s="11">
        <f>SUMIFS(TableDailySummary[Ventas primer cliente],TableDailySummary[Fecha],"&gt;="&amp;TableWeeklySummary[[#This Row],[Desde]],TableDailySummary[Fecha],"&lt;="&amp;TableWeeklySummary[[#This Row],[Hasta]])</f>
        <v>0</v>
      </c>
      <c r="K43" s="11">
        <f>SUMIFS(TableDailySummary[Órdenes primer cliente],TableDailySummary[Fecha],"&gt;="&amp;TableWeeklySummary[[#This Row],[Desde]],TableDailySummary[Fecha],"&lt;="&amp;TableWeeklySummary[[#This Row],[Hasta]])</f>
        <v>0</v>
      </c>
      <c r="L43" s="11">
        <f>SUMIFS(TableDailySummary[Online Store_net_sales],TableDailySummary[Fecha],"&gt;="&amp;TableWeeklySummary[[#This Row],[Desde]],TableDailySummary[Fecha],"&lt;="&amp;TableWeeklySummary[[#This Row],[Hasta]])</f>
        <v>0</v>
      </c>
      <c r="M43" s="11">
        <f>SUMIFS(TableDailySummary[Online Store_orders],TableDailySummary[Fecha],"&gt;="&amp;TableWeeklySummary[[#This Row],[Desde]],TableDailySummary[Fecha],"&lt;="&amp;TableWeeklySummary[[#This Row],[Hasta]])</f>
        <v>0</v>
      </c>
      <c r="N43" s="11">
        <f>SUMIFS(TableDailySummary[Tienda 81_net_sales],TableDailySummary[Fecha],"&gt;="&amp;TableWeeklySummary[[#This Row],[Desde]],TableDailySummary[Fecha],"&lt;="&amp;TableWeeklySummary[[#This Row],[Hasta]])</f>
        <v>0</v>
      </c>
      <c r="O43" s="11">
        <f>SUMIFS(TableDailySummary[Tienda 81_orders],TableDailySummary[Fecha],"&gt;="&amp;TableWeeklySummary[[#This Row],[Desde]],TableDailySummary[Fecha],"&lt;="&amp;TableWeeklySummary[[#This Row],[Hasta]])</f>
        <v>0</v>
      </c>
      <c r="P43" s="11">
        <f>SUMIFS(TableDailySummary[Rappi_net_sales],TableDailySummary[Fecha],"&gt;="&amp;TableWeeklySummary[[#This Row],[Desde]],TableDailySummary[Fecha],"&lt;="&amp;TableWeeklySummary[[#This Row],[Hasta]])</f>
        <v>0</v>
      </c>
      <c r="Q43" s="11">
        <f>SUMIFS(TableDailySummary[Rappi_orders],TableDailySummary[Fecha],"&gt;="&amp;TableWeeklySummary[[#This Row],[Desde]],TableDailySummary[Fecha],"&lt;="&amp;TableWeeklySummary[[#This Row],[Hasta]])</f>
        <v>0</v>
      </c>
      <c r="R4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" s="11">
        <f>SUMIFS(TableDailySummary[Corporativo no tienda_orders],TableDailySummary[Fecha],"&gt;="&amp;TableWeeklySummary[[#This Row],[Desde]],TableDailySummary[Fecha],"&lt;="&amp;TableWeeklySummary[[#This Row],[Hasta]])</f>
        <v>0</v>
      </c>
      <c r="T43" s="11">
        <f>SUMIFS(TableDailySummary[Inversión google ads],TableDailySummary[Fecha],"&gt;="&amp;TableWeeklySummary[[#This Row],[Desde]],TableDailySummary[Fecha],"&lt;="&amp;TableWeeklySummary[[#This Row],[Hasta]])</f>
        <v>0</v>
      </c>
      <c r="U43" s="11">
        <f>SUMIFS(TableDailySummary[Ventas google ads],TableDailySummary[Fecha],"&gt;="&amp;TableWeeklySummary[[#This Row],[Desde]],TableDailySummary[Fecha],"&lt;="&amp;TableWeeklySummary[[#This Row],[Hasta]])</f>
        <v>0</v>
      </c>
      <c r="V43" s="11">
        <f>SUMIFS(TableDailySummary[Inversión meta ads],TableDailySummary[Fecha],"&gt;="&amp;TableWeeklySummary[[#This Row],[Desde]],TableDailySummary[Fecha],"&lt;="&amp;TableWeeklySummary[[#This Row],[Hasta]])</f>
        <v>0</v>
      </c>
      <c r="W43" s="11">
        <f>SUMIFS(TableDailySummary[Ventas meta ads],TableDailySummary[Fecha],"&gt;="&amp;TableWeeklySummary[[#This Row],[Desde]],TableDailySummary[Fecha],"&lt;="&amp;TableWeeklySummary[[#This Row],[Hasta]])</f>
        <v>0</v>
      </c>
      <c r="X43" s="11">
        <f>TableWeeklySummary[[#This Row],[Inversión google ads]]+TableWeeklySummary[[#This Row],[Inversión meta ads]]</f>
        <v>0</v>
      </c>
      <c r="Y43" s="11">
        <f>TableWeeklySummary[[#This Row],[Ventas google ads]]+TableWeeklySummary[[#This Row],[Ventas meta ads]]</f>
        <v>0</v>
      </c>
      <c r="Z43" s="14">
        <f>IFERROR(TableWeeklySummary[[#This Row],[Ventas publicidad]]/TableWeeklySummary[[#This Row],[Inversión publicidad]],0)</f>
        <v>0</v>
      </c>
      <c r="AA43" s="14">
        <f>IFERROR(TableWeeklySummary[[#This Row],[Ventas primer cliente]]/TableWeeklySummary[[#This Row],[Inversión publicidad]],0)</f>
        <v>0</v>
      </c>
      <c r="AB43" s="14"/>
      <c r="AC43" s="11"/>
      <c r="AI4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" s="11">
        <f>SUMIFS(TableDailySummary[Costo de ventas registrado],TableDailySummary[Fecha],"&gt;="&amp;TableWeeklySummary[[#This Row],[Desde]],TableDailySummary[Fecha],"&lt;="&amp;TableWeeklySummary[[#This Row],[Hasta]])</f>
        <v>0</v>
      </c>
      <c r="AK43" s="11">
        <f>SUMIFS(TableDailySummary[Utilidad bruta],TableDailySummary[Fecha],"&gt;="&amp;TableWeeklySummary[[#This Row],[Desde]],TableDailySummary[Fecha],"&lt;="&amp;TableWeeklySummary[[#This Row],[Hasta]])</f>
        <v>0</v>
      </c>
      <c r="AL43" s="18">
        <f>IFERROR(TableWeeklySummary[[#This Row],[Utilidad bruta]]/TableWeeklySummary[[#This Row],[Ventas netas con costo registrado]],0)</f>
        <v>0</v>
      </c>
    </row>
    <row r="44" spans="2:38" x14ac:dyDescent="0.2">
      <c r="B44" s="16">
        <f>_xlfn.ISOWEEKNUM(TableWeeklySummary[[#This Row],[Hasta]])</f>
        <v>33</v>
      </c>
      <c r="C44" s="6">
        <f t="shared" si="1"/>
        <v>44785</v>
      </c>
      <c r="D44" s="6">
        <f>TableWeeklySummary[[#This Row],[Desde]]+7-1</f>
        <v>44791</v>
      </c>
      <c r="E44" s="11">
        <f>SUMIFS(TableDailySummary[Ventas netas totales],TableDailySummary[Fecha],"&gt;="&amp;TableWeeklySummary[[#This Row],[Desde]],TableDailySummary[Fecha],"&lt;="&amp;TableWeeklySummary[[#This Row],[Hasta]])</f>
        <v>0</v>
      </c>
      <c r="F44" s="11">
        <f>SUMIFS(TableDailySummary[Órdenes totales],TableDailySummary[Fecha],"&gt;="&amp;TableWeeklySummary[[#This Row],[Desde]],TableDailySummary[Fecha],"&lt;="&amp;TableWeeklySummary[[#This Row],[Hasta]])</f>
        <v>0</v>
      </c>
      <c r="G44" s="11">
        <f>IFERROR(TableWeeklySummary[[#This Row],[Ventas netas totales]]/TableWeeklySummary[[#This Row],[Órdenes totales]],0)</f>
        <v>0</v>
      </c>
      <c r="H4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" s="11">
        <f>TableWeeklySummary[[#This Row],[Órden promedio totales]]*TableWeeklySummary[[#This Row],[CR totales]]</f>
        <v>0</v>
      </c>
      <c r="J44" s="11">
        <f>SUMIFS(TableDailySummary[Ventas primer cliente],TableDailySummary[Fecha],"&gt;="&amp;TableWeeklySummary[[#This Row],[Desde]],TableDailySummary[Fecha],"&lt;="&amp;TableWeeklySummary[[#This Row],[Hasta]])</f>
        <v>0</v>
      </c>
      <c r="K44" s="11">
        <f>SUMIFS(TableDailySummary[Órdenes primer cliente],TableDailySummary[Fecha],"&gt;="&amp;TableWeeklySummary[[#This Row],[Desde]],TableDailySummary[Fecha],"&lt;="&amp;TableWeeklySummary[[#This Row],[Hasta]])</f>
        <v>0</v>
      </c>
      <c r="L44" s="11">
        <f>SUMIFS(TableDailySummary[Online Store_net_sales],TableDailySummary[Fecha],"&gt;="&amp;TableWeeklySummary[[#This Row],[Desde]],TableDailySummary[Fecha],"&lt;="&amp;TableWeeklySummary[[#This Row],[Hasta]])</f>
        <v>0</v>
      </c>
      <c r="M44" s="11">
        <f>SUMIFS(TableDailySummary[Online Store_orders],TableDailySummary[Fecha],"&gt;="&amp;TableWeeklySummary[[#This Row],[Desde]],TableDailySummary[Fecha],"&lt;="&amp;TableWeeklySummary[[#This Row],[Hasta]])</f>
        <v>0</v>
      </c>
      <c r="N44" s="11">
        <f>SUMIFS(TableDailySummary[Tienda 81_net_sales],TableDailySummary[Fecha],"&gt;="&amp;TableWeeklySummary[[#This Row],[Desde]],TableDailySummary[Fecha],"&lt;="&amp;TableWeeklySummary[[#This Row],[Hasta]])</f>
        <v>0</v>
      </c>
      <c r="O44" s="11">
        <f>SUMIFS(TableDailySummary[Tienda 81_orders],TableDailySummary[Fecha],"&gt;="&amp;TableWeeklySummary[[#This Row],[Desde]],TableDailySummary[Fecha],"&lt;="&amp;TableWeeklySummary[[#This Row],[Hasta]])</f>
        <v>0</v>
      </c>
      <c r="P44" s="11">
        <f>SUMIFS(TableDailySummary[Rappi_net_sales],TableDailySummary[Fecha],"&gt;="&amp;TableWeeklySummary[[#This Row],[Desde]],TableDailySummary[Fecha],"&lt;="&amp;TableWeeklySummary[[#This Row],[Hasta]])</f>
        <v>0</v>
      </c>
      <c r="Q44" s="11">
        <f>SUMIFS(TableDailySummary[Rappi_orders],TableDailySummary[Fecha],"&gt;="&amp;TableWeeklySummary[[#This Row],[Desde]],TableDailySummary[Fecha],"&lt;="&amp;TableWeeklySummary[[#This Row],[Hasta]])</f>
        <v>0</v>
      </c>
      <c r="R4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" s="11">
        <f>SUMIFS(TableDailySummary[Corporativo no tienda_orders],TableDailySummary[Fecha],"&gt;="&amp;TableWeeklySummary[[#This Row],[Desde]],TableDailySummary[Fecha],"&lt;="&amp;TableWeeklySummary[[#This Row],[Hasta]])</f>
        <v>0</v>
      </c>
      <c r="T44" s="11">
        <f>SUMIFS(TableDailySummary[Inversión google ads],TableDailySummary[Fecha],"&gt;="&amp;TableWeeklySummary[[#This Row],[Desde]],TableDailySummary[Fecha],"&lt;="&amp;TableWeeklySummary[[#This Row],[Hasta]])</f>
        <v>0</v>
      </c>
      <c r="U44" s="11">
        <f>SUMIFS(TableDailySummary[Ventas google ads],TableDailySummary[Fecha],"&gt;="&amp;TableWeeklySummary[[#This Row],[Desde]],TableDailySummary[Fecha],"&lt;="&amp;TableWeeklySummary[[#This Row],[Hasta]])</f>
        <v>0</v>
      </c>
      <c r="V44" s="11">
        <f>SUMIFS(TableDailySummary[Inversión meta ads],TableDailySummary[Fecha],"&gt;="&amp;TableWeeklySummary[[#This Row],[Desde]],TableDailySummary[Fecha],"&lt;="&amp;TableWeeklySummary[[#This Row],[Hasta]])</f>
        <v>0</v>
      </c>
      <c r="W44" s="11">
        <f>SUMIFS(TableDailySummary[Ventas meta ads],TableDailySummary[Fecha],"&gt;="&amp;TableWeeklySummary[[#This Row],[Desde]],TableDailySummary[Fecha],"&lt;="&amp;TableWeeklySummary[[#This Row],[Hasta]])</f>
        <v>0</v>
      </c>
      <c r="X44" s="11">
        <f>TableWeeklySummary[[#This Row],[Inversión google ads]]+TableWeeklySummary[[#This Row],[Inversión meta ads]]</f>
        <v>0</v>
      </c>
      <c r="Y44" s="11">
        <f>TableWeeklySummary[[#This Row],[Ventas google ads]]+TableWeeklySummary[[#This Row],[Ventas meta ads]]</f>
        <v>0</v>
      </c>
      <c r="Z44" s="14">
        <f>IFERROR(TableWeeklySummary[[#This Row],[Ventas publicidad]]/TableWeeklySummary[[#This Row],[Inversión publicidad]],0)</f>
        <v>0</v>
      </c>
      <c r="AA44" s="14">
        <f>IFERROR(TableWeeklySummary[[#This Row],[Ventas primer cliente]]/TableWeeklySummary[[#This Row],[Inversión publicidad]],0)</f>
        <v>0</v>
      </c>
      <c r="AB44" s="14"/>
      <c r="AC44" s="11"/>
      <c r="AI4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" s="11">
        <f>SUMIFS(TableDailySummary[Costo de ventas registrado],TableDailySummary[Fecha],"&gt;="&amp;TableWeeklySummary[[#This Row],[Desde]],TableDailySummary[Fecha],"&lt;="&amp;TableWeeklySummary[[#This Row],[Hasta]])</f>
        <v>0</v>
      </c>
      <c r="AK44" s="11">
        <f>SUMIFS(TableDailySummary[Utilidad bruta],TableDailySummary[Fecha],"&gt;="&amp;TableWeeklySummary[[#This Row],[Desde]],TableDailySummary[Fecha],"&lt;="&amp;TableWeeklySummary[[#This Row],[Hasta]])</f>
        <v>0</v>
      </c>
      <c r="AL44" s="18">
        <f>IFERROR(TableWeeklySummary[[#This Row],[Utilidad bruta]]/TableWeeklySummary[[#This Row],[Ventas netas con costo registrado]],0)</f>
        <v>0</v>
      </c>
    </row>
    <row r="45" spans="2:38" x14ac:dyDescent="0.2">
      <c r="B45" s="16">
        <f>_xlfn.ISOWEEKNUM(TableWeeklySummary[[#This Row],[Hasta]])</f>
        <v>34</v>
      </c>
      <c r="C45" s="6">
        <f t="shared" si="1"/>
        <v>44792</v>
      </c>
      <c r="D45" s="6">
        <f>TableWeeklySummary[[#This Row],[Desde]]+7-1</f>
        <v>44798</v>
      </c>
      <c r="E45" s="11">
        <f>SUMIFS(TableDailySummary[Ventas netas totales],TableDailySummary[Fecha],"&gt;="&amp;TableWeeklySummary[[#This Row],[Desde]],TableDailySummary[Fecha],"&lt;="&amp;TableWeeklySummary[[#This Row],[Hasta]])</f>
        <v>0</v>
      </c>
      <c r="F45" s="11">
        <f>SUMIFS(TableDailySummary[Órdenes totales],TableDailySummary[Fecha],"&gt;="&amp;TableWeeklySummary[[#This Row],[Desde]],TableDailySummary[Fecha],"&lt;="&amp;TableWeeklySummary[[#This Row],[Hasta]])</f>
        <v>0</v>
      </c>
      <c r="G45" s="11">
        <f>IFERROR(TableWeeklySummary[[#This Row],[Ventas netas totales]]/TableWeeklySummary[[#This Row],[Órdenes totales]],0)</f>
        <v>0</v>
      </c>
      <c r="H4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" s="11">
        <f>TableWeeklySummary[[#This Row],[Órden promedio totales]]*TableWeeklySummary[[#This Row],[CR totales]]</f>
        <v>0</v>
      </c>
      <c r="J45" s="11">
        <f>SUMIFS(TableDailySummary[Ventas primer cliente],TableDailySummary[Fecha],"&gt;="&amp;TableWeeklySummary[[#This Row],[Desde]],TableDailySummary[Fecha],"&lt;="&amp;TableWeeklySummary[[#This Row],[Hasta]])</f>
        <v>0</v>
      </c>
      <c r="K45" s="11">
        <f>SUMIFS(TableDailySummary[Órdenes primer cliente],TableDailySummary[Fecha],"&gt;="&amp;TableWeeklySummary[[#This Row],[Desde]],TableDailySummary[Fecha],"&lt;="&amp;TableWeeklySummary[[#This Row],[Hasta]])</f>
        <v>0</v>
      </c>
      <c r="L45" s="11">
        <f>SUMIFS(TableDailySummary[Online Store_net_sales],TableDailySummary[Fecha],"&gt;="&amp;TableWeeklySummary[[#This Row],[Desde]],TableDailySummary[Fecha],"&lt;="&amp;TableWeeklySummary[[#This Row],[Hasta]])</f>
        <v>0</v>
      </c>
      <c r="M45" s="11">
        <f>SUMIFS(TableDailySummary[Online Store_orders],TableDailySummary[Fecha],"&gt;="&amp;TableWeeklySummary[[#This Row],[Desde]],TableDailySummary[Fecha],"&lt;="&amp;TableWeeklySummary[[#This Row],[Hasta]])</f>
        <v>0</v>
      </c>
      <c r="N45" s="11">
        <f>SUMIFS(TableDailySummary[Tienda 81_net_sales],TableDailySummary[Fecha],"&gt;="&amp;TableWeeklySummary[[#This Row],[Desde]],TableDailySummary[Fecha],"&lt;="&amp;TableWeeklySummary[[#This Row],[Hasta]])</f>
        <v>0</v>
      </c>
      <c r="O45" s="11">
        <f>SUMIFS(TableDailySummary[Tienda 81_orders],TableDailySummary[Fecha],"&gt;="&amp;TableWeeklySummary[[#This Row],[Desde]],TableDailySummary[Fecha],"&lt;="&amp;TableWeeklySummary[[#This Row],[Hasta]])</f>
        <v>0</v>
      </c>
      <c r="P45" s="11">
        <f>SUMIFS(TableDailySummary[Rappi_net_sales],TableDailySummary[Fecha],"&gt;="&amp;TableWeeklySummary[[#This Row],[Desde]],TableDailySummary[Fecha],"&lt;="&amp;TableWeeklySummary[[#This Row],[Hasta]])</f>
        <v>0</v>
      </c>
      <c r="Q45" s="11">
        <f>SUMIFS(TableDailySummary[Rappi_orders],TableDailySummary[Fecha],"&gt;="&amp;TableWeeklySummary[[#This Row],[Desde]],TableDailySummary[Fecha],"&lt;="&amp;TableWeeklySummary[[#This Row],[Hasta]])</f>
        <v>0</v>
      </c>
      <c r="R4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" s="11">
        <f>SUMIFS(TableDailySummary[Corporativo no tienda_orders],TableDailySummary[Fecha],"&gt;="&amp;TableWeeklySummary[[#This Row],[Desde]],TableDailySummary[Fecha],"&lt;="&amp;TableWeeklySummary[[#This Row],[Hasta]])</f>
        <v>0</v>
      </c>
      <c r="T45" s="11">
        <f>SUMIFS(TableDailySummary[Inversión google ads],TableDailySummary[Fecha],"&gt;="&amp;TableWeeklySummary[[#This Row],[Desde]],TableDailySummary[Fecha],"&lt;="&amp;TableWeeklySummary[[#This Row],[Hasta]])</f>
        <v>0</v>
      </c>
      <c r="U45" s="11">
        <f>SUMIFS(TableDailySummary[Ventas google ads],TableDailySummary[Fecha],"&gt;="&amp;TableWeeklySummary[[#This Row],[Desde]],TableDailySummary[Fecha],"&lt;="&amp;TableWeeklySummary[[#This Row],[Hasta]])</f>
        <v>0</v>
      </c>
      <c r="V45" s="11">
        <f>SUMIFS(TableDailySummary[Inversión meta ads],TableDailySummary[Fecha],"&gt;="&amp;TableWeeklySummary[[#This Row],[Desde]],TableDailySummary[Fecha],"&lt;="&amp;TableWeeklySummary[[#This Row],[Hasta]])</f>
        <v>0</v>
      </c>
      <c r="W45" s="11">
        <f>SUMIFS(TableDailySummary[Ventas meta ads],TableDailySummary[Fecha],"&gt;="&amp;TableWeeklySummary[[#This Row],[Desde]],TableDailySummary[Fecha],"&lt;="&amp;TableWeeklySummary[[#This Row],[Hasta]])</f>
        <v>0</v>
      </c>
      <c r="X45" s="11">
        <f>TableWeeklySummary[[#This Row],[Inversión google ads]]+TableWeeklySummary[[#This Row],[Inversión meta ads]]</f>
        <v>0</v>
      </c>
      <c r="Y45" s="11">
        <f>TableWeeklySummary[[#This Row],[Ventas google ads]]+TableWeeklySummary[[#This Row],[Ventas meta ads]]</f>
        <v>0</v>
      </c>
      <c r="Z45" s="14">
        <f>IFERROR(TableWeeklySummary[[#This Row],[Ventas publicidad]]/TableWeeklySummary[[#This Row],[Inversión publicidad]],0)</f>
        <v>0</v>
      </c>
      <c r="AA45" s="14">
        <f>IFERROR(TableWeeklySummary[[#This Row],[Ventas primer cliente]]/TableWeeklySummary[[#This Row],[Inversión publicidad]],0)</f>
        <v>0</v>
      </c>
      <c r="AB45" s="14"/>
      <c r="AC45" s="11"/>
      <c r="AI4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" s="11">
        <f>SUMIFS(TableDailySummary[Costo de ventas registrado],TableDailySummary[Fecha],"&gt;="&amp;TableWeeklySummary[[#This Row],[Desde]],TableDailySummary[Fecha],"&lt;="&amp;TableWeeklySummary[[#This Row],[Hasta]])</f>
        <v>0</v>
      </c>
      <c r="AK45" s="11">
        <f>SUMIFS(TableDailySummary[Utilidad bruta],TableDailySummary[Fecha],"&gt;="&amp;TableWeeklySummary[[#This Row],[Desde]],TableDailySummary[Fecha],"&lt;="&amp;TableWeeklySummary[[#This Row],[Hasta]])</f>
        <v>0</v>
      </c>
      <c r="AL45" s="18">
        <f>IFERROR(TableWeeklySummary[[#This Row],[Utilidad bruta]]/TableWeeklySummary[[#This Row],[Ventas netas con costo registrado]],0)</f>
        <v>0</v>
      </c>
    </row>
    <row r="46" spans="2:38" x14ac:dyDescent="0.2">
      <c r="B46" s="16">
        <f>_xlfn.ISOWEEKNUM(TableWeeklySummary[[#This Row],[Hasta]])</f>
        <v>35</v>
      </c>
      <c r="C46" s="6">
        <f t="shared" si="1"/>
        <v>44799</v>
      </c>
      <c r="D46" s="6">
        <f>TableWeeklySummary[[#This Row],[Desde]]+7-1</f>
        <v>44805</v>
      </c>
      <c r="E46" s="11">
        <f>SUMIFS(TableDailySummary[Ventas netas totales],TableDailySummary[Fecha],"&gt;="&amp;TableWeeklySummary[[#This Row],[Desde]],TableDailySummary[Fecha],"&lt;="&amp;TableWeeklySummary[[#This Row],[Hasta]])</f>
        <v>0</v>
      </c>
      <c r="F46" s="11">
        <f>SUMIFS(TableDailySummary[Órdenes totales],TableDailySummary[Fecha],"&gt;="&amp;TableWeeklySummary[[#This Row],[Desde]],TableDailySummary[Fecha],"&lt;="&amp;TableWeeklySummary[[#This Row],[Hasta]])</f>
        <v>0</v>
      </c>
      <c r="G46" s="11">
        <f>IFERROR(TableWeeklySummary[[#This Row],[Ventas netas totales]]/TableWeeklySummary[[#This Row],[Órdenes totales]],0)</f>
        <v>0</v>
      </c>
      <c r="H4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" s="11">
        <f>TableWeeklySummary[[#This Row],[Órden promedio totales]]*TableWeeklySummary[[#This Row],[CR totales]]</f>
        <v>0</v>
      </c>
      <c r="J46" s="11">
        <f>SUMIFS(TableDailySummary[Ventas primer cliente],TableDailySummary[Fecha],"&gt;="&amp;TableWeeklySummary[[#This Row],[Desde]],TableDailySummary[Fecha],"&lt;="&amp;TableWeeklySummary[[#This Row],[Hasta]])</f>
        <v>0</v>
      </c>
      <c r="K46" s="11">
        <f>SUMIFS(TableDailySummary[Órdenes primer cliente],TableDailySummary[Fecha],"&gt;="&amp;TableWeeklySummary[[#This Row],[Desde]],TableDailySummary[Fecha],"&lt;="&amp;TableWeeklySummary[[#This Row],[Hasta]])</f>
        <v>0</v>
      </c>
      <c r="L46" s="11">
        <f>SUMIFS(TableDailySummary[Online Store_net_sales],TableDailySummary[Fecha],"&gt;="&amp;TableWeeklySummary[[#This Row],[Desde]],TableDailySummary[Fecha],"&lt;="&amp;TableWeeklySummary[[#This Row],[Hasta]])</f>
        <v>0</v>
      </c>
      <c r="M46" s="11">
        <f>SUMIFS(TableDailySummary[Online Store_orders],TableDailySummary[Fecha],"&gt;="&amp;TableWeeklySummary[[#This Row],[Desde]],TableDailySummary[Fecha],"&lt;="&amp;TableWeeklySummary[[#This Row],[Hasta]])</f>
        <v>0</v>
      </c>
      <c r="N46" s="11">
        <f>SUMIFS(TableDailySummary[Tienda 81_net_sales],TableDailySummary[Fecha],"&gt;="&amp;TableWeeklySummary[[#This Row],[Desde]],TableDailySummary[Fecha],"&lt;="&amp;TableWeeklySummary[[#This Row],[Hasta]])</f>
        <v>0</v>
      </c>
      <c r="O46" s="11">
        <f>SUMIFS(TableDailySummary[Tienda 81_orders],TableDailySummary[Fecha],"&gt;="&amp;TableWeeklySummary[[#This Row],[Desde]],TableDailySummary[Fecha],"&lt;="&amp;TableWeeklySummary[[#This Row],[Hasta]])</f>
        <v>0</v>
      </c>
      <c r="P46" s="11">
        <f>SUMIFS(TableDailySummary[Rappi_net_sales],TableDailySummary[Fecha],"&gt;="&amp;TableWeeklySummary[[#This Row],[Desde]],TableDailySummary[Fecha],"&lt;="&amp;TableWeeklySummary[[#This Row],[Hasta]])</f>
        <v>0</v>
      </c>
      <c r="Q46" s="11">
        <f>SUMIFS(TableDailySummary[Rappi_orders],TableDailySummary[Fecha],"&gt;="&amp;TableWeeklySummary[[#This Row],[Desde]],TableDailySummary[Fecha],"&lt;="&amp;TableWeeklySummary[[#This Row],[Hasta]])</f>
        <v>0</v>
      </c>
      <c r="R4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" s="11">
        <f>SUMIFS(TableDailySummary[Corporativo no tienda_orders],TableDailySummary[Fecha],"&gt;="&amp;TableWeeklySummary[[#This Row],[Desde]],TableDailySummary[Fecha],"&lt;="&amp;TableWeeklySummary[[#This Row],[Hasta]])</f>
        <v>0</v>
      </c>
      <c r="T46" s="11">
        <f>SUMIFS(TableDailySummary[Inversión google ads],TableDailySummary[Fecha],"&gt;="&amp;TableWeeklySummary[[#This Row],[Desde]],TableDailySummary[Fecha],"&lt;="&amp;TableWeeklySummary[[#This Row],[Hasta]])</f>
        <v>0</v>
      </c>
      <c r="U46" s="11">
        <f>SUMIFS(TableDailySummary[Ventas google ads],TableDailySummary[Fecha],"&gt;="&amp;TableWeeklySummary[[#This Row],[Desde]],TableDailySummary[Fecha],"&lt;="&amp;TableWeeklySummary[[#This Row],[Hasta]])</f>
        <v>0</v>
      </c>
      <c r="V46" s="11">
        <f>SUMIFS(TableDailySummary[Inversión meta ads],TableDailySummary[Fecha],"&gt;="&amp;TableWeeklySummary[[#This Row],[Desde]],TableDailySummary[Fecha],"&lt;="&amp;TableWeeklySummary[[#This Row],[Hasta]])</f>
        <v>0</v>
      </c>
      <c r="W46" s="11">
        <f>SUMIFS(TableDailySummary[Ventas meta ads],TableDailySummary[Fecha],"&gt;="&amp;TableWeeklySummary[[#This Row],[Desde]],TableDailySummary[Fecha],"&lt;="&amp;TableWeeklySummary[[#This Row],[Hasta]])</f>
        <v>0</v>
      </c>
      <c r="X46" s="11">
        <f>TableWeeklySummary[[#This Row],[Inversión google ads]]+TableWeeklySummary[[#This Row],[Inversión meta ads]]</f>
        <v>0</v>
      </c>
      <c r="Y46" s="11">
        <f>TableWeeklySummary[[#This Row],[Ventas google ads]]+TableWeeklySummary[[#This Row],[Ventas meta ads]]</f>
        <v>0</v>
      </c>
      <c r="Z46" s="14">
        <f>IFERROR(TableWeeklySummary[[#This Row],[Ventas publicidad]]/TableWeeklySummary[[#This Row],[Inversión publicidad]],0)</f>
        <v>0</v>
      </c>
      <c r="AA46" s="14">
        <f>IFERROR(TableWeeklySummary[[#This Row],[Ventas primer cliente]]/TableWeeklySummary[[#This Row],[Inversión publicidad]],0)</f>
        <v>0</v>
      </c>
      <c r="AB46" s="14"/>
      <c r="AC46" s="11"/>
      <c r="AI4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" s="11">
        <f>SUMIFS(TableDailySummary[Costo de ventas registrado],TableDailySummary[Fecha],"&gt;="&amp;TableWeeklySummary[[#This Row],[Desde]],TableDailySummary[Fecha],"&lt;="&amp;TableWeeklySummary[[#This Row],[Hasta]])</f>
        <v>0</v>
      </c>
      <c r="AK46" s="11">
        <f>SUMIFS(TableDailySummary[Utilidad bruta],TableDailySummary[Fecha],"&gt;="&amp;TableWeeklySummary[[#This Row],[Desde]],TableDailySummary[Fecha],"&lt;="&amp;TableWeeklySummary[[#This Row],[Hasta]])</f>
        <v>0</v>
      </c>
      <c r="AL46" s="18">
        <f>IFERROR(TableWeeklySummary[[#This Row],[Utilidad bruta]]/TableWeeklySummary[[#This Row],[Ventas netas con costo registrado]],0)</f>
        <v>0</v>
      </c>
    </row>
    <row r="47" spans="2:38" x14ac:dyDescent="0.2">
      <c r="B47" s="16">
        <f>_xlfn.ISOWEEKNUM(TableWeeklySummary[[#This Row],[Hasta]])</f>
        <v>36</v>
      </c>
      <c r="C47" s="6">
        <f t="shared" si="1"/>
        <v>44806</v>
      </c>
      <c r="D47" s="6">
        <f>TableWeeklySummary[[#This Row],[Desde]]+7-1</f>
        <v>44812</v>
      </c>
      <c r="E47" s="11">
        <f>SUMIFS(TableDailySummary[Ventas netas totales],TableDailySummary[Fecha],"&gt;="&amp;TableWeeklySummary[[#This Row],[Desde]],TableDailySummary[Fecha],"&lt;="&amp;TableWeeklySummary[[#This Row],[Hasta]])</f>
        <v>0</v>
      </c>
      <c r="F47" s="11">
        <f>SUMIFS(TableDailySummary[Órdenes totales],TableDailySummary[Fecha],"&gt;="&amp;TableWeeklySummary[[#This Row],[Desde]],TableDailySummary[Fecha],"&lt;="&amp;TableWeeklySummary[[#This Row],[Hasta]])</f>
        <v>0</v>
      </c>
      <c r="G47" s="11">
        <f>IFERROR(TableWeeklySummary[[#This Row],[Ventas netas totales]]/TableWeeklySummary[[#This Row],[Órdenes totales]],0)</f>
        <v>0</v>
      </c>
      <c r="H4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" s="11">
        <f>TableWeeklySummary[[#This Row],[Órden promedio totales]]*TableWeeklySummary[[#This Row],[CR totales]]</f>
        <v>0</v>
      </c>
      <c r="J47" s="11">
        <f>SUMIFS(TableDailySummary[Ventas primer cliente],TableDailySummary[Fecha],"&gt;="&amp;TableWeeklySummary[[#This Row],[Desde]],TableDailySummary[Fecha],"&lt;="&amp;TableWeeklySummary[[#This Row],[Hasta]])</f>
        <v>0</v>
      </c>
      <c r="K47" s="11">
        <f>SUMIFS(TableDailySummary[Órdenes primer cliente],TableDailySummary[Fecha],"&gt;="&amp;TableWeeklySummary[[#This Row],[Desde]],TableDailySummary[Fecha],"&lt;="&amp;TableWeeklySummary[[#This Row],[Hasta]])</f>
        <v>0</v>
      </c>
      <c r="L47" s="11">
        <f>SUMIFS(TableDailySummary[Online Store_net_sales],TableDailySummary[Fecha],"&gt;="&amp;TableWeeklySummary[[#This Row],[Desde]],TableDailySummary[Fecha],"&lt;="&amp;TableWeeklySummary[[#This Row],[Hasta]])</f>
        <v>0</v>
      </c>
      <c r="M47" s="11">
        <f>SUMIFS(TableDailySummary[Online Store_orders],TableDailySummary[Fecha],"&gt;="&amp;TableWeeklySummary[[#This Row],[Desde]],TableDailySummary[Fecha],"&lt;="&amp;TableWeeklySummary[[#This Row],[Hasta]])</f>
        <v>0</v>
      </c>
      <c r="N47" s="11">
        <f>SUMIFS(TableDailySummary[Tienda 81_net_sales],TableDailySummary[Fecha],"&gt;="&amp;TableWeeklySummary[[#This Row],[Desde]],TableDailySummary[Fecha],"&lt;="&amp;TableWeeklySummary[[#This Row],[Hasta]])</f>
        <v>0</v>
      </c>
      <c r="O47" s="11">
        <f>SUMIFS(TableDailySummary[Tienda 81_orders],TableDailySummary[Fecha],"&gt;="&amp;TableWeeklySummary[[#This Row],[Desde]],TableDailySummary[Fecha],"&lt;="&amp;TableWeeklySummary[[#This Row],[Hasta]])</f>
        <v>0</v>
      </c>
      <c r="P47" s="11">
        <f>SUMIFS(TableDailySummary[Rappi_net_sales],TableDailySummary[Fecha],"&gt;="&amp;TableWeeklySummary[[#This Row],[Desde]],TableDailySummary[Fecha],"&lt;="&amp;TableWeeklySummary[[#This Row],[Hasta]])</f>
        <v>0</v>
      </c>
      <c r="Q47" s="11">
        <f>SUMIFS(TableDailySummary[Rappi_orders],TableDailySummary[Fecha],"&gt;="&amp;TableWeeklySummary[[#This Row],[Desde]],TableDailySummary[Fecha],"&lt;="&amp;TableWeeklySummary[[#This Row],[Hasta]])</f>
        <v>0</v>
      </c>
      <c r="R4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" s="11">
        <f>SUMIFS(TableDailySummary[Corporativo no tienda_orders],TableDailySummary[Fecha],"&gt;="&amp;TableWeeklySummary[[#This Row],[Desde]],TableDailySummary[Fecha],"&lt;="&amp;TableWeeklySummary[[#This Row],[Hasta]])</f>
        <v>0</v>
      </c>
      <c r="T47" s="11">
        <f>SUMIFS(TableDailySummary[Inversión google ads],TableDailySummary[Fecha],"&gt;="&amp;TableWeeklySummary[[#This Row],[Desde]],TableDailySummary[Fecha],"&lt;="&amp;TableWeeklySummary[[#This Row],[Hasta]])</f>
        <v>0</v>
      </c>
      <c r="U47" s="11">
        <f>SUMIFS(TableDailySummary[Ventas google ads],TableDailySummary[Fecha],"&gt;="&amp;TableWeeklySummary[[#This Row],[Desde]],TableDailySummary[Fecha],"&lt;="&amp;TableWeeklySummary[[#This Row],[Hasta]])</f>
        <v>0</v>
      </c>
      <c r="V47" s="11">
        <f>SUMIFS(TableDailySummary[Inversión meta ads],TableDailySummary[Fecha],"&gt;="&amp;TableWeeklySummary[[#This Row],[Desde]],TableDailySummary[Fecha],"&lt;="&amp;TableWeeklySummary[[#This Row],[Hasta]])</f>
        <v>0</v>
      </c>
      <c r="W47" s="11">
        <f>SUMIFS(TableDailySummary[Ventas meta ads],TableDailySummary[Fecha],"&gt;="&amp;TableWeeklySummary[[#This Row],[Desde]],TableDailySummary[Fecha],"&lt;="&amp;TableWeeklySummary[[#This Row],[Hasta]])</f>
        <v>0</v>
      </c>
      <c r="X47" s="11">
        <f>TableWeeklySummary[[#This Row],[Inversión google ads]]+TableWeeklySummary[[#This Row],[Inversión meta ads]]</f>
        <v>0</v>
      </c>
      <c r="Y47" s="11">
        <f>TableWeeklySummary[[#This Row],[Ventas google ads]]+TableWeeklySummary[[#This Row],[Ventas meta ads]]</f>
        <v>0</v>
      </c>
      <c r="Z47" s="14">
        <f>IFERROR(TableWeeklySummary[[#This Row],[Ventas publicidad]]/TableWeeklySummary[[#This Row],[Inversión publicidad]],0)</f>
        <v>0</v>
      </c>
      <c r="AA47" s="14">
        <f>IFERROR(TableWeeklySummary[[#This Row],[Ventas primer cliente]]/TableWeeklySummary[[#This Row],[Inversión publicidad]],0)</f>
        <v>0</v>
      </c>
      <c r="AB47" s="14"/>
      <c r="AC47" s="11"/>
      <c r="AI4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" s="11">
        <f>SUMIFS(TableDailySummary[Costo de ventas registrado],TableDailySummary[Fecha],"&gt;="&amp;TableWeeklySummary[[#This Row],[Desde]],TableDailySummary[Fecha],"&lt;="&amp;TableWeeklySummary[[#This Row],[Hasta]])</f>
        <v>0</v>
      </c>
      <c r="AK47" s="11">
        <f>SUMIFS(TableDailySummary[Utilidad bruta],TableDailySummary[Fecha],"&gt;="&amp;TableWeeklySummary[[#This Row],[Desde]],TableDailySummary[Fecha],"&lt;="&amp;TableWeeklySummary[[#This Row],[Hasta]])</f>
        <v>0</v>
      </c>
      <c r="AL47" s="18">
        <f>IFERROR(TableWeeklySummary[[#This Row],[Utilidad bruta]]/TableWeeklySummary[[#This Row],[Ventas netas con costo registrado]],0)</f>
        <v>0</v>
      </c>
    </row>
    <row r="48" spans="2:38" x14ac:dyDescent="0.2">
      <c r="B48" s="16">
        <f>_xlfn.ISOWEEKNUM(TableWeeklySummary[[#This Row],[Hasta]])</f>
        <v>37</v>
      </c>
      <c r="C48" s="6">
        <f t="shared" si="1"/>
        <v>44813</v>
      </c>
      <c r="D48" s="6">
        <f>TableWeeklySummary[[#This Row],[Desde]]+7-1</f>
        <v>44819</v>
      </c>
      <c r="E48" s="11">
        <f>SUMIFS(TableDailySummary[Ventas netas totales],TableDailySummary[Fecha],"&gt;="&amp;TableWeeklySummary[[#This Row],[Desde]],TableDailySummary[Fecha],"&lt;="&amp;TableWeeklySummary[[#This Row],[Hasta]])</f>
        <v>0</v>
      </c>
      <c r="F48" s="11">
        <f>SUMIFS(TableDailySummary[Órdenes totales],TableDailySummary[Fecha],"&gt;="&amp;TableWeeklySummary[[#This Row],[Desde]],TableDailySummary[Fecha],"&lt;="&amp;TableWeeklySummary[[#This Row],[Hasta]])</f>
        <v>0</v>
      </c>
      <c r="G48" s="11">
        <f>IFERROR(TableWeeklySummary[[#This Row],[Ventas netas totales]]/TableWeeklySummary[[#This Row],[Órdenes totales]],0)</f>
        <v>0</v>
      </c>
      <c r="H4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" s="11">
        <f>TableWeeklySummary[[#This Row],[Órden promedio totales]]*TableWeeklySummary[[#This Row],[CR totales]]</f>
        <v>0</v>
      </c>
      <c r="J48" s="11">
        <f>SUMIFS(TableDailySummary[Ventas primer cliente],TableDailySummary[Fecha],"&gt;="&amp;TableWeeklySummary[[#This Row],[Desde]],TableDailySummary[Fecha],"&lt;="&amp;TableWeeklySummary[[#This Row],[Hasta]])</f>
        <v>0</v>
      </c>
      <c r="K48" s="11">
        <f>SUMIFS(TableDailySummary[Órdenes primer cliente],TableDailySummary[Fecha],"&gt;="&amp;TableWeeklySummary[[#This Row],[Desde]],TableDailySummary[Fecha],"&lt;="&amp;TableWeeklySummary[[#This Row],[Hasta]])</f>
        <v>0</v>
      </c>
      <c r="L48" s="11">
        <f>SUMIFS(TableDailySummary[Online Store_net_sales],TableDailySummary[Fecha],"&gt;="&amp;TableWeeklySummary[[#This Row],[Desde]],TableDailySummary[Fecha],"&lt;="&amp;TableWeeklySummary[[#This Row],[Hasta]])</f>
        <v>0</v>
      </c>
      <c r="M48" s="11">
        <f>SUMIFS(TableDailySummary[Online Store_orders],TableDailySummary[Fecha],"&gt;="&amp;TableWeeklySummary[[#This Row],[Desde]],TableDailySummary[Fecha],"&lt;="&amp;TableWeeklySummary[[#This Row],[Hasta]])</f>
        <v>0</v>
      </c>
      <c r="N48" s="11">
        <f>SUMIFS(TableDailySummary[Tienda 81_net_sales],TableDailySummary[Fecha],"&gt;="&amp;TableWeeklySummary[[#This Row],[Desde]],TableDailySummary[Fecha],"&lt;="&amp;TableWeeklySummary[[#This Row],[Hasta]])</f>
        <v>0</v>
      </c>
      <c r="O48" s="11">
        <f>SUMIFS(TableDailySummary[Tienda 81_orders],TableDailySummary[Fecha],"&gt;="&amp;TableWeeklySummary[[#This Row],[Desde]],TableDailySummary[Fecha],"&lt;="&amp;TableWeeklySummary[[#This Row],[Hasta]])</f>
        <v>0</v>
      </c>
      <c r="P48" s="11">
        <f>SUMIFS(TableDailySummary[Rappi_net_sales],TableDailySummary[Fecha],"&gt;="&amp;TableWeeklySummary[[#This Row],[Desde]],TableDailySummary[Fecha],"&lt;="&amp;TableWeeklySummary[[#This Row],[Hasta]])</f>
        <v>0</v>
      </c>
      <c r="Q48" s="11">
        <f>SUMIFS(TableDailySummary[Rappi_orders],TableDailySummary[Fecha],"&gt;="&amp;TableWeeklySummary[[#This Row],[Desde]],TableDailySummary[Fecha],"&lt;="&amp;TableWeeklySummary[[#This Row],[Hasta]])</f>
        <v>0</v>
      </c>
      <c r="R4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" s="11">
        <f>SUMIFS(TableDailySummary[Corporativo no tienda_orders],TableDailySummary[Fecha],"&gt;="&amp;TableWeeklySummary[[#This Row],[Desde]],TableDailySummary[Fecha],"&lt;="&amp;TableWeeklySummary[[#This Row],[Hasta]])</f>
        <v>0</v>
      </c>
      <c r="T48" s="11">
        <f>SUMIFS(TableDailySummary[Inversión google ads],TableDailySummary[Fecha],"&gt;="&amp;TableWeeklySummary[[#This Row],[Desde]],TableDailySummary[Fecha],"&lt;="&amp;TableWeeklySummary[[#This Row],[Hasta]])</f>
        <v>0</v>
      </c>
      <c r="U48" s="11">
        <f>SUMIFS(TableDailySummary[Ventas google ads],TableDailySummary[Fecha],"&gt;="&amp;TableWeeklySummary[[#This Row],[Desde]],TableDailySummary[Fecha],"&lt;="&amp;TableWeeklySummary[[#This Row],[Hasta]])</f>
        <v>0</v>
      </c>
      <c r="V48" s="11">
        <f>SUMIFS(TableDailySummary[Inversión meta ads],TableDailySummary[Fecha],"&gt;="&amp;TableWeeklySummary[[#This Row],[Desde]],TableDailySummary[Fecha],"&lt;="&amp;TableWeeklySummary[[#This Row],[Hasta]])</f>
        <v>0</v>
      </c>
      <c r="W48" s="11">
        <f>SUMIFS(TableDailySummary[Ventas meta ads],TableDailySummary[Fecha],"&gt;="&amp;TableWeeklySummary[[#This Row],[Desde]],TableDailySummary[Fecha],"&lt;="&amp;TableWeeklySummary[[#This Row],[Hasta]])</f>
        <v>0</v>
      </c>
      <c r="X48" s="11">
        <f>TableWeeklySummary[[#This Row],[Inversión google ads]]+TableWeeklySummary[[#This Row],[Inversión meta ads]]</f>
        <v>0</v>
      </c>
      <c r="Y48" s="11">
        <f>TableWeeklySummary[[#This Row],[Ventas google ads]]+TableWeeklySummary[[#This Row],[Ventas meta ads]]</f>
        <v>0</v>
      </c>
      <c r="Z48" s="14">
        <f>IFERROR(TableWeeklySummary[[#This Row],[Ventas publicidad]]/TableWeeklySummary[[#This Row],[Inversión publicidad]],0)</f>
        <v>0</v>
      </c>
      <c r="AA48" s="14">
        <f>IFERROR(TableWeeklySummary[[#This Row],[Ventas primer cliente]]/TableWeeklySummary[[#This Row],[Inversión publicidad]],0)</f>
        <v>0</v>
      </c>
      <c r="AB48" s="14"/>
      <c r="AC48" s="11"/>
      <c r="AI4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" s="11">
        <f>SUMIFS(TableDailySummary[Costo de ventas registrado],TableDailySummary[Fecha],"&gt;="&amp;TableWeeklySummary[[#This Row],[Desde]],TableDailySummary[Fecha],"&lt;="&amp;TableWeeklySummary[[#This Row],[Hasta]])</f>
        <v>0</v>
      </c>
      <c r="AK48" s="11">
        <f>SUMIFS(TableDailySummary[Utilidad bruta],TableDailySummary[Fecha],"&gt;="&amp;TableWeeklySummary[[#This Row],[Desde]],TableDailySummary[Fecha],"&lt;="&amp;TableWeeklySummary[[#This Row],[Hasta]])</f>
        <v>0</v>
      </c>
      <c r="AL48" s="18">
        <f>IFERROR(TableWeeklySummary[[#This Row],[Utilidad bruta]]/TableWeeklySummary[[#This Row],[Ventas netas con costo registrado]],0)</f>
        <v>0</v>
      </c>
    </row>
    <row r="49" spans="2:38" x14ac:dyDescent="0.2">
      <c r="B49" s="16">
        <f>_xlfn.ISOWEEKNUM(TableWeeklySummary[[#This Row],[Hasta]])</f>
        <v>38</v>
      </c>
      <c r="C49" s="6">
        <f t="shared" si="1"/>
        <v>44820</v>
      </c>
      <c r="D49" s="6">
        <f>TableWeeklySummary[[#This Row],[Desde]]+7-1</f>
        <v>44826</v>
      </c>
      <c r="E49" s="11">
        <f>SUMIFS(TableDailySummary[Ventas netas totales],TableDailySummary[Fecha],"&gt;="&amp;TableWeeklySummary[[#This Row],[Desde]],TableDailySummary[Fecha],"&lt;="&amp;TableWeeklySummary[[#This Row],[Hasta]])</f>
        <v>0</v>
      </c>
      <c r="F49" s="11">
        <f>SUMIFS(TableDailySummary[Órdenes totales],TableDailySummary[Fecha],"&gt;="&amp;TableWeeklySummary[[#This Row],[Desde]],TableDailySummary[Fecha],"&lt;="&amp;TableWeeklySummary[[#This Row],[Hasta]])</f>
        <v>0</v>
      </c>
      <c r="G49" s="11">
        <f>IFERROR(TableWeeklySummary[[#This Row],[Ventas netas totales]]/TableWeeklySummary[[#This Row],[Órdenes totales]],0)</f>
        <v>0</v>
      </c>
      <c r="H4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" s="11">
        <f>TableWeeklySummary[[#This Row],[Órden promedio totales]]*TableWeeklySummary[[#This Row],[CR totales]]</f>
        <v>0</v>
      </c>
      <c r="J49" s="11">
        <f>SUMIFS(TableDailySummary[Ventas primer cliente],TableDailySummary[Fecha],"&gt;="&amp;TableWeeklySummary[[#This Row],[Desde]],TableDailySummary[Fecha],"&lt;="&amp;TableWeeklySummary[[#This Row],[Hasta]])</f>
        <v>0</v>
      </c>
      <c r="K49" s="11">
        <f>SUMIFS(TableDailySummary[Órdenes primer cliente],TableDailySummary[Fecha],"&gt;="&amp;TableWeeklySummary[[#This Row],[Desde]],TableDailySummary[Fecha],"&lt;="&amp;TableWeeklySummary[[#This Row],[Hasta]])</f>
        <v>0</v>
      </c>
      <c r="L49" s="11">
        <f>SUMIFS(TableDailySummary[Online Store_net_sales],TableDailySummary[Fecha],"&gt;="&amp;TableWeeklySummary[[#This Row],[Desde]],TableDailySummary[Fecha],"&lt;="&amp;TableWeeklySummary[[#This Row],[Hasta]])</f>
        <v>0</v>
      </c>
      <c r="M49" s="11">
        <f>SUMIFS(TableDailySummary[Online Store_orders],TableDailySummary[Fecha],"&gt;="&amp;TableWeeklySummary[[#This Row],[Desde]],TableDailySummary[Fecha],"&lt;="&amp;TableWeeklySummary[[#This Row],[Hasta]])</f>
        <v>0</v>
      </c>
      <c r="N49" s="11">
        <f>SUMIFS(TableDailySummary[Tienda 81_net_sales],TableDailySummary[Fecha],"&gt;="&amp;TableWeeklySummary[[#This Row],[Desde]],TableDailySummary[Fecha],"&lt;="&amp;TableWeeklySummary[[#This Row],[Hasta]])</f>
        <v>0</v>
      </c>
      <c r="O49" s="11">
        <f>SUMIFS(TableDailySummary[Tienda 81_orders],TableDailySummary[Fecha],"&gt;="&amp;TableWeeklySummary[[#This Row],[Desde]],TableDailySummary[Fecha],"&lt;="&amp;TableWeeklySummary[[#This Row],[Hasta]])</f>
        <v>0</v>
      </c>
      <c r="P49" s="11">
        <f>SUMIFS(TableDailySummary[Rappi_net_sales],TableDailySummary[Fecha],"&gt;="&amp;TableWeeklySummary[[#This Row],[Desde]],TableDailySummary[Fecha],"&lt;="&amp;TableWeeklySummary[[#This Row],[Hasta]])</f>
        <v>0</v>
      </c>
      <c r="Q49" s="11">
        <f>SUMIFS(TableDailySummary[Rappi_orders],TableDailySummary[Fecha],"&gt;="&amp;TableWeeklySummary[[#This Row],[Desde]],TableDailySummary[Fecha],"&lt;="&amp;TableWeeklySummary[[#This Row],[Hasta]])</f>
        <v>0</v>
      </c>
      <c r="R4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" s="11">
        <f>SUMIFS(TableDailySummary[Corporativo no tienda_orders],TableDailySummary[Fecha],"&gt;="&amp;TableWeeklySummary[[#This Row],[Desde]],TableDailySummary[Fecha],"&lt;="&amp;TableWeeklySummary[[#This Row],[Hasta]])</f>
        <v>0</v>
      </c>
      <c r="T49" s="11">
        <f>SUMIFS(TableDailySummary[Inversión google ads],TableDailySummary[Fecha],"&gt;="&amp;TableWeeklySummary[[#This Row],[Desde]],TableDailySummary[Fecha],"&lt;="&amp;TableWeeklySummary[[#This Row],[Hasta]])</f>
        <v>0</v>
      </c>
      <c r="U49" s="11">
        <f>SUMIFS(TableDailySummary[Ventas google ads],TableDailySummary[Fecha],"&gt;="&amp;TableWeeklySummary[[#This Row],[Desde]],TableDailySummary[Fecha],"&lt;="&amp;TableWeeklySummary[[#This Row],[Hasta]])</f>
        <v>0</v>
      </c>
      <c r="V49" s="11">
        <f>SUMIFS(TableDailySummary[Inversión meta ads],TableDailySummary[Fecha],"&gt;="&amp;TableWeeklySummary[[#This Row],[Desde]],TableDailySummary[Fecha],"&lt;="&amp;TableWeeklySummary[[#This Row],[Hasta]])</f>
        <v>0</v>
      </c>
      <c r="W49" s="11">
        <f>SUMIFS(TableDailySummary[Ventas meta ads],TableDailySummary[Fecha],"&gt;="&amp;TableWeeklySummary[[#This Row],[Desde]],TableDailySummary[Fecha],"&lt;="&amp;TableWeeklySummary[[#This Row],[Hasta]])</f>
        <v>0</v>
      </c>
      <c r="X49" s="11">
        <f>TableWeeklySummary[[#This Row],[Inversión google ads]]+TableWeeklySummary[[#This Row],[Inversión meta ads]]</f>
        <v>0</v>
      </c>
      <c r="Y49" s="11">
        <f>TableWeeklySummary[[#This Row],[Ventas google ads]]+TableWeeklySummary[[#This Row],[Ventas meta ads]]</f>
        <v>0</v>
      </c>
      <c r="Z49" s="14">
        <f>IFERROR(TableWeeklySummary[[#This Row],[Ventas publicidad]]/TableWeeklySummary[[#This Row],[Inversión publicidad]],0)</f>
        <v>0</v>
      </c>
      <c r="AA49" s="14">
        <f>IFERROR(TableWeeklySummary[[#This Row],[Ventas primer cliente]]/TableWeeklySummary[[#This Row],[Inversión publicidad]],0)</f>
        <v>0</v>
      </c>
      <c r="AB49" s="14"/>
      <c r="AC49" s="11"/>
      <c r="AI4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" s="11">
        <f>SUMIFS(TableDailySummary[Costo de ventas registrado],TableDailySummary[Fecha],"&gt;="&amp;TableWeeklySummary[[#This Row],[Desde]],TableDailySummary[Fecha],"&lt;="&amp;TableWeeklySummary[[#This Row],[Hasta]])</f>
        <v>0</v>
      </c>
      <c r="AK49" s="11">
        <f>SUMIFS(TableDailySummary[Utilidad bruta],TableDailySummary[Fecha],"&gt;="&amp;TableWeeklySummary[[#This Row],[Desde]],TableDailySummary[Fecha],"&lt;="&amp;TableWeeklySummary[[#This Row],[Hasta]])</f>
        <v>0</v>
      </c>
      <c r="AL49" s="18">
        <f>IFERROR(TableWeeklySummary[[#This Row],[Utilidad bruta]]/TableWeeklySummary[[#This Row],[Ventas netas con costo registrado]],0)</f>
        <v>0</v>
      </c>
    </row>
    <row r="50" spans="2:38" x14ac:dyDescent="0.2">
      <c r="B50" s="16">
        <f>_xlfn.ISOWEEKNUM(TableWeeklySummary[[#This Row],[Hasta]])</f>
        <v>39</v>
      </c>
      <c r="C50" s="6">
        <f t="shared" si="1"/>
        <v>44827</v>
      </c>
      <c r="D50" s="6">
        <f>TableWeeklySummary[[#This Row],[Desde]]+7-1</f>
        <v>44833</v>
      </c>
      <c r="E50" s="11">
        <f>SUMIFS(TableDailySummary[Ventas netas totales],TableDailySummary[Fecha],"&gt;="&amp;TableWeeklySummary[[#This Row],[Desde]],TableDailySummary[Fecha],"&lt;="&amp;TableWeeklySummary[[#This Row],[Hasta]])</f>
        <v>0</v>
      </c>
      <c r="F50" s="11">
        <f>SUMIFS(TableDailySummary[Órdenes totales],TableDailySummary[Fecha],"&gt;="&amp;TableWeeklySummary[[#This Row],[Desde]],TableDailySummary[Fecha],"&lt;="&amp;TableWeeklySummary[[#This Row],[Hasta]])</f>
        <v>0</v>
      </c>
      <c r="G50" s="11">
        <f>IFERROR(TableWeeklySummary[[#This Row],[Ventas netas totales]]/TableWeeklySummary[[#This Row],[Órdenes totales]],0)</f>
        <v>0</v>
      </c>
      <c r="H5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0" s="11">
        <f>TableWeeklySummary[[#This Row],[Órden promedio totales]]*TableWeeklySummary[[#This Row],[CR totales]]</f>
        <v>0</v>
      </c>
      <c r="J50" s="11">
        <f>SUMIFS(TableDailySummary[Ventas primer cliente],TableDailySummary[Fecha],"&gt;="&amp;TableWeeklySummary[[#This Row],[Desde]],TableDailySummary[Fecha],"&lt;="&amp;TableWeeklySummary[[#This Row],[Hasta]])</f>
        <v>0</v>
      </c>
      <c r="K50" s="11">
        <f>SUMIFS(TableDailySummary[Órdenes primer cliente],TableDailySummary[Fecha],"&gt;="&amp;TableWeeklySummary[[#This Row],[Desde]],TableDailySummary[Fecha],"&lt;="&amp;TableWeeklySummary[[#This Row],[Hasta]])</f>
        <v>0</v>
      </c>
      <c r="L50" s="11">
        <f>SUMIFS(TableDailySummary[Online Store_net_sales],TableDailySummary[Fecha],"&gt;="&amp;TableWeeklySummary[[#This Row],[Desde]],TableDailySummary[Fecha],"&lt;="&amp;TableWeeklySummary[[#This Row],[Hasta]])</f>
        <v>0</v>
      </c>
      <c r="M50" s="11">
        <f>SUMIFS(TableDailySummary[Online Store_orders],TableDailySummary[Fecha],"&gt;="&amp;TableWeeklySummary[[#This Row],[Desde]],TableDailySummary[Fecha],"&lt;="&amp;TableWeeklySummary[[#This Row],[Hasta]])</f>
        <v>0</v>
      </c>
      <c r="N50" s="11">
        <f>SUMIFS(TableDailySummary[Tienda 81_net_sales],TableDailySummary[Fecha],"&gt;="&amp;TableWeeklySummary[[#This Row],[Desde]],TableDailySummary[Fecha],"&lt;="&amp;TableWeeklySummary[[#This Row],[Hasta]])</f>
        <v>0</v>
      </c>
      <c r="O50" s="11">
        <f>SUMIFS(TableDailySummary[Tienda 81_orders],TableDailySummary[Fecha],"&gt;="&amp;TableWeeklySummary[[#This Row],[Desde]],TableDailySummary[Fecha],"&lt;="&amp;TableWeeklySummary[[#This Row],[Hasta]])</f>
        <v>0</v>
      </c>
      <c r="P50" s="11">
        <f>SUMIFS(TableDailySummary[Rappi_net_sales],TableDailySummary[Fecha],"&gt;="&amp;TableWeeklySummary[[#This Row],[Desde]],TableDailySummary[Fecha],"&lt;="&amp;TableWeeklySummary[[#This Row],[Hasta]])</f>
        <v>0</v>
      </c>
      <c r="Q50" s="11">
        <f>SUMIFS(TableDailySummary[Rappi_orders],TableDailySummary[Fecha],"&gt;="&amp;TableWeeklySummary[[#This Row],[Desde]],TableDailySummary[Fecha],"&lt;="&amp;TableWeeklySummary[[#This Row],[Hasta]])</f>
        <v>0</v>
      </c>
      <c r="R5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0" s="11">
        <f>SUMIFS(TableDailySummary[Corporativo no tienda_orders],TableDailySummary[Fecha],"&gt;="&amp;TableWeeklySummary[[#This Row],[Desde]],TableDailySummary[Fecha],"&lt;="&amp;TableWeeklySummary[[#This Row],[Hasta]])</f>
        <v>0</v>
      </c>
      <c r="T50" s="11">
        <f>SUMIFS(TableDailySummary[Inversión google ads],TableDailySummary[Fecha],"&gt;="&amp;TableWeeklySummary[[#This Row],[Desde]],TableDailySummary[Fecha],"&lt;="&amp;TableWeeklySummary[[#This Row],[Hasta]])</f>
        <v>0</v>
      </c>
      <c r="U50" s="11">
        <f>SUMIFS(TableDailySummary[Ventas google ads],TableDailySummary[Fecha],"&gt;="&amp;TableWeeklySummary[[#This Row],[Desde]],TableDailySummary[Fecha],"&lt;="&amp;TableWeeklySummary[[#This Row],[Hasta]])</f>
        <v>0</v>
      </c>
      <c r="V50" s="11">
        <f>SUMIFS(TableDailySummary[Inversión meta ads],TableDailySummary[Fecha],"&gt;="&amp;TableWeeklySummary[[#This Row],[Desde]],TableDailySummary[Fecha],"&lt;="&amp;TableWeeklySummary[[#This Row],[Hasta]])</f>
        <v>0</v>
      </c>
      <c r="W50" s="11">
        <f>SUMIFS(TableDailySummary[Ventas meta ads],TableDailySummary[Fecha],"&gt;="&amp;TableWeeklySummary[[#This Row],[Desde]],TableDailySummary[Fecha],"&lt;="&amp;TableWeeklySummary[[#This Row],[Hasta]])</f>
        <v>0</v>
      </c>
      <c r="X50" s="11">
        <f>TableWeeklySummary[[#This Row],[Inversión google ads]]+TableWeeklySummary[[#This Row],[Inversión meta ads]]</f>
        <v>0</v>
      </c>
      <c r="Y50" s="11">
        <f>TableWeeklySummary[[#This Row],[Ventas google ads]]+TableWeeklySummary[[#This Row],[Ventas meta ads]]</f>
        <v>0</v>
      </c>
      <c r="Z50" s="14">
        <f>IFERROR(TableWeeklySummary[[#This Row],[Ventas publicidad]]/TableWeeklySummary[[#This Row],[Inversión publicidad]],0)</f>
        <v>0</v>
      </c>
      <c r="AA50" s="14">
        <f>IFERROR(TableWeeklySummary[[#This Row],[Ventas primer cliente]]/TableWeeklySummary[[#This Row],[Inversión publicidad]],0)</f>
        <v>0</v>
      </c>
      <c r="AB50" s="14"/>
      <c r="AC50" s="11"/>
      <c r="AI5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0" s="11">
        <f>SUMIFS(TableDailySummary[Costo de ventas registrado],TableDailySummary[Fecha],"&gt;="&amp;TableWeeklySummary[[#This Row],[Desde]],TableDailySummary[Fecha],"&lt;="&amp;TableWeeklySummary[[#This Row],[Hasta]])</f>
        <v>0</v>
      </c>
      <c r="AK50" s="11">
        <f>SUMIFS(TableDailySummary[Utilidad bruta],TableDailySummary[Fecha],"&gt;="&amp;TableWeeklySummary[[#This Row],[Desde]],TableDailySummary[Fecha],"&lt;="&amp;TableWeeklySummary[[#This Row],[Hasta]])</f>
        <v>0</v>
      </c>
      <c r="AL50" s="18">
        <f>IFERROR(TableWeeklySummary[[#This Row],[Utilidad bruta]]/TableWeeklySummary[[#This Row],[Ventas netas con costo registrado]],0)</f>
        <v>0</v>
      </c>
    </row>
    <row r="51" spans="2:38" x14ac:dyDescent="0.2">
      <c r="B51" s="16">
        <f>_xlfn.ISOWEEKNUM(TableWeeklySummary[[#This Row],[Hasta]])</f>
        <v>40</v>
      </c>
      <c r="C51" s="6">
        <f t="shared" si="1"/>
        <v>44834</v>
      </c>
      <c r="D51" s="6">
        <f>TableWeeklySummary[[#This Row],[Desde]]+7-1</f>
        <v>44840</v>
      </c>
      <c r="E51" s="11">
        <f>SUMIFS(TableDailySummary[Ventas netas totales],TableDailySummary[Fecha],"&gt;="&amp;TableWeeklySummary[[#This Row],[Desde]],TableDailySummary[Fecha],"&lt;="&amp;TableWeeklySummary[[#This Row],[Hasta]])</f>
        <v>0</v>
      </c>
      <c r="F51" s="11">
        <f>SUMIFS(TableDailySummary[Órdenes totales],TableDailySummary[Fecha],"&gt;="&amp;TableWeeklySummary[[#This Row],[Desde]],TableDailySummary[Fecha],"&lt;="&amp;TableWeeklySummary[[#This Row],[Hasta]])</f>
        <v>0</v>
      </c>
      <c r="G51" s="11">
        <f>IFERROR(TableWeeklySummary[[#This Row],[Ventas netas totales]]/TableWeeklySummary[[#This Row],[Órdenes totales]],0)</f>
        <v>0</v>
      </c>
      <c r="H5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1" s="11">
        <f>TableWeeklySummary[[#This Row],[Órden promedio totales]]*TableWeeklySummary[[#This Row],[CR totales]]</f>
        <v>0</v>
      </c>
      <c r="J51" s="11">
        <f>SUMIFS(TableDailySummary[Ventas primer cliente],TableDailySummary[Fecha],"&gt;="&amp;TableWeeklySummary[[#This Row],[Desde]],TableDailySummary[Fecha],"&lt;="&amp;TableWeeklySummary[[#This Row],[Hasta]])</f>
        <v>0</v>
      </c>
      <c r="K51" s="11">
        <f>SUMIFS(TableDailySummary[Órdenes primer cliente],TableDailySummary[Fecha],"&gt;="&amp;TableWeeklySummary[[#This Row],[Desde]],TableDailySummary[Fecha],"&lt;="&amp;TableWeeklySummary[[#This Row],[Hasta]])</f>
        <v>0</v>
      </c>
      <c r="L51" s="11">
        <f>SUMIFS(TableDailySummary[Online Store_net_sales],TableDailySummary[Fecha],"&gt;="&amp;TableWeeklySummary[[#This Row],[Desde]],TableDailySummary[Fecha],"&lt;="&amp;TableWeeklySummary[[#This Row],[Hasta]])</f>
        <v>0</v>
      </c>
      <c r="M51" s="11">
        <f>SUMIFS(TableDailySummary[Online Store_orders],TableDailySummary[Fecha],"&gt;="&amp;TableWeeklySummary[[#This Row],[Desde]],TableDailySummary[Fecha],"&lt;="&amp;TableWeeklySummary[[#This Row],[Hasta]])</f>
        <v>0</v>
      </c>
      <c r="N51" s="11">
        <f>SUMIFS(TableDailySummary[Tienda 81_net_sales],TableDailySummary[Fecha],"&gt;="&amp;TableWeeklySummary[[#This Row],[Desde]],TableDailySummary[Fecha],"&lt;="&amp;TableWeeklySummary[[#This Row],[Hasta]])</f>
        <v>0</v>
      </c>
      <c r="O51" s="11">
        <f>SUMIFS(TableDailySummary[Tienda 81_orders],TableDailySummary[Fecha],"&gt;="&amp;TableWeeklySummary[[#This Row],[Desde]],TableDailySummary[Fecha],"&lt;="&amp;TableWeeklySummary[[#This Row],[Hasta]])</f>
        <v>0</v>
      </c>
      <c r="P51" s="11">
        <f>SUMIFS(TableDailySummary[Rappi_net_sales],TableDailySummary[Fecha],"&gt;="&amp;TableWeeklySummary[[#This Row],[Desde]],TableDailySummary[Fecha],"&lt;="&amp;TableWeeklySummary[[#This Row],[Hasta]])</f>
        <v>0</v>
      </c>
      <c r="Q51" s="11">
        <f>SUMIFS(TableDailySummary[Rappi_orders],TableDailySummary[Fecha],"&gt;="&amp;TableWeeklySummary[[#This Row],[Desde]],TableDailySummary[Fecha],"&lt;="&amp;TableWeeklySummary[[#This Row],[Hasta]])</f>
        <v>0</v>
      </c>
      <c r="R5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1" s="11">
        <f>SUMIFS(TableDailySummary[Corporativo no tienda_orders],TableDailySummary[Fecha],"&gt;="&amp;TableWeeklySummary[[#This Row],[Desde]],TableDailySummary[Fecha],"&lt;="&amp;TableWeeklySummary[[#This Row],[Hasta]])</f>
        <v>0</v>
      </c>
      <c r="T51" s="11">
        <f>SUMIFS(TableDailySummary[Inversión google ads],TableDailySummary[Fecha],"&gt;="&amp;TableWeeklySummary[[#This Row],[Desde]],TableDailySummary[Fecha],"&lt;="&amp;TableWeeklySummary[[#This Row],[Hasta]])</f>
        <v>0</v>
      </c>
      <c r="U51" s="11">
        <f>SUMIFS(TableDailySummary[Ventas google ads],TableDailySummary[Fecha],"&gt;="&amp;TableWeeklySummary[[#This Row],[Desde]],TableDailySummary[Fecha],"&lt;="&amp;TableWeeklySummary[[#This Row],[Hasta]])</f>
        <v>0</v>
      </c>
      <c r="V51" s="11">
        <f>SUMIFS(TableDailySummary[Inversión meta ads],TableDailySummary[Fecha],"&gt;="&amp;TableWeeklySummary[[#This Row],[Desde]],TableDailySummary[Fecha],"&lt;="&amp;TableWeeklySummary[[#This Row],[Hasta]])</f>
        <v>0</v>
      </c>
      <c r="W51" s="11">
        <f>SUMIFS(TableDailySummary[Ventas meta ads],TableDailySummary[Fecha],"&gt;="&amp;TableWeeklySummary[[#This Row],[Desde]],TableDailySummary[Fecha],"&lt;="&amp;TableWeeklySummary[[#This Row],[Hasta]])</f>
        <v>0</v>
      </c>
      <c r="X51" s="11">
        <f>TableWeeklySummary[[#This Row],[Inversión google ads]]+TableWeeklySummary[[#This Row],[Inversión meta ads]]</f>
        <v>0</v>
      </c>
      <c r="Y51" s="11">
        <f>TableWeeklySummary[[#This Row],[Ventas google ads]]+TableWeeklySummary[[#This Row],[Ventas meta ads]]</f>
        <v>0</v>
      </c>
      <c r="Z51" s="14">
        <f>IFERROR(TableWeeklySummary[[#This Row],[Ventas publicidad]]/TableWeeklySummary[[#This Row],[Inversión publicidad]],0)</f>
        <v>0</v>
      </c>
      <c r="AA51" s="14">
        <f>IFERROR(TableWeeklySummary[[#This Row],[Ventas primer cliente]]/TableWeeklySummary[[#This Row],[Inversión publicidad]],0)</f>
        <v>0</v>
      </c>
      <c r="AB51" s="14"/>
      <c r="AC51" s="11"/>
      <c r="AI5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1" s="11">
        <f>SUMIFS(TableDailySummary[Costo de ventas registrado],TableDailySummary[Fecha],"&gt;="&amp;TableWeeklySummary[[#This Row],[Desde]],TableDailySummary[Fecha],"&lt;="&amp;TableWeeklySummary[[#This Row],[Hasta]])</f>
        <v>0</v>
      </c>
      <c r="AK51" s="11">
        <f>SUMIFS(TableDailySummary[Utilidad bruta],TableDailySummary[Fecha],"&gt;="&amp;TableWeeklySummary[[#This Row],[Desde]],TableDailySummary[Fecha],"&lt;="&amp;TableWeeklySummary[[#This Row],[Hasta]])</f>
        <v>0</v>
      </c>
      <c r="AL51" s="18">
        <f>IFERROR(TableWeeklySummary[[#This Row],[Utilidad bruta]]/TableWeeklySummary[[#This Row],[Ventas netas con costo registrado]],0)</f>
        <v>0</v>
      </c>
    </row>
    <row r="52" spans="2:38" x14ac:dyDescent="0.2">
      <c r="B52" s="16">
        <f>_xlfn.ISOWEEKNUM(TableWeeklySummary[[#This Row],[Hasta]])</f>
        <v>41</v>
      </c>
      <c r="C52" s="6">
        <f t="shared" si="1"/>
        <v>44841</v>
      </c>
      <c r="D52" s="6">
        <f>TableWeeklySummary[[#This Row],[Desde]]+7-1</f>
        <v>44847</v>
      </c>
      <c r="E52" s="11">
        <f>SUMIFS(TableDailySummary[Ventas netas totales],TableDailySummary[Fecha],"&gt;="&amp;TableWeeklySummary[[#This Row],[Desde]],TableDailySummary[Fecha],"&lt;="&amp;TableWeeklySummary[[#This Row],[Hasta]])</f>
        <v>0</v>
      </c>
      <c r="F52" s="11">
        <f>SUMIFS(TableDailySummary[Órdenes totales],TableDailySummary[Fecha],"&gt;="&amp;TableWeeklySummary[[#This Row],[Desde]],TableDailySummary[Fecha],"&lt;="&amp;TableWeeklySummary[[#This Row],[Hasta]])</f>
        <v>0</v>
      </c>
      <c r="G52" s="11">
        <f>IFERROR(TableWeeklySummary[[#This Row],[Ventas netas totales]]/TableWeeklySummary[[#This Row],[Órdenes totales]],0)</f>
        <v>0</v>
      </c>
      <c r="H5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2" s="11">
        <f>TableWeeklySummary[[#This Row],[Órden promedio totales]]*TableWeeklySummary[[#This Row],[CR totales]]</f>
        <v>0</v>
      </c>
      <c r="J52" s="11">
        <f>SUMIFS(TableDailySummary[Ventas primer cliente],TableDailySummary[Fecha],"&gt;="&amp;TableWeeklySummary[[#This Row],[Desde]],TableDailySummary[Fecha],"&lt;="&amp;TableWeeklySummary[[#This Row],[Hasta]])</f>
        <v>0</v>
      </c>
      <c r="K52" s="11">
        <f>SUMIFS(TableDailySummary[Órdenes primer cliente],TableDailySummary[Fecha],"&gt;="&amp;TableWeeklySummary[[#This Row],[Desde]],TableDailySummary[Fecha],"&lt;="&amp;TableWeeklySummary[[#This Row],[Hasta]])</f>
        <v>0</v>
      </c>
      <c r="L52" s="11">
        <f>SUMIFS(TableDailySummary[Online Store_net_sales],TableDailySummary[Fecha],"&gt;="&amp;TableWeeklySummary[[#This Row],[Desde]],TableDailySummary[Fecha],"&lt;="&amp;TableWeeklySummary[[#This Row],[Hasta]])</f>
        <v>0</v>
      </c>
      <c r="M52" s="11">
        <f>SUMIFS(TableDailySummary[Online Store_orders],TableDailySummary[Fecha],"&gt;="&amp;TableWeeklySummary[[#This Row],[Desde]],TableDailySummary[Fecha],"&lt;="&amp;TableWeeklySummary[[#This Row],[Hasta]])</f>
        <v>0</v>
      </c>
      <c r="N52" s="11">
        <f>SUMIFS(TableDailySummary[Tienda 81_net_sales],TableDailySummary[Fecha],"&gt;="&amp;TableWeeklySummary[[#This Row],[Desde]],TableDailySummary[Fecha],"&lt;="&amp;TableWeeklySummary[[#This Row],[Hasta]])</f>
        <v>0</v>
      </c>
      <c r="O52" s="11">
        <f>SUMIFS(TableDailySummary[Tienda 81_orders],TableDailySummary[Fecha],"&gt;="&amp;TableWeeklySummary[[#This Row],[Desde]],TableDailySummary[Fecha],"&lt;="&amp;TableWeeklySummary[[#This Row],[Hasta]])</f>
        <v>0</v>
      </c>
      <c r="P52" s="11">
        <f>SUMIFS(TableDailySummary[Rappi_net_sales],TableDailySummary[Fecha],"&gt;="&amp;TableWeeklySummary[[#This Row],[Desde]],TableDailySummary[Fecha],"&lt;="&amp;TableWeeklySummary[[#This Row],[Hasta]])</f>
        <v>0</v>
      </c>
      <c r="Q52" s="11">
        <f>SUMIFS(TableDailySummary[Rappi_orders],TableDailySummary[Fecha],"&gt;="&amp;TableWeeklySummary[[#This Row],[Desde]],TableDailySummary[Fecha],"&lt;="&amp;TableWeeklySummary[[#This Row],[Hasta]])</f>
        <v>0</v>
      </c>
      <c r="R5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2" s="11">
        <f>SUMIFS(TableDailySummary[Corporativo no tienda_orders],TableDailySummary[Fecha],"&gt;="&amp;TableWeeklySummary[[#This Row],[Desde]],TableDailySummary[Fecha],"&lt;="&amp;TableWeeklySummary[[#This Row],[Hasta]])</f>
        <v>0</v>
      </c>
      <c r="T52" s="11">
        <f>SUMIFS(TableDailySummary[Inversión google ads],TableDailySummary[Fecha],"&gt;="&amp;TableWeeklySummary[[#This Row],[Desde]],TableDailySummary[Fecha],"&lt;="&amp;TableWeeklySummary[[#This Row],[Hasta]])</f>
        <v>0</v>
      </c>
      <c r="U52" s="11">
        <f>SUMIFS(TableDailySummary[Ventas google ads],TableDailySummary[Fecha],"&gt;="&amp;TableWeeklySummary[[#This Row],[Desde]],TableDailySummary[Fecha],"&lt;="&amp;TableWeeklySummary[[#This Row],[Hasta]])</f>
        <v>0</v>
      </c>
      <c r="V52" s="11">
        <f>SUMIFS(TableDailySummary[Inversión meta ads],TableDailySummary[Fecha],"&gt;="&amp;TableWeeklySummary[[#This Row],[Desde]],TableDailySummary[Fecha],"&lt;="&amp;TableWeeklySummary[[#This Row],[Hasta]])</f>
        <v>0</v>
      </c>
      <c r="W52" s="11">
        <f>SUMIFS(TableDailySummary[Ventas meta ads],TableDailySummary[Fecha],"&gt;="&amp;TableWeeklySummary[[#This Row],[Desde]],TableDailySummary[Fecha],"&lt;="&amp;TableWeeklySummary[[#This Row],[Hasta]])</f>
        <v>0</v>
      </c>
      <c r="X52" s="11">
        <f>TableWeeklySummary[[#This Row],[Inversión google ads]]+TableWeeklySummary[[#This Row],[Inversión meta ads]]</f>
        <v>0</v>
      </c>
      <c r="Y52" s="11">
        <f>TableWeeklySummary[[#This Row],[Ventas google ads]]+TableWeeklySummary[[#This Row],[Ventas meta ads]]</f>
        <v>0</v>
      </c>
      <c r="Z52" s="14">
        <f>IFERROR(TableWeeklySummary[[#This Row],[Ventas publicidad]]/TableWeeklySummary[[#This Row],[Inversión publicidad]],0)</f>
        <v>0</v>
      </c>
      <c r="AA52" s="14">
        <f>IFERROR(TableWeeklySummary[[#This Row],[Ventas primer cliente]]/TableWeeklySummary[[#This Row],[Inversión publicidad]],0)</f>
        <v>0</v>
      </c>
      <c r="AB52" s="14"/>
      <c r="AC52" s="11"/>
      <c r="AI5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2" s="11">
        <f>SUMIFS(TableDailySummary[Costo de ventas registrado],TableDailySummary[Fecha],"&gt;="&amp;TableWeeklySummary[[#This Row],[Desde]],TableDailySummary[Fecha],"&lt;="&amp;TableWeeklySummary[[#This Row],[Hasta]])</f>
        <v>0</v>
      </c>
      <c r="AK52" s="11">
        <f>SUMIFS(TableDailySummary[Utilidad bruta],TableDailySummary[Fecha],"&gt;="&amp;TableWeeklySummary[[#This Row],[Desde]],TableDailySummary[Fecha],"&lt;="&amp;TableWeeklySummary[[#This Row],[Hasta]])</f>
        <v>0</v>
      </c>
      <c r="AL52" s="18">
        <f>IFERROR(TableWeeklySummary[[#This Row],[Utilidad bruta]]/TableWeeklySummary[[#This Row],[Ventas netas con costo registrado]],0)</f>
        <v>0</v>
      </c>
    </row>
    <row r="53" spans="2:38" x14ac:dyDescent="0.2">
      <c r="B53" s="16">
        <f>_xlfn.ISOWEEKNUM(TableWeeklySummary[[#This Row],[Hasta]])</f>
        <v>42</v>
      </c>
      <c r="C53" s="6">
        <f t="shared" si="1"/>
        <v>44848</v>
      </c>
      <c r="D53" s="6">
        <f>TableWeeklySummary[[#This Row],[Desde]]+7-1</f>
        <v>44854</v>
      </c>
      <c r="E53" s="11">
        <f>SUMIFS(TableDailySummary[Ventas netas totales],TableDailySummary[Fecha],"&gt;="&amp;TableWeeklySummary[[#This Row],[Desde]],TableDailySummary[Fecha],"&lt;="&amp;TableWeeklySummary[[#This Row],[Hasta]])</f>
        <v>0</v>
      </c>
      <c r="F53" s="11">
        <f>SUMIFS(TableDailySummary[Órdenes totales],TableDailySummary[Fecha],"&gt;="&amp;TableWeeklySummary[[#This Row],[Desde]],TableDailySummary[Fecha],"&lt;="&amp;TableWeeklySummary[[#This Row],[Hasta]])</f>
        <v>0</v>
      </c>
      <c r="G53" s="11">
        <f>IFERROR(TableWeeklySummary[[#This Row],[Ventas netas totales]]/TableWeeklySummary[[#This Row],[Órdenes totales]],0)</f>
        <v>0</v>
      </c>
      <c r="H5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3" s="11">
        <f>TableWeeklySummary[[#This Row],[Órden promedio totales]]*TableWeeklySummary[[#This Row],[CR totales]]</f>
        <v>0</v>
      </c>
      <c r="J53" s="11">
        <f>SUMIFS(TableDailySummary[Ventas primer cliente],TableDailySummary[Fecha],"&gt;="&amp;TableWeeklySummary[[#This Row],[Desde]],TableDailySummary[Fecha],"&lt;="&amp;TableWeeklySummary[[#This Row],[Hasta]])</f>
        <v>0</v>
      </c>
      <c r="K53" s="11">
        <f>SUMIFS(TableDailySummary[Órdenes primer cliente],TableDailySummary[Fecha],"&gt;="&amp;TableWeeklySummary[[#This Row],[Desde]],TableDailySummary[Fecha],"&lt;="&amp;TableWeeklySummary[[#This Row],[Hasta]])</f>
        <v>0</v>
      </c>
      <c r="L53" s="11">
        <f>SUMIFS(TableDailySummary[Online Store_net_sales],TableDailySummary[Fecha],"&gt;="&amp;TableWeeklySummary[[#This Row],[Desde]],TableDailySummary[Fecha],"&lt;="&amp;TableWeeklySummary[[#This Row],[Hasta]])</f>
        <v>0</v>
      </c>
      <c r="M53" s="11">
        <f>SUMIFS(TableDailySummary[Online Store_orders],TableDailySummary[Fecha],"&gt;="&amp;TableWeeklySummary[[#This Row],[Desde]],TableDailySummary[Fecha],"&lt;="&amp;TableWeeklySummary[[#This Row],[Hasta]])</f>
        <v>0</v>
      </c>
      <c r="N53" s="11">
        <f>SUMIFS(TableDailySummary[Tienda 81_net_sales],TableDailySummary[Fecha],"&gt;="&amp;TableWeeklySummary[[#This Row],[Desde]],TableDailySummary[Fecha],"&lt;="&amp;TableWeeklySummary[[#This Row],[Hasta]])</f>
        <v>0</v>
      </c>
      <c r="O53" s="11">
        <f>SUMIFS(TableDailySummary[Tienda 81_orders],TableDailySummary[Fecha],"&gt;="&amp;TableWeeklySummary[[#This Row],[Desde]],TableDailySummary[Fecha],"&lt;="&amp;TableWeeklySummary[[#This Row],[Hasta]])</f>
        <v>0</v>
      </c>
      <c r="P53" s="11">
        <f>SUMIFS(TableDailySummary[Rappi_net_sales],TableDailySummary[Fecha],"&gt;="&amp;TableWeeklySummary[[#This Row],[Desde]],TableDailySummary[Fecha],"&lt;="&amp;TableWeeklySummary[[#This Row],[Hasta]])</f>
        <v>0</v>
      </c>
      <c r="Q53" s="11">
        <f>SUMIFS(TableDailySummary[Rappi_orders],TableDailySummary[Fecha],"&gt;="&amp;TableWeeklySummary[[#This Row],[Desde]],TableDailySummary[Fecha],"&lt;="&amp;TableWeeklySummary[[#This Row],[Hasta]])</f>
        <v>0</v>
      </c>
      <c r="R5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3" s="11">
        <f>SUMIFS(TableDailySummary[Corporativo no tienda_orders],TableDailySummary[Fecha],"&gt;="&amp;TableWeeklySummary[[#This Row],[Desde]],TableDailySummary[Fecha],"&lt;="&amp;TableWeeklySummary[[#This Row],[Hasta]])</f>
        <v>0</v>
      </c>
      <c r="T53" s="11">
        <f>SUMIFS(TableDailySummary[Inversión google ads],TableDailySummary[Fecha],"&gt;="&amp;TableWeeklySummary[[#This Row],[Desde]],TableDailySummary[Fecha],"&lt;="&amp;TableWeeklySummary[[#This Row],[Hasta]])</f>
        <v>0</v>
      </c>
      <c r="U53" s="11">
        <f>SUMIFS(TableDailySummary[Ventas google ads],TableDailySummary[Fecha],"&gt;="&amp;TableWeeklySummary[[#This Row],[Desde]],TableDailySummary[Fecha],"&lt;="&amp;TableWeeklySummary[[#This Row],[Hasta]])</f>
        <v>0</v>
      </c>
      <c r="V53" s="11">
        <f>SUMIFS(TableDailySummary[Inversión meta ads],TableDailySummary[Fecha],"&gt;="&amp;TableWeeklySummary[[#This Row],[Desde]],TableDailySummary[Fecha],"&lt;="&amp;TableWeeklySummary[[#This Row],[Hasta]])</f>
        <v>0</v>
      </c>
      <c r="W53" s="11">
        <f>SUMIFS(TableDailySummary[Ventas meta ads],TableDailySummary[Fecha],"&gt;="&amp;TableWeeklySummary[[#This Row],[Desde]],TableDailySummary[Fecha],"&lt;="&amp;TableWeeklySummary[[#This Row],[Hasta]])</f>
        <v>0</v>
      </c>
      <c r="X53" s="11">
        <f>TableWeeklySummary[[#This Row],[Inversión google ads]]+TableWeeklySummary[[#This Row],[Inversión meta ads]]</f>
        <v>0</v>
      </c>
      <c r="Y53" s="11">
        <f>TableWeeklySummary[[#This Row],[Ventas google ads]]+TableWeeklySummary[[#This Row],[Ventas meta ads]]</f>
        <v>0</v>
      </c>
      <c r="Z53" s="14">
        <f>IFERROR(TableWeeklySummary[[#This Row],[Ventas publicidad]]/TableWeeklySummary[[#This Row],[Inversión publicidad]],0)</f>
        <v>0</v>
      </c>
      <c r="AA53" s="14">
        <f>IFERROR(TableWeeklySummary[[#This Row],[Ventas primer cliente]]/TableWeeklySummary[[#This Row],[Inversión publicidad]],0)</f>
        <v>0</v>
      </c>
      <c r="AB53" s="14"/>
      <c r="AC53" s="11"/>
      <c r="AI5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3" s="11">
        <f>SUMIFS(TableDailySummary[Costo de ventas registrado],TableDailySummary[Fecha],"&gt;="&amp;TableWeeklySummary[[#This Row],[Desde]],TableDailySummary[Fecha],"&lt;="&amp;TableWeeklySummary[[#This Row],[Hasta]])</f>
        <v>0</v>
      </c>
      <c r="AK53" s="11">
        <f>SUMIFS(TableDailySummary[Utilidad bruta],TableDailySummary[Fecha],"&gt;="&amp;TableWeeklySummary[[#This Row],[Desde]],TableDailySummary[Fecha],"&lt;="&amp;TableWeeklySummary[[#This Row],[Hasta]])</f>
        <v>0</v>
      </c>
      <c r="AL53" s="18">
        <f>IFERROR(TableWeeklySummary[[#This Row],[Utilidad bruta]]/TableWeeklySummary[[#This Row],[Ventas netas con costo registrado]],0)</f>
        <v>0</v>
      </c>
    </row>
    <row r="54" spans="2:38" x14ac:dyDescent="0.2">
      <c r="B54" s="16">
        <f>_xlfn.ISOWEEKNUM(TableWeeklySummary[[#This Row],[Hasta]])</f>
        <v>43</v>
      </c>
      <c r="C54" s="6">
        <f t="shared" si="1"/>
        <v>44855</v>
      </c>
      <c r="D54" s="6">
        <f>TableWeeklySummary[[#This Row],[Desde]]+7-1</f>
        <v>44861</v>
      </c>
      <c r="E54" s="11">
        <f>SUMIFS(TableDailySummary[Ventas netas totales],TableDailySummary[Fecha],"&gt;="&amp;TableWeeklySummary[[#This Row],[Desde]],TableDailySummary[Fecha],"&lt;="&amp;TableWeeklySummary[[#This Row],[Hasta]])</f>
        <v>0</v>
      </c>
      <c r="F54" s="11">
        <f>SUMIFS(TableDailySummary[Órdenes totales],TableDailySummary[Fecha],"&gt;="&amp;TableWeeklySummary[[#This Row],[Desde]],TableDailySummary[Fecha],"&lt;="&amp;TableWeeklySummary[[#This Row],[Hasta]])</f>
        <v>0</v>
      </c>
      <c r="G54" s="11">
        <f>IFERROR(TableWeeklySummary[[#This Row],[Ventas netas totales]]/TableWeeklySummary[[#This Row],[Órdenes totales]],0)</f>
        <v>0</v>
      </c>
      <c r="H5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4" s="11">
        <f>TableWeeklySummary[[#This Row],[Órden promedio totales]]*TableWeeklySummary[[#This Row],[CR totales]]</f>
        <v>0</v>
      </c>
      <c r="J54" s="11">
        <f>SUMIFS(TableDailySummary[Ventas primer cliente],TableDailySummary[Fecha],"&gt;="&amp;TableWeeklySummary[[#This Row],[Desde]],TableDailySummary[Fecha],"&lt;="&amp;TableWeeklySummary[[#This Row],[Hasta]])</f>
        <v>0</v>
      </c>
      <c r="K54" s="11">
        <f>SUMIFS(TableDailySummary[Órdenes primer cliente],TableDailySummary[Fecha],"&gt;="&amp;TableWeeklySummary[[#This Row],[Desde]],TableDailySummary[Fecha],"&lt;="&amp;TableWeeklySummary[[#This Row],[Hasta]])</f>
        <v>0</v>
      </c>
      <c r="L54" s="11">
        <f>SUMIFS(TableDailySummary[Online Store_net_sales],TableDailySummary[Fecha],"&gt;="&amp;TableWeeklySummary[[#This Row],[Desde]],TableDailySummary[Fecha],"&lt;="&amp;TableWeeklySummary[[#This Row],[Hasta]])</f>
        <v>0</v>
      </c>
      <c r="M54" s="11">
        <f>SUMIFS(TableDailySummary[Online Store_orders],TableDailySummary[Fecha],"&gt;="&amp;TableWeeklySummary[[#This Row],[Desde]],TableDailySummary[Fecha],"&lt;="&amp;TableWeeklySummary[[#This Row],[Hasta]])</f>
        <v>0</v>
      </c>
      <c r="N54" s="11">
        <f>SUMIFS(TableDailySummary[Tienda 81_net_sales],TableDailySummary[Fecha],"&gt;="&amp;TableWeeklySummary[[#This Row],[Desde]],TableDailySummary[Fecha],"&lt;="&amp;TableWeeklySummary[[#This Row],[Hasta]])</f>
        <v>0</v>
      </c>
      <c r="O54" s="11">
        <f>SUMIFS(TableDailySummary[Tienda 81_orders],TableDailySummary[Fecha],"&gt;="&amp;TableWeeklySummary[[#This Row],[Desde]],TableDailySummary[Fecha],"&lt;="&amp;TableWeeklySummary[[#This Row],[Hasta]])</f>
        <v>0</v>
      </c>
      <c r="P54" s="11">
        <f>SUMIFS(TableDailySummary[Rappi_net_sales],TableDailySummary[Fecha],"&gt;="&amp;TableWeeklySummary[[#This Row],[Desde]],TableDailySummary[Fecha],"&lt;="&amp;TableWeeklySummary[[#This Row],[Hasta]])</f>
        <v>0</v>
      </c>
      <c r="Q54" s="11">
        <f>SUMIFS(TableDailySummary[Rappi_orders],TableDailySummary[Fecha],"&gt;="&amp;TableWeeklySummary[[#This Row],[Desde]],TableDailySummary[Fecha],"&lt;="&amp;TableWeeklySummary[[#This Row],[Hasta]])</f>
        <v>0</v>
      </c>
      <c r="R5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4" s="11">
        <f>SUMIFS(TableDailySummary[Corporativo no tienda_orders],TableDailySummary[Fecha],"&gt;="&amp;TableWeeklySummary[[#This Row],[Desde]],TableDailySummary[Fecha],"&lt;="&amp;TableWeeklySummary[[#This Row],[Hasta]])</f>
        <v>0</v>
      </c>
      <c r="T54" s="11">
        <f>SUMIFS(TableDailySummary[Inversión google ads],TableDailySummary[Fecha],"&gt;="&amp;TableWeeklySummary[[#This Row],[Desde]],TableDailySummary[Fecha],"&lt;="&amp;TableWeeklySummary[[#This Row],[Hasta]])</f>
        <v>0</v>
      </c>
      <c r="U54" s="11">
        <f>SUMIFS(TableDailySummary[Ventas google ads],TableDailySummary[Fecha],"&gt;="&amp;TableWeeklySummary[[#This Row],[Desde]],TableDailySummary[Fecha],"&lt;="&amp;TableWeeklySummary[[#This Row],[Hasta]])</f>
        <v>0</v>
      </c>
      <c r="V54" s="11">
        <f>SUMIFS(TableDailySummary[Inversión meta ads],TableDailySummary[Fecha],"&gt;="&amp;TableWeeklySummary[[#This Row],[Desde]],TableDailySummary[Fecha],"&lt;="&amp;TableWeeklySummary[[#This Row],[Hasta]])</f>
        <v>0</v>
      </c>
      <c r="W54" s="11">
        <f>SUMIFS(TableDailySummary[Ventas meta ads],TableDailySummary[Fecha],"&gt;="&amp;TableWeeklySummary[[#This Row],[Desde]],TableDailySummary[Fecha],"&lt;="&amp;TableWeeklySummary[[#This Row],[Hasta]])</f>
        <v>0</v>
      </c>
      <c r="X54" s="11">
        <f>TableWeeklySummary[[#This Row],[Inversión google ads]]+TableWeeklySummary[[#This Row],[Inversión meta ads]]</f>
        <v>0</v>
      </c>
      <c r="Y54" s="11">
        <f>TableWeeklySummary[[#This Row],[Ventas google ads]]+TableWeeklySummary[[#This Row],[Ventas meta ads]]</f>
        <v>0</v>
      </c>
      <c r="Z54" s="14">
        <f>IFERROR(TableWeeklySummary[[#This Row],[Ventas publicidad]]/TableWeeklySummary[[#This Row],[Inversión publicidad]],0)</f>
        <v>0</v>
      </c>
      <c r="AA54" s="14">
        <f>IFERROR(TableWeeklySummary[[#This Row],[Ventas primer cliente]]/TableWeeklySummary[[#This Row],[Inversión publicidad]],0)</f>
        <v>0</v>
      </c>
      <c r="AB54" s="14"/>
      <c r="AC54" s="11"/>
      <c r="AI5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4" s="11">
        <f>SUMIFS(TableDailySummary[Costo de ventas registrado],TableDailySummary[Fecha],"&gt;="&amp;TableWeeklySummary[[#This Row],[Desde]],TableDailySummary[Fecha],"&lt;="&amp;TableWeeklySummary[[#This Row],[Hasta]])</f>
        <v>0</v>
      </c>
      <c r="AK54" s="11">
        <f>SUMIFS(TableDailySummary[Utilidad bruta],TableDailySummary[Fecha],"&gt;="&amp;TableWeeklySummary[[#This Row],[Desde]],TableDailySummary[Fecha],"&lt;="&amp;TableWeeklySummary[[#This Row],[Hasta]])</f>
        <v>0</v>
      </c>
      <c r="AL54" s="18">
        <f>IFERROR(TableWeeklySummary[[#This Row],[Utilidad bruta]]/TableWeeklySummary[[#This Row],[Ventas netas con costo registrado]],0)</f>
        <v>0</v>
      </c>
    </row>
    <row r="55" spans="2:38" x14ac:dyDescent="0.2">
      <c r="B55" s="16">
        <f>_xlfn.ISOWEEKNUM(TableWeeklySummary[[#This Row],[Hasta]])</f>
        <v>44</v>
      </c>
      <c r="C55" s="6">
        <f t="shared" si="1"/>
        <v>44862</v>
      </c>
      <c r="D55" s="6">
        <f>TableWeeklySummary[[#This Row],[Desde]]+7-1</f>
        <v>44868</v>
      </c>
      <c r="E55" s="11">
        <f>SUMIFS(TableDailySummary[Ventas netas totales],TableDailySummary[Fecha],"&gt;="&amp;TableWeeklySummary[[#This Row],[Desde]],TableDailySummary[Fecha],"&lt;="&amp;TableWeeklySummary[[#This Row],[Hasta]])</f>
        <v>0</v>
      </c>
      <c r="F55" s="11">
        <f>SUMIFS(TableDailySummary[Órdenes totales],TableDailySummary[Fecha],"&gt;="&amp;TableWeeklySummary[[#This Row],[Desde]],TableDailySummary[Fecha],"&lt;="&amp;TableWeeklySummary[[#This Row],[Hasta]])</f>
        <v>0</v>
      </c>
      <c r="G55" s="11">
        <f>IFERROR(TableWeeklySummary[[#This Row],[Ventas netas totales]]/TableWeeklySummary[[#This Row],[Órdenes totales]],0)</f>
        <v>0</v>
      </c>
      <c r="H5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5" s="11">
        <f>TableWeeklySummary[[#This Row],[Órden promedio totales]]*TableWeeklySummary[[#This Row],[CR totales]]</f>
        <v>0</v>
      </c>
      <c r="J55" s="11">
        <f>SUMIFS(TableDailySummary[Ventas primer cliente],TableDailySummary[Fecha],"&gt;="&amp;TableWeeklySummary[[#This Row],[Desde]],TableDailySummary[Fecha],"&lt;="&amp;TableWeeklySummary[[#This Row],[Hasta]])</f>
        <v>0</v>
      </c>
      <c r="K55" s="11">
        <f>SUMIFS(TableDailySummary[Órdenes primer cliente],TableDailySummary[Fecha],"&gt;="&amp;TableWeeklySummary[[#This Row],[Desde]],TableDailySummary[Fecha],"&lt;="&amp;TableWeeklySummary[[#This Row],[Hasta]])</f>
        <v>0</v>
      </c>
      <c r="L55" s="11">
        <f>SUMIFS(TableDailySummary[Online Store_net_sales],TableDailySummary[Fecha],"&gt;="&amp;TableWeeklySummary[[#This Row],[Desde]],TableDailySummary[Fecha],"&lt;="&amp;TableWeeklySummary[[#This Row],[Hasta]])</f>
        <v>0</v>
      </c>
      <c r="M55" s="11">
        <f>SUMIFS(TableDailySummary[Online Store_orders],TableDailySummary[Fecha],"&gt;="&amp;TableWeeklySummary[[#This Row],[Desde]],TableDailySummary[Fecha],"&lt;="&amp;TableWeeklySummary[[#This Row],[Hasta]])</f>
        <v>0</v>
      </c>
      <c r="N55" s="11">
        <f>SUMIFS(TableDailySummary[Tienda 81_net_sales],TableDailySummary[Fecha],"&gt;="&amp;TableWeeklySummary[[#This Row],[Desde]],TableDailySummary[Fecha],"&lt;="&amp;TableWeeklySummary[[#This Row],[Hasta]])</f>
        <v>0</v>
      </c>
      <c r="O55" s="11">
        <f>SUMIFS(TableDailySummary[Tienda 81_orders],TableDailySummary[Fecha],"&gt;="&amp;TableWeeklySummary[[#This Row],[Desde]],TableDailySummary[Fecha],"&lt;="&amp;TableWeeklySummary[[#This Row],[Hasta]])</f>
        <v>0</v>
      </c>
      <c r="P55" s="11">
        <f>SUMIFS(TableDailySummary[Rappi_net_sales],TableDailySummary[Fecha],"&gt;="&amp;TableWeeklySummary[[#This Row],[Desde]],TableDailySummary[Fecha],"&lt;="&amp;TableWeeklySummary[[#This Row],[Hasta]])</f>
        <v>0</v>
      </c>
      <c r="Q55" s="11">
        <f>SUMIFS(TableDailySummary[Rappi_orders],TableDailySummary[Fecha],"&gt;="&amp;TableWeeklySummary[[#This Row],[Desde]],TableDailySummary[Fecha],"&lt;="&amp;TableWeeklySummary[[#This Row],[Hasta]])</f>
        <v>0</v>
      </c>
      <c r="R5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5" s="11">
        <f>SUMIFS(TableDailySummary[Corporativo no tienda_orders],TableDailySummary[Fecha],"&gt;="&amp;TableWeeklySummary[[#This Row],[Desde]],TableDailySummary[Fecha],"&lt;="&amp;TableWeeklySummary[[#This Row],[Hasta]])</f>
        <v>0</v>
      </c>
      <c r="T55" s="11">
        <f>SUMIFS(TableDailySummary[Inversión google ads],TableDailySummary[Fecha],"&gt;="&amp;TableWeeklySummary[[#This Row],[Desde]],TableDailySummary[Fecha],"&lt;="&amp;TableWeeklySummary[[#This Row],[Hasta]])</f>
        <v>0</v>
      </c>
      <c r="U55" s="11">
        <f>SUMIFS(TableDailySummary[Ventas google ads],TableDailySummary[Fecha],"&gt;="&amp;TableWeeklySummary[[#This Row],[Desde]],TableDailySummary[Fecha],"&lt;="&amp;TableWeeklySummary[[#This Row],[Hasta]])</f>
        <v>0</v>
      </c>
      <c r="V55" s="11">
        <f>SUMIFS(TableDailySummary[Inversión meta ads],TableDailySummary[Fecha],"&gt;="&amp;TableWeeklySummary[[#This Row],[Desde]],TableDailySummary[Fecha],"&lt;="&amp;TableWeeklySummary[[#This Row],[Hasta]])</f>
        <v>0</v>
      </c>
      <c r="W55" s="11">
        <f>SUMIFS(TableDailySummary[Ventas meta ads],TableDailySummary[Fecha],"&gt;="&amp;TableWeeklySummary[[#This Row],[Desde]],TableDailySummary[Fecha],"&lt;="&amp;TableWeeklySummary[[#This Row],[Hasta]])</f>
        <v>0</v>
      </c>
      <c r="X55" s="11">
        <f>TableWeeklySummary[[#This Row],[Inversión google ads]]+TableWeeklySummary[[#This Row],[Inversión meta ads]]</f>
        <v>0</v>
      </c>
      <c r="Y55" s="11">
        <f>TableWeeklySummary[[#This Row],[Ventas google ads]]+TableWeeklySummary[[#This Row],[Ventas meta ads]]</f>
        <v>0</v>
      </c>
      <c r="Z55" s="14">
        <f>IFERROR(TableWeeklySummary[[#This Row],[Ventas publicidad]]/TableWeeklySummary[[#This Row],[Inversión publicidad]],0)</f>
        <v>0</v>
      </c>
      <c r="AA55" s="14">
        <f>IFERROR(TableWeeklySummary[[#This Row],[Ventas primer cliente]]/TableWeeklySummary[[#This Row],[Inversión publicidad]],0)</f>
        <v>0</v>
      </c>
      <c r="AB55" s="14"/>
      <c r="AC55" s="11"/>
      <c r="AI5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5" s="11">
        <f>SUMIFS(TableDailySummary[Costo de ventas registrado],TableDailySummary[Fecha],"&gt;="&amp;TableWeeklySummary[[#This Row],[Desde]],TableDailySummary[Fecha],"&lt;="&amp;TableWeeklySummary[[#This Row],[Hasta]])</f>
        <v>0</v>
      </c>
      <c r="AK55" s="11">
        <f>SUMIFS(TableDailySummary[Utilidad bruta],TableDailySummary[Fecha],"&gt;="&amp;TableWeeklySummary[[#This Row],[Desde]],TableDailySummary[Fecha],"&lt;="&amp;TableWeeklySummary[[#This Row],[Hasta]])</f>
        <v>0</v>
      </c>
      <c r="AL55" s="18">
        <f>IFERROR(TableWeeklySummary[[#This Row],[Utilidad bruta]]/TableWeeklySummary[[#This Row],[Ventas netas con costo registrado]],0)</f>
        <v>0</v>
      </c>
    </row>
    <row r="56" spans="2:38" x14ac:dyDescent="0.2">
      <c r="B56" s="16">
        <f>_xlfn.ISOWEEKNUM(TableWeeklySummary[[#This Row],[Hasta]])</f>
        <v>45</v>
      </c>
      <c r="C56" s="6">
        <f t="shared" si="1"/>
        <v>44869</v>
      </c>
      <c r="D56" s="6">
        <f>TableWeeklySummary[[#This Row],[Desde]]+7-1</f>
        <v>44875</v>
      </c>
      <c r="E56" s="11">
        <f>SUMIFS(TableDailySummary[Ventas netas totales],TableDailySummary[Fecha],"&gt;="&amp;TableWeeklySummary[[#This Row],[Desde]],TableDailySummary[Fecha],"&lt;="&amp;TableWeeklySummary[[#This Row],[Hasta]])</f>
        <v>0</v>
      </c>
      <c r="F56" s="11">
        <f>SUMIFS(TableDailySummary[Órdenes totales],TableDailySummary[Fecha],"&gt;="&amp;TableWeeklySummary[[#This Row],[Desde]],TableDailySummary[Fecha],"&lt;="&amp;TableWeeklySummary[[#This Row],[Hasta]])</f>
        <v>0</v>
      </c>
      <c r="G56" s="11">
        <f>IFERROR(TableWeeklySummary[[#This Row],[Ventas netas totales]]/TableWeeklySummary[[#This Row],[Órdenes totales]],0)</f>
        <v>0</v>
      </c>
      <c r="H5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6" s="11">
        <f>TableWeeklySummary[[#This Row],[Órden promedio totales]]*TableWeeklySummary[[#This Row],[CR totales]]</f>
        <v>0</v>
      </c>
      <c r="J56" s="11">
        <f>SUMIFS(TableDailySummary[Ventas primer cliente],TableDailySummary[Fecha],"&gt;="&amp;TableWeeklySummary[[#This Row],[Desde]],TableDailySummary[Fecha],"&lt;="&amp;TableWeeklySummary[[#This Row],[Hasta]])</f>
        <v>0</v>
      </c>
      <c r="K56" s="11">
        <f>SUMIFS(TableDailySummary[Órdenes primer cliente],TableDailySummary[Fecha],"&gt;="&amp;TableWeeklySummary[[#This Row],[Desde]],TableDailySummary[Fecha],"&lt;="&amp;TableWeeklySummary[[#This Row],[Hasta]])</f>
        <v>0</v>
      </c>
      <c r="L56" s="11">
        <f>SUMIFS(TableDailySummary[Online Store_net_sales],TableDailySummary[Fecha],"&gt;="&amp;TableWeeklySummary[[#This Row],[Desde]],TableDailySummary[Fecha],"&lt;="&amp;TableWeeklySummary[[#This Row],[Hasta]])</f>
        <v>0</v>
      </c>
      <c r="M56" s="11">
        <f>SUMIFS(TableDailySummary[Online Store_orders],TableDailySummary[Fecha],"&gt;="&amp;TableWeeklySummary[[#This Row],[Desde]],TableDailySummary[Fecha],"&lt;="&amp;TableWeeklySummary[[#This Row],[Hasta]])</f>
        <v>0</v>
      </c>
      <c r="N56" s="11">
        <f>SUMIFS(TableDailySummary[Tienda 81_net_sales],TableDailySummary[Fecha],"&gt;="&amp;TableWeeklySummary[[#This Row],[Desde]],TableDailySummary[Fecha],"&lt;="&amp;TableWeeklySummary[[#This Row],[Hasta]])</f>
        <v>0</v>
      </c>
      <c r="O56" s="11">
        <f>SUMIFS(TableDailySummary[Tienda 81_orders],TableDailySummary[Fecha],"&gt;="&amp;TableWeeklySummary[[#This Row],[Desde]],TableDailySummary[Fecha],"&lt;="&amp;TableWeeklySummary[[#This Row],[Hasta]])</f>
        <v>0</v>
      </c>
      <c r="P56" s="11">
        <f>SUMIFS(TableDailySummary[Rappi_net_sales],TableDailySummary[Fecha],"&gt;="&amp;TableWeeklySummary[[#This Row],[Desde]],TableDailySummary[Fecha],"&lt;="&amp;TableWeeklySummary[[#This Row],[Hasta]])</f>
        <v>0</v>
      </c>
      <c r="Q56" s="11">
        <f>SUMIFS(TableDailySummary[Rappi_orders],TableDailySummary[Fecha],"&gt;="&amp;TableWeeklySummary[[#This Row],[Desde]],TableDailySummary[Fecha],"&lt;="&amp;TableWeeklySummary[[#This Row],[Hasta]])</f>
        <v>0</v>
      </c>
      <c r="R5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6" s="11">
        <f>SUMIFS(TableDailySummary[Corporativo no tienda_orders],TableDailySummary[Fecha],"&gt;="&amp;TableWeeklySummary[[#This Row],[Desde]],TableDailySummary[Fecha],"&lt;="&amp;TableWeeklySummary[[#This Row],[Hasta]])</f>
        <v>0</v>
      </c>
      <c r="T56" s="11">
        <f>SUMIFS(TableDailySummary[Inversión google ads],TableDailySummary[Fecha],"&gt;="&amp;TableWeeklySummary[[#This Row],[Desde]],TableDailySummary[Fecha],"&lt;="&amp;TableWeeklySummary[[#This Row],[Hasta]])</f>
        <v>0</v>
      </c>
      <c r="U56" s="11">
        <f>SUMIFS(TableDailySummary[Ventas google ads],TableDailySummary[Fecha],"&gt;="&amp;TableWeeklySummary[[#This Row],[Desde]],TableDailySummary[Fecha],"&lt;="&amp;TableWeeklySummary[[#This Row],[Hasta]])</f>
        <v>0</v>
      </c>
      <c r="V56" s="11">
        <f>SUMIFS(TableDailySummary[Inversión meta ads],TableDailySummary[Fecha],"&gt;="&amp;TableWeeklySummary[[#This Row],[Desde]],TableDailySummary[Fecha],"&lt;="&amp;TableWeeklySummary[[#This Row],[Hasta]])</f>
        <v>0</v>
      </c>
      <c r="W56" s="11">
        <f>SUMIFS(TableDailySummary[Ventas meta ads],TableDailySummary[Fecha],"&gt;="&amp;TableWeeklySummary[[#This Row],[Desde]],TableDailySummary[Fecha],"&lt;="&amp;TableWeeklySummary[[#This Row],[Hasta]])</f>
        <v>0</v>
      </c>
      <c r="X56" s="11">
        <f>TableWeeklySummary[[#This Row],[Inversión google ads]]+TableWeeklySummary[[#This Row],[Inversión meta ads]]</f>
        <v>0</v>
      </c>
      <c r="Y56" s="11">
        <f>TableWeeklySummary[[#This Row],[Ventas google ads]]+TableWeeklySummary[[#This Row],[Ventas meta ads]]</f>
        <v>0</v>
      </c>
      <c r="Z56" s="14">
        <f>IFERROR(TableWeeklySummary[[#This Row],[Ventas publicidad]]/TableWeeklySummary[[#This Row],[Inversión publicidad]],0)</f>
        <v>0</v>
      </c>
      <c r="AA56" s="14">
        <f>IFERROR(TableWeeklySummary[[#This Row],[Ventas primer cliente]]/TableWeeklySummary[[#This Row],[Inversión publicidad]],0)</f>
        <v>0</v>
      </c>
      <c r="AB56" s="14"/>
      <c r="AC56" s="11"/>
      <c r="AI5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6" s="11">
        <f>SUMIFS(TableDailySummary[Costo de ventas registrado],TableDailySummary[Fecha],"&gt;="&amp;TableWeeklySummary[[#This Row],[Desde]],TableDailySummary[Fecha],"&lt;="&amp;TableWeeklySummary[[#This Row],[Hasta]])</f>
        <v>0</v>
      </c>
      <c r="AK56" s="11">
        <f>SUMIFS(TableDailySummary[Utilidad bruta],TableDailySummary[Fecha],"&gt;="&amp;TableWeeklySummary[[#This Row],[Desde]],TableDailySummary[Fecha],"&lt;="&amp;TableWeeklySummary[[#This Row],[Hasta]])</f>
        <v>0</v>
      </c>
      <c r="AL56" s="18">
        <f>IFERROR(TableWeeklySummary[[#This Row],[Utilidad bruta]]/TableWeeklySummary[[#This Row],[Ventas netas con costo registrado]],0)</f>
        <v>0</v>
      </c>
    </row>
    <row r="57" spans="2:38" x14ac:dyDescent="0.2">
      <c r="B57" s="16">
        <f>_xlfn.ISOWEEKNUM(TableWeeklySummary[[#This Row],[Hasta]])</f>
        <v>46</v>
      </c>
      <c r="C57" s="6">
        <f t="shared" si="1"/>
        <v>44876</v>
      </c>
      <c r="D57" s="6">
        <f>TableWeeklySummary[[#This Row],[Desde]]+7-1</f>
        <v>44882</v>
      </c>
      <c r="E57" s="11">
        <f>SUMIFS(TableDailySummary[Ventas netas totales],TableDailySummary[Fecha],"&gt;="&amp;TableWeeklySummary[[#This Row],[Desde]],TableDailySummary[Fecha],"&lt;="&amp;TableWeeklySummary[[#This Row],[Hasta]])</f>
        <v>0</v>
      </c>
      <c r="F57" s="11">
        <f>SUMIFS(TableDailySummary[Órdenes totales],TableDailySummary[Fecha],"&gt;="&amp;TableWeeklySummary[[#This Row],[Desde]],TableDailySummary[Fecha],"&lt;="&amp;TableWeeklySummary[[#This Row],[Hasta]])</f>
        <v>0</v>
      </c>
      <c r="G57" s="11">
        <f>IFERROR(TableWeeklySummary[[#This Row],[Ventas netas totales]]/TableWeeklySummary[[#This Row],[Órdenes totales]],0)</f>
        <v>0</v>
      </c>
      <c r="H5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7" s="11">
        <f>TableWeeklySummary[[#This Row],[Órden promedio totales]]*TableWeeklySummary[[#This Row],[CR totales]]</f>
        <v>0</v>
      </c>
      <c r="J57" s="11">
        <f>SUMIFS(TableDailySummary[Ventas primer cliente],TableDailySummary[Fecha],"&gt;="&amp;TableWeeklySummary[[#This Row],[Desde]],TableDailySummary[Fecha],"&lt;="&amp;TableWeeklySummary[[#This Row],[Hasta]])</f>
        <v>0</v>
      </c>
      <c r="K57" s="11">
        <f>SUMIFS(TableDailySummary[Órdenes primer cliente],TableDailySummary[Fecha],"&gt;="&amp;TableWeeklySummary[[#This Row],[Desde]],TableDailySummary[Fecha],"&lt;="&amp;TableWeeklySummary[[#This Row],[Hasta]])</f>
        <v>0</v>
      </c>
      <c r="L57" s="11">
        <f>SUMIFS(TableDailySummary[Online Store_net_sales],TableDailySummary[Fecha],"&gt;="&amp;TableWeeklySummary[[#This Row],[Desde]],TableDailySummary[Fecha],"&lt;="&amp;TableWeeklySummary[[#This Row],[Hasta]])</f>
        <v>0</v>
      </c>
      <c r="M57" s="11">
        <f>SUMIFS(TableDailySummary[Online Store_orders],TableDailySummary[Fecha],"&gt;="&amp;TableWeeklySummary[[#This Row],[Desde]],TableDailySummary[Fecha],"&lt;="&amp;TableWeeklySummary[[#This Row],[Hasta]])</f>
        <v>0</v>
      </c>
      <c r="N57" s="11">
        <f>SUMIFS(TableDailySummary[Tienda 81_net_sales],TableDailySummary[Fecha],"&gt;="&amp;TableWeeklySummary[[#This Row],[Desde]],TableDailySummary[Fecha],"&lt;="&amp;TableWeeklySummary[[#This Row],[Hasta]])</f>
        <v>0</v>
      </c>
      <c r="O57" s="11">
        <f>SUMIFS(TableDailySummary[Tienda 81_orders],TableDailySummary[Fecha],"&gt;="&amp;TableWeeklySummary[[#This Row],[Desde]],TableDailySummary[Fecha],"&lt;="&amp;TableWeeklySummary[[#This Row],[Hasta]])</f>
        <v>0</v>
      </c>
      <c r="P57" s="11">
        <f>SUMIFS(TableDailySummary[Rappi_net_sales],TableDailySummary[Fecha],"&gt;="&amp;TableWeeklySummary[[#This Row],[Desde]],TableDailySummary[Fecha],"&lt;="&amp;TableWeeklySummary[[#This Row],[Hasta]])</f>
        <v>0</v>
      </c>
      <c r="Q57" s="11">
        <f>SUMIFS(TableDailySummary[Rappi_orders],TableDailySummary[Fecha],"&gt;="&amp;TableWeeklySummary[[#This Row],[Desde]],TableDailySummary[Fecha],"&lt;="&amp;TableWeeklySummary[[#This Row],[Hasta]])</f>
        <v>0</v>
      </c>
      <c r="R5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7" s="11">
        <f>SUMIFS(TableDailySummary[Corporativo no tienda_orders],TableDailySummary[Fecha],"&gt;="&amp;TableWeeklySummary[[#This Row],[Desde]],TableDailySummary[Fecha],"&lt;="&amp;TableWeeklySummary[[#This Row],[Hasta]])</f>
        <v>0</v>
      </c>
      <c r="T57" s="11">
        <f>SUMIFS(TableDailySummary[Inversión google ads],TableDailySummary[Fecha],"&gt;="&amp;TableWeeklySummary[[#This Row],[Desde]],TableDailySummary[Fecha],"&lt;="&amp;TableWeeklySummary[[#This Row],[Hasta]])</f>
        <v>0</v>
      </c>
      <c r="U57" s="11">
        <f>SUMIFS(TableDailySummary[Ventas google ads],TableDailySummary[Fecha],"&gt;="&amp;TableWeeklySummary[[#This Row],[Desde]],TableDailySummary[Fecha],"&lt;="&amp;TableWeeklySummary[[#This Row],[Hasta]])</f>
        <v>0</v>
      </c>
      <c r="V57" s="11">
        <f>SUMIFS(TableDailySummary[Inversión meta ads],TableDailySummary[Fecha],"&gt;="&amp;TableWeeklySummary[[#This Row],[Desde]],TableDailySummary[Fecha],"&lt;="&amp;TableWeeklySummary[[#This Row],[Hasta]])</f>
        <v>0</v>
      </c>
      <c r="W57" s="11">
        <f>SUMIFS(TableDailySummary[Ventas meta ads],TableDailySummary[Fecha],"&gt;="&amp;TableWeeklySummary[[#This Row],[Desde]],TableDailySummary[Fecha],"&lt;="&amp;TableWeeklySummary[[#This Row],[Hasta]])</f>
        <v>0</v>
      </c>
      <c r="X57" s="11">
        <f>TableWeeklySummary[[#This Row],[Inversión google ads]]+TableWeeklySummary[[#This Row],[Inversión meta ads]]</f>
        <v>0</v>
      </c>
      <c r="Y57" s="11">
        <f>TableWeeklySummary[[#This Row],[Ventas google ads]]+TableWeeklySummary[[#This Row],[Ventas meta ads]]</f>
        <v>0</v>
      </c>
      <c r="Z57" s="14">
        <f>IFERROR(TableWeeklySummary[[#This Row],[Ventas publicidad]]/TableWeeklySummary[[#This Row],[Inversión publicidad]],0)</f>
        <v>0</v>
      </c>
      <c r="AA57" s="14">
        <f>IFERROR(TableWeeklySummary[[#This Row],[Ventas primer cliente]]/TableWeeklySummary[[#This Row],[Inversión publicidad]],0)</f>
        <v>0</v>
      </c>
      <c r="AB57" s="14"/>
      <c r="AC57" s="11"/>
      <c r="AI5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7" s="11">
        <f>SUMIFS(TableDailySummary[Costo de ventas registrado],TableDailySummary[Fecha],"&gt;="&amp;TableWeeklySummary[[#This Row],[Desde]],TableDailySummary[Fecha],"&lt;="&amp;TableWeeklySummary[[#This Row],[Hasta]])</f>
        <v>0</v>
      </c>
      <c r="AK57" s="11">
        <f>SUMIFS(TableDailySummary[Utilidad bruta],TableDailySummary[Fecha],"&gt;="&amp;TableWeeklySummary[[#This Row],[Desde]],TableDailySummary[Fecha],"&lt;="&amp;TableWeeklySummary[[#This Row],[Hasta]])</f>
        <v>0</v>
      </c>
      <c r="AL57" s="18">
        <f>IFERROR(TableWeeklySummary[[#This Row],[Utilidad bruta]]/TableWeeklySummary[[#This Row],[Ventas netas con costo registrado]],0)</f>
        <v>0</v>
      </c>
    </row>
    <row r="58" spans="2:38" x14ac:dyDescent="0.2">
      <c r="B58" s="16">
        <f>_xlfn.ISOWEEKNUM(TableWeeklySummary[[#This Row],[Hasta]])</f>
        <v>47</v>
      </c>
      <c r="C58" s="6">
        <f t="shared" si="1"/>
        <v>44883</v>
      </c>
      <c r="D58" s="6">
        <f>TableWeeklySummary[[#This Row],[Desde]]+7-1</f>
        <v>44889</v>
      </c>
      <c r="E58" s="11">
        <f>SUMIFS(TableDailySummary[Ventas netas totales],TableDailySummary[Fecha],"&gt;="&amp;TableWeeklySummary[[#This Row],[Desde]],TableDailySummary[Fecha],"&lt;="&amp;TableWeeklySummary[[#This Row],[Hasta]])</f>
        <v>0</v>
      </c>
      <c r="F58" s="11">
        <f>SUMIFS(TableDailySummary[Órdenes totales],TableDailySummary[Fecha],"&gt;="&amp;TableWeeklySummary[[#This Row],[Desde]],TableDailySummary[Fecha],"&lt;="&amp;TableWeeklySummary[[#This Row],[Hasta]])</f>
        <v>0</v>
      </c>
      <c r="G58" s="11">
        <f>IFERROR(TableWeeklySummary[[#This Row],[Ventas netas totales]]/TableWeeklySummary[[#This Row],[Órdenes totales]],0)</f>
        <v>0</v>
      </c>
      <c r="H5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8" s="11">
        <f>TableWeeklySummary[[#This Row],[Órden promedio totales]]*TableWeeklySummary[[#This Row],[CR totales]]</f>
        <v>0</v>
      </c>
      <c r="J58" s="11">
        <f>SUMIFS(TableDailySummary[Ventas primer cliente],TableDailySummary[Fecha],"&gt;="&amp;TableWeeklySummary[[#This Row],[Desde]],TableDailySummary[Fecha],"&lt;="&amp;TableWeeklySummary[[#This Row],[Hasta]])</f>
        <v>0</v>
      </c>
      <c r="K58" s="11">
        <f>SUMIFS(TableDailySummary[Órdenes primer cliente],TableDailySummary[Fecha],"&gt;="&amp;TableWeeklySummary[[#This Row],[Desde]],TableDailySummary[Fecha],"&lt;="&amp;TableWeeklySummary[[#This Row],[Hasta]])</f>
        <v>0</v>
      </c>
      <c r="L58" s="11">
        <f>SUMIFS(TableDailySummary[Online Store_net_sales],TableDailySummary[Fecha],"&gt;="&amp;TableWeeklySummary[[#This Row],[Desde]],TableDailySummary[Fecha],"&lt;="&amp;TableWeeklySummary[[#This Row],[Hasta]])</f>
        <v>0</v>
      </c>
      <c r="M58" s="11">
        <f>SUMIFS(TableDailySummary[Online Store_orders],TableDailySummary[Fecha],"&gt;="&amp;TableWeeklySummary[[#This Row],[Desde]],TableDailySummary[Fecha],"&lt;="&amp;TableWeeklySummary[[#This Row],[Hasta]])</f>
        <v>0</v>
      </c>
      <c r="N58" s="11">
        <f>SUMIFS(TableDailySummary[Tienda 81_net_sales],TableDailySummary[Fecha],"&gt;="&amp;TableWeeklySummary[[#This Row],[Desde]],TableDailySummary[Fecha],"&lt;="&amp;TableWeeklySummary[[#This Row],[Hasta]])</f>
        <v>0</v>
      </c>
      <c r="O58" s="11">
        <f>SUMIFS(TableDailySummary[Tienda 81_orders],TableDailySummary[Fecha],"&gt;="&amp;TableWeeklySummary[[#This Row],[Desde]],TableDailySummary[Fecha],"&lt;="&amp;TableWeeklySummary[[#This Row],[Hasta]])</f>
        <v>0</v>
      </c>
      <c r="P58" s="11">
        <f>SUMIFS(TableDailySummary[Rappi_net_sales],TableDailySummary[Fecha],"&gt;="&amp;TableWeeklySummary[[#This Row],[Desde]],TableDailySummary[Fecha],"&lt;="&amp;TableWeeklySummary[[#This Row],[Hasta]])</f>
        <v>0</v>
      </c>
      <c r="Q58" s="11">
        <f>SUMIFS(TableDailySummary[Rappi_orders],TableDailySummary[Fecha],"&gt;="&amp;TableWeeklySummary[[#This Row],[Desde]],TableDailySummary[Fecha],"&lt;="&amp;TableWeeklySummary[[#This Row],[Hasta]])</f>
        <v>0</v>
      </c>
      <c r="R5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8" s="11">
        <f>SUMIFS(TableDailySummary[Corporativo no tienda_orders],TableDailySummary[Fecha],"&gt;="&amp;TableWeeklySummary[[#This Row],[Desde]],TableDailySummary[Fecha],"&lt;="&amp;TableWeeklySummary[[#This Row],[Hasta]])</f>
        <v>0</v>
      </c>
      <c r="T58" s="11">
        <f>SUMIFS(TableDailySummary[Inversión google ads],TableDailySummary[Fecha],"&gt;="&amp;TableWeeklySummary[[#This Row],[Desde]],TableDailySummary[Fecha],"&lt;="&amp;TableWeeklySummary[[#This Row],[Hasta]])</f>
        <v>0</v>
      </c>
      <c r="U58" s="11">
        <f>SUMIFS(TableDailySummary[Ventas google ads],TableDailySummary[Fecha],"&gt;="&amp;TableWeeklySummary[[#This Row],[Desde]],TableDailySummary[Fecha],"&lt;="&amp;TableWeeklySummary[[#This Row],[Hasta]])</f>
        <v>0</v>
      </c>
      <c r="V58" s="11">
        <f>SUMIFS(TableDailySummary[Inversión meta ads],TableDailySummary[Fecha],"&gt;="&amp;TableWeeklySummary[[#This Row],[Desde]],TableDailySummary[Fecha],"&lt;="&amp;TableWeeklySummary[[#This Row],[Hasta]])</f>
        <v>0</v>
      </c>
      <c r="W58" s="11">
        <f>SUMIFS(TableDailySummary[Ventas meta ads],TableDailySummary[Fecha],"&gt;="&amp;TableWeeklySummary[[#This Row],[Desde]],TableDailySummary[Fecha],"&lt;="&amp;TableWeeklySummary[[#This Row],[Hasta]])</f>
        <v>0</v>
      </c>
      <c r="X58" s="11">
        <f>TableWeeklySummary[[#This Row],[Inversión google ads]]+TableWeeklySummary[[#This Row],[Inversión meta ads]]</f>
        <v>0</v>
      </c>
      <c r="Y58" s="11">
        <f>TableWeeklySummary[[#This Row],[Ventas google ads]]+TableWeeklySummary[[#This Row],[Ventas meta ads]]</f>
        <v>0</v>
      </c>
      <c r="Z58" s="14">
        <f>IFERROR(TableWeeklySummary[[#This Row],[Ventas publicidad]]/TableWeeklySummary[[#This Row],[Inversión publicidad]],0)</f>
        <v>0</v>
      </c>
      <c r="AA58" s="14">
        <f>IFERROR(TableWeeklySummary[[#This Row],[Ventas primer cliente]]/TableWeeklySummary[[#This Row],[Inversión publicidad]],0)</f>
        <v>0</v>
      </c>
      <c r="AB58" s="14"/>
      <c r="AC58" s="11"/>
      <c r="AI5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8" s="11">
        <f>SUMIFS(TableDailySummary[Costo de ventas registrado],TableDailySummary[Fecha],"&gt;="&amp;TableWeeklySummary[[#This Row],[Desde]],TableDailySummary[Fecha],"&lt;="&amp;TableWeeklySummary[[#This Row],[Hasta]])</f>
        <v>0</v>
      </c>
      <c r="AK58" s="11">
        <f>SUMIFS(TableDailySummary[Utilidad bruta],TableDailySummary[Fecha],"&gt;="&amp;TableWeeklySummary[[#This Row],[Desde]],TableDailySummary[Fecha],"&lt;="&amp;TableWeeklySummary[[#This Row],[Hasta]])</f>
        <v>0</v>
      </c>
      <c r="AL58" s="18">
        <f>IFERROR(TableWeeklySummary[[#This Row],[Utilidad bruta]]/TableWeeklySummary[[#This Row],[Ventas netas con costo registrado]],0)</f>
        <v>0</v>
      </c>
    </row>
    <row r="59" spans="2:38" x14ac:dyDescent="0.2">
      <c r="B59" s="16">
        <f>_xlfn.ISOWEEKNUM(TableWeeklySummary[[#This Row],[Hasta]])</f>
        <v>48</v>
      </c>
      <c r="C59" s="6">
        <f t="shared" si="1"/>
        <v>44890</v>
      </c>
      <c r="D59" s="6">
        <f>TableWeeklySummary[[#This Row],[Desde]]+7-1</f>
        <v>44896</v>
      </c>
      <c r="E59" s="11">
        <f>SUMIFS(TableDailySummary[Ventas netas totales],TableDailySummary[Fecha],"&gt;="&amp;TableWeeklySummary[[#This Row],[Desde]],TableDailySummary[Fecha],"&lt;="&amp;TableWeeklySummary[[#This Row],[Hasta]])</f>
        <v>0</v>
      </c>
      <c r="F59" s="11">
        <f>SUMIFS(TableDailySummary[Órdenes totales],TableDailySummary[Fecha],"&gt;="&amp;TableWeeklySummary[[#This Row],[Desde]],TableDailySummary[Fecha],"&lt;="&amp;TableWeeklySummary[[#This Row],[Hasta]])</f>
        <v>0</v>
      </c>
      <c r="G59" s="11">
        <f>IFERROR(TableWeeklySummary[[#This Row],[Ventas netas totales]]/TableWeeklySummary[[#This Row],[Órdenes totales]],0)</f>
        <v>0</v>
      </c>
      <c r="H5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9" s="11">
        <f>TableWeeklySummary[[#This Row],[Órden promedio totales]]*TableWeeklySummary[[#This Row],[CR totales]]</f>
        <v>0</v>
      </c>
      <c r="J59" s="11">
        <f>SUMIFS(TableDailySummary[Ventas primer cliente],TableDailySummary[Fecha],"&gt;="&amp;TableWeeklySummary[[#This Row],[Desde]],TableDailySummary[Fecha],"&lt;="&amp;TableWeeklySummary[[#This Row],[Hasta]])</f>
        <v>0</v>
      </c>
      <c r="K59" s="11">
        <f>SUMIFS(TableDailySummary[Órdenes primer cliente],TableDailySummary[Fecha],"&gt;="&amp;TableWeeklySummary[[#This Row],[Desde]],TableDailySummary[Fecha],"&lt;="&amp;TableWeeklySummary[[#This Row],[Hasta]])</f>
        <v>0</v>
      </c>
      <c r="L59" s="11">
        <f>SUMIFS(TableDailySummary[Online Store_net_sales],TableDailySummary[Fecha],"&gt;="&amp;TableWeeklySummary[[#This Row],[Desde]],TableDailySummary[Fecha],"&lt;="&amp;TableWeeklySummary[[#This Row],[Hasta]])</f>
        <v>0</v>
      </c>
      <c r="M59" s="11">
        <f>SUMIFS(TableDailySummary[Online Store_orders],TableDailySummary[Fecha],"&gt;="&amp;TableWeeklySummary[[#This Row],[Desde]],TableDailySummary[Fecha],"&lt;="&amp;TableWeeklySummary[[#This Row],[Hasta]])</f>
        <v>0</v>
      </c>
      <c r="N59" s="11">
        <f>SUMIFS(TableDailySummary[Tienda 81_net_sales],TableDailySummary[Fecha],"&gt;="&amp;TableWeeklySummary[[#This Row],[Desde]],TableDailySummary[Fecha],"&lt;="&amp;TableWeeklySummary[[#This Row],[Hasta]])</f>
        <v>0</v>
      </c>
      <c r="O59" s="11">
        <f>SUMIFS(TableDailySummary[Tienda 81_orders],TableDailySummary[Fecha],"&gt;="&amp;TableWeeklySummary[[#This Row],[Desde]],TableDailySummary[Fecha],"&lt;="&amp;TableWeeklySummary[[#This Row],[Hasta]])</f>
        <v>0</v>
      </c>
      <c r="P59" s="11">
        <f>SUMIFS(TableDailySummary[Rappi_net_sales],TableDailySummary[Fecha],"&gt;="&amp;TableWeeklySummary[[#This Row],[Desde]],TableDailySummary[Fecha],"&lt;="&amp;TableWeeklySummary[[#This Row],[Hasta]])</f>
        <v>0</v>
      </c>
      <c r="Q59" s="11">
        <f>SUMIFS(TableDailySummary[Rappi_orders],TableDailySummary[Fecha],"&gt;="&amp;TableWeeklySummary[[#This Row],[Desde]],TableDailySummary[Fecha],"&lt;="&amp;TableWeeklySummary[[#This Row],[Hasta]])</f>
        <v>0</v>
      </c>
      <c r="R5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9" s="11">
        <f>SUMIFS(TableDailySummary[Corporativo no tienda_orders],TableDailySummary[Fecha],"&gt;="&amp;TableWeeklySummary[[#This Row],[Desde]],TableDailySummary[Fecha],"&lt;="&amp;TableWeeklySummary[[#This Row],[Hasta]])</f>
        <v>0</v>
      </c>
      <c r="T59" s="11">
        <f>SUMIFS(TableDailySummary[Inversión google ads],TableDailySummary[Fecha],"&gt;="&amp;TableWeeklySummary[[#This Row],[Desde]],TableDailySummary[Fecha],"&lt;="&amp;TableWeeklySummary[[#This Row],[Hasta]])</f>
        <v>0</v>
      </c>
      <c r="U59" s="11">
        <f>SUMIFS(TableDailySummary[Ventas google ads],TableDailySummary[Fecha],"&gt;="&amp;TableWeeklySummary[[#This Row],[Desde]],TableDailySummary[Fecha],"&lt;="&amp;TableWeeklySummary[[#This Row],[Hasta]])</f>
        <v>0</v>
      </c>
      <c r="V59" s="11">
        <f>SUMIFS(TableDailySummary[Inversión meta ads],TableDailySummary[Fecha],"&gt;="&amp;TableWeeklySummary[[#This Row],[Desde]],TableDailySummary[Fecha],"&lt;="&amp;TableWeeklySummary[[#This Row],[Hasta]])</f>
        <v>0</v>
      </c>
      <c r="W59" s="11">
        <f>SUMIFS(TableDailySummary[Ventas meta ads],TableDailySummary[Fecha],"&gt;="&amp;TableWeeklySummary[[#This Row],[Desde]],TableDailySummary[Fecha],"&lt;="&amp;TableWeeklySummary[[#This Row],[Hasta]])</f>
        <v>0</v>
      </c>
      <c r="X59" s="11">
        <f>TableWeeklySummary[[#This Row],[Inversión google ads]]+TableWeeklySummary[[#This Row],[Inversión meta ads]]</f>
        <v>0</v>
      </c>
      <c r="Y59" s="11">
        <f>TableWeeklySummary[[#This Row],[Ventas google ads]]+TableWeeklySummary[[#This Row],[Ventas meta ads]]</f>
        <v>0</v>
      </c>
      <c r="Z59" s="14">
        <f>IFERROR(TableWeeklySummary[[#This Row],[Ventas publicidad]]/TableWeeklySummary[[#This Row],[Inversión publicidad]],0)</f>
        <v>0</v>
      </c>
      <c r="AA59" s="14">
        <f>IFERROR(TableWeeklySummary[[#This Row],[Ventas primer cliente]]/TableWeeklySummary[[#This Row],[Inversión publicidad]],0)</f>
        <v>0</v>
      </c>
      <c r="AB59" s="14"/>
      <c r="AC59" s="11"/>
      <c r="AI5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9" s="11">
        <f>SUMIFS(TableDailySummary[Costo de ventas registrado],TableDailySummary[Fecha],"&gt;="&amp;TableWeeklySummary[[#This Row],[Desde]],TableDailySummary[Fecha],"&lt;="&amp;TableWeeklySummary[[#This Row],[Hasta]])</f>
        <v>0</v>
      </c>
      <c r="AK59" s="11">
        <f>SUMIFS(TableDailySummary[Utilidad bruta],TableDailySummary[Fecha],"&gt;="&amp;TableWeeklySummary[[#This Row],[Desde]],TableDailySummary[Fecha],"&lt;="&amp;TableWeeklySummary[[#This Row],[Hasta]])</f>
        <v>0</v>
      </c>
      <c r="AL59" s="18">
        <f>IFERROR(TableWeeklySummary[[#This Row],[Utilidad bruta]]/TableWeeklySummary[[#This Row],[Ventas netas con costo registrado]],0)</f>
        <v>0</v>
      </c>
    </row>
    <row r="60" spans="2:38" x14ac:dyDescent="0.2">
      <c r="B60" s="16">
        <f>_xlfn.ISOWEEKNUM(TableWeeklySummary[[#This Row],[Hasta]])</f>
        <v>49</v>
      </c>
      <c r="C60" s="6">
        <f t="shared" si="1"/>
        <v>44897</v>
      </c>
      <c r="D60" s="6">
        <f>TableWeeklySummary[[#This Row],[Desde]]+7-1</f>
        <v>44903</v>
      </c>
      <c r="E60" s="11">
        <f>SUMIFS(TableDailySummary[Ventas netas totales],TableDailySummary[Fecha],"&gt;="&amp;TableWeeklySummary[[#This Row],[Desde]],TableDailySummary[Fecha],"&lt;="&amp;TableWeeklySummary[[#This Row],[Hasta]])</f>
        <v>0</v>
      </c>
      <c r="F60" s="11">
        <f>SUMIFS(TableDailySummary[Órdenes totales],TableDailySummary[Fecha],"&gt;="&amp;TableWeeklySummary[[#This Row],[Desde]],TableDailySummary[Fecha],"&lt;="&amp;TableWeeklySummary[[#This Row],[Hasta]])</f>
        <v>0</v>
      </c>
      <c r="G60" s="11">
        <f>IFERROR(TableWeeklySummary[[#This Row],[Ventas netas totales]]/TableWeeklySummary[[#This Row],[Órdenes totales]],0)</f>
        <v>0</v>
      </c>
      <c r="H6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0" s="11">
        <f>TableWeeklySummary[[#This Row],[Órden promedio totales]]*TableWeeklySummary[[#This Row],[CR totales]]</f>
        <v>0</v>
      </c>
      <c r="J60" s="11">
        <f>SUMIFS(TableDailySummary[Ventas primer cliente],TableDailySummary[Fecha],"&gt;="&amp;TableWeeklySummary[[#This Row],[Desde]],TableDailySummary[Fecha],"&lt;="&amp;TableWeeklySummary[[#This Row],[Hasta]])</f>
        <v>0</v>
      </c>
      <c r="K60" s="11">
        <f>SUMIFS(TableDailySummary[Órdenes primer cliente],TableDailySummary[Fecha],"&gt;="&amp;TableWeeklySummary[[#This Row],[Desde]],TableDailySummary[Fecha],"&lt;="&amp;TableWeeklySummary[[#This Row],[Hasta]])</f>
        <v>0</v>
      </c>
      <c r="L60" s="11">
        <f>SUMIFS(TableDailySummary[Online Store_net_sales],TableDailySummary[Fecha],"&gt;="&amp;TableWeeklySummary[[#This Row],[Desde]],TableDailySummary[Fecha],"&lt;="&amp;TableWeeklySummary[[#This Row],[Hasta]])</f>
        <v>0</v>
      </c>
      <c r="M60" s="11">
        <f>SUMIFS(TableDailySummary[Online Store_orders],TableDailySummary[Fecha],"&gt;="&amp;TableWeeklySummary[[#This Row],[Desde]],TableDailySummary[Fecha],"&lt;="&amp;TableWeeklySummary[[#This Row],[Hasta]])</f>
        <v>0</v>
      </c>
      <c r="N60" s="11">
        <f>SUMIFS(TableDailySummary[Tienda 81_net_sales],TableDailySummary[Fecha],"&gt;="&amp;TableWeeklySummary[[#This Row],[Desde]],TableDailySummary[Fecha],"&lt;="&amp;TableWeeklySummary[[#This Row],[Hasta]])</f>
        <v>0</v>
      </c>
      <c r="O60" s="11">
        <f>SUMIFS(TableDailySummary[Tienda 81_orders],TableDailySummary[Fecha],"&gt;="&amp;TableWeeklySummary[[#This Row],[Desde]],TableDailySummary[Fecha],"&lt;="&amp;TableWeeklySummary[[#This Row],[Hasta]])</f>
        <v>0</v>
      </c>
      <c r="P60" s="11">
        <f>SUMIFS(TableDailySummary[Rappi_net_sales],TableDailySummary[Fecha],"&gt;="&amp;TableWeeklySummary[[#This Row],[Desde]],TableDailySummary[Fecha],"&lt;="&amp;TableWeeklySummary[[#This Row],[Hasta]])</f>
        <v>0</v>
      </c>
      <c r="Q60" s="11">
        <f>SUMIFS(TableDailySummary[Rappi_orders],TableDailySummary[Fecha],"&gt;="&amp;TableWeeklySummary[[#This Row],[Desde]],TableDailySummary[Fecha],"&lt;="&amp;TableWeeklySummary[[#This Row],[Hasta]])</f>
        <v>0</v>
      </c>
      <c r="R6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0" s="11">
        <f>SUMIFS(TableDailySummary[Corporativo no tienda_orders],TableDailySummary[Fecha],"&gt;="&amp;TableWeeklySummary[[#This Row],[Desde]],TableDailySummary[Fecha],"&lt;="&amp;TableWeeklySummary[[#This Row],[Hasta]])</f>
        <v>0</v>
      </c>
      <c r="T60" s="11">
        <f>SUMIFS(TableDailySummary[Inversión google ads],TableDailySummary[Fecha],"&gt;="&amp;TableWeeklySummary[[#This Row],[Desde]],TableDailySummary[Fecha],"&lt;="&amp;TableWeeklySummary[[#This Row],[Hasta]])</f>
        <v>0</v>
      </c>
      <c r="U60" s="11">
        <f>SUMIFS(TableDailySummary[Ventas google ads],TableDailySummary[Fecha],"&gt;="&amp;TableWeeklySummary[[#This Row],[Desde]],TableDailySummary[Fecha],"&lt;="&amp;TableWeeklySummary[[#This Row],[Hasta]])</f>
        <v>0</v>
      </c>
      <c r="V60" s="11">
        <f>SUMIFS(TableDailySummary[Inversión meta ads],TableDailySummary[Fecha],"&gt;="&amp;TableWeeklySummary[[#This Row],[Desde]],TableDailySummary[Fecha],"&lt;="&amp;TableWeeklySummary[[#This Row],[Hasta]])</f>
        <v>0</v>
      </c>
      <c r="W60" s="11">
        <f>SUMIFS(TableDailySummary[Ventas meta ads],TableDailySummary[Fecha],"&gt;="&amp;TableWeeklySummary[[#This Row],[Desde]],TableDailySummary[Fecha],"&lt;="&amp;TableWeeklySummary[[#This Row],[Hasta]])</f>
        <v>0</v>
      </c>
      <c r="X60" s="11">
        <f>TableWeeklySummary[[#This Row],[Inversión google ads]]+TableWeeklySummary[[#This Row],[Inversión meta ads]]</f>
        <v>0</v>
      </c>
      <c r="Y60" s="11">
        <f>TableWeeklySummary[[#This Row],[Ventas google ads]]+TableWeeklySummary[[#This Row],[Ventas meta ads]]</f>
        <v>0</v>
      </c>
      <c r="Z60" s="14">
        <f>IFERROR(TableWeeklySummary[[#This Row],[Ventas publicidad]]/TableWeeklySummary[[#This Row],[Inversión publicidad]],0)</f>
        <v>0</v>
      </c>
      <c r="AA60" s="14">
        <f>IFERROR(TableWeeklySummary[[#This Row],[Ventas primer cliente]]/TableWeeklySummary[[#This Row],[Inversión publicidad]],0)</f>
        <v>0</v>
      </c>
      <c r="AB60" s="14"/>
      <c r="AC60" s="11"/>
      <c r="AI6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0" s="11">
        <f>SUMIFS(TableDailySummary[Costo de ventas registrado],TableDailySummary[Fecha],"&gt;="&amp;TableWeeklySummary[[#This Row],[Desde]],TableDailySummary[Fecha],"&lt;="&amp;TableWeeklySummary[[#This Row],[Hasta]])</f>
        <v>0</v>
      </c>
      <c r="AK60" s="11">
        <f>SUMIFS(TableDailySummary[Utilidad bruta],TableDailySummary[Fecha],"&gt;="&amp;TableWeeklySummary[[#This Row],[Desde]],TableDailySummary[Fecha],"&lt;="&amp;TableWeeklySummary[[#This Row],[Hasta]])</f>
        <v>0</v>
      </c>
      <c r="AL60" s="18">
        <f>IFERROR(TableWeeklySummary[[#This Row],[Utilidad bruta]]/TableWeeklySummary[[#This Row],[Ventas netas con costo registrado]],0)</f>
        <v>0</v>
      </c>
    </row>
    <row r="61" spans="2:38" x14ac:dyDescent="0.2">
      <c r="B61" s="16">
        <f>_xlfn.ISOWEEKNUM(TableWeeklySummary[[#This Row],[Hasta]])</f>
        <v>50</v>
      </c>
      <c r="C61" s="6">
        <f t="shared" si="1"/>
        <v>44904</v>
      </c>
      <c r="D61" s="6">
        <f>TableWeeklySummary[[#This Row],[Desde]]+7-1</f>
        <v>44910</v>
      </c>
      <c r="E61" s="11">
        <f>SUMIFS(TableDailySummary[Ventas netas totales],TableDailySummary[Fecha],"&gt;="&amp;TableWeeklySummary[[#This Row],[Desde]],TableDailySummary[Fecha],"&lt;="&amp;TableWeeklySummary[[#This Row],[Hasta]])</f>
        <v>0</v>
      </c>
      <c r="F61" s="11">
        <f>SUMIFS(TableDailySummary[Órdenes totales],TableDailySummary[Fecha],"&gt;="&amp;TableWeeklySummary[[#This Row],[Desde]],TableDailySummary[Fecha],"&lt;="&amp;TableWeeklySummary[[#This Row],[Hasta]])</f>
        <v>0</v>
      </c>
      <c r="G61" s="11">
        <f>IFERROR(TableWeeklySummary[[#This Row],[Ventas netas totales]]/TableWeeklySummary[[#This Row],[Órdenes totales]],0)</f>
        <v>0</v>
      </c>
      <c r="H6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1" s="11">
        <f>TableWeeklySummary[[#This Row],[Órden promedio totales]]*TableWeeklySummary[[#This Row],[CR totales]]</f>
        <v>0</v>
      </c>
      <c r="J61" s="11">
        <f>SUMIFS(TableDailySummary[Ventas primer cliente],TableDailySummary[Fecha],"&gt;="&amp;TableWeeklySummary[[#This Row],[Desde]],TableDailySummary[Fecha],"&lt;="&amp;TableWeeklySummary[[#This Row],[Hasta]])</f>
        <v>0</v>
      </c>
      <c r="K61" s="11">
        <f>SUMIFS(TableDailySummary[Órdenes primer cliente],TableDailySummary[Fecha],"&gt;="&amp;TableWeeklySummary[[#This Row],[Desde]],TableDailySummary[Fecha],"&lt;="&amp;TableWeeklySummary[[#This Row],[Hasta]])</f>
        <v>0</v>
      </c>
      <c r="L61" s="11">
        <f>SUMIFS(TableDailySummary[Online Store_net_sales],TableDailySummary[Fecha],"&gt;="&amp;TableWeeklySummary[[#This Row],[Desde]],TableDailySummary[Fecha],"&lt;="&amp;TableWeeklySummary[[#This Row],[Hasta]])</f>
        <v>0</v>
      </c>
      <c r="M61" s="11">
        <f>SUMIFS(TableDailySummary[Online Store_orders],TableDailySummary[Fecha],"&gt;="&amp;TableWeeklySummary[[#This Row],[Desde]],TableDailySummary[Fecha],"&lt;="&amp;TableWeeklySummary[[#This Row],[Hasta]])</f>
        <v>0</v>
      </c>
      <c r="N61" s="11">
        <f>SUMIFS(TableDailySummary[Tienda 81_net_sales],TableDailySummary[Fecha],"&gt;="&amp;TableWeeklySummary[[#This Row],[Desde]],TableDailySummary[Fecha],"&lt;="&amp;TableWeeklySummary[[#This Row],[Hasta]])</f>
        <v>0</v>
      </c>
      <c r="O61" s="11">
        <f>SUMIFS(TableDailySummary[Tienda 81_orders],TableDailySummary[Fecha],"&gt;="&amp;TableWeeklySummary[[#This Row],[Desde]],TableDailySummary[Fecha],"&lt;="&amp;TableWeeklySummary[[#This Row],[Hasta]])</f>
        <v>0</v>
      </c>
      <c r="P61" s="11">
        <f>SUMIFS(TableDailySummary[Rappi_net_sales],TableDailySummary[Fecha],"&gt;="&amp;TableWeeklySummary[[#This Row],[Desde]],TableDailySummary[Fecha],"&lt;="&amp;TableWeeklySummary[[#This Row],[Hasta]])</f>
        <v>0</v>
      </c>
      <c r="Q61" s="11">
        <f>SUMIFS(TableDailySummary[Rappi_orders],TableDailySummary[Fecha],"&gt;="&amp;TableWeeklySummary[[#This Row],[Desde]],TableDailySummary[Fecha],"&lt;="&amp;TableWeeklySummary[[#This Row],[Hasta]])</f>
        <v>0</v>
      </c>
      <c r="R6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1" s="11">
        <f>SUMIFS(TableDailySummary[Corporativo no tienda_orders],TableDailySummary[Fecha],"&gt;="&amp;TableWeeklySummary[[#This Row],[Desde]],TableDailySummary[Fecha],"&lt;="&amp;TableWeeklySummary[[#This Row],[Hasta]])</f>
        <v>0</v>
      </c>
      <c r="T61" s="11">
        <f>SUMIFS(TableDailySummary[Inversión google ads],TableDailySummary[Fecha],"&gt;="&amp;TableWeeklySummary[[#This Row],[Desde]],TableDailySummary[Fecha],"&lt;="&amp;TableWeeklySummary[[#This Row],[Hasta]])</f>
        <v>0</v>
      </c>
      <c r="U61" s="11">
        <f>SUMIFS(TableDailySummary[Ventas google ads],TableDailySummary[Fecha],"&gt;="&amp;TableWeeklySummary[[#This Row],[Desde]],TableDailySummary[Fecha],"&lt;="&amp;TableWeeklySummary[[#This Row],[Hasta]])</f>
        <v>0</v>
      </c>
      <c r="V61" s="11">
        <f>SUMIFS(TableDailySummary[Inversión meta ads],TableDailySummary[Fecha],"&gt;="&amp;TableWeeklySummary[[#This Row],[Desde]],TableDailySummary[Fecha],"&lt;="&amp;TableWeeklySummary[[#This Row],[Hasta]])</f>
        <v>0</v>
      </c>
      <c r="W61" s="11">
        <f>SUMIFS(TableDailySummary[Ventas meta ads],TableDailySummary[Fecha],"&gt;="&amp;TableWeeklySummary[[#This Row],[Desde]],TableDailySummary[Fecha],"&lt;="&amp;TableWeeklySummary[[#This Row],[Hasta]])</f>
        <v>0</v>
      </c>
      <c r="X61" s="11">
        <f>TableWeeklySummary[[#This Row],[Inversión google ads]]+TableWeeklySummary[[#This Row],[Inversión meta ads]]</f>
        <v>0</v>
      </c>
      <c r="Y61" s="11">
        <f>TableWeeklySummary[[#This Row],[Ventas google ads]]+TableWeeklySummary[[#This Row],[Ventas meta ads]]</f>
        <v>0</v>
      </c>
      <c r="Z61" s="14">
        <f>IFERROR(TableWeeklySummary[[#This Row],[Ventas publicidad]]/TableWeeklySummary[[#This Row],[Inversión publicidad]],0)</f>
        <v>0</v>
      </c>
      <c r="AA61" s="14">
        <f>IFERROR(TableWeeklySummary[[#This Row],[Ventas primer cliente]]/TableWeeklySummary[[#This Row],[Inversión publicidad]],0)</f>
        <v>0</v>
      </c>
      <c r="AB61" s="14"/>
      <c r="AC61" s="11"/>
      <c r="AI6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1" s="11">
        <f>SUMIFS(TableDailySummary[Costo de ventas registrado],TableDailySummary[Fecha],"&gt;="&amp;TableWeeklySummary[[#This Row],[Desde]],TableDailySummary[Fecha],"&lt;="&amp;TableWeeklySummary[[#This Row],[Hasta]])</f>
        <v>0</v>
      </c>
      <c r="AK61" s="11">
        <f>SUMIFS(TableDailySummary[Utilidad bruta],TableDailySummary[Fecha],"&gt;="&amp;TableWeeklySummary[[#This Row],[Desde]],TableDailySummary[Fecha],"&lt;="&amp;TableWeeklySummary[[#This Row],[Hasta]])</f>
        <v>0</v>
      </c>
      <c r="AL61" s="18">
        <f>IFERROR(TableWeeklySummary[[#This Row],[Utilidad bruta]]/TableWeeklySummary[[#This Row],[Ventas netas con costo registrado]],0)</f>
        <v>0</v>
      </c>
    </row>
    <row r="62" spans="2:38" x14ac:dyDescent="0.2">
      <c r="B62" s="16">
        <f>_xlfn.ISOWEEKNUM(TableWeeklySummary[[#This Row],[Hasta]])</f>
        <v>51</v>
      </c>
      <c r="C62" s="6">
        <f t="shared" si="1"/>
        <v>44911</v>
      </c>
      <c r="D62" s="6">
        <f>TableWeeklySummary[[#This Row],[Desde]]+7-1</f>
        <v>44917</v>
      </c>
      <c r="E62" s="11">
        <f>SUMIFS(TableDailySummary[Ventas netas totales],TableDailySummary[Fecha],"&gt;="&amp;TableWeeklySummary[[#This Row],[Desde]],TableDailySummary[Fecha],"&lt;="&amp;TableWeeklySummary[[#This Row],[Hasta]])</f>
        <v>0</v>
      </c>
      <c r="F62" s="11">
        <f>SUMIFS(TableDailySummary[Órdenes totales],TableDailySummary[Fecha],"&gt;="&amp;TableWeeklySummary[[#This Row],[Desde]],TableDailySummary[Fecha],"&lt;="&amp;TableWeeklySummary[[#This Row],[Hasta]])</f>
        <v>0</v>
      </c>
      <c r="G62" s="11">
        <f>IFERROR(TableWeeklySummary[[#This Row],[Ventas netas totales]]/TableWeeklySummary[[#This Row],[Órdenes totales]],0)</f>
        <v>0</v>
      </c>
      <c r="H6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2" s="11">
        <f>TableWeeklySummary[[#This Row],[Órden promedio totales]]*TableWeeklySummary[[#This Row],[CR totales]]</f>
        <v>0</v>
      </c>
      <c r="J62" s="11">
        <f>SUMIFS(TableDailySummary[Ventas primer cliente],TableDailySummary[Fecha],"&gt;="&amp;TableWeeklySummary[[#This Row],[Desde]],TableDailySummary[Fecha],"&lt;="&amp;TableWeeklySummary[[#This Row],[Hasta]])</f>
        <v>0</v>
      </c>
      <c r="K62" s="11">
        <f>SUMIFS(TableDailySummary[Órdenes primer cliente],TableDailySummary[Fecha],"&gt;="&amp;TableWeeklySummary[[#This Row],[Desde]],TableDailySummary[Fecha],"&lt;="&amp;TableWeeklySummary[[#This Row],[Hasta]])</f>
        <v>0</v>
      </c>
      <c r="L62" s="11">
        <f>SUMIFS(TableDailySummary[Online Store_net_sales],TableDailySummary[Fecha],"&gt;="&amp;TableWeeklySummary[[#This Row],[Desde]],TableDailySummary[Fecha],"&lt;="&amp;TableWeeklySummary[[#This Row],[Hasta]])</f>
        <v>0</v>
      </c>
      <c r="M62" s="11">
        <f>SUMIFS(TableDailySummary[Online Store_orders],TableDailySummary[Fecha],"&gt;="&amp;TableWeeklySummary[[#This Row],[Desde]],TableDailySummary[Fecha],"&lt;="&amp;TableWeeklySummary[[#This Row],[Hasta]])</f>
        <v>0</v>
      </c>
      <c r="N62" s="11">
        <f>SUMIFS(TableDailySummary[Tienda 81_net_sales],TableDailySummary[Fecha],"&gt;="&amp;TableWeeklySummary[[#This Row],[Desde]],TableDailySummary[Fecha],"&lt;="&amp;TableWeeklySummary[[#This Row],[Hasta]])</f>
        <v>0</v>
      </c>
      <c r="O62" s="11">
        <f>SUMIFS(TableDailySummary[Tienda 81_orders],TableDailySummary[Fecha],"&gt;="&amp;TableWeeklySummary[[#This Row],[Desde]],TableDailySummary[Fecha],"&lt;="&amp;TableWeeklySummary[[#This Row],[Hasta]])</f>
        <v>0</v>
      </c>
      <c r="P62" s="11">
        <f>SUMIFS(TableDailySummary[Rappi_net_sales],TableDailySummary[Fecha],"&gt;="&amp;TableWeeklySummary[[#This Row],[Desde]],TableDailySummary[Fecha],"&lt;="&amp;TableWeeklySummary[[#This Row],[Hasta]])</f>
        <v>0</v>
      </c>
      <c r="Q62" s="11">
        <f>SUMIFS(TableDailySummary[Rappi_orders],TableDailySummary[Fecha],"&gt;="&amp;TableWeeklySummary[[#This Row],[Desde]],TableDailySummary[Fecha],"&lt;="&amp;TableWeeklySummary[[#This Row],[Hasta]])</f>
        <v>0</v>
      </c>
      <c r="R6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2" s="11">
        <f>SUMIFS(TableDailySummary[Corporativo no tienda_orders],TableDailySummary[Fecha],"&gt;="&amp;TableWeeklySummary[[#This Row],[Desde]],TableDailySummary[Fecha],"&lt;="&amp;TableWeeklySummary[[#This Row],[Hasta]])</f>
        <v>0</v>
      </c>
      <c r="T62" s="11">
        <f>SUMIFS(TableDailySummary[Inversión google ads],TableDailySummary[Fecha],"&gt;="&amp;TableWeeklySummary[[#This Row],[Desde]],TableDailySummary[Fecha],"&lt;="&amp;TableWeeklySummary[[#This Row],[Hasta]])</f>
        <v>0</v>
      </c>
      <c r="U62" s="11">
        <f>SUMIFS(TableDailySummary[Ventas google ads],TableDailySummary[Fecha],"&gt;="&amp;TableWeeklySummary[[#This Row],[Desde]],TableDailySummary[Fecha],"&lt;="&amp;TableWeeklySummary[[#This Row],[Hasta]])</f>
        <v>0</v>
      </c>
      <c r="V62" s="11">
        <f>SUMIFS(TableDailySummary[Inversión meta ads],TableDailySummary[Fecha],"&gt;="&amp;TableWeeklySummary[[#This Row],[Desde]],TableDailySummary[Fecha],"&lt;="&amp;TableWeeklySummary[[#This Row],[Hasta]])</f>
        <v>0</v>
      </c>
      <c r="W62" s="11">
        <f>SUMIFS(TableDailySummary[Ventas meta ads],TableDailySummary[Fecha],"&gt;="&amp;TableWeeklySummary[[#This Row],[Desde]],TableDailySummary[Fecha],"&lt;="&amp;TableWeeklySummary[[#This Row],[Hasta]])</f>
        <v>0</v>
      </c>
      <c r="X62" s="11">
        <f>TableWeeklySummary[[#This Row],[Inversión google ads]]+TableWeeklySummary[[#This Row],[Inversión meta ads]]</f>
        <v>0</v>
      </c>
      <c r="Y62" s="11">
        <f>TableWeeklySummary[[#This Row],[Ventas google ads]]+TableWeeklySummary[[#This Row],[Ventas meta ads]]</f>
        <v>0</v>
      </c>
      <c r="Z62" s="14">
        <f>IFERROR(TableWeeklySummary[[#This Row],[Ventas publicidad]]/TableWeeklySummary[[#This Row],[Inversión publicidad]],0)</f>
        <v>0</v>
      </c>
      <c r="AA62" s="14">
        <f>IFERROR(TableWeeklySummary[[#This Row],[Ventas primer cliente]]/TableWeeklySummary[[#This Row],[Inversión publicidad]],0)</f>
        <v>0</v>
      </c>
      <c r="AB62" s="14"/>
      <c r="AC62" s="11"/>
      <c r="AI6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2" s="11">
        <f>SUMIFS(TableDailySummary[Costo de ventas registrado],TableDailySummary[Fecha],"&gt;="&amp;TableWeeklySummary[[#This Row],[Desde]],TableDailySummary[Fecha],"&lt;="&amp;TableWeeklySummary[[#This Row],[Hasta]])</f>
        <v>0</v>
      </c>
      <c r="AK62" s="11">
        <f>SUMIFS(TableDailySummary[Utilidad bruta],TableDailySummary[Fecha],"&gt;="&amp;TableWeeklySummary[[#This Row],[Desde]],TableDailySummary[Fecha],"&lt;="&amp;TableWeeklySummary[[#This Row],[Hasta]])</f>
        <v>0</v>
      </c>
      <c r="AL62" s="18">
        <f>IFERROR(TableWeeklySummary[[#This Row],[Utilidad bruta]]/TableWeeklySummary[[#This Row],[Ventas netas con costo registrado]],0)</f>
        <v>0</v>
      </c>
    </row>
    <row r="63" spans="2:38" x14ac:dyDescent="0.2">
      <c r="B63" s="16">
        <f>_xlfn.ISOWEEKNUM(TableWeeklySummary[[#This Row],[Hasta]])</f>
        <v>52</v>
      </c>
      <c r="C63" s="6">
        <f t="shared" si="1"/>
        <v>44918</v>
      </c>
      <c r="D63" s="6">
        <f>TableWeeklySummary[[#This Row],[Desde]]+7-1</f>
        <v>44924</v>
      </c>
      <c r="E63" s="11">
        <f>SUMIFS(TableDailySummary[Ventas netas totales],TableDailySummary[Fecha],"&gt;="&amp;TableWeeklySummary[[#This Row],[Desde]],TableDailySummary[Fecha],"&lt;="&amp;TableWeeklySummary[[#This Row],[Hasta]])</f>
        <v>0</v>
      </c>
      <c r="F63" s="11">
        <f>SUMIFS(TableDailySummary[Órdenes totales],TableDailySummary[Fecha],"&gt;="&amp;TableWeeklySummary[[#This Row],[Desde]],TableDailySummary[Fecha],"&lt;="&amp;TableWeeklySummary[[#This Row],[Hasta]])</f>
        <v>0</v>
      </c>
      <c r="G63" s="11">
        <f>IFERROR(TableWeeklySummary[[#This Row],[Ventas netas totales]]/TableWeeklySummary[[#This Row],[Órdenes totales]],0)</f>
        <v>0</v>
      </c>
      <c r="H6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3" s="11">
        <f>TableWeeklySummary[[#This Row],[Órden promedio totales]]*TableWeeklySummary[[#This Row],[CR totales]]</f>
        <v>0</v>
      </c>
      <c r="J63" s="11">
        <f>SUMIFS(TableDailySummary[Ventas primer cliente],TableDailySummary[Fecha],"&gt;="&amp;TableWeeklySummary[[#This Row],[Desde]],TableDailySummary[Fecha],"&lt;="&amp;TableWeeklySummary[[#This Row],[Hasta]])</f>
        <v>0</v>
      </c>
      <c r="K63" s="11">
        <f>SUMIFS(TableDailySummary[Órdenes primer cliente],TableDailySummary[Fecha],"&gt;="&amp;TableWeeklySummary[[#This Row],[Desde]],TableDailySummary[Fecha],"&lt;="&amp;TableWeeklySummary[[#This Row],[Hasta]])</f>
        <v>0</v>
      </c>
      <c r="L63" s="11">
        <f>SUMIFS(TableDailySummary[Online Store_net_sales],TableDailySummary[Fecha],"&gt;="&amp;TableWeeklySummary[[#This Row],[Desde]],TableDailySummary[Fecha],"&lt;="&amp;TableWeeklySummary[[#This Row],[Hasta]])</f>
        <v>0</v>
      </c>
      <c r="M63" s="11">
        <f>SUMIFS(TableDailySummary[Online Store_orders],TableDailySummary[Fecha],"&gt;="&amp;TableWeeklySummary[[#This Row],[Desde]],TableDailySummary[Fecha],"&lt;="&amp;TableWeeklySummary[[#This Row],[Hasta]])</f>
        <v>0</v>
      </c>
      <c r="N63" s="11">
        <f>SUMIFS(TableDailySummary[Tienda 81_net_sales],TableDailySummary[Fecha],"&gt;="&amp;TableWeeklySummary[[#This Row],[Desde]],TableDailySummary[Fecha],"&lt;="&amp;TableWeeklySummary[[#This Row],[Hasta]])</f>
        <v>0</v>
      </c>
      <c r="O63" s="11">
        <f>SUMIFS(TableDailySummary[Tienda 81_orders],TableDailySummary[Fecha],"&gt;="&amp;TableWeeklySummary[[#This Row],[Desde]],TableDailySummary[Fecha],"&lt;="&amp;TableWeeklySummary[[#This Row],[Hasta]])</f>
        <v>0</v>
      </c>
      <c r="P63" s="11">
        <f>SUMIFS(TableDailySummary[Rappi_net_sales],TableDailySummary[Fecha],"&gt;="&amp;TableWeeklySummary[[#This Row],[Desde]],TableDailySummary[Fecha],"&lt;="&amp;TableWeeklySummary[[#This Row],[Hasta]])</f>
        <v>0</v>
      </c>
      <c r="Q63" s="11">
        <f>SUMIFS(TableDailySummary[Rappi_orders],TableDailySummary[Fecha],"&gt;="&amp;TableWeeklySummary[[#This Row],[Desde]],TableDailySummary[Fecha],"&lt;="&amp;TableWeeklySummary[[#This Row],[Hasta]])</f>
        <v>0</v>
      </c>
      <c r="R6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3" s="11">
        <f>SUMIFS(TableDailySummary[Corporativo no tienda_orders],TableDailySummary[Fecha],"&gt;="&amp;TableWeeklySummary[[#This Row],[Desde]],TableDailySummary[Fecha],"&lt;="&amp;TableWeeklySummary[[#This Row],[Hasta]])</f>
        <v>0</v>
      </c>
      <c r="T63" s="11">
        <f>SUMIFS(TableDailySummary[Inversión google ads],TableDailySummary[Fecha],"&gt;="&amp;TableWeeklySummary[[#This Row],[Desde]],TableDailySummary[Fecha],"&lt;="&amp;TableWeeklySummary[[#This Row],[Hasta]])</f>
        <v>0</v>
      </c>
      <c r="U63" s="11">
        <f>SUMIFS(TableDailySummary[Ventas google ads],TableDailySummary[Fecha],"&gt;="&amp;TableWeeklySummary[[#This Row],[Desde]],TableDailySummary[Fecha],"&lt;="&amp;TableWeeklySummary[[#This Row],[Hasta]])</f>
        <v>0</v>
      </c>
      <c r="V63" s="11">
        <f>SUMIFS(TableDailySummary[Inversión meta ads],TableDailySummary[Fecha],"&gt;="&amp;TableWeeklySummary[[#This Row],[Desde]],TableDailySummary[Fecha],"&lt;="&amp;TableWeeklySummary[[#This Row],[Hasta]])</f>
        <v>0</v>
      </c>
      <c r="W63" s="11">
        <f>SUMIFS(TableDailySummary[Ventas meta ads],TableDailySummary[Fecha],"&gt;="&amp;TableWeeklySummary[[#This Row],[Desde]],TableDailySummary[Fecha],"&lt;="&amp;TableWeeklySummary[[#This Row],[Hasta]])</f>
        <v>0</v>
      </c>
      <c r="X63" s="11">
        <f>TableWeeklySummary[[#This Row],[Inversión google ads]]+TableWeeklySummary[[#This Row],[Inversión meta ads]]</f>
        <v>0</v>
      </c>
      <c r="Y63" s="11">
        <f>TableWeeklySummary[[#This Row],[Ventas google ads]]+TableWeeklySummary[[#This Row],[Ventas meta ads]]</f>
        <v>0</v>
      </c>
      <c r="Z63" s="14">
        <f>IFERROR(TableWeeklySummary[[#This Row],[Ventas publicidad]]/TableWeeklySummary[[#This Row],[Inversión publicidad]],0)</f>
        <v>0</v>
      </c>
      <c r="AA63" s="14">
        <f>IFERROR(TableWeeklySummary[[#This Row],[Ventas primer cliente]]/TableWeeklySummary[[#This Row],[Inversión publicidad]],0)</f>
        <v>0</v>
      </c>
      <c r="AB63" s="14"/>
      <c r="AC63" s="11"/>
      <c r="AI6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3" s="11">
        <f>SUMIFS(TableDailySummary[Costo de ventas registrado],TableDailySummary[Fecha],"&gt;="&amp;TableWeeklySummary[[#This Row],[Desde]],TableDailySummary[Fecha],"&lt;="&amp;TableWeeklySummary[[#This Row],[Hasta]])</f>
        <v>0</v>
      </c>
      <c r="AK63" s="11">
        <f>SUMIFS(TableDailySummary[Utilidad bruta],TableDailySummary[Fecha],"&gt;="&amp;TableWeeklySummary[[#This Row],[Desde]],TableDailySummary[Fecha],"&lt;="&amp;TableWeeklySummary[[#This Row],[Hasta]])</f>
        <v>0</v>
      </c>
      <c r="AL63" s="18">
        <f>IFERROR(TableWeeklySummary[[#This Row],[Utilidad bruta]]/TableWeeklySummary[[#This Row],[Ventas netas con costo registrado]],0)</f>
        <v>0</v>
      </c>
    </row>
    <row r="64" spans="2:38" x14ac:dyDescent="0.2">
      <c r="B64" s="16">
        <f>_xlfn.ISOWEEKNUM(TableWeeklySummary[[#This Row],[Hasta]])</f>
        <v>1</v>
      </c>
      <c r="C64" s="6">
        <f t="shared" si="1"/>
        <v>44925</v>
      </c>
      <c r="D64" s="6">
        <f>TableWeeklySummary[[#This Row],[Desde]]+7-1</f>
        <v>44931</v>
      </c>
      <c r="E64" s="11">
        <f>SUMIFS(TableDailySummary[Ventas netas totales],TableDailySummary[Fecha],"&gt;="&amp;TableWeeklySummary[[#This Row],[Desde]],TableDailySummary[Fecha],"&lt;="&amp;TableWeeklySummary[[#This Row],[Hasta]])</f>
        <v>0</v>
      </c>
      <c r="F64" s="11">
        <f>SUMIFS(TableDailySummary[Órdenes totales],TableDailySummary[Fecha],"&gt;="&amp;TableWeeklySummary[[#This Row],[Desde]],TableDailySummary[Fecha],"&lt;="&amp;TableWeeklySummary[[#This Row],[Hasta]])</f>
        <v>0</v>
      </c>
      <c r="G64" s="11">
        <f>IFERROR(TableWeeklySummary[[#This Row],[Ventas netas totales]]/TableWeeklySummary[[#This Row],[Órdenes totales]],0)</f>
        <v>0</v>
      </c>
      <c r="H6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4" s="11">
        <f>TableWeeklySummary[[#This Row],[Órden promedio totales]]*TableWeeklySummary[[#This Row],[CR totales]]</f>
        <v>0</v>
      </c>
      <c r="J64" s="11">
        <f>SUMIFS(TableDailySummary[Ventas primer cliente],TableDailySummary[Fecha],"&gt;="&amp;TableWeeklySummary[[#This Row],[Desde]],TableDailySummary[Fecha],"&lt;="&amp;TableWeeklySummary[[#This Row],[Hasta]])</f>
        <v>0</v>
      </c>
      <c r="K64" s="11">
        <f>SUMIFS(TableDailySummary[Órdenes primer cliente],TableDailySummary[Fecha],"&gt;="&amp;TableWeeklySummary[[#This Row],[Desde]],TableDailySummary[Fecha],"&lt;="&amp;TableWeeklySummary[[#This Row],[Hasta]])</f>
        <v>0</v>
      </c>
      <c r="L64" s="11">
        <f>SUMIFS(TableDailySummary[Online Store_net_sales],TableDailySummary[Fecha],"&gt;="&amp;TableWeeklySummary[[#This Row],[Desde]],TableDailySummary[Fecha],"&lt;="&amp;TableWeeklySummary[[#This Row],[Hasta]])</f>
        <v>0</v>
      </c>
      <c r="M64" s="11">
        <f>SUMIFS(TableDailySummary[Online Store_orders],TableDailySummary[Fecha],"&gt;="&amp;TableWeeklySummary[[#This Row],[Desde]],TableDailySummary[Fecha],"&lt;="&amp;TableWeeklySummary[[#This Row],[Hasta]])</f>
        <v>0</v>
      </c>
      <c r="N64" s="11">
        <f>SUMIFS(TableDailySummary[Tienda 81_net_sales],TableDailySummary[Fecha],"&gt;="&amp;TableWeeklySummary[[#This Row],[Desde]],TableDailySummary[Fecha],"&lt;="&amp;TableWeeklySummary[[#This Row],[Hasta]])</f>
        <v>0</v>
      </c>
      <c r="O64" s="11">
        <f>SUMIFS(TableDailySummary[Tienda 81_orders],TableDailySummary[Fecha],"&gt;="&amp;TableWeeklySummary[[#This Row],[Desde]],TableDailySummary[Fecha],"&lt;="&amp;TableWeeklySummary[[#This Row],[Hasta]])</f>
        <v>0</v>
      </c>
      <c r="P64" s="11">
        <f>SUMIFS(TableDailySummary[Rappi_net_sales],TableDailySummary[Fecha],"&gt;="&amp;TableWeeklySummary[[#This Row],[Desde]],TableDailySummary[Fecha],"&lt;="&amp;TableWeeklySummary[[#This Row],[Hasta]])</f>
        <v>0</v>
      </c>
      <c r="Q64" s="11">
        <f>SUMIFS(TableDailySummary[Rappi_orders],TableDailySummary[Fecha],"&gt;="&amp;TableWeeklySummary[[#This Row],[Desde]],TableDailySummary[Fecha],"&lt;="&amp;TableWeeklySummary[[#This Row],[Hasta]])</f>
        <v>0</v>
      </c>
      <c r="R6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4" s="11">
        <f>SUMIFS(TableDailySummary[Corporativo no tienda_orders],TableDailySummary[Fecha],"&gt;="&amp;TableWeeklySummary[[#This Row],[Desde]],TableDailySummary[Fecha],"&lt;="&amp;TableWeeklySummary[[#This Row],[Hasta]])</f>
        <v>0</v>
      </c>
      <c r="T64" s="11">
        <f>SUMIFS(TableDailySummary[Inversión google ads],TableDailySummary[Fecha],"&gt;="&amp;TableWeeklySummary[[#This Row],[Desde]],TableDailySummary[Fecha],"&lt;="&amp;TableWeeklySummary[[#This Row],[Hasta]])</f>
        <v>0</v>
      </c>
      <c r="U64" s="11">
        <f>SUMIFS(TableDailySummary[Ventas google ads],TableDailySummary[Fecha],"&gt;="&amp;TableWeeklySummary[[#This Row],[Desde]],TableDailySummary[Fecha],"&lt;="&amp;TableWeeklySummary[[#This Row],[Hasta]])</f>
        <v>0</v>
      </c>
      <c r="V64" s="11">
        <f>SUMIFS(TableDailySummary[Inversión meta ads],TableDailySummary[Fecha],"&gt;="&amp;TableWeeklySummary[[#This Row],[Desde]],TableDailySummary[Fecha],"&lt;="&amp;TableWeeklySummary[[#This Row],[Hasta]])</f>
        <v>0</v>
      </c>
      <c r="W64" s="11">
        <f>SUMIFS(TableDailySummary[Ventas meta ads],TableDailySummary[Fecha],"&gt;="&amp;TableWeeklySummary[[#This Row],[Desde]],TableDailySummary[Fecha],"&lt;="&amp;TableWeeklySummary[[#This Row],[Hasta]])</f>
        <v>0</v>
      </c>
      <c r="X64" s="11">
        <f>TableWeeklySummary[[#This Row],[Inversión google ads]]+TableWeeklySummary[[#This Row],[Inversión meta ads]]</f>
        <v>0</v>
      </c>
      <c r="Y64" s="11">
        <f>TableWeeklySummary[[#This Row],[Ventas google ads]]+TableWeeklySummary[[#This Row],[Ventas meta ads]]</f>
        <v>0</v>
      </c>
      <c r="Z64" s="14">
        <f>IFERROR(TableWeeklySummary[[#This Row],[Ventas publicidad]]/TableWeeklySummary[[#This Row],[Inversión publicidad]],0)</f>
        <v>0</v>
      </c>
      <c r="AA64" s="14">
        <f>IFERROR(TableWeeklySummary[[#This Row],[Ventas primer cliente]]/TableWeeklySummary[[#This Row],[Inversión publicidad]],0)</f>
        <v>0</v>
      </c>
      <c r="AB64" s="14"/>
      <c r="AC64" s="11"/>
      <c r="AI6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4" s="11">
        <f>SUMIFS(TableDailySummary[Costo de ventas registrado],TableDailySummary[Fecha],"&gt;="&amp;TableWeeklySummary[[#This Row],[Desde]],TableDailySummary[Fecha],"&lt;="&amp;TableWeeklySummary[[#This Row],[Hasta]])</f>
        <v>0</v>
      </c>
      <c r="AK64" s="11">
        <f>SUMIFS(TableDailySummary[Utilidad bruta],TableDailySummary[Fecha],"&gt;="&amp;TableWeeklySummary[[#This Row],[Desde]],TableDailySummary[Fecha],"&lt;="&amp;TableWeeklySummary[[#This Row],[Hasta]])</f>
        <v>0</v>
      </c>
      <c r="AL64" s="18">
        <f>IFERROR(TableWeeklySummary[[#This Row],[Utilidad bruta]]/TableWeeklySummary[[#This Row],[Ventas netas con costo registrado]],0)</f>
        <v>0</v>
      </c>
    </row>
    <row r="65" spans="2:38" x14ac:dyDescent="0.2">
      <c r="B65" s="16">
        <f>_xlfn.ISOWEEKNUM(TableWeeklySummary[[#This Row],[Hasta]])</f>
        <v>2</v>
      </c>
      <c r="C65" s="6">
        <f t="shared" si="1"/>
        <v>44932</v>
      </c>
      <c r="D65" s="6">
        <f>TableWeeklySummary[[#This Row],[Desde]]+7-1</f>
        <v>44938</v>
      </c>
      <c r="E65" s="11">
        <f>SUMIFS(TableDailySummary[Ventas netas totales],TableDailySummary[Fecha],"&gt;="&amp;TableWeeklySummary[[#This Row],[Desde]],TableDailySummary[Fecha],"&lt;="&amp;TableWeeklySummary[[#This Row],[Hasta]])</f>
        <v>0</v>
      </c>
      <c r="F65" s="11">
        <f>SUMIFS(TableDailySummary[Órdenes totales],TableDailySummary[Fecha],"&gt;="&amp;TableWeeklySummary[[#This Row],[Desde]],TableDailySummary[Fecha],"&lt;="&amp;TableWeeklySummary[[#This Row],[Hasta]])</f>
        <v>0</v>
      </c>
      <c r="G65" s="11">
        <f>IFERROR(TableWeeklySummary[[#This Row],[Ventas netas totales]]/TableWeeklySummary[[#This Row],[Órdenes totales]],0)</f>
        <v>0</v>
      </c>
      <c r="H6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5" s="11">
        <f>TableWeeklySummary[[#This Row],[Órden promedio totales]]*TableWeeklySummary[[#This Row],[CR totales]]</f>
        <v>0</v>
      </c>
      <c r="J65" s="11">
        <f>SUMIFS(TableDailySummary[Ventas primer cliente],TableDailySummary[Fecha],"&gt;="&amp;TableWeeklySummary[[#This Row],[Desde]],TableDailySummary[Fecha],"&lt;="&amp;TableWeeklySummary[[#This Row],[Hasta]])</f>
        <v>0</v>
      </c>
      <c r="K65" s="11">
        <f>SUMIFS(TableDailySummary[Órdenes primer cliente],TableDailySummary[Fecha],"&gt;="&amp;TableWeeklySummary[[#This Row],[Desde]],TableDailySummary[Fecha],"&lt;="&amp;TableWeeklySummary[[#This Row],[Hasta]])</f>
        <v>0</v>
      </c>
      <c r="L65" s="11">
        <f>SUMIFS(TableDailySummary[Online Store_net_sales],TableDailySummary[Fecha],"&gt;="&amp;TableWeeklySummary[[#This Row],[Desde]],TableDailySummary[Fecha],"&lt;="&amp;TableWeeklySummary[[#This Row],[Hasta]])</f>
        <v>0</v>
      </c>
      <c r="M65" s="11">
        <f>SUMIFS(TableDailySummary[Online Store_orders],TableDailySummary[Fecha],"&gt;="&amp;TableWeeklySummary[[#This Row],[Desde]],TableDailySummary[Fecha],"&lt;="&amp;TableWeeklySummary[[#This Row],[Hasta]])</f>
        <v>0</v>
      </c>
      <c r="N65" s="11">
        <f>SUMIFS(TableDailySummary[Tienda 81_net_sales],TableDailySummary[Fecha],"&gt;="&amp;TableWeeklySummary[[#This Row],[Desde]],TableDailySummary[Fecha],"&lt;="&amp;TableWeeklySummary[[#This Row],[Hasta]])</f>
        <v>0</v>
      </c>
      <c r="O65" s="11">
        <f>SUMIFS(TableDailySummary[Tienda 81_orders],TableDailySummary[Fecha],"&gt;="&amp;TableWeeklySummary[[#This Row],[Desde]],TableDailySummary[Fecha],"&lt;="&amp;TableWeeklySummary[[#This Row],[Hasta]])</f>
        <v>0</v>
      </c>
      <c r="P65" s="11">
        <f>SUMIFS(TableDailySummary[Rappi_net_sales],TableDailySummary[Fecha],"&gt;="&amp;TableWeeklySummary[[#This Row],[Desde]],TableDailySummary[Fecha],"&lt;="&amp;TableWeeklySummary[[#This Row],[Hasta]])</f>
        <v>0</v>
      </c>
      <c r="Q65" s="11">
        <f>SUMIFS(TableDailySummary[Rappi_orders],TableDailySummary[Fecha],"&gt;="&amp;TableWeeklySummary[[#This Row],[Desde]],TableDailySummary[Fecha],"&lt;="&amp;TableWeeklySummary[[#This Row],[Hasta]])</f>
        <v>0</v>
      </c>
      <c r="R6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5" s="11">
        <f>SUMIFS(TableDailySummary[Corporativo no tienda_orders],TableDailySummary[Fecha],"&gt;="&amp;TableWeeklySummary[[#This Row],[Desde]],TableDailySummary[Fecha],"&lt;="&amp;TableWeeklySummary[[#This Row],[Hasta]])</f>
        <v>0</v>
      </c>
      <c r="T65" s="11">
        <f>SUMIFS(TableDailySummary[Inversión google ads],TableDailySummary[Fecha],"&gt;="&amp;TableWeeklySummary[[#This Row],[Desde]],TableDailySummary[Fecha],"&lt;="&amp;TableWeeklySummary[[#This Row],[Hasta]])</f>
        <v>0</v>
      </c>
      <c r="U65" s="11">
        <f>SUMIFS(TableDailySummary[Ventas google ads],TableDailySummary[Fecha],"&gt;="&amp;TableWeeklySummary[[#This Row],[Desde]],TableDailySummary[Fecha],"&lt;="&amp;TableWeeklySummary[[#This Row],[Hasta]])</f>
        <v>0</v>
      </c>
      <c r="V65" s="11">
        <f>SUMIFS(TableDailySummary[Inversión meta ads],TableDailySummary[Fecha],"&gt;="&amp;TableWeeklySummary[[#This Row],[Desde]],TableDailySummary[Fecha],"&lt;="&amp;TableWeeklySummary[[#This Row],[Hasta]])</f>
        <v>0</v>
      </c>
      <c r="W65" s="11">
        <f>SUMIFS(TableDailySummary[Ventas meta ads],TableDailySummary[Fecha],"&gt;="&amp;TableWeeklySummary[[#This Row],[Desde]],TableDailySummary[Fecha],"&lt;="&amp;TableWeeklySummary[[#This Row],[Hasta]])</f>
        <v>0</v>
      </c>
      <c r="X65" s="11">
        <f>TableWeeklySummary[[#This Row],[Inversión google ads]]+TableWeeklySummary[[#This Row],[Inversión meta ads]]</f>
        <v>0</v>
      </c>
      <c r="Y65" s="11">
        <f>TableWeeklySummary[[#This Row],[Ventas google ads]]+TableWeeklySummary[[#This Row],[Ventas meta ads]]</f>
        <v>0</v>
      </c>
      <c r="Z65" s="14">
        <f>IFERROR(TableWeeklySummary[[#This Row],[Ventas publicidad]]/TableWeeklySummary[[#This Row],[Inversión publicidad]],0)</f>
        <v>0</v>
      </c>
      <c r="AA65" s="14">
        <f>IFERROR(TableWeeklySummary[[#This Row],[Ventas primer cliente]]/TableWeeklySummary[[#This Row],[Inversión publicidad]],0)</f>
        <v>0</v>
      </c>
      <c r="AB65" s="14"/>
      <c r="AC65" s="11"/>
      <c r="AI6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5" s="11">
        <f>SUMIFS(TableDailySummary[Costo de ventas registrado],TableDailySummary[Fecha],"&gt;="&amp;TableWeeklySummary[[#This Row],[Desde]],TableDailySummary[Fecha],"&lt;="&amp;TableWeeklySummary[[#This Row],[Hasta]])</f>
        <v>0</v>
      </c>
      <c r="AK65" s="11">
        <f>SUMIFS(TableDailySummary[Utilidad bruta],TableDailySummary[Fecha],"&gt;="&amp;TableWeeklySummary[[#This Row],[Desde]],TableDailySummary[Fecha],"&lt;="&amp;TableWeeklySummary[[#This Row],[Hasta]])</f>
        <v>0</v>
      </c>
      <c r="AL65" s="18">
        <f>IFERROR(TableWeeklySummary[[#This Row],[Utilidad bruta]]/TableWeeklySummary[[#This Row],[Ventas netas con costo registrado]],0)</f>
        <v>0</v>
      </c>
    </row>
    <row r="66" spans="2:38" x14ac:dyDescent="0.2">
      <c r="B66" s="16">
        <f>_xlfn.ISOWEEKNUM(TableWeeklySummary[[#This Row],[Hasta]])</f>
        <v>3</v>
      </c>
      <c r="C66" s="6">
        <f t="shared" si="1"/>
        <v>44939</v>
      </c>
      <c r="D66" s="6">
        <f>TableWeeklySummary[[#This Row],[Desde]]+7-1</f>
        <v>44945</v>
      </c>
      <c r="E66" s="11">
        <f>SUMIFS(TableDailySummary[Ventas netas totales],TableDailySummary[Fecha],"&gt;="&amp;TableWeeklySummary[[#This Row],[Desde]],TableDailySummary[Fecha],"&lt;="&amp;TableWeeklySummary[[#This Row],[Hasta]])</f>
        <v>0</v>
      </c>
      <c r="F66" s="11">
        <f>SUMIFS(TableDailySummary[Órdenes totales],TableDailySummary[Fecha],"&gt;="&amp;TableWeeklySummary[[#This Row],[Desde]],TableDailySummary[Fecha],"&lt;="&amp;TableWeeklySummary[[#This Row],[Hasta]])</f>
        <v>0</v>
      </c>
      <c r="G66" s="11">
        <f>IFERROR(TableWeeklySummary[[#This Row],[Ventas netas totales]]/TableWeeklySummary[[#This Row],[Órdenes totales]],0)</f>
        <v>0</v>
      </c>
      <c r="H6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6" s="11">
        <f>TableWeeklySummary[[#This Row],[Órden promedio totales]]*TableWeeklySummary[[#This Row],[CR totales]]</f>
        <v>0</v>
      </c>
      <c r="J66" s="11">
        <f>SUMIFS(TableDailySummary[Ventas primer cliente],TableDailySummary[Fecha],"&gt;="&amp;TableWeeklySummary[[#This Row],[Desde]],TableDailySummary[Fecha],"&lt;="&amp;TableWeeklySummary[[#This Row],[Hasta]])</f>
        <v>0</v>
      </c>
      <c r="K66" s="11">
        <f>SUMIFS(TableDailySummary[Órdenes primer cliente],TableDailySummary[Fecha],"&gt;="&amp;TableWeeklySummary[[#This Row],[Desde]],TableDailySummary[Fecha],"&lt;="&amp;TableWeeklySummary[[#This Row],[Hasta]])</f>
        <v>0</v>
      </c>
      <c r="L66" s="11">
        <f>SUMIFS(TableDailySummary[Online Store_net_sales],TableDailySummary[Fecha],"&gt;="&amp;TableWeeklySummary[[#This Row],[Desde]],TableDailySummary[Fecha],"&lt;="&amp;TableWeeklySummary[[#This Row],[Hasta]])</f>
        <v>0</v>
      </c>
      <c r="M66" s="11">
        <f>SUMIFS(TableDailySummary[Online Store_orders],TableDailySummary[Fecha],"&gt;="&amp;TableWeeklySummary[[#This Row],[Desde]],TableDailySummary[Fecha],"&lt;="&amp;TableWeeklySummary[[#This Row],[Hasta]])</f>
        <v>0</v>
      </c>
      <c r="N66" s="11">
        <f>SUMIFS(TableDailySummary[Tienda 81_net_sales],TableDailySummary[Fecha],"&gt;="&amp;TableWeeklySummary[[#This Row],[Desde]],TableDailySummary[Fecha],"&lt;="&amp;TableWeeklySummary[[#This Row],[Hasta]])</f>
        <v>0</v>
      </c>
      <c r="O66" s="11">
        <f>SUMIFS(TableDailySummary[Tienda 81_orders],TableDailySummary[Fecha],"&gt;="&amp;TableWeeklySummary[[#This Row],[Desde]],TableDailySummary[Fecha],"&lt;="&amp;TableWeeklySummary[[#This Row],[Hasta]])</f>
        <v>0</v>
      </c>
      <c r="P66" s="11">
        <f>SUMIFS(TableDailySummary[Rappi_net_sales],TableDailySummary[Fecha],"&gt;="&amp;TableWeeklySummary[[#This Row],[Desde]],TableDailySummary[Fecha],"&lt;="&amp;TableWeeklySummary[[#This Row],[Hasta]])</f>
        <v>0</v>
      </c>
      <c r="Q66" s="11">
        <f>SUMIFS(TableDailySummary[Rappi_orders],TableDailySummary[Fecha],"&gt;="&amp;TableWeeklySummary[[#This Row],[Desde]],TableDailySummary[Fecha],"&lt;="&amp;TableWeeklySummary[[#This Row],[Hasta]])</f>
        <v>0</v>
      </c>
      <c r="R6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6" s="11">
        <f>SUMIFS(TableDailySummary[Corporativo no tienda_orders],TableDailySummary[Fecha],"&gt;="&amp;TableWeeklySummary[[#This Row],[Desde]],TableDailySummary[Fecha],"&lt;="&amp;TableWeeklySummary[[#This Row],[Hasta]])</f>
        <v>0</v>
      </c>
      <c r="T66" s="11">
        <f>SUMIFS(TableDailySummary[Inversión google ads],TableDailySummary[Fecha],"&gt;="&amp;TableWeeklySummary[[#This Row],[Desde]],TableDailySummary[Fecha],"&lt;="&amp;TableWeeklySummary[[#This Row],[Hasta]])</f>
        <v>0</v>
      </c>
      <c r="U66" s="11">
        <f>SUMIFS(TableDailySummary[Ventas google ads],TableDailySummary[Fecha],"&gt;="&amp;TableWeeklySummary[[#This Row],[Desde]],TableDailySummary[Fecha],"&lt;="&amp;TableWeeklySummary[[#This Row],[Hasta]])</f>
        <v>0</v>
      </c>
      <c r="V66" s="11">
        <f>SUMIFS(TableDailySummary[Inversión meta ads],TableDailySummary[Fecha],"&gt;="&amp;TableWeeklySummary[[#This Row],[Desde]],TableDailySummary[Fecha],"&lt;="&amp;TableWeeklySummary[[#This Row],[Hasta]])</f>
        <v>0</v>
      </c>
      <c r="W66" s="11">
        <f>SUMIFS(TableDailySummary[Ventas meta ads],TableDailySummary[Fecha],"&gt;="&amp;TableWeeklySummary[[#This Row],[Desde]],TableDailySummary[Fecha],"&lt;="&amp;TableWeeklySummary[[#This Row],[Hasta]])</f>
        <v>0</v>
      </c>
      <c r="X66" s="11">
        <f>TableWeeklySummary[[#This Row],[Inversión google ads]]+TableWeeklySummary[[#This Row],[Inversión meta ads]]</f>
        <v>0</v>
      </c>
      <c r="Y66" s="11">
        <f>TableWeeklySummary[[#This Row],[Ventas google ads]]+TableWeeklySummary[[#This Row],[Ventas meta ads]]</f>
        <v>0</v>
      </c>
      <c r="Z66" s="14">
        <f>IFERROR(TableWeeklySummary[[#This Row],[Ventas publicidad]]/TableWeeklySummary[[#This Row],[Inversión publicidad]],0)</f>
        <v>0</v>
      </c>
      <c r="AA66" s="14">
        <f>IFERROR(TableWeeklySummary[[#This Row],[Ventas primer cliente]]/TableWeeklySummary[[#This Row],[Inversión publicidad]],0)</f>
        <v>0</v>
      </c>
      <c r="AB66" s="14"/>
      <c r="AC66" s="11"/>
      <c r="AI6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6" s="11">
        <f>SUMIFS(TableDailySummary[Costo de ventas registrado],TableDailySummary[Fecha],"&gt;="&amp;TableWeeklySummary[[#This Row],[Desde]],TableDailySummary[Fecha],"&lt;="&amp;TableWeeklySummary[[#This Row],[Hasta]])</f>
        <v>0</v>
      </c>
      <c r="AK66" s="11">
        <f>SUMIFS(TableDailySummary[Utilidad bruta],TableDailySummary[Fecha],"&gt;="&amp;TableWeeklySummary[[#This Row],[Desde]],TableDailySummary[Fecha],"&lt;="&amp;TableWeeklySummary[[#This Row],[Hasta]])</f>
        <v>0</v>
      </c>
      <c r="AL66" s="18">
        <f>IFERROR(TableWeeklySummary[[#This Row],[Utilidad bruta]]/TableWeeklySummary[[#This Row],[Ventas netas con costo registrado]],0)</f>
        <v>0</v>
      </c>
    </row>
    <row r="67" spans="2:38" x14ac:dyDescent="0.2">
      <c r="B67" s="16">
        <f>_xlfn.ISOWEEKNUM(TableWeeklySummary[[#This Row],[Hasta]])</f>
        <v>4</v>
      </c>
      <c r="C67" s="6">
        <f t="shared" si="1"/>
        <v>44946</v>
      </c>
      <c r="D67" s="6">
        <f>TableWeeklySummary[[#This Row],[Desde]]+7-1</f>
        <v>44952</v>
      </c>
      <c r="E67" s="11">
        <f>SUMIFS(TableDailySummary[Ventas netas totales],TableDailySummary[Fecha],"&gt;="&amp;TableWeeklySummary[[#This Row],[Desde]],TableDailySummary[Fecha],"&lt;="&amp;TableWeeklySummary[[#This Row],[Hasta]])</f>
        <v>0</v>
      </c>
      <c r="F67" s="11">
        <f>SUMIFS(TableDailySummary[Órdenes totales],TableDailySummary[Fecha],"&gt;="&amp;TableWeeklySummary[[#This Row],[Desde]],TableDailySummary[Fecha],"&lt;="&amp;TableWeeklySummary[[#This Row],[Hasta]])</f>
        <v>0</v>
      </c>
      <c r="G67" s="11">
        <f>IFERROR(TableWeeklySummary[[#This Row],[Ventas netas totales]]/TableWeeklySummary[[#This Row],[Órdenes totales]],0)</f>
        <v>0</v>
      </c>
      <c r="H6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7" s="11">
        <f>TableWeeklySummary[[#This Row],[Órden promedio totales]]*TableWeeklySummary[[#This Row],[CR totales]]</f>
        <v>0</v>
      </c>
      <c r="J67" s="11">
        <f>SUMIFS(TableDailySummary[Ventas primer cliente],TableDailySummary[Fecha],"&gt;="&amp;TableWeeklySummary[[#This Row],[Desde]],TableDailySummary[Fecha],"&lt;="&amp;TableWeeklySummary[[#This Row],[Hasta]])</f>
        <v>0</v>
      </c>
      <c r="K67" s="11">
        <f>SUMIFS(TableDailySummary[Órdenes primer cliente],TableDailySummary[Fecha],"&gt;="&amp;TableWeeklySummary[[#This Row],[Desde]],TableDailySummary[Fecha],"&lt;="&amp;TableWeeklySummary[[#This Row],[Hasta]])</f>
        <v>0</v>
      </c>
      <c r="L67" s="11">
        <f>SUMIFS(TableDailySummary[Online Store_net_sales],TableDailySummary[Fecha],"&gt;="&amp;TableWeeklySummary[[#This Row],[Desde]],TableDailySummary[Fecha],"&lt;="&amp;TableWeeklySummary[[#This Row],[Hasta]])</f>
        <v>0</v>
      </c>
      <c r="M67" s="11">
        <f>SUMIFS(TableDailySummary[Online Store_orders],TableDailySummary[Fecha],"&gt;="&amp;TableWeeklySummary[[#This Row],[Desde]],TableDailySummary[Fecha],"&lt;="&amp;TableWeeklySummary[[#This Row],[Hasta]])</f>
        <v>0</v>
      </c>
      <c r="N67" s="11">
        <f>SUMIFS(TableDailySummary[Tienda 81_net_sales],TableDailySummary[Fecha],"&gt;="&amp;TableWeeklySummary[[#This Row],[Desde]],TableDailySummary[Fecha],"&lt;="&amp;TableWeeklySummary[[#This Row],[Hasta]])</f>
        <v>0</v>
      </c>
      <c r="O67" s="11">
        <f>SUMIFS(TableDailySummary[Tienda 81_orders],TableDailySummary[Fecha],"&gt;="&amp;TableWeeklySummary[[#This Row],[Desde]],TableDailySummary[Fecha],"&lt;="&amp;TableWeeklySummary[[#This Row],[Hasta]])</f>
        <v>0</v>
      </c>
      <c r="P67" s="11">
        <f>SUMIFS(TableDailySummary[Rappi_net_sales],TableDailySummary[Fecha],"&gt;="&amp;TableWeeklySummary[[#This Row],[Desde]],TableDailySummary[Fecha],"&lt;="&amp;TableWeeklySummary[[#This Row],[Hasta]])</f>
        <v>0</v>
      </c>
      <c r="Q67" s="11">
        <f>SUMIFS(TableDailySummary[Rappi_orders],TableDailySummary[Fecha],"&gt;="&amp;TableWeeklySummary[[#This Row],[Desde]],TableDailySummary[Fecha],"&lt;="&amp;TableWeeklySummary[[#This Row],[Hasta]])</f>
        <v>0</v>
      </c>
      <c r="R6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7" s="11">
        <f>SUMIFS(TableDailySummary[Corporativo no tienda_orders],TableDailySummary[Fecha],"&gt;="&amp;TableWeeklySummary[[#This Row],[Desde]],TableDailySummary[Fecha],"&lt;="&amp;TableWeeklySummary[[#This Row],[Hasta]])</f>
        <v>0</v>
      </c>
      <c r="T67" s="11">
        <f>SUMIFS(TableDailySummary[Inversión google ads],TableDailySummary[Fecha],"&gt;="&amp;TableWeeklySummary[[#This Row],[Desde]],TableDailySummary[Fecha],"&lt;="&amp;TableWeeklySummary[[#This Row],[Hasta]])</f>
        <v>0</v>
      </c>
      <c r="U67" s="11">
        <f>SUMIFS(TableDailySummary[Ventas google ads],TableDailySummary[Fecha],"&gt;="&amp;TableWeeklySummary[[#This Row],[Desde]],TableDailySummary[Fecha],"&lt;="&amp;TableWeeklySummary[[#This Row],[Hasta]])</f>
        <v>0</v>
      </c>
      <c r="V67" s="11">
        <f>SUMIFS(TableDailySummary[Inversión meta ads],TableDailySummary[Fecha],"&gt;="&amp;TableWeeklySummary[[#This Row],[Desde]],TableDailySummary[Fecha],"&lt;="&amp;TableWeeklySummary[[#This Row],[Hasta]])</f>
        <v>0</v>
      </c>
      <c r="W67" s="11">
        <f>SUMIFS(TableDailySummary[Ventas meta ads],TableDailySummary[Fecha],"&gt;="&amp;TableWeeklySummary[[#This Row],[Desde]],TableDailySummary[Fecha],"&lt;="&amp;TableWeeklySummary[[#This Row],[Hasta]])</f>
        <v>0</v>
      </c>
      <c r="X67" s="11">
        <f>TableWeeklySummary[[#This Row],[Inversión google ads]]+TableWeeklySummary[[#This Row],[Inversión meta ads]]</f>
        <v>0</v>
      </c>
      <c r="Y67" s="11">
        <f>TableWeeklySummary[[#This Row],[Ventas google ads]]+TableWeeklySummary[[#This Row],[Ventas meta ads]]</f>
        <v>0</v>
      </c>
      <c r="Z67" s="14">
        <f>IFERROR(TableWeeklySummary[[#This Row],[Ventas publicidad]]/TableWeeklySummary[[#This Row],[Inversión publicidad]],0)</f>
        <v>0</v>
      </c>
      <c r="AA67" s="14">
        <f>IFERROR(TableWeeklySummary[[#This Row],[Ventas primer cliente]]/TableWeeklySummary[[#This Row],[Inversión publicidad]],0)</f>
        <v>0</v>
      </c>
      <c r="AB67" s="14"/>
      <c r="AC67" s="11"/>
      <c r="AI6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7" s="11">
        <f>SUMIFS(TableDailySummary[Costo de ventas registrado],TableDailySummary[Fecha],"&gt;="&amp;TableWeeklySummary[[#This Row],[Desde]],TableDailySummary[Fecha],"&lt;="&amp;TableWeeklySummary[[#This Row],[Hasta]])</f>
        <v>0</v>
      </c>
      <c r="AK67" s="11">
        <f>SUMIFS(TableDailySummary[Utilidad bruta],TableDailySummary[Fecha],"&gt;="&amp;TableWeeklySummary[[#This Row],[Desde]],TableDailySummary[Fecha],"&lt;="&amp;TableWeeklySummary[[#This Row],[Hasta]])</f>
        <v>0</v>
      </c>
      <c r="AL67" s="18">
        <f>IFERROR(TableWeeklySummary[[#This Row],[Utilidad bruta]]/TableWeeklySummary[[#This Row],[Ventas netas con costo registrado]],0)</f>
        <v>0</v>
      </c>
    </row>
    <row r="68" spans="2:38" x14ac:dyDescent="0.2">
      <c r="B68" s="16">
        <f>_xlfn.ISOWEEKNUM(TableWeeklySummary[[#This Row],[Hasta]])</f>
        <v>5</v>
      </c>
      <c r="C68" s="6">
        <f t="shared" si="1"/>
        <v>44953</v>
      </c>
      <c r="D68" s="6">
        <f>TableWeeklySummary[[#This Row],[Desde]]+7-1</f>
        <v>44959</v>
      </c>
      <c r="E68" s="11">
        <f>SUMIFS(TableDailySummary[Ventas netas totales],TableDailySummary[Fecha],"&gt;="&amp;TableWeeklySummary[[#This Row],[Desde]],TableDailySummary[Fecha],"&lt;="&amp;TableWeeklySummary[[#This Row],[Hasta]])</f>
        <v>0</v>
      </c>
      <c r="F68" s="11">
        <f>SUMIFS(TableDailySummary[Órdenes totales],TableDailySummary[Fecha],"&gt;="&amp;TableWeeklySummary[[#This Row],[Desde]],TableDailySummary[Fecha],"&lt;="&amp;TableWeeklySummary[[#This Row],[Hasta]])</f>
        <v>0</v>
      </c>
      <c r="G68" s="11">
        <f>IFERROR(TableWeeklySummary[[#This Row],[Ventas netas totales]]/TableWeeklySummary[[#This Row],[Órdenes totales]],0)</f>
        <v>0</v>
      </c>
      <c r="H6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8" s="11">
        <f>TableWeeklySummary[[#This Row],[Órden promedio totales]]*TableWeeklySummary[[#This Row],[CR totales]]</f>
        <v>0</v>
      </c>
      <c r="J68" s="11">
        <f>SUMIFS(TableDailySummary[Ventas primer cliente],TableDailySummary[Fecha],"&gt;="&amp;TableWeeklySummary[[#This Row],[Desde]],TableDailySummary[Fecha],"&lt;="&amp;TableWeeklySummary[[#This Row],[Hasta]])</f>
        <v>0</v>
      </c>
      <c r="K68" s="11">
        <f>SUMIFS(TableDailySummary[Órdenes primer cliente],TableDailySummary[Fecha],"&gt;="&amp;TableWeeklySummary[[#This Row],[Desde]],TableDailySummary[Fecha],"&lt;="&amp;TableWeeklySummary[[#This Row],[Hasta]])</f>
        <v>0</v>
      </c>
      <c r="L68" s="11">
        <f>SUMIFS(TableDailySummary[Online Store_net_sales],TableDailySummary[Fecha],"&gt;="&amp;TableWeeklySummary[[#This Row],[Desde]],TableDailySummary[Fecha],"&lt;="&amp;TableWeeklySummary[[#This Row],[Hasta]])</f>
        <v>0</v>
      </c>
      <c r="M68" s="11">
        <f>SUMIFS(TableDailySummary[Online Store_orders],TableDailySummary[Fecha],"&gt;="&amp;TableWeeklySummary[[#This Row],[Desde]],TableDailySummary[Fecha],"&lt;="&amp;TableWeeklySummary[[#This Row],[Hasta]])</f>
        <v>0</v>
      </c>
      <c r="N68" s="11">
        <f>SUMIFS(TableDailySummary[Tienda 81_net_sales],TableDailySummary[Fecha],"&gt;="&amp;TableWeeklySummary[[#This Row],[Desde]],TableDailySummary[Fecha],"&lt;="&amp;TableWeeklySummary[[#This Row],[Hasta]])</f>
        <v>0</v>
      </c>
      <c r="O68" s="11">
        <f>SUMIFS(TableDailySummary[Tienda 81_orders],TableDailySummary[Fecha],"&gt;="&amp;TableWeeklySummary[[#This Row],[Desde]],TableDailySummary[Fecha],"&lt;="&amp;TableWeeklySummary[[#This Row],[Hasta]])</f>
        <v>0</v>
      </c>
      <c r="P68" s="11">
        <f>SUMIFS(TableDailySummary[Rappi_net_sales],TableDailySummary[Fecha],"&gt;="&amp;TableWeeklySummary[[#This Row],[Desde]],TableDailySummary[Fecha],"&lt;="&amp;TableWeeklySummary[[#This Row],[Hasta]])</f>
        <v>0</v>
      </c>
      <c r="Q68" s="11">
        <f>SUMIFS(TableDailySummary[Rappi_orders],TableDailySummary[Fecha],"&gt;="&amp;TableWeeklySummary[[#This Row],[Desde]],TableDailySummary[Fecha],"&lt;="&amp;TableWeeklySummary[[#This Row],[Hasta]])</f>
        <v>0</v>
      </c>
      <c r="R6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8" s="11">
        <f>SUMIFS(TableDailySummary[Corporativo no tienda_orders],TableDailySummary[Fecha],"&gt;="&amp;TableWeeklySummary[[#This Row],[Desde]],TableDailySummary[Fecha],"&lt;="&amp;TableWeeklySummary[[#This Row],[Hasta]])</f>
        <v>0</v>
      </c>
      <c r="T68" s="11">
        <f>SUMIFS(TableDailySummary[Inversión google ads],TableDailySummary[Fecha],"&gt;="&amp;TableWeeklySummary[[#This Row],[Desde]],TableDailySummary[Fecha],"&lt;="&amp;TableWeeklySummary[[#This Row],[Hasta]])</f>
        <v>0</v>
      </c>
      <c r="U68" s="11">
        <f>SUMIFS(TableDailySummary[Ventas google ads],TableDailySummary[Fecha],"&gt;="&amp;TableWeeklySummary[[#This Row],[Desde]],TableDailySummary[Fecha],"&lt;="&amp;TableWeeklySummary[[#This Row],[Hasta]])</f>
        <v>0</v>
      </c>
      <c r="V68" s="11">
        <f>SUMIFS(TableDailySummary[Inversión meta ads],TableDailySummary[Fecha],"&gt;="&amp;TableWeeklySummary[[#This Row],[Desde]],TableDailySummary[Fecha],"&lt;="&amp;TableWeeklySummary[[#This Row],[Hasta]])</f>
        <v>0</v>
      </c>
      <c r="W68" s="11">
        <f>SUMIFS(TableDailySummary[Ventas meta ads],TableDailySummary[Fecha],"&gt;="&amp;TableWeeklySummary[[#This Row],[Desde]],TableDailySummary[Fecha],"&lt;="&amp;TableWeeklySummary[[#This Row],[Hasta]])</f>
        <v>0</v>
      </c>
      <c r="X68" s="11">
        <f>TableWeeklySummary[[#This Row],[Inversión google ads]]+TableWeeklySummary[[#This Row],[Inversión meta ads]]</f>
        <v>0</v>
      </c>
      <c r="Y68" s="11">
        <f>TableWeeklySummary[[#This Row],[Ventas google ads]]+TableWeeklySummary[[#This Row],[Ventas meta ads]]</f>
        <v>0</v>
      </c>
      <c r="Z68" s="14">
        <f>IFERROR(TableWeeklySummary[[#This Row],[Ventas publicidad]]/TableWeeklySummary[[#This Row],[Inversión publicidad]],0)</f>
        <v>0</v>
      </c>
      <c r="AA68" s="14">
        <f>IFERROR(TableWeeklySummary[[#This Row],[Ventas primer cliente]]/TableWeeklySummary[[#This Row],[Inversión publicidad]],0)</f>
        <v>0</v>
      </c>
      <c r="AB68" s="14"/>
      <c r="AC68" s="11"/>
      <c r="AI6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8" s="11">
        <f>SUMIFS(TableDailySummary[Costo de ventas registrado],TableDailySummary[Fecha],"&gt;="&amp;TableWeeklySummary[[#This Row],[Desde]],TableDailySummary[Fecha],"&lt;="&amp;TableWeeklySummary[[#This Row],[Hasta]])</f>
        <v>0</v>
      </c>
      <c r="AK68" s="11">
        <f>SUMIFS(TableDailySummary[Utilidad bruta],TableDailySummary[Fecha],"&gt;="&amp;TableWeeklySummary[[#This Row],[Desde]],TableDailySummary[Fecha],"&lt;="&amp;TableWeeklySummary[[#This Row],[Hasta]])</f>
        <v>0</v>
      </c>
      <c r="AL68" s="18">
        <f>IFERROR(TableWeeklySummary[[#This Row],[Utilidad bruta]]/TableWeeklySummary[[#This Row],[Ventas netas con costo registrado]],0)</f>
        <v>0</v>
      </c>
    </row>
    <row r="69" spans="2:38" x14ac:dyDescent="0.2">
      <c r="B69" s="16">
        <f>_xlfn.ISOWEEKNUM(TableWeeklySummary[[#This Row],[Hasta]])</f>
        <v>6</v>
      </c>
      <c r="C69" s="6">
        <f t="shared" si="1"/>
        <v>44960</v>
      </c>
      <c r="D69" s="6">
        <f>TableWeeklySummary[[#This Row],[Desde]]+7-1</f>
        <v>44966</v>
      </c>
      <c r="E69" s="11">
        <f>SUMIFS(TableDailySummary[Ventas netas totales],TableDailySummary[Fecha],"&gt;="&amp;TableWeeklySummary[[#This Row],[Desde]],TableDailySummary[Fecha],"&lt;="&amp;TableWeeklySummary[[#This Row],[Hasta]])</f>
        <v>0</v>
      </c>
      <c r="F69" s="11">
        <f>SUMIFS(TableDailySummary[Órdenes totales],TableDailySummary[Fecha],"&gt;="&amp;TableWeeklySummary[[#This Row],[Desde]],TableDailySummary[Fecha],"&lt;="&amp;TableWeeklySummary[[#This Row],[Hasta]])</f>
        <v>0</v>
      </c>
      <c r="G69" s="11">
        <f>IFERROR(TableWeeklySummary[[#This Row],[Ventas netas totales]]/TableWeeklySummary[[#This Row],[Órdenes totales]],0)</f>
        <v>0</v>
      </c>
      <c r="H6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69" s="11">
        <f>TableWeeklySummary[[#This Row],[Órden promedio totales]]*TableWeeklySummary[[#This Row],[CR totales]]</f>
        <v>0</v>
      </c>
      <c r="J69" s="11">
        <f>SUMIFS(TableDailySummary[Ventas primer cliente],TableDailySummary[Fecha],"&gt;="&amp;TableWeeklySummary[[#This Row],[Desde]],TableDailySummary[Fecha],"&lt;="&amp;TableWeeklySummary[[#This Row],[Hasta]])</f>
        <v>0</v>
      </c>
      <c r="K69" s="11">
        <f>SUMIFS(TableDailySummary[Órdenes primer cliente],TableDailySummary[Fecha],"&gt;="&amp;TableWeeklySummary[[#This Row],[Desde]],TableDailySummary[Fecha],"&lt;="&amp;TableWeeklySummary[[#This Row],[Hasta]])</f>
        <v>0</v>
      </c>
      <c r="L69" s="11">
        <f>SUMIFS(TableDailySummary[Online Store_net_sales],TableDailySummary[Fecha],"&gt;="&amp;TableWeeklySummary[[#This Row],[Desde]],TableDailySummary[Fecha],"&lt;="&amp;TableWeeklySummary[[#This Row],[Hasta]])</f>
        <v>0</v>
      </c>
      <c r="M69" s="11">
        <f>SUMIFS(TableDailySummary[Online Store_orders],TableDailySummary[Fecha],"&gt;="&amp;TableWeeklySummary[[#This Row],[Desde]],TableDailySummary[Fecha],"&lt;="&amp;TableWeeklySummary[[#This Row],[Hasta]])</f>
        <v>0</v>
      </c>
      <c r="N69" s="11">
        <f>SUMIFS(TableDailySummary[Tienda 81_net_sales],TableDailySummary[Fecha],"&gt;="&amp;TableWeeklySummary[[#This Row],[Desde]],TableDailySummary[Fecha],"&lt;="&amp;TableWeeklySummary[[#This Row],[Hasta]])</f>
        <v>0</v>
      </c>
      <c r="O69" s="11">
        <f>SUMIFS(TableDailySummary[Tienda 81_orders],TableDailySummary[Fecha],"&gt;="&amp;TableWeeklySummary[[#This Row],[Desde]],TableDailySummary[Fecha],"&lt;="&amp;TableWeeklySummary[[#This Row],[Hasta]])</f>
        <v>0</v>
      </c>
      <c r="P69" s="11">
        <f>SUMIFS(TableDailySummary[Rappi_net_sales],TableDailySummary[Fecha],"&gt;="&amp;TableWeeklySummary[[#This Row],[Desde]],TableDailySummary[Fecha],"&lt;="&amp;TableWeeklySummary[[#This Row],[Hasta]])</f>
        <v>0</v>
      </c>
      <c r="Q69" s="11">
        <f>SUMIFS(TableDailySummary[Rappi_orders],TableDailySummary[Fecha],"&gt;="&amp;TableWeeklySummary[[#This Row],[Desde]],TableDailySummary[Fecha],"&lt;="&amp;TableWeeklySummary[[#This Row],[Hasta]])</f>
        <v>0</v>
      </c>
      <c r="R6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69" s="11">
        <f>SUMIFS(TableDailySummary[Corporativo no tienda_orders],TableDailySummary[Fecha],"&gt;="&amp;TableWeeklySummary[[#This Row],[Desde]],TableDailySummary[Fecha],"&lt;="&amp;TableWeeklySummary[[#This Row],[Hasta]])</f>
        <v>0</v>
      </c>
      <c r="T69" s="11">
        <f>SUMIFS(TableDailySummary[Inversión google ads],TableDailySummary[Fecha],"&gt;="&amp;TableWeeklySummary[[#This Row],[Desde]],TableDailySummary[Fecha],"&lt;="&amp;TableWeeklySummary[[#This Row],[Hasta]])</f>
        <v>0</v>
      </c>
      <c r="U69" s="11">
        <f>SUMIFS(TableDailySummary[Ventas google ads],TableDailySummary[Fecha],"&gt;="&amp;TableWeeklySummary[[#This Row],[Desde]],TableDailySummary[Fecha],"&lt;="&amp;TableWeeklySummary[[#This Row],[Hasta]])</f>
        <v>0</v>
      </c>
      <c r="V69" s="11">
        <f>SUMIFS(TableDailySummary[Inversión meta ads],TableDailySummary[Fecha],"&gt;="&amp;TableWeeklySummary[[#This Row],[Desde]],TableDailySummary[Fecha],"&lt;="&amp;TableWeeklySummary[[#This Row],[Hasta]])</f>
        <v>0</v>
      </c>
      <c r="W69" s="11">
        <f>SUMIFS(TableDailySummary[Ventas meta ads],TableDailySummary[Fecha],"&gt;="&amp;TableWeeklySummary[[#This Row],[Desde]],TableDailySummary[Fecha],"&lt;="&amp;TableWeeklySummary[[#This Row],[Hasta]])</f>
        <v>0</v>
      </c>
      <c r="X69" s="11">
        <f>TableWeeklySummary[[#This Row],[Inversión google ads]]+TableWeeklySummary[[#This Row],[Inversión meta ads]]</f>
        <v>0</v>
      </c>
      <c r="Y69" s="11">
        <f>TableWeeklySummary[[#This Row],[Ventas google ads]]+TableWeeklySummary[[#This Row],[Ventas meta ads]]</f>
        <v>0</v>
      </c>
      <c r="Z69" s="14">
        <f>IFERROR(TableWeeklySummary[[#This Row],[Ventas publicidad]]/TableWeeklySummary[[#This Row],[Inversión publicidad]],0)</f>
        <v>0</v>
      </c>
      <c r="AA69" s="14">
        <f>IFERROR(TableWeeklySummary[[#This Row],[Ventas primer cliente]]/TableWeeklySummary[[#This Row],[Inversión publicidad]],0)</f>
        <v>0</v>
      </c>
      <c r="AB69" s="14"/>
      <c r="AC69" s="11"/>
      <c r="AI6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69" s="11">
        <f>SUMIFS(TableDailySummary[Costo de ventas registrado],TableDailySummary[Fecha],"&gt;="&amp;TableWeeklySummary[[#This Row],[Desde]],TableDailySummary[Fecha],"&lt;="&amp;TableWeeklySummary[[#This Row],[Hasta]])</f>
        <v>0</v>
      </c>
      <c r="AK69" s="11">
        <f>SUMIFS(TableDailySummary[Utilidad bruta],TableDailySummary[Fecha],"&gt;="&amp;TableWeeklySummary[[#This Row],[Desde]],TableDailySummary[Fecha],"&lt;="&amp;TableWeeklySummary[[#This Row],[Hasta]])</f>
        <v>0</v>
      </c>
      <c r="AL69" s="18">
        <f>IFERROR(TableWeeklySummary[[#This Row],[Utilidad bruta]]/TableWeeklySummary[[#This Row],[Ventas netas con costo registrado]],0)</f>
        <v>0</v>
      </c>
    </row>
    <row r="70" spans="2:38" x14ac:dyDescent="0.2">
      <c r="B70" s="16">
        <f>_xlfn.ISOWEEKNUM(TableWeeklySummary[[#This Row],[Hasta]])</f>
        <v>7</v>
      </c>
      <c r="C70" s="6">
        <f t="shared" si="1"/>
        <v>44967</v>
      </c>
      <c r="D70" s="6">
        <f>TableWeeklySummary[[#This Row],[Desde]]+7-1</f>
        <v>44973</v>
      </c>
      <c r="E70" s="11">
        <f>SUMIFS(TableDailySummary[Ventas netas totales],TableDailySummary[Fecha],"&gt;="&amp;TableWeeklySummary[[#This Row],[Desde]],TableDailySummary[Fecha],"&lt;="&amp;TableWeeklySummary[[#This Row],[Hasta]])</f>
        <v>0</v>
      </c>
      <c r="F70" s="11">
        <f>SUMIFS(TableDailySummary[Órdenes totales],TableDailySummary[Fecha],"&gt;="&amp;TableWeeklySummary[[#This Row],[Desde]],TableDailySummary[Fecha],"&lt;="&amp;TableWeeklySummary[[#This Row],[Hasta]])</f>
        <v>0</v>
      </c>
      <c r="G70" s="11">
        <f>IFERROR(TableWeeklySummary[[#This Row],[Ventas netas totales]]/TableWeeklySummary[[#This Row],[Órdenes totales]],0)</f>
        <v>0</v>
      </c>
      <c r="H7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0" s="11">
        <f>TableWeeklySummary[[#This Row],[Órden promedio totales]]*TableWeeklySummary[[#This Row],[CR totales]]</f>
        <v>0</v>
      </c>
      <c r="J70" s="11">
        <f>SUMIFS(TableDailySummary[Ventas primer cliente],TableDailySummary[Fecha],"&gt;="&amp;TableWeeklySummary[[#This Row],[Desde]],TableDailySummary[Fecha],"&lt;="&amp;TableWeeklySummary[[#This Row],[Hasta]])</f>
        <v>0</v>
      </c>
      <c r="K70" s="11">
        <f>SUMIFS(TableDailySummary[Órdenes primer cliente],TableDailySummary[Fecha],"&gt;="&amp;TableWeeklySummary[[#This Row],[Desde]],TableDailySummary[Fecha],"&lt;="&amp;TableWeeklySummary[[#This Row],[Hasta]])</f>
        <v>0</v>
      </c>
      <c r="L70" s="11">
        <f>SUMIFS(TableDailySummary[Online Store_net_sales],TableDailySummary[Fecha],"&gt;="&amp;TableWeeklySummary[[#This Row],[Desde]],TableDailySummary[Fecha],"&lt;="&amp;TableWeeklySummary[[#This Row],[Hasta]])</f>
        <v>0</v>
      </c>
      <c r="M70" s="11">
        <f>SUMIFS(TableDailySummary[Online Store_orders],TableDailySummary[Fecha],"&gt;="&amp;TableWeeklySummary[[#This Row],[Desde]],TableDailySummary[Fecha],"&lt;="&amp;TableWeeklySummary[[#This Row],[Hasta]])</f>
        <v>0</v>
      </c>
      <c r="N70" s="11">
        <f>SUMIFS(TableDailySummary[Tienda 81_net_sales],TableDailySummary[Fecha],"&gt;="&amp;TableWeeklySummary[[#This Row],[Desde]],TableDailySummary[Fecha],"&lt;="&amp;TableWeeklySummary[[#This Row],[Hasta]])</f>
        <v>0</v>
      </c>
      <c r="O70" s="11">
        <f>SUMIFS(TableDailySummary[Tienda 81_orders],TableDailySummary[Fecha],"&gt;="&amp;TableWeeklySummary[[#This Row],[Desde]],TableDailySummary[Fecha],"&lt;="&amp;TableWeeklySummary[[#This Row],[Hasta]])</f>
        <v>0</v>
      </c>
      <c r="P70" s="11">
        <f>SUMIFS(TableDailySummary[Rappi_net_sales],TableDailySummary[Fecha],"&gt;="&amp;TableWeeklySummary[[#This Row],[Desde]],TableDailySummary[Fecha],"&lt;="&amp;TableWeeklySummary[[#This Row],[Hasta]])</f>
        <v>0</v>
      </c>
      <c r="Q70" s="11">
        <f>SUMIFS(TableDailySummary[Rappi_orders],TableDailySummary[Fecha],"&gt;="&amp;TableWeeklySummary[[#This Row],[Desde]],TableDailySummary[Fecha],"&lt;="&amp;TableWeeklySummary[[#This Row],[Hasta]])</f>
        <v>0</v>
      </c>
      <c r="R7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0" s="11">
        <f>SUMIFS(TableDailySummary[Corporativo no tienda_orders],TableDailySummary[Fecha],"&gt;="&amp;TableWeeklySummary[[#This Row],[Desde]],TableDailySummary[Fecha],"&lt;="&amp;TableWeeklySummary[[#This Row],[Hasta]])</f>
        <v>0</v>
      </c>
      <c r="T70" s="11">
        <f>SUMIFS(TableDailySummary[Inversión google ads],TableDailySummary[Fecha],"&gt;="&amp;TableWeeklySummary[[#This Row],[Desde]],TableDailySummary[Fecha],"&lt;="&amp;TableWeeklySummary[[#This Row],[Hasta]])</f>
        <v>0</v>
      </c>
      <c r="U70" s="11">
        <f>SUMIFS(TableDailySummary[Ventas google ads],TableDailySummary[Fecha],"&gt;="&amp;TableWeeklySummary[[#This Row],[Desde]],TableDailySummary[Fecha],"&lt;="&amp;TableWeeklySummary[[#This Row],[Hasta]])</f>
        <v>0</v>
      </c>
      <c r="V70" s="11">
        <f>SUMIFS(TableDailySummary[Inversión meta ads],TableDailySummary[Fecha],"&gt;="&amp;TableWeeklySummary[[#This Row],[Desde]],TableDailySummary[Fecha],"&lt;="&amp;TableWeeklySummary[[#This Row],[Hasta]])</f>
        <v>0</v>
      </c>
      <c r="W70" s="11">
        <f>SUMIFS(TableDailySummary[Ventas meta ads],TableDailySummary[Fecha],"&gt;="&amp;TableWeeklySummary[[#This Row],[Desde]],TableDailySummary[Fecha],"&lt;="&amp;TableWeeklySummary[[#This Row],[Hasta]])</f>
        <v>0</v>
      </c>
      <c r="X70" s="11">
        <f>TableWeeklySummary[[#This Row],[Inversión google ads]]+TableWeeklySummary[[#This Row],[Inversión meta ads]]</f>
        <v>0</v>
      </c>
      <c r="Y70" s="11">
        <f>TableWeeklySummary[[#This Row],[Ventas google ads]]+TableWeeklySummary[[#This Row],[Ventas meta ads]]</f>
        <v>0</v>
      </c>
      <c r="Z70" s="14">
        <f>IFERROR(TableWeeklySummary[[#This Row],[Ventas publicidad]]/TableWeeklySummary[[#This Row],[Inversión publicidad]],0)</f>
        <v>0</v>
      </c>
      <c r="AA70" s="14">
        <f>IFERROR(TableWeeklySummary[[#This Row],[Ventas primer cliente]]/TableWeeklySummary[[#This Row],[Inversión publicidad]],0)</f>
        <v>0</v>
      </c>
      <c r="AB70" s="14"/>
      <c r="AC70" s="11"/>
      <c r="AI7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0" s="11">
        <f>SUMIFS(TableDailySummary[Costo de ventas registrado],TableDailySummary[Fecha],"&gt;="&amp;TableWeeklySummary[[#This Row],[Desde]],TableDailySummary[Fecha],"&lt;="&amp;TableWeeklySummary[[#This Row],[Hasta]])</f>
        <v>0</v>
      </c>
      <c r="AK70" s="11">
        <f>SUMIFS(TableDailySummary[Utilidad bruta],TableDailySummary[Fecha],"&gt;="&amp;TableWeeklySummary[[#This Row],[Desde]],TableDailySummary[Fecha],"&lt;="&amp;TableWeeklySummary[[#This Row],[Hasta]])</f>
        <v>0</v>
      </c>
      <c r="AL70" s="18">
        <f>IFERROR(TableWeeklySummary[[#This Row],[Utilidad bruta]]/TableWeeklySummary[[#This Row],[Ventas netas con costo registrado]],0)</f>
        <v>0</v>
      </c>
    </row>
    <row r="71" spans="2:38" x14ac:dyDescent="0.2">
      <c r="B71" s="16">
        <f>_xlfn.ISOWEEKNUM(TableWeeklySummary[[#This Row],[Hasta]])</f>
        <v>8</v>
      </c>
      <c r="C71" s="6">
        <f t="shared" si="1"/>
        <v>44974</v>
      </c>
      <c r="D71" s="6">
        <f>TableWeeklySummary[[#This Row],[Desde]]+7-1</f>
        <v>44980</v>
      </c>
      <c r="E71" s="11">
        <f>SUMIFS(TableDailySummary[Ventas netas totales],TableDailySummary[Fecha],"&gt;="&amp;TableWeeklySummary[[#This Row],[Desde]],TableDailySummary[Fecha],"&lt;="&amp;TableWeeklySummary[[#This Row],[Hasta]])</f>
        <v>0</v>
      </c>
      <c r="F71" s="11">
        <f>SUMIFS(TableDailySummary[Órdenes totales],TableDailySummary[Fecha],"&gt;="&amp;TableWeeklySummary[[#This Row],[Desde]],TableDailySummary[Fecha],"&lt;="&amp;TableWeeklySummary[[#This Row],[Hasta]])</f>
        <v>0</v>
      </c>
      <c r="G71" s="11">
        <f>IFERROR(TableWeeklySummary[[#This Row],[Ventas netas totales]]/TableWeeklySummary[[#This Row],[Órdenes totales]],0)</f>
        <v>0</v>
      </c>
      <c r="H7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1" s="11">
        <f>TableWeeklySummary[[#This Row],[Órden promedio totales]]*TableWeeklySummary[[#This Row],[CR totales]]</f>
        <v>0</v>
      </c>
      <c r="J71" s="11">
        <f>SUMIFS(TableDailySummary[Ventas primer cliente],TableDailySummary[Fecha],"&gt;="&amp;TableWeeklySummary[[#This Row],[Desde]],TableDailySummary[Fecha],"&lt;="&amp;TableWeeklySummary[[#This Row],[Hasta]])</f>
        <v>0</v>
      </c>
      <c r="K71" s="11">
        <f>SUMIFS(TableDailySummary[Órdenes primer cliente],TableDailySummary[Fecha],"&gt;="&amp;TableWeeklySummary[[#This Row],[Desde]],TableDailySummary[Fecha],"&lt;="&amp;TableWeeklySummary[[#This Row],[Hasta]])</f>
        <v>0</v>
      </c>
      <c r="L71" s="11">
        <f>SUMIFS(TableDailySummary[Online Store_net_sales],TableDailySummary[Fecha],"&gt;="&amp;TableWeeklySummary[[#This Row],[Desde]],TableDailySummary[Fecha],"&lt;="&amp;TableWeeklySummary[[#This Row],[Hasta]])</f>
        <v>0</v>
      </c>
      <c r="M71" s="11">
        <f>SUMIFS(TableDailySummary[Online Store_orders],TableDailySummary[Fecha],"&gt;="&amp;TableWeeklySummary[[#This Row],[Desde]],TableDailySummary[Fecha],"&lt;="&amp;TableWeeklySummary[[#This Row],[Hasta]])</f>
        <v>0</v>
      </c>
      <c r="N71" s="11">
        <f>SUMIFS(TableDailySummary[Tienda 81_net_sales],TableDailySummary[Fecha],"&gt;="&amp;TableWeeklySummary[[#This Row],[Desde]],TableDailySummary[Fecha],"&lt;="&amp;TableWeeklySummary[[#This Row],[Hasta]])</f>
        <v>0</v>
      </c>
      <c r="O71" s="11">
        <f>SUMIFS(TableDailySummary[Tienda 81_orders],TableDailySummary[Fecha],"&gt;="&amp;TableWeeklySummary[[#This Row],[Desde]],TableDailySummary[Fecha],"&lt;="&amp;TableWeeklySummary[[#This Row],[Hasta]])</f>
        <v>0</v>
      </c>
      <c r="P71" s="11">
        <f>SUMIFS(TableDailySummary[Rappi_net_sales],TableDailySummary[Fecha],"&gt;="&amp;TableWeeklySummary[[#This Row],[Desde]],TableDailySummary[Fecha],"&lt;="&amp;TableWeeklySummary[[#This Row],[Hasta]])</f>
        <v>0</v>
      </c>
      <c r="Q71" s="11">
        <f>SUMIFS(TableDailySummary[Rappi_orders],TableDailySummary[Fecha],"&gt;="&amp;TableWeeklySummary[[#This Row],[Desde]],TableDailySummary[Fecha],"&lt;="&amp;TableWeeklySummary[[#This Row],[Hasta]])</f>
        <v>0</v>
      </c>
      <c r="R7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1" s="11">
        <f>SUMIFS(TableDailySummary[Corporativo no tienda_orders],TableDailySummary[Fecha],"&gt;="&amp;TableWeeklySummary[[#This Row],[Desde]],TableDailySummary[Fecha],"&lt;="&amp;TableWeeklySummary[[#This Row],[Hasta]])</f>
        <v>0</v>
      </c>
      <c r="T71" s="11">
        <f>SUMIFS(TableDailySummary[Inversión google ads],TableDailySummary[Fecha],"&gt;="&amp;TableWeeklySummary[[#This Row],[Desde]],TableDailySummary[Fecha],"&lt;="&amp;TableWeeklySummary[[#This Row],[Hasta]])</f>
        <v>0</v>
      </c>
      <c r="U71" s="11">
        <f>SUMIFS(TableDailySummary[Ventas google ads],TableDailySummary[Fecha],"&gt;="&amp;TableWeeklySummary[[#This Row],[Desde]],TableDailySummary[Fecha],"&lt;="&amp;TableWeeklySummary[[#This Row],[Hasta]])</f>
        <v>0</v>
      </c>
      <c r="V71" s="11">
        <f>SUMIFS(TableDailySummary[Inversión meta ads],TableDailySummary[Fecha],"&gt;="&amp;TableWeeklySummary[[#This Row],[Desde]],TableDailySummary[Fecha],"&lt;="&amp;TableWeeklySummary[[#This Row],[Hasta]])</f>
        <v>0</v>
      </c>
      <c r="W71" s="11">
        <f>SUMIFS(TableDailySummary[Ventas meta ads],TableDailySummary[Fecha],"&gt;="&amp;TableWeeklySummary[[#This Row],[Desde]],TableDailySummary[Fecha],"&lt;="&amp;TableWeeklySummary[[#This Row],[Hasta]])</f>
        <v>0</v>
      </c>
      <c r="X71" s="11">
        <f>TableWeeklySummary[[#This Row],[Inversión google ads]]+TableWeeklySummary[[#This Row],[Inversión meta ads]]</f>
        <v>0</v>
      </c>
      <c r="Y71" s="11">
        <f>TableWeeklySummary[[#This Row],[Ventas google ads]]+TableWeeklySummary[[#This Row],[Ventas meta ads]]</f>
        <v>0</v>
      </c>
      <c r="Z71" s="14">
        <f>IFERROR(TableWeeklySummary[[#This Row],[Ventas publicidad]]/TableWeeklySummary[[#This Row],[Inversión publicidad]],0)</f>
        <v>0</v>
      </c>
      <c r="AA71" s="14">
        <f>IFERROR(TableWeeklySummary[[#This Row],[Ventas primer cliente]]/TableWeeklySummary[[#This Row],[Inversión publicidad]],0)</f>
        <v>0</v>
      </c>
      <c r="AB71" s="14"/>
      <c r="AC71" s="11"/>
      <c r="AI7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1" s="11">
        <f>SUMIFS(TableDailySummary[Costo de ventas registrado],TableDailySummary[Fecha],"&gt;="&amp;TableWeeklySummary[[#This Row],[Desde]],TableDailySummary[Fecha],"&lt;="&amp;TableWeeklySummary[[#This Row],[Hasta]])</f>
        <v>0</v>
      </c>
      <c r="AK71" s="11">
        <f>SUMIFS(TableDailySummary[Utilidad bruta],TableDailySummary[Fecha],"&gt;="&amp;TableWeeklySummary[[#This Row],[Desde]],TableDailySummary[Fecha],"&lt;="&amp;TableWeeklySummary[[#This Row],[Hasta]])</f>
        <v>0</v>
      </c>
      <c r="AL71" s="18">
        <f>IFERROR(TableWeeklySummary[[#This Row],[Utilidad bruta]]/TableWeeklySummary[[#This Row],[Ventas netas con costo registrado]],0)</f>
        <v>0</v>
      </c>
    </row>
    <row r="72" spans="2:38" x14ac:dyDescent="0.2">
      <c r="B72" s="16">
        <f>_xlfn.ISOWEEKNUM(TableWeeklySummary[[#This Row],[Hasta]])</f>
        <v>9</v>
      </c>
      <c r="C72" s="6">
        <f t="shared" ref="C72:C103" si="2">_xlfn.LET(
    _xlpm.fechaini, ParamFechaInicioReporte,
    _xlpm.start_friday, IF(WEEKDAY(_xlpm.fechaini, 1) = 6, _xlpm.fechaini, _xlpm.fechaini - MOD(WEEKDAY(_xlpm.fechaini, 1) + 1, 7)),
    IF(ROW()=8, _xlpm.start_friday, C71 + 7)
)</f>
        <v>44981</v>
      </c>
      <c r="D72" s="6">
        <f>TableWeeklySummary[[#This Row],[Desde]]+7-1</f>
        <v>44987</v>
      </c>
      <c r="E72" s="11">
        <f>SUMIFS(TableDailySummary[Ventas netas totales],TableDailySummary[Fecha],"&gt;="&amp;TableWeeklySummary[[#This Row],[Desde]],TableDailySummary[Fecha],"&lt;="&amp;TableWeeklySummary[[#This Row],[Hasta]])</f>
        <v>0</v>
      </c>
      <c r="F72" s="11">
        <f>SUMIFS(TableDailySummary[Órdenes totales],TableDailySummary[Fecha],"&gt;="&amp;TableWeeklySummary[[#This Row],[Desde]],TableDailySummary[Fecha],"&lt;="&amp;TableWeeklySummary[[#This Row],[Hasta]])</f>
        <v>0</v>
      </c>
      <c r="G72" s="11">
        <f>IFERROR(TableWeeklySummary[[#This Row],[Ventas netas totales]]/TableWeeklySummary[[#This Row],[Órdenes totales]],0)</f>
        <v>0</v>
      </c>
      <c r="H7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2" s="11">
        <f>TableWeeklySummary[[#This Row],[Órden promedio totales]]*TableWeeklySummary[[#This Row],[CR totales]]</f>
        <v>0</v>
      </c>
      <c r="J72" s="11">
        <f>SUMIFS(TableDailySummary[Ventas primer cliente],TableDailySummary[Fecha],"&gt;="&amp;TableWeeklySummary[[#This Row],[Desde]],TableDailySummary[Fecha],"&lt;="&amp;TableWeeklySummary[[#This Row],[Hasta]])</f>
        <v>0</v>
      </c>
      <c r="K72" s="11">
        <f>SUMIFS(TableDailySummary[Órdenes primer cliente],TableDailySummary[Fecha],"&gt;="&amp;TableWeeklySummary[[#This Row],[Desde]],TableDailySummary[Fecha],"&lt;="&amp;TableWeeklySummary[[#This Row],[Hasta]])</f>
        <v>0</v>
      </c>
      <c r="L72" s="11">
        <f>SUMIFS(TableDailySummary[Online Store_net_sales],TableDailySummary[Fecha],"&gt;="&amp;TableWeeklySummary[[#This Row],[Desde]],TableDailySummary[Fecha],"&lt;="&amp;TableWeeklySummary[[#This Row],[Hasta]])</f>
        <v>0</v>
      </c>
      <c r="M72" s="11">
        <f>SUMIFS(TableDailySummary[Online Store_orders],TableDailySummary[Fecha],"&gt;="&amp;TableWeeklySummary[[#This Row],[Desde]],TableDailySummary[Fecha],"&lt;="&amp;TableWeeklySummary[[#This Row],[Hasta]])</f>
        <v>0</v>
      </c>
      <c r="N72" s="11">
        <f>SUMIFS(TableDailySummary[Tienda 81_net_sales],TableDailySummary[Fecha],"&gt;="&amp;TableWeeklySummary[[#This Row],[Desde]],TableDailySummary[Fecha],"&lt;="&amp;TableWeeklySummary[[#This Row],[Hasta]])</f>
        <v>0</v>
      </c>
      <c r="O72" s="11">
        <f>SUMIFS(TableDailySummary[Tienda 81_orders],TableDailySummary[Fecha],"&gt;="&amp;TableWeeklySummary[[#This Row],[Desde]],TableDailySummary[Fecha],"&lt;="&amp;TableWeeklySummary[[#This Row],[Hasta]])</f>
        <v>0</v>
      </c>
      <c r="P72" s="11">
        <f>SUMIFS(TableDailySummary[Rappi_net_sales],TableDailySummary[Fecha],"&gt;="&amp;TableWeeklySummary[[#This Row],[Desde]],TableDailySummary[Fecha],"&lt;="&amp;TableWeeklySummary[[#This Row],[Hasta]])</f>
        <v>0</v>
      </c>
      <c r="Q72" s="11">
        <f>SUMIFS(TableDailySummary[Rappi_orders],TableDailySummary[Fecha],"&gt;="&amp;TableWeeklySummary[[#This Row],[Desde]],TableDailySummary[Fecha],"&lt;="&amp;TableWeeklySummary[[#This Row],[Hasta]])</f>
        <v>0</v>
      </c>
      <c r="R7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2" s="11">
        <f>SUMIFS(TableDailySummary[Corporativo no tienda_orders],TableDailySummary[Fecha],"&gt;="&amp;TableWeeklySummary[[#This Row],[Desde]],TableDailySummary[Fecha],"&lt;="&amp;TableWeeklySummary[[#This Row],[Hasta]])</f>
        <v>0</v>
      </c>
      <c r="T72" s="11">
        <f>SUMIFS(TableDailySummary[Inversión google ads],TableDailySummary[Fecha],"&gt;="&amp;TableWeeklySummary[[#This Row],[Desde]],TableDailySummary[Fecha],"&lt;="&amp;TableWeeklySummary[[#This Row],[Hasta]])</f>
        <v>0</v>
      </c>
      <c r="U72" s="11">
        <f>SUMIFS(TableDailySummary[Ventas google ads],TableDailySummary[Fecha],"&gt;="&amp;TableWeeklySummary[[#This Row],[Desde]],TableDailySummary[Fecha],"&lt;="&amp;TableWeeklySummary[[#This Row],[Hasta]])</f>
        <v>0</v>
      </c>
      <c r="V72" s="11">
        <f>SUMIFS(TableDailySummary[Inversión meta ads],TableDailySummary[Fecha],"&gt;="&amp;TableWeeklySummary[[#This Row],[Desde]],TableDailySummary[Fecha],"&lt;="&amp;TableWeeklySummary[[#This Row],[Hasta]])</f>
        <v>0</v>
      </c>
      <c r="W72" s="11">
        <f>SUMIFS(TableDailySummary[Ventas meta ads],TableDailySummary[Fecha],"&gt;="&amp;TableWeeklySummary[[#This Row],[Desde]],TableDailySummary[Fecha],"&lt;="&amp;TableWeeklySummary[[#This Row],[Hasta]])</f>
        <v>0</v>
      </c>
      <c r="X72" s="11">
        <f>TableWeeklySummary[[#This Row],[Inversión google ads]]+TableWeeklySummary[[#This Row],[Inversión meta ads]]</f>
        <v>0</v>
      </c>
      <c r="Y72" s="11">
        <f>TableWeeklySummary[[#This Row],[Ventas google ads]]+TableWeeklySummary[[#This Row],[Ventas meta ads]]</f>
        <v>0</v>
      </c>
      <c r="Z72" s="14">
        <f>IFERROR(TableWeeklySummary[[#This Row],[Ventas publicidad]]/TableWeeklySummary[[#This Row],[Inversión publicidad]],0)</f>
        <v>0</v>
      </c>
      <c r="AA72" s="14">
        <f>IFERROR(TableWeeklySummary[[#This Row],[Ventas primer cliente]]/TableWeeklySummary[[#This Row],[Inversión publicidad]],0)</f>
        <v>0</v>
      </c>
      <c r="AB72" s="14"/>
      <c r="AC72" s="11"/>
      <c r="AI7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2" s="11">
        <f>SUMIFS(TableDailySummary[Costo de ventas registrado],TableDailySummary[Fecha],"&gt;="&amp;TableWeeklySummary[[#This Row],[Desde]],TableDailySummary[Fecha],"&lt;="&amp;TableWeeklySummary[[#This Row],[Hasta]])</f>
        <v>0</v>
      </c>
      <c r="AK72" s="11">
        <f>SUMIFS(TableDailySummary[Utilidad bruta],TableDailySummary[Fecha],"&gt;="&amp;TableWeeklySummary[[#This Row],[Desde]],TableDailySummary[Fecha],"&lt;="&amp;TableWeeklySummary[[#This Row],[Hasta]])</f>
        <v>0</v>
      </c>
      <c r="AL72" s="18">
        <f>IFERROR(TableWeeklySummary[[#This Row],[Utilidad bruta]]/TableWeeklySummary[[#This Row],[Ventas netas con costo registrado]],0)</f>
        <v>0</v>
      </c>
    </row>
    <row r="73" spans="2:38" x14ac:dyDescent="0.2">
      <c r="B73" s="16">
        <f>_xlfn.ISOWEEKNUM(TableWeeklySummary[[#This Row],[Hasta]])</f>
        <v>10</v>
      </c>
      <c r="C73" s="6">
        <f t="shared" si="2"/>
        <v>44988</v>
      </c>
      <c r="D73" s="6">
        <f>TableWeeklySummary[[#This Row],[Desde]]+7-1</f>
        <v>44994</v>
      </c>
      <c r="E73" s="11">
        <f>SUMIFS(TableDailySummary[Ventas netas totales],TableDailySummary[Fecha],"&gt;="&amp;TableWeeklySummary[[#This Row],[Desde]],TableDailySummary[Fecha],"&lt;="&amp;TableWeeklySummary[[#This Row],[Hasta]])</f>
        <v>0</v>
      </c>
      <c r="F73" s="11">
        <f>SUMIFS(TableDailySummary[Órdenes totales],TableDailySummary[Fecha],"&gt;="&amp;TableWeeklySummary[[#This Row],[Desde]],TableDailySummary[Fecha],"&lt;="&amp;TableWeeklySummary[[#This Row],[Hasta]])</f>
        <v>0</v>
      </c>
      <c r="G73" s="11">
        <f>IFERROR(TableWeeklySummary[[#This Row],[Ventas netas totales]]/TableWeeklySummary[[#This Row],[Órdenes totales]],0)</f>
        <v>0</v>
      </c>
      <c r="H7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3" s="11">
        <f>TableWeeklySummary[[#This Row],[Órden promedio totales]]*TableWeeklySummary[[#This Row],[CR totales]]</f>
        <v>0</v>
      </c>
      <c r="J73" s="11">
        <f>SUMIFS(TableDailySummary[Ventas primer cliente],TableDailySummary[Fecha],"&gt;="&amp;TableWeeklySummary[[#This Row],[Desde]],TableDailySummary[Fecha],"&lt;="&amp;TableWeeklySummary[[#This Row],[Hasta]])</f>
        <v>0</v>
      </c>
      <c r="K73" s="11">
        <f>SUMIFS(TableDailySummary[Órdenes primer cliente],TableDailySummary[Fecha],"&gt;="&amp;TableWeeklySummary[[#This Row],[Desde]],TableDailySummary[Fecha],"&lt;="&amp;TableWeeklySummary[[#This Row],[Hasta]])</f>
        <v>0</v>
      </c>
      <c r="L73" s="11">
        <f>SUMIFS(TableDailySummary[Online Store_net_sales],TableDailySummary[Fecha],"&gt;="&amp;TableWeeklySummary[[#This Row],[Desde]],TableDailySummary[Fecha],"&lt;="&amp;TableWeeklySummary[[#This Row],[Hasta]])</f>
        <v>0</v>
      </c>
      <c r="M73" s="11">
        <f>SUMIFS(TableDailySummary[Online Store_orders],TableDailySummary[Fecha],"&gt;="&amp;TableWeeklySummary[[#This Row],[Desde]],TableDailySummary[Fecha],"&lt;="&amp;TableWeeklySummary[[#This Row],[Hasta]])</f>
        <v>0</v>
      </c>
      <c r="N73" s="11">
        <f>SUMIFS(TableDailySummary[Tienda 81_net_sales],TableDailySummary[Fecha],"&gt;="&amp;TableWeeklySummary[[#This Row],[Desde]],TableDailySummary[Fecha],"&lt;="&amp;TableWeeklySummary[[#This Row],[Hasta]])</f>
        <v>0</v>
      </c>
      <c r="O73" s="11">
        <f>SUMIFS(TableDailySummary[Tienda 81_orders],TableDailySummary[Fecha],"&gt;="&amp;TableWeeklySummary[[#This Row],[Desde]],TableDailySummary[Fecha],"&lt;="&amp;TableWeeklySummary[[#This Row],[Hasta]])</f>
        <v>0</v>
      </c>
      <c r="P73" s="11">
        <f>SUMIFS(TableDailySummary[Rappi_net_sales],TableDailySummary[Fecha],"&gt;="&amp;TableWeeklySummary[[#This Row],[Desde]],TableDailySummary[Fecha],"&lt;="&amp;TableWeeklySummary[[#This Row],[Hasta]])</f>
        <v>0</v>
      </c>
      <c r="Q73" s="11">
        <f>SUMIFS(TableDailySummary[Rappi_orders],TableDailySummary[Fecha],"&gt;="&amp;TableWeeklySummary[[#This Row],[Desde]],TableDailySummary[Fecha],"&lt;="&amp;TableWeeklySummary[[#This Row],[Hasta]])</f>
        <v>0</v>
      </c>
      <c r="R7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3" s="11">
        <f>SUMIFS(TableDailySummary[Corporativo no tienda_orders],TableDailySummary[Fecha],"&gt;="&amp;TableWeeklySummary[[#This Row],[Desde]],TableDailySummary[Fecha],"&lt;="&amp;TableWeeklySummary[[#This Row],[Hasta]])</f>
        <v>0</v>
      </c>
      <c r="T73" s="11">
        <f>SUMIFS(TableDailySummary[Inversión google ads],TableDailySummary[Fecha],"&gt;="&amp;TableWeeklySummary[[#This Row],[Desde]],TableDailySummary[Fecha],"&lt;="&amp;TableWeeklySummary[[#This Row],[Hasta]])</f>
        <v>0</v>
      </c>
      <c r="U73" s="11">
        <f>SUMIFS(TableDailySummary[Ventas google ads],TableDailySummary[Fecha],"&gt;="&amp;TableWeeklySummary[[#This Row],[Desde]],TableDailySummary[Fecha],"&lt;="&amp;TableWeeklySummary[[#This Row],[Hasta]])</f>
        <v>0</v>
      </c>
      <c r="V73" s="11">
        <f>SUMIFS(TableDailySummary[Inversión meta ads],TableDailySummary[Fecha],"&gt;="&amp;TableWeeklySummary[[#This Row],[Desde]],TableDailySummary[Fecha],"&lt;="&amp;TableWeeklySummary[[#This Row],[Hasta]])</f>
        <v>0</v>
      </c>
      <c r="W73" s="11">
        <f>SUMIFS(TableDailySummary[Ventas meta ads],TableDailySummary[Fecha],"&gt;="&amp;TableWeeklySummary[[#This Row],[Desde]],TableDailySummary[Fecha],"&lt;="&amp;TableWeeklySummary[[#This Row],[Hasta]])</f>
        <v>0</v>
      </c>
      <c r="X73" s="11">
        <f>TableWeeklySummary[[#This Row],[Inversión google ads]]+TableWeeklySummary[[#This Row],[Inversión meta ads]]</f>
        <v>0</v>
      </c>
      <c r="Y73" s="11">
        <f>TableWeeklySummary[[#This Row],[Ventas google ads]]+TableWeeklySummary[[#This Row],[Ventas meta ads]]</f>
        <v>0</v>
      </c>
      <c r="Z73" s="14">
        <f>IFERROR(TableWeeklySummary[[#This Row],[Ventas publicidad]]/TableWeeklySummary[[#This Row],[Inversión publicidad]],0)</f>
        <v>0</v>
      </c>
      <c r="AA73" s="14">
        <f>IFERROR(TableWeeklySummary[[#This Row],[Ventas primer cliente]]/TableWeeklySummary[[#This Row],[Inversión publicidad]],0)</f>
        <v>0</v>
      </c>
      <c r="AB73" s="14"/>
      <c r="AC73" s="11"/>
      <c r="AI7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3" s="11">
        <f>SUMIFS(TableDailySummary[Costo de ventas registrado],TableDailySummary[Fecha],"&gt;="&amp;TableWeeklySummary[[#This Row],[Desde]],TableDailySummary[Fecha],"&lt;="&amp;TableWeeklySummary[[#This Row],[Hasta]])</f>
        <v>0</v>
      </c>
      <c r="AK73" s="11">
        <f>SUMIFS(TableDailySummary[Utilidad bruta],TableDailySummary[Fecha],"&gt;="&amp;TableWeeklySummary[[#This Row],[Desde]],TableDailySummary[Fecha],"&lt;="&amp;TableWeeklySummary[[#This Row],[Hasta]])</f>
        <v>0</v>
      </c>
      <c r="AL73" s="18">
        <f>IFERROR(TableWeeklySummary[[#This Row],[Utilidad bruta]]/TableWeeklySummary[[#This Row],[Ventas netas con costo registrado]],0)</f>
        <v>0</v>
      </c>
    </row>
    <row r="74" spans="2:38" x14ac:dyDescent="0.2">
      <c r="B74" s="16">
        <f>_xlfn.ISOWEEKNUM(TableWeeklySummary[[#This Row],[Hasta]])</f>
        <v>11</v>
      </c>
      <c r="C74" s="6">
        <f t="shared" si="2"/>
        <v>44995</v>
      </c>
      <c r="D74" s="6">
        <f>TableWeeklySummary[[#This Row],[Desde]]+7-1</f>
        <v>45001</v>
      </c>
      <c r="E74" s="11">
        <f>SUMIFS(TableDailySummary[Ventas netas totales],TableDailySummary[Fecha],"&gt;="&amp;TableWeeklySummary[[#This Row],[Desde]],TableDailySummary[Fecha],"&lt;="&amp;TableWeeklySummary[[#This Row],[Hasta]])</f>
        <v>0</v>
      </c>
      <c r="F74" s="11">
        <f>SUMIFS(TableDailySummary[Órdenes totales],TableDailySummary[Fecha],"&gt;="&amp;TableWeeklySummary[[#This Row],[Desde]],TableDailySummary[Fecha],"&lt;="&amp;TableWeeklySummary[[#This Row],[Hasta]])</f>
        <v>0</v>
      </c>
      <c r="G74" s="11">
        <f>IFERROR(TableWeeklySummary[[#This Row],[Ventas netas totales]]/TableWeeklySummary[[#This Row],[Órdenes totales]],0)</f>
        <v>0</v>
      </c>
      <c r="H7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4" s="11">
        <f>TableWeeklySummary[[#This Row],[Órden promedio totales]]*TableWeeklySummary[[#This Row],[CR totales]]</f>
        <v>0</v>
      </c>
      <c r="J74" s="11">
        <f>SUMIFS(TableDailySummary[Ventas primer cliente],TableDailySummary[Fecha],"&gt;="&amp;TableWeeklySummary[[#This Row],[Desde]],TableDailySummary[Fecha],"&lt;="&amp;TableWeeklySummary[[#This Row],[Hasta]])</f>
        <v>0</v>
      </c>
      <c r="K74" s="11">
        <f>SUMIFS(TableDailySummary[Órdenes primer cliente],TableDailySummary[Fecha],"&gt;="&amp;TableWeeklySummary[[#This Row],[Desde]],TableDailySummary[Fecha],"&lt;="&amp;TableWeeklySummary[[#This Row],[Hasta]])</f>
        <v>0</v>
      </c>
      <c r="L74" s="11">
        <f>SUMIFS(TableDailySummary[Online Store_net_sales],TableDailySummary[Fecha],"&gt;="&amp;TableWeeklySummary[[#This Row],[Desde]],TableDailySummary[Fecha],"&lt;="&amp;TableWeeklySummary[[#This Row],[Hasta]])</f>
        <v>0</v>
      </c>
      <c r="M74" s="11">
        <f>SUMIFS(TableDailySummary[Online Store_orders],TableDailySummary[Fecha],"&gt;="&amp;TableWeeklySummary[[#This Row],[Desde]],TableDailySummary[Fecha],"&lt;="&amp;TableWeeklySummary[[#This Row],[Hasta]])</f>
        <v>0</v>
      </c>
      <c r="N74" s="11">
        <f>SUMIFS(TableDailySummary[Tienda 81_net_sales],TableDailySummary[Fecha],"&gt;="&amp;TableWeeklySummary[[#This Row],[Desde]],TableDailySummary[Fecha],"&lt;="&amp;TableWeeklySummary[[#This Row],[Hasta]])</f>
        <v>0</v>
      </c>
      <c r="O74" s="11">
        <f>SUMIFS(TableDailySummary[Tienda 81_orders],TableDailySummary[Fecha],"&gt;="&amp;TableWeeklySummary[[#This Row],[Desde]],TableDailySummary[Fecha],"&lt;="&amp;TableWeeklySummary[[#This Row],[Hasta]])</f>
        <v>0</v>
      </c>
      <c r="P74" s="11">
        <f>SUMIFS(TableDailySummary[Rappi_net_sales],TableDailySummary[Fecha],"&gt;="&amp;TableWeeklySummary[[#This Row],[Desde]],TableDailySummary[Fecha],"&lt;="&amp;TableWeeklySummary[[#This Row],[Hasta]])</f>
        <v>0</v>
      </c>
      <c r="Q74" s="11">
        <f>SUMIFS(TableDailySummary[Rappi_orders],TableDailySummary[Fecha],"&gt;="&amp;TableWeeklySummary[[#This Row],[Desde]],TableDailySummary[Fecha],"&lt;="&amp;TableWeeklySummary[[#This Row],[Hasta]])</f>
        <v>0</v>
      </c>
      <c r="R7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4" s="11">
        <f>SUMIFS(TableDailySummary[Corporativo no tienda_orders],TableDailySummary[Fecha],"&gt;="&amp;TableWeeklySummary[[#This Row],[Desde]],TableDailySummary[Fecha],"&lt;="&amp;TableWeeklySummary[[#This Row],[Hasta]])</f>
        <v>0</v>
      </c>
      <c r="T74" s="11">
        <f>SUMIFS(TableDailySummary[Inversión google ads],TableDailySummary[Fecha],"&gt;="&amp;TableWeeklySummary[[#This Row],[Desde]],TableDailySummary[Fecha],"&lt;="&amp;TableWeeklySummary[[#This Row],[Hasta]])</f>
        <v>0</v>
      </c>
      <c r="U74" s="11">
        <f>SUMIFS(TableDailySummary[Ventas google ads],TableDailySummary[Fecha],"&gt;="&amp;TableWeeklySummary[[#This Row],[Desde]],TableDailySummary[Fecha],"&lt;="&amp;TableWeeklySummary[[#This Row],[Hasta]])</f>
        <v>0</v>
      </c>
      <c r="V74" s="11">
        <f>SUMIFS(TableDailySummary[Inversión meta ads],TableDailySummary[Fecha],"&gt;="&amp;TableWeeklySummary[[#This Row],[Desde]],TableDailySummary[Fecha],"&lt;="&amp;TableWeeklySummary[[#This Row],[Hasta]])</f>
        <v>0</v>
      </c>
      <c r="W74" s="11">
        <f>SUMIFS(TableDailySummary[Ventas meta ads],TableDailySummary[Fecha],"&gt;="&amp;TableWeeklySummary[[#This Row],[Desde]],TableDailySummary[Fecha],"&lt;="&amp;TableWeeklySummary[[#This Row],[Hasta]])</f>
        <v>0</v>
      </c>
      <c r="X74" s="11">
        <f>TableWeeklySummary[[#This Row],[Inversión google ads]]+TableWeeklySummary[[#This Row],[Inversión meta ads]]</f>
        <v>0</v>
      </c>
      <c r="Y74" s="11">
        <f>TableWeeklySummary[[#This Row],[Ventas google ads]]+TableWeeklySummary[[#This Row],[Ventas meta ads]]</f>
        <v>0</v>
      </c>
      <c r="Z74" s="14">
        <f>IFERROR(TableWeeklySummary[[#This Row],[Ventas publicidad]]/TableWeeklySummary[[#This Row],[Inversión publicidad]],0)</f>
        <v>0</v>
      </c>
      <c r="AA74" s="14">
        <f>IFERROR(TableWeeklySummary[[#This Row],[Ventas primer cliente]]/TableWeeklySummary[[#This Row],[Inversión publicidad]],0)</f>
        <v>0</v>
      </c>
      <c r="AB74" s="14"/>
      <c r="AC74" s="11"/>
      <c r="AI7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4" s="11">
        <f>SUMIFS(TableDailySummary[Costo de ventas registrado],TableDailySummary[Fecha],"&gt;="&amp;TableWeeklySummary[[#This Row],[Desde]],TableDailySummary[Fecha],"&lt;="&amp;TableWeeklySummary[[#This Row],[Hasta]])</f>
        <v>0</v>
      </c>
      <c r="AK74" s="11">
        <f>SUMIFS(TableDailySummary[Utilidad bruta],TableDailySummary[Fecha],"&gt;="&amp;TableWeeklySummary[[#This Row],[Desde]],TableDailySummary[Fecha],"&lt;="&amp;TableWeeklySummary[[#This Row],[Hasta]])</f>
        <v>0</v>
      </c>
      <c r="AL74" s="18">
        <f>IFERROR(TableWeeklySummary[[#This Row],[Utilidad bruta]]/TableWeeklySummary[[#This Row],[Ventas netas con costo registrado]],0)</f>
        <v>0</v>
      </c>
    </row>
    <row r="75" spans="2:38" x14ac:dyDescent="0.2">
      <c r="B75" s="16">
        <f>_xlfn.ISOWEEKNUM(TableWeeklySummary[[#This Row],[Hasta]])</f>
        <v>12</v>
      </c>
      <c r="C75" s="6">
        <f t="shared" si="2"/>
        <v>45002</v>
      </c>
      <c r="D75" s="6">
        <f>TableWeeklySummary[[#This Row],[Desde]]+7-1</f>
        <v>45008</v>
      </c>
      <c r="E75" s="11">
        <f>SUMIFS(TableDailySummary[Ventas netas totales],TableDailySummary[Fecha],"&gt;="&amp;TableWeeklySummary[[#This Row],[Desde]],TableDailySummary[Fecha],"&lt;="&amp;TableWeeklySummary[[#This Row],[Hasta]])</f>
        <v>0</v>
      </c>
      <c r="F75" s="11">
        <f>SUMIFS(TableDailySummary[Órdenes totales],TableDailySummary[Fecha],"&gt;="&amp;TableWeeklySummary[[#This Row],[Desde]],TableDailySummary[Fecha],"&lt;="&amp;TableWeeklySummary[[#This Row],[Hasta]])</f>
        <v>0</v>
      </c>
      <c r="G75" s="11">
        <f>IFERROR(TableWeeklySummary[[#This Row],[Ventas netas totales]]/TableWeeklySummary[[#This Row],[Órdenes totales]],0)</f>
        <v>0</v>
      </c>
      <c r="H7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5" s="11">
        <f>TableWeeklySummary[[#This Row],[Órden promedio totales]]*TableWeeklySummary[[#This Row],[CR totales]]</f>
        <v>0</v>
      </c>
      <c r="J75" s="11">
        <f>SUMIFS(TableDailySummary[Ventas primer cliente],TableDailySummary[Fecha],"&gt;="&amp;TableWeeklySummary[[#This Row],[Desde]],TableDailySummary[Fecha],"&lt;="&amp;TableWeeklySummary[[#This Row],[Hasta]])</f>
        <v>0</v>
      </c>
      <c r="K75" s="11">
        <f>SUMIFS(TableDailySummary[Órdenes primer cliente],TableDailySummary[Fecha],"&gt;="&amp;TableWeeklySummary[[#This Row],[Desde]],TableDailySummary[Fecha],"&lt;="&amp;TableWeeklySummary[[#This Row],[Hasta]])</f>
        <v>0</v>
      </c>
      <c r="L75" s="11">
        <f>SUMIFS(TableDailySummary[Online Store_net_sales],TableDailySummary[Fecha],"&gt;="&amp;TableWeeklySummary[[#This Row],[Desde]],TableDailySummary[Fecha],"&lt;="&amp;TableWeeklySummary[[#This Row],[Hasta]])</f>
        <v>0</v>
      </c>
      <c r="M75" s="11">
        <f>SUMIFS(TableDailySummary[Online Store_orders],TableDailySummary[Fecha],"&gt;="&amp;TableWeeklySummary[[#This Row],[Desde]],TableDailySummary[Fecha],"&lt;="&amp;TableWeeklySummary[[#This Row],[Hasta]])</f>
        <v>0</v>
      </c>
      <c r="N75" s="11">
        <f>SUMIFS(TableDailySummary[Tienda 81_net_sales],TableDailySummary[Fecha],"&gt;="&amp;TableWeeklySummary[[#This Row],[Desde]],TableDailySummary[Fecha],"&lt;="&amp;TableWeeklySummary[[#This Row],[Hasta]])</f>
        <v>0</v>
      </c>
      <c r="O75" s="11">
        <f>SUMIFS(TableDailySummary[Tienda 81_orders],TableDailySummary[Fecha],"&gt;="&amp;TableWeeklySummary[[#This Row],[Desde]],TableDailySummary[Fecha],"&lt;="&amp;TableWeeklySummary[[#This Row],[Hasta]])</f>
        <v>0</v>
      </c>
      <c r="P75" s="11">
        <f>SUMIFS(TableDailySummary[Rappi_net_sales],TableDailySummary[Fecha],"&gt;="&amp;TableWeeklySummary[[#This Row],[Desde]],TableDailySummary[Fecha],"&lt;="&amp;TableWeeklySummary[[#This Row],[Hasta]])</f>
        <v>0</v>
      </c>
      <c r="Q75" s="11">
        <f>SUMIFS(TableDailySummary[Rappi_orders],TableDailySummary[Fecha],"&gt;="&amp;TableWeeklySummary[[#This Row],[Desde]],TableDailySummary[Fecha],"&lt;="&amp;TableWeeklySummary[[#This Row],[Hasta]])</f>
        <v>0</v>
      </c>
      <c r="R7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5" s="11">
        <f>SUMIFS(TableDailySummary[Corporativo no tienda_orders],TableDailySummary[Fecha],"&gt;="&amp;TableWeeklySummary[[#This Row],[Desde]],TableDailySummary[Fecha],"&lt;="&amp;TableWeeklySummary[[#This Row],[Hasta]])</f>
        <v>0</v>
      </c>
      <c r="T75" s="11">
        <f>SUMIFS(TableDailySummary[Inversión google ads],TableDailySummary[Fecha],"&gt;="&amp;TableWeeklySummary[[#This Row],[Desde]],TableDailySummary[Fecha],"&lt;="&amp;TableWeeklySummary[[#This Row],[Hasta]])</f>
        <v>0</v>
      </c>
      <c r="U75" s="11">
        <f>SUMIFS(TableDailySummary[Ventas google ads],TableDailySummary[Fecha],"&gt;="&amp;TableWeeklySummary[[#This Row],[Desde]],TableDailySummary[Fecha],"&lt;="&amp;TableWeeklySummary[[#This Row],[Hasta]])</f>
        <v>0</v>
      </c>
      <c r="V75" s="11">
        <f>SUMIFS(TableDailySummary[Inversión meta ads],TableDailySummary[Fecha],"&gt;="&amp;TableWeeklySummary[[#This Row],[Desde]],TableDailySummary[Fecha],"&lt;="&amp;TableWeeklySummary[[#This Row],[Hasta]])</f>
        <v>0</v>
      </c>
      <c r="W75" s="11">
        <f>SUMIFS(TableDailySummary[Ventas meta ads],TableDailySummary[Fecha],"&gt;="&amp;TableWeeklySummary[[#This Row],[Desde]],TableDailySummary[Fecha],"&lt;="&amp;TableWeeklySummary[[#This Row],[Hasta]])</f>
        <v>0</v>
      </c>
      <c r="X75" s="11">
        <f>TableWeeklySummary[[#This Row],[Inversión google ads]]+TableWeeklySummary[[#This Row],[Inversión meta ads]]</f>
        <v>0</v>
      </c>
      <c r="Y75" s="11">
        <f>TableWeeklySummary[[#This Row],[Ventas google ads]]+TableWeeklySummary[[#This Row],[Ventas meta ads]]</f>
        <v>0</v>
      </c>
      <c r="Z75" s="14">
        <f>IFERROR(TableWeeklySummary[[#This Row],[Ventas publicidad]]/TableWeeklySummary[[#This Row],[Inversión publicidad]],0)</f>
        <v>0</v>
      </c>
      <c r="AA75" s="14">
        <f>IFERROR(TableWeeklySummary[[#This Row],[Ventas primer cliente]]/TableWeeklySummary[[#This Row],[Inversión publicidad]],0)</f>
        <v>0</v>
      </c>
      <c r="AB75" s="14"/>
      <c r="AC75" s="11"/>
      <c r="AI7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5" s="11">
        <f>SUMIFS(TableDailySummary[Costo de ventas registrado],TableDailySummary[Fecha],"&gt;="&amp;TableWeeklySummary[[#This Row],[Desde]],TableDailySummary[Fecha],"&lt;="&amp;TableWeeklySummary[[#This Row],[Hasta]])</f>
        <v>0</v>
      </c>
      <c r="AK75" s="11">
        <f>SUMIFS(TableDailySummary[Utilidad bruta],TableDailySummary[Fecha],"&gt;="&amp;TableWeeklySummary[[#This Row],[Desde]],TableDailySummary[Fecha],"&lt;="&amp;TableWeeklySummary[[#This Row],[Hasta]])</f>
        <v>0</v>
      </c>
      <c r="AL75" s="18">
        <f>IFERROR(TableWeeklySummary[[#This Row],[Utilidad bruta]]/TableWeeklySummary[[#This Row],[Ventas netas con costo registrado]],0)</f>
        <v>0</v>
      </c>
    </row>
    <row r="76" spans="2:38" x14ac:dyDescent="0.2">
      <c r="B76" s="16">
        <f>_xlfn.ISOWEEKNUM(TableWeeklySummary[[#This Row],[Hasta]])</f>
        <v>13</v>
      </c>
      <c r="C76" s="6">
        <f t="shared" si="2"/>
        <v>45009</v>
      </c>
      <c r="D76" s="6">
        <f>TableWeeklySummary[[#This Row],[Desde]]+7-1</f>
        <v>45015</v>
      </c>
      <c r="E76" s="11">
        <f>SUMIFS(TableDailySummary[Ventas netas totales],TableDailySummary[Fecha],"&gt;="&amp;TableWeeklySummary[[#This Row],[Desde]],TableDailySummary[Fecha],"&lt;="&amp;TableWeeklySummary[[#This Row],[Hasta]])</f>
        <v>0</v>
      </c>
      <c r="F76" s="11">
        <f>SUMIFS(TableDailySummary[Órdenes totales],TableDailySummary[Fecha],"&gt;="&amp;TableWeeklySummary[[#This Row],[Desde]],TableDailySummary[Fecha],"&lt;="&amp;TableWeeklySummary[[#This Row],[Hasta]])</f>
        <v>0</v>
      </c>
      <c r="G76" s="11">
        <f>IFERROR(TableWeeklySummary[[#This Row],[Ventas netas totales]]/TableWeeklySummary[[#This Row],[Órdenes totales]],0)</f>
        <v>0</v>
      </c>
      <c r="H7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6" s="11">
        <f>TableWeeklySummary[[#This Row],[Órden promedio totales]]*TableWeeklySummary[[#This Row],[CR totales]]</f>
        <v>0</v>
      </c>
      <c r="J76" s="11">
        <f>SUMIFS(TableDailySummary[Ventas primer cliente],TableDailySummary[Fecha],"&gt;="&amp;TableWeeklySummary[[#This Row],[Desde]],TableDailySummary[Fecha],"&lt;="&amp;TableWeeklySummary[[#This Row],[Hasta]])</f>
        <v>0</v>
      </c>
      <c r="K76" s="11">
        <f>SUMIFS(TableDailySummary[Órdenes primer cliente],TableDailySummary[Fecha],"&gt;="&amp;TableWeeklySummary[[#This Row],[Desde]],TableDailySummary[Fecha],"&lt;="&amp;TableWeeklySummary[[#This Row],[Hasta]])</f>
        <v>0</v>
      </c>
      <c r="L76" s="11">
        <f>SUMIFS(TableDailySummary[Online Store_net_sales],TableDailySummary[Fecha],"&gt;="&amp;TableWeeklySummary[[#This Row],[Desde]],TableDailySummary[Fecha],"&lt;="&amp;TableWeeklySummary[[#This Row],[Hasta]])</f>
        <v>0</v>
      </c>
      <c r="M76" s="11">
        <f>SUMIFS(TableDailySummary[Online Store_orders],TableDailySummary[Fecha],"&gt;="&amp;TableWeeklySummary[[#This Row],[Desde]],TableDailySummary[Fecha],"&lt;="&amp;TableWeeklySummary[[#This Row],[Hasta]])</f>
        <v>0</v>
      </c>
      <c r="N76" s="11">
        <f>SUMIFS(TableDailySummary[Tienda 81_net_sales],TableDailySummary[Fecha],"&gt;="&amp;TableWeeklySummary[[#This Row],[Desde]],TableDailySummary[Fecha],"&lt;="&amp;TableWeeklySummary[[#This Row],[Hasta]])</f>
        <v>0</v>
      </c>
      <c r="O76" s="11">
        <f>SUMIFS(TableDailySummary[Tienda 81_orders],TableDailySummary[Fecha],"&gt;="&amp;TableWeeklySummary[[#This Row],[Desde]],TableDailySummary[Fecha],"&lt;="&amp;TableWeeklySummary[[#This Row],[Hasta]])</f>
        <v>0</v>
      </c>
      <c r="P76" s="11">
        <f>SUMIFS(TableDailySummary[Rappi_net_sales],TableDailySummary[Fecha],"&gt;="&amp;TableWeeklySummary[[#This Row],[Desde]],TableDailySummary[Fecha],"&lt;="&amp;TableWeeklySummary[[#This Row],[Hasta]])</f>
        <v>0</v>
      </c>
      <c r="Q76" s="11">
        <f>SUMIFS(TableDailySummary[Rappi_orders],TableDailySummary[Fecha],"&gt;="&amp;TableWeeklySummary[[#This Row],[Desde]],TableDailySummary[Fecha],"&lt;="&amp;TableWeeklySummary[[#This Row],[Hasta]])</f>
        <v>0</v>
      </c>
      <c r="R7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6" s="11">
        <f>SUMIFS(TableDailySummary[Corporativo no tienda_orders],TableDailySummary[Fecha],"&gt;="&amp;TableWeeklySummary[[#This Row],[Desde]],TableDailySummary[Fecha],"&lt;="&amp;TableWeeklySummary[[#This Row],[Hasta]])</f>
        <v>0</v>
      </c>
      <c r="T76" s="11">
        <f>SUMIFS(TableDailySummary[Inversión google ads],TableDailySummary[Fecha],"&gt;="&amp;TableWeeklySummary[[#This Row],[Desde]],TableDailySummary[Fecha],"&lt;="&amp;TableWeeklySummary[[#This Row],[Hasta]])</f>
        <v>0</v>
      </c>
      <c r="U76" s="11">
        <f>SUMIFS(TableDailySummary[Ventas google ads],TableDailySummary[Fecha],"&gt;="&amp;TableWeeklySummary[[#This Row],[Desde]],TableDailySummary[Fecha],"&lt;="&amp;TableWeeklySummary[[#This Row],[Hasta]])</f>
        <v>0</v>
      </c>
      <c r="V76" s="11">
        <f>SUMIFS(TableDailySummary[Inversión meta ads],TableDailySummary[Fecha],"&gt;="&amp;TableWeeklySummary[[#This Row],[Desde]],TableDailySummary[Fecha],"&lt;="&amp;TableWeeklySummary[[#This Row],[Hasta]])</f>
        <v>0</v>
      </c>
      <c r="W76" s="11">
        <f>SUMIFS(TableDailySummary[Ventas meta ads],TableDailySummary[Fecha],"&gt;="&amp;TableWeeklySummary[[#This Row],[Desde]],TableDailySummary[Fecha],"&lt;="&amp;TableWeeklySummary[[#This Row],[Hasta]])</f>
        <v>0</v>
      </c>
      <c r="X76" s="11">
        <f>TableWeeklySummary[[#This Row],[Inversión google ads]]+TableWeeklySummary[[#This Row],[Inversión meta ads]]</f>
        <v>0</v>
      </c>
      <c r="Y76" s="11">
        <f>TableWeeklySummary[[#This Row],[Ventas google ads]]+TableWeeklySummary[[#This Row],[Ventas meta ads]]</f>
        <v>0</v>
      </c>
      <c r="Z76" s="14">
        <f>IFERROR(TableWeeklySummary[[#This Row],[Ventas publicidad]]/TableWeeklySummary[[#This Row],[Inversión publicidad]],0)</f>
        <v>0</v>
      </c>
      <c r="AA76" s="14">
        <f>IFERROR(TableWeeklySummary[[#This Row],[Ventas primer cliente]]/TableWeeklySummary[[#This Row],[Inversión publicidad]],0)</f>
        <v>0</v>
      </c>
      <c r="AB76" s="14"/>
      <c r="AC76" s="11"/>
      <c r="AI7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6" s="11">
        <f>SUMIFS(TableDailySummary[Costo de ventas registrado],TableDailySummary[Fecha],"&gt;="&amp;TableWeeklySummary[[#This Row],[Desde]],TableDailySummary[Fecha],"&lt;="&amp;TableWeeklySummary[[#This Row],[Hasta]])</f>
        <v>0</v>
      </c>
      <c r="AK76" s="11">
        <f>SUMIFS(TableDailySummary[Utilidad bruta],TableDailySummary[Fecha],"&gt;="&amp;TableWeeklySummary[[#This Row],[Desde]],TableDailySummary[Fecha],"&lt;="&amp;TableWeeklySummary[[#This Row],[Hasta]])</f>
        <v>0</v>
      </c>
      <c r="AL76" s="18">
        <f>IFERROR(TableWeeklySummary[[#This Row],[Utilidad bruta]]/TableWeeklySummary[[#This Row],[Ventas netas con costo registrado]],0)</f>
        <v>0</v>
      </c>
    </row>
    <row r="77" spans="2:38" x14ac:dyDescent="0.2">
      <c r="B77" s="16">
        <f>_xlfn.ISOWEEKNUM(TableWeeklySummary[[#This Row],[Hasta]])</f>
        <v>14</v>
      </c>
      <c r="C77" s="6">
        <f t="shared" si="2"/>
        <v>45016</v>
      </c>
      <c r="D77" s="6">
        <f>TableWeeklySummary[[#This Row],[Desde]]+7-1</f>
        <v>45022</v>
      </c>
      <c r="E77" s="11">
        <f>SUMIFS(TableDailySummary[Ventas netas totales],TableDailySummary[Fecha],"&gt;="&amp;TableWeeklySummary[[#This Row],[Desde]],TableDailySummary[Fecha],"&lt;="&amp;TableWeeklySummary[[#This Row],[Hasta]])</f>
        <v>0</v>
      </c>
      <c r="F77" s="11">
        <f>SUMIFS(TableDailySummary[Órdenes totales],TableDailySummary[Fecha],"&gt;="&amp;TableWeeklySummary[[#This Row],[Desde]],TableDailySummary[Fecha],"&lt;="&amp;TableWeeklySummary[[#This Row],[Hasta]])</f>
        <v>0</v>
      </c>
      <c r="G77" s="11">
        <f>IFERROR(TableWeeklySummary[[#This Row],[Ventas netas totales]]/TableWeeklySummary[[#This Row],[Órdenes totales]],0)</f>
        <v>0</v>
      </c>
      <c r="H7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7" s="11">
        <f>TableWeeklySummary[[#This Row],[Órden promedio totales]]*TableWeeklySummary[[#This Row],[CR totales]]</f>
        <v>0</v>
      </c>
      <c r="J77" s="11">
        <f>SUMIFS(TableDailySummary[Ventas primer cliente],TableDailySummary[Fecha],"&gt;="&amp;TableWeeklySummary[[#This Row],[Desde]],TableDailySummary[Fecha],"&lt;="&amp;TableWeeklySummary[[#This Row],[Hasta]])</f>
        <v>0</v>
      </c>
      <c r="K77" s="11">
        <f>SUMIFS(TableDailySummary[Órdenes primer cliente],TableDailySummary[Fecha],"&gt;="&amp;TableWeeklySummary[[#This Row],[Desde]],TableDailySummary[Fecha],"&lt;="&amp;TableWeeklySummary[[#This Row],[Hasta]])</f>
        <v>0</v>
      </c>
      <c r="L77" s="11">
        <f>SUMIFS(TableDailySummary[Online Store_net_sales],TableDailySummary[Fecha],"&gt;="&amp;TableWeeklySummary[[#This Row],[Desde]],TableDailySummary[Fecha],"&lt;="&amp;TableWeeklySummary[[#This Row],[Hasta]])</f>
        <v>0</v>
      </c>
      <c r="M77" s="11">
        <f>SUMIFS(TableDailySummary[Online Store_orders],TableDailySummary[Fecha],"&gt;="&amp;TableWeeklySummary[[#This Row],[Desde]],TableDailySummary[Fecha],"&lt;="&amp;TableWeeklySummary[[#This Row],[Hasta]])</f>
        <v>0</v>
      </c>
      <c r="N77" s="11">
        <f>SUMIFS(TableDailySummary[Tienda 81_net_sales],TableDailySummary[Fecha],"&gt;="&amp;TableWeeklySummary[[#This Row],[Desde]],TableDailySummary[Fecha],"&lt;="&amp;TableWeeklySummary[[#This Row],[Hasta]])</f>
        <v>0</v>
      </c>
      <c r="O77" s="11">
        <f>SUMIFS(TableDailySummary[Tienda 81_orders],TableDailySummary[Fecha],"&gt;="&amp;TableWeeklySummary[[#This Row],[Desde]],TableDailySummary[Fecha],"&lt;="&amp;TableWeeklySummary[[#This Row],[Hasta]])</f>
        <v>0</v>
      </c>
      <c r="P77" s="11">
        <f>SUMIFS(TableDailySummary[Rappi_net_sales],TableDailySummary[Fecha],"&gt;="&amp;TableWeeklySummary[[#This Row],[Desde]],TableDailySummary[Fecha],"&lt;="&amp;TableWeeklySummary[[#This Row],[Hasta]])</f>
        <v>0</v>
      </c>
      <c r="Q77" s="11">
        <f>SUMIFS(TableDailySummary[Rappi_orders],TableDailySummary[Fecha],"&gt;="&amp;TableWeeklySummary[[#This Row],[Desde]],TableDailySummary[Fecha],"&lt;="&amp;TableWeeklySummary[[#This Row],[Hasta]])</f>
        <v>0</v>
      </c>
      <c r="R7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7" s="11">
        <f>SUMIFS(TableDailySummary[Corporativo no tienda_orders],TableDailySummary[Fecha],"&gt;="&amp;TableWeeklySummary[[#This Row],[Desde]],TableDailySummary[Fecha],"&lt;="&amp;TableWeeklySummary[[#This Row],[Hasta]])</f>
        <v>0</v>
      </c>
      <c r="T77" s="11">
        <f>SUMIFS(TableDailySummary[Inversión google ads],TableDailySummary[Fecha],"&gt;="&amp;TableWeeklySummary[[#This Row],[Desde]],TableDailySummary[Fecha],"&lt;="&amp;TableWeeklySummary[[#This Row],[Hasta]])</f>
        <v>0</v>
      </c>
      <c r="U77" s="11">
        <f>SUMIFS(TableDailySummary[Ventas google ads],TableDailySummary[Fecha],"&gt;="&amp;TableWeeklySummary[[#This Row],[Desde]],TableDailySummary[Fecha],"&lt;="&amp;TableWeeklySummary[[#This Row],[Hasta]])</f>
        <v>0</v>
      </c>
      <c r="V77" s="11">
        <f>SUMIFS(TableDailySummary[Inversión meta ads],TableDailySummary[Fecha],"&gt;="&amp;TableWeeklySummary[[#This Row],[Desde]],TableDailySummary[Fecha],"&lt;="&amp;TableWeeklySummary[[#This Row],[Hasta]])</f>
        <v>0</v>
      </c>
      <c r="W77" s="11">
        <f>SUMIFS(TableDailySummary[Ventas meta ads],TableDailySummary[Fecha],"&gt;="&amp;TableWeeklySummary[[#This Row],[Desde]],TableDailySummary[Fecha],"&lt;="&amp;TableWeeklySummary[[#This Row],[Hasta]])</f>
        <v>0</v>
      </c>
      <c r="X77" s="11">
        <f>TableWeeklySummary[[#This Row],[Inversión google ads]]+TableWeeklySummary[[#This Row],[Inversión meta ads]]</f>
        <v>0</v>
      </c>
      <c r="Y77" s="11">
        <f>TableWeeklySummary[[#This Row],[Ventas google ads]]+TableWeeklySummary[[#This Row],[Ventas meta ads]]</f>
        <v>0</v>
      </c>
      <c r="Z77" s="14">
        <f>IFERROR(TableWeeklySummary[[#This Row],[Ventas publicidad]]/TableWeeklySummary[[#This Row],[Inversión publicidad]],0)</f>
        <v>0</v>
      </c>
      <c r="AA77" s="14">
        <f>IFERROR(TableWeeklySummary[[#This Row],[Ventas primer cliente]]/TableWeeklySummary[[#This Row],[Inversión publicidad]],0)</f>
        <v>0</v>
      </c>
      <c r="AB77" s="14"/>
      <c r="AC77" s="11"/>
      <c r="AI7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7" s="11">
        <f>SUMIFS(TableDailySummary[Costo de ventas registrado],TableDailySummary[Fecha],"&gt;="&amp;TableWeeklySummary[[#This Row],[Desde]],TableDailySummary[Fecha],"&lt;="&amp;TableWeeklySummary[[#This Row],[Hasta]])</f>
        <v>0</v>
      </c>
      <c r="AK77" s="11">
        <f>SUMIFS(TableDailySummary[Utilidad bruta],TableDailySummary[Fecha],"&gt;="&amp;TableWeeklySummary[[#This Row],[Desde]],TableDailySummary[Fecha],"&lt;="&amp;TableWeeklySummary[[#This Row],[Hasta]])</f>
        <v>0</v>
      </c>
      <c r="AL77" s="18">
        <f>IFERROR(TableWeeklySummary[[#This Row],[Utilidad bruta]]/TableWeeklySummary[[#This Row],[Ventas netas con costo registrado]],0)</f>
        <v>0</v>
      </c>
    </row>
    <row r="78" spans="2:38" x14ac:dyDescent="0.2">
      <c r="B78" s="16">
        <f>_xlfn.ISOWEEKNUM(TableWeeklySummary[[#This Row],[Hasta]])</f>
        <v>15</v>
      </c>
      <c r="C78" s="6">
        <f t="shared" si="2"/>
        <v>45023</v>
      </c>
      <c r="D78" s="6">
        <f>TableWeeklySummary[[#This Row],[Desde]]+7-1</f>
        <v>45029</v>
      </c>
      <c r="E78" s="11">
        <f>SUMIFS(TableDailySummary[Ventas netas totales],TableDailySummary[Fecha],"&gt;="&amp;TableWeeklySummary[[#This Row],[Desde]],TableDailySummary[Fecha],"&lt;="&amp;TableWeeklySummary[[#This Row],[Hasta]])</f>
        <v>0</v>
      </c>
      <c r="F78" s="11">
        <f>SUMIFS(TableDailySummary[Órdenes totales],TableDailySummary[Fecha],"&gt;="&amp;TableWeeklySummary[[#This Row],[Desde]],TableDailySummary[Fecha],"&lt;="&amp;TableWeeklySummary[[#This Row],[Hasta]])</f>
        <v>0</v>
      </c>
      <c r="G78" s="11">
        <f>IFERROR(TableWeeklySummary[[#This Row],[Ventas netas totales]]/TableWeeklySummary[[#This Row],[Órdenes totales]],0)</f>
        <v>0</v>
      </c>
      <c r="H7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8" s="11">
        <f>TableWeeklySummary[[#This Row],[Órden promedio totales]]*TableWeeklySummary[[#This Row],[CR totales]]</f>
        <v>0</v>
      </c>
      <c r="J78" s="11">
        <f>SUMIFS(TableDailySummary[Ventas primer cliente],TableDailySummary[Fecha],"&gt;="&amp;TableWeeklySummary[[#This Row],[Desde]],TableDailySummary[Fecha],"&lt;="&amp;TableWeeklySummary[[#This Row],[Hasta]])</f>
        <v>0</v>
      </c>
      <c r="K78" s="11">
        <f>SUMIFS(TableDailySummary[Órdenes primer cliente],TableDailySummary[Fecha],"&gt;="&amp;TableWeeklySummary[[#This Row],[Desde]],TableDailySummary[Fecha],"&lt;="&amp;TableWeeklySummary[[#This Row],[Hasta]])</f>
        <v>0</v>
      </c>
      <c r="L78" s="11">
        <f>SUMIFS(TableDailySummary[Online Store_net_sales],TableDailySummary[Fecha],"&gt;="&amp;TableWeeklySummary[[#This Row],[Desde]],TableDailySummary[Fecha],"&lt;="&amp;TableWeeklySummary[[#This Row],[Hasta]])</f>
        <v>0</v>
      </c>
      <c r="M78" s="11">
        <f>SUMIFS(TableDailySummary[Online Store_orders],TableDailySummary[Fecha],"&gt;="&amp;TableWeeklySummary[[#This Row],[Desde]],TableDailySummary[Fecha],"&lt;="&amp;TableWeeklySummary[[#This Row],[Hasta]])</f>
        <v>0</v>
      </c>
      <c r="N78" s="11">
        <f>SUMIFS(TableDailySummary[Tienda 81_net_sales],TableDailySummary[Fecha],"&gt;="&amp;TableWeeklySummary[[#This Row],[Desde]],TableDailySummary[Fecha],"&lt;="&amp;TableWeeklySummary[[#This Row],[Hasta]])</f>
        <v>0</v>
      </c>
      <c r="O78" s="11">
        <f>SUMIFS(TableDailySummary[Tienda 81_orders],TableDailySummary[Fecha],"&gt;="&amp;TableWeeklySummary[[#This Row],[Desde]],TableDailySummary[Fecha],"&lt;="&amp;TableWeeklySummary[[#This Row],[Hasta]])</f>
        <v>0</v>
      </c>
      <c r="P78" s="11">
        <f>SUMIFS(TableDailySummary[Rappi_net_sales],TableDailySummary[Fecha],"&gt;="&amp;TableWeeklySummary[[#This Row],[Desde]],TableDailySummary[Fecha],"&lt;="&amp;TableWeeklySummary[[#This Row],[Hasta]])</f>
        <v>0</v>
      </c>
      <c r="Q78" s="11">
        <f>SUMIFS(TableDailySummary[Rappi_orders],TableDailySummary[Fecha],"&gt;="&amp;TableWeeklySummary[[#This Row],[Desde]],TableDailySummary[Fecha],"&lt;="&amp;TableWeeklySummary[[#This Row],[Hasta]])</f>
        <v>0</v>
      </c>
      <c r="R7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8" s="11">
        <f>SUMIFS(TableDailySummary[Corporativo no tienda_orders],TableDailySummary[Fecha],"&gt;="&amp;TableWeeklySummary[[#This Row],[Desde]],TableDailySummary[Fecha],"&lt;="&amp;TableWeeklySummary[[#This Row],[Hasta]])</f>
        <v>0</v>
      </c>
      <c r="T78" s="11">
        <f>SUMIFS(TableDailySummary[Inversión google ads],TableDailySummary[Fecha],"&gt;="&amp;TableWeeklySummary[[#This Row],[Desde]],TableDailySummary[Fecha],"&lt;="&amp;TableWeeklySummary[[#This Row],[Hasta]])</f>
        <v>0</v>
      </c>
      <c r="U78" s="11">
        <f>SUMIFS(TableDailySummary[Ventas google ads],TableDailySummary[Fecha],"&gt;="&amp;TableWeeklySummary[[#This Row],[Desde]],TableDailySummary[Fecha],"&lt;="&amp;TableWeeklySummary[[#This Row],[Hasta]])</f>
        <v>0</v>
      </c>
      <c r="V78" s="11">
        <f>SUMIFS(TableDailySummary[Inversión meta ads],TableDailySummary[Fecha],"&gt;="&amp;TableWeeklySummary[[#This Row],[Desde]],TableDailySummary[Fecha],"&lt;="&amp;TableWeeklySummary[[#This Row],[Hasta]])</f>
        <v>0</v>
      </c>
      <c r="W78" s="11">
        <f>SUMIFS(TableDailySummary[Ventas meta ads],TableDailySummary[Fecha],"&gt;="&amp;TableWeeklySummary[[#This Row],[Desde]],TableDailySummary[Fecha],"&lt;="&amp;TableWeeklySummary[[#This Row],[Hasta]])</f>
        <v>0</v>
      </c>
      <c r="X78" s="11">
        <f>TableWeeklySummary[[#This Row],[Inversión google ads]]+TableWeeklySummary[[#This Row],[Inversión meta ads]]</f>
        <v>0</v>
      </c>
      <c r="Y78" s="11">
        <f>TableWeeklySummary[[#This Row],[Ventas google ads]]+TableWeeklySummary[[#This Row],[Ventas meta ads]]</f>
        <v>0</v>
      </c>
      <c r="Z78" s="14">
        <f>IFERROR(TableWeeklySummary[[#This Row],[Ventas publicidad]]/TableWeeklySummary[[#This Row],[Inversión publicidad]],0)</f>
        <v>0</v>
      </c>
      <c r="AA78" s="14">
        <f>IFERROR(TableWeeklySummary[[#This Row],[Ventas primer cliente]]/TableWeeklySummary[[#This Row],[Inversión publicidad]],0)</f>
        <v>0</v>
      </c>
      <c r="AB78" s="14"/>
      <c r="AC78" s="11"/>
      <c r="AI7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8" s="11">
        <f>SUMIFS(TableDailySummary[Costo de ventas registrado],TableDailySummary[Fecha],"&gt;="&amp;TableWeeklySummary[[#This Row],[Desde]],TableDailySummary[Fecha],"&lt;="&amp;TableWeeklySummary[[#This Row],[Hasta]])</f>
        <v>0</v>
      </c>
      <c r="AK78" s="11">
        <f>SUMIFS(TableDailySummary[Utilidad bruta],TableDailySummary[Fecha],"&gt;="&amp;TableWeeklySummary[[#This Row],[Desde]],TableDailySummary[Fecha],"&lt;="&amp;TableWeeklySummary[[#This Row],[Hasta]])</f>
        <v>0</v>
      </c>
      <c r="AL78" s="18">
        <f>IFERROR(TableWeeklySummary[[#This Row],[Utilidad bruta]]/TableWeeklySummary[[#This Row],[Ventas netas con costo registrado]],0)</f>
        <v>0</v>
      </c>
    </row>
    <row r="79" spans="2:38" x14ac:dyDescent="0.2">
      <c r="B79" s="16">
        <f>_xlfn.ISOWEEKNUM(TableWeeklySummary[[#This Row],[Hasta]])</f>
        <v>16</v>
      </c>
      <c r="C79" s="6">
        <f t="shared" si="2"/>
        <v>45030</v>
      </c>
      <c r="D79" s="6">
        <f>TableWeeklySummary[[#This Row],[Desde]]+7-1</f>
        <v>45036</v>
      </c>
      <c r="E79" s="11">
        <f>SUMIFS(TableDailySummary[Ventas netas totales],TableDailySummary[Fecha],"&gt;="&amp;TableWeeklySummary[[#This Row],[Desde]],TableDailySummary[Fecha],"&lt;="&amp;TableWeeklySummary[[#This Row],[Hasta]])</f>
        <v>0</v>
      </c>
      <c r="F79" s="11">
        <f>SUMIFS(TableDailySummary[Órdenes totales],TableDailySummary[Fecha],"&gt;="&amp;TableWeeklySummary[[#This Row],[Desde]],TableDailySummary[Fecha],"&lt;="&amp;TableWeeklySummary[[#This Row],[Hasta]])</f>
        <v>0</v>
      </c>
      <c r="G79" s="11">
        <f>IFERROR(TableWeeklySummary[[#This Row],[Ventas netas totales]]/TableWeeklySummary[[#This Row],[Órdenes totales]],0)</f>
        <v>0</v>
      </c>
      <c r="H7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79" s="11">
        <f>TableWeeklySummary[[#This Row],[Órden promedio totales]]*TableWeeklySummary[[#This Row],[CR totales]]</f>
        <v>0</v>
      </c>
      <c r="J79" s="11">
        <f>SUMIFS(TableDailySummary[Ventas primer cliente],TableDailySummary[Fecha],"&gt;="&amp;TableWeeklySummary[[#This Row],[Desde]],TableDailySummary[Fecha],"&lt;="&amp;TableWeeklySummary[[#This Row],[Hasta]])</f>
        <v>0</v>
      </c>
      <c r="K79" s="11">
        <f>SUMIFS(TableDailySummary[Órdenes primer cliente],TableDailySummary[Fecha],"&gt;="&amp;TableWeeklySummary[[#This Row],[Desde]],TableDailySummary[Fecha],"&lt;="&amp;TableWeeklySummary[[#This Row],[Hasta]])</f>
        <v>0</v>
      </c>
      <c r="L79" s="11">
        <f>SUMIFS(TableDailySummary[Online Store_net_sales],TableDailySummary[Fecha],"&gt;="&amp;TableWeeklySummary[[#This Row],[Desde]],TableDailySummary[Fecha],"&lt;="&amp;TableWeeklySummary[[#This Row],[Hasta]])</f>
        <v>0</v>
      </c>
      <c r="M79" s="11">
        <f>SUMIFS(TableDailySummary[Online Store_orders],TableDailySummary[Fecha],"&gt;="&amp;TableWeeklySummary[[#This Row],[Desde]],TableDailySummary[Fecha],"&lt;="&amp;TableWeeklySummary[[#This Row],[Hasta]])</f>
        <v>0</v>
      </c>
      <c r="N79" s="11">
        <f>SUMIFS(TableDailySummary[Tienda 81_net_sales],TableDailySummary[Fecha],"&gt;="&amp;TableWeeklySummary[[#This Row],[Desde]],TableDailySummary[Fecha],"&lt;="&amp;TableWeeklySummary[[#This Row],[Hasta]])</f>
        <v>0</v>
      </c>
      <c r="O79" s="11">
        <f>SUMIFS(TableDailySummary[Tienda 81_orders],TableDailySummary[Fecha],"&gt;="&amp;TableWeeklySummary[[#This Row],[Desde]],TableDailySummary[Fecha],"&lt;="&amp;TableWeeklySummary[[#This Row],[Hasta]])</f>
        <v>0</v>
      </c>
      <c r="P79" s="11">
        <f>SUMIFS(TableDailySummary[Rappi_net_sales],TableDailySummary[Fecha],"&gt;="&amp;TableWeeklySummary[[#This Row],[Desde]],TableDailySummary[Fecha],"&lt;="&amp;TableWeeklySummary[[#This Row],[Hasta]])</f>
        <v>0</v>
      </c>
      <c r="Q79" s="11">
        <f>SUMIFS(TableDailySummary[Rappi_orders],TableDailySummary[Fecha],"&gt;="&amp;TableWeeklySummary[[#This Row],[Desde]],TableDailySummary[Fecha],"&lt;="&amp;TableWeeklySummary[[#This Row],[Hasta]])</f>
        <v>0</v>
      </c>
      <c r="R7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79" s="11">
        <f>SUMIFS(TableDailySummary[Corporativo no tienda_orders],TableDailySummary[Fecha],"&gt;="&amp;TableWeeklySummary[[#This Row],[Desde]],TableDailySummary[Fecha],"&lt;="&amp;TableWeeklySummary[[#This Row],[Hasta]])</f>
        <v>0</v>
      </c>
      <c r="T79" s="11">
        <f>SUMIFS(TableDailySummary[Inversión google ads],TableDailySummary[Fecha],"&gt;="&amp;TableWeeklySummary[[#This Row],[Desde]],TableDailySummary[Fecha],"&lt;="&amp;TableWeeklySummary[[#This Row],[Hasta]])</f>
        <v>0</v>
      </c>
      <c r="U79" s="11">
        <f>SUMIFS(TableDailySummary[Ventas google ads],TableDailySummary[Fecha],"&gt;="&amp;TableWeeklySummary[[#This Row],[Desde]],TableDailySummary[Fecha],"&lt;="&amp;TableWeeklySummary[[#This Row],[Hasta]])</f>
        <v>0</v>
      </c>
      <c r="V79" s="11">
        <f>SUMIFS(TableDailySummary[Inversión meta ads],TableDailySummary[Fecha],"&gt;="&amp;TableWeeklySummary[[#This Row],[Desde]],TableDailySummary[Fecha],"&lt;="&amp;TableWeeklySummary[[#This Row],[Hasta]])</f>
        <v>0</v>
      </c>
      <c r="W79" s="11">
        <f>SUMIFS(TableDailySummary[Ventas meta ads],TableDailySummary[Fecha],"&gt;="&amp;TableWeeklySummary[[#This Row],[Desde]],TableDailySummary[Fecha],"&lt;="&amp;TableWeeklySummary[[#This Row],[Hasta]])</f>
        <v>0</v>
      </c>
      <c r="X79" s="11">
        <f>TableWeeklySummary[[#This Row],[Inversión google ads]]+TableWeeklySummary[[#This Row],[Inversión meta ads]]</f>
        <v>0</v>
      </c>
      <c r="Y79" s="11">
        <f>TableWeeklySummary[[#This Row],[Ventas google ads]]+TableWeeklySummary[[#This Row],[Ventas meta ads]]</f>
        <v>0</v>
      </c>
      <c r="Z79" s="14">
        <f>IFERROR(TableWeeklySummary[[#This Row],[Ventas publicidad]]/TableWeeklySummary[[#This Row],[Inversión publicidad]],0)</f>
        <v>0</v>
      </c>
      <c r="AA79" s="14">
        <f>IFERROR(TableWeeklySummary[[#This Row],[Ventas primer cliente]]/TableWeeklySummary[[#This Row],[Inversión publicidad]],0)</f>
        <v>0</v>
      </c>
      <c r="AB79" s="14"/>
      <c r="AC79" s="11"/>
      <c r="AI7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79" s="11">
        <f>SUMIFS(TableDailySummary[Costo de ventas registrado],TableDailySummary[Fecha],"&gt;="&amp;TableWeeklySummary[[#This Row],[Desde]],TableDailySummary[Fecha],"&lt;="&amp;TableWeeklySummary[[#This Row],[Hasta]])</f>
        <v>0</v>
      </c>
      <c r="AK79" s="11">
        <f>SUMIFS(TableDailySummary[Utilidad bruta],TableDailySummary[Fecha],"&gt;="&amp;TableWeeklySummary[[#This Row],[Desde]],TableDailySummary[Fecha],"&lt;="&amp;TableWeeklySummary[[#This Row],[Hasta]])</f>
        <v>0</v>
      </c>
      <c r="AL79" s="18">
        <f>IFERROR(TableWeeklySummary[[#This Row],[Utilidad bruta]]/TableWeeklySummary[[#This Row],[Ventas netas con costo registrado]],0)</f>
        <v>0</v>
      </c>
    </row>
    <row r="80" spans="2:38" x14ac:dyDescent="0.2">
      <c r="B80" s="16">
        <f>_xlfn.ISOWEEKNUM(TableWeeklySummary[[#This Row],[Hasta]])</f>
        <v>17</v>
      </c>
      <c r="C80" s="6">
        <f t="shared" si="2"/>
        <v>45037</v>
      </c>
      <c r="D80" s="6">
        <f>TableWeeklySummary[[#This Row],[Desde]]+7-1</f>
        <v>45043</v>
      </c>
      <c r="E80" s="11">
        <f>SUMIFS(TableDailySummary[Ventas netas totales],TableDailySummary[Fecha],"&gt;="&amp;TableWeeklySummary[[#This Row],[Desde]],TableDailySummary[Fecha],"&lt;="&amp;TableWeeklySummary[[#This Row],[Hasta]])</f>
        <v>0</v>
      </c>
      <c r="F80" s="11">
        <f>SUMIFS(TableDailySummary[Órdenes totales],TableDailySummary[Fecha],"&gt;="&amp;TableWeeklySummary[[#This Row],[Desde]],TableDailySummary[Fecha],"&lt;="&amp;TableWeeklySummary[[#This Row],[Hasta]])</f>
        <v>0</v>
      </c>
      <c r="G80" s="11">
        <f>IFERROR(TableWeeklySummary[[#This Row],[Ventas netas totales]]/TableWeeklySummary[[#This Row],[Órdenes totales]],0)</f>
        <v>0</v>
      </c>
      <c r="H8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0" s="11">
        <f>TableWeeklySummary[[#This Row],[Órden promedio totales]]*TableWeeklySummary[[#This Row],[CR totales]]</f>
        <v>0</v>
      </c>
      <c r="J80" s="11">
        <f>SUMIFS(TableDailySummary[Ventas primer cliente],TableDailySummary[Fecha],"&gt;="&amp;TableWeeklySummary[[#This Row],[Desde]],TableDailySummary[Fecha],"&lt;="&amp;TableWeeklySummary[[#This Row],[Hasta]])</f>
        <v>0</v>
      </c>
      <c r="K80" s="11">
        <f>SUMIFS(TableDailySummary[Órdenes primer cliente],TableDailySummary[Fecha],"&gt;="&amp;TableWeeklySummary[[#This Row],[Desde]],TableDailySummary[Fecha],"&lt;="&amp;TableWeeklySummary[[#This Row],[Hasta]])</f>
        <v>0</v>
      </c>
      <c r="L80" s="11">
        <f>SUMIFS(TableDailySummary[Online Store_net_sales],TableDailySummary[Fecha],"&gt;="&amp;TableWeeklySummary[[#This Row],[Desde]],TableDailySummary[Fecha],"&lt;="&amp;TableWeeklySummary[[#This Row],[Hasta]])</f>
        <v>0</v>
      </c>
      <c r="M80" s="11">
        <f>SUMIFS(TableDailySummary[Online Store_orders],TableDailySummary[Fecha],"&gt;="&amp;TableWeeklySummary[[#This Row],[Desde]],TableDailySummary[Fecha],"&lt;="&amp;TableWeeklySummary[[#This Row],[Hasta]])</f>
        <v>0</v>
      </c>
      <c r="N80" s="11">
        <f>SUMIFS(TableDailySummary[Tienda 81_net_sales],TableDailySummary[Fecha],"&gt;="&amp;TableWeeklySummary[[#This Row],[Desde]],TableDailySummary[Fecha],"&lt;="&amp;TableWeeklySummary[[#This Row],[Hasta]])</f>
        <v>0</v>
      </c>
      <c r="O80" s="11">
        <f>SUMIFS(TableDailySummary[Tienda 81_orders],TableDailySummary[Fecha],"&gt;="&amp;TableWeeklySummary[[#This Row],[Desde]],TableDailySummary[Fecha],"&lt;="&amp;TableWeeklySummary[[#This Row],[Hasta]])</f>
        <v>0</v>
      </c>
      <c r="P80" s="11">
        <f>SUMIFS(TableDailySummary[Rappi_net_sales],TableDailySummary[Fecha],"&gt;="&amp;TableWeeklySummary[[#This Row],[Desde]],TableDailySummary[Fecha],"&lt;="&amp;TableWeeklySummary[[#This Row],[Hasta]])</f>
        <v>0</v>
      </c>
      <c r="Q80" s="11">
        <f>SUMIFS(TableDailySummary[Rappi_orders],TableDailySummary[Fecha],"&gt;="&amp;TableWeeklySummary[[#This Row],[Desde]],TableDailySummary[Fecha],"&lt;="&amp;TableWeeklySummary[[#This Row],[Hasta]])</f>
        <v>0</v>
      </c>
      <c r="R8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0" s="11">
        <f>SUMIFS(TableDailySummary[Corporativo no tienda_orders],TableDailySummary[Fecha],"&gt;="&amp;TableWeeklySummary[[#This Row],[Desde]],TableDailySummary[Fecha],"&lt;="&amp;TableWeeklySummary[[#This Row],[Hasta]])</f>
        <v>0</v>
      </c>
      <c r="T80" s="11">
        <f>SUMIFS(TableDailySummary[Inversión google ads],TableDailySummary[Fecha],"&gt;="&amp;TableWeeklySummary[[#This Row],[Desde]],TableDailySummary[Fecha],"&lt;="&amp;TableWeeklySummary[[#This Row],[Hasta]])</f>
        <v>0</v>
      </c>
      <c r="U80" s="11">
        <f>SUMIFS(TableDailySummary[Ventas google ads],TableDailySummary[Fecha],"&gt;="&amp;TableWeeklySummary[[#This Row],[Desde]],TableDailySummary[Fecha],"&lt;="&amp;TableWeeklySummary[[#This Row],[Hasta]])</f>
        <v>0</v>
      </c>
      <c r="V80" s="11">
        <f>SUMIFS(TableDailySummary[Inversión meta ads],TableDailySummary[Fecha],"&gt;="&amp;TableWeeklySummary[[#This Row],[Desde]],TableDailySummary[Fecha],"&lt;="&amp;TableWeeklySummary[[#This Row],[Hasta]])</f>
        <v>0</v>
      </c>
      <c r="W80" s="11">
        <f>SUMIFS(TableDailySummary[Ventas meta ads],TableDailySummary[Fecha],"&gt;="&amp;TableWeeklySummary[[#This Row],[Desde]],TableDailySummary[Fecha],"&lt;="&amp;TableWeeklySummary[[#This Row],[Hasta]])</f>
        <v>0</v>
      </c>
      <c r="X80" s="11">
        <f>TableWeeklySummary[[#This Row],[Inversión google ads]]+TableWeeklySummary[[#This Row],[Inversión meta ads]]</f>
        <v>0</v>
      </c>
      <c r="Y80" s="11">
        <f>TableWeeklySummary[[#This Row],[Ventas google ads]]+TableWeeklySummary[[#This Row],[Ventas meta ads]]</f>
        <v>0</v>
      </c>
      <c r="Z80" s="14">
        <f>IFERROR(TableWeeklySummary[[#This Row],[Ventas publicidad]]/TableWeeklySummary[[#This Row],[Inversión publicidad]],0)</f>
        <v>0</v>
      </c>
      <c r="AA80" s="14">
        <f>IFERROR(TableWeeklySummary[[#This Row],[Ventas primer cliente]]/TableWeeklySummary[[#This Row],[Inversión publicidad]],0)</f>
        <v>0</v>
      </c>
      <c r="AB80" s="14"/>
      <c r="AC80" s="11"/>
      <c r="AI8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0" s="11">
        <f>SUMIFS(TableDailySummary[Costo de ventas registrado],TableDailySummary[Fecha],"&gt;="&amp;TableWeeklySummary[[#This Row],[Desde]],TableDailySummary[Fecha],"&lt;="&amp;TableWeeklySummary[[#This Row],[Hasta]])</f>
        <v>0</v>
      </c>
      <c r="AK80" s="11">
        <f>SUMIFS(TableDailySummary[Utilidad bruta],TableDailySummary[Fecha],"&gt;="&amp;TableWeeklySummary[[#This Row],[Desde]],TableDailySummary[Fecha],"&lt;="&amp;TableWeeklySummary[[#This Row],[Hasta]])</f>
        <v>0</v>
      </c>
      <c r="AL80" s="18">
        <f>IFERROR(TableWeeklySummary[[#This Row],[Utilidad bruta]]/TableWeeklySummary[[#This Row],[Ventas netas con costo registrado]],0)</f>
        <v>0</v>
      </c>
    </row>
    <row r="81" spans="2:38" x14ac:dyDescent="0.2">
      <c r="B81" s="16">
        <f>_xlfn.ISOWEEKNUM(TableWeeklySummary[[#This Row],[Hasta]])</f>
        <v>18</v>
      </c>
      <c r="C81" s="6">
        <f t="shared" si="2"/>
        <v>45044</v>
      </c>
      <c r="D81" s="6">
        <f>TableWeeklySummary[[#This Row],[Desde]]+7-1</f>
        <v>45050</v>
      </c>
      <c r="E81" s="11">
        <f>SUMIFS(TableDailySummary[Ventas netas totales],TableDailySummary[Fecha],"&gt;="&amp;TableWeeklySummary[[#This Row],[Desde]],TableDailySummary[Fecha],"&lt;="&amp;TableWeeklySummary[[#This Row],[Hasta]])</f>
        <v>0</v>
      </c>
      <c r="F81" s="11">
        <f>SUMIFS(TableDailySummary[Órdenes totales],TableDailySummary[Fecha],"&gt;="&amp;TableWeeklySummary[[#This Row],[Desde]],TableDailySummary[Fecha],"&lt;="&amp;TableWeeklySummary[[#This Row],[Hasta]])</f>
        <v>0</v>
      </c>
      <c r="G81" s="11">
        <f>IFERROR(TableWeeklySummary[[#This Row],[Ventas netas totales]]/TableWeeklySummary[[#This Row],[Órdenes totales]],0)</f>
        <v>0</v>
      </c>
      <c r="H8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1" s="11">
        <f>TableWeeklySummary[[#This Row],[Órden promedio totales]]*TableWeeklySummary[[#This Row],[CR totales]]</f>
        <v>0</v>
      </c>
      <c r="J81" s="11">
        <f>SUMIFS(TableDailySummary[Ventas primer cliente],TableDailySummary[Fecha],"&gt;="&amp;TableWeeklySummary[[#This Row],[Desde]],TableDailySummary[Fecha],"&lt;="&amp;TableWeeklySummary[[#This Row],[Hasta]])</f>
        <v>0</v>
      </c>
      <c r="K81" s="11">
        <f>SUMIFS(TableDailySummary[Órdenes primer cliente],TableDailySummary[Fecha],"&gt;="&amp;TableWeeklySummary[[#This Row],[Desde]],TableDailySummary[Fecha],"&lt;="&amp;TableWeeklySummary[[#This Row],[Hasta]])</f>
        <v>0</v>
      </c>
      <c r="L81" s="11">
        <f>SUMIFS(TableDailySummary[Online Store_net_sales],TableDailySummary[Fecha],"&gt;="&amp;TableWeeklySummary[[#This Row],[Desde]],TableDailySummary[Fecha],"&lt;="&amp;TableWeeklySummary[[#This Row],[Hasta]])</f>
        <v>0</v>
      </c>
      <c r="M81" s="11">
        <f>SUMIFS(TableDailySummary[Online Store_orders],TableDailySummary[Fecha],"&gt;="&amp;TableWeeklySummary[[#This Row],[Desde]],TableDailySummary[Fecha],"&lt;="&amp;TableWeeklySummary[[#This Row],[Hasta]])</f>
        <v>0</v>
      </c>
      <c r="N81" s="11">
        <f>SUMIFS(TableDailySummary[Tienda 81_net_sales],TableDailySummary[Fecha],"&gt;="&amp;TableWeeklySummary[[#This Row],[Desde]],TableDailySummary[Fecha],"&lt;="&amp;TableWeeklySummary[[#This Row],[Hasta]])</f>
        <v>0</v>
      </c>
      <c r="O81" s="11">
        <f>SUMIFS(TableDailySummary[Tienda 81_orders],TableDailySummary[Fecha],"&gt;="&amp;TableWeeklySummary[[#This Row],[Desde]],TableDailySummary[Fecha],"&lt;="&amp;TableWeeklySummary[[#This Row],[Hasta]])</f>
        <v>0</v>
      </c>
      <c r="P81" s="11">
        <f>SUMIFS(TableDailySummary[Rappi_net_sales],TableDailySummary[Fecha],"&gt;="&amp;TableWeeklySummary[[#This Row],[Desde]],TableDailySummary[Fecha],"&lt;="&amp;TableWeeklySummary[[#This Row],[Hasta]])</f>
        <v>0</v>
      </c>
      <c r="Q81" s="11">
        <f>SUMIFS(TableDailySummary[Rappi_orders],TableDailySummary[Fecha],"&gt;="&amp;TableWeeklySummary[[#This Row],[Desde]],TableDailySummary[Fecha],"&lt;="&amp;TableWeeklySummary[[#This Row],[Hasta]])</f>
        <v>0</v>
      </c>
      <c r="R8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1" s="11">
        <f>SUMIFS(TableDailySummary[Corporativo no tienda_orders],TableDailySummary[Fecha],"&gt;="&amp;TableWeeklySummary[[#This Row],[Desde]],TableDailySummary[Fecha],"&lt;="&amp;TableWeeklySummary[[#This Row],[Hasta]])</f>
        <v>0</v>
      </c>
      <c r="T81" s="11">
        <f>SUMIFS(TableDailySummary[Inversión google ads],TableDailySummary[Fecha],"&gt;="&amp;TableWeeklySummary[[#This Row],[Desde]],TableDailySummary[Fecha],"&lt;="&amp;TableWeeklySummary[[#This Row],[Hasta]])</f>
        <v>0</v>
      </c>
      <c r="U81" s="11">
        <f>SUMIFS(TableDailySummary[Ventas google ads],TableDailySummary[Fecha],"&gt;="&amp;TableWeeklySummary[[#This Row],[Desde]],TableDailySummary[Fecha],"&lt;="&amp;TableWeeklySummary[[#This Row],[Hasta]])</f>
        <v>0</v>
      </c>
      <c r="V81" s="11">
        <f>SUMIFS(TableDailySummary[Inversión meta ads],TableDailySummary[Fecha],"&gt;="&amp;TableWeeklySummary[[#This Row],[Desde]],TableDailySummary[Fecha],"&lt;="&amp;TableWeeklySummary[[#This Row],[Hasta]])</f>
        <v>0</v>
      </c>
      <c r="W81" s="11">
        <f>SUMIFS(TableDailySummary[Ventas meta ads],TableDailySummary[Fecha],"&gt;="&amp;TableWeeklySummary[[#This Row],[Desde]],TableDailySummary[Fecha],"&lt;="&amp;TableWeeklySummary[[#This Row],[Hasta]])</f>
        <v>0</v>
      </c>
      <c r="X81" s="11">
        <f>TableWeeklySummary[[#This Row],[Inversión google ads]]+TableWeeklySummary[[#This Row],[Inversión meta ads]]</f>
        <v>0</v>
      </c>
      <c r="Y81" s="11">
        <f>TableWeeklySummary[[#This Row],[Ventas google ads]]+TableWeeklySummary[[#This Row],[Ventas meta ads]]</f>
        <v>0</v>
      </c>
      <c r="Z81" s="14">
        <f>IFERROR(TableWeeklySummary[[#This Row],[Ventas publicidad]]/TableWeeklySummary[[#This Row],[Inversión publicidad]],0)</f>
        <v>0</v>
      </c>
      <c r="AA81" s="14">
        <f>IFERROR(TableWeeklySummary[[#This Row],[Ventas primer cliente]]/TableWeeklySummary[[#This Row],[Inversión publicidad]],0)</f>
        <v>0</v>
      </c>
      <c r="AB81" s="14"/>
      <c r="AC81" s="11"/>
      <c r="AI8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1" s="11">
        <f>SUMIFS(TableDailySummary[Costo de ventas registrado],TableDailySummary[Fecha],"&gt;="&amp;TableWeeklySummary[[#This Row],[Desde]],TableDailySummary[Fecha],"&lt;="&amp;TableWeeklySummary[[#This Row],[Hasta]])</f>
        <v>0</v>
      </c>
      <c r="AK81" s="11">
        <f>SUMIFS(TableDailySummary[Utilidad bruta],TableDailySummary[Fecha],"&gt;="&amp;TableWeeklySummary[[#This Row],[Desde]],TableDailySummary[Fecha],"&lt;="&amp;TableWeeklySummary[[#This Row],[Hasta]])</f>
        <v>0</v>
      </c>
      <c r="AL81" s="18">
        <f>IFERROR(TableWeeklySummary[[#This Row],[Utilidad bruta]]/TableWeeklySummary[[#This Row],[Ventas netas con costo registrado]],0)</f>
        <v>0</v>
      </c>
    </row>
    <row r="82" spans="2:38" x14ac:dyDescent="0.2">
      <c r="B82" s="16">
        <f>_xlfn.ISOWEEKNUM(TableWeeklySummary[[#This Row],[Hasta]])</f>
        <v>19</v>
      </c>
      <c r="C82" s="6">
        <f t="shared" si="2"/>
        <v>45051</v>
      </c>
      <c r="D82" s="6">
        <f>TableWeeklySummary[[#This Row],[Desde]]+7-1</f>
        <v>45057</v>
      </c>
      <c r="E82" s="11">
        <f>SUMIFS(TableDailySummary[Ventas netas totales],TableDailySummary[Fecha],"&gt;="&amp;TableWeeklySummary[[#This Row],[Desde]],TableDailySummary[Fecha],"&lt;="&amp;TableWeeklySummary[[#This Row],[Hasta]])</f>
        <v>0</v>
      </c>
      <c r="F82" s="11">
        <f>SUMIFS(TableDailySummary[Órdenes totales],TableDailySummary[Fecha],"&gt;="&amp;TableWeeklySummary[[#This Row],[Desde]],TableDailySummary[Fecha],"&lt;="&amp;TableWeeklySummary[[#This Row],[Hasta]])</f>
        <v>0</v>
      </c>
      <c r="G82" s="11">
        <f>IFERROR(TableWeeklySummary[[#This Row],[Ventas netas totales]]/TableWeeklySummary[[#This Row],[Órdenes totales]],0)</f>
        <v>0</v>
      </c>
      <c r="H8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2" s="11">
        <f>TableWeeklySummary[[#This Row],[Órden promedio totales]]*TableWeeklySummary[[#This Row],[CR totales]]</f>
        <v>0</v>
      </c>
      <c r="J82" s="11">
        <f>SUMIFS(TableDailySummary[Ventas primer cliente],TableDailySummary[Fecha],"&gt;="&amp;TableWeeklySummary[[#This Row],[Desde]],TableDailySummary[Fecha],"&lt;="&amp;TableWeeklySummary[[#This Row],[Hasta]])</f>
        <v>0</v>
      </c>
      <c r="K82" s="11">
        <f>SUMIFS(TableDailySummary[Órdenes primer cliente],TableDailySummary[Fecha],"&gt;="&amp;TableWeeklySummary[[#This Row],[Desde]],TableDailySummary[Fecha],"&lt;="&amp;TableWeeklySummary[[#This Row],[Hasta]])</f>
        <v>0</v>
      </c>
      <c r="L82" s="11">
        <f>SUMIFS(TableDailySummary[Online Store_net_sales],TableDailySummary[Fecha],"&gt;="&amp;TableWeeklySummary[[#This Row],[Desde]],TableDailySummary[Fecha],"&lt;="&amp;TableWeeklySummary[[#This Row],[Hasta]])</f>
        <v>0</v>
      </c>
      <c r="M82" s="11">
        <f>SUMIFS(TableDailySummary[Online Store_orders],TableDailySummary[Fecha],"&gt;="&amp;TableWeeklySummary[[#This Row],[Desde]],TableDailySummary[Fecha],"&lt;="&amp;TableWeeklySummary[[#This Row],[Hasta]])</f>
        <v>0</v>
      </c>
      <c r="N82" s="11">
        <f>SUMIFS(TableDailySummary[Tienda 81_net_sales],TableDailySummary[Fecha],"&gt;="&amp;TableWeeklySummary[[#This Row],[Desde]],TableDailySummary[Fecha],"&lt;="&amp;TableWeeklySummary[[#This Row],[Hasta]])</f>
        <v>0</v>
      </c>
      <c r="O82" s="11">
        <f>SUMIFS(TableDailySummary[Tienda 81_orders],TableDailySummary[Fecha],"&gt;="&amp;TableWeeklySummary[[#This Row],[Desde]],TableDailySummary[Fecha],"&lt;="&amp;TableWeeklySummary[[#This Row],[Hasta]])</f>
        <v>0</v>
      </c>
      <c r="P82" s="11">
        <f>SUMIFS(TableDailySummary[Rappi_net_sales],TableDailySummary[Fecha],"&gt;="&amp;TableWeeklySummary[[#This Row],[Desde]],TableDailySummary[Fecha],"&lt;="&amp;TableWeeklySummary[[#This Row],[Hasta]])</f>
        <v>0</v>
      </c>
      <c r="Q82" s="11">
        <f>SUMIFS(TableDailySummary[Rappi_orders],TableDailySummary[Fecha],"&gt;="&amp;TableWeeklySummary[[#This Row],[Desde]],TableDailySummary[Fecha],"&lt;="&amp;TableWeeklySummary[[#This Row],[Hasta]])</f>
        <v>0</v>
      </c>
      <c r="R8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2" s="11">
        <f>SUMIFS(TableDailySummary[Corporativo no tienda_orders],TableDailySummary[Fecha],"&gt;="&amp;TableWeeklySummary[[#This Row],[Desde]],TableDailySummary[Fecha],"&lt;="&amp;TableWeeklySummary[[#This Row],[Hasta]])</f>
        <v>0</v>
      </c>
      <c r="T82" s="11">
        <f>SUMIFS(TableDailySummary[Inversión google ads],TableDailySummary[Fecha],"&gt;="&amp;TableWeeklySummary[[#This Row],[Desde]],TableDailySummary[Fecha],"&lt;="&amp;TableWeeklySummary[[#This Row],[Hasta]])</f>
        <v>0</v>
      </c>
      <c r="U82" s="11">
        <f>SUMIFS(TableDailySummary[Ventas google ads],TableDailySummary[Fecha],"&gt;="&amp;TableWeeklySummary[[#This Row],[Desde]],TableDailySummary[Fecha],"&lt;="&amp;TableWeeklySummary[[#This Row],[Hasta]])</f>
        <v>0</v>
      </c>
      <c r="V82" s="11">
        <f>SUMIFS(TableDailySummary[Inversión meta ads],TableDailySummary[Fecha],"&gt;="&amp;TableWeeklySummary[[#This Row],[Desde]],TableDailySummary[Fecha],"&lt;="&amp;TableWeeklySummary[[#This Row],[Hasta]])</f>
        <v>0</v>
      </c>
      <c r="W82" s="11">
        <f>SUMIFS(TableDailySummary[Ventas meta ads],TableDailySummary[Fecha],"&gt;="&amp;TableWeeklySummary[[#This Row],[Desde]],TableDailySummary[Fecha],"&lt;="&amp;TableWeeklySummary[[#This Row],[Hasta]])</f>
        <v>0</v>
      </c>
      <c r="X82" s="11">
        <f>TableWeeklySummary[[#This Row],[Inversión google ads]]+TableWeeklySummary[[#This Row],[Inversión meta ads]]</f>
        <v>0</v>
      </c>
      <c r="Y82" s="11">
        <f>TableWeeklySummary[[#This Row],[Ventas google ads]]+TableWeeklySummary[[#This Row],[Ventas meta ads]]</f>
        <v>0</v>
      </c>
      <c r="Z82" s="14">
        <f>IFERROR(TableWeeklySummary[[#This Row],[Ventas publicidad]]/TableWeeklySummary[[#This Row],[Inversión publicidad]],0)</f>
        <v>0</v>
      </c>
      <c r="AA82" s="14">
        <f>IFERROR(TableWeeklySummary[[#This Row],[Ventas primer cliente]]/TableWeeklySummary[[#This Row],[Inversión publicidad]],0)</f>
        <v>0</v>
      </c>
      <c r="AB82" s="14"/>
      <c r="AC82" s="11"/>
      <c r="AI8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2" s="11">
        <f>SUMIFS(TableDailySummary[Costo de ventas registrado],TableDailySummary[Fecha],"&gt;="&amp;TableWeeklySummary[[#This Row],[Desde]],TableDailySummary[Fecha],"&lt;="&amp;TableWeeklySummary[[#This Row],[Hasta]])</f>
        <v>0</v>
      </c>
      <c r="AK82" s="11">
        <f>SUMIFS(TableDailySummary[Utilidad bruta],TableDailySummary[Fecha],"&gt;="&amp;TableWeeklySummary[[#This Row],[Desde]],TableDailySummary[Fecha],"&lt;="&amp;TableWeeklySummary[[#This Row],[Hasta]])</f>
        <v>0</v>
      </c>
      <c r="AL82" s="18">
        <f>IFERROR(TableWeeklySummary[[#This Row],[Utilidad bruta]]/TableWeeklySummary[[#This Row],[Ventas netas con costo registrado]],0)</f>
        <v>0</v>
      </c>
    </row>
    <row r="83" spans="2:38" x14ac:dyDescent="0.2">
      <c r="B83" s="16">
        <f>_xlfn.ISOWEEKNUM(TableWeeklySummary[[#This Row],[Hasta]])</f>
        <v>20</v>
      </c>
      <c r="C83" s="6">
        <f t="shared" si="2"/>
        <v>45058</v>
      </c>
      <c r="D83" s="6">
        <f>TableWeeklySummary[[#This Row],[Desde]]+7-1</f>
        <v>45064</v>
      </c>
      <c r="E83" s="11">
        <f>SUMIFS(TableDailySummary[Ventas netas totales],TableDailySummary[Fecha],"&gt;="&amp;TableWeeklySummary[[#This Row],[Desde]],TableDailySummary[Fecha],"&lt;="&amp;TableWeeklySummary[[#This Row],[Hasta]])</f>
        <v>0</v>
      </c>
      <c r="F83" s="11">
        <f>SUMIFS(TableDailySummary[Órdenes totales],TableDailySummary[Fecha],"&gt;="&amp;TableWeeklySummary[[#This Row],[Desde]],TableDailySummary[Fecha],"&lt;="&amp;TableWeeklySummary[[#This Row],[Hasta]])</f>
        <v>0</v>
      </c>
      <c r="G83" s="11">
        <f>IFERROR(TableWeeklySummary[[#This Row],[Ventas netas totales]]/TableWeeklySummary[[#This Row],[Órdenes totales]],0)</f>
        <v>0</v>
      </c>
      <c r="H8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3" s="11">
        <f>TableWeeklySummary[[#This Row],[Órden promedio totales]]*TableWeeklySummary[[#This Row],[CR totales]]</f>
        <v>0</v>
      </c>
      <c r="J83" s="11">
        <f>SUMIFS(TableDailySummary[Ventas primer cliente],TableDailySummary[Fecha],"&gt;="&amp;TableWeeklySummary[[#This Row],[Desde]],TableDailySummary[Fecha],"&lt;="&amp;TableWeeklySummary[[#This Row],[Hasta]])</f>
        <v>0</v>
      </c>
      <c r="K83" s="11">
        <f>SUMIFS(TableDailySummary[Órdenes primer cliente],TableDailySummary[Fecha],"&gt;="&amp;TableWeeklySummary[[#This Row],[Desde]],TableDailySummary[Fecha],"&lt;="&amp;TableWeeklySummary[[#This Row],[Hasta]])</f>
        <v>0</v>
      </c>
      <c r="L83" s="11">
        <f>SUMIFS(TableDailySummary[Online Store_net_sales],TableDailySummary[Fecha],"&gt;="&amp;TableWeeklySummary[[#This Row],[Desde]],TableDailySummary[Fecha],"&lt;="&amp;TableWeeklySummary[[#This Row],[Hasta]])</f>
        <v>0</v>
      </c>
      <c r="M83" s="11">
        <f>SUMIFS(TableDailySummary[Online Store_orders],TableDailySummary[Fecha],"&gt;="&amp;TableWeeklySummary[[#This Row],[Desde]],TableDailySummary[Fecha],"&lt;="&amp;TableWeeklySummary[[#This Row],[Hasta]])</f>
        <v>0</v>
      </c>
      <c r="N83" s="11">
        <f>SUMIFS(TableDailySummary[Tienda 81_net_sales],TableDailySummary[Fecha],"&gt;="&amp;TableWeeklySummary[[#This Row],[Desde]],TableDailySummary[Fecha],"&lt;="&amp;TableWeeklySummary[[#This Row],[Hasta]])</f>
        <v>0</v>
      </c>
      <c r="O83" s="11">
        <f>SUMIFS(TableDailySummary[Tienda 81_orders],TableDailySummary[Fecha],"&gt;="&amp;TableWeeklySummary[[#This Row],[Desde]],TableDailySummary[Fecha],"&lt;="&amp;TableWeeklySummary[[#This Row],[Hasta]])</f>
        <v>0</v>
      </c>
      <c r="P83" s="11">
        <f>SUMIFS(TableDailySummary[Rappi_net_sales],TableDailySummary[Fecha],"&gt;="&amp;TableWeeklySummary[[#This Row],[Desde]],TableDailySummary[Fecha],"&lt;="&amp;TableWeeklySummary[[#This Row],[Hasta]])</f>
        <v>0</v>
      </c>
      <c r="Q83" s="11">
        <f>SUMIFS(TableDailySummary[Rappi_orders],TableDailySummary[Fecha],"&gt;="&amp;TableWeeklySummary[[#This Row],[Desde]],TableDailySummary[Fecha],"&lt;="&amp;TableWeeklySummary[[#This Row],[Hasta]])</f>
        <v>0</v>
      </c>
      <c r="R8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3" s="11">
        <f>SUMIFS(TableDailySummary[Corporativo no tienda_orders],TableDailySummary[Fecha],"&gt;="&amp;TableWeeklySummary[[#This Row],[Desde]],TableDailySummary[Fecha],"&lt;="&amp;TableWeeklySummary[[#This Row],[Hasta]])</f>
        <v>0</v>
      </c>
      <c r="T83" s="11">
        <f>SUMIFS(TableDailySummary[Inversión google ads],TableDailySummary[Fecha],"&gt;="&amp;TableWeeklySummary[[#This Row],[Desde]],TableDailySummary[Fecha],"&lt;="&amp;TableWeeklySummary[[#This Row],[Hasta]])</f>
        <v>0</v>
      </c>
      <c r="U83" s="11">
        <f>SUMIFS(TableDailySummary[Ventas google ads],TableDailySummary[Fecha],"&gt;="&amp;TableWeeklySummary[[#This Row],[Desde]],TableDailySummary[Fecha],"&lt;="&amp;TableWeeklySummary[[#This Row],[Hasta]])</f>
        <v>0</v>
      </c>
      <c r="V83" s="11">
        <f>SUMIFS(TableDailySummary[Inversión meta ads],TableDailySummary[Fecha],"&gt;="&amp;TableWeeklySummary[[#This Row],[Desde]],TableDailySummary[Fecha],"&lt;="&amp;TableWeeklySummary[[#This Row],[Hasta]])</f>
        <v>0</v>
      </c>
      <c r="W83" s="11">
        <f>SUMIFS(TableDailySummary[Ventas meta ads],TableDailySummary[Fecha],"&gt;="&amp;TableWeeklySummary[[#This Row],[Desde]],TableDailySummary[Fecha],"&lt;="&amp;TableWeeklySummary[[#This Row],[Hasta]])</f>
        <v>0</v>
      </c>
      <c r="X83" s="11">
        <f>TableWeeklySummary[[#This Row],[Inversión google ads]]+TableWeeklySummary[[#This Row],[Inversión meta ads]]</f>
        <v>0</v>
      </c>
      <c r="Y83" s="11">
        <f>TableWeeklySummary[[#This Row],[Ventas google ads]]+TableWeeklySummary[[#This Row],[Ventas meta ads]]</f>
        <v>0</v>
      </c>
      <c r="Z83" s="14">
        <f>IFERROR(TableWeeklySummary[[#This Row],[Ventas publicidad]]/TableWeeklySummary[[#This Row],[Inversión publicidad]],0)</f>
        <v>0</v>
      </c>
      <c r="AA83" s="14">
        <f>IFERROR(TableWeeklySummary[[#This Row],[Ventas primer cliente]]/TableWeeklySummary[[#This Row],[Inversión publicidad]],0)</f>
        <v>0</v>
      </c>
      <c r="AB83" s="14"/>
      <c r="AC83" s="11"/>
      <c r="AI8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3" s="11">
        <f>SUMIFS(TableDailySummary[Costo de ventas registrado],TableDailySummary[Fecha],"&gt;="&amp;TableWeeklySummary[[#This Row],[Desde]],TableDailySummary[Fecha],"&lt;="&amp;TableWeeklySummary[[#This Row],[Hasta]])</f>
        <v>0</v>
      </c>
      <c r="AK83" s="11">
        <f>SUMIFS(TableDailySummary[Utilidad bruta],TableDailySummary[Fecha],"&gt;="&amp;TableWeeklySummary[[#This Row],[Desde]],TableDailySummary[Fecha],"&lt;="&amp;TableWeeklySummary[[#This Row],[Hasta]])</f>
        <v>0</v>
      </c>
      <c r="AL83" s="18">
        <f>IFERROR(TableWeeklySummary[[#This Row],[Utilidad bruta]]/TableWeeklySummary[[#This Row],[Ventas netas con costo registrado]],0)</f>
        <v>0</v>
      </c>
    </row>
    <row r="84" spans="2:38" x14ac:dyDescent="0.2">
      <c r="B84" s="16">
        <f>_xlfn.ISOWEEKNUM(TableWeeklySummary[[#This Row],[Hasta]])</f>
        <v>21</v>
      </c>
      <c r="C84" s="6">
        <f t="shared" si="2"/>
        <v>45065</v>
      </c>
      <c r="D84" s="6">
        <f>TableWeeklySummary[[#This Row],[Desde]]+7-1</f>
        <v>45071</v>
      </c>
      <c r="E84" s="11">
        <f>SUMIFS(TableDailySummary[Ventas netas totales],TableDailySummary[Fecha],"&gt;="&amp;TableWeeklySummary[[#This Row],[Desde]],TableDailySummary[Fecha],"&lt;="&amp;TableWeeklySummary[[#This Row],[Hasta]])</f>
        <v>0</v>
      </c>
      <c r="F84" s="11">
        <f>SUMIFS(TableDailySummary[Órdenes totales],TableDailySummary[Fecha],"&gt;="&amp;TableWeeklySummary[[#This Row],[Desde]],TableDailySummary[Fecha],"&lt;="&amp;TableWeeklySummary[[#This Row],[Hasta]])</f>
        <v>0</v>
      </c>
      <c r="G84" s="11">
        <f>IFERROR(TableWeeklySummary[[#This Row],[Ventas netas totales]]/TableWeeklySummary[[#This Row],[Órdenes totales]],0)</f>
        <v>0</v>
      </c>
      <c r="H8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4" s="11">
        <f>TableWeeklySummary[[#This Row],[Órden promedio totales]]*TableWeeklySummary[[#This Row],[CR totales]]</f>
        <v>0</v>
      </c>
      <c r="J84" s="11">
        <f>SUMIFS(TableDailySummary[Ventas primer cliente],TableDailySummary[Fecha],"&gt;="&amp;TableWeeklySummary[[#This Row],[Desde]],TableDailySummary[Fecha],"&lt;="&amp;TableWeeklySummary[[#This Row],[Hasta]])</f>
        <v>0</v>
      </c>
      <c r="K84" s="11">
        <f>SUMIFS(TableDailySummary[Órdenes primer cliente],TableDailySummary[Fecha],"&gt;="&amp;TableWeeklySummary[[#This Row],[Desde]],TableDailySummary[Fecha],"&lt;="&amp;TableWeeklySummary[[#This Row],[Hasta]])</f>
        <v>0</v>
      </c>
      <c r="L84" s="11">
        <f>SUMIFS(TableDailySummary[Online Store_net_sales],TableDailySummary[Fecha],"&gt;="&amp;TableWeeklySummary[[#This Row],[Desde]],TableDailySummary[Fecha],"&lt;="&amp;TableWeeklySummary[[#This Row],[Hasta]])</f>
        <v>0</v>
      </c>
      <c r="M84" s="11">
        <f>SUMIFS(TableDailySummary[Online Store_orders],TableDailySummary[Fecha],"&gt;="&amp;TableWeeklySummary[[#This Row],[Desde]],TableDailySummary[Fecha],"&lt;="&amp;TableWeeklySummary[[#This Row],[Hasta]])</f>
        <v>0</v>
      </c>
      <c r="N84" s="11">
        <f>SUMIFS(TableDailySummary[Tienda 81_net_sales],TableDailySummary[Fecha],"&gt;="&amp;TableWeeklySummary[[#This Row],[Desde]],TableDailySummary[Fecha],"&lt;="&amp;TableWeeklySummary[[#This Row],[Hasta]])</f>
        <v>0</v>
      </c>
      <c r="O84" s="11">
        <f>SUMIFS(TableDailySummary[Tienda 81_orders],TableDailySummary[Fecha],"&gt;="&amp;TableWeeklySummary[[#This Row],[Desde]],TableDailySummary[Fecha],"&lt;="&amp;TableWeeklySummary[[#This Row],[Hasta]])</f>
        <v>0</v>
      </c>
      <c r="P84" s="11">
        <f>SUMIFS(TableDailySummary[Rappi_net_sales],TableDailySummary[Fecha],"&gt;="&amp;TableWeeklySummary[[#This Row],[Desde]],TableDailySummary[Fecha],"&lt;="&amp;TableWeeklySummary[[#This Row],[Hasta]])</f>
        <v>0</v>
      </c>
      <c r="Q84" s="11">
        <f>SUMIFS(TableDailySummary[Rappi_orders],TableDailySummary[Fecha],"&gt;="&amp;TableWeeklySummary[[#This Row],[Desde]],TableDailySummary[Fecha],"&lt;="&amp;TableWeeklySummary[[#This Row],[Hasta]])</f>
        <v>0</v>
      </c>
      <c r="R8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4" s="11">
        <f>SUMIFS(TableDailySummary[Corporativo no tienda_orders],TableDailySummary[Fecha],"&gt;="&amp;TableWeeklySummary[[#This Row],[Desde]],TableDailySummary[Fecha],"&lt;="&amp;TableWeeklySummary[[#This Row],[Hasta]])</f>
        <v>0</v>
      </c>
      <c r="T84" s="11">
        <f>SUMIFS(TableDailySummary[Inversión google ads],TableDailySummary[Fecha],"&gt;="&amp;TableWeeklySummary[[#This Row],[Desde]],TableDailySummary[Fecha],"&lt;="&amp;TableWeeklySummary[[#This Row],[Hasta]])</f>
        <v>0</v>
      </c>
      <c r="U84" s="11">
        <f>SUMIFS(TableDailySummary[Ventas google ads],TableDailySummary[Fecha],"&gt;="&amp;TableWeeklySummary[[#This Row],[Desde]],TableDailySummary[Fecha],"&lt;="&amp;TableWeeklySummary[[#This Row],[Hasta]])</f>
        <v>0</v>
      </c>
      <c r="V84" s="11">
        <f>SUMIFS(TableDailySummary[Inversión meta ads],TableDailySummary[Fecha],"&gt;="&amp;TableWeeklySummary[[#This Row],[Desde]],TableDailySummary[Fecha],"&lt;="&amp;TableWeeklySummary[[#This Row],[Hasta]])</f>
        <v>0</v>
      </c>
      <c r="W84" s="11">
        <f>SUMIFS(TableDailySummary[Ventas meta ads],TableDailySummary[Fecha],"&gt;="&amp;TableWeeklySummary[[#This Row],[Desde]],TableDailySummary[Fecha],"&lt;="&amp;TableWeeklySummary[[#This Row],[Hasta]])</f>
        <v>0</v>
      </c>
      <c r="X84" s="11">
        <f>TableWeeklySummary[[#This Row],[Inversión google ads]]+TableWeeklySummary[[#This Row],[Inversión meta ads]]</f>
        <v>0</v>
      </c>
      <c r="Y84" s="11">
        <f>TableWeeklySummary[[#This Row],[Ventas google ads]]+TableWeeklySummary[[#This Row],[Ventas meta ads]]</f>
        <v>0</v>
      </c>
      <c r="Z84" s="14">
        <f>IFERROR(TableWeeklySummary[[#This Row],[Ventas publicidad]]/TableWeeklySummary[[#This Row],[Inversión publicidad]],0)</f>
        <v>0</v>
      </c>
      <c r="AA84" s="14">
        <f>IFERROR(TableWeeklySummary[[#This Row],[Ventas primer cliente]]/TableWeeklySummary[[#This Row],[Inversión publicidad]],0)</f>
        <v>0</v>
      </c>
      <c r="AB84" s="14"/>
      <c r="AC84" s="11"/>
      <c r="AI8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4" s="11">
        <f>SUMIFS(TableDailySummary[Costo de ventas registrado],TableDailySummary[Fecha],"&gt;="&amp;TableWeeklySummary[[#This Row],[Desde]],TableDailySummary[Fecha],"&lt;="&amp;TableWeeklySummary[[#This Row],[Hasta]])</f>
        <v>0</v>
      </c>
      <c r="AK84" s="11">
        <f>SUMIFS(TableDailySummary[Utilidad bruta],TableDailySummary[Fecha],"&gt;="&amp;TableWeeklySummary[[#This Row],[Desde]],TableDailySummary[Fecha],"&lt;="&amp;TableWeeklySummary[[#This Row],[Hasta]])</f>
        <v>0</v>
      </c>
      <c r="AL84" s="18">
        <f>IFERROR(TableWeeklySummary[[#This Row],[Utilidad bruta]]/TableWeeklySummary[[#This Row],[Ventas netas con costo registrado]],0)</f>
        <v>0</v>
      </c>
    </row>
    <row r="85" spans="2:38" x14ac:dyDescent="0.2">
      <c r="B85" s="16">
        <f>_xlfn.ISOWEEKNUM(TableWeeklySummary[[#This Row],[Hasta]])</f>
        <v>22</v>
      </c>
      <c r="C85" s="6">
        <f t="shared" si="2"/>
        <v>45072</v>
      </c>
      <c r="D85" s="6">
        <f>TableWeeklySummary[[#This Row],[Desde]]+7-1</f>
        <v>45078</v>
      </c>
      <c r="E85" s="11">
        <f>SUMIFS(TableDailySummary[Ventas netas totales],TableDailySummary[Fecha],"&gt;="&amp;TableWeeklySummary[[#This Row],[Desde]],TableDailySummary[Fecha],"&lt;="&amp;TableWeeklySummary[[#This Row],[Hasta]])</f>
        <v>0</v>
      </c>
      <c r="F85" s="11">
        <f>SUMIFS(TableDailySummary[Órdenes totales],TableDailySummary[Fecha],"&gt;="&amp;TableWeeklySummary[[#This Row],[Desde]],TableDailySummary[Fecha],"&lt;="&amp;TableWeeklySummary[[#This Row],[Hasta]])</f>
        <v>0</v>
      </c>
      <c r="G85" s="11">
        <f>IFERROR(TableWeeklySummary[[#This Row],[Ventas netas totales]]/TableWeeklySummary[[#This Row],[Órdenes totales]],0)</f>
        <v>0</v>
      </c>
      <c r="H8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5" s="11">
        <f>TableWeeklySummary[[#This Row],[Órden promedio totales]]*TableWeeklySummary[[#This Row],[CR totales]]</f>
        <v>0</v>
      </c>
      <c r="J85" s="11">
        <f>SUMIFS(TableDailySummary[Ventas primer cliente],TableDailySummary[Fecha],"&gt;="&amp;TableWeeklySummary[[#This Row],[Desde]],TableDailySummary[Fecha],"&lt;="&amp;TableWeeklySummary[[#This Row],[Hasta]])</f>
        <v>0</v>
      </c>
      <c r="K85" s="11">
        <f>SUMIFS(TableDailySummary[Órdenes primer cliente],TableDailySummary[Fecha],"&gt;="&amp;TableWeeklySummary[[#This Row],[Desde]],TableDailySummary[Fecha],"&lt;="&amp;TableWeeklySummary[[#This Row],[Hasta]])</f>
        <v>0</v>
      </c>
      <c r="L85" s="11">
        <f>SUMIFS(TableDailySummary[Online Store_net_sales],TableDailySummary[Fecha],"&gt;="&amp;TableWeeklySummary[[#This Row],[Desde]],TableDailySummary[Fecha],"&lt;="&amp;TableWeeklySummary[[#This Row],[Hasta]])</f>
        <v>0</v>
      </c>
      <c r="M85" s="11">
        <f>SUMIFS(TableDailySummary[Online Store_orders],TableDailySummary[Fecha],"&gt;="&amp;TableWeeklySummary[[#This Row],[Desde]],TableDailySummary[Fecha],"&lt;="&amp;TableWeeklySummary[[#This Row],[Hasta]])</f>
        <v>0</v>
      </c>
      <c r="N85" s="11">
        <f>SUMIFS(TableDailySummary[Tienda 81_net_sales],TableDailySummary[Fecha],"&gt;="&amp;TableWeeklySummary[[#This Row],[Desde]],TableDailySummary[Fecha],"&lt;="&amp;TableWeeklySummary[[#This Row],[Hasta]])</f>
        <v>0</v>
      </c>
      <c r="O85" s="11">
        <f>SUMIFS(TableDailySummary[Tienda 81_orders],TableDailySummary[Fecha],"&gt;="&amp;TableWeeklySummary[[#This Row],[Desde]],TableDailySummary[Fecha],"&lt;="&amp;TableWeeklySummary[[#This Row],[Hasta]])</f>
        <v>0</v>
      </c>
      <c r="P85" s="11">
        <f>SUMIFS(TableDailySummary[Rappi_net_sales],TableDailySummary[Fecha],"&gt;="&amp;TableWeeklySummary[[#This Row],[Desde]],TableDailySummary[Fecha],"&lt;="&amp;TableWeeklySummary[[#This Row],[Hasta]])</f>
        <v>0</v>
      </c>
      <c r="Q85" s="11">
        <f>SUMIFS(TableDailySummary[Rappi_orders],TableDailySummary[Fecha],"&gt;="&amp;TableWeeklySummary[[#This Row],[Desde]],TableDailySummary[Fecha],"&lt;="&amp;TableWeeklySummary[[#This Row],[Hasta]])</f>
        <v>0</v>
      </c>
      <c r="R8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5" s="11">
        <f>SUMIFS(TableDailySummary[Corporativo no tienda_orders],TableDailySummary[Fecha],"&gt;="&amp;TableWeeklySummary[[#This Row],[Desde]],TableDailySummary[Fecha],"&lt;="&amp;TableWeeklySummary[[#This Row],[Hasta]])</f>
        <v>0</v>
      </c>
      <c r="T85" s="11">
        <f>SUMIFS(TableDailySummary[Inversión google ads],TableDailySummary[Fecha],"&gt;="&amp;TableWeeklySummary[[#This Row],[Desde]],TableDailySummary[Fecha],"&lt;="&amp;TableWeeklySummary[[#This Row],[Hasta]])</f>
        <v>0</v>
      </c>
      <c r="U85" s="11">
        <f>SUMIFS(TableDailySummary[Ventas google ads],TableDailySummary[Fecha],"&gt;="&amp;TableWeeklySummary[[#This Row],[Desde]],TableDailySummary[Fecha],"&lt;="&amp;TableWeeklySummary[[#This Row],[Hasta]])</f>
        <v>0</v>
      </c>
      <c r="V85" s="11">
        <f>SUMIFS(TableDailySummary[Inversión meta ads],TableDailySummary[Fecha],"&gt;="&amp;TableWeeklySummary[[#This Row],[Desde]],TableDailySummary[Fecha],"&lt;="&amp;TableWeeklySummary[[#This Row],[Hasta]])</f>
        <v>0</v>
      </c>
      <c r="W85" s="11">
        <f>SUMIFS(TableDailySummary[Ventas meta ads],TableDailySummary[Fecha],"&gt;="&amp;TableWeeklySummary[[#This Row],[Desde]],TableDailySummary[Fecha],"&lt;="&amp;TableWeeklySummary[[#This Row],[Hasta]])</f>
        <v>0</v>
      </c>
      <c r="X85" s="11">
        <f>TableWeeklySummary[[#This Row],[Inversión google ads]]+TableWeeklySummary[[#This Row],[Inversión meta ads]]</f>
        <v>0</v>
      </c>
      <c r="Y85" s="11">
        <f>TableWeeklySummary[[#This Row],[Ventas google ads]]+TableWeeklySummary[[#This Row],[Ventas meta ads]]</f>
        <v>0</v>
      </c>
      <c r="Z85" s="14">
        <f>IFERROR(TableWeeklySummary[[#This Row],[Ventas publicidad]]/TableWeeklySummary[[#This Row],[Inversión publicidad]],0)</f>
        <v>0</v>
      </c>
      <c r="AA85" s="14">
        <f>IFERROR(TableWeeklySummary[[#This Row],[Ventas primer cliente]]/TableWeeklySummary[[#This Row],[Inversión publicidad]],0)</f>
        <v>0</v>
      </c>
      <c r="AB85" s="14"/>
      <c r="AC85" s="11"/>
      <c r="AI8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5" s="11">
        <f>SUMIFS(TableDailySummary[Costo de ventas registrado],TableDailySummary[Fecha],"&gt;="&amp;TableWeeklySummary[[#This Row],[Desde]],TableDailySummary[Fecha],"&lt;="&amp;TableWeeklySummary[[#This Row],[Hasta]])</f>
        <v>0</v>
      </c>
      <c r="AK85" s="11">
        <f>SUMIFS(TableDailySummary[Utilidad bruta],TableDailySummary[Fecha],"&gt;="&amp;TableWeeklySummary[[#This Row],[Desde]],TableDailySummary[Fecha],"&lt;="&amp;TableWeeklySummary[[#This Row],[Hasta]])</f>
        <v>0</v>
      </c>
      <c r="AL85" s="18">
        <f>IFERROR(TableWeeklySummary[[#This Row],[Utilidad bruta]]/TableWeeklySummary[[#This Row],[Ventas netas con costo registrado]],0)</f>
        <v>0</v>
      </c>
    </row>
    <row r="86" spans="2:38" x14ac:dyDescent="0.2">
      <c r="B86" s="16">
        <f>_xlfn.ISOWEEKNUM(TableWeeklySummary[[#This Row],[Hasta]])</f>
        <v>23</v>
      </c>
      <c r="C86" s="6">
        <f t="shared" si="2"/>
        <v>45079</v>
      </c>
      <c r="D86" s="6">
        <f>TableWeeklySummary[[#This Row],[Desde]]+7-1</f>
        <v>45085</v>
      </c>
      <c r="E86" s="11">
        <f>SUMIFS(TableDailySummary[Ventas netas totales],TableDailySummary[Fecha],"&gt;="&amp;TableWeeklySummary[[#This Row],[Desde]],TableDailySummary[Fecha],"&lt;="&amp;TableWeeklySummary[[#This Row],[Hasta]])</f>
        <v>0</v>
      </c>
      <c r="F86" s="11">
        <f>SUMIFS(TableDailySummary[Órdenes totales],TableDailySummary[Fecha],"&gt;="&amp;TableWeeklySummary[[#This Row],[Desde]],TableDailySummary[Fecha],"&lt;="&amp;TableWeeklySummary[[#This Row],[Hasta]])</f>
        <v>0</v>
      </c>
      <c r="G86" s="11">
        <f>IFERROR(TableWeeklySummary[[#This Row],[Ventas netas totales]]/TableWeeklySummary[[#This Row],[Órdenes totales]],0)</f>
        <v>0</v>
      </c>
      <c r="H8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6" s="11">
        <f>TableWeeklySummary[[#This Row],[Órden promedio totales]]*TableWeeklySummary[[#This Row],[CR totales]]</f>
        <v>0</v>
      </c>
      <c r="J86" s="11">
        <f>SUMIFS(TableDailySummary[Ventas primer cliente],TableDailySummary[Fecha],"&gt;="&amp;TableWeeklySummary[[#This Row],[Desde]],TableDailySummary[Fecha],"&lt;="&amp;TableWeeklySummary[[#This Row],[Hasta]])</f>
        <v>0</v>
      </c>
      <c r="K86" s="11">
        <f>SUMIFS(TableDailySummary[Órdenes primer cliente],TableDailySummary[Fecha],"&gt;="&amp;TableWeeklySummary[[#This Row],[Desde]],TableDailySummary[Fecha],"&lt;="&amp;TableWeeklySummary[[#This Row],[Hasta]])</f>
        <v>0</v>
      </c>
      <c r="L86" s="11">
        <f>SUMIFS(TableDailySummary[Online Store_net_sales],TableDailySummary[Fecha],"&gt;="&amp;TableWeeklySummary[[#This Row],[Desde]],TableDailySummary[Fecha],"&lt;="&amp;TableWeeklySummary[[#This Row],[Hasta]])</f>
        <v>0</v>
      </c>
      <c r="M86" s="11">
        <f>SUMIFS(TableDailySummary[Online Store_orders],TableDailySummary[Fecha],"&gt;="&amp;TableWeeklySummary[[#This Row],[Desde]],TableDailySummary[Fecha],"&lt;="&amp;TableWeeklySummary[[#This Row],[Hasta]])</f>
        <v>0</v>
      </c>
      <c r="N86" s="11">
        <f>SUMIFS(TableDailySummary[Tienda 81_net_sales],TableDailySummary[Fecha],"&gt;="&amp;TableWeeklySummary[[#This Row],[Desde]],TableDailySummary[Fecha],"&lt;="&amp;TableWeeklySummary[[#This Row],[Hasta]])</f>
        <v>0</v>
      </c>
      <c r="O86" s="11">
        <f>SUMIFS(TableDailySummary[Tienda 81_orders],TableDailySummary[Fecha],"&gt;="&amp;TableWeeklySummary[[#This Row],[Desde]],TableDailySummary[Fecha],"&lt;="&amp;TableWeeklySummary[[#This Row],[Hasta]])</f>
        <v>0</v>
      </c>
      <c r="P86" s="11">
        <f>SUMIFS(TableDailySummary[Rappi_net_sales],TableDailySummary[Fecha],"&gt;="&amp;TableWeeklySummary[[#This Row],[Desde]],TableDailySummary[Fecha],"&lt;="&amp;TableWeeklySummary[[#This Row],[Hasta]])</f>
        <v>0</v>
      </c>
      <c r="Q86" s="11">
        <f>SUMIFS(TableDailySummary[Rappi_orders],TableDailySummary[Fecha],"&gt;="&amp;TableWeeklySummary[[#This Row],[Desde]],TableDailySummary[Fecha],"&lt;="&amp;TableWeeklySummary[[#This Row],[Hasta]])</f>
        <v>0</v>
      </c>
      <c r="R8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6" s="11">
        <f>SUMIFS(TableDailySummary[Corporativo no tienda_orders],TableDailySummary[Fecha],"&gt;="&amp;TableWeeklySummary[[#This Row],[Desde]],TableDailySummary[Fecha],"&lt;="&amp;TableWeeklySummary[[#This Row],[Hasta]])</f>
        <v>0</v>
      </c>
      <c r="T86" s="11">
        <f>SUMIFS(TableDailySummary[Inversión google ads],TableDailySummary[Fecha],"&gt;="&amp;TableWeeklySummary[[#This Row],[Desde]],TableDailySummary[Fecha],"&lt;="&amp;TableWeeklySummary[[#This Row],[Hasta]])</f>
        <v>0</v>
      </c>
      <c r="U86" s="11">
        <f>SUMIFS(TableDailySummary[Ventas google ads],TableDailySummary[Fecha],"&gt;="&amp;TableWeeklySummary[[#This Row],[Desde]],TableDailySummary[Fecha],"&lt;="&amp;TableWeeklySummary[[#This Row],[Hasta]])</f>
        <v>0</v>
      </c>
      <c r="V86" s="11">
        <f>SUMIFS(TableDailySummary[Inversión meta ads],TableDailySummary[Fecha],"&gt;="&amp;TableWeeklySummary[[#This Row],[Desde]],TableDailySummary[Fecha],"&lt;="&amp;TableWeeklySummary[[#This Row],[Hasta]])</f>
        <v>0</v>
      </c>
      <c r="W86" s="11">
        <f>SUMIFS(TableDailySummary[Ventas meta ads],TableDailySummary[Fecha],"&gt;="&amp;TableWeeklySummary[[#This Row],[Desde]],TableDailySummary[Fecha],"&lt;="&amp;TableWeeklySummary[[#This Row],[Hasta]])</f>
        <v>0</v>
      </c>
      <c r="X86" s="11">
        <f>TableWeeklySummary[[#This Row],[Inversión google ads]]+TableWeeklySummary[[#This Row],[Inversión meta ads]]</f>
        <v>0</v>
      </c>
      <c r="Y86" s="11">
        <f>TableWeeklySummary[[#This Row],[Ventas google ads]]+TableWeeklySummary[[#This Row],[Ventas meta ads]]</f>
        <v>0</v>
      </c>
      <c r="Z86" s="14">
        <f>IFERROR(TableWeeklySummary[[#This Row],[Ventas publicidad]]/TableWeeklySummary[[#This Row],[Inversión publicidad]],0)</f>
        <v>0</v>
      </c>
      <c r="AA86" s="14">
        <f>IFERROR(TableWeeklySummary[[#This Row],[Ventas primer cliente]]/TableWeeklySummary[[#This Row],[Inversión publicidad]],0)</f>
        <v>0</v>
      </c>
      <c r="AB86" s="14"/>
      <c r="AC86" s="11"/>
      <c r="AI8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6" s="11">
        <f>SUMIFS(TableDailySummary[Costo de ventas registrado],TableDailySummary[Fecha],"&gt;="&amp;TableWeeklySummary[[#This Row],[Desde]],TableDailySummary[Fecha],"&lt;="&amp;TableWeeklySummary[[#This Row],[Hasta]])</f>
        <v>0</v>
      </c>
      <c r="AK86" s="11">
        <f>SUMIFS(TableDailySummary[Utilidad bruta],TableDailySummary[Fecha],"&gt;="&amp;TableWeeklySummary[[#This Row],[Desde]],TableDailySummary[Fecha],"&lt;="&amp;TableWeeklySummary[[#This Row],[Hasta]])</f>
        <v>0</v>
      </c>
      <c r="AL86" s="18">
        <f>IFERROR(TableWeeklySummary[[#This Row],[Utilidad bruta]]/TableWeeklySummary[[#This Row],[Ventas netas con costo registrado]],0)</f>
        <v>0</v>
      </c>
    </row>
    <row r="87" spans="2:38" x14ac:dyDescent="0.2">
      <c r="B87" s="16">
        <f>_xlfn.ISOWEEKNUM(TableWeeklySummary[[#This Row],[Hasta]])</f>
        <v>24</v>
      </c>
      <c r="C87" s="6">
        <f t="shared" si="2"/>
        <v>45086</v>
      </c>
      <c r="D87" s="6">
        <f>TableWeeklySummary[[#This Row],[Desde]]+7-1</f>
        <v>45092</v>
      </c>
      <c r="E87" s="11">
        <f>SUMIFS(TableDailySummary[Ventas netas totales],TableDailySummary[Fecha],"&gt;="&amp;TableWeeklySummary[[#This Row],[Desde]],TableDailySummary[Fecha],"&lt;="&amp;TableWeeklySummary[[#This Row],[Hasta]])</f>
        <v>0</v>
      </c>
      <c r="F87" s="11">
        <f>SUMIFS(TableDailySummary[Órdenes totales],TableDailySummary[Fecha],"&gt;="&amp;TableWeeklySummary[[#This Row],[Desde]],TableDailySummary[Fecha],"&lt;="&amp;TableWeeklySummary[[#This Row],[Hasta]])</f>
        <v>0</v>
      </c>
      <c r="G87" s="11">
        <f>IFERROR(TableWeeklySummary[[#This Row],[Ventas netas totales]]/TableWeeklySummary[[#This Row],[Órdenes totales]],0)</f>
        <v>0</v>
      </c>
      <c r="H8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7" s="11">
        <f>TableWeeklySummary[[#This Row],[Órden promedio totales]]*TableWeeklySummary[[#This Row],[CR totales]]</f>
        <v>0</v>
      </c>
      <c r="J87" s="11">
        <f>SUMIFS(TableDailySummary[Ventas primer cliente],TableDailySummary[Fecha],"&gt;="&amp;TableWeeklySummary[[#This Row],[Desde]],TableDailySummary[Fecha],"&lt;="&amp;TableWeeklySummary[[#This Row],[Hasta]])</f>
        <v>0</v>
      </c>
      <c r="K87" s="11">
        <f>SUMIFS(TableDailySummary[Órdenes primer cliente],TableDailySummary[Fecha],"&gt;="&amp;TableWeeklySummary[[#This Row],[Desde]],TableDailySummary[Fecha],"&lt;="&amp;TableWeeklySummary[[#This Row],[Hasta]])</f>
        <v>0</v>
      </c>
      <c r="L87" s="11">
        <f>SUMIFS(TableDailySummary[Online Store_net_sales],TableDailySummary[Fecha],"&gt;="&amp;TableWeeklySummary[[#This Row],[Desde]],TableDailySummary[Fecha],"&lt;="&amp;TableWeeklySummary[[#This Row],[Hasta]])</f>
        <v>0</v>
      </c>
      <c r="M87" s="11">
        <f>SUMIFS(TableDailySummary[Online Store_orders],TableDailySummary[Fecha],"&gt;="&amp;TableWeeklySummary[[#This Row],[Desde]],TableDailySummary[Fecha],"&lt;="&amp;TableWeeklySummary[[#This Row],[Hasta]])</f>
        <v>0</v>
      </c>
      <c r="N87" s="11">
        <f>SUMIFS(TableDailySummary[Tienda 81_net_sales],TableDailySummary[Fecha],"&gt;="&amp;TableWeeklySummary[[#This Row],[Desde]],TableDailySummary[Fecha],"&lt;="&amp;TableWeeklySummary[[#This Row],[Hasta]])</f>
        <v>0</v>
      </c>
      <c r="O87" s="11">
        <f>SUMIFS(TableDailySummary[Tienda 81_orders],TableDailySummary[Fecha],"&gt;="&amp;TableWeeklySummary[[#This Row],[Desde]],TableDailySummary[Fecha],"&lt;="&amp;TableWeeklySummary[[#This Row],[Hasta]])</f>
        <v>0</v>
      </c>
      <c r="P87" s="11">
        <f>SUMIFS(TableDailySummary[Rappi_net_sales],TableDailySummary[Fecha],"&gt;="&amp;TableWeeklySummary[[#This Row],[Desde]],TableDailySummary[Fecha],"&lt;="&amp;TableWeeklySummary[[#This Row],[Hasta]])</f>
        <v>0</v>
      </c>
      <c r="Q87" s="11">
        <f>SUMIFS(TableDailySummary[Rappi_orders],TableDailySummary[Fecha],"&gt;="&amp;TableWeeklySummary[[#This Row],[Desde]],TableDailySummary[Fecha],"&lt;="&amp;TableWeeklySummary[[#This Row],[Hasta]])</f>
        <v>0</v>
      </c>
      <c r="R8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7" s="11">
        <f>SUMIFS(TableDailySummary[Corporativo no tienda_orders],TableDailySummary[Fecha],"&gt;="&amp;TableWeeklySummary[[#This Row],[Desde]],TableDailySummary[Fecha],"&lt;="&amp;TableWeeklySummary[[#This Row],[Hasta]])</f>
        <v>0</v>
      </c>
      <c r="T87" s="11">
        <f>SUMIFS(TableDailySummary[Inversión google ads],TableDailySummary[Fecha],"&gt;="&amp;TableWeeklySummary[[#This Row],[Desde]],TableDailySummary[Fecha],"&lt;="&amp;TableWeeklySummary[[#This Row],[Hasta]])</f>
        <v>0</v>
      </c>
      <c r="U87" s="11">
        <f>SUMIFS(TableDailySummary[Ventas google ads],TableDailySummary[Fecha],"&gt;="&amp;TableWeeklySummary[[#This Row],[Desde]],TableDailySummary[Fecha],"&lt;="&amp;TableWeeklySummary[[#This Row],[Hasta]])</f>
        <v>0</v>
      </c>
      <c r="V87" s="11">
        <f>SUMIFS(TableDailySummary[Inversión meta ads],TableDailySummary[Fecha],"&gt;="&amp;TableWeeklySummary[[#This Row],[Desde]],TableDailySummary[Fecha],"&lt;="&amp;TableWeeklySummary[[#This Row],[Hasta]])</f>
        <v>0</v>
      </c>
      <c r="W87" s="11">
        <f>SUMIFS(TableDailySummary[Ventas meta ads],TableDailySummary[Fecha],"&gt;="&amp;TableWeeklySummary[[#This Row],[Desde]],TableDailySummary[Fecha],"&lt;="&amp;TableWeeklySummary[[#This Row],[Hasta]])</f>
        <v>0</v>
      </c>
      <c r="X87" s="11">
        <f>TableWeeklySummary[[#This Row],[Inversión google ads]]+TableWeeklySummary[[#This Row],[Inversión meta ads]]</f>
        <v>0</v>
      </c>
      <c r="Y87" s="11">
        <f>TableWeeklySummary[[#This Row],[Ventas google ads]]+TableWeeklySummary[[#This Row],[Ventas meta ads]]</f>
        <v>0</v>
      </c>
      <c r="Z87" s="14">
        <f>IFERROR(TableWeeklySummary[[#This Row],[Ventas publicidad]]/TableWeeklySummary[[#This Row],[Inversión publicidad]],0)</f>
        <v>0</v>
      </c>
      <c r="AA87" s="14">
        <f>IFERROR(TableWeeklySummary[[#This Row],[Ventas primer cliente]]/TableWeeklySummary[[#This Row],[Inversión publicidad]],0)</f>
        <v>0</v>
      </c>
      <c r="AB87" s="14"/>
      <c r="AC87" s="11"/>
      <c r="AI8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7" s="11">
        <f>SUMIFS(TableDailySummary[Costo de ventas registrado],TableDailySummary[Fecha],"&gt;="&amp;TableWeeklySummary[[#This Row],[Desde]],TableDailySummary[Fecha],"&lt;="&amp;TableWeeklySummary[[#This Row],[Hasta]])</f>
        <v>0</v>
      </c>
      <c r="AK87" s="11">
        <f>SUMIFS(TableDailySummary[Utilidad bruta],TableDailySummary[Fecha],"&gt;="&amp;TableWeeklySummary[[#This Row],[Desde]],TableDailySummary[Fecha],"&lt;="&amp;TableWeeklySummary[[#This Row],[Hasta]])</f>
        <v>0</v>
      </c>
      <c r="AL87" s="18">
        <f>IFERROR(TableWeeklySummary[[#This Row],[Utilidad bruta]]/TableWeeklySummary[[#This Row],[Ventas netas con costo registrado]],0)</f>
        <v>0</v>
      </c>
    </row>
    <row r="88" spans="2:38" x14ac:dyDescent="0.2">
      <c r="B88" s="16">
        <f>_xlfn.ISOWEEKNUM(TableWeeklySummary[[#This Row],[Hasta]])</f>
        <v>25</v>
      </c>
      <c r="C88" s="6">
        <f t="shared" si="2"/>
        <v>45093</v>
      </c>
      <c r="D88" s="6">
        <f>TableWeeklySummary[[#This Row],[Desde]]+7-1</f>
        <v>45099</v>
      </c>
      <c r="E88" s="11">
        <f>SUMIFS(TableDailySummary[Ventas netas totales],TableDailySummary[Fecha],"&gt;="&amp;TableWeeklySummary[[#This Row],[Desde]],TableDailySummary[Fecha],"&lt;="&amp;TableWeeklySummary[[#This Row],[Hasta]])</f>
        <v>0</v>
      </c>
      <c r="F88" s="11">
        <f>SUMIFS(TableDailySummary[Órdenes totales],TableDailySummary[Fecha],"&gt;="&amp;TableWeeklySummary[[#This Row],[Desde]],TableDailySummary[Fecha],"&lt;="&amp;TableWeeklySummary[[#This Row],[Hasta]])</f>
        <v>0</v>
      </c>
      <c r="G88" s="11">
        <f>IFERROR(TableWeeklySummary[[#This Row],[Ventas netas totales]]/TableWeeklySummary[[#This Row],[Órdenes totales]],0)</f>
        <v>0</v>
      </c>
      <c r="H8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8" s="11">
        <f>TableWeeklySummary[[#This Row],[Órden promedio totales]]*TableWeeklySummary[[#This Row],[CR totales]]</f>
        <v>0</v>
      </c>
      <c r="J88" s="11">
        <f>SUMIFS(TableDailySummary[Ventas primer cliente],TableDailySummary[Fecha],"&gt;="&amp;TableWeeklySummary[[#This Row],[Desde]],TableDailySummary[Fecha],"&lt;="&amp;TableWeeklySummary[[#This Row],[Hasta]])</f>
        <v>0</v>
      </c>
      <c r="K88" s="11">
        <f>SUMIFS(TableDailySummary[Órdenes primer cliente],TableDailySummary[Fecha],"&gt;="&amp;TableWeeklySummary[[#This Row],[Desde]],TableDailySummary[Fecha],"&lt;="&amp;TableWeeklySummary[[#This Row],[Hasta]])</f>
        <v>0</v>
      </c>
      <c r="L88" s="11">
        <f>SUMIFS(TableDailySummary[Online Store_net_sales],TableDailySummary[Fecha],"&gt;="&amp;TableWeeklySummary[[#This Row],[Desde]],TableDailySummary[Fecha],"&lt;="&amp;TableWeeklySummary[[#This Row],[Hasta]])</f>
        <v>0</v>
      </c>
      <c r="M88" s="11">
        <f>SUMIFS(TableDailySummary[Online Store_orders],TableDailySummary[Fecha],"&gt;="&amp;TableWeeklySummary[[#This Row],[Desde]],TableDailySummary[Fecha],"&lt;="&amp;TableWeeklySummary[[#This Row],[Hasta]])</f>
        <v>0</v>
      </c>
      <c r="N88" s="11">
        <f>SUMIFS(TableDailySummary[Tienda 81_net_sales],TableDailySummary[Fecha],"&gt;="&amp;TableWeeklySummary[[#This Row],[Desde]],TableDailySummary[Fecha],"&lt;="&amp;TableWeeklySummary[[#This Row],[Hasta]])</f>
        <v>0</v>
      </c>
      <c r="O88" s="11">
        <f>SUMIFS(TableDailySummary[Tienda 81_orders],TableDailySummary[Fecha],"&gt;="&amp;TableWeeklySummary[[#This Row],[Desde]],TableDailySummary[Fecha],"&lt;="&amp;TableWeeklySummary[[#This Row],[Hasta]])</f>
        <v>0</v>
      </c>
      <c r="P88" s="11">
        <f>SUMIFS(TableDailySummary[Rappi_net_sales],TableDailySummary[Fecha],"&gt;="&amp;TableWeeklySummary[[#This Row],[Desde]],TableDailySummary[Fecha],"&lt;="&amp;TableWeeklySummary[[#This Row],[Hasta]])</f>
        <v>0</v>
      </c>
      <c r="Q88" s="11">
        <f>SUMIFS(TableDailySummary[Rappi_orders],TableDailySummary[Fecha],"&gt;="&amp;TableWeeklySummary[[#This Row],[Desde]],TableDailySummary[Fecha],"&lt;="&amp;TableWeeklySummary[[#This Row],[Hasta]])</f>
        <v>0</v>
      </c>
      <c r="R8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8" s="11">
        <f>SUMIFS(TableDailySummary[Corporativo no tienda_orders],TableDailySummary[Fecha],"&gt;="&amp;TableWeeklySummary[[#This Row],[Desde]],TableDailySummary[Fecha],"&lt;="&amp;TableWeeklySummary[[#This Row],[Hasta]])</f>
        <v>0</v>
      </c>
      <c r="T88" s="11">
        <f>SUMIFS(TableDailySummary[Inversión google ads],TableDailySummary[Fecha],"&gt;="&amp;TableWeeklySummary[[#This Row],[Desde]],TableDailySummary[Fecha],"&lt;="&amp;TableWeeklySummary[[#This Row],[Hasta]])</f>
        <v>0</v>
      </c>
      <c r="U88" s="11">
        <f>SUMIFS(TableDailySummary[Ventas google ads],TableDailySummary[Fecha],"&gt;="&amp;TableWeeklySummary[[#This Row],[Desde]],TableDailySummary[Fecha],"&lt;="&amp;TableWeeklySummary[[#This Row],[Hasta]])</f>
        <v>0</v>
      </c>
      <c r="V88" s="11">
        <f>SUMIFS(TableDailySummary[Inversión meta ads],TableDailySummary[Fecha],"&gt;="&amp;TableWeeklySummary[[#This Row],[Desde]],TableDailySummary[Fecha],"&lt;="&amp;TableWeeklySummary[[#This Row],[Hasta]])</f>
        <v>0</v>
      </c>
      <c r="W88" s="11">
        <f>SUMIFS(TableDailySummary[Ventas meta ads],TableDailySummary[Fecha],"&gt;="&amp;TableWeeklySummary[[#This Row],[Desde]],TableDailySummary[Fecha],"&lt;="&amp;TableWeeklySummary[[#This Row],[Hasta]])</f>
        <v>0</v>
      </c>
      <c r="X88" s="11">
        <f>TableWeeklySummary[[#This Row],[Inversión google ads]]+TableWeeklySummary[[#This Row],[Inversión meta ads]]</f>
        <v>0</v>
      </c>
      <c r="Y88" s="11">
        <f>TableWeeklySummary[[#This Row],[Ventas google ads]]+TableWeeklySummary[[#This Row],[Ventas meta ads]]</f>
        <v>0</v>
      </c>
      <c r="Z88" s="14">
        <f>IFERROR(TableWeeklySummary[[#This Row],[Ventas publicidad]]/TableWeeklySummary[[#This Row],[Inversión publicidad]],0)</f>
        <v>0</v>
      </c>
      <c r="AA88" s="14">
        <f>IFERROR(TableWeeklySummary[[#This Row],[Ventas primer cliente]]/TableWeeklySummary[[#This Row],[Inversión publicidad]],0)</f>
        <v>0</v>
      </c>
      <c r="AB88" s="14"/>
      <c r="AC88" s="11"/>
      <c r="AI8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8" s="11">
        <f>SUMIFS(TableDailySummary[Costo de ventas registrado],TableDailySummary[Fecha],"&gt;="&amp;TableWeeklySummary[[#This Row],[Desde]],TableDailySummary[Fecha],"&lt;="&amp;TableWeeklySummary[[#This Row],[Hasta]])</f>
        <v>0</v>
      </c>
      <c r="AK88" s="11">
        <f>SUMIFS(TableDailySummary[Utilidad bruta],TableDailySummary[Fecha],"&gt;="&amp;TableWeeklySummary[[#This Row],[Desde]],TableDailySummary[Fecha],"&lt;="&amp;TableWeeklySummary[[#This Row],[Hasta]])</f>
        <v>0</v>
      </c>
      <c r="AL88" s="18">
        <f>IFERROR(TableWeeklySummary[[#This Row],[Utilidad bruta]]/TableWeeklySummary[[#This Row],[Ventas netas con costo registrado]],0)</f>
        <v>0</v>
      </c>
    </row>
    <row r="89" spans="2:38" x14ac:dyDescent="0.2">
      <c r="B89" s="16">
        <f>_xlfn.ISOWEEKNUM(TableWeeklySummary[[#This Row],[Hasta]])</f>
        <v>26</v>
      </c>
      <c r="C89" s="6">
        <f t="shared" si="2"/>
        <v>45100</v>
      </c>
      <c r="D89" s="6">
        <f>TableWeeklySummary[[#This Row],[Desde]]+7-1</f>
        <v>45106</v>
      </c>
      <c r="E89" s="11">
        <f>SUMIFS(TableDailySummary[Ventas netas totales],TableDailySummary[Fecha],"&gt;="&amp;TableWeeklySummary[[#This Row],[Desde]],TableDailySummary[Fecha],"&lt;="&amp;TableWeeklySummary[[#This Row],[Hasta]])</f>
        <v>0</v>
      </c>
      <c r="F89" s="11">
        <f>SUMIFS(TableDailySummary[Órdenes totales],TableDailySummary[Fecha],"&gt;="&amp;TableWeeklySummary[[#This Row],[Desde]],TableDailySummary[Fecha],"&lt;="&amp;TableWeeklySummary[[#This Row],[Hasta]])</f>
        <v>0</v>
      </c>
      <c r="G89" s="11">
        <f>IFERROR(TableWeeklySummary[[#This Row],[Ventas netas totales]]/TableWeeklySummary[[#This Row],[Órdenes totales]],0)</f>
        <v>0</v>
      </c>
      <c r="H8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89" s="11">
        <f>TableWeeklySummary[[#This Row],[Órden promedio totales]]*TableWeeklySummary[[#This Row],[CR totales]]</f>
        <v>0</v>
      </c>
      <c r="J89" s="11">
        <f>SUMIFS(TableDailySummary[Ventas primer cliente],TableDailySummary[Fecha],"&gt;="&amp;TableWeeklySummary[[#This Row],[Desde]],TableDailySummary[Fecha],"&lt;="&amp;TableWeeklySummary[[#This Row],[Hasta]])</f>
        <v>0</v>
      </c>
      <c r="K89" s="11">
        <f>SUMIFS(TableDailySummary[Órdenes primer cliente],TableDailySummary[Fecha],"&gt;="&amp;TableWeeklySummary[[#This Row],[Desde]],TableDailySummary[Fecha],"&lt;="&amp;TableWeeklySummary[[#This Row],[Hasta]])</f>
        <v>0</v>
      </c>
      <c r="L89" s="11">
        <f>SUMIFS(TableDailySummary[Online Store_net_sales],TableDailySummary[Fecha],"&gt;="&amp;TableWeeklySummary[[#This Row],[Desde]],TableDailySummary[Fecha],"&lt;="&amp;TableWeeklySummary[[#This Row],[Hasta]])</f>
        <v>0</v>
      </c>
      <c r="M89" s="11">
        <f>SUMIFS(TableDailySummary[Online Store_orders],TableDailySummary[Fecha],"&gt;="&amp;TableWeeklySummary[[#This Row],[Desde]],TableDailySummary[Fecha],"&lt;="&amp;TableWeeklySummary[[#This Row],[Hasta]])</f>
        <v>0</v>
      </c>
      <c r="N89" s="11">
        <f>SUMIFS(TableDailySummary[Tienda 81_net_sales],TableDailySummary[Fecha],"&gt;="&amp;TableWeeklySummary[[#This Row],[Desde]],TableDailySummary[Fecha],"&lt;="&amp;TableWeeklySummary[[#This Row],[Hasta]])</f>
        <v>0</v>
      </c>
      <c r="O89" s="11">
        <f>SUMIFS(TableDailySummary[Tienda 81_orders],TableDailySummary[Fecha],"&gt;="&amp;TableWeeklySummary[[#This Row],[Desde]],TableDailySummary[Fecha],"&lt;="&amp;TableWeeklySummary[[#This Row],[Hasta]])</f>
        <v>0</v>
      </c>
      <c r="P89" s="11">
        <f>SUMIFS(TableDailySummary[Rappi_net_sales],TableDailySummary[Fecha],"&gt;="&amp;TableWeeklySummary[[#This Row],[Desde]],TableDailySummary[Fecha],"&lt;="&amp;TableWeeklySummary[[#This Row],[Hasta]])</f>
        <v>0</v>
      </c>
      <c r="Q89" s="11">
        <f>SUMIFS(TableDailySummary[Rappi_orders],TableDailySummary[Fecha],"&gt;="&amp;TableWeeklySummary[[#This Row],[Desde]],TableDailySummary[Fecha],"&lt;="&amp;TableWeeklySummary[[#This Row],[Hasta]])</f>
        <v>0</v>
      </c>
      <c r="R8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89" s="11">
        <f>SUMIFS(TableDailySummary[Corporativo no tienda_orders],TableDailySummary[Fecha],"&gt;="&amp;TableWeeklySummary[[#This Row],[Desde]],TableDailySummary[Fecha],"&lt;="&amp;TableWeeklySummary[[#This Row],[Hasta]])</f>
        <v>0</v>
      </c>
      <c r="T89" s="11">
        <f>SUMIFS(TableDailySummary[Inversión google ads],TableDailySummary[Fecha],"&gt;="&amp;TableWeeklySummary[[#This Row],[Desde]],TableDailySummary[Fecha],"&lt;="&amp;TableWeeklySummary[[#This Row],[Hasta]])</f>
        <v>0</v>
      </c>
      <c r="U89" s="11">
        <f>SUMIFS(TableDailySummary[Ventas google ads],TableDailySummary[Fecha],"&gt;="&amp;TableWeeklySummary[[#This Row],[Desde]],TableDailySummary[Fecha],"&lt;="&amp;TableWeeklySummary[[#This Row],[Hasta]])</f>
        <v>0</v>
      </c>
      <c r="V89" s="11">
        <f>SUMIFS(TableDailySummary[Inversión meta ads],TableDailySummary[Fecha],"&gt;="&amp;TableWeeklySummary[[#This Row],[Desde]],TableDailySummary[Fecha],"&lt;="&amp;TableWeeklySummary[[#This Row],[Hasta]])</f>
        <v>0</v>
      </c>
      <c r="W89" s="11">
        <f>SUMIFS(TableDailySummary[Ventas meta ads],TableDailySummary[Fecha],"&gt;="&amp;TableWeeklySummary[[#This Row],[Desde]],TableDailySummary[Fecha],"&lt;="&amp;TableWeeklySummary[[#This Row],[Hasta]])</f>
        <v>0</v>
      </c>
      <c r="X89" s="11">
        <f>TableWeeklySummary[[#This Row],[Inversión google ads]]+TableWeeklySummary[[#This Row],[Inversión meta ads]]</f>
        <v>0</v>
      </c>
      <c r="Y89" s="11">
        <f>TableWeeklySummary[[#This Row],[Ventas google ads]]+TableWeeklySummary[[#This Row],[Ventas meta ads]]</f>
        <v>0</v>
      </c>
      <c r="Z89" s="14">
        <f>IFERROR(TableWeeklySummary[[#This Row],[Ventas publicidad]]/TableWeeklySummary[[#This Row],[Inversión publicidad]],0)</f>
        <v>0</v>
      </c>
      <c r="AA89" s="14">
        <f>IFERROR(TableWeeklySummary[[#This Row],[Ventas primer cliente]]/TableWeeklySummary[[#This Row],[Inversión publicidad]],0)</f>
        <v>0</v>
      </c>
      <c r="AB89" s="14"/>
      <c r="AC89" s="11"/>
      <c r="AI8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89" s="11">
        <f>SUMIFS(TableDailySummary[Costo de ventas registrado],TableDailySummary[Fecha],"&gt;="&amp;TableWeeklySummary[[#This Row],[Desde]],TableDailySummary[Fecha],"&lt;="&amp;TableWeeklySummary[[#This Row],[Hasta]])</f>
        <v>0</v>
      </c>
      <c r="AK89" s="11">
        <f>SUMIFS(TableDailySummary[Utilidad bruta],TableDailySummary[Fecha],"&gt;="&amp;TableWeeklySummary[[#This Row],[Desde]],TableDailySummary[Fecha],"&lt;="&amp;TableWeeklySummary[[#This Row],[Hasta]])</f>
        <v>0</v>
      </c>
      <c r="AL89" s="18">
        <f>IFERROR(TableWeeklySummary[[#This Row],[Utilidad bruta]]/TableWeeklySummary[[#This Row],[Ventas netas con costo registrado]],0)</f>
        <v>0</v>
      </c>
    </row>
    <row r="90" spans="2:38" x14ac:dyDescent="0.2">
      <c r="B90" s="16">
        <f>_xlfn.ISOWEEKNUM(TableWeeklySummary[[#This Row],[Hasta]])</f>
        <v>27</v>
      </c>
      <c r="C90" s="6">
        <f t="shared" si="2"/>
        <v>45107</v>
      </c>
      <c r="D90" s="6">
        <f>TableWeeklySummary[[#This Row],[Desde]]+7-1</f>
        <v>45113</v>
      </c>
      <c r="E90" s="11">
        <f>SUMIFS(TableDailySummary[Ventas netas totales],TableDailySummary[Fecha],"&gt;="&amp;TableWeeklySummary[[#This Row],[Desde]],TableDailySummary[Fecha],"&lt;="&amp;TableWeeklySummary[[#This Row],[Hasta]])</f>
        <v>0</v>
      </c>
      <c r="F90" s="11">
        <f>SUMIFS(TableDailySummary[Órdenes totales],TableDailySummary[Fecha],"&gt;="&amp;TableWeeklySummary[[#This Row],[Desde]],TableDailySummary[Fecha],"&lt;="&amp;TableWeeklySummary[[#This Row],[Hasta]])</f>
        <v>0</v>
      </c>
      <c r="G90" s="11">
        <f>IFERROR(TableWeeklySummary[[#This Row],[Ventas netas totales]]/TableWeeklySummary[[#This Row],[Órdenes totales]],0)</f>
        <v>0</v>
      </c>
      <c r="H9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0" s="11">
        <f>TableWeeklySummary[[#This Row],[Órden promedio totales]]*TableWeeklySummary[[#This Row],[CR totales]]</f>
        <v>0</v>
      </c>
      <c r="J90" s="11">
        <f>SUMIFS(TableDailySummary[Ventas primer cliente],TableDailySummary[Fecha],"&gt;="&amp;TableWeeklySummary[[#This Row],[Desde]],TableDailySummary[Fecha],"&lt;="&amp;TableWeeklySummary[[#This Row],[Hasta]])</f>
        <v>0</v>
      </c>
      <c r="K90" s="11">
        <f>SUMIFS(TableDailySummary[Órdenes primer cliente],TableDailySummary[Fecha],"&gt;="&amp;TableWeeklySummary[[#This Row],[Desde]],TableDailySummary[Fecha],"&lt;="&amp;TableWeeklySummary[[#This Row],[Hasta]])</f>
        <v>0</v>
      </c>
      <c r="L90" s="11">
        <f>SUMIFS(TableDailySummary[Online Store_net_sales],TableDailySummary[Fecha],"&gt;="&amp;TableWeeklySummary[[#This Row],[Desde]],TableDailySummary[Fecha],"&lt;="&amp;TableWeeklySummary[[#This Row],[Hasta]])</f>
        <v>0</v>
      </c>
      <c r="M90" s="11">
        <f>SUMIFS(TableDailySummary[Online Store_orders],TableDailySummary[Fecha],"&gt;="&amp;TableWeeklySummary[[#This Row],[Desde]],TableDailySummary[Fecha],"&lt;="&amp;TableWeeklySummary[[#This Row],[Hasta]])</f>
        <v>0</v>
      </c>
      <c r="N90" s="11">
        <f>SUMIFS(TableDailySummary[Tienda 81_net_sales],TableDailySummary[Fecha],"&gt;="&amp;TableWeeklySummary[[#This Row],[Desde]],TableDailySummary[Fecha],"&lt;="&amp;TableWeeklySummary[[#This Row],[Hasta]])</f>
        <v>0</v>
      </c>
      <c r="O90" s="11">
        <f>SUMIFS(TableDailySummary[Tienda 81_orders],TableDailySummary[Fecha],"&gt;="&amp;TableWeeklySummary[[#This Row],[Desde]],TableDailySummary[Fecha],"&lt;="&amp;TableWeeklySummary[[#This Row],[Hasta]])</f>
        <v>0</v>
      </c>
      <c r="P90" s="11">
        <f>SUMIFS(TableDailySummary[Rappi_net_sales],TableDailySummary[Fecha],"&gt;="&amp;TableWeeklySummary[[#This Row],[Desde]],TableDailySummary[Fecha],"&lt;="&amp;TableWeeklySummary[[#This Row],[Hasta]])</f>
        <v>0</v>
      </c>
      <c r="Q90" s="11">
        <f>SUMIFS(TableDailySummary[Rappi_orders],TableDailySummary[Fecha],"&gt;="&amp;TableWeeklySummary[[#This Row],[Desde]],TableDailySummary[Fecha],"&lt;="&amp;TableWeeklySummary[[#This Row],[Hasta]])</f>
        <v>0</v>
      </c>
      <c r="R9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0" s="11">
        <f>SUMIFS(TableDailySummary[Corporativo no tienda_orders],TableDailySummary[Fecha],"&gt;="&amp;TableWeeklySummary[[#This Row],[Desde]],TableDailySummary[Fecha],"&lt;="&amp;TableWeeklySummary[[#This Row],[Hasta]])</f>
        <v>0</v>
      </c>
      <c r="T90" s="11">
        <f>SUMIFS(TableDailySummary[Inversión google ads],TableDailySummary[Fecha],"&gt;="&amp;TableWeeklySummary[[#This Row],[Desde]],TableDailySummary[Fecha],"&lt;="&amp;TableWeeklySummary[[#This Row],[Hasta]])</f>
        <v>0</v>
      </c>
      <c r="U90" s="11">
        <f>SUMIFS(TableDailySummary[Ventas google ads],TableDailySummary[Fecha],"&gt;="&amp;TableWeeklySummary[[#This Row],[Desde]],TableDailySummary[Fecha],"&lt;="&amp;TableWeeklySummary[[#This Row],[Hasta]])</f>
        <v>0</v>
      </c>
      <c r="V90" s="11">
        <f>SUMIFS(TableDailySummary[Inversión meta ads],TableDailySummary[Fecha],"&gt;="&amp;TableWeeklySummary[[#This Row],[Desde]],TableDailySummary[Fecha],"&lt;="&amp;TableWeeklySummary[[#This Row],[Hasta]])</f>
        <v>0</v>
      </c>
      <c r="W90" s="11">
        <f>SUMIFS(TableDailySummary[Ventas meta ads],TableDailySummary[Fecha],"&gt;="&amp;TableWeeklySummary[[#This Row],[Desde]],TableDailySummary[Fecha],"&lt;="&amp;TableWeeklySummary[[#This Row],[Hasta]])</f>
        <v>0</v>
      </c>
      <c r="X90" s="11">
        <f>TableWeeklySummary[[#This Row],[Inversión google ads]]+TableWeeklySummary[[#This Row],[Inversión meta ads]]</f>
        <v>0</v>
      </c>
      <c r="Y90" s="11">
        <f>TableWeeklySummary[[#This Row],[Ventas google ads]]+TableWeeklySummary[[#This Row],[Ventas meta ads]]</f>
        <v>0</v>
      </c>
      <c r="Z90" s="14">
        <f>IFERROR(TableWeeklySummary[[#This Row],[Ventas publicidad]]/TableWeeklySummary[[#This Row],[Inversión publicidad]],0)</f>
        <v>0</v>
      </c>
      <c r="AA90" s="14">
        <f>IFERROR(TableWeeklySummary[[#This Row],[Ventas primer cliente]]/TableWeeklySummary[[#This Row],[Inversión publicidad]],0)</f>
        <v>0</v>
      </c>
      <c r="AB90" s="14"/>
      <c r="AC90" s="11"/>
      <c r="AI9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0" s="11">
        <f>SUMIFS(TableDailySummary[Costo de ventas registrado],TableDailySummary[Fecha],"&gt;="&amp;TableWeeklySummary[[#This Row],[Desde]],TableDailySummary[Fecha],"&lt;="&amp;TableWeeklySummary[[#This Row],[Hasta]])</f>
        <v>0</v>
      </c>
      <c r="AK90" s="11">
        <f>SUMIFS(TableDailySummary[Utilidad bruta],TableDailySummary[Fecha],"&gt;="&amp;TableWeeklySummary[[#This Row],[Desde]],TableDailySummary[Fecha],"&lt;="&amp;TableWeeklySummary[[#This Row],[Hasta]])</f>
        <v>0</v>
      </c>
      <c r="AL90" s="18">
        <f>IFERROR(TableWeeklySummary[[#This Row],[Utilidad bruta]]/TableWeeklySummary[[#This Row],[Ventas netas con costo registrado]],0)</f>
        <v>0</v>
      </c>
    </row>
    <row r="91" spans="2:38" x14ac:dyDescent="0.2">
      <c r="B91" s="16">
        <f>_xlfn.ISOWEEKNUM(TableWeeklySummary[[#This Row],[Hasta]])</f>
        <v>28</v>
      </c>
      <c r="C91" s="6">
        <f t="shared" si="2"/>
        <v>45114</v>
      </c>
      <c r="D91" s="6">
        <f>TableWeeklySummary[[#This Row],[Desde]]+7-1</f>
        <v>45120</v>
      </c>
      <c r="E91" s="11">
        <f>SUMIFS(TableDailySummary[Ventas netas totales],TableDailySummary[Fecha],"&gt;="&amp;TableWeeklySummary[[#This Row],[Desde]],TableDailySummary[Fecha],"&lt;="&amp;TableWeeklySummary[[#This Row],[Hasta]])</f>
        <v>0</v>
      </c>
      <c r="F91" s="11">
        <f>SUMIFS(TableDailySummary[Órdenes totales],TableDailySummary[Fecha],"&gt;="&amp;TableWeeklySummary[[#This Row],[Desde]],TableDailySummary[Fecha],"&lt;="&amp;TableWeeklySummary[[#This Row],[Hasta]])</f>
        <v>0</v>
      </c>
      <c r="G91" s="11">
        <f>IFERROR(TableWeeklySummary[[#This Row],[Ventas netas totales]]/TableWeeklySummary[[#This Row],[Órdenes totales]],0)</f>
        <v>0</v>
      </c>
      <c r="H9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1" s="11">
        <f>TableWeeklySummary[[#This Row],[Órden promedio totales]]*TableWeeklySummary[[#This Row],[CR totales]]</f>
        <v>0</v>
      </c>
      <c r="J91" s="11">
        <f>SUMIFS(TableDailySummary[Ventas primer cliente],TableDailySummary[Fecha],"&gt;="&amp;TableWeeklySummary[[#This Row],[Desde]],TableDailySummary[Fecha],"&lt;="&amp;TableWeeklySummary[[#This Row],[Hasta]])</f>
        <v>0</v>
      </c>
      <c r="K91" s="11">
        <f>SUMIFS(TableDailySummary[Órdenes primer cliente],TableDailySummary[Fecha],"&gt;="&amp;TableWeeklySummary[[#This Row],[Desde]],TableDailySummary[Fecha],"&lt;="&amp;TableWeeklySummary[[#This Row],[Hasta]])</f>
        <v>0</v>
      </c>
      <c r="L91" s="11">
        <f>SUMIFS(TableDailySummary[Online Store_net_sales],TableDailySummary[Fecha],"&gt;="&amp;TableWeeklySummary[[#This Row],[Desde]],TableDailySummary[Fecha],"&lt;="&amp;TableWeeklySummary[[#This Row],[Hasta]])</f>
        <v>0</v>
      </c>
      <c r="M91" s="11">
        <f>SUMIFS(TableDailySummary[Online Store_orders],TableDailySummary[Fecha],"&gt;="&amp;TableWeeklySummary[[#This Row],[Desde]],TableDailySummary[Fecha],"&lt;="&amp;TableWeeklySummary[[#This Row],[Hasta]])</f>
        <v>0</v>
      </c>
      <c r="N91" s="11">
        <f>SUMIFS(TableDailySummary[Tienda 81_net_sales],TableDailySummary[Fecha],"&gt;="&amp;TableWeeklySummary[[#This Row],[Desde]],TableDailySummary[Fecha],"&lt;="&amp;TableWeeklySummary[[#This Row],[Hasta]])</f>
        <v>0</v>
      </c>
      <c r="O91" s="11">
        <f>SUMIFS(TableDailySummary[Tienda 81_orders],TableDailySummary[Fecha],"&gt;="&amp;TableWeeklySummary[[#This Row],[Desde]],TableDailySummary[Fecha],"&lt;="&amp;TableWeeklySummary[[#This Row],[Hasta]])</f>
        <v>0</v>
      </c>
      <c r="P91" s="11">
        <f>SUMIFS(TableDailySummary[Rappi_net_sales],TableDailySummary[Fecha],"&gt;="&amp;TableWeeklySummary[[#This Row],[Desde]],TableDailySummary[Fecha],"&lt;="&amp;TableWeeklySummary[[#This Row],[Hasta]])</f>
        <v>0</v>
      </c>
      <c r="Q91" s="11">
        <f>SUMIFS(TableDailySummary[Rappi_orders],TableDailySummary[Fecha],"&gt;="&amp;TableWeeklySummary[[#This Row],[Desde]],TableDailySummary[Fecha],"&lt;="&amp;TableWeeklySummary[[#This Row],[Hasta]])</f>
        <v>0</v>
      </c>
      <c r="R9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1" s="11">
        <f>SUMIFS(TableDailySummary[Corporativo no tienda_orders],TableDailySummary[Fecha],"&gt;="&amp;TableWeeklySummary[[#This Row],[Desde]],TableDailySummary[Fecha],"&lt;="&amp;TableWeeklySummary[[#This Row],[Hasta]])</f>
        <v>0</v>
      </c>
      <c r="T91" s="11">
        <f>SUMIFS(TableDailySummary[Inversión google ads],TableDailySummary[Fecha],"&gt;="&amp;TableWeeklySummary[[#This Row],[Desde]],TableDailySummary[Fecha],"&lt;="&amp;TableWeeklySummary[[#This Row],[Hasta]])</f>
        <v>0</v>
      </c>
      <c r="U91" s="11">
        <f>SUMIFS(TableDailySummary[Ventas google ads],TableDailySummary[Fecha],"&gt;="&amp;TableWeeklySummary[[#This Row],[Desde]],TableDailySummary[Fecha],"&lt;="&amp;TableWeeklySummary[[#This Row],[Hasta]])</f>
        <v>0</v>
      </c>
      <c r="V91" s="11">
        <f>SUMIFS(TableDailySummary[Inversión meta ads],TableDailySummary[Fecha],"&gt;="&amp;TableWeeklySummary[[#This Row],[Desde]],TableDailySummary[Fecha],"&lt;="&amp;TableWeeklySummary[[#This Row],[Hasta]])</f>
        <v>0</v>
      </c>
      <c r="W91" s="11">
        <f>SUMIFS(TableDailySummary[Ventas meta ads],TableDailySummary[Fecha],"&gt;="&amp;TableWeeklySummary[[#This Row],[Desde]],TableDailySummary[Fecha],"&lt;="&amp;TableWeeklySummary[[#This Row],[Hasta]])</f>
        <v>0</v>
      </c>
      <c r="X91" s="11">
        <f>TableWeeklySummary[[#This Row],[Inversión google ads]]+TableWeeklySummary[[#This Row],[Inversión meta ads]]</f>
        <v>0</v>
      </c>
      <c r="Y91" s="11">
        <f>TableWeeklySummary[[#This Row],[Ventas google ads]]+TableWeeklySummary[[#This Row],[Ventas meta ads]]</f>
        <v>0</v>
      </c>
      <c r="Z91" s="14">
        <f>IFERROR(TableWeeklySummary[[#This Row],[Ventas publicidad]]/TableWeeklySummary[[#This Row],[Inversión publicidad]],0)</f>
        <v>0</v>
      </c>
      <c r="AA91" s="14">
        <f>IFERROR(TableWeeklySummary[[#This Row],[Ventas primer cliente]]/TableWeeklySummary[[#This Row],[Inversión publicidad]],0)</f>
        <v>0</v>
      </c>
      <c r="AB91" s="14"/>
      <c r="AC91" s="11"/>
      <c r="AI9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1" s="11">
        <f>SUMIFS(TableDailySummary[Costo de ventas registrado],TableDailySummary[Fecha],"&gt;="&amp;TableWeeklySummary[[#This Row],[Desde]],TableDailySummary[Fecha],"&lt;="&amp;TableWeeklySummary[[#This Row],[Hasta]])</f>
        <v>0</v>
      </c>
      <c r="AK91" s="11">
        <f>SUMIFS(TableDailySummary[Utilidad bruta],TableDailySummary[Fecha],"&gt;="&amp;TableWeeklySummary[[#This Row],[Desde]],TableDailySummary[Fecha],"&lt;="&amp;TableWeeklySummary[[#This Row],[Hasta]])</f>
        <v>0</v>
      </c>
      <c r="AL91" s="18">
        <f>IFERROR(TableWeeklySummary[[#This Row],[Utilidad bruta]]/TableWeeklySummary[[#This Row],[Ventas netas con costo registrado]],0)</f>
        <v>0</v>
      </c>
    </row>
    <row r="92" spans="2:38" x14ac:dyDescent="0.2">
      <c r="B92" s="16">
        <f>_xlfn.ISOWEEKNUM(TableWeeklySummary[[#This Row],[Hasta]])</f>
        <v>29</v>
      </c>
      <c r="C92" s="6">
        <f t="shared" si="2"/>
        <v>45121</v>
      </c>
      <c r="D92" s="6">
        <f>TableWeeklySummary[[#This Row],[Desde]]+7-1</f>
        <v>45127</v>
      </c>
      <c r="E92" s="11">
        <f>SUMIFS(TableDailySummary[Ventas netas totales],TableDailySummary[Fecha],"&gt;="&amp;TableWeeklySummary[[#This Row],[Desde]],TableDailySummary[Fecha],"&lt;="&amp;TableWeeklySummary[[#This Row],[Hasta]])</f>
        <v>0</v>
      </c>
      <c r="F92" s="11">
        <f>SUMIFS(TableDailySummary[Órdenes totales],TableDailySummary[Fecha],"&gt;="&amp;TableWeeklySummary[[#This Row],[Desde]],TableDailySummary[Fecha],"&lt;="&amp;TableWeeklySummary[[#This Row],[Hasta]])</f>
        <v>0</v>
      </c>
      <c r="G92" s="11">
        <f>IFERROR(TableWeeklySummary[[#This Row],[Ventas netas totales]]/TableWeeklySummary[[#This Row],[Órdenes totales]],0)</f>
        <v>0</v>
      </c>
      <c r="H9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2" s="11">
        <f>TableWeeklySummary[[#This Row],[Órden promedio totales]]*TableWeeklySummary[[#This Row],[CR totales]]</f>
        <v>0</v>
      </c>
      <c r="J92" s="11">
        <f>SUMIFS(TableDailySummary[Ventas primer cliente],TableDailySummary[Fecha],"&gt;="&amp;TableWeeklySummary[[#This Row],[Desde]],TableDailySummary[Fecha],"&lt;="&amp;TableWeeklySummary[[#This Row],[Hasta]])</f>
        <v>0</v>
      </c>
      <c r="K92" s="11">
        <f>SUMIFS(TableDailySummary[Órdenes primer cliente],TableDailySummary[Fecha],"&gt;="&amp;TableWeeklySummary[[#This Row],[Desde]],TableDailySummary[Fecha],"&lt;="&amp;TableWeeklySummary[[#This Row],[Hasta]])</f>
        <v>0</v>
      </c>
      <c r="L92" s="11">
        <f>SUMIFS(TableDailySummary[Online Store_net_sales],TableDailySummary[Fecha],"&gt;="&amp;TableWeeklySummary[[#This Row],[Desde]],TableDailySummary[Fecha],"&lt;="&amp;TableWeeklySummary[[#This Row],[Hasta]])</f>
        <v>0</v>
      </c>
      <c r="M92" s="11">
        <f>SUMIFS(TableDailySummary[Online Store_orders],TableDailySummary[Fecha],"&gt;="&amp;TableWeeklySummary[[#This Row],[Desde]],TableDailySummary[Fecha],"&lt;="&amp;TableWeeklySummary[[#This Row],[Hasta]])</f>
        <v>0</v>
      </c>
      <c r="N92" s="11">
        <f>SUMIFS(TableDailySummary[Tienda 81_net_sales],TableDailySummary[Fecha],"&gt;="&amp;TableWeeklySummary[[#This Row],[Desde]],TableDailySummary[Fecha],"&lt;="&amp;TableWeeklySummary[[#This Row],[Hasta]])</f>
        <v>0</v>
      </c>
      <c r="O92" s="11">
        <f>SUMIFS(TableDailySummary[Tienda 81_orders],TableDailySummary[Fecha],"&gt;="&amp;TableWeeklySummary[[#This Row],[Desde]],TableDailySummary[Fecha],"&lt;="&amp;TableWeeklySummary[[#This Row],[Hasta]])</f>
        <v>0</v>
      </c>
      <c r="P92" s="11">
        <f>SUMIFS(TableDailySummary[Rappi_net_sales],TableDailySummary[Fecha],"&gt;="&amp;TableWeeklySummary[[#This Row],[Desde]],TableDailySummary[Fecha],"&lt;="&amp;TableWeeklySummary[[#This Row],[Hasta]])</f>
        <v>0</v>
      </c>
      <c r="Q92" s="11">
        <f>SUMIFS(TableDailySummary[Rappi_orders],TableDailySummary[Fecha],"&gt;="&amp;TableWeeklySummary[[#This Row],[Desde]],TableDailySummary[Fecha],"&lt;="&amp;TableWeeklySummary[[#This Row],[Hasta]])</f>
        <v>0</v>
      </c>
      <c r="R9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2" s="11">
        <f>SUMIFS(TableDailySummary[Corporativo no tienda_orders],TableDailySummary[Fecha],"&gt;="&amp;TableWeeklySummary[[#This Row],[Desde]],TableDailySummary[Fecha],"&lt;="&amp;TableWeeklySummary[[#This Row],[Hasta]])</f>
        <v>0</v>
      </c>
      <c r="T92" s="11">
        <f>SUMIFS(TableDailySummary[Inversión google ads],TableDailySummary[Fecha],"&gt;="&amp;TableWeeklySummary[[#This Row],[Desde]],TableDailySummary[Fecha],"&lt;="&amp;TableWeeklySummary[[#This Row],[Hasta]])</f>
        <v>0</v>
      </c>
      <c r="U92" s="11">
        <f>SUMIFS(TableDailySummary[Ventas google ads],TableDailySummary[Fecha],"&gt;="&amp;TableWeeklySummary[[#This Row],[Desde]],TableDailySummary[Fecha],"&lt;="&amp;TableWeeklySummary[[#This Row],[Hasta]])</f>
        <v>0</v>
      </c>
      <c r="V92" s="11">
        <f>SUMIFS(TableDailySummary[Inversión meta ads],TableDailySummary[Fecha],"&gt;="&amp;TableWeeklySummary[[#This Row],[Desde]],TableDailySummary[Fecha],"&lt;="&amp;TableWeeklySummary[[#This Row],[Hasta]])</f>
        <v>0</v>
      </c>
      <c r="W92" s="11">
        <f>SUMIFS(TableDailySummary[Ventas meta ads],TableDailySummary[Fecha],"&gt;="&amp;TableWeeklySummary[[#This Row],[Desde]],TableDailySummary[Fecha],"&lt;="&amp;TableWeeklySummary[[#This Row],[Hasta]])</f>
        <v>0</v>
      </c>
      <c r="X92" s="11">
        <f>TableWeeklySummary[[#This Row],[Inversión google ads]]+TableWeeklySummary[[#This Row],[Inversión meta ads]]</f>
        <v>0</v>
      </c>
      <c r="Y92" s="11">
        <f>TableWeeklySummary[[#This Row],[Ventas google ads]]+TableWeeklySummary[[#This Row],[Ventas meta ads]]</f>
        <v>0</v>
      </c>
      <c r="Z92" s="14">
        <f>IFERROR(TableWeeklySummary[[#This Row],[Ventas publicidad]]/TableWeeklySummary[[#This Row],[Inversión publicidad]],0)</f>
        <v>0</v>
      </c>
      <c r="AA92" s="14">
        <f>IFERROR(TableWeeklySummary[[#This Row],[Ventas primer cliente]]/TableWeeklySummary[[#This Row],[Inversión publicidad]],0)</f>
        <v>0</v>
      </c>
      <c r="AB92" s="14"/>
      <c r="AC92" s="11"/>
      <c r="AI9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2" s="11">
        <f>SUMIFS(TableDailySummary[Costo de ventas registrado],TableDailySummary[Fecha],"&gt;="&amp;TableWeeklySummary[[#This Row],[Desde]],TableDailySummary[Fecha],"&lt;="&amp;TableWeeklySummary[[#This Row],[Hasta]])</f>
        <v>0</v>
      </c>
      <c r="AK92" s="11">
        <f>SUMIFS(TableDailySummary[Utilidad bruta],TableDailySummary[Fecha],"&gt;="&amp;TableWeeklySummary[[#This Row],[Desde]],TableDailySummary[Fecha],"&lt;="&amp;TableWeeklySummary[[#This Row],[Hasta]])</f>
        <v>0</v>
      </c>
      <c r="AL92" s="18">
        <f>IFERROR(TableWeeklySummary[[#This Row],[Utilidad bruta]]/TableWeeklySummary[[#This Row],[Ventas netas con costo registrado]],0)</f>
        <v>0</v>
      </c>
    </row>
    <row r="93" spans="2:38" x14ac:dyDescent="0.2">
      <c r="B93" s="16">
        <f>_xlfn.ISOWEEKNUM(TableWeeklySummary[[#This Row],[Hasta]])</f>
        <v>30</v>
      </c>
      <c r="C93" s="6">
        <f t="shared" si="2"/>
        <v>45128</v>
      </c>
      <c r="D93" s="6">
        <f>TableWeeklySummary[[#This Row],[Desde]]+7-1</f>
        <v>45134</v>
      </c>
      <c r="E93" s="11">
        <f>SUMIFS(TableDailySummary[Ventas netas totales],TableDailySummary[Fecha],"&gt;="&amp;TableWeeklySummary[[#This Row],[Desde]],TableDailySummary[Fecha],"&lt;="&amp;TableWeeklySummary[[#This Row],[Hasta]])</f>
        <v>0</v>
      </c>
      <c r="F93" s="11">
        <f>SUMIFS(TableDailySummary[Órdenes totales],TableDailySummary[Fecha],"&gt;="&amp;TableWeeklySummary[[#This Row],[Desde]],TableDailySummary[Fecha],"&lt;="&amp;TableWeeklySummary[[#This Row],[Hasta]])</f>
        <v>0</v>
      </c>
      <c r="G93" s="11">
        <f>IFERROR(TableWeeklySummary[[#This Row],[Ventas netas totales]]/TableWeeklySummary[[#This Row],[Órdenes totales]],0)</f>
        <v>0</v>
      </c>
      <c r="H9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3" s="11">
        <f>TableWeeklySummary[[#This Row],[Órden promedio totales]]*TableWeeklySummary[[#This Row],[CR totales]]</f>
        <v>0</v>
      </c>
      <c r="J93" s="11">
        <f>SUMIFS(TableDailySummary[Ventas primer cliente],TableDailySummary[Fecha],"&gt;="&amp;TableWeeklySummary[[#This Row],[Desde]],TableDailySummary[Fecha],"&lt;="&amp;TableWeeklySummary[[#This Row],[Hasta]])</f>
        <v>0</v>
      </c>
      <c r="K93" s="11">
        <f>SUMIFS(TableDailySummary[Órdenes primer cliente],TableDailySummary[Fecha],"&gt;="&amp;TableWeeklySummary[[#This Row],[Desde]],TableDailySummary[Fecha],"&lt;="&amp;TableWeeklySummary[[#This Row],[Hasta]])</f>
        <v>0</v>
      </c>
      <c r="L93" s="11">
        <f>SUMIFS(TableDailySummary[Online Store_net_sales],TableDailySummary[Fecha],"&gt;="&amp;TableWeeklySummary[[#This Row],[Desde]],TableDailySummary[Fecha],"&lt;="&amp;TableWeeklySummary[[#This Row],[Hasta]])</f>
        <v>0</v>
      </c>
      <c r="M93" s="11">
        <f>SUMIFS(TableDailySummary[Online Store_orders],TableDailySummary[Fecha],"&gt;="&amp;TableWeeklySummary[[#This Row],[Desde]],TableDailySummary[Fecha],"&lt;="&amp;TableWeeklySummary[[#This Row],[Hasta]])</f>
        <v>0</v>
      </c>
      <c r="N93" s="11">
        <f>SUMIFS(TableDailySummary[Tienda 81_net_sales],TableDailySummary[Fecha],"&gt;="&amp;TableWeeklySummary[[#This Row],[Desde]],TableDailySummary[Fecha],"&lt;="&amp;TableWeeklySummary[[#This Row],[Hasta]])</f>
        <v>0</v>
      </c>
      <c r="O93" s="11">
        <f>SUMIFS(TableDailySummary[Tienda 81_orders],TableDailySummary[Fecha],"&gt;="&amp;TableWeeklySummary[[#This Row],[Desde]],TableDailySummary[Fecha],"&lt;="&amp;TableWeeklySummary[[#This Row],[Hasta]])</f>
        <v>0</v>
      </c>
      <c r="P93" s="11">
        <f>SUMIFS(TableDailySummary[Rappi_net_sales],TableDailySummary[Fecha],"&gt;="&amp;TableWeeklySummary[[#This Row],[Desde]],TableDailySummary[Fecha],"&lt;="&amp;TableWeeklySummary[[#This Row],[Hasta]])</f>
        <v>0</v>
      </c>
      <c r="Q93" s="11">
        <f>SUMIFS(TableDailySummary[Rappi_orders],TableDailySummary[Fecha],"&gt;="&amp;TableWeeklySummary[[#This Row],[Desde]],TableDailySummary[Fecha],"&lt;="&amp;TableWeeklySummary[[#This Row],[Hasta]])</f>
        <v>0</v>
      </c>
      <c r="R9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3" s="11">
        <f>SUMIFS(TableDailySummary[Corporativo no tienda_orders],TableDailySummary[Fecha],"&gt;="&amp;TableWeeklySummary[[#This Row],[Desde]],TableDailySummary[Fecha],"&lt;="&amp;TableWeeklySummary[[#This Row],[Hasta]])</f>
        <v>0</v>
      </c>
      <c r="T93" s="11">
        <f>SUMIFS(TableDailySummary[Inversión google ads],TableDailySummary[Fecha],"&gt;="&amp;TableWeeklySummary[[#This Row],[Desde]],TableDailySummary[Fecha],"&lt;="&amp;TableWeeklySummary[[#This Row],[Hasta]])</f>
        <v>0</v>
      </c>
      <c r="U93" s="11">
        <f>SUMIFS(TableDailySummary[Ventas google ads],TableDailySummary[Fecha],"&gt;="&amp;TableWeeklySummary[[#This Row],[Desde]],TableDailySummary[Fecha],"&lt;="&amp;TableWeeklySummary[[#This Row],[Hasta]])</f>
        <v>0</v>
      </c>
      <c r="V93" s="11">
        <f>SUMIFS(TableDailySummary[Inversión meta ads],TableDailySummary[Fecha],"&gt;="&amp;TableWeeklySummary[[#This Row],[Desde]],TableDailySummary[Fecha],"&lt;="&amp;TableWeeklySummary[[#This Row],[Hasta]])</f>
        <v>0</v>
      </c>
      <c r="W93" s="11">
        <f>SUMIFS(TableDailySummary[Ventas meta ads],TableDailySummary[Fecha],"&gt;="&amp;TableWeeklySummary[[#This Row],[Desde]],TableDailySummary[Fecha],"&lt;="&amp;TableWeeklySummary[[#This Row],[Hasta]])</f>
        <v>0</v>
      </c>
      <c r="X93" s="11">
        <f>TableWeeklySummary[[#This Row],[Inversión google ads]]+TableWeeklySummary[[#This Row],[Inversión meta ads]]</f>
        <v>0</v>
      </c>
      <c r="Y93" s="11">
        <f>TableWeeklySummary[[#This Row],[Ventas google ads]]+TableWeeklySummary[[#This Row],[Ventas meta ads]]</f>
        <v>0</v>
      </c>
      <c r="Z93" s="14">
        <f>IFERROR(TableWeeklySummary[[#This Row],[Ventas publicidad]]/TableWeeklySummary[[#This Row],[Inversión publicidad]],0)</f>
        <v>0</v>
      </c>
      <c r="AA93" s="14">
        <f>IFERROR(TableWeeklySummary[[#This Row],[Ventas primer cliente]]/TableWeeklySummary[[#This Row],[Inversión publicidad]],0)</f>
        <v>0</v>
      </c>
      <c r="AB93" s="14"/>
      <c r="AC93" s="11"/>
      <c r="AI9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3" s="11">
        <f>SUMIFS(TableDailySummary[Costo de ventas registrado],TableDailySummary[Fecha],"&gt;="&amp;TableWeeklySummary[[#This Row],[Desde]],TableDailySummary[Fecha],"&lt;="&amp;TableWeeklySummary[[#This Row],[Hasta]])</f>
        <v>0</v>
      </c>
      <c r="AK93" s="11">
        <f>SUMIFS(TableDailySummary[Utilidad bruta],TableDailySummary[Fecha],"&gt;="&amp;TableWeeklySummary[[#This Row],[Desde]],TableDailySummary[Fecha],"&lt;="&amp;TableWeeklySummary[[#This Row],[Hasta]])</f>
        <v>0</v>
      </c>
      <c r="AL93" s="18">
        <f>IFERROR(TableWeeklySummary[[#This Row],[Utilidad bruta]]/TableWeeklySummary[[#This Row],[Ventas netas con costo registrado]],0)</f>
        <v>0</v>
      </c>
    </row>
    <row r="94" spans="2:38" x14ac:dyDescent="0.2">
      <c r="B94" s="16">
        <f>_xlfn.ISOWEEKNUM(TableWeeklySummary[[#This Row],[Hasta]])</f>
        <v>31</v>
      </c>
      <c r="C94" s="6">
        <f t="shared" si="2"/>
        <v>45135</v>
      </c>
      <c r="D94" s="6">
        <f>TableWeeklySummary[[#This Row],[Desde]]+7-1</f>
        <v>45141</v>
      </c>
      <c r="E94" s="11">
        <f>SUMIFS(TableDailySummary[Ventas netas totales],TableDailySummary[Fecha],"&gt;="&amp;TableWeeklySummary[[#This Row],[Desde]],TableDailySummary[Fecha],"&lt;="&amp;TableWeeklySummary[[#This Row],[Hasta]])</f>
        <v>0</v>
      </c>
      <c r="F94" s="11">
        <f>SUMIFS(TableDailySummary[Órdenes totales],TableDailySummary[Fecha],"&gt;="&amp;TableWeeklySummary[[#This Row],[Desde]],TableDailySummary[Fecha],"&lt;="&amp;TableWeeklySummary[[#This Row],[Hasta]])</f>
        <v>0</v>
      </c>
      <c r="G94" s="11">
        <f>IFERROR(TableWeeklySummary[[#This Row],[Ventas netas totales]]/TableWeeklySummary[[#This Row],[Órdenes totales]],0)</f>
        <v>0</v>
      </c>
      <c r="H9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4" s="11">
        <f>TableWeeklySummary[[#This Row],[Órden promedio totales]]*TableWeeklySummary[[#This Row],[CR totales]]</f>
        <v>0</v>
      </c>
      <c r="J94" s="11">
        <f>SUMIFS(TableDailySummary[Ventas primer cliente],TableDailySummary[Fecha],"&gt;="&amp;TableWeeklySummary[[#This Row],[Desde]],TableDailySummary[Fecha],"&lt;="&amp;TableWeeklySummary[[#This Row],[Hasta]])</f>
        <v>0</v>
      </c>
      <c r="K94" s="11">
        <f>SUMIFS(TableDailySummary[Órdenes primer cliente],TableDailySummary[Fecha],"&gt;="&amp;TableWeeklySummary[[#This Row],[Desde]],TableDailySummary[Fecha],"&lt;="&amp;TableWeeklySummary[[#This Row],[Hasta]])</f>
        <v>0</v>
      </c>
      <c r="L94" s="11">
        <f>SUMIFS(TableDailySummary[Online Store_net_sales],TableDailySummary[Fecha],"&gt;="&amp;TableWeeklySummary[[#This Row],[Desde]],TableDailySummary[Fecha],"&lt;="&amp;TableWeeklySummary[[#This Row],[Hasta]])</f>
        <v>0</v>
      </c>
      <c r="M94" s="11">
        <f>SUMIFS(TableDailySummary[Online Store_orders],TableDailySummary[Fecha],"&gt;="&amp;TableWeeklySummary[[#This Row],[Desde]],TableDailySummary[Fecha],"&lt;="&amp;TableWeeklySummary[[#This Row],[Hasta]])</f>
        <v>0</v>
      </c>
      <c r="N94" s="11">
        <f>SUMIFS(TableDailySummary[Tienda 81_net_sales],TableDailySummary[Fecha],"&gt;="&amp;TableWeeklySummary[[#This Row],[Desde]],TableDailySummary[Fecha],"&lt;="&amp;TableWeeklySummary[[#This Row],[Hasta]])</f>
        <v>0</v>
      </c>
      <c r="O94" s="11">
        <f>SUMIFS(TableDailySummary[Tienda 81_orders],TableDailySummary[Fecha],"&gt;="&amp;TableWeeklySummary[[#This Row],[Desde]],TableDailySummary[Fecha],"&lt;="&amp;TableWeeklySummary[[#This Row],[Hasta]])</f>
        <v>0</v>
      </c>
      <c r="P94" s="11">
        <f>SUMIFS(TableDailySummary[Rappi_net_sales],TableDailySummary[Fecha],"&gt;="&amp;TableWeeklySummary[[#This Row],[Desde]],TableDailySummary[Fecha],"&lt;="&amp;TableWeeklySummary[[#This Row],[Hasta]])</f>
        <v>0</v>
      </c>
      <c r="Q94" s="11">
        <f>SUMIFS(TableDailySummary[Rappi_orders],TableDailySummary[Fecha],"&gt;="&amp;TableWeeklySummary[[#This Row],[Desde]],TableDailySummary[Fecha],"&lt;="&amp;TableWeeklySummary[[#This Row],[Hasta]])</f>
        <v>0</v>
      </c>
      <c r="R9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4" s="11">
        <f>SUMIFS(TableDailySummary[Corporativo no tienda_orders],TableDailySummary[Fecha],"&gt;="&amp;TableWeeklySummary[[#This Row],[Desde]],TableDailySummary[Fecha],"&lt;="&amp;TableWeeklySummary[[#This Row],[Hasta]])</f>
        <v>0</v>
      </c>
      <c r="T94" s="11">
        <f>SUMIFS(TableDailySummary[Inversión google ads],TableDailySummary[Fecha],"&gt;="&amp;TableWeeklySummary[[#This Row],[Desde]],TableDailySummary[Fecha],"&lt;="&amp;TableWeeklySummary[[#This Row],[Hasta]])</f>
        <v>0</v>
      </c>
      <c r="U94" s="11">
        <f>SUMIFS(TableDailySummary[Ventas google ads],TableDailySummary[Fecha],"&gt;="&amp;TableWeeklySummary[[#This Row],[Desde]],TableDailySummary[Fecha],"&lt;="&amp;TableWeeklySummary[[#This Row],[Hasta]])</f>
        <v>0</v>
      </c>
      <c r="V94" s="11">
        <f>SUMIFS(TableDailySummary[Inversión meta ads],TableDailySummary[Fecha],"&gt;="&amp;TableWeeklySummary[[#This Row],[Desde]],TableDailySummary[Fecha],"&lt;="&amp;TableWeeklySummary[[#This Row],[Hasta]])</f>
        <v>0</v>
      </c>
      <c r="W94" s="11">
        <f>SUMIFS(TableDailySummary[Ventas meta ads],TableDailySummary[Fecha],"&gt;="&amp;TableWeeklySummary[[#This Row],[Desde]],TableDailySummary[Fecha],"&lt;="&amp;TableWeeklySummary[[#This Row],[Hasta]])</f>
        <v>0</v>
      </c>
      <c r="X94" s="11">
        <f>TableWeeklySummary[[#This Row],[Inversión google ads]]+TableWeeklySummary[[#This Row],[Inversión meta ads]]</f>
        <v>0</v>
      </c>
      <c r="Y94" s="11">
        <f>TableWeeklySummary[[#This Row],[Ventas google ads]]+TableWeeklySummary[[#This Row],[Ventas meta ads]]</f>
        <v>0</v>
      </c>
      <c r="Z94" s="14">
        <f>IFERROR(TableWeeklySummary[[#This Row],[Ventas publicidad]]/TableWeeklySummary[[#This Row],[Inversión publicidad]],0)</f>
        <v>0</v>
      </c>
      <c r="AA94" s="14">
        <f>IFERROR(TableWeeklySummary[[#This Row],[Ventas primer cliente]]/TableWeeklySummary[[#This Row],[Inversión publicidad]],0)</f>
        <v>0</v>
      </c>
      <c r="AB94" s="14"/>
      <c r="AC94" s="11"/>
      <c r="AI9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4" s="11">
        <f>SUMIFS(TableDailySummary[Costo de ventas registrado],TableDailySummary[Fecha],"&gt;="&amp;TableWeeklySummary[[#This Row],[Desde]],TableDailySummary[Fecha],"&lt;="&amp;TableWeeklySummary[[#This Row],[Hasta]])</f>
        <v>0</v>
      </c>
      <c r="AK94" s="11">
        <f>SUMIFS(TableDailySummary[Utilidad bruta],TableDailySummary[Fecha],"&gt;="&amp;TableWeeklySummary[[#This Row],[Desde]],TableDailySummary[Fecha],"&lt;="&amp;TableWeeklySummary[[#This Row],[Hasta]])</f>
        <v>0</v>
      </c>
      <c r="AL94" s="18">
        <f>IFERROR(TableWeeklySummary[[#This Row],[Utilidad bruta]]/TableWeeklySummary[[#This Row],[Ventas netas con costo registrado]],0)</f>
        <v>0</v>
      </c>
    </row>
    <row r="95" spans="2:38" x14ac:dyDescent="0.2">
      <c r="B95" s="16">
        <f>_xlfn.ISOWEEKNUM(TableWeeklySummary[[#This Row],[Hasta]])</f>
        <v>32</v>
      </c>
      <c r="C95" s="6">
        <f t="shared" si="2"/>
        <v>45142</v>
      </c>
      <c r="D95" s="6">
        <f>TableWeeklySummary[[#This Row],[Desde]]+7-1</f>
        <v>45148</v>
      </c>
      <c r="E95" s="11">
        <f>SUMIFS(TableDailySummary[Ventas netas totales],TableDailySummary[Fecha],"&gt;="&amp;TableWeeklySummary[[#This Row],[Desde]],TableDailySummary[Fecha],"&lt;="&amp;TableWeeklySummary[[#This Row],[Hasta]])</f>
        <v>0</v>
      </c>
      <c r="F95" s="11">
        <f>SUMIFS(TableDailySummary[Órdenes totales],TableDailySummary[Fecha],"&gt;="&amp;TableWeeklySummary[[#This Row],[Desde]],TableDailySummary[Fecha],"&lt;="&amp;TableWeeklySummary[[#This Row],[Hasta]])</f>
        <v>0</v>
      </c>
      <c r="G95" s="11">
        <f>IFERROR(TableWeeklySummary[[#This Row],[Ventas netas totales]]/TableWeeklySummary[[#This Row],[Órdenes totales]],0)</f>
        <v>0</v>
      </c>
      <c r="H9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5" s="11">
        <f>TableWeeklySummary[[#This Row],[Órden promedio totales]]*TableWeeklySummary[[#This Row],[CR totales]]</f>
        <v>0</v>
      </c>
      <c r="J95" s="11">
        <f>SUMIFS(TableDailySummary[Ventas primer cliente],TableDailySummary[Fecha],"&gt;="&amp;TableWeeklySummary[[#This Row],[Desde]],TableDailySummary[Fecha],"&lt;="&amp;TableWeeklySummary[[#This Row],[Hasta]])</f>
        <v>0</v>
      </c>
      <c r="K95" s="11">
        <f>SUMIFS(TableDailySummary[Órdenes primer cliente],TableDailySummary[Fecha],"&gt;="&amp;TableWeeklySummary[[#This Row],[Desde]],TableDailySummary[Fecha],"&lt;="&amp;TableWeeklySummary[[#This Row],[Hasta]])</f>
        <v>0</v>
      </c>
      <c r="L95" s="11">
        <f>SUMIFS(TableDailySummary[Online Store_net_sales],TableDailySummary[Fecha],"&gt;="&amp;TableWeeklySummary[[#This Row],[Desde]],TableDailySummary[Fecha],"&lt;="&amp;TableWeeklySummary[[#This Row],[Hasta]])</f>
        <v>0</v>
      </c>
      <c r="M95" s="11">
        <f>SUMIFS(TableDailySummary[Online Store_orders],TableDailySummary[Fecha],"&gt;="&amp;TableWeeklySummary[[#This Row],[Desde]],TableDailySummary[Fecha],"&lt;="&amp;TableWeeklySummary[[#This Row],[Hasta]])</f>
        <v>0</v>
      </c>
      <c r="N95" s="11">
        <f>SUMIFS(TableDailySummary[Tienda 81_net_sales],TableDailySummary[Fecha],"&gt;="&amp;TableWeeklySummary[[#This Row],[Desde]],TableDailySummary[Fecha],"&lt;="&amp;TableWeeklySummary[[#This Row],[Hasta]])</f>
        <v>0</v>
      </c>
      <c r="O95" s="11">
        <f>SUMIFS(TableDailySummary[Tienda 81_orders],TableDailySummary[Fecha],"&gt;="&amp;TableWeeklySummary[[#This Row],[Desde]],TableDailySummary[Fecha],"&lt;="&amp;TableWeeklySummary[[#This Row],[Hasta]])</f>
        <v>0</v>
      </c>
      <c r="P95" s="11">
        <f>SUMIFS(TableDailySummary[Rappi_net_sales],TableDailySummary[Fecha],"&gt;="&amp;TableWeeklySummary[[#This Row],[Desde]],TableDailySummary[Fecha],"&lt;="&amp;TableWeeklySummary[[#This Row],[Hasta]])</f>
        <v>0</v>
      </c>
      <c r="Q95" s="11">
        <f>SUMIFS(TableDailySummary[Rappi_orders],TableDailySummary[Fecha],"&gt;="&amp;TableWeeklySummary[[#This Row],[Desde]],TableDailySummary[Fecha],"&lt;="&amp;TableWeeklySummary[[#This Row],[Hasta]])</f>
        <v>0</v>
      </c>
      <c r="R9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5" s="11">
        <f>SUMIFS(TableDailySummary[Corporativo no tienda_orders],TableDailySummary[Fecha],"&gt;="&amp;TableWeeklySummary[[#This Row],[Desde]],TableDailySummary[Fecha],"&lt;="&amp;TableWeeklySummary[[#This Row],[Hasta]])</f>
        <v>0</v>
      </c>
      <c r="T95" s="11">
        <f>SUMIFS(TableDailySummary[Inversión google ads],TableDailySummary[Fecha],"&gt;="&amp;TableWeeklySummary[[#This Row],[Desde]],TableDailySummary[Fecha],"&lt;="&amp;TableWeeklySummary[[#This Row],[Hasta]])</f>
        <v>0</v>
      </c>
      <c r="U95" s="11">
        <f>SUMIFS(TableDailySummary[Ventas google ads],TableDailySummary[Fecha],"&gt;="&amp;TableWeeklySummary[[#This Row],[Desde]],TableDailySummary[Fecha],"&lt;="&amp;TableWeeklySummary[[#This Row],[Hasta]])</f>
        <v>0</v>
      </c>
      <c r="V95" s="11">
        <f>SUMIFS(TableDailySummary[Inversión meta ads],TableDailySummary[Fecha],"&gt;="&amp;TableWeeklySummary[[#This Row],[Desde]],TableDailySummary[Fecha],"&lt;="&amp;TableWeeklySummary[[#This Row],[Hasta]])</f>
        <v>0</v>
      </c>
      <c r="W95" s="11">
        <f>SUMIFS(TableDailySummary[Ventas meta ads],TableDailySummary[Fecha],"&gt;="&amp;TableWeeklySummary[[#This Row],[Desde]],TableDailySummary[Fecha],"&lt;="&amp;TableWeeklySummary[[#This Row],[Hasta]])</f>
        <v>0</v>
      </c>
      <c r="X95" s="11">
        <f>TableWeeklySummary[[#This Row],[Inversión google ads]]+TableWeeklySummary[[#This Row],[Inversión meta ads]]</f>
        <v>0</v>
      </c>
      <c r="Y95" s="11">
        <f>TableWeeklySummary[[#This Row],[Ventas google ads]]+TableWeeklySummary[[#This Row],[Ventas meta ads]]</f>
        <v>0</v>
      </c>
      <c r="Z95" s="14">
        <f>IFERROR(TableWeeklySummary[[#This Row],[Ventas publicidad]]/TableWeeklySummary[[#This Row],[Inversión publicidad]],0)</f>
        <v>0</v>
      </c>
      <c r="AA95" s="14">
        <f>IFERROR(TableWeeklySummary[[#This Row],[Ventas primer cliente]]/TableWeeklySummary[[#This Row],[Inversión publicidad]],0)</f>
        <v>0</v>
      </c>
      <c r="AB95" s="14"/>
      <c r="AC95" s="11"/>
      <c r="AI9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5" s="11">
        <f>SUMIFS(TableDailySummary[Costo de ventas registrado],TableDailySummary[Fecha],"&gt;="&amp;TableWeeklySummary[[#This Row],[Desde]],TableDailySummary[Fecha],"&lt;="&amp;TableWeeklySummary[[#This Row],[Hasta]])</f>
        <v>0</v>
      </c>
      <c r="AK95" s="11">
        <f>SUMIFS(TableDailySummary[Utilidad bruta],TableDailySummary[Fecha],"&gt;="&amp;TableWeeklySummary[[#This Row],[Desde]],TableDailySummary[Fecha],"&lt;="&amp;TableWeeklySummary[[#This Row],[Hasta]])</f>
        <v>0</v>
      </c>
      <c r="AL95" s="18">
        <f>IFERROR(TableWeeklySummary[[#This Row],[Utilidad bruta]]/TableWeeklySummary[[#This Row],[Ventas netas con costo registrado]],0)</f>
        <v>0</v>
      </c>
    </row>
    <row r="96" spans="2:38" x14ac:dyDescent="0.2">
      <c r="B96" s="16">
        <f>_xlfn.ISOWEEKNUM(TableWeeklySummary[[#This Row],[Hasta]])</f>
        <v>33</v>
      </c>
      <c r="C96" s="6">
        <f t="shared" si="2"/>
        <v>45149</v>
      </c>
      <c r="D96" s="6">
        <f>TableWeeklySummary[[#This Row],[Desde]]+7-1</f>
        <v>45155</v>
      </c>
      <c r="E96" s="11">
        <f>SUMIFS(TableDailySummary[Ventas netas totales],TableDailySummary[Fecha],"&gt;="&amp;TableWeeklySummary[[#This Row],[Desde]],TableDailySummary[Fecha],"&lt;="&amp;TableWeeklySummary[[#This Row],[Hasta]])</f>
        <v>0</v>
      </c>
      <c r="F96" s="11">
        <f>SUMIFS(TableDailySummary[Órdenes totales],TableDailySummary[Fecha],"&gt;="&amp;TableWeeklySummary[[#This Row],[Desde]],TableDailySummary[Fecha],"&lt;="&amp;TableWeeklySummary[[#This Row],[Hasta]])</f>
        <v>0</v>
      </c>
      <c r="G96" s="11">
        <f>IFERROR(TableWeeklySummary[[#This Row],[Ventas netas totales]]/TableWeeklySummary[[#This Row],[Órdenes totales]],0)</f>
        <v>0</v>
      </c>
      <c r="H9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6" s="11">
        <f>TableWeeklySummary[[#This Row],[Órden promedio totales]]*TableWeeklySummary[[#This Row],[CR totales]]</f>
        <v>0</v>
      </c>
      <c r="J96" s="11">
        <f>SUMIFS(TableDailySummary[Ventas primer cliente],TableDailySummary[Fecha],"&gt;="&amp;TableWeeklySummary[[#This Row],[Desde]],TableDailySummary[Fecha],"&lt;="&amp;TableWeeklySummary[[#This Row],[Hasta]])</f>
        <v>0</v>
      </c>
      <c r="K96" s="11">
        <f>SUMIFS(TableDailySummary[Órdenes primer cliente],TableDailySummary[Fecha],"&gt;="&amp;TableWeeklySummary[[#This Row],[Desde]],TableDailySummary[Fecha],"&lt;="&amp;TableWeeklySummary[[#This Row],[Hasta]])</f>
        <v>0</v>
      </c>
      <c r="L96" s="11">
        <f>SUMIFS(TableDailySummary[Online Store_net_sales],TableDailySummary[Fecha],"&gt;="&amp;TableWeeklySummary[[#This Row],[Desde]],TableDailySummary[Fecha],"&lt;="&amp;TableWeeklySummary[[#This Row],[Hasta]])</f>
        <v>0</v>
      </c>
      <c r="M96" s="11">
        <f>SUMIFS(TableDailySummary[Online Store_orders],TableDailySummary[Fecha],"&gt;="&amp;TableWeeklySummary[[#This Row],[Desde]],TableDailySummary[Fecha],"&lt;="&amp;TableWeeklySummary[[#This Row],[Hasta]])</f>
        <v>0</v>
      </c>
      <c r="N96" s="11">
        <f>SUMIFS(TableDailySummary[Tienda 81_net_sales],TableDailySummary[Fecha],"&gt;="&amp;TableWeeklySummary[[#This Row],[Desde]],TableDailySummary[Fecha],"&lt;="&amp;TableWeeklySummary[[#This Row],[Hasta]])</f>
        <v>0</v>
      </c>
      <c r="O96" s="11">
        <f>SUMIFS(TableDailySummary[Tienda 81_orders],TableDailySummary[Fecha],"&gt;="&amp;TableWeeklySummary[[#This Row],[Desde]],TableDailySummary[Fecha],"&lt;="&amp;TableWeeklySummary[[#This Row],[Hasta]])</f>
        <v>0</v>
      </c>
      <c r="P96" s="11">
        <f>SUMIFS(TableDailySummary[Rappi_net_sales],TableDailySummary[Fecha],"&gt;="&amp;TableWeeklySummary[[#This Row],[Desde]],TableDailySummary[Fecha],"&lt;="&amp;TableWeeklySummary[[#This Row],[Hasta]])</f>
        <v>0</v>
      </c>
      <c r="Q96" s="11">
        <f>SUMIFS(TableDailySummary[Rappi_orders],TableDailySummary[Fecha],"&gt;="&amp;TableWeeklySummary[[#This Row],[Desde]],TableDailySummary[Fecha],"&lt;="&amp;TableWeeklySummary[[#This Row],[Hasta]])</f>
        <v>0</v>
      </c>
      <c r="R9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6" s="11">
        <f>SUMIFS(TableDailySummary[Corporativo no tienda_orders],TableDailySummary[Fecha],"&gt;="&amp;TableWeeklySummary[[#This Row],[Desde]],TableDailySummary[Fecha],"&lt;="&amp;TableWeeklySummary[[#This Row],[Hasta]])</f>
        <v>0</v>
      </c>
      <c r="T96" s="11">
        <f>SUMIFS(TableDailySummary[Inversión google ads],TableDailySummary[Fecha],"&gt;="&amp;TableWeeklySummary[[#This Row],[Desde]],TableDailySummary[Fecha],"&lt;="&amp;TableWeeklySummary[[#This Row],[Hasta]])</f>
        <v>0</v>
      </c>
      <c r="U96" s="11">
        <f>SUMIFS(TableDailySummary[Ventas google ads],TableDailySummary[Fecha],"&gt;="&amp;TableWeeklySummary[[#This Row],[Desde]],TableDailySummary[Fecha],"&lt;="&amp;TableWeeklySummary[[#This Row],[Hasta]])</f>
        <v>0</v>
      </c>
      <c r="V96" s="11">
        <f>SUMIFS(TableDailySummary[Inversión meta ads],TableDailySummary[Fecha],"&gt;="&amp;TableWeeklySummary[[#This Row],[Desde]],TableDailySummary[Fecha],"&lt;="&amp;TableWeeklySummary[[#This Row],[Hasta]])</f>
        <v>0</v>
      </c>
      <c r="W96" s="11">
        <f>SUMIFS(TableDailySummary[Ventas meta ads],TableDailySummary[Fecha],"&gt;="&amp;TableWeeklySummary[[#This Row],[Desde]],TableDailySummary[Fecha],"&lt;="&amp;TableWeeklySummary[[#This Row],[Hasta]])</f>
        <v>0</v>
      </c>
      <c r="X96" s="11">
        <f>TableWeeklySummary[[#This Row],[Inversión google ads]]+TableWeeklySummary[[#This Row],[Inversión meta ads]]</f>
        <v>0</v>
      </c>
      <c r="Y96" s="11">
        <f>TableWeeklySummary[[#This Row],[Ventas google ads]]+TableWeeklySummary[[#This Row],[Ventas meta ads]]</f>
        <v>0</v>
      </c>
      <c r="Z96" s="14">
        <f>IFERROR(TableWeeklySummary[[#This Row],[Ventas publicidad]]/TableWeeklySummary[[#This Row],[Inversión publicidad]],0)</f>
        <v>0</v>
      </c>
      <c r="AA96" s="14">
        <f>IFERROR(TableWeeklySummary[[#This Row],[Ventas primer cliente]]/TableWeeklySummary[[#This Row],[Inversión publicidad]],0)</f>
        <v>0</v>
      </c>
      <c r="AB96" s="14"/>
      <c r="AC96" s="11"/>
      <c r="AI9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6" s="11">
        <f>SUMIFS(TableDailySummary[Costo de ventas registrado],TableDailySummary[Fecha],"&gt;="&amp;TableWeeklySummary[[#This Row],[Desde]],TableDailySummary[Fecha],"&lt;="&amp;TableWeeklySummary[[#This Row],[Hasta]])</f>
        <v>0</v>
      </c>
      <c r="AK96" s="11">
        <f>SUMIFS(TableDailySummary[Utilidad bruta],TableDailySummary[Fecha],"&gt;="&amp;TableWeeklySummary[[#This Row],[Desde]],TableDailySummary[Fecha],"&lt;="&amp;TableWeeklySummary[[#This Row],[Hasta]])</f>
        <v>0</v>
      </c>
      <c r="AL96" s="18">
        <f>IFERROR(TableWeeklySummary[[#This Row],[Utilidad bruta]]/TableWeeklySummary[[#This Row],[Ventas netas con costo registrado]],0)</f>
        <v>0</v>
      </c>
    </row>
    <row r="97" spans="2:38" x14ac:dyDescent="0.2">
      <c r="B97" s="16">
        <f>_xlfn.ISOWEEKNUM(TableWeeklySummary[[#This Row],[Hasta]])</f>
        <v>34</v>
      </c>
      <c r="C97" s="6">
        <f t="shared" si="2"/>
        <v>45156</v>
      </c>
      <c r="D97" s="6">
        <f>TableWeeklySummary[[#This Row],[Desde]]+7-1</f>
        <v>45162</v>
      </c>
      <c r="E97" s="11">
        <f>SUMIFS(TableDailySummary[Ventas netas totales],TableDailySummary[Fecha],"&gt;="&amp;TableWeeklySummary[[#This Row],[Desde]],TableDailySummary[Fecha],"&lt;="&amp;TableWeeklySummary[[#This Row],[Hasta]])</f>
        <v>0</v>
      </c>
      <c r="F97" s="11">
        <f>SUMIFS(TableDailySummary[Órdenes totales],TableDailySummary[Fecha],"&gt;="&amp;TableWeeklySummary[[#This Row],[Desde]],TableDailySummary[Fecha],"&lt;="&amp;TableWeeklySummary[[#This Row],[Hasta]])</f>
        <v>0</v>
      </c>
      <c r="G97" s="11">
        <f>IFERROR(TableWeeklySummary[[#This Row],[Ventas netas totales]]/TableWeeklySummary[[#This Row],[Órdenes totales]],0)</f>
        <v>0</v>
      </c>
      <c r="H9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7" s="11">
        <f>TableWeeklySummary[[#This Row],[Órden promedio totales]]*TableWeeklySummary[[#This Row],[CR totales]]</f>
        <v>0</v>
      </c>
      <c r="J97" s="11">
        <f>SUMIFS(TableDailySummary[Ventas primer cliente],TableDailySummary[Fecha],"&gt;="&amp;TableWeeklySummary[[#This Row],[Desde]],TableDailySummary[Fecha],"&lt;="&amp;TableWeeklySummary[[#This Row],[Hasta]])</f>
        <v>0</v>
      </c>
      <c r="K97" s="11">
        <f>SUMIFS(TableDailySummary[Órdenes primer cliente],TableDailySummary[Fecha],"&gt;="&amp;TableWeeklySummary[[#This Row],[Desde]],TableDailySummary[Fecha],"&lt;="&amp;TableWeeklySummary[[#This Row],[Hasta]])</f>
        <v>0</v>
      </c>
      <c r="L97" s="11">
        <f>SUMIFS(TableDailySummary[Online Store_net_sales],TableDailySummary[Fecha],"&gt;="&amp;TableWeeklySummary[[#This Row],[Desde]],TableDailySummary[Fecha],"&lt;="&amp;TableWeeklySummary[[#This Row],[Hasta]])</f>
        <v>0</v>
      </c>
      <c r="M97" s="11">
        <f>SUMIFS(TableDailySummary[Online Store_orders],TableDailySummary[Fecha],"&gt;="&amp;TableWeeklySummary[[#This Row],[Desde]],TableDailySummary[Fecha],"&lt;="&amp;TableWeeklySummary[[#This Row],[Hasta]])</f>
        <v>0</v>
      </c>
      <c r="N97" s="11">
        <f>SUMIFS(TableDailySummary[Tienda 81_net_sales],TableDailySummary[Fecha],"&gt;="&amp;TableWeeklySummary[[#This Row],[Desde]],TableDailySummary[Fecha],"&lt;="&amp;TableWeeklySummary[[#This Row],[Hasta]])</f>
        <v>0</v>
      </c>
      <c r="O97" s="11">
        <f>SUMIFS(TableDailySummary[Tienda 81_orders],TableDailySummary[Fecha],"&gt;="&amp;TableWeeklySummary[[#This Row],[Desde]],TableDailySummary[Fecha],"&lt;="&amp;TableWeeklySummary[[#This Row],[Hasta]])</f>
        <v>0</v>
      </c>
      <c r="P97" s="11">
        <f>SUMIFS(TableDailySummary[Rappi_net_sales],TableDailySummary[Fecha],"&gt;="&amp;TableWeeklySummary[[#This Row],[Desde]],TableDailySummary[Fecha],"&lt;="&amp;TableWeeklySummary[[#This Row],[Hasta]])</f>
        <v>0</v>
      </c>
      <c r="Q97" s="11">
        <f>SUMIFS(TableDailySummary[Rappi_orders],TableDailySummary[Fecha],"&gt;="&amp;TableWeeklySummary[[#This Row],[Desde]],TableDailySummary[Fecha],"&lt;="&amp;TableWeeklySummary[[#This Row],[Hasta]])</f>
        <v>0</v>
      </c>
      <c r="R9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7" s="11">
        <f>SUMIFS(TableDailySummary[Corporativo no tienda_orders],TableDailySummary[Fecha],"&gt;="&amp;TableWeeklySummary[[#This Row],[Desde]],TableDailySummary[Fecha],"&lt;="&amp;TableWeeklySummary[[#This Row],[Hasta]])</f>
        <v>0</v>
      </c>
      <c r="T97" s="11">
        <f>SUMIFS(TableDailySummary[Inversión google ads],TableDailySummary[Fecha],"&gt;="&amp;TableWeeklySummary[[#This Row],[Desde]],TableDailySummary[Fecha],"&lt;="&amp;TableWeeklySummary[[#This Row],[Hasta]])</f>
        <v>0</v>
      </c>
      <c r="U97" s="11">
        <f>SUMIFS(TableDailySummary[Ventas google ads],TableDailySummary[Fecha],"&gt;="&amp;TableWeeklySummary[[#This Row],[Desde]],TableDailySummary[Fecha],"&lt;="&amp;TableWeeklySummary[[#This Row],[Hasta]])</f>
        <v>0</v>
      </c>
      <c r="V97" s="11">
        <f>SUMIFS(TableDailySummary[Inversión meta ads],TableDailySummary[Fecha],"&gt;="&amp;TableWeeklySummary[[#This Row],[Desde]],TableDailySummary[Fecha],"&lt;="&amp;TableWeeklySummary[[#This Row],[Hasta]])</f>
        <v>0</v>
      </c>
      <c r="W97" s="11">
        <f>SUMIFS(TableDailySummary[Ventas meta ads],TableDailySummary[Fecha],"&gt;="&amp;TableWeeklySummary[[#This Row],[Desde]],TableDailySummary[Fecha],"&lt;="&amp;TableWeeklySummary[[#This Row],[Hasta]])</f>
        <v>0</v>
      </c>
      <c r="X97" s="11">
        <f>TableWeeklySummary[[#This Row],[Inversión google ads]]+TableWeeklySummary[[#This Row],[Inversión meta ads]]</f>
        <v>0</v>
      </c>
      <c r="Y97" s="11">
        <f>TableWeeklySummary[[#This Row],[Ventas google ads]]+TableWeeklySummary[[#This Row],[Ventas meta ads]]</f>
        <v>0</v>
      </c>
      <c r="Z97" s="14">
        <f>IFERROR(TableWeeklySummary[[#This Row],[Ventas publicidad]]/TableWeeklySummary[[#This Row],[Inversión publicidad]],0)</f>
        <v>0</v>
      </c>
      <c r="AA97" s="14">
        <f>IFERROR(TableWeeklySummary[[#This Row],[Ventas primer cliente]]/TableWeeklySummary[[#This Row],[Inversión publicidad]],0)</f>
        <v>0</v>
      </c>
      <c r="AB97" s="14"/>
      <c r="AC97" s="11"/>
      <c r="AI9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7" s="11">
        <f>SUMIFS(TableDailySummary[Costo de ventas registrado],TableDailySummary[Fecha],"&gt;="&amp;TableWeeklySummary[[#This Row],[Desde]],TableDailySummary[Fecha],"&lt;="&amp;TableWeeklySummary[[#This Row],[Hasta]])</f>
        <v>0</v>
      </c>
      <c r="AK97" s="11">
        <f>SUMIFS(TableDailySummary[Utilidad bruta],TableDailySummary[Fecha],"&gt;="&amp;TableWeeklySummary[[#This Row],[Desde]],TableDailySummary[Fecha],"&lt;="&amp;TableWeeklySummary[[#This Row],[Hasta]])</f>
        <v>0</v>
      </c>
      <c r="AL97" s="18">
        <f>IFERROR(TableWeeklySummary[[#This Row],[Utilidad bruta]]/TableWeeklySummary[[#This Row],[Ventas netas con costo registrado]],0)</f>
        <v>0</v>
      </c>
    </row>
    <row r="98" spans="2:38" x14ac:dyDescent="0.2">
      <c r="B98" s="16">
        <f>_xlfn.ISOWEEKNUM(TableWeeklySummary[[#This Row],[Hasta]])</f>
        <v>35</v>
      </c>
      <c r="C98" s="6">
        <f t="shared" si="2"/>
        <v>45163</v>
      </c>
      <c r="D98" s="6">
        <f>TableWeeklySummary[[#This Row],[Desde]]+7-1</f>
        <v>45169</v>
      </c>
      <c r="E98" s="11">
        <f>SUMIFS(TableDailySummary[Ventas netas totales],TableDailySummary[Fecha],"&gt;="&amp;TableWeeklySummary[[#This Row],[Desde]],TableDailySummary[Fecha],"&lt;="&amp;TableWeeklySummary[[#This Row],[Hasta]])</f>
        <v>0</v>
      </c>
      <c r="F98" s="11">
        <f>SUMIFS(TableDailySummary[Órdenes totales],TableDailySummary[Fecha],"&gt;="&amp;TableWeeklySummary[[#This Row],[Desde]],TableDailySummary[Fecha],"&lt;="&amp;TableWeeklySummary[[#This Row],[Hasta]])</f>
        <v>0</v>
      </c>
      <c r="G98" s="11">
        <f>IFERROR(TableWeeklySummary[[#This Row],[Ventas netas totales]]/TableWeeklySummary[[#This Row],[Órdenes totales]],0)</f>
        <v>0</v>
      </c>
      <c r="H9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8" s="11">
        <f>TableWeeklySummary[[#This Row],[Órden promedio totales]]*TableWeeklySummary[[#This Row],[CR totales]]</f>
        <v>0</v>
      </c>
      <c r="J98" s="11">
        <f>SUMIFS(TableDailySummary[Ventas primer cliente],TableDailySummary[Fecha],"&gt;="&amp;TableWeeklySummary[[#This Row],[Desde]],TableDailySummary[Fecha],"&lt;="&amp;TableWeeklySummary[[#This Row],[Hasta]])</f>
        <v>0</v>
      </c>
      <c r="K98" s="11">
        <f>SUMIFS(TableDailySummary[Órdenes primer cliente],TableDailySummary[Fecha],"&gt;="&amp;TableWeeklySummary[[#This Row],[Desde]],TableDailySummary[Fecha],"&lt;="&amp;TableWeeklySummary[[#This Row],[Hasta]])</f>
        <v>0</v>
      </c>
      <c r="L98" s="11">
        <f>SUMIFS(TableDailySummary[Online Store_net_sales],TableDailySummary[Fecha],"&gt;="&amp;TableWeeklySummary[[#This Row],[Desde]],TableDailySummary[Fecha],"&lt;="&amp;TableWeeklySummary[[#This Row],[Hasta]])</f>
        <v>0</v>
      </c>
      <c r="M98" s="11">
        <f>SUMIFS(TableDailySummary[Online Store_orders],TableDailySummary[Fecha],"&gt;="&amp;TableWeeklySummary[[#This Row],[Desde]],TableDailySummary[Fecha],"&lt;="&amp;TableWeeklySummary[[#This Row],[Hasta]])</f>
        <v>0</v>
      </c>
      <c r="N98" s="11">
        <f>SUMIFS(TableDailySummary[Tienda 81_net_sales],TableDailySummary[Fecha],"&gt;="&amp;TableWeeklySummary[[#This Row],[Desde]],TableDailySummary[Fecha],"&lt;="&amp;TableWeeklySummary[[#This Row],[Hasta]])</f>
        <v>0</v>
      </c>
      <c r="O98" s="11">
        <f>SUMIFS(TableDailySummary[Tienda 81_orders],TableDailySummary[Fecha],"&gt;="&amp;TableWeeklySummary[[#This Row],[Desde]],TableDailySummary[Fecha],"&lt;="&amp;TableWeeklySummary[[#This Row],[Hasta]])</f>
        <v>0</v>
      </c>
      <c r="P98" s="11">
        <f>SUMIFS(TableDailySummary[Rappi_net_sales],TableDailySummary[Fecha],"&gt;="&amp;TableWeeklySummary[[#This Row],[Desde]],TableDailySummary[Fecha],"&lt;="&amp;TableWeeklySummary[[#This Row],[Hasta]])</f>
        <v>0</v>
      </c>
      <c r="Q98" s="11">
        <f>SUMIFS(TableDailySummary[Rappi_orders],TableDailySummary[Fecha],"&gt;="&amp;TableWeeklySummary[[#This Row],[Desde]],TableDailySummary[Fecha],"&lt;="&amp;TableWeeklySummary[[#This Row],[Hasta]])</f>
        <v>0</v>
      </c>
      <c r="R9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8" s="11">
        <f>SUMIFS(TableDailySummary[Corporativo no tienda_orders],TableDailySummary[Fecha],"&gt;="&amp;TableWeeklySummary[[#This Row],[Desde]],TableDailySummary[Fecha],"&lt;="&amp;TableWeeklySummary[[#This Row],[Hasta]])</f>
        <v>0</v>
      </c>
      <c r="T98" s="11">
        <f>SUMIFS(TableDailySummary[Inversión google ads],TableDailySummary[Fecha],"&gt;="&amp;TableWeeklySummary[[#This Row],[Desde]],TableDailySummary[Fecha],"&lt;="&amp;TableWeeklySummary[[#This Row],[Hasta]])</f>
        <v>0</v>
      </c>
      <c r="U98" s="11">
        <f>SUMIFS(TableDailySummary[Ventas google ads],TableDailySummary[Fecha],"&gt;="&amp;TableWeeklySummary[[#This Row],[Desde]],TableDailySummary[Fecha],"&lt;="&amp;TableWeeklySummary[[#This Row],[Hasta]])</f>
        <v>0</v>
      </c>
      <c r="V98" s="11">
        <f>SUMIFS(TableDailySummary[Inversión meta ads],TableDailySummary[Fecha],"&gt;="&amp;TableWeeklySummary[[#This Row],[Desde]],TableDailySummary[Fecha],"&lt;="&amp;TableWeeklySummary[[#This Row],[Hasta]])</f>
        <v>0</v>
      </c>
      <c r="W98" s="11">
        <f>SUMIFS(TableDailySummary[Ventas meta ads],TableDailySummary[Fecha],"&gt;="&amp;TableWeeklySummary[[#This Row],[Desde]],TableDailySummary[Fecha],"&lt;="&amp;TableWeeklySummary[[#This Row],[Hasta]])</f>
        <v>0</v>
      </c>
      <c r="X98" s="11">
        <f>TableWeeklySummary[[#This Row],[Inversión google ads]]+TableWeeklySummary[[#This Row],[Inversión meta ads]]</f>
        <v>0</v>
      </c>
      <c r="Y98" s="11">
        <f>TableWeeklySummary[[#This Row],[Ventas google ads]]+TableWeeklySummary[[#This Row],[Ventas meta ads]]</f>
        <v>0</v>
      </c>
      <c r="Z98" s="14">
        <f>IFERROR(TableWeeklySummary[[#This Row],[Ventas publicidad]]/TableWeeklySummary[[#This Row],[Inversión publicidad]],0)</f>
        <v>0</v>
      </c>
      <c r="AA98" s="14">
        <f>IFERROR(TableWeeklySummary[[#This Row],[Ventas primer cliente]]/TableWeeklySummary[[#This Row],[Inversión publicidad]],0)</f>
        <v>0</v>
      </c>
      <c r="AB98" s="14"/>
      <c r="AC98" s="11"/>
      <c r="AI9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8" s="11">
        <f>SUMIFS(TableDailySummary[Costo de ventas registrado],TableDailySummary[Fecha],"&gt;="&amp;TableWeeklySummary[[#This Row],[Desde]],TableDailySummary[Fecha],"&lt;="&amp;TableWeeklySummary[[#This Row],[Hasta]])</f>
        <v>0</v>
      </c>
      <c r="AK98" s="11">
        <f>SUMIFS(TableDailySummary[Utilidad bruta],TableDailySummary[Fecha],"&gt;="&amp;TableWeeklySummary[[#This Row],[Desde]],TableDailySummary[Fecha],"&lt;="&amp;TableWeeklySummary[[#This Row],[Hasta]])</f>
        <v>0</v>
      </c>
      <c r="AL98" s="18">
        <f>IFERROR(TableWeeklySummary[[#This Row],[Utilidad bruta]]/TableWeeklySummary[[#This Row],[Ventas netas con costo registrado]],0)</f>
        <v>0</v>
      </c>
    </row>
    <row r="99" spans="2:38" x14ac:dyDescent="0.2">
      <c r="B99" s="16">
        <f>_xlfn.ISOWEEKNUM(TableWeeklySummary[[#This Row],[Hasta]])</f>
        <v>36</v>
      </c>
      <c r="C99" s="6">
        <f t="shared" si="2"/>
        <v>45170</v>
      </c>
      <c r="D99" s="6">
        <f>TableWeeklySummary[[#This Row],[Desde]]+7-1</f>
        <v>45176</v>
      </c>
      <c r="E99" s="11">
        <f>SUMIFS(TableDailySummary[Ventas netas totales],TableDailySummary[Fecha],"&gt;="&amp;TableWeeklySummary[[#This Row],[Desde]],TableDailySummary[Fecha],"&lt;="&amp;TableWeeklySummary[[#This Row],[Hasta]])</f>
        <v>0</v>
      </c>
      <c r="F99" s="11">
        <f>SUMIFS(TableDailySummary[Órdenes totales],TableDailySummary[Fecha],"&gt;="&amp;TableWeeklySummary[[#This Row],[Desde]],TableDailySummary[Fecha],"&lt;="&amp;TableWeeklySummary[[#This Row],[Hasta]])</f>
        <v>0</v>
      </c>
      <c r="G99" s="11">
        <f>IFERROR(TableWeeklySummary[[#This Row],[Ventas netas totales]]/TableWeeklySummary[[#This Row],[Órdenes totales]],0)</f>
        <v>0</v>
      </c>
      <c r="H9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99" s="11">
        <f>TableWeeklySummary[[#This Row],[Órden promedio totales]]*TableWeeklySummary[[#This Row],[CR totales]]</f>
        <v>0</v>
      </c>
      <c r="J99" s="11">
        <f>SUMIFS(TableDailySummary[Ventas primer cliente],TableDailySummary[Fecha],"&gt;="&amp;TableWeeklySummary[[#This Row],[Desde]],TableDailySummary[Fecha],"&lt;="&amp;TableWeeklySummary[[#This Row],[Hasta]])</f>
        <v>0</v>
      </c>
      <c r="K99" s="11">
        <f>SUMIFS(TableDailySummary[Órdenes primer cliente],TableDailySummary[Fecha],"&gt;="&amp;TableWeeklySummary[[#This Row],[Desde]],TableDailySummary[Fecha],"&lt;="&amp;TableWeeklySummary[[#This Row],[Hasta]])</f>
        <v>0</v>
      </c>
      <c r="L99" s="11">
        <f>SUMIFS(TableDailySummary[Online Store_net_sales],TableDailySummary[Fecha],"&gt;="&amp;TableWeeklySummary[[#This Row],[Desde]],TableDailySummary[Fecha],"&lt;="&amp;TableWeeklySummary[[#This Row],[Hasta]])</f>
        <v>0</v>
      </c>
      <c r="M99" s="11">
        <f>SUMIFS(TableDailySummary[Online Store_orders],TableDailySummary[Fecha],"&gt;="&amp;TableWeeklySummary[[#This Row],[Desde]],TableDailySummary[Fecha],"&lt;="&amp;TableWeeklySummary[[#This Row],[Hasta]])</f>
        <v>0</v>
      </c>
      <c r="N99" s="11">
        <f>SUMIFS(TableDailySummary[Tienda 81_net_sales],TableDailySummary[Fecha],"&gt;="&amp;TableWeeklySummary[[#This Row],[Desde]],TableDailySummary[Fecha],"&lt;="&amp;TableWeeklySummary[[#This Row],[Hasta]])</f>
        <v>0</v>
      </c>
      <c r="O99" s="11">
        <f>SUMIFS(TableDailySummary[Tienda 81_orders],TableDailySummary[Fecha],"&gt;="&amp;TableWeeklySummary[[#This Row],[Desde]],TableDailySummary[Fecha],"&lt;="&amp;TableWeeklySummary[[#This Row],[Hasta]])</f>
        <v>0</v>
      </c>
      <c r="P99" s="11">
        <f>SUMIFS(TableDailySummary[Rappi_net_sales],TableDailySummary[Fecha],"&gt;="&amp;TableWeeklySummary[[#This Row],[Desde]],TableDailySummary[Fecha],"&lt;="&amp;TableWeeklySummary[[#This Row],[Hasta]])</f>
        <v>0</v>
      </c>
      <c r="Q99" s="11">
        <f>SUMIFS(TableDailySummary[Rappi_orders],TableDailySummary[Fecha],"&gt;="&amp;TableWeeklySummary[[#This Row],[Desde]],TableDailySummary[Fecha],"&lt;="&amp;TableWeeklySummary[[#This Row],[Hasta]])</f>
        <v>0</v>
      </c>
      <c r="R9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99" s="11">
        <f>SUMIFS(TableDailySummary[Corporativo no tienda_orders],TableDailySummary[Fecha],"&gt;="&amp;TableWeeklySummary[[#This Row],[Desde]],TableDailySummary[Fecha],"&lt;="&amp;TableWeeklySummary[[#This Row],[Hasta]])</f>
        <v>0</v>
      </c>
      <c r="T99" s="11">
        <f>SUMIFS(TableDailySummary[Inversión google ads],TableDailySummary[Fecha],"&gt;="&amp;TableWeeklySummary[[#This Row],[Desde]],TableDailySummary[Fecha],"&lt;="&amp;TableWeeklySummary[[#This Row],[Hasta]])</f>
        <v>0</v>
      </c>
      <c r="U99" s="11">
        <f>SUMIFS(TableDailySummary[Ventas google ads],TableDailySummary[Fecha],"&gt;="&amp;TableWeeklySummary[[#This Row],[Desde]],TableDailySummary[Fecha],"&lt;="&amp;TableWeeklySummary[[#This Row],[Hasta]])</f>
        <v>0</v>
      </c>
      <c r="V99" s="11">
        <f>SUMIFS(TableDailySummary[Inversión meta ads],TableDailySummary[Fecha],"&gt;="&amp;TableWeeklySummary[[#This Row],[Desde]],TableDailySummary[Fecha],"&lt;="&amp;TableWeeklySummary[[#This Row],[Hasta]])</f>
        <v>0</v>
      </c>
      <c r="W99" s="11">
        <f>SUMIFS(TableDailySummary[Ventas meta ads],TableDailySummary[Fecha],"&gt;="&amp;TableWeeklySummary[[#This Row],[Desde]],TableDailySummary[Fecha],"&lt;="&amp;TableWeeklySummary[[#This Row],[Hasta]])</f>
        <v>0</v>
      </c>
      <c r="X99" s="11">
        <f>TableWeeklySummary[[#This Row],[Inversión google ads]]+TableWeeklySummary[[#This Row],[Inversión meta ads]]</f>
        <v>0</v>
      </c>
      <c r="Y99" s="11">
        <f>TableWeeklySummary[[#This Row],[Ventas google ads]]+TableWeeklySummary[[#This Row],[Ventas meta ads]]</f>
        <v>0</v>
      </c>
      <c r="Z99" s="14">
        <f>IFERROR(TableWeeklySummary[[#This Row],[Ventas publicidad]]/TableWeeklySummary[[#This Row],[Inversión publicidad]],0)</f>
        <v>0</v>
      </c>
      <c r="AA99" s="14">
        <f>IFERROR(TableWeeklySummary[[#This Row],[Ventas primer cliente]]/TableWeeklySummary[[#This Row],[Inversión publicidad]],0)</f>
        <v>0</v>
      </c>
      <c r="AB99" s="14"/>
      <c r="AC99" s="11"/>
      <c r="AI9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99" s="11">
        <f>SUMIFS(TableDailySummary[Costo de ventas registrado],TableDailySummary[Fecha],"&gt;="&amp;TableWeeklySummary[[#This Row],[Desde]],TableDailySummary[Fecha],"&lt;="&amp;TableWeeklySummary[[#This Row],[Hasta]])</f>
        <v>0</v>
      </c>
      <c r="AK99" s="11">
        <f>SUMIFS(TableDailySummary[Utilidad bruta],TableDailySummary[Fecha],"&gt;="&amp;TableWeeklySummary[[#This Row],[Desde]],TableDailySummary[Fecha],"&lt;="&amp;TableWeeklySummary[[#This Row],[Hasta]])</f>
        <v>0</v>
      </c>
      <c r="AL99" s="18">
        <f>IFERROR(TableWeeklySummary[[#This Row],[Utilidad bruta]]/TableWeeklySummary[[#This Row],[Ventas netas con costo registrado]],0)</f>
        <v>0</v>
      </c>
    </row>
    <row r="100" spans="2:38" x14ac:dyDescent="0.2">
      <c r="B100" s="16">
        <f>_xlfn.ISOWEEKNUM(TableWeeklySummary[[#This Row],[Hasta]])</f>
        <v>37</v>
      </c>
      <c r="C100" s="6">
        <f t="shared" si="2"/>
        <v>45177</v>
      </c>
      <c r="D100" s="6">
        <f>TableWeeklySummary[[#This Row],[Desde]]+7-1</f>
        <v>45183</v>
      </c>
      <c r="E100" s="11">
        <f>SUMIFS(TableDailySummary[Ventas netas totales],TableDailySummary[Fecha],"&gt;="&amp;TableWeeklySummary[[#This Row],[Desde]],TableDailySummary[Fecha],"&lt;="&amp;TableWeeklySummary[[#This Row],[Hasta]])</f>
        <v>0</v>
      </c>
      <c r="F100" s="11">
        <f>SUMIFS(TableDailySummary[Órdenes totales],TableDailySummary[Fecha],"&gt;="&amp;TableWeeklySummary[[#This Row],[Desde]],TableDailySummary[Fecha],"&lt;="&amp;TableWeeklySummary[[#This Row],[Hasta]])</f>
        <v>0</v>
      </c>
      <c r="G100" s="11">
        <f>IFERROR(TableWeeklySummary[[#This Row],[Ventas netas totales]]/TableWeeklySummary[[#This Row],[Órdenes totales]],0)</f>
        <v>0</v>
      </c>
      <c r="H10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0" s="11">
        <f>TableWeeklySummary[[#This Row],[Órden promedio totales]]*TableWeeklySummary[[#This Row],[CR totales]]</f>
        <v>0</v>
      </c>
      <c r="J100" s="11">
        <f>SUMIFS(TableDailySummary[Ventas primer cliente],TableDailySummary[Fecha],"&gt;="&amp;TableWeeklySummary[[#This Row],[Desde]],TableDailySummary[Fecha],"&lt;="&amp;TableWeeklySummary[[#This Row],[Hasta]])</f>
        <v>0</v>
      </c>
      <c r="K100" s="11">
        <f>SUMIFS(TableDailySummary[Órdenes primer cliente],TableDailySummary[Fecha],"&gt;="&amp;TableWeeklySummary[[#This Row],[Desde]],TableDailySummary[Fecha],"&lt;="&amp;TableWeeklySummary[[#This Row],[Hasta]])</f>
        <v>0</v>
      </c>
      <c r="L100" s="11">
        <f>SUMIFS(TableDailySummary[Online Store_net_sales],TableDailySummary[Fecha],"&gt;="&amp;TableWeeklySummary[[#This Row],[Desde]],TableDailySummary[Fecha],"&lt;="&amp;TableWeeklySummary[[#This Row],[Hasta]])</f>
        <v>0</v>
      </c>
      <c r="M100" s="11">
        <f>SUMIFS(TableDailySummary[Online Store_orders],TableDailySummary[Fecha],"&gt;="&amp;TableWeeklySummary[[#This Row],[Desde]],TableDailySummary[Fecha],"&lt;="&amp;TableWeeklySummary[[#This Row],[Hasta]])</f>
        <v>0</v>
      </c>
      <c r="N100" s="11">
        <f>SUMIFS(TableDailySummary[Tienda 81_net_sales],TableDailySummary[Fecha],"&gt;="&amp;TableWeeklySummary[[#This Row],[Desde]],TableDailySummary[Fecha],"&lt;="&amp;TableWeeklySummary[[#This Row],[Hasta]])</f>
        <v>0</v>
      </c>
      <c r="O100" s="11">
        <f>SUMIFS(TableDailySummary[Tienda 81_orders],TableDailySummary[Fecha],"&gt;="&amp;TableWeeklySummary[[#This Row],[Desde]],TableDailySummary[Fecha],"&lt;="&amp;TableWeeklySummary[[#This Row],[Hasta]])</f>
        <v>0</v>
      </c>
      <c r="P100" s="11">
        <f>SUMIFS(TableDailySummary[Rappi_net_sales],TableDailySummary[Fecha],"&gt;="&amp;TableWeeklySummary[[#This Row],[Desde]],TableDailySummary[Fecha],"&lt;="&amp;TableWeeklySummary[[#This Row],[Hasta]])</f>
        <v>0</v>
      </c>
      <c r="Q100" s="11">
        <f>SUMIFS(TableDailySummary[Rappi_orders],TableDailySummary[Fecha],"&gt;="&amp;TableWeeklySummary[[#This Row],[Desde]],TableDailySummary[Fecha],"&lt;="&amp;TableWeeklySummary[[#This Row],[Hasta]])</f>
        <v>0</v>
      </c>
      <c r="R10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0" s="11">
        <f>SUMIFS(TableDailySummary[Corporativo no tienda_orders],TableDailySummary[Fecha],"&gt;="&amp;TableWeeklySummary[[#This Row],[Desde]],TableDailySummary[Fecha],"&lt;="&amp;TableWeeklySummary[[#This Row],[Hasta]])</f>
        <v>0</v>
      </c>
      <c r="T100" s="11">
        <f>SUMIFS(TableDailySummary[Inversión google ads],TableDailySummary[Fecha],"&gt;="&amp;TableWeeklySummary[[#This Row],[Desde]],TableDailySummary[Fecha],"&lt;="&amp;TableWeeklySummary[[#This Row],[Hasta]])</f>
        <v>0</v>
      </c>
      <c r="U100" s="11">
        <f>SUMIFS(TableDailySummary[Ventas google ads],TableDailySummary[Fecha],"&gt;="&amp;TableWeeklySummary[[#This Row],[Desde]],TableDailySummary[Fecha],"&lt;="&amp;TableWeeklySummary[[#This Row],[Hasta]])</f>
        <v>0</v>
      </c>
      <c r="V100" s="11">
        <f>SUMIFS(TableDailySummary[Inversión meta ads],TableDailySummary[Fecha],"&gt;="&amp;TableWeeklySummary[[#This Row],[Desde]],TableDailySummary[Fecha],"&lt;="&amp;TableWeeklySummary[[#This Row],[Hasta]])</f>
        <v>0</v>
      </c>
      <c r="W100" s="11">
        <f>SUMIFS(TableDailySummary[Ventas meta ads],TableDailySummary[Fecha],"&gt;="&amp;TableWeeklySummary[[#This Row],[Desde]],TableDailySummary[Fecha],"&lt;="&amp;TableWeeklySummary[[#This Row],[Hasta]])</f>
        <v>0</v>
      </c>
      <c r="X100" s="11">
        <f>TableWeeklySummary[[#This Row],[Inversión google ads]]+TableWeeklySummary[[#This Row],[Inversión meta ads]]</f>
        <v>0</v>
      </c>
      <c r="Y100" s="11">
        <f>TableWeeklySummary[[#This Row],[Ventas google ads]]+TableWeeklySummary[[#This Row],[Ventas meta ads]]</f>
        <v>0</v>
      </c>
      <c r="Z100" s="14">
        <f>IFERROR(TableWeeklySummary[[#This Row],[Ventas publicidad]]/TableWeeklySummary[[#This Row],[Inversión publicidad]],0)</f>
        <v>0</v>
      </c>
      <c r="AA100" s="14">
        <f>IFERROR(TableWeeklySummary[[#This Row],[Ventas primer cliente]]/TableWeeklySummary[[#This Row],[Inversión publicidad]],0)</f>
        <v>0</v>
      </c>
      <c r="AB100" s="14"/>
      <c r="AC100" s="11"/>
      <c r="AI10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0" s="11">
        <f>SUMIFS(TableDailySummary[Costo de ventas registrado],TableDailySummary[Fecha],"&gt;="&amp;TableWeeklySummary[[#This Row],[Desde]],TableDailySummary[Fecha],"&lt;="&amp;TableWeeklySummary[[#This Row],[Hasta]])</f>
        <v>0</v>
      </c>
      <c r="AK100" s="11">
        <f>SUMIFS(TableDailySummary[Utilidad bruta],TableDailySummary[Fecha],"&gt;="&amp;TableWeeklySummary[[#This Row],[Desde]],TableDailySummary[Fecha],"&lt;="&amp;TableWeeklySummary[[#This Row],[Hasta]])</f>
        <v>0</v>
      </c>
      <c r="AL100" s="18">
        <f>IFERROR(TableWeeklySummary[[#This Row],[Utilidad bruta]]/TableWeeklySummary[[#This Row],[Ventas netas con costo registrado]],0)</f>
        <v>0</v>
      </c>
    </row>
    <row r="101" spans="2:38" x14ac:dyDescent="0.2">
      <c r="B101" s="16">
        <f>_xlfn.ISOWEEKNUM(TableWeeklySummary[[#This Row],[Hasta]])</f>
        <v>38</v>
      </c>
      <c r="C101" s="6">
        <f t="shared" si="2"/>
        <v>45184</v>
      </c>
      <c r="D101" s="6">
        <f>TableWeeklySummary[[#This Row],[Desde]]+7-1</f>
        <v>45190</v>
      </c>
      <c r="E101" s="11">
        <f>SUMIFS(TableDailySummary[Ventas netas totales],TableDailySummary[Fecha],"&gt;="&amp;TableWeeklySummary[[#This Row],[Desde]],TableDailySummary[Fecha],"&lt;="&amp;TableWeeklySummary[[#This Row],[Hasta]])</f>
        <v>0</v>
      </c>
      <c r="F101" s="11">
        <f>SUMIFS(TableDailySummary[Órdenes totales],TableDailySummary[Fecha],"&gt;="&amp;TableWeeklySummary[[#This Row],[Desde]],TableDailySummary[Fecha],"&lt;="&amp;TableWeeklySummary[[#This Row],[Hasta]])</f>
        <v>0</v>
      </c>
      <c r="G101" s="11">
        <f>IFERROR(TableWeeklySummary[[#This Row],[Ventas netas totales]]/TableWeeklySummary[[#This Row],[Órdenes totales]],0)</f>
        <v>0</v>
      </c>
      <c r="H10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1" s="11">
        <f>TableWeeklySummary[[#This Row],[Órden promedio totales]]*TableWeeklySummary[[#This Row],[CR totales]]</f>
        <v>0</v>
      </c>
      <c r="J101" s="11">
        <f>SUMIFS(TableDailySummary[Ventas primer cliente],TableDailySummary[Fecha],"&gt;="&amp;TableWeeklySummary[[#This Row],[Desde]],TableDailySummary[Fecha],"&lt;="&amp;TableWeeklySummary[[#This Row],[Hasta]])</f>
        <v>0</v>
      </c>
      <c r="K101" s="11">
        <f>SUMIFS(TableDailySummary[Órdenes primer cliente],TableDailySummary[Fecha],"&gt;="&amp;TableWeeklySummary[[#This Row],[Desde]],TableDailySummary[Fecha],"&lt;="&amp;TableWeeklySummary[[#This Row],[Hasta]])</f>
        <v>0</v>
      </c>
      <c r="L101" s="11">
        <f>SUMIFS(TableDailySummary[Online Store_net_sales],TableDailySummary[Fecha],"&gt;="&amp;TableWeeklySummary[[#This Row],[Desde]],TableDailySummary[Fecha],"&lt;="&amp;TableWeeklySummary[[#This Row],[Hasta]])</f>
        <v>0</v>
      </c>
      <c r="M101" s="11">
        <f>SUMIFS(TableDailySummary[Online Store_orders],TableDailySummary[Fecha],"&gt;="&amp;TableWeeklySummary[[#This Row],[Desde]],TableDailySummary[Fecha],"&lt;="&amp;TableWeeklySummary[[#This Row],[Hasta]])</f>
        <v>0</v>
      </c>
      <c r="N101" s="11">
        <f>SUMIFS(TableDailySummary[Tienda 81_net_sales],TableDailySummary[Fecha],"&gt;="&amp;TableWeeklySummary[[#This Row],[Desde]],TableDailySummary[Fecha],"&lt;="&amp;TableWeeklySummary[[#This Row],[Hasta]])</f>
        <v>0</v>
      </c>
      <c r="O101" s="11">
        <f>SUMIFS(TableDailySummary[Tienda 81_orders],TableDailySummary[Fecha],"&gt;="&amp;TableWeeklySummary[[#This Row],[Desde]],TableDailySummary[Fecha],"&lt;="&amp;TableWeeklySummary[[#This Row],[Hasta]])</f>
        <v>0</v>
      </c>
      <c r="P101" s="11">
        <f>SUMIFS(TableDailySummary[Rappi_net_sales],TableDailySummary[Fecha],"&gt;="&amp;TableWeeklySummary[[#This Row],[Desde]],TableDailySummary[Fecha],"&lt;="&amp;TableWeeklySummary[[#This Row],[Hasta]])</f>
        <v>0</v>
      </c>
      <c r="Q101" s="11">
        <f>SUMIFS(TableDailySummary[Rappi_orders],TableDailySummary[Fecha],"&gt;="&amp;TableWeeklySummary[[#This Row],[Desde]],TableDailySummary[Fecha],"&lt;="&amp;TableWeeklySummary[[#This Row],[Hasta]])</f>
        <v>0</v>
      </c>
      <c r="R10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1" s="11">
        <f>SUMIFS(TableDailySummary[Corporativo no tienda_orders],TableDailySummary[Fecha],"&gt;="&amp;TableWeeklySummary[[#This Row],[Desde]],TableDailySummary[Fecha],"&lt;="&amp;TableWeeklySummary[[#This Row],[Hasta]])</f>
        <v>0</v>
      </c>
      <c r="T101" s="11">
        <f>SUMIFS(TableDailySummary[Inversión google ads],TableDailySummary[Fecha],"&gt;="&amp;TableWeeklySummary[[#This Row],[Desde]],TableDailySummary[Fecha],"&lt;="&amp;TableWeeklySummary[[#This Row],[Hasta]])</f>
        <v>0</v>
      </c>
      <c r="U101" s="11">
        <f>SUMIFS(TableDailySummary[Ventas google ads],TableDailySummary[Fecha],"&gt;="&amp;TableWeeklySummary[[#This Row],[Desde]],TableDailySummary[Fecha],"&lt;="&amp;TableWeeklySummary[[#This Row],[Hasta]])</f>
        <v>0</v>
      </c>
      <c r="V101" s="11">
        <f>SUMIFS(TableDailySummary[Inversión meta ads],TableDailySummary[Fecha],"&gt;="&amp;TableWeeklySummary[[#This Row],[Desde]],TableDailySummary[Fecha],"&lt;="&amp;TableWeeklySummary[[#This Row],[Hasta]])</f>
        <v>0</v>
      </c>
      <c r="W101" s="11">
        <f>SUMIFS(TableDailySummary[Ventas meta ads],TableDailySummary[Fecha],"&gt;="&amp;TableWeeklySummary[[#This Row],[Desde]],TableDailySummary[Fecha],"&lt;="&amp;TableWeeklySummary[[#This Row],[Hasta]])</f>
        <v>0</v>
      </c>
      <c r="X101" s="11">
        <f>TableWeeklySummary[[#This Row],[Inversión google ads]]+TableWeeklySummary[[#This Row],[Inversión meta ads]]</f>
        <v>0</v>
      </c>
      <c r="Y101" s="11">
        <f>TableWeeklySummary[[#This Row],[Ventas google ads]]+TableWeeklySummary[[#This Row],[Ventas meta ads]]</f>
        <v>0</v>
      </c>
      <c r="Z101" s="14">
        <f>IFERROR(TableWeeklySummary[[#This Row],[Ventas publicidad]]/TableWeeklySummary[[#This Row],[Inversión publicidad]],0)</f>
        <v>0</v>
      </c>
      <c r="AA101" s="14">
        <f>IFERROR(TableWeeklySummary[[#This Row],[Ventas primer cliente]]/TableWeeklySummary[[#This Row],[Inversión publicidad]],0)</f>
        <v>0</v>
      </c>
      <c r="AB101" s="14"/>
      <c r="AC101" s="11"/>
      <c r="AI10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1" s="11">
        <f>SUMIFS(TableDailySummary[Costo de ventas registrado],TableDailySummary[Fecha],"&gt;="&amp;TableWeeklySummary[[#This Row],[Desde]],TableDailySummary[Fecha],"&lt;="&amp;TableWeeklySummary[[#This Row],[Hasta]])</f>
        <v>0</v>
      </c>
      <c r="AK101" s="11">
        <f>SUMIFS(TableDailySummary[Utilidad bruta],TableDailySummary[Fecha],"&gt;="&amp;TableWeeklySummary[[#This Row],[Desde]],TableDailySummary[Fecha],"&lt;="&amp;TableWeeklySummary[[#This Row],[Hasta]])</f>
        <v>0</v>
      </c>
      <c r="AL101" s="18">
        <f>IFERROR(TableWeeklySummary[[#This Row],[Utilidad bruta]]/TableWeeklySummary[[#This Row],[Ventas netas con costo registrado]],0)</f>
        <v>0</v>
      </c>
    </row>
    <row r="102" spans="2:38" x14ac:dyDescent="0.2">
      <c r="B102" s="16">
        <f>_xlfn.ISOWEEKNUM(TableWeeklySummary[[#This Row],[Hasta]])</f>
        <v>39</v>
      </c>
      <c r="C102" s="6">
        <f t="shared" si="2"/>
        <v>45191</v>
      </c>
      <c r="D102" s="6">
        <f>TableWeeklySummary[[#This Row],[Desde]]+7-1</f>
        <v>45197</v>
      </c>
      <c r="E102" s="11">
        <f>SUMIFS(TableDailySummary[Ventas netas totales],TableDailySummary[Fecha],"&gt;="&amp;TableWeeklySummary[[#This Row],[Desde]],TableDailySummary[Fecha],"&lt;="&amp;TableWeeklySummary[[#This Row],[Hasta]])</f>
        <v>0</v>
      </c>
      <c r="F102" s="11">
        <f>SUMIFS(TableDailySummary[Órdenes totales],TableDailySummary[Fecha],"&gt;="&amp;TableWeeklySummary[[#This Row],[Desde]],TableDailySummary[Fecha],"&lt;="&amp;TableWeeklySummary[[#This Row],[Hasta]])</f>
        <v>0</v>
      </c>
      <c r="G102" s="11">
        <f>IFERROR(TableWeeklySummary[[#This Row],[Ventas netas totales]]/TableWeeklySummary[[#This Row],[Órdenes totales]],0)</f>
        <v>0</v>
      </c>
      <c r="H10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2" s="11">
        <f>TableWeeklySummary[[#This Row],[Órden promedio totales]]*TableWeeklySummary[[#This Row],[CR totales]]</f>
        <v>0</v>
      </c>
      <c r="J102" s="11">
        <f>SUMIFS(TableDailySummary[Ventas primer cliente],TableDailySummary[Fecha],"&gt;="&amp;TableWeeklySummary[[#This Row],[Desde]],TableDailySummary[Fecha],"&lt;="&amp;TableWeeklySummary[[#This Row],[Hasta]])</f>
        <v>0</v>
      </c>
      <c r="K102" s="11">
        <f>SUMIFS(TableDailySummary[Órdenes primer cliente],TableDailySummary[Fecha],"&gt;="&amp;TableWeeklySummary[[#This Row],[Desde]],TableDailySummary[Fecha],"&lt;="&amp;TableWeeklySummary[[#This Row],[Hasta]])</f>
        <v>0</v>
      </c>
      <c r="L102" s="11">
        <f>SUMIFS(TableDailySummary[Online Store_net_sales],TableDailySummary[Fecha],"&gt;="&amp;TableWeeklySummary[[#This Row],[Desde]],TableDailySummary[Fecha],"&lt;="&amp;TableWeeklySummary[[#This Row],[Hasta]])</f>
        <v>0</v>
      </c>
      <c r="M102" s="11">
        <f>SUMIFS(TableDailySummary[Online Store_orders],TableDailySummary[Fecha],"&gt;="&amp;TableWeeklySummary[[#This Row],[Desde]],TableDailySummary[Fecha],"&lt;="&amp;TableWeeklySummary[[#This Row],[Hasta]])</f>
        <v>0</v>
      </c>
      <c r="N102" s="11">
        <f>SUMIFS(TableDailySummary[Tienda 81_net_sales],TableDailySummary[Fecha],"&gt;="&amp;TableWeeklySummary[[#This Row],[Desde]],TableDailySummary[Fecha],"&lt;="&amp;TableWeeklySummary[[#This Row],[Hasta]])</f>
        <v>0</v>
      </c>
      <c r="O102" s="11">
        <f>SUMIFS(TableDailySummary[Tienda 81_orders],TableDailySummary[Fecha],"&gt;="&amp;TableWeeklySummary[[#This Row],[Desde]],TableDailySummary[Fecha],"&lt;="&amp;TableWeeklySummary[[#This Row],[Hasta]])</f>
        <v>0</v>
      </c>
      <c r="P102" s="11">
        <f>SUMIFS(TableDailySummary[Rappi_net_sales],TableDailySummary[Fecha],"&gt;="&amp;TableWeeklySummary[[#This Row],[Desde]],TableDailySummary[Fecha],"&lt;="&amp;TableWeeklySummary[[#This Row],[Hasta]])</f>
        <v>0</v>
      </c>
      <c r="Q102" s="11">
        <f>SUMIFS(TableDailySummary[Rappi_orders],TableDailySummary[Fecha],"&gt;="&amp;TableWeeklySummary[[#This Row],[Desde]],TableDailySummary[Fecha],"&lt;="&amp;TableWeeklySummary[[#This Row],[Hasta]])</f>
        <v>0</v>
      </c>
      <c r="R10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2" s="11">
        <f>SUMIFS(TableDailySummary[Corporativo no tienda_orders],TableDailySummary[Fecha],"&gt;="&amp;TableWeeklySummary[[#This Row],[Desde]],TableDailySummary[Fecha],"&lt;="&amp;TableWeeklySummary[[#This Row],[Hasta]])</f>
        <v>0</v>
      </c>
      <c r="T102" s="11">
        <f>SUMIFS(TableDailySummary[Inversión google ads],TableDailySummary[Fecha],"&gt;="&amp;TableWeeklySummary[[#This Row],[Desde]],TableDailySummary[Fecha],"&lt;="&amp;TableWeeklySummary[[#This Row],[Hasta]])</f>
        <v>0</v>
      </c>
      <c r="U102" s="11">
        <f>SUMIFS(TableDailySummary[Ventas google ads],TableDailySummary[Fecha],"&gt;="&amp;TableWeeklySummary[[#This Row],[Desde]],TableDailySummary[Fecha],"&lt;="&amp;TableWeeklySummary[[#This Row],[Hasta]])</f>
        <v>0</v>
      </c>
      <c r="V102" s="11">
        <f>SUMIFS(TableDailySummary[Inversión meta ads],TableDailySummary[Fecha],"&gt;="&amp;TableWeeklySummary[[#This Row],[Desde]],TableDailySummary[Fecha],"&lt;="&amp;TableWeeklySummary[[#This Row],[Hasta]])</f>
        <v>0</v>
      </c>
      <c r="W102" s="11">
        <f>SUMIFS(TableDailySummary[Ventas meta ads],TableDailySummary[Fecha],"&gt;="&amp;TableWeeklySummary[[#This Row],[Desde]],TableDailySummary[Fecha],"&lt;="&amp;TableWeeklySummary[[#This Row],[Hasta]])</f>
        <v>0</v>
      </c>
      <c r="X102" s="11">
        <f>TableWeeklySummary[[#This Row],[Inversión google ads]]+TableWeeklySummary[[#This Row],[Inversión meta ads]]</f>
        <v>0</v>
      </c>
      <c r="Y102" s="11">
        <f>TableWeeklySummary[[#This Row],[Ventas google ads]]+TableWeeklySummary[[#This Row],[Ventas meta ads]]</f>
        <v>0</v>
      </c>
      <c r="Z102" s="14">
        <f>IFERROR(TableWeeklySummary[[#This Row],[Ventas publicidad]]/TableWeeklySummary[[#This Row],[Inversión publicidad]],0)</f>
        <v>0</v>
      </c>
      <c r="AA102" s="14">
        <f>IFERROR(TableWeeklySummary[[#This Row],[Ventas primer cliente]]/TableWeeklySummary[[#This Row],[Inversión publicidad]],0)</f>
        <v>0</v>
      </c>
      <c r="AB102" s="14"/>
      <c r="AC102" s="11"/>
      <c r="AI10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2" s="11">
        <f>SUMIFS(TableDailySummary[Costo de ventas registrado],TableDailySummary[Fecha],"&gt;="&amp;TableWeeklySummary[[#This Row],[Desde]],TableDailySummary[Fecha],"&lt;="&amp;TableWeeklySummary[[#This Row],[Hasta]])</f>
        <v>0</v>
      </c>
      <c r="AK102" s="11">
        <f>SUMIFS(TableDailySummary[Utilidad bruta],TableDailySummary[Fecha],"&gt;="&amp;TableWeeklySummary[[#This Row],[Desde]],TableDailySummary[Fecha],"&lt;="&amp;TableWeeklySummary[[#This Row],[Hasta]])</f>
        <v>0</v>
      </c>
      <c r="AL102" s="18">
        <f>IFERROR(TableWeeklySummary[[#This Row],[Utilidad bruta]]/TableWeeklySummary[[#This Row],[Ventas netas con costo registrado]],0)</f>
        <v>0</v>
      </c>
    </row>
    <row r="103" spans="2:38" x14ac:dyDescent="0.2">
      <c r="B103" s="16">
        <f>_xlfn.ISOWEEKNUM(TableWeeklySummary[[#This Row],[Hasta]])</f>
        <v>40</v>
      </c>
      <c r="C103" s="6">
        <f t="shared" si="2"/>
        <v>45198</v>
      </c>
      <c r="D103" s="6">
        <f>TableWeeklySummary[[#This Row],[Desde]]+7-1</f>
        <v>45204</v>
      </c>
      <c r="E103" s="11">
        <f>SUMIFS(TableDailySummary[Ventas netas totales],TableDailySummary[Fecha],"&gt;="&amp;TableWeeklySummary[[#This Row],[Desde]],TableDailySummary[Fecha],"&lt;="&amp;TableWeeklySummary[[#This Row],[Hasta]])</f>
        <v>0</v>
      </c>
      <c r="F103" s="11">
        <f>SUMIFS(TableDailySummary[Órdenes totales],TableDailySummary[Fecha],"&gt;="&amp;TableWeeklySummary[[#This Row],[Desde]],TableDailySummary[Fecha],"&lt;="&amp;TableWeeklySummary[[#This Row],[Hasta]])</f>
        <v>0</v>
      </c>
      <c r="G103" s="11">
        <f>IFERROR(TableWeeklySummary[[#This Row],[Ventas netas totales]]/TableWeeklySummary[[#This Row],[Órdenes totales]],0)</f>
        <v>0</v>
      </c>
      <c r="H10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3" s="11">
        <f>TableWeeklySummary[[#This Row],[Órden promedio totales]]*TableWeeklySummary[[#This Row],[CR totales]]</f>
        <v>0</v>
      </c>
      <c r="J103" s="11">
        <f>SUMIFS(TableDailySummary[Ventas primer cliente],TableDailySummary[Fecha],"&gt;="&amp;TableWeeklySummary[[#This Row],[Desde]],TableDailySummary[Fecha],"&lt;="&amp;TableWeeklySummary[[#This Row],[Hasta]])</f>
        <v>0</v>
      </c>
      <c r="K103" s="11">
        <f>SUMIFS(TableDailySummary[Órdenes primer cliente],TableDailySummary[Fecha],"&gt;="&amp;TableWeeklySummary[[#This Row],[Desde]],TableDailySummary[Fecha],"&lt;="&amp;TableWeeklySummary[[#This Row],[Hasta]])</f>
        <v>0</v>
      </c>
      <c r="L103" s="11">
        <f>SUMIFS(TableDailySummary[Online Store_net_sales],TableDailySummary[Fecha],"&gt;="&amp;TableWeeklySummary[[#This Row],[Desde]],TableDailySummary[Fecha],"&lt;="&amp;TableWeeklySummary[[#This Row],[Hasta]])</f>
        <v>0</v>
      </c>
      <c r="M103" s="11">
        <f>SUMIFS(TableDailySummary[Online Store_orders],TableDailySummary[Fecha],"&gt;="&amp;TableWeeklySummary[[#This Row],[Desde]],TableDailySummary[Fecha],"&lt;="&amp;TableWeeklySummary[[#This Row],[Hasta]])</f>
        <v>0</v>
      </c>
      <c r="N103" s="11">
        <f>SUMIFS(TableDailySummary[Tienda 81_net_sales],TableDailySummary[Fecha],"&gt;="&amp;TableWeeklySummary[[#This Row],[Desde]],TableDailySummary[Fecha],"&lt;="&amp;TableWeeklySummary[[#This Row],[Hasta]])</f>
        <v>0</v>
      </c>
      <c r="O103" s="11">
        <f>SUMIFS(TableDailySummary[Tienda 81_orders],TableDailySummary[Fecha],"&gt;="&amp;TableWeeklySummary[[#This Row],[Desde]],TableDailySummary[Fecha],"&lt;="&amp;TableWeeklySummary[[#This Row],[Hasta]])</f>
        <v>0</v>
      </c>
      <c r="P103" s="11">
        <f>SUMIFS(TableDailySummary[Rappi_net_sales],TableDailySummary[Fecha],"&gt;="&amp;TableWeeklySummary[[#This Row],[Desde]],TableDailySummary[Fecha],"&lt;="&amp;TableWeeklySummary[[#This Row],[Hasta]])</f>
        <v>0</v>
      </c>
      <c r="Q103" s="11">
        <f>SUMIFS(TableDailySummary[Rappi_orders],TableDailySummary[Fecha],"&gt;="&amp;TableWeeklySummary[[#This Row],[Desde]],TableDailySummary[Fecha],"&lt;="&amp;TableWeeklySummary[[#This Row],[Hasta]])</f>
        <v>0</v>
      </c>
      <c r="R10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3" s="11">
        <f>SUMIFS(TableDailySummary[Corporativo no tienda_orders],TableDailySummary[Fecha],"&gt;="&amp;TableWeeklySummary[[#This Row],[Desde]],TableDailySummary[Fecha],"&lt;="&amp;TableWeeklySummary[[#This Row],[Hasta]])</f>
        <v>0</v>
      </c>
      <c r="T103" s="11">
        <f>SUMIFS(TableDailySummary[Inversión google ads],TableDailySummary[Fecha],"&gt;="&amp;TableWeeklySummary[[#This Row],[Desde]],TableDailySummary[Fecha],"&lt;="&amp;TableWeeklySummary[[#This Row],[Hasta]])</f>
        <v>0</v>
      </c>
      <c r="U103" s="11">
        <f>SUMIFS(TableDailySummary[Ventas google ads],TableDailySummary[Fecha],"&gt;="&amp;TableWeeklySummary[[#This Row],[Desde]],TableDailySummary[Fecha],"&lt;="&amp;TableWeeklySummary[[#This Row],[Hasta]])</f>
        <v>0</v>
      </c>
      <c r="V103" s="11">
        <f>SUMIFS(TableDailySummary[Inversión meta ads],TableDailySummary[Fecha],"&gt;="&amp;TableWeeklySummary[[#This Row],[Desde]],TableDailySummary[Fecha],"&lt;="&amp;TableWeeklySummary[[#This Row],[Hasta]])</f>
        <v>0</v>
      </c>
      <c r="W103" s="11">
        <f>SUMIFS(TableDailySummary[Ventas meta ads],TableDailySummary[Fecha],"&gt;="&amp;TableWeeklySummary[[#This Row],[Desde]],TableDailySummary[Fecha],"&lt;="&amp;TableWeeklySummary[[#This Row],[Hasta]])</f>
        <v>0</v>
      </c>
      <c r="X103" s="11">
        <f>TableWeeklySummary[[#This Row],[Inversión google ads]]+TableWeeklySummary[[#This Row],[Inversión meta ads]]</f>
        <v>0</v>
      </c>
      <c r="Y103" s="11">
        <f>TableWeeklySummary[[#This Row],[Ventas google ads]]+TableWeeklySummary[[#This Row],[Ventas meta ads]]</f>
        <v>0</v>
      </c>
      <c r="Z103" s="14">
        <f>IFERROR(TableWeeklySummary[[#This Row],[Ventas publicidad]]/TableWeeklySummary[[#This Row],[Inversión publicidad]],0)</f>
        <v>0</v>
      </c>
      <c r="AA103" s="14">
        <f>IFERROR(TableWeeklySummary[[#This Row],[Ventas primer cliente]]/TableWeeklySummary[[#This Row],[Inversión publicidad]],0)</f>
        <v>0</v>
      </c>
      <c r="AB103" s="14"/>
      <c r="AC103" s="11"/>
      <c r="AI10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3" s="11">
        <f>SUMIFS(TableDailySummary[Costo de ventas registrado],TableDailySummary[Fecha],"&gt;="&amp;TableWeeklySummary[[#This Row],[Desde]],TableDailySummary[Fecha],"&lt;="&amp;TableWeeklySummary[[#This Row],[Hasta]])</f>
        <v>0</v>
      </c>
      <c r="AK103" s="11">
        <f>SUMIFS(TableDailySummary[Utilidad bruta],TableDailySummary[Fecha],"&gt;="&amp;TableWeeklySummary[[#This Row],[Desde]],TableDailySummary[Fecha],"&lt;="&amp;TableWeeklySummary[[#This Row],[Hasta]])</f>
        <v>0</v>
      </c>
      <c r="AL103" s="18">
        <f>IFERROR(TableWeeklySummary[[#This Row],[Utilidad bruta]]/TableWeeklySummary[[#This Row],[Ventas netas con costo registrado]],0)</f>
        <v>0</v>
      </c>
    </row>
    <row r="104" spans="2:38" x14ac:dyDescent="0.2">
      <c r="B104" s="16">
        <f>_xlfn.ISOWEEKNUM(TableWeeklySummary[[#This Row],[Hasta]])</f>
        <v>41</v>
      </c>
      <c r="C104" s="6">
        <f t="shared" ref="C104:C127" si="3">_xlfn.LET(
    _xlpm.fechaini, ParamFechaInicioReporte,
    _xlpm.start_friday, IF(WEEKDAY(_xlpm.fechaini, 1) = 6, _xlpm.fechaini, _xlpm.fechaini - MOD(WEEKDAY(_xlpm.fechaini, 1) + 1, 7)),
    IF(ROW()=8, _xlpm.start_friday, C103 + 7)
)</f>
        <v>45205</v>
      </c>
      <c r="D104" s="6">
        <f>TableWeeklySummary[[#This Row],[Desde]]+7-1</f>
        <v>45211</v>
      </c>
      <c r="E104" s="11">
        <f>SUMIFS(TableDailySummary[Ventas netas totales],TableDailySummary[Fecha],"&gt;="&amp;TableWeeklySummary[[#This Row],[Desde]],TableDailySummary[Fecha],"&lt;="&amp;TableWeeklySummary[[#This Row],[Hasta]])</f>
        <v>0</v>
      </c>
      <c r="F104" s="11">
        <f>SUMIFS(TableDailySummary[Órdenes totales],TableDailySummary[Fecha],"&gt;="&amp;TableWeeklySummary[[#This Row],[Desde]],TableDailySummary[Fecha],"&lt;="&amp;TableWeeklySummary[[#This Row],[Hasta]])</f>
        <v>0</v>
      </c>
      <c r="G104" s="11">
        <f>IFERROR(TableWeeklySummary[[#This Row],[Ventas netas totales]]/TableWeeklySummary[[#This Row],[Órdenes totales]],0)</f>
        <v>0</v>
      </c>
      <c r="H10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4" s="11">
        <f>TableWeeklySummary[[#This Row],[Órden promedio totales]]*TableWeeklySummary[[#This Row],[CR totales]]</f>
        <v>0</v>
      </c>
      <c r="J104" s="11">
        <f>SUMIFS(TableDailySummary[Ventas primer cliente],TableDailySummary[Fecha],"&gt;="&amp;TableWeeklySummary[[#This Row],[Desde]],TableDailySummary[Fecha],"&lt;="&amp;TableWeeklySummary[[#This Row],[Hasta]])</f>
        <v>0</v>
      </c>
      <c r="K104" s="11">
        <f>SUMIFS(TableDailySummary[Órdenes primer cliente],TableDailySummary[Fecha],"&gt;="&amp;TableWeeklySummary[[#This Row],[Desde]],TableDailySummary[Fecha],"&lt;="&amp;TableWeeklySummary[[#This Row],[Hasta]])</f>
        <v>0</v>
      </c>
      <c r="L104" s="11">
        <f>SUMIFS(TableDailySummary[Online Store_net_sales],TableDailySummary[Fecha],"&gt;="&amp;TableWeeklySummary[[#This Row],[Desde]],TableDailySummary[Fecha],"&lt;="&amp;TableWeeklySummary[[#This Row],[Hasta]])</f>
        <v>0</v>
      </c>
      <c r="M104" s="11">
        <f>SUMIFS(TableDailySummary[Online Store_orders],TableDailySummary[Fecha],"&gt;="&amp;TableWeeklySummary[[#This Row],[Desde]],TableDailySummary[Fecha],"&lt;="&amp;TableWeeklySummary[[#This Row],[Hasta]])</f>
        <v>0</v>
      </c>
      <c r="N104" s="11">
        <f>SUMIFS(TableDailySummary[Tienda 81_net_sales],TableDailySummary[Fecha],"&gt;="&amp;TableWeeklySummary[[#This Row],[Desde]],TableDailySummary[Fecha],"&lt;="&amp;TableWeeklySummary[[#This Row],[Hasta]])</f>
        <v>0</v>
      </c>
      <c r="O104" s="11">
        <f>SUMIFS(TableDailySummary[Tienda 81_orders],TableDailySummary[Fecha],"&gt;="&amp;TableWeeklySummary[[#This Row],[Desde]],TableDailySummary[Fecha],"&lt;="&amp;TableWeeklySummary[[#This Row],[Hasta]])</f>
        <v>0</v>
      </c>
      <c r="P104" s="11">
        <f>SUMIFS(TableDailySummary[Rappi_net_sales],TableDailySummary[Fecha],"&gt;="&amp;TableWeeklySummary[[#This Row],[Desde]],TableDailySummary[Fecha],"&lt;="&amp;TableWeeklySummary[[#This Row],[Hasta]])</f>
        <v>0</v>
      </c>
      <c r="Q104" s="11">
        <f>SUMIFS(TableDailySummary[Rappi_orders],TableDailySummary[Fecha],"&gt;="&amp;TableWeeklySummary[[#This Row],[Desde]],TableDailySummary[Fecha],"&lt;="&amp;TableWeeklySummary[[#This Row],[Hasta]])</f>
        <v>0</v>
      </c>
      <c r="R10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4" s="11">
        <f>SUMIFS(TableDailySummary[Corporativo no tienda_orders],TableDailySummary[Fecha],"&gt;="&amp;TableWeeklySummary[[#This Row],[Desde]],TableDailySummary[Fecha],"&lt;="&amp;TableWeeklySummary[[#This Row],[Hasta]])</f>
        <v>0</v>
      </c>
      <c r="T104" s="11">
        <f>SUMIFS(TableDailySummary[Inversión google ads],TableDailySummary[Fecha],"&gt;="&amp;TableWeeklySummary[[#This Row],[Desde]],TableDailySummary[Fecha],"&lt;="&amp;TableWeeklySummary[[#This Row],[Hasta]])</f>
        <v>0</v>
      </c>
      <c r="U104" s="11">
        <f>SUMIFS(TableDailySummary[Ventas google ads],TableDailySummary[Fecha],"&gt;="&amp;TableWeeklySummary[[#This Row],[Desde]],TableDailySummary[Fecha],"&lt;="&amp;TableWeeklySummary[[#This Row],[Hasta]])</f>
        <v>0</v>
      </c>
      <c r="V104" s="11">
        <f>SUMIFS(TableDailySummary[Inversión meta ads],TableDailySummary[Fecha],"&gt;="&amp;TableWeeklySummary[[#This Row],[Desde]],TableDailySummary[Fecha],"&lt;="&amp;TableWeeklySummary[[#This Row],[Hasta]])</f>
        <v>0</v>
      </c>
      <c r="W104" s="11">
        <f>SUMIFS(TableDailySummary[Ventas meta ads],TableDailySummary[Fecha],"&gt;="&amp;TableWeeklySummary[[#This Row],[Desde]],TableDailySummary[Fecha],"&lt;="&amp;TableWeeklySummary[[#This Row],[Hasta]])</f>
        <v>0</v>
      </c>
      <c r="X104" s="11">
        <f>TableWeeklySummary[[#This Row],[Inversión google ads]]+TableWeeklySummary[[#This Row],[Inversión meta ads]]</f>
        <v>0</v>
      </c>
      <c r="Y104" s="11">
        <f>TableWeeklySummary[[#This Row],[Ventas google ads]]+TableWeeklySummary[[#This Row],[Ventas meta ads]]</f>
        <v>0</v>
      </c>
      <c r="Z104" s="14">
        <f>IFERROR(TableWeeklySummary[[#This Row],[Ventas publicidad]]/TableWeeklySummary[[#This Row],[Inversión publicidad]],0)</f>
        <v>0</v>
      </c>
      <c r="AA104" s="14">
        <f>IFERROR(TableWeeklySummary[[#This Row],[Ventas primer cliente]]/TableWeeklySummary[[#This Row],[Inversión publicidad]],0)</f>
        <v>0</v>
      </c>
      <c r="AB104" s="14"/>
      <c r="AC104" s="11"/>
      <c r="AI10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4" s="11">
        <f>SUMIFS(TableDailySummary[Costo de ventas registrado],TableDailySummary[Fecha],"&gt;="&amp;TableWeeklySummary[[#This Row],[Desde]],TableDailySummary[Fecha],"&lt;="&amp;TableWeeklySummary[[#This Row],[Hasta]])</f>
        <v>0</v>
      </c>
      <c r="AK104" s="11">
        <f>SUMIFS(TableDailySummary[Utilidad bruta],TableDailySummary[Fecha],"&gt;="&amp;TableWeeklySummary[[#This Row],[Desde]],TableDailySummary[Fecha],"&lt;="&amp;TableWeeklySummary[[#This Row],[Hasta]])</f>
        <v>0</v>
      </c>
      <c r="AL104" s="18">
        <f>IFERROR(TableWeeklySummary[[#This Row],[Utilidad bruta]]/TableWeeklySummary[[#This Row],[Ventas netas con costo registrado]],0)</f>
        <v>0</v>
      </c>
    </row>
    <row r="105" spans="2:38" x14ac:dyDescent="0.2">
      <c r="B105" s="16">
        <f>_xlfn.ISOWEEKNUM(TableWeeklySummary[[#This Row],[Hasta]])</f>
        <v>42</v>
      </c>
      <c r="C105" s="6">
        <f t="shared" si="3"/>
        <v>45212</v>
      </c>
      <c r="D105" s="6">
        <f>TableWeeklySummary[[#This Row],[Desde]]+7-1</f>
        <v>45218</v>
      </c>
      <c r="E105" s="11">
        <f>SUMIFS(TableDailySummary[Ventas netas totales],TableDailySummary[Fecha],"&gt;="&amp;TableWeeklySummary[[#This Row],[Desde]],TableDailySummary[Fecha],"&lt;="&amp;TableWeeklySummary[[#This Row],[Hasta]])</f>
        <v>0</v>
      </c>
      <c r="F105" s="11">
        <f>SUMIFS(TableDailySummary[Órdenes totales],TableDailySummary[Fecha],"&gt;="&amp;TableWeeklySummary[[#This Row],[Desde]],TableDailySummary[Fecha],"&lt;="&amp;TableWeeklySummary[[#This Row],[Hasta]])</f>
        <v>0</v>
      </c>
      <c r="G105" s="11">
        <f>IFERROR(TableWeeklySummary[[#This Row],[Ventas netas totales]]/TableWeeklySummary[[#This Row],[Órdenes totales]],0)</f>
        <v>0</v>
      </c>
      <c r="H10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5" s="11">
        <f>TableWeeklySummary[[#This Row],[Órden promedio totales]]*TableWeeklySummary[[#This Row],[CR totales]]</f>
        <v>0</v>
      </c>
      <c r="J105" s="11">
        <f>SUMIFS(TableDailySummary[Ventas primer cliente],TableDailySummary[Fecha],"&gt;="&amp;TableWeeklySummary[[#This Row],[Desde]],TableDailySummary[Fecha],"&lt;="&amp;TableWeeklySummary[[#This Row],[Hasta]])</f>
        <v>0</v>
      </c>
      <c r="K105" s="11">
        <f>SUMIFS(TableDailySummary[Órdenes primer cliente],TableDailySummary[Fecha],"&gt;="&amp;TableWeeklySummary[[#This Row],[Desde]],TableDailySummary[Fecha],"&lt;="&amp;TableWeeklySummary[[#This Row],[Hasta]])</f>
        <v>0</v>
      </c>
      <c r="L105" s="11">
        <f>SUMIFS(TableDailySummary[Online Store_net_sales],TableDailySummary[Fecha],"&gt;="&amp;TableWeeklySummary[[#This Row],[Desde]],TableDailySummary[Fecha],"&lt;="&amp;TableWeeklySummary[[#This Row],[Hasta]])</f>
        <v>0</v>
      </c>
      <c r="M105" s="11">
        <f>SUMIFS(TableDailySummary[Online Store_orders],TableDailySummary[Fecha],"&gt;="&amp;TableWeeklySummary[[#This Row],[Desde]],TableDailySummary[Fecha],"&lt;="&amp;TableWeeklySummary[[#This Row],[Hasta]])</f>
        <v>0</v>
      </c>
      <c r="N105" s="11">
        <f>SUMIFS(TableDailySummary[Tienda 81_net_sales],TableDailySummary[Fecha],"&gt;="&amp;TableWeeklySummary[[#This Row],[Desde]],TableDailySummary[Fecha],"&lt;="&amp;TableWeeklySummary[[#This Row],[Hasta]])</f>
        <v>0</v>
      </c>
      <c r="O105" s="11">
        <f>SUMIFS(TableDailySummary[Tienda 81_orders],TableDailySummary[Fecha],"&gt;="&amp;TableWeeklySummary[[#This Row],[Desde]],TableDailySummary[Fecha],"&lt;="&amp;TableWeeklySummary[[#This Row],[Hasta]])</f>
        <v>0</v>
      </c>
      <c r="P105" s="11">
        <f>SUMIFS(TableDailySummary[Rappi_net_sales],TableDailySummary[Fecha],"&gt;="&amp;TableWeeklySummary[[#This Row],[Desde]],TableDailySummary[Fecha],"&lt;="&amp;TableWeeklySummary[[#This Row],[Hasta]])</f>
        <v>0</v>
      </c>
      <c r="Q105" s="11">
        <f>SUMIFS(TableDailySummary[Rappi_orders],TableDailySummary[Fecha],"&gt;="&amp;TableWeeklySummary[[#This Row],[Desde]],TableDailySummary[Fecha],"&lt;="&amp;TableWeeklySummary[[#This Row],[Hasta]])</f>
        <v>0</v>
      </c>
      <c r="R10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5" s="11">
        <f>SUMIFS(TableDailySummary[Corporativo no tienda_orders],TableDailySummary[Fecha],"&gt;="&amp;TableWeeklySummary[[#This Row],[Desde]],TableDailySummary[Fecha],"&lt;="&amp;TableWeeklySummary[[#This Row],[Hasta]])</f>
        <v>0</v>
      </c>
      <c r="T105" s="11">
        <f>SUMIFS(TableDailySummary[Inversión google ads],TableDailySummary[Fecha],"&gt;="&amp;TableWeeklySummary[[#This Row],[Desde]],TableDailySummary[Fecha],"&lt;="&amp;TableWeeklySummary[[#This Row],[Hasta]])</f>
        <v>0</v>
      </c>
      <c r="U105" s="11">
        <f>SUMIFS(TableDailySummary[Ventas google ads],TableDailySummary[Fecha],"&gt;="&amp;TableWeeklySummary[[#This Row],[Desde]],TableDailySummary[Fecha],"&lt;="&amp;TableWeeklySummary[[#This Row],[Hasta]])</f>
        <v>0</v>
      </c>
      <c r="V105" s="11">
        <f>SUMIFS(TableDailySummary[Inversión meta ads],TableDailySummary[Fecha],"&gt;="&amp;TableWeeklySummary[[#This Row],[Desde]],TableDailySummary[Fecha],"&lt;="&amp;TableWeeklySummary[[#This Row],[Hasta]])</f>
        <v>0</v>
      </c>
      <c r="W105" s="11">
        <f>SUMIFS(TableDailySummary[Ventas meta ads],TableDailySummary[Fecha],"&gt;="&amp;TableWeeklySummary[[#This Row],[Desde]],TableDailySummary[Fecha],"&lt;="&amp;TableWeeklySummary[[#This Row],[Hasta]])</f>
        <v>0</v>
      </c>
      <c r="X105" s="11">
        <f>TableWeeklySummary[[#This Row],[Inversión google ads]]+TableWeeklySummary[[#This Row],[Inversión meta ads]]</f>
        <v>0</v>
      </c>
      <c r="Y105" s="11">
        <f>TableWeeklySummary[[#This Row],[Ventas google ads]]+TableWeeklySummary[[#This Row],[Ventas meta ads]]</f>
        <v>0</v>
      </c>
      <c r="Z105" s="14">
        <f>IFERROR(TableWeeklySummary[[#This Row],[Ventas publicidad]]/TableWeeklySummary[[#This Row],[Inversión publicidad]],0)</f>
        <v>0</v>
      </c>
      <c r="AA105" s="14">
        <f>IFERROR(TableWeeklySummary[[#This Row],[Ventas primer cliente]]/TableWeeklySummary[[#This Row],[Inversión publicidad]],0)</f>
        <v>0</v>
      </c>
      <c r="AB105" s="14"/>
      <c r="AC105" s="11"/>
      <c r="AI10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5" s="11">
        <f>SUMIFS(TableDailySummary[Costo de ventas registrado],TableDailySummary[Fecha],"&gt;="&amp;TableWeeklySummary[[#This Row],[Desde]],TableDailySummary[Fecha],"&lt;="&amp;TableWeeklySummary[[#This Row],[Hasta]])</f>
        <v>0</v>
      </c>
      <c r="AK105" s="11">
        <f>SUMIFS(TableDailySummary[Utilidad bruta],TableDailySummary[Fecha],"&gt;="&amp;TableWeeklySummary[[#This Row],[Desde]],TableDailySummary[Fecha],"&lt;="&amp;TableWeeklySummary[[#This Row],[Hasta]])</f>
        <v>0</v>
      </c>
      <c r="AL105" s="18">
        <f>IFERROR(TableWeeklySummary[[#This Row],[Utilidad bruta]]/TableWeeklySummary[[#This Row],[Ventas netas con costo registrado]],0)</f>
        <v>0</v>
      </c>
    </row>
    <row r="106" spans="2:38" x14ac:dyDescent="0.2">
      <c r="B106" s="16">
        <f>_xlfn.ISOWEEKNUM(TableWeeklySummary[[#This Row],[Hasta]])</f>
        <v>43</v>
      </c>
      <c r="C106" s="6">
        <f t="shared" si="3"/>
        <v>45219</v>
      </c>
      <c r="D106" s="6">
        <f>TableWeeklySummary[[#This Row],[Desde]]+7-1</f>
        <v>45225</v>
      </c>
      <c r="E106" s="11">
        <f>SUMIFS(TableDailySummary[Ventas netas totales],TableDailySummary[Fecha],"&gt;="&amp;TableWeeklySummary[[#This Row],[Desde]],TableDailySummary[Fecha],"&lt;="&amp;TableWeeklySummary[[#This Row],[Hasta]])</f>
        <v>0</v>
      </c>
      <c r="F106" s="11">
        <f>SUMIFS(TableDailySummary[Órdenes totales],TableDailySummary[Fecha],"&gt;="&amp;TableWeeklySummary[[#This Row],[Desde]],TableDailySummary[Fecha],"&lt;="&amp;TableWeeklySummary[[#This Row],[Hasta]])</f>
        <v>0</v>
      </c>
      <c r="G106" s="11">
        <f>IFERROR(TableWeeklySummary[[#This Row],[Ventas netas totales]]/TableWeeklySummary[[#This Row],[Órdenes totales]],0)</f>
        <v>0</v>
      </c>
      <c r="H10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6" s="11">
        <f>TableWeeklySummary[[#This Row],[Órden promedio totales]]*TableWeeklySummary[[#This Row],[CR totales]]</f>
        <v>0</v>
      </c>
      <c r="J106" s="11">
        <f>SUMIFS(TableDailySummary[Ventas primer cliente],TableDailySummary[Fecha],"&gt;="&amp;TableWeeklySummary[[#This Row],[Desde]],TableDailySummary[Fecha],"&lt;="&amp;TableWeeklySummary[[#This Row],[Hasta]])</f>
        <v>0</v>
      </c>
      <c r="K106" s="11">
        <f>SUMIFS(TableDailySummary[Órdenes primer cliente],TableDailySummary[Fecha],"&gt;="&amp;TableWeeklySummary[[#This Row],[Desde]],TableDailySummary[Fecha],"&lt;="&amp;TableWeeklySummary[[#This Row],[Hasta]])</f>
        <v>0</v>
      </c>
      <c r="L106" s="11">
        <f>SUMIFS(TableDailySummary[Online Store_net_sales],TableDailySummary[Fecha],"&gt;="&amp;TableWeeklySummary[[#This Row],[Desde]],TableDailySummary[Fecha],"&lt;="&amp;TableWeeklySummary[[#This Row],[Hasta]])</f>
        <v>0</v>
      </c>
      <c r="M106" s="11">
        <f>SUMIFS(TableDailySummary[Online Store_orders],TableDailySummary[Fecha],"&gt;="&amp;TableWeeklySummary[[#This Row],[Desde]],TableDailySummary[Fecha],"&lt;="&amp;TableWeeklySummary[[#This Row],[Hasta]])</f>
        <v>0</v>
      </c>
      <c r="N106" s="11">
        <f>SUMIFS(TableDailySummary[Tienda 81_net_sales],TableDailySummary[Fecha],"&gt;="&amp;TableWeeklySummary[[#This Row],[Desde]],TableDailySummary[Fecha],"&lt;="&amp;TableWeeklySummary[[#This Row],[Hasta]])</f>
        <v>0</v>
      </c>
      <c r="O106" s="11">
        <f>SUMIFS(TableDailySummary[Tienda 81_orders],TableDailySummary[Fecha],"&gt;="&amp;TableWeeklySummary[[#This Row],[Desde]],TableDailySummary[Fecha],"&lt;="&amp;TableWeeklySummary[[#This Row],[Hasta]])</f>
        <v>0</v>
      </c>
      <c r="P106" s="11">
        <f>SUMIFS(TableDailySummary[Rappi_net_sales],TableDailySummary[Fecha],"&gt;="&amp;TableWeeklySummary[[#This Row],[Desde]],TableDailySummary[Fecha],"&lt;="&amp;TableWeeklySummary[[#This Row],[Hasta]])</f>
        <v>0</v>
      </c>
      <c r="Q106" s="11">
        <f>SUMIFS(TableDailySummary[Rappi_orders],TableDailySummary[Fecha],"&gt;="&amp;TableWeeklySummary[[#This Row],[Desde]],TableDailySummary[Fecha],"&lt;="&amp;TableWeeklySummary[[#This Row],[Hasta]])</f>
        <v>0</v>
      </c>
      <c r="R10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6" s="11">
        <f>SUMIFS(TableDailySummary[Corporativo no tienda_orders],TableDailySummary[Fecha],"&gt;="&amp;TableWeeklySummary[[#This Row],[Desde]],TableDailySummary[Fecha],"&lt;="&amp;TableWeeklySummary[[#This Row],[Hasta]])</f>
        <v>0</v>
      </c>
      <c r="T106" s="11">
        <f>SUMIFS(TableDailySummary[Inversión google ads],TableDailySummary[Fecha],"&gt;="&amp;TableWeeklySummary[[#This Row],[Desde]],TableDailySummary[Fecha],"&lt;="&amp;TableWeeklySummary[[#This Row],[Hasta]])</f>
        <v>0</v>
      </c>
      <c r="U106" s="11">
        <f>SUMIFS(TableDailySummary[Ventas google ads],TableDailySummary[Fecha],"&gt;="&amp;TableWeeklySummary[[#This Row],[Desde]],TableDailySummary[Fecha],"&lt;="&amp;TableWeeklySummary[[#This Row],[Hasta]])</f>
        <v>0</v>
      </c>
      <c r="V106" s="11">
        <f>SUMIFS(TableDailySummary[Inversión meta ads],TableDailySummary[Fecha],"&gt;="&amp;TableWeeklySummary[[#This Row],[Desde]],TableDailySummary[Fecha],"&lt;="&amp;TableWeeklySummary[[#This Row],[Hasta]])</f>
        <v>0</v>
      </c>
      <c r="W106" s="11">
        <f>SUMIFS(TableDailySummary[Ventas meta ads],TableDailySummary[Fecha],"&gt;="&amp;TableWeeklySummary[[#This Row],[Desde]],TableDailySummary[Fecha],"&lt;="&amp;TableWeeklySummary[[#This Row],[Hasta]])</f>
        <v>0</v>
      </c>
      <c r="X106" s="11">
        <f>TableWeeklySummary[[#This Row],[Inversión google ads]]+TableWeeklySummary[[#This Row],[Inversión meta ads]]</f>
        <v>0</v>
      </c>
      <c r="Y106" s="11">
        <f>TableWeeklySummary[[#This Row],[Ventas google ads]]+TableWeeklySummary[[#This Row],[Ventas meta ads]]</f>
        <v>0</v>
      </c>
      <c r="Z106" s="14">
        <f>IFERROR(TableWeeklySummary[[#This Row],[Ventas publicidad]]/TableWeeklySummary[[#This Row],[Inversión publicidad]],0)</f>
        <v>0</v>
      </c>
      <c r="AA106" s="14">
        <f>IFERROR(TableWeeklySummary[[#This Row],[Ventas primer cliente]]/TableWeeklySummary[[#This Row],[Inversión publicidad]],0)</f>
        <v>0</v>
      </c>
      <c r="AB106" s="14"/>
      <c r="AC106" s="11"/>
      <c r="AI10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6" s="11">
        <f>SUMIFS(TableDailySummary[Costo de ventas registrado],TableDailySummary[Fecha],"&gt;="&amp;TableWeeklySummary[[#This Row],[Desde]],TableDailySummary[Fecha],"&lt;="&amp;TableWeeklySummary[[#This Row],[Hasta]])</f>
        <v>0</v>
      </c>
      <c r="AK106" s="11">
        <f>SUMIFS(TableDailySummary[Utilidad bruta],TableDailySummary[Fecha],"&gt;="&amp;TableWeeklySummary[[#This Row],[Desde]],TableDailySummary[Fecha],"&lt;="&amp;TableWeeklySummary[[#This Row],[Hasta]])</f>
        <v>0</v>
      </c>
      <c r="AL106" s="18">
        <f>IFERROR(TableWeeklySummary[[#This Row],[Utilidad bruta]]/TableWeeklySummary[[#This Row],[Ventas netas con costo registrado]],0)</f>
        <v>0</v>
      </c>
    </row>
    <row r="107" spans="2:38" x14ac:dyDescent="0.2">
      <c r="B107" s="16">
        <f>_xlfn.ISOWEEKNUM(TableWeeklySummary[[#This Row],[Hasta]])</f>
        <v>44</v>
      </c>
      <c r="C107" s="6">
        <f t="shared" si="3"/>
        <v>45226</v>
      </c>
      <c r="D107" s="6">
        <f>TableWeeklySummary[[#This Row],[Desde]]+7-1</f>
        <v>45232</v>
      </c>
      <c r="E107" s="11">
        <f>SUMIFS(TableDailySummary[Ventas netas totales],TableDailySummary[Fecha],"&gt;="&amp;TableWeeklySummary[[#This Row],[Desde]],TableDailySummary[Fecha],"&lt;="&amp;TableWeeklySummary[[#This Row],[Hasta]])</f>
        <v>0</v>
      </c>
      <c r="F107" s="11">
        <f>SUMIFS(TableDailySummary[Órdenes totales],TableDailySummary[Fecha],"&gt;="&amp;TableWeeklySummary[[#This Row],[Desde]],TableDailySummary[Fecha],"&lt;="&amp;TableWeeklySummary[[#This Row],[Hasta]])</f>
        <v>0</v>
      </c>
      <c r="G107" s="11">
        <f>IFERROR(TableWeeklySummary[[#This Row],[Ventas netas totales]]/TableWeeklySummary[[#This Row],[Órdenes totales]],0)</f>
        <v>0</v>
      </c>
      <c r="H10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7" s="11">
        <f>TableWeeklySummary[[#This Row],[Órden promedio totales]]*TableWeeklySummary[[#This Row],[CR totales]]</f>
        <v>0</v>
      </c>
      <c r="J107" s="11">
        <f>SUMIFS(TableDailySummary[Ventas primer cliente],TableDailySummary[Fecha],"&gt;="&amp;TableWeeklySummary[[#This Row],[Desde]],TableDailySummary[Fecha],"&lt;="&amp;TableWeeklySummary[[#This Row],[Hasta]])</f>
        <v>0</v>
      </c>
      <c r="K107" s="11">
        <f>SUMIFS(TableDailySummary[Órdenes primer cliente],TableDailySummary[Fecha],"&gt;="&amp;TableWeeklySummary[[#This Row],[Desde]],TableDailySummary[Fecha],"&lt;="&amp;TableWeeklySummary[[#This Row],[Hasta]])</f>
        <v>0</v>
      </c>
      <c r="L107" s="11">
        <f>SUMIFS(TableDailySummary[Online Store_net_sales],TableDailySummary[Fecha],"&gt;="&amp;TableWeeklySummary[[#This Row],[Desde]],TableDailySummary[Fecha],"&lt;="&amp;TableWeeklySummary[[#This Row],[Hasta]])</f>
        <v>0</v>
      </c>
      <c r="M107" s="11">
        <f>SUMIFS(TableDailySummary[Online Store_orders],TableDailySummary[Fecha],"&gt;="&amp;TableWeeklySummary[[#This Row],[Desde]],TableDailySummary[Fecha],"&lt;="&amp;TableWeeklySummary[[#This Row],[Hasta]])</f>
        <v>0</v>
      </c>
      <c r="N107" s="11">
        <f>SUMIFS(TableDailySummary[Tienda 81_net_sales],TableDailySummary[Fecha],"&gt;="&amp;TableWeeklySummary[[#This Row],[Desde]],TableDailySummary[Fecha],"&lt;="&amp;TableWeeklySummary[[#This Row],[Hasta]])</f>
        <v>0</v>
      </c>
      <c r="O107" s="11">
        <f>SUMIFS(TableDailySummary[Tienda 81_orders],TableDailySummary[Fecha],"&gt;="&amp;TableWeeklySummary[[#This Row],[Desde]],TableDailySummary[Fecha],"&lt;="&amp;TableWeeklySummary[[#This Row],[Hasta]])</f>
        <v>0</v>
      </c>
      <c r="P107" s="11">
        <f>SUMIFS(TableDailySummary[Rappi_net_sales],TableDailySummary[Fecha],"&gt;="&amp;TableWeeklySummary[[#This Row],[Desde]],TableDailySummary[Fecha],"&lt;="&amp;TableWeeklySummary[[#This Row],[Hasta]])</f>
        <v>0</v>
      </c>
      <c r="Q107" s="11">
        <f>SUMIFS(TableDailySummary[Rappi_orders],TableDailySummary[Fecha],"&gt;="&amp;TableWeeklySummary[[#This Row],[Desde]],TableDailySummary[Fecha],"&lt;="&amp;TableWeeklySummary[[#This Row],[Hasta]])</f>
        <v>0</v>
      </c>
      <c r="R10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7" s="11">
        <f>SUMIFS(TableDailySummary[Corporativo no tienda_orders],TableDailySummary[Fecha],"&gt;="&amp;TableWeeklySummary[[#This Row],[Desde]],TableDailySummary[Fecha],"&lt;="&amp;TableWeeklySummary[[#This Row],[Hasta]])</f>
        <v>0</v>
      </c>
      <c r="T107" s="11">
        <f>SUMIFS(TableDailySummary[Inversión google ads],TableDailySummary[Fecha],"&gt;="&amp;TableWeeklySummary[[#This Row],[Desde]],TableDailySummary[Fecha],"&lt;="&amp;TableWeeklySummary[[#This Row],[Hasta]])</f>
        <v>0</v>
      </c>
      <c r="U107" s="11">
        <f>SUMIFS(TableDailySummary[Ventas google ads],TableDailySummary[Fecha],"&gt;="&amp;TableWeeklySummary[[#This Row],[Desde]],TableDailySummary[Fecha],"&lt;="&amp;TableWeeklySummary[[#This Row],[Hasta]])</f>
        <v>0</v>
      </c>
      <c r="V107" s="11">
        <f>SUMIFS(TableDailySummary[Inversión meta ads],TableDailySummary[Fecha],"&gt;="&amp;TableWeeklySummary[[#This Row],[Desde]],TableDailySummary[Fecha],"&lt;="&amp;TableWeeklySummary[[#This Row],[Hasta]])</f>
        <v>0</v>
      </c>
      <c r="W107" s="11">
        <f>SUMIFS(TableDailySummary[Ventas meta ads],TableDailySummary[Fecha],"&gt;="&amp;TableWeeklySummary[[#This Row],[Desde]],TableDailySummary[Fecha],"&lt;="&amp;TableWeeklySummary[[#This Row],[Hasta]])</f>
        <v>0</v>
      </c>
      <c r="X107" s="11">
        <f>TableWeeklySummary[[#This Row],[Inversión google ads]]+TableWeeklySummary[[#This Row],[Inversión meta ads]]</f>
        <v>0</v>
      </c>
      <c r="Y107" s="11">
        <f>TableWeeklySummary[[#This Row],[Ventas google ads]]+TableWeeklySummary[[#This Row],[Ventas meta ads]]</f>
        <v>0</v>
      </c>
      <c r="Z107" s="14">
        <f>IFERROR(TableWeeklySummary[[#This Row],[Ventas publicidad]]/TableWeeklySummary[[#This Row],[Inversión publicidad]],0)</f>
        <v>0</v>
      </c>
      <c r="AA107" s="14">
        <f>IFERROR(TableWeeklySummary[[#This Row],[Ventas primer cliente]]/TableWeeklySummary[[#This Row],[Inversión publicidad]],0)</f>
        <v>0</v>
      </c>
      <c r="AB107" s="14"/>
      <c r="AC107" s="11"/>
      <c r="AI10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7" s="11">
        <f>SUMIFS(TableDailySummary[Costo de ventas registrado],TableDailySummary[Fecha],"&gt;="&amp;TableWeeklySummary[[#This Row],[Desde]],TableDailySummary[Fecha],"&lt;="&amp;TableWeeklySummary[[#This Row],[Hasta]])</f>
        <v>0</v>
      </c>
      <c r="AK107" s="11">
        <f>SUMIFS(TableDailySummary[Utilidad bruta],TableDailySummary[Fecha],"&gt;="&amp;TableWeeklySummary[[#This Row],[Desde]],TableDailySummary[Fecha],"&lt;="&amp;TableWeeklySummary[[#This Row],[Hasta]])</f>
        <v>0</v>
      </c>
      <c r="AL107" s="18">
        <f>IFERROR(TableWeeklySummary[[#This Row],[Utilidad bruta]]/TableWeeklySummary[[#This Row],[Ventas netas con costo registrado]],0)</f>
        <v>0</v>
      </c>
    </row>
    <row r="108" spans="2:38" x14ac:dyDescent="0.2">
      <c r="B108" s="16">
        <f>_xlfn.ISOWEEKNUM(TableWeeklySummary[[#This Row],[Hasta]])</f>
        <v>45</v>
      </c>
      <c r="C108" s="6">
        <f t="shared" si="3"/>
        <v>45233</v>
      </c>
      <c r="D108" s="6">
        <f>TableWeeklySummary[[#This Row],[Desde]]+7-1</f>
        <v>45239</v>
      </c>
      <c r="E108" s="11">
        <f>SUMIFS(TableDailySummary[Ventas netas totales],TableDailySummary[Fecha],"&gt;="&amp;TableWeeklySummary[[#This Row],[Desde]],TableDailySummary[Fecha],"&lt;="&amp;TableWeeklySummary[[#This Row],[Hasta]])</f>
        <v>0</v>
      </c>
      <c r="F108" s="11">
        <f>SUMIFS(TableDailySummary[Órdenes totales],TableDailySummary[Fecha],"&gt;="&amp;TableWeeklySummary[[#This Row],[Desde]],TableDailySummary[Fecha],"&lt;="&amp;TableWeeklySummary[[#This Row],[Hasta]])</f>
        <v>0</v>
      </c>
      <c r="G108" s="11">
        <f>IFERROR(TableWeeklySummary[[#This Row],[Ventas netas totales]]/TableWeeklySummary[[#This Row],[Órdenes totales]],0)</f>
        <v>0</v>
      </c>
      <c r="H10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8" s="11">
        <f>TableWeeklySummary[[#This Row],[Órden promedio totales]]*TableWeeklySummary[[#This Row],[CR totales]]</f>
        <v>0</v>
      </c>
      <c r="J108" s="11">
        <f>SUMIFS(TableDailySummary[Ventas primer cliente],TableDailySummary[Fecha],"&gt;="&amp;TableWeeklySummary[[#This Row],[Desde]],TableDailySummary[Fecha],"&lt;="&amp;TableWeeklySummary[[#This Row],[Hasta]])</f>
        <v>0</v>
      </c>
      <c r="K108" s="11">
        <f>SUMIFS(TableDailySummary[Órdenes primer cliente],TableDailySummary[Fecha],"&gt;="&amp;TableWeeklySummary[[#This Row],[Desde]],TableDailySummary[Fecha],"&lt;="&amp;TableWeeklySummary[[#This Row],[Hasta]])</f>
        <v>0</v>
      </c>
      <c r="L108" s="11">
        <f>SUMIFS(TableDailySummary[Online Store_net_sales],TableDailySummary[Fecha],"&gt;="&amp;TableWeeklySummary[[#This Row],[Desde]],TableDailySummary[Fecha],"&lt;="&amp;TableWeeklySummary[[#This Row],[Hasta]])</f>
        <v>0</v>
      </c>
      <c r="M108" s="11">
        <f>SUMIFS(TableDailySummary[Online Store_orders],TableDailySummary[Fecha],"&gt;="&amp;TableWeeklySummary[[#This Row],[Desde]],TableDailySummary[Fecha],"&lt;="&amp;TableWeeklySummary[[#This Row],[Hasta]])</f>
        <v>0</v>
      </c>
      <c r="N108" s="11">
        <f>SUMIFS(TableDailySummary[Tienda 81_net_sales],TableDailySummary[Fecha],"&gt;="&amp;TableWeeklySummary[[#This Row],[Desde]],TableDailySummary[Fecha],"&lt;="&amp;TableWeeklySummary[[#This Row],[Hasta]])</f>
        <v>0</v>
      </c>
      <c r="O108" s="11">
        <f>SUMIFS(TableDailySummary[Tienda 81_orders],TableDailySummary[Fecha],"&gt;="&amp;TableWeeklySummary[[#This Row],[Desde]],TableDailySummary[Fecha],"&lt;="&amp;TableWeeklySummary[[#This Row],[Hasta]])</f>
        <v>0</v>
      </c>
      <c r="P108" s="11">
        <f>SUMIFS(TableDailySummary[Rappi_net_sales],TableDailySummary[Fecha],"&gt;="&amp;TableWeeklySummary[[#This Row],[Desde]],TableDailySummary[Fecha],"&lt;="&amp;TableWeeklySummary[[#This Row],[Hasta]])</f>
        <v>0</v>
      </c>
      <c r="Q108" s="11">
        <f>SUMIFS(TableDailySummary[Rappi_orders],TableDailySummary[Fecha],"&gt;="&amp;TableWeeklySummary[[#This Row],[Desde]],TableDailySummary[Fecha],"&lt;="&amp;TableWeeklySummary[[#This Row],[Hasta]])</f>
        <v>0</v>
      </c>
      <c r="R10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8" s="11">
        <f>SUMIFS(TableDailySummary[Corporativo no tienda_orders],TableDailySummary[Fecha],"&gt;="&amp;TableWeeklySummary[[#This Row],[Desde]],TableDailySummary[Fecha],"&lt;="&amp;TableWeeklySummary[[#This Row],[Hasta]])</f>
        <v>0</v>
      </c>
      <c r="T108" s="11">
        <f>SUMIFS(TableDailySummary[Inversión google ads],TableDailySummary[Fecha],"&gt;="&amp;TableWeeklySummary[[#This Row],[Desde]],TableDailySummary[Fecha],"&lt;="&amp;TableWeeklySummary[[#This Row],[Hasta]])</f>
        <v>0</v>
      </c>
      <c r="U108" s="11">
        <f>SUMIFS(TableDailySummary[Ventas google ads],TableDailySummary[Fecha],"&gt;="&amp;TableWeeklySummary[[#This Row],[Desde]],TableDailySummary[Fecha],"&lt;="&amp;TableWeeklySummary[[#This Row],[Hasta]])</f>
        <v>0</v>
      </c>
      <c r="V108" s="11">
        <f>SUMIFS(TableDailySummary[Inversión meta ads],TableDailySummary[Fecha],"&gt;="&amp;TableWeeklySummary[[#This Row],[Desde]],TableDailySummary[Fecha],"&lt;="&amp;TableWeeklySummary[[#This Row],[Hasta]])</f>
        <v>0</v>
      </c>
      <c r="W108" s="11">
        <f>SUMIFS(TableDailySummary[Ventas meta ads],TableDailySummary[Fecha],"&gt;="&amp;TableWeeklySummary[[#This Row],[Desde]],TableDailySummary[Fecha],"&lt;="&amp;TableWeeklySummary[[#This Row],[Hasta]])</f>
        <v>0</v>
      </c>
      <c r="X108" s="11">
        <f>TableWeeklySummary[[#This Row],[Inversión google ads]]+TableWeeklySummary[[#This Row],[Inversión meta ads]]</f>
        <v>0</v>
      </c>
      <c r="Y108" s="11">
        <f>TableWeeklySummary[[#This Row],[Ventas google ads]]+TableWeeklySummary[[#This Row],[Ventas meta ads]]</f>
        <v>0</v>
      </c>
      <c r="Z108" s="14">
        <f>IFERROR(TableWeeklySummary[[#This Row],[Ventas publicidad]]/TableWeeklySummary[[#This Row],[Inversión publicidad]],0)</f>
        <v>0</v>
      </c>
      <c r="AA108" s="14">
        <f>IFERROR(TableWeeklySummary[[#This Row],[Ventas primer cliente]]/TableWeeklySummary[[#This Row],[Inversión publicidad]],0)</f>
        <v>0</v>
      </c>
      <c r="AB108" s="14"/>
      <c r="AC108" s="11"/>
      <c r="AI10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8" s="11">
        <f>SUMIFS(TableDailySummary[Costo de ventas registrado],TableDailySummary[Fecha],"&gt;="&amp;TableWeeklySummary[[#This Row],[Desde]],TableDailySummary[Fecha],"&lt;="&amp;TableWeeklySummary[[#This Row],[Hasta]])</f>
        <v>0</v>
      </c>
      <c r="AK108" s="11">
        <f>SUMIFS(TableDailySummary[Utilidad bruta],TableDailySummary[Fecha],"&gt;="&amp;TableWeeklySummary[[#This Row],[Desde]],TableDailySummary[Fecha],"&lt;="&amp;TableWeeklySummary[[#This Row],[Hasta]])</f>
        <v>0</v>
      </c>
      <c r="AL108" s="18">
        <f>IFERROR(TableWeeklySummary[[#This Row],[Utilidad bruta]]/TableWeeklySummary[[#This Row],[Ventas netas con costo registrado]],0)</f>
        <v>0</v>
      </c>
    </row>
    <row r="109" spans="2:38" x14ac:dyDescent="0.2">
      <c r="B109" s="16">
        <f>_xlfn.ISOWEEKNUM(TableWeeklySummary[[#This Row],[Hasta]])</f>
        <v>46</v>
      </c>
      <c r="C109" s="6">
        <f t="shared" si="3"/>
        <v>45240</v>
      </c>
      <c r="D109" s="6">
        <f>TableWeeklySummary[[#This Row],[Desde]]+7-1</f>
        <v>45246</v>
      </c>
      <c r="E109" s="11">
        <f>SUMIFS(TableDailySummary[Ventas netas totales],TableDailySummary[Fecha],"&gt;="&amp;TableWeeklySummary[[#This Row],[Desde]],TableDailySummary[Fecha],"&lt;="&amp;TableWeeklySummary[[#This Row],[Hasta]])</f>
        <v>0</v>
      </c>
      <c r="F109" s="11">
        <f>SUMIFS(TableDailySummary[Órdenes totales],TableDailySummary[Fecha],"&gt;="&amp;TableWeeklySummary[[#This Row],[Desde]],TableDailySummary[Fecha],"&lt;="&amp;TableWeeklySummary[[#This Row],[Hasta]])</f>
        <v>0</v>
      </c>
      <c r="G109" s="11">
        <f>IFERROR(TableWeeklySummary[[#This Row],[Ventas netas totales]]/TableWeeklySummary[[#This Row],[Órdenes totales]],0)</f>
        <v>0</v>
      </c>
      <c r="H10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09" s="11">
        <f>TableWeeklySummary[[#This Row],[Órden promedio totales]]*TableWeeklySummary[[#This Row],[CR totales]]</f>
        <v>0</v>
      </c>
      <c r="J109" s="11">
        <f>SUMIFS(TableDailySummary[Ventas primer cliente],TableDailySummary[Fecha],"&gt;="&amp;TableWeeklySummary[[#This Row],[Desde]],TableDailySummary[Fecha],"&lt;="&amp;TableWeeklySummary[[#This Row],[Hasta]])</f>
        <v>0</v>
      </c>
      <c r="K109" s="11">
        <f>SUMIFS(TableDailySummary[Órdenes primer cliente],TableDailySummary[Fecha],"&gt;="&amp;TableWeeklySummary[[#This Row],[Desde]],TableDailySummary[Fecha],"&lt;="&amp;TableWeeklySummary[[#This Row],[Hasta]])</f>
        <v>0</v>
      </c>
      <c r="L109" s="11">
        <f>SUMIFS(TableDailySummary[Online Store_net_sales],TableDailySummary[Fecha],"&gt;="&amp;TableWeeklySummary[[#This Row],[Desde]],TableDailySummary[Fecha],"&lt;="&amp;TableWeeklySummary[[#This Row],[Hasta]])</f>
        <v>0</v>
      </c>
      <c r="M109" s="11">
        <f>SUMIFS(TableDailySummary[Online Store_orders],TableDailySummary[Fecha],"&gt;="&amp;TableWeeklySummary[[#This Row],[Desde]],TableDailySummary[Fecha],"&lt;="&amp;TableWeeklySummary[[#This Row],[Hasta]])</f>
        <v>0</v>
      </c>
      <c r="N109" s="11">
        <f>SUMIFS(TableDailySummary[Tienda 81_net_sales],TableDailySummary[Fecha],"&gt;="&amp;TableWeeklySummary[[#This Row],[Desde]],TableDailySummary[Fecha],"&lt;="&amp;TableWeeklySummary[[#This Row],[Hasta]])</f>
        <v>0</v>
      </c>
      <c r="O109" s="11">
        <f>SUMIFS(TableDailySummary[Tienda 81_orders],TableDailySummary[Fecha],"&gt;="&amp;TableWeeklySummary[[#This Row],[Desde]],TableDailySummary[Fecha],"&lt;="&amp;TableWeeklySummary[[#This Row],[Hasta]])</f>
        <v>0</v>
      </c>
      <c r="P109" s="11">
        <f>SUMIFS(TableDailySummary[Rappi_net_sales],TableDailySummary[Fecha],"&gt;="&amp;TableWeeklySummary[[#This Row],[Desde]],TableDailySummary[Fecha],"&lt;="&amp;TableWeeklySummary[[#This Row],[Hasta]])</f>
        <v>0</v>
      </c>
      <c r="Q109" s="11">
        <f>SUMIFS(TableDailySummary[Rappi_orders],TableDailySummary[Fecha],"&gt;="&amp;TableWeeklySummary[[#This Row],[Desde]],TableDailySummary[Fecha],"&lt;="&amp;TableWeeklySummary[[#This Row],[Hasta]])</f>
        <v>0</v>
      </c>
      <c r="R10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09" s="11">
        <f>SUMIFS(TableDailySummary[Corporativo no tienda_orders],TableDailySummary[Fecha],"&gt;="&amp;TableWeeklySummary[[#This Row],[Desde]],TableDailySummary[Fecha],"&lt;="&amp;TableWeeklySummary[[#This Row],[Hasta]])</f>
        <v>0</v>
      </c>
      <c r="T109" s="11">
        <f>SUMIFS(TableDailySummary[Inversión google ads],TableDailySummary[Fecha],"&gt;="&amp;TableWeeklySummary[[#This Row],[Desde]],TableDailySummary[Fecha],"&lt;="&amp;TableWeeklySummary[[#This Row],[Hasta]])</f>
        <v>0</v>
      </c>
      <c r="U109" s="11">
        <f>SUMIFS(TableDailySummary[Ventas google ads],TableDailySummary[Fecha],"&gt;="&amp;TableWeeklySummary[[#This Row],[Desde]],TableDailySummary[Fecha],"&lt;="&amp;TableWeeklySummary[[#This Row],[Hasta]])</f>
        <v>0</v>
      </c>
      <c r="V109" s="11">
        <f>SUMIFS(TableDailySummary[Inversión meta ads],TableDailySummary[Fecha],"&gt;="&amp;TableWeeklySummary[[#This Row],[Desde]],TableDailySummary[Fecha],"&lt;="&amp;TableWeeklySummary[[#This Row],[Hasta]])</f>
        <v>0</v>
      </c>
      <c r="W109" s="11">
        <f>SUMIFS(TableDailySummary[Ventas meta ads],TableDailySummary[Fecha],"&gt;="&amp;TableWeeklySummary[[#This Row],[Desde]],TableDailySummary[Fecha],"&lt;="&amp;TableWeeklySummary[[#This Row],[Hasta]])</f>
        <v>0</v>
      </c>
      <c r="X109" s="11">
        <f>TableWeeklySummary[[#This Row],[Inversión google ads]]+TableWeeklySummary[[#This Row],[Inversión meta ads]]</f>
        <v>0</v>
      </c>
      <c r="Y109" s="11">
        <f>TableWeeklySummary[[#This Row],[Ventas google ads]]+TableWeeklySummary[[#This Row],[Ventas meta ads]]</f>
        <v>0</v>
      </c>
      <c r="Z109" s="14">
        <f>IFERROR(TableWeeklySummary[[#This Row],[Ventas publicidad]]/TableWeeklySummary[[#This Row],[Inversión publicidad]],0)</f>
        <v>0</v>
      </c>
      <c r="AA109" s="14">
        <f>IFERROR(TableWeeklySummary[[#This Row],[Ventas primer cliente]]/TableWeeklySummary[[#This Row],[Inversión publicidad]],0)</f>
        <v>0</v>
      </c>
      <c r="AB109" s="14"/>
      <c r="AC109" s="11"/>
      <c r="AI10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09" s="11">
        <f>SUMIFS(TableDailySummary[Costo de ventas registrado],TableDailySummary[Fecha],"&gt;="&amp;TableWeeklySummary[[#This Row],[Desde]],TableDailySummary[Fecha],"&lt;="&amp;TableWeeklySummary[[#This Row],[Hasta]])</f>
        <v>0</v>
      </c>
      <c r="AK109" s="11">
        <f>SUMIFS(TableDailySummary[Utilidad bruta],TableDailySummary[Fecha],"&gt;="&amp;TableWeeklySummary[[#This Row],[Desde]],TableDailySummary[Fecha],"&lt;="&amp;TableWeeklySummary[[#This Row],[Hasta]])</f>
        <v>0</v>
      </c>
      <c r="AL109" s="18">
        <f>IFERROR(TableWeeklySummary[[#This Row],[Utilidad bruta]]/TableWeeklySummary[[#This Row],[Ventas netas con costo registrado]],0)</f>
        <v>0</v>
      </c>
    </row>
    <row r="110" spans="2:38" x14ac:dyDescent="0.2">
      <c r="B110" s="16">
        <f>_xlfn.ISOWEEKNUM(TableWeeklySummary[[#This Row],[Hasta]])</f>
        <v>47</v>
      </c>
      <c r="C110" s="6">
        <f t="shared" si="3"/>
        <v>45247</v>
      </c>
      <c r="D110" s="6">
        <f>TableWeeklySummary[[#This Row],[Desde]]+7-1</f>
        <v>45253</v>
      </c>
      <c r="E110" s="11">
        <f>SUMIFS(TableDailySummary[Ventas netas totales],TableDailySummary[Fecha],"&gt;="&amp;TableWeeklySummary[[#This Row],[Desde]],TableDailySummary[Fecha],"&lt;="&amp;TableWeeklySummary[[#This Row],[Hasta]])</f>
        <v>0</v>
      </c>
      <c r="F110" s="11">
        <f>SUMIFS(TableDailySummary[Órdenes totales],TableDailySummary[Fecha],"&gt;="&amp;TableWeeklySummary[[#This Row],[Desde]],TableDailySummary[Fecha],"&lt;="&amp;TableWeeklySummary[[#This Row],[Hasta]])</f>
        <v>0</v>
      </c>
      <c r="G110" s="11">
        <f>IFERROR(TableWeeklySummary[[#This Row],[Ventas netas totales]]/TableWeeklySummary[[#This Row],[Órdenes totales]],0)</f>
        <v>0</v>
      </c>
      <c r="H11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0" s="11">
        <f>TableWeeklySummary[[#This Row],[Órden promedio totales]]*TableWeeklySummary[[#This Row],[CR totales]]</f>
        <v>0</v>
      </c>
      <c r="J110" s="11">
        <f>SUMIFS(TableDailySummary[Ventas primer cliente],TableDailySummary[Fecha],"&gt;="&amp;TableWeeklySummary[[#This Row],[Desde]],TableDailySummary[Fecha],"&lt;="&amp;TableWeeklySummary[[#This Row],[Hasta]])</f>
        <v>0</v>
      </c>
      <c r="K110" s="11">
        <f>SUMIFS(TableDailySummary[Órdenes primer cliente],TableDailySummary[Fecha],"&gt;="&amp;TableWeeklySummary[[#This Row],[Desde]],TableDailySummary[Fecha],"&lt;="&amp;TableWeeklySummary[[#This Row],[Hasta]])</f>
        <v>0</v>
      </c>
      <c r="L110" s="11">
        <f>SUMIFS(TableDailySummary[Online Store_net_sales],TableDailySummary[Fecha],"&gt;="&amp;TableWeeklySummary[[#This Row],[Desde]],TableDailySummary[Fecha],"&lt;="&amp;TableWeeklySummary[[#This Row],[Hasta]])</f>
        <v>0</v>
      </c>
      <c r="M110" s="11">
        <f>SUMIFS(TableDailySummary[Online Store_orders],TableDailySummary[Fecha],"&gt;="&amp;TableWeeklySummary[[#This Row],[Desde]],TableDailySummary[Fecha],"&lt;="&amp;TableWeeklySummary[[#This Row],[Hasta]])</f>
        <v>0</v>
      </c>
      <c r="N110" s="11">
        <f>SUMIFS(TableDailySummary[Tienda 81_net_sales],TableDailySummary[Fecha],"&gt;="&amp;TableWeeklySummary[[#This Row],[Desde]],TableDailySummary[Fecha],"&lt;="&amp;TableWeeklySummary[[#This Row],[Hasta]])</f>
        <v>0</v>
      </c>
      <c r="O110" s="11">
        <f>SUMIFS(TableDailySummary[Tienda 81_orders],TableDailySummary[Fecha],"&gt;="&amp;TableWeeklySummary[[#This Row],[Desde]],TableDailySummary[Fecha],"&lt;="&amp;TableWeeklySummary[[#This Row],[Hasta]])</f>
        <v>0</v>
      </c>
      <c r="P110" s="11">
        <f>SUMIFS(TableDailySummary[Rappi_net_sales],TableDailySummary[Fecha],"&gt;="&amp;TableWeeklySummary[[#This Row],[Desde]],TableDailySummary[Fecha],"&lt;="&amp;TableWeeklySummary[[#This Row],[Hasta]])</f>
        <v>0</v>
      </c>
      <c r="Q110" s="11">
        <f>SUMIFS(TableDailySummary[Rappi_orders],TableDailySummary[Fecha],"&gt;="&amp;TableWeeklySummary[[#This Row],[Desde]],TableDailySummary[Fecha],"&lt;="&amp;TableWeeklySummary[[#This Row],[Hasta]])</f>
        <v>0</v>
      </c>
      <c r="R11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0" s="11">
        <f>SUMIFS(TableDailySummary[Corporativo no tienda_orders],TableDailySummary[Fecha],"&gt;="&amp;TableWeeklySummary[[#This Row],[Desde]],TableDailySummary[Fecha],"&lt;="&amp;TableWeeklySummary[[#This Row],[Hasta]])</f>
        <v>0</v>
      </c>
      <c r="T110" s="11">
        <f>SUMIFS(TableDailySummary[Inversión google ads],TableDailySummary[Fecha],"&gt;="&amp;TableWeeklySummary[[#This Row],[Desde]],TableDailySummary[Fecha],"&lt;="&amp;TableWeeklySummary[[#This Row],[Hasta]])</f>
        <v>0</v>
      </c>
      <c r="U110" s="11">
        <f>SUMIFS(TableDailySummary[Ventas google ads],TableDailySummary[Fecha],"&gt;="&amp;TableWeeklySummary[[#This Row],[Desde]],TableDailySummary[Fecha],"&lt;="&amp;TableWeeklySummary[[#This Row],[Hasta]])</f>
        <v>0</v>
      </c>
      <c r="V110" s="11">
        <f>SUMIFS(TableDailySummary[Inversión meta ads],TableDailySummary[Fecha],"&gt;="&amp;TableWeeklySummary[[#This Row],[Desde]],TableDailySummary[Fecha],"&lt;="&amp;TableWeeklySummary[[#This Row],[Hasta]])</f>
        <v>0</v>
      </c>
      <c r="W110" s="11">
        <f>SUMIFS(TableDailySummary[Ventas meta ads],TableDailySummary[Fecha],"&gt;="&amp;TableWeeklySummary[[#This Row],[Desde]],TableDailySummary[Fecha],"&lt;="&amp;TableWeeklySummary[[#This Row],[Hasta]])</f>
        <v>0</v>
      </c>
      <c r="X110" s="11">
        <f>TableWeeklySummary[[#This Row],[Inversión google ads]]+TableWeeklySummary[[#This Row],[Inversión meta ads]]</f>
        <v>0</v>
      </c>
      <c r="Y110" s="11">
        <f>TableWeeklySummary[[#This Row],[Ventas google ads]]+TableWeeklySummary[[#This Row],[Ventas meta ads]]</f>
        <v>0</v>
      </c>
      <c r="Z110" s="14">
        <f>IFERROR(TableWeeklySummary[[#This Row],[Ventas publicidad]]/TableWeeklySummary[[#This Row],[Inversión publicidad]],0)</f>
        <v>0</v>
      </c>
      <c r="AA110" s="14">
        <f>IFERROR(TableWeeklySummary[[#This Row],[Ventas primer cliente]]/TableWeeklySummary[[#This Row],[Inversión publicidad]],0)</f>
        <v>0</v>
      </c>
      <c r="AB110" s="14"/>
      <c r="AC110" s="11"/>
      <c r="AI11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0" s="11">
        <f>SUMIFS(TableDailySummary[Costo de ventas registrado],TableDailySummary[Fecha],"&gt;="&amp;TableWeeklySummary[[#This Row],[Desde]],TableDailySummary[Fecha],"&lt;="&amp;TableWeeklySummary[[#This Row],[Hasta]])</f>
        <v>0</v>
      </c>
      <c r="AK110" s="11">
        <f>SUMIFS(TableDailySummary[Utilidad bruta],TableDailySummary[Fecha],"&gt;="&amp;TableWeeklySummary[[#This Row],[Desde]],TableDailySummary[Fecha],"&lt;="&amp;TableWeeklySummary[[#This Row],[Hasta]])</f>
        <v>0</v>
      </c>
      <c r="AL110" s="18">
        <f>IFERROR(TableWeeklySummary[[#This Row],[Utilidad bruta]]/TableWeeklySummary[[#This Row],[Ventas netas con costo registrado]],0)</f>
        <v>0</v>
      </c>
    </row>
    <row r="111" spans="2:38" x14ac:dyDescent="0.2">
      <c r="B111" s="16">
        <f>_xlfn.ISOWEEKNUM(TableWeeklySummary[[#This Row],[Hasta]])</f>
        <v>48</v>
      </c>
      <c r="C111" s="6">
        <f t="shared" si="3"/>
        <v>45254</v>
      </c>
      <c r="D111" s="6">
        <f>TableWeeklySummary[[#This Row],[Desde]]+7-1</f>
        <v>45260</v>
      </c>
      <c r="E111" s="11">
        <f>SUMIFS(TableDailySummary[Ventas netas totales],TableDailySummary[Fecha],"&gt;="&amp;TableWeeklySummary[[#This Row],[Desde]],TableDailySummary[Fecha],"&lt;="&amp;TableWeeklySummary[[#This Row],[Hasta]])</f>
        <v>0</v>
      </c>
      <c r="F111" s="11">
        <f>SUMIFS(TableDailySummary[Órdenes totales],TableDailySummary[Fecha],"&gt;="&amp;TableWeeklySummary[[#This Row],[Desde]],TableDailySummary[Fecha],"&lt;="&amp;TableWeeklySummary[[#This Row],[Hasta]])</f>
        <v>0</v>
      </c>
      <c r="G111" s="11">
        <f>IFERROR(TableWeeklySummary[[#This Row],[Ventas netas totales]]/TableWeeklySummary[[#This Row],[Órdenes totales]],0)</f>
        <v>0</v>
      </c>
      <c r="H11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1" s="11">
        <f>TableWeeklySummary[[#This Row],[Órden promedio totales]]*TableWeeklySummary[[#This Row],[CR totales]]</f>
        <v>0</v>
      </c>
      <c r="J111" s="11">
        <f>SUMIFS(TableDailySummary[Ventas primer cliente],TableDailySummary[Fecha],"&gt;="&amp;TableWeeklySummary[[#This Row],[Desde]],TableDailySummary[Fecha],"&lt;="&amp;TableWeeklySummary[[#This Row],[Hasta]])</f>
        <v>0</v>
      </c>
      <c r="K111" s="11">
        <f>SUMIFS(TableDailySummary[Órdenes primer cliente],TableDailySummary[Fecha],"&gt;="&amp;TableWeeklySummary[[#This Row],[Desde]],TableDailySummary[Fecha],"&lt;="&amp;TableWeeklySummary[[#This Row],[Hasta]])</f>
        <v>0</v>
      </c>
      <c r="L111" s="11">
        <f>SUMIFS(TableDailySummary[Online Store_net_sales],TableDailySummary[Fecha],"&gt;="&amp;TableWeeklySummary[[#This Row],[Desde]],TableDailySummary[Fecha],"&lt;="&amp;TableWeeklySummary[[#This Row],[Hasta]])</f>
        <v>0</v>
      </c>
      <c r="M111" s="11">
        <f>SUMIFS(TableDailySummary[Online Store_orders],TableDailySummary[Fecha],"&gt;="&amp;TableWeeklySummary[[#This Row],[Desde]],TableDailySummary[Fecha],"&lt;="&amp;TableWeeklySummary[[#This Row],[Hasta]])</f>
        <v>0</v>
      </c>
      <c r="N111" s="11">
        <f>SUMIFS(TableDailySummary[Tienda 81_net_sales],TableDailySummary[Fecha],"&gt;="&amp;TableWeeklySummary[[#This Row],[Desde]],TableDailySummary[Fecha],"&lt;="&amp;TableWeeklySummary[[#This Row],[Hasta]])</f>
        <v>0</v>
      </c>
      <c r="O111" s="11">
        <f>SUMIFS(TableDailySummary[Tienda 81_orders],TableDailySummary[Fecha],"&gt;="&amp;TableWeeklySummary[[#This Row],[Desde]],TableDailySummary[Fecha],"&lt;="&amp;TableWeeklySummary[[#This Row],[Hasta]])</f>
        <v>0</v>
      </c>
      <c r="P111" s="11">
        <f>SUMIFS(TableDailySummary[Rappi_net_sales],TableDailySummary[Fecha],"&gt;="&amp;TableWeeklySummary[[#This Row],[Desde]],TableDailySummary[Fecha],"&lt;="&amp;TableWeeklySummary[[#This Row],[Hasta]])</f>
        <v>0</v>
      </c>
      <c r="Q111" s="11">
        <f>SUMIFS(TableDailySummary[Rappi_orders],TableDailySummary[Fecha],"&gt;="&amp;TableWeeklySummary[[#This Row],[Desde]],TableDailySummary[Fecha],"&lt;="&amp;TableWeeklySummary[[#This Row],[Hasta]])</f>
        <v>0</v>
      </c>
      <c r="R11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1" s="11">
        <f>SUMIFS(TableDailySummary[Corporativo no tienda_orders],TableDailySummary[Fecha],"&gt;="&amp;TableWeeklySummary[[#This Row],[Desde]],TableDailySummary[Fecha],"&lt;="&amp;TableWeeklySummary[[#This Row],[Hasta]])</f>
        <v>0</v>
      </c>
      <c r="T111" s="11">
        <f>SUMIFS(TableDailySummary[Inversión google ads],TableDailySummary[Fecha],"&gt;="&amp;TableWeeklySummary[[#This Row],[Desde]],TableDailySummary[Fecha],"&lt;="&amp;TableWeeklySummary[[#This Row],[Hasta]])</f>
        <v>0</v>
      </c>
      <c r="U111" s="11">
        <f>SUMIFS(TableDailySummary[Ventas google ads],TableDailySummary[Fecha],"&gt;="&amp;TableWeeklySummary[[#This Row],[Desde]],TableDailySummary[Fecha],"&lt;="&amp;TableWeeklySummary[[#This Row],[Hasta]])</f>
        <v>0</v>
      </c>
      <c r="V111" s="11">
        <f>SUMIFS(TableDailySummary[Inversión meta ads],TableDailySummary[Fecha],"&gt;="&amp;TableWeeklySummary[[#This Row],[Desde]],TableDailySummary[Fecha],"&lt;="&amp;TableWeeklySummary[[#This Row],[Hasta]])</f>
        <v>0</v>
      </c>
      <c r="W111" s="11">
        <f>SUMIFS(TableDailySummary[Ventas meta ads],TableDailySummary[Fecha],"&gt;="&amp;TableWeeklySummary[[#This Row],[Desde]],TableDailySummary[Fecha],"&lt;="&amp;TableWeeklySummary[[#This Row],[Hasta]])</f>
        <v>0</v>
      </c>
      <c r="X111" s="11">
        <f>TableWeeklySummary[[#This Row],[Inversión google ads]]+TableWeeklySummary[[#This Row],[Inversión meta ads]]</f>
        <v>0</v>
      </c>
      <c r="Y111" s="11">
        <f>TableWeeklySummary[[#This Row],[Ventas google ads]]+TableWeeklySummary[[#This Row],[Ventas meta ads]]</f>
        <v>0</v>
      </c>
      <c r="Z111" s="14">
        <f>IFERROR(TableWeeklySummary[[#This Row],[Ventas publicidad]]/TableWeeklySummary[[#This Row],[Inversión publicidad]],0)</f>
        <v>0</v>
      </c>
      <c r="AA111" s="14">
        <f>IFERROR(TableWeeklySummary[[#This Row],[Ventas primer cliente]]/TableWeeklySummary[[#This Row],[Inversión publicidad]],0)</f>
        <v>0</v>
      </c>
      <c r="AB111" s="14"/>
      <c r="AC111" s="11"/>
      <c r="AI11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1" s="11">
        <f>SUMIFS(TableDailySummary[Costo de ventas registrado],TableDailySummary[Fecha],"&gt;="&amp;TableWeeklySummary[[#This Row],[Desde]],TableDailySummary[Fecha],"&lt;="&amp;TableWeeklySummary[[#This Row],[Hasta]])</f>
        <v>0</v>
      </c>
      <c r="AK111" s="11">
        <f>SUMIFS(TableDailySummary[Utilidad bruta],TableDailySummary[Fecha],"&gt;="&amp;TableWeeklySummary[[#This Row],[Desde]],TableDailySummary[Fecha],"&lt;="&amp;TableWeeklySummary[[#This Row],[Hasta]])</f>
        <v>0</v>
      </c>
      <c r="AL111" s="18">
        <f>IFERROR(TableWeeklySummary[[#This Row],[Utilidad bruta]]/TableWeeklySummary[[#This Row],[Ventas netas con costo registrado]],0)</f>
        <v>0</v>
      </c>
    </row>
    <row r="112" spans="2:38" x14ac:dyDescent="0.2">
      <c r="B112" s="16">
        <f>_xlfn.ISOWEEKNUM(TableWeeklySummary[[#This Row],[Hasta]])</f>
        <v>49</v>
      </c>
      <c r="C112" s="6">
        <f t="shared" si="3"/>
        <v>45261</v>
      </c>
      <c r="D112" s="6">
        <f>TableWeeklySummary[[#This Row],[Desde]]+7-1</f>
        <v>45267</v>
      </c>
      <c r="E112" s="11">
        <f>SUMIFS(TableDailySummary[Ventas netas totales],TableDailySummary[Fecha],"&gt;="&amp;TableWeeklySummary[[#This Row],[Desde]],TableDailySummary[Fecha],"&lt;="&amp;TableWeeklySummary[[#This Row],[Hasta]])</f>
        <v>0</v>
      </c>
      <c r="F112" s="11">
        <f>SUMIFS(TableDailySummary[Órdenes totales],TableDailySummary[Fecha],"&gt;="&amp;TableWeeklySummary[[#This Row],[Desde]],TableDailySummary[Fecha],"&lt;="&amp;TableWeeklySummary[[#This Row],[Hasta]])</f>
        <v>0</v>
      </c>
      <c r="G112" s="11">
        <f>IFERROR(TableWeeklySummary[[#This Row],[Ventas netas totales]]/TableWeeklySummary[[#This Row],[Órdenes totales]],0)</f>
        <v>0</v>
      </c>
      <c r="H11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2" s="11">
        <f>TableWeeklySummary[[#This Row],[Órden promedio totales]]*TableWeeklySummary[[#This Row],[CR totales]]</f>
        <v>0</v>
      </c>
      <c r="J112" s="11">
        <f>SUMIFS(TableDailySummary[Ventas primer cliente],TableDailySummary[Fecha],"&gt;="&amp;TableWeeklySummary[[#This Row],[Desde]],TableDailySummary[Fecha],"&lt;="&amp;TableWeeklySummary[[#This Row],[Hasta]])</f>
        <v>0</v>
      </c>
      <c r="K112" s="11">
        <f>SUMIFS(TableDailySummary[Órdenes primer cliente],TableDailySummary[Fecha],"&gt;="&amp;TableWeeklySummary[[#This Row],[Desde]],TableDailySummary[Fecha],"&lt;="&amp;TableWeeklySummary[[#This Row],[Hasta]])</f>
        <v>0</v>
      </c>
      <c r="L112" s="11">
        <f>SUMIFS(TableDailySummary[Online Store_net_sales],TableDailySummary[Fecha],"&gt;="&amp;TableWeeklySummary[[#This Row],[Desde]],TableDailySummary[Fecha],"&lt;="&amp;TableWeeklySummary[[#This Row],[Hasta]])</f>
        <v>0</v>
      </c>
      <c r="M112" s="11">
        <f>SUMIFS(TableDailySummary[Online Store_orders],TableDailySummary[Fecha],"&gt;="&amp;TableWeeklySummary[[#This Row],[Desde]],TableDailySummary[Fecha],"&lt;="&amp;TableWeeklySummary[[#This Row],[Hasta]])</f>
        <v>0</v>
      </c>
      <c r="N112" s="11">
        <f>SUMIFS(TableDailySummary[Tienda 81_net_sales],TableDailySummary[Fecha],"&gt;="&amp;TableWeeklySummary[[#This Row],[Desde]],TableDailySummary[Fecha],"&lt;="&amp;TableWeeklySummary[[#This Row],[Hasta]])</f>
        <v>0</v>
      </c>
      <c r="O112" s="11">
        <f>SUMIFS(TableDailySummary[Tienda 81_orders],TableDailySummary[Fecha],"&gt;="&amp;TableWeeklySummary[[#This Row],[Desde]],TableDailySummary[Fecha],"&lt;="&amp;TableWeeklySummary[[#This Row],[Hasta]])</f>
        <v>0</v>
      </c>
      <c r="P112" s="11">
        <f>SUMIFS(TableDailySummary[Rappi_net_sales],TableDailySummary[Fecha],"&gt;="&amp;TableWeeklySummary[[#This Row],[Desde]],TableDailySummary[Fecha],"&lt;="&amp;TableWeeklySummary[[#This Row],[Hasta]])</f>
        <v>0</v>
      </c>
      <c r="Q112" s="11">
        <f>SUMIFS(TableDailySummary[Rappi_orders],TableDailySummary[Fecha],"&gt;="&amp;TableWeeklySummary[[#This Row],[Desde]],TableDailySummary[Fecha],"&lt;="&amp;TableWeeklySummary[[#This Row],[Hasta]])</f>
        <v>0</v>
      </c>
      <c r="R11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2" s="11">
        <f>SUMIFS(TableDailySummary[Corporativo no tienda_orders],TableDailySummary[Fecha],"&gt;="&amp;TableWeeklySummary[[#This Row],[Desde]],TableDailySummary[Fecha],"&lt;="&amp;TableWeeklySummary[[#This Row],[Hasta]])</f>
        <v>0</v>
      </c>
      <c r="T112" s="11">
        <f>SUMIFS(TableDailySummary[Inversión google ads],TableDailySummary[Fecha],"&gt;="&amp;TableWeeklySummary[[#This Row],[Desde]],TableDailySummary[Fecha],"&lt;="&amp;TableWeeklySummary[[#This Row],[Hasta]])</f>
        <v>0</v>
      </c>
      <c r="U112" s="11">
        <f>SUMIFS(TableDailySummary[Ventas google ads],TableDailySummary[Fecha],"&gt;="&amp;TableWeeklySummary[[#This Row],[Desde]],TableDailySummary[Fecha],"&lt;="&amp;TableWeeklySummary[[#This Row],[Hasta]])</f>
        <v>0</v>
      </c>
      <c r="V112" s="11">
        <f>SUMIFS(TableDailySummary[Inversión meta ads],TableDailySummary[Fecha],"&gt;="&amp;TableWeeklySummary[[#This Row],[Desde]],TableDailySummary[Fecha],"&lt;="&amp;TableWeeklySummary[[#This Row],[Hasta]])</f>
        <v>0</v>
      </c>
      <c r="W112" s="11">
        <f>SUMIFS(TableDailySummary[Ventas meta ads],TableDailySummary[Fecha],"&gt;="&amp;TableWeeklySummary[[#This Row],[Desde]],TableDailySummary[Fecha],"&lt;="&amp;TableWeeklySummary[[#This Row],[Hasta]])</f>
        <v>0</v>
      </c>
      <c r="X112" s="11">
        <f>TableWeeklySummary[[#This Row],[Inversión google ads]]+TableWeeklySummary[[#This Row],[Inversión meta ads]]</f>
        <v>0</v>
      </c>
      <c r="Y112" s="11">
        <f>TableWeeklySummary[[#This Row],[Ventas google ads]]+TableWeeklySummary[[#This Row],[Ventas meta ads]]</f>
        <v>0</v>
      </c>
      <c r="Z112" s="14">
        <f>IFERROR(TableWeeklySummary[[#This Row],[Ventas publicidad]]/TableWeeklySummary[[#This Row],[Inversión publicidad]],0)</f>
        <v>0</v>
      </c>
      <c r="AA112" s="14">
        <f>IFERROR(TableWeeklySummary[[#This Row],[Ventas primer cliente]]/TableWeeklySummary[[#This Row],[Inversión publicidad]],0)</f>
        <v>0</v>
      </c>
      <c r="AB112" s="14"/>
      <c r="AC112" s="11"/>
      <c r="AI11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2" s="11">
        <f>SUMIFS(TableDailySummary[Costo de ventas registrado],TableDailySummary[Fecha],"&gt;="&amp;TableWeeklySummary[[#This Row],[Desde]],TableDailySummary[Fecha],"&lt;="&amp;TableWeeklySummary[[#This Row],[Hasta]])</f>
        <v>0</v>
      </c>
      <c r="AK112" s="11">
        <f>SUMIFS(TableDailySummary[Utilidad bruta],TableDailySummary[Fecha],"&gt;="&amp;TableWeeklySummary[[#This Row],[Desde]],TableDailySummary[Fecha],"&lt;="&amp;TableWeeklySummary[[#This Row],[Hasta]])</f>
        <v>0</v>
      </c>
      <c r="AL112" s="18">
        <f>IFERROR(TableWeeklySummary[[#This Row],[Utilidad bruta]]/TableWeeklySummary[[#This Row],[Ventas netas con costo registrado]],0)</f>
        <v>0</v>
      </c>
    </row>
    <row r="113" spans="2:38" x14ac:dyDescent="0.2">
      <c r="B113" s="16">
        <f>_xlfn.ISOWEEKNUM(TableWeeklySummary[[#This Row],[Hasta]])</f>
        <v>50</v>
      </c>
      <c r="C113" s="6">
        <f t="shared" si="3"/>
        <v>45268</v>
      </c>
      <c r="D113" s="6">
        <f>TableWeeklySummary[[#This Row],[Desde]]+7-1</f>
        <v>45274</v>
      </c>
      <c r="E113" s="11">
        <f>SUMIFS(TableDailySummary[Ventas netas totales],TableDailySummary[Fecha],"&gt;="&amp;TableWeeklySummary[[#This Row],[Desde]],TableDailySummary[Fecha],"&lt;="&amp;TableWeeklySummary[[#This Row],[Hasta]])</f>
        <v>0</v>
      </c>
      <c r="F113" s="11">
        <f>SUMIFS(TableDailySummary[Órdenes totales],TableDailySummary[Fecha],"&gt;="&amp;TableWeeklySummary[[#This Row],[Desde]],TableDailySummary[Fecha],"&lt;="&amp;TableWeeklySummary[[#This Row],[Hasta]])</f>
        <v>0</v>
      </c>
      <c r="G113" s="11">
        <f>IFERROR(TableWeeklySummary[[#This Row],[Ventas netas totales]]/TableWeeklySummary[[#This Row],[Órdenes totales]],0)</f>
        <v>0</v>
      </c>
      <c r="H11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3" s="11">
        <f>TableWeeklySummary[[#This Row],[Órden promedio totales]]*TableWeeklySummary[[#This Row],[CR totales]]</f>
        <v>0</v>
      </c>
      <c r="J113" s="11">
        <f>SUMIFS(TableDailySummary[Ventas primer cliente],TableDailySummary[Fecha],"&gt;="&amp;TableWeeklySummary[[#This Row],[Desde]],TableDailySummary[Fecha],"&lt;="&amp;TableWeeklySummary[[#This Row],[Hasta]])</f>
        <v>0</v>
      </c>
      <c r="K113" s="11">
        <f>SUMIFS(TableDailySummary[Órdenes primer cliente],TableDailySummary[Fecha],"&gt;="&amp;TableWeeklySummary[[#This Row],[Desde]],TableDailySummary[Fecha],"&lt;="&amp;TableWeeklySummary[[#This Row],[Hasta]])</f>
        <v>0</v>
      </c>
      <c r="L113" s="11">
        <f>SUMIFS(TableDailySummary[Online Store_net_sales],TableDailySummary[Fecha],"&gt;="&amp;TableWeeklySummary[[#This Row],[Desde]],TableDailySummary[Fecha],"&lt;="&amp;TableWeeklySummary[[#This Row],[Hasta]])</f>
        <v>0</v>
      </c>
      <c r="M113" s="11">
        <f>SUMIFS(TableDailySummary[Online Store_orders],TableDailySummary[Fecha],"&gt;="&amp;TableWeeklySummary[[#This Row],[Desde]],TableDailySummary[Fecha],"&lt;="&amp;TableWeeklySummary[[#This Row],[Hasta]])</f>
        <v>0</v>
      </c>
      <c r="N113" s="11">
        <f>SUMIFS(TableDailySummary[Tienda 81_net_sales],TableDailySummary[Fecha],"&gt;="&amp;TableWeeklySummary[[#This Row],[Desde]],TableDailySummary[Fecha],"&lt;="&amp;TableWeeklySummary[[#This Row],[Hasta]])</f>
        <v>0</v>
      </c>
      <c r="O113" s="11">
        <f>SUMIFS(TableDailySummary[Tienda 81_orders],TableDailySummary[Fecha],"&gt;="&amp;TableWeeklySummary[[#This Row],[Desde]],TableDailySummary[Fecha],"&lt;="&amp;TableWeeklySummary[[#This Row],[Hasta]])</f>
        <v>0</v>
      </c>
      <c r="P113" s="11">
        <f>SUMIFS(TableDailySummary[Rappi_net_sales],TableDailySummary[Fecha],"&gt;="&amp;TableWeeklySummary[[#This Row],[Desde]],TableDailySummary[Fecha],"&lt;="&amp;TableWeeklySummary[[#This Row],[Hasta]])</f>
        <v>0</v>
      </c>
      <c r="Q113" s="11">
        <f>SUMIFS(TableDailySummary[Rappi_orders],TableDailySummary[Fecha],"&gt;="&amp;TableWeeklySummary[[#This Row],[Desde]],TableDailySummary[Fecha],"&lt;="&amp;TableWeeklySummary[[#This Row],[Hasta]])</f>
        <v>0</v>
      </c>
      <c r="R11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3" s="11">
        <f>SUMIFS(TableDailySummary[Corporativo no tienda_orders],TableDailySummary[Fecha],"&gt;="&amp;TableWeeklySummary[[#This Row],[Desde]],TableDailySummary[Fecha],"&lt;="&amp;TableWeeklySummary[[#This Row],[Hasta]])</f>
        <v>0</v>
      </c>
      <c r="T113" s="11">
        <f>SUMIFS(TableDailySummary[Inversión google ads],TableDailySummary[Fecha],"&gt;="&amp;TableWeeklySummary[[#This Row],[Desde]],TableDailySummary[Fecha],"&lt;="&amp;TableWeeklySummary[[#This Row],[Hasta]])</f>
        <v>0</v>
      </c>
      <c r="U113" s="11">
        <f>SUMIFS(TableDailySummary[Ventas google ads],TableDailySummary[Fecha],"&gt;="&amp;TableWeeklySummary[[#This Row],[Desde]],TableDailySummary[Fecha],"&lt;="&amp;TableWeeklySummary[[#This Row],[Hasta]])</f>
        <v>0</v>
      </c>
      <c r="V113" s="11">
        <f>SUMIFS(TableDailySummary[Inversión meta ads],TableDailySummary[Fecha],"&gt;="&amp;TableWeeklySummary[[#This Row],[Desde]],TableDailySummary[Fecha],"&lt;="&amp;TableWeeklySummary[[#This Row],[Hasta]])</f>
        <v>0</v>
      </c>
      <c r="W113" s="11">
        <f>SUMIFS(TableDailySummary[Ventas meta ads],TableDailySummary[Fecha],"&gt;="&amp;TableWeeklySummary[[#This Row],[Desde]],TableDailySummary[Fecha],"&lt;="&amp;TableWeeklySummary[[#This Row],[Hasta]])</f>
        <v>0</v>
      </c>
      <c r="X113" s="11">
        <f>TableWeeklySummary[[#This Row],[Inversión google ads]]+TableWeeklySummary[[#This Row],[Inversión meta ads]]</f>
        <v>0</v>
      </c>
      <c r="Y113" s="11">
        <f>TableWeeklySummary[[#This Row],[Ventas google ads]]+TableWeeklySummary[[#This Row],[Ventas meta ads]]</f>
        <v>0</v>
      </c>
      <c r="Z113" s="14">
        <f>IFERROR(TableWeeklySummary[[#This Row],[Ventas publicidad]]/TableWeeklySummary[[#This Row],[Inversión publicidad]],0)</f>
        <v>0</v>
      </c>
      <c r="AA113" s="14">
        <f>IFERROR(TableWeeklySummary[[#This Row],[Ventas primer cliente]]/TableWeeklySummary[[#This Row],[Inversión publicidad]],0)</f>
        <v>0</v>
      </c>
      <c r="AB113" s="14"/>
      <c r="AC113" s="11"/>
      <c r="AI11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3" s="11">
        <f>SUMIFS(TableDailySummary[Costo de ventas registrado],TableDailySummary[Fecha],"&gt;="&amp;TableWeeklySummary[[#This Row],[Desde]],TableDailySummary[Fecha],"&lt;="&amp;TableWeeklySummary[[#This Row],[Hasta]])</f>
        <v>0</v>
      </c>
      <c r="AK113" s="11">
        <f>SUMIFS(TableDailySummary[Utilidad bruta],TableDailySummary[Fecha],"&gt;="&amp;TableWeeklySummary[[#This Row],[Desde]],TableDailySummary[Fecha],"&lt;="&amp;TableWeeklySummary[[#This Row],[Hasta]])</f>
        <v>0</v>
      </c>
      <c r="AL113" s="18">
        <f>IFERROR(TableWeeklySummary[[#This Row],[Utilidad bruta]]/TableWeeklySummary[[#This Row],[Ventas netas con costo registrado]],0)</f>
        <v>0</v>
      </c>
    </row>
    <row r="114" spans="2:38" x14ac:dyDescent="0.2">
      <c r="B114" s="16">
        <f>_xlfn.ISOWEEKNUM(TableWeeklySummary[[#This Row],[Hasta]])</f>
        <v>51</v>
      </c>
      <c r="C114" s="6">
        <f t="shared" si="3"/>
        <v>45275</v>
      </c>
      <c r="D114" s="6">
        <f>TableWeeklySummary[[#This Row],[Desde]]+7-1</f>
        <v>45281</v>
      </c>
      <c r="E114" s="11">
        <f>SUMIFS(TableDailySummary[Ventas netas totales],TableDailySummary[Fecha],"&gt;="&amp;TableWeeklySummary[[#This Row],[Desde]],TableDailySummary[Fecha],"&lt;="&amp;TableWeeklySummary[[#This Row],[Hasta]])</f>
        <v>0</v>
      </c>
      <c r="F114" s="11">
        <f>SUMIFS(TableDailySummary[Órdenes totales],TableDailySummary[Fecha],"&gt;="&amp;TableWeeklySummary[[#This Row],[Desde]],TableDailySummary[Fecha],"&lt;="&amp;TableWeeklySummary[[#This Row],[Hasta]])</f>
        <v>0</v>
      </c>
      <c r="G114" s="11">
        <f>IFERROR(TableWeeklySummary[[#This Row],[Ventas netas totales]]/TableWeeklySummary[[#This Row],[Órdenes totales]],0)</f>
        <v>0</v>
      </c>
      <c r="H11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4" s="11">
        <f>TableWeeklySummary[[#This Row],[Órden promedio totales]]*TableWeeklySummary[[#This Row],[CR totales]]</f>
        <v>0</v>
      </c>
      <c r="J114" s="11">
        <f>SUMIFS(TableDailySummary[Ventas primer cliente],TableDailySummary[Fecha],"&gt;="&amp;TableWeeklySummary[[#This Row],[Desde]],TableDailySummary[Fecha],"&lt;="&amp;TableWeeklySummary[[#This Row],[Hasta]])</f>
        <v>0</v>
      </c>
      <c r="K114" s="11">
        <f>SUMIFS(TableDailySummary[Órdenes primer cliente],TableDailySummary[Fecha],"&gt;="&amp;TableWeeklySummary[[#This Row],[Desde]],TableDailySummary[Fecha],"&lt;="&amp;TableWeeklySummary[[#This Row],[Hasta]])</f>
        <v>0</v>
      </c>
      <c r="L114" s="11">
        <f>SUMIFS(TableDailySummary[Online Store_net_sales],TableDailySummary[Fecha],"&gt;="&amp;TableWeeklySummary[[#This Row],[Desde]],TableDailySummary[Fecha],"&lt;="&amp;TableWeeklySummary[[#This Row],[Hasta]])</f>
        <v>0</v>
      </c>
      <c r="M114" s="11">
        <f>SUMIFS(TableDailySummary[Online Store_orders],TableDailySummary[Fecha],"&gt;="&amp;TableWeeklySummary[[#This Row],[Desde]],TableDailySummary[Fecha],"&lt;="&amp;TableWeeklySummary[[#This Row],[Hasta]])</f>
        <v>0</v>
      </c>
      <c r="N114" s="11">
        <f>SUMIFS(TableDailySummary[Tienda 81_net_sales],TableDailySummary[Fecha],"&gt;="&amp;TableWeeklySummary[[#This Row],[Desde]],TableDailySummary[Fecha],"&lt;="&amp;TableWeeklySummary[[#This Row],[Hasta]])</f>
        <v>0</v>
      </c>
      <c r="O114" s="11">
        <f>SUMIFS(TableDailySummary[Tienda 81_orders],TableDailySummary[Fecha],"&gt;="&amp;TableWeeklySummary[[#This Row],[Desde]],TableDailySummary[Fecha],"&lt;="&amp;TableWeeklySummary[[#This Row],[Hasta]])</f>
        <v>0</v>
      </c>
      <c r="P114" s="11">
        <f>SUMIFS(TableDailySummary[Rappi_net_sales],TableDailySummary[Fecha],"&gt;="&amp;TableWeeklySummary[[#This Row],[Desde]],TableDailySummary[Fecha],"&lt;="&amp;TableWeeklySummary[[#This Row],[Hasta]])</f>
        <v>0</v>
      </c>
      <c r="Q114" s="11">
        <f>SUMIFS(TableDailySummary[Rappi_orders],TableDailySummary[Fecha],"&gt;="&amp;TableWeeklySummary[[#This Row],[Desde]],TableDailySummary[Fecha],"&lt;="&amp;TableWeeklySummary[[#This Row],[Hasta]])</f>
        <v>0</v>
      </c>
      <c r="R11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4" s="11">
        <f>SUMIFS(TableDailySummary[Corporativo no tienda_orders],TableDailySummary[Fecha],"&gt;="&amp;TableWeeklySummary[[#This Row],[Desde]],TableDailySummary[Fecha],"&lt;="&amp;TableWeeklySummary[[#This Row],[Hasta]])</f>
        <v>0</v>
      </c>
      <c r="T114" s="11">
        <f>SUMIFS(TableDailySummary[Inversión google ads],TableDailySummary[Fecha],"&gt;="&amp;TableWeeklySummary[[#This Row],[Desde]],TableDailySummary[Fecha],"&lt;="&amp;TableWeeklySummary[[#This Row],[Hasta]])</f>
        <v>0</v>
      </c>
      <c r="U114" s="11">
        <f>SUMIFS(TableDailySummary[Ventas google ads],TableDailySummary[Fecha],"&gt;="&amp;TableWeeklySummary[[#This Row],[Desde]],TableDailySummary[Fecha],"&lt;="&amp;TableWeeklySummary[[#This Row],[Hasta]])</f>
        <v>0</v>
      </c>
      <c r="V114" s="11">
        <f>SUMIFS(TableDailySummary[Inversión meta ads],TableDailySummary[Fecha],"&gt;="&amp;TableWeeklySummary[[#This Row],[Desde]],TableDailySummary[Fecha],"&lt;="&amp;TableWeeklySummary[[#This Row],[Hasta]])</f>
        <v>0</v>
      </c>
      <c r="W114" s="11">
        <f>SUMIFS(TableDailySummary[Ventas meta ads],TableDailySummary[Fecha],"&gt;="&amp;TableWeeklySummary[[#This Row],[Desde]],TableDailySummary[Fecha],"&lt;="&amp;TableWeeklySummary[[#This Row],[Hasta]])</f>
        <v>0</v>
      </c>
      <c r="X114" s="11">
        <f>TableWeeklySummary[[#This Row],[Inversión google ads]]+TableWeeklySummary[[#This Row],[Inversión meta ads]]</f>
        <v>0</v>
      </c>
      <c r="Y114" s="11">
        <f>TableWeeklySummary[[#This Row],[Ventas google ads]]+TableWeeklySummary[[#This Row],[Ventas meta ads]]</f>
        <v>0</v>
      </c>
      <c r="Z114" s="14">
        <f>IFERROR(TableWeeklySummary[[#This Row],[Ventas publicidad]]/TableWeeklySummary[[#This Row],[Inversión publicidad]],0)</f>
        <v>0</v>
      </c>
      <c r="AA114" s="14">
        <f>IFERROR(TableWeeklySummary[[#This Row],[Ventas primer cliente]]/TableWeeklySummary[[#This Row],[Inversión publicidad]],0)</f>
        <v>0</v>
      </c>
      <c r="AB114" s="14"/>
      <c r="AC114" s="11"/>
      <c r="AI11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4" s="11">
        <f>SUMIFS(TableDailySummary[Costo de ventas registrado],TableDailySummary[Fecha],"&gt;="&amp;TableWeeklySummary[[#This Row],[Desde]],TableDailySummary[Fecha],"&lt;="&amp;TableWeeklySummary[[#This Row],[Hasta]])</f>
        <v>0</v>
      </c>
      <c r="AK114" s="11">
        <f>SUMIFS(TableDailySummary[Utilidad bruta],TableDailySummary[Fecha],"&gt;="&amp;TableWeeklySummary[[#This Row],[Desde]],TableDailySummary[Fecha],"&lt;="&amp;TableWeeklySummary[[#This Row],[Hasta]])</f>
        <v>0</v>
      </c>
      <c r="AL114" s="18">
        <f>IFERROR(TableWeeklySummary[[#This Row],[Utilidad bruta]]/TableWeeklySummary[[#This Row],[Ventas netas con costo registrado]],0)</f>
        <v>0</v>
      </c>
    </row>
    <row r="115" spans="2:38" x14ac:dyDescent="0.2">
      <c r="B115" s="16">
        <f>_xlfn.ISOWEEKNUM(TableWeeklySummary[[#This Row],[Hasta]])</f>
        <v>52</v>
      </c>
      <c r="C115" s="6">
        <f t="shared" si="3"/>
        <v>45282</v>
      </c>
      <c r="D115" s="6">
        <f>TableWeeklySummary[[#This Row],[Desde]]+7-1</f>
        <v>45288</v>
      </c>
      <c r="E115" s="11">
        <f>SUMIFS(TableDailySummary[Ventas netas totales],TableDailySummary[Fecha],"&gt;="&amp;TableWeeklySummary[[#This Row],[Desde]],TableDailySummary[Fecha],"&lt;="&amp;TableWeeklySummary[[#This Row],[Hasta]])</f>
        <v>0</v>
      </c>
      <c r="F115" s="11">
        <f>SUMIFS(TableDailySummary[Órdenes totales],TableDailySummary[Fecha],"&gt;="&amp;TableWeeklySummary[[#This Row],[Desde]],TableDailySummary[Fecha],"&lt;="&amp;TableWeeklySummary[[#This Row],[Hasta]])</f>
        <v>0</v>
      </c>
      <c r="G115" s="11">
        <f>IFERROR(TableWeeklySummary[[#This Row],[Ventas netas totales]]/TableWeeklySummary[[#This Row],[Órdenes totales]],0)</f>
        <v>0</v>
      </c>
      <c r="H11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5" s="11">
        <f>TableWeeklySummary[[#This Row],[Órden promedio totales]]*TableWeeklySummary[[#This Row],[CR totales]]</f>
        <v>0</v>
      </c>
      <c r="J115" s="11">
        <f>SUMIFS(TableDailySummary[Ventas primer cliente],TableDailySummary[Fecha],"&gt;="&amp;TableWeeklySummary[[#This Row],[Desde]],TableDailySummary[Fecha],"&lt;="&amp;TableWeeklySummary[[#This Row],[Hasta]])</f>
        <v>0</v>
      </c>
      <c r="K115" s="11">
        <f>SUMIFS(TableDailySummary[Órdenes primer cliente],TableDailySummary[Fecha],"&gt;="&amp;TableWeeklySummary[[#This Row],[Desde]],TableDailySummary[Fecha],"&lt;="&amp;TableWeeklySummary[[#This Row],[Hasta]])</f>
        <v>0</v>
      </c>
      <c r="L115" s="11">
        <f>SUMIFS(TableDailySummary[Online Store_net_sales],TableDailySummary[Fecha],"&gt;="&amp;TableWeeklySummary[[#This Row],[Desde]],TableDailySummary[Fecha],"&lt;="&amp;TableWeeklySummary[[#This Row],[Hasta]])</f>
        <v>0</v>
      </c>
      <c r="M115" s="11">
        <f>SUMIFS(TableDailySummary[Online Store_orders],TableDailySummary[Fecha],"&gt;="&amp;TableWeeklySummary[[#This Row],[Desde]],TableDailySummary[Fecha],"&lt;="&amp;TableWeeklySummary[[#This Row],[Hasta]])</f>
        <v>0</v>
      </c>
      <c r="N115" s="11">
        <f>SUMIFS(TableDailySummary[Tienda 81_net_sales],TableDailySummary[Fecha],"&gt;="&amp;TableWeeklySummary[[#This Row],[Desde]],TableDailySummary[Fecha],"&lt;="&amp;TableWeeklySummary[[#This Row],[Hasta]])</f>
        <v>0</v>
      </c>
      <c r="O115" s="11">
        <f>SUMIFS(TableDailySummary[Tienda 81_orders],TableDailySummary[Fecha],"&gt;="&amp;TableWeeklySummary[[#This Row],[Desde]],TableDailySummary[Fecha],"&lt;="&amp;TableWeeklySummary[[#This Row],[Hasta]])</f>
        <v>0</v>
      </c>
      <c r="P115" s="11">
        <f>SUMIFS(TableDailySummary[Rappi_net_sales],TableDailySummary[Fecha],"&gt;="&amp;TableWeeklySummary[[#This Row],[Desde]],TableDailySummary[Fecha],"&lt;="&amp;TableWeeklySummary[[#This Row],[Hasta]])</f>
        <v>0</v>
      </c>
      <c r="Q115" s="11">
        <f>SUMIFS(TableDailySummary[Rappi_orders],TableDailySummary[Fecha],"&gt;="&amp;TableWeeklySummary[[#This Row],[Desde]],TableDailySummary[Fecha],"&lt;="&amp;TableWeeklySummary[[#This Row],[Hasta]])</f>
        <v>0</v>
      </c>
      <c r="R11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5" s="11">
        <f>SUMIFS(TableDailySummary[Corporativo no tienda_orders],TableDailySummary[Fecha],"&gt;="&amp;TableWeeklySummary[[#This Row],[Desde]],TableDailySummary[Fecha],"&lt;="&amp;TableWeeklySummary[[#This Row],[Hasta]])</f>
        <v>0</v>
      </c>
      <c r="T115" s="11">
        <f>SUMIFS(TableDailySummary[Inversión google ads],TableDailySummary[Fecha],"&gt;="&amp;TableWeeklySummary[[#This Row],[Desde]],TableDailySummary[Fecha],"&lt;="&amp;TableWeeklySummary[[#This Row],[Hasta]])</f>
        <v>0</v>
      </c>
      <c r="U115" s="11">
        <f>SUMIFS(TableDailySummary[Ventas google ads],TableDailySummary[Fecha],"&gt;="&amp;TableWeeklySummary[[#This Row],[Desde]],TableDailySummary[Fecha],"&lt;="&amp;TableWeeklySummary[[#This Row],[Hasta]])</f>
        <v>0</v>
      </c>
      <c r="V115" s="11">
        <f>SUMIFS(TableDailySummary[Inversión meta ads],TableDailySummary[Fecha],"&gt;="&amp;TableWeeklySummary[[#This Row],[Desde]],TableDailySummary[Fecha],"&lt;="&amp;TableWeeklySummary[[#This Row],[Hasta]])</f>
        <v>0</v>
      </c>
      <c r="W115" s="11">
        <f>SUMIFS(TableDailySummary[Ventas meta ads],TableDailySummary[Fecha],"&gt;="&amp;TableWeeklySummary[[#This Row],[Desde]],TableDailySummary[Fecha],"&lt;="&amp;TableWeeklySummary[[#This Row],[Hasta]])</f>
        <v>0</v>
      </c>
      <c r="X115" s="11">
        <f>TableWeeklySummary[[#This Row],[Inversión google ads]]+TableWeeklySummary[[#This Row],[Inversión meta ads]]</f>
        <v>0</v>
      </c>
      <c r="Y115" s="11">
        <f>TableWeeklySummary[[#This Row],[Ventas google ads]]+TableWeeklySummary[[#This Row],[Ventas meta ads]]</f>
        <v>0</v>
      </c>
      <c r="Z115" s="14">
        <f>IFERROR(TableWeeklySummary[[#This Row],[Ventas publicidad]]/TableWeeklySummary[[#This Row],[Inversión publicidad]],0)</f>
        <v>0</v>
      </c>
      <c r="AA115" s="14">
        <f>IFERROR(TableWeeklySummary[[#This Row],[Ventas primer cliente]]/TableWeeklySummary[[#This Row],[Inversión publicidad]],0)</f>
        <v>0</v>
      </c>
      <c r="AB115" s="14"/>
      <c r="AC115" s="11"/>
      <c r="AI11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5" s="11">
        <f>SUMIFS(TableDailySummary[Costo de ventas registrado],TableDailySummary[Fecha],"&gt;="&amp;TableWeeklySummary[[#This Row],[Desde]],TableDailySummary[Fecha],"&lt;="&amp;TableWeeklySummary[[#This Row],[Hasta]])</f>
        <v>0</v>
      </c>
      <c r="AK115" s="11">
        <f>SUMIFS(TableDailySummary[Utilidad bruta],TableDailySummary[Fecha],"&gt;="&amp;TableWeeklySummary[[#This Row],[Desde]],TableDailySummary[Fecha],"&lt;="&amp;TableWeeklySummary[[#This Row],[Hasta]])</f>
        <v>0</v>
      </c>
      <c r="AL115" s="18">
        <f>IFERROR(TableWeeklySummary[[#This Row],[Utilidad bruta]]/TableWeeklySummary[[#This Row],[Ventas netas con costo registrado]],0)</f>
        <v>0</v>
      </c>
    </row>
    <row r="116" spans="2:38" x14ac:dyDescent="0.2">
      <c r="B116" s="16">
        <f>_xlfn.ISOWEEKNUM(TableWeeklySummary[[#This Row],[Hasta]])</f>
        <v>1</v>
      </c>
      <c r="C116" s="6">
        <f t="shared" si="3"/>
        <v>45289</v>
      </c>
      <c r="D116" s="6">
        <f>TableWeeklySummary[[#This Row],[Desde]]+7-1</f>
        <v>45295</v>
      </c>
      <c r="E116" s="11">
        <f>SUMIFS(TableDailySummary[Ventas netas totales],TableDailySummary[Fecha],"&gt;="&amp;TableWeeklySummary[[#This Row],[Desde]],TableDailySummary[Fecha],"&lt;="&amp;TableWeeklySummary[[#This Row],[Hasta]])</f>
        <v>0</v>
      </c>
      <c r="F116" s="11">
        <f>SUMIFS(TableDailySummary[Órdenes totales],TableDailySummary[Fecha],"&gt;="&amp;TableWeeklySummary[[#This Row],[Desde]],TableDailySummary[Fecha],"&lt;="&amp;TableWeeklySummary[[#This Row],[Hasta]])</f>
        <v>0</v>
      </c>
      <c r="G116" s="11">
        <f>IFERROR(TableWeeklySummary[[#This Row],[Ventas netas totales]]/TableWeeklySummary[[#This Row],[Órdenes totales]],0)</f>
        <v>0</v>
      </c>
      <c r="H11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6" s="11">
        <f>TableWeeklySummary[[#This Row],[Órden promedio totales]]*TableWeeklySummary[[#This Row],[CR totales]]</f>
        <v>0</v>
      </c>
      <c r="J116" s="11">
        <f>SUMIFS(TableDailySummary[Ventas primer cliente],TableDailySummary[Fecha],"&gt;="&amp;TableWeeklySummary[[#This Row],[Desde]],TableDailySummary[Fecha],"&lt;="&amp;TableWeeklySummary[[#This Row],[Hasta]])</f>
        <v>0</v>
      </c>
      <c r="K116" s="11">
        <f>SUMIFS(TableDailySummary[Órdenes primer cliente],TableDailySummary[Fecha],"&gt;="&amp;TableWeeklySummary[[#This Row],[Desde]],TableDailySummary[Fecha],"&lt;="&amp;TableWeeklySummary[[#This Row],[Hasta]])</f>
        <v>0</v>
      </c>
      <c r="L116" s="11">
        <f>SUMIFS(TableDailySummary[Online Store_net_sales],TableDailySummary[Fecha],"&gt;="&amp;TableWeeklySummary[[#This Row],[Desde]],TableDailySummary[Fecha],"&lt;="&amp;TableWeeklySummary[[#This Row],[Hasta]])</f>
        <v>0</v>
      </c>
      <c r="M116" s="11">
        <f>SUMIFS(TableDailySummary[Online Store_orders],TableDailySummary[Fecha],"&gt;="&amp;TableWeeklySummary[[#This Row],[Desde]],TableDailySummary[Fecha],"&lt;="&amp;TableWeeklySummary[[#This Row],[Hasta]])</f>
        <v>0</v>
      </c>
      <c r="N116" s="11">
        <f>SUMIFS(TableDailySummary[Tienda 81_net_sales],TableDailySummary[Fecha],"&gt;="&amp;TableWeeklySummary[[#This Row],[Desde]],TableDailySummary[Fecha],"&lt;="&amp;TableWeeklySummary[[#This Row],[Hasta]])</f>
        <v>0</v>
      </c>
      <c r="O116" s="11">
        <f>SUMIFS(TableDailySummary[Tienda 81_orders],TableDailySummary[Fecha],"&gt;="&amp;TableWeeklySummary[[#This Row],[Desde]],TableDailySummary[Fecha],"&lt;="&amp;TableWeeklySummary[[#This Row],[Hasta]])</f>
        <v>0</v>
      </c>
      <c r="P116" s="11">
        <f>SUMIFS(TableDailySummary[Rappi_net_sales],TableDailySummary[Fecha],"&gt;="&amp;TableWeeklySummary[[#This Row],[Desde]],TableDailySummary[Fecha],"&lt;="&amp;TableWeeklySummary[[#This Row],[Hasta]])</f>
        <v>0</v>
      </c>
      <c r="Q116" s="11">
        <f>SUMIFS(TableDailySummary[Rappi_orders],TableDailySummary[Fecha],"&gt;="&amp;TableWeeklySummary[[#This Row],[Desde]],TableDailySummary[Fecha],"&lt;="&amp;TableWeeklySummary[[#This Row],[Hasta]])</f>
        <v>0</v>
      </c>
      <c r="R11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6" s="11">
        <f>SUMIFS(TableDailySummary[Corporativo no tienda_orders],TableDailySummary[Fecha],"&gt;="&amp;TableWeeklySummary[[#This Row],[Desde]],TableDailySummary[Fecha],"&lt;="&amp;TableWeeklySummary[[#This Row],[Hasta]])</f>
        <v>0</v>
      </c>
      <c r="T116" s="11">
        <f>SUMIFS(TableDailySummary[Inversión google ads],TableDailySummary[Fecha],"&gt;="&amp;TableWeeklySummary[[#This Row],[Desde]],TableDailySummary[Fecha],"&lt;="&amp;TableWeeklySummary[[#This Row],[Hasta]])</f>
        <v>0</v>
      </c>
      <c r="U116" s="11">
        <f>SUMIFS(TableDailySummary[Ventas google ads],TableDailySummary[Fecha],"&gt;="&amp;TableWeeklySummary[[#This Row],[Desde]],TableDailySummary[Fecha],"&lt;="&amp;TableWeeklySummary[[#This Row],[Hasta]])</f>
        <v>0</v>
      </c>
      <c r="V116" s="11">
        <f>SUMIFS(TableDailySummary[Inversión meta ads],TableDailySummary[Fecha],"&gt;="&amp;TableWeeklySummary[[#This Row],[Desde]],TableDailySummary[Fecha],"&lt;="&amp;TableWeeklySummary[[#This Row],[Hasta]])</f>
        <v>0</v>
      </c>
      <c r="W116" s="11">
        <f>SUMIFS(TableDailySummary[Ventas meta ads],TableDailySummary[Fecha],"&gt;="&amp;TableWeeklySummary[[#This Row],[Desde]],TableDailySummary[Fecha],"&lt;="&amp;TableWeeklySummary[[#This Row],[Hasta]])</f>
        <v>0</v>
      </c>
      <c r="X116" s="11">
        <f>TableWeeklySummary[[#This Row],[Inversión google ads]]+TableWeeklySummary[[#This Row],[Inversión meta ads]]</f>
        <v>0</v>
      </c>
      <c r="Y116" s="11">
        <f>TableWeeklySummary[[#This Row],[Ventas google ads]]+TableWeeklySummary[[#This Row],[Ventas meta ads]]</f>
        <v>0</v>
      </c>
      <c r="Z116" s="14">
        <f>IFERROR(TableWeeklySummary[[#This Row],[Ventas publicidad]]/TableWeeklySummary[[#This Row],[Inversión publicidad]],0)</f>
        <v>0</v>
      </c>
      <c r="AA116" s="14">
        <f>IFERROR(TableWeeklySummary[[#This Row],[Ventas primer cliente]]/TableWeeklySummary[[#This Row],[Inversión publicidad]],0)</f>
        <v>0</v>
      </c>
      <c r="AB116" s="14"/>
      <c r="AC116" s="11"/>
      <c r="AI11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6" s="11">
        <f>SUMIFS(TableDailySummary[Costo de ventas registrado],TableDailySummary[Fecha],"&gt;="&amp;TableWeeklySummary[[#This Row],[Desde]],TableDailySummary[Fecha],"&lt;="&amp;TableWeeklySummary[[#This Row],[Hasta]])</f>
        <v>0</v>
      </c>
      <c r="AK116" s="11">
        <f>SUMIFS(TableDailySummary[Utilidad bruta],TableDailySummary[Fecha],"&gt;="&amp;TableWeeklySummary[[#This Row],[Desde]],TableDailySummary[Fecha],"&lt;="&amp;TableWeeklySummary[[#This Row],[Hasta]])</f>
        <v>0</v>
      </c>
      <c r="AL116" s="18">
        <f>IFERROR(TableWeeklySummary[[#This Row],[Utilidad bruta]]/TableWeeklySummary[[#This Row],[Ventas netas con costo registrado]],0)</f>
        <v>0</v>
      </c>
    </row>
    <row r="117" spans="2:38" x14ac:dyDescent="0.2">
      <c r="B117" s="16">
        <f>_xlfn.ISOWEEKNUM(TableWeeklySummary[[#This Row],[Hasta]])</f>
        <v>2</v>
      </c>
      <c r="C117" s="6">
        <f t="shared" si="3"/>
        <v>45296</v>
      </c>
      <c r="D117" s="6">
        <f>TableWeeklySummary[[#This Row],[Desde]]+7-1</f>
        <v>45302</v>
      </c>
      <c r="E117" s="11">
        <f>SUMIFS(TableDailySummary[Ventas netas totales],TableDailySummary[Fecha],"&gt;="&amp;TableWeeklySummary[[#This Row],[Desde]],TableDailySummary[Fecha],"&lt;="&amp;TableWeeklySummary[[#This Row],[Hasta]])</f>
        <v>0</v>
      </c>
      <c r="F117" s="11">
        <f>SUMIFS(TableDailySummary[Órdenes totales],TableDailySummary[Fecha],"&gt;="&amp;TableWeeklySummary[[#This Row],[Desde]],TableDailySummary[Fecha],"&lt;="&amp;TableWeeklySummary[[#This Row],[Hasta]])</f>
        <v>0</v>
      </c>
      <c r="G117" s="11">
        <f>IFERROR(TableWeeklySummary[[#This Row],[Ventas netas totales]]/TableWeeklySummary[[#This Row],[Órdenes totales]],0)</f>
        <v>0</v>
      </c>
      <c r="H11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7" s="11">
        <f>TableWeeklySummary[[#This Row],[Órden promedio totales]]*TableWeeklySummary[[#This Row],[CR totales]]</f>
        <v>0</v>
      </c>
      <c r="J117" s="11">
        <f>SUMIFS(TableDailySummary[Ventas primer cliente],TableDailySummary[Fecha],"&gt;="&amp;TableWeeklySummary[[#This Row],[Desde]],TableDailySummary[Fecha],"&lt;="&amp;TableWeeklySummary[[#This Row],[Hasta]])</f>
        <v>0</v>
      </c>
      <c r="K117" s="11">
        <f>SUMIFS(TableDailySummary[Órdenes primer cliente],TableDailySummary[Fecha],"&gt;="&amp;TableWeeklySummary[[#This Row],[Desde]],TableDailySummary[Fecha],"&lt;="&amp;TableWeeklySummary[[#This Row],[Hasta]])</f>
        <v>0</v>
      </c>
      <c r="L117" s="11">
        <f>SUMIFS(TableDailySummary[Online Store_net_sales],TableDailySummary[Fecha],"&gt;="&amp;TableWeeklySummary[[#This Row],[Desde]],TableDailySummary[Fecha],"&lt;="&amp;TableWeeklySummary[[#This Row],[Hasta]])</f>
        <v>0</v>
      </c>
      <c r="M117" s="11">
        <f>SUMIFS(TableDailySummary[Online Store_orders],TableDailySummary[Fecha],"&gt;="&amp;TableWeeklySummary[[#This Row],[Desde]],TableDailySummary[Fecha],"&lt;="&amp;TableWeeklySummary[[#This Row],[Hasta]])</f>
        <v>0</v>
      </c>
      <c r="N117" s="11">
        <f>SUMIFS(TableDailySummary[Tienda 81_net_sales],TableDailySummary[Fecha],"&gt;="&amp;TableWeeklySummary[[#This Row],[Desde]],TableDailySummary[Fecha],"&lt;="&amp;TableWeeklySummary[[#This Row],[Hasta]])</f>
        <v>0</v>
      </c>
      <c r="O117" s="11">
        <f>SUMIFS(TableDailySummary[Tienda 81_orders],TableDailySummary[Fecha],"&gt;="&amp;TableWeeklySummary[[#This Row],[Desde]],TableDailySummary[Fecha],"&lt;="&amp;TableWeeklySummary[[#This Row],[Hasta]])</f>
        <v>0</v>
      </c>
      <c r="P117" s="11">
        <f>SUMIFS(TableDailySummary[Rappi_net_sales],TableDailySummary[Fecha],"&gt;="&amp;TableWeeklySummary[[#This Row],[Desde]],TableDailySummary[Fecha],"&lt;="&amp;TableWeeklySummary[[#This Row],[Hasta]])</f>
        <v>0</v>
      </c>
      <c r="Q117" s="11">
        <f>SUMIFS(TableDailySummary[Rappi_orders],TableDailySummary[Fecha],"&gt;="&amp;TableWeeklySummary[[#This Row],[Desde]],TableDailySummary[Fecha],"&lt;="&amp;TableWeeklySummary[[#This Row],[Hasta]])</f>
        <v>0</v>
      </c>
      <c r="R11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7" s="11">
        <f>SUMIFS(TableDailySummary[Corporativo no tienda_orders],TableDailySummary[Fecha],"&gt;="&amp;TableWeeklySummary[[#This Row],[Desde]],TableDailySummary[Fecha],"&lt;="&amp;TableWeeklySummary[[#This Row],[Hasta]])</f>
        <v>0</v>
      </c>
      <c r="T117" s="11">
        <f>SUMIFS(TableDailySummary[Inversión google ads],TableDailySummary[Fecha],"&gt;="&amp;TableWeeklySummary[[#This Row],[Desde]],TableDailySummary[Fecha],"&lt;="&amp;TableWeeklySummary[[#This Row],[Hasta]])</f>
        <v>0</v>
      </c>
      <c r="U117" s="11">
        <f>SUMIFS(TableDailySummary[Ventas google ads],TableDailySummary[Fecha],"&gt;="&amp;TableWeeklySummary[[#This Row],[Desde]],TableDailySummary[Fecha],"&lt;="&amp;TableWeeklySummary[[#This Row],[Hasta]])</f>
        <v>0</v>
      </c>
      <c r="V117" s="11">
        <f>SUMIFS(TableDailySummary[Inversión meta ads],TableDailySummary[Fecha],"&gt;="&amp;TableWeeklySummary[[#This Row],[Desde]],TableDailySummary[Fecha],"&lt;="&amp;TableWeeklySummary[[#This Row],[Hasta]])</f>
        <v>0</v>
      </c>
      <c r="W117" s="11">
        <f>SUMIFS(TableDailySummary[Ventas meta ads],TableDailySummary[Fecha],"&gt;="&amp;TableWeeklySummary[[#This Row],[Desde]],TableDailySummary[Fecha],"&lt;="&amp;TableWeeklySummary[[#This Row],[Hasta]])</f>
        <v>0</v>
      </c>
      <c r="X117" s="11">
        <f>TableWeeklySummary[[#This Row],[Inversión google ads]]+TableWeeklySummary[[#This Row],[Inversión meta ads]]</f>
        <v>0</v>
      </c>
      <c r="Y117" s="11">
        <f>TableWeeklySummary[[#This Row],[Ventas google ads]]+TableWeeklySummary[[#This Row],[Ventas meta ads]]</f>
        <v>0</v>
      </c>
      <c r="Z117" s="14">
        <f>IFERROR(TableWeeklySummary[[#This Row],[Ventas publicidad]]/TableWeeklySummary[[#This Row],[Inversión publicidad]],0)</f>
        <v>0</v>
      </c>
      <c r="AA117" s="14">
        <f>IFERROR(TableWeeklySummary[[#This Row],[Ventas primer cliente]]/TableWeeklySummary[[#This Row],[Inversión publicidad]],0)</f>
        <v>0</v>
      </c>
      <c r="AB117" s="14"/>
      <c r="AC117" s="11"/>
      <c r="AI11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7" s="11">
        <f>SUMIFS(TableDailySummary[Costo de ventas registrado],TableDailySummary[Fecha],"&gt;="&amp;TableWeeklySummary[[#This Row],[Desde]],TableDailySummary[Fecha],"&lt;="&amp;TableWeeklySummary[[#This Row],[Hasta]])</f>
        <v>0</v>
      </c>
      <c r="AK117" s="11">
        <f>SUMIFS(TableDailySummary[Utilidad bruta],TableDailySummary[Fecha],"&gt;="&amp;TableWeeklySummary[[#This Row],[Desde]],TableDailySummary[Fecha],"&lt;="&amp;TableWeeklySummary[[#This Row],[Hasta]])</f>
        <v>0</v>
      </c>
      <c r="AL117" s="18">
        <f>IFERROR(TableWeeklySummary[[#This Row],[Utilidad bruta]]/TableWeeklySummary[[#This Row],[Ventas netas con costo registrado]],0)</f>
        <v>0</v>
      </c>
    </row>
    <row r="118" spans="2:38" x14ac:dyDescent="0.2">
      <c r="B118" s="16">
        <f>_xlfn.ISOWEEKNUM(TableWeeklySummary[[#This Row],[Hasta]])</f>
        <v>3</v>
      </c>
      <c r="C118" s="6">
        <f t="shared" si="3"/>
        <v>45303</v>
      </c>
      <c r="D118" s="6">
        <f>TableWeeklySummary[[#This Row],[Desde]]+7-1</f>
        <v>45309</v>
      </c>
      <c r="E118" s="11">
        <f>SUMIFS(TableDailySummary[Ventas netas totales],TableDailySummary[Fecha],"&gt;="&amp;TableWeeklySummary[[#This Row],[Desde]],TableDailySummary[Fecha],"&lt;="&amp;TableWeeklySummary[[#This Row],[Hasta]])</f>
        <v>0</v>
      </c>
      <c r="F118" s="11">
        <f>SUMIFS(TableDailySummary[Órdenes totales],TableDailySummary[Fecha],"&gt;="&amp;TableWeeklySummary[[#This Row],[Desde]],TableDailySummary[Fecha],"&lt;="&amp;TableWeeklySummary[[#This Row],[Hasta]])</f>
        <v>0</v>
      </c>
      <c r="G118" s="11">
        <f>IFERROR(TableWeeklySummary[[#This Row],[Ventas netas totales]]/TableWeeklySummary[[#This Row],[Órdenes totales]],0)</f>
        <v>0</v>
      </c>
      <c r="H11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8" s="11">
        <f>TableWeeklySummary[[#This Row],[Órden promedio totales]]*TableWeeklySummary[[#This Row],[CR totales]]</f>
        <v>0</v>
      </c>
      <c r="J118" s="11">
        <f>SUMIFS(TableDailySummary[Ventas primer cliente],TableDailySummary[Fecha],"&gt;="&amp;TableWeeklySummary[[#This Row],[Desde]],TableDailySummary[Fecha],"&lt;="&amp;TableWeeklySummary[[#This Row],[Hasta]])</f>
        <v>0</v>
      </c>
      <c r="K118" s="11">
        <f>SUMIFS(TableDailySummary[Órdenes primer cliente],TableDailySummary[Fecha],"&gt;="&amp;TableWeeklySummary[[#This Row],[Desde]],TableDailySummary[Fecha],"&lt;="&amp;TableWeeklySummary[[#This Row],[Hasta]])</f>
        <v>0</v>
      </c>
      <c r="L118" s="11">
        <f>SUMIFS(TableDailySummary[Online Store_net_sales],TableDailySummary[Fecha],"&gt;="&amp;TableWeeklySummary[[#This Row],[Desde]],TableDailySummary[Fecha],"&lt;="&amp;TableWeeklySummary[[#This Row],[Hasta]])</f>
        <v>0</v>
      </c>
      <c r="M118" s="11">
        <f>SUMIFS(TableDailySummary[Online Store_orders],TableDailySummary[Fecha],"&gt;="&amp;TableWeeklySummary[[#This Row],[Desde]],TableDailySummary[Fecha],"&lt;="&amp;TableWeeklySummary[[#This Row],[Hasta]])</f>
        <v>0</v>
      </c>
      <c r="N118" s="11">
        <f>SUMIFS(TableDailySummary[Tienda 81_net_sales],TableDailySummary[Fecha],"&gt;="&amp;TableWeeklySummary[[#This Row],[Desde]],TableDailySummary[Fecha],"&lt;="&amp;TableWeeklySummary[[#This Row],[Hasta]])</f>
        <v>0</v>
      </c>
      <c r="O118" s="11">
        <f>SUMIFS(TableDailySummary[Tienda 81_orders],TableDailySummary[Fecha],"&gt;="&amp;TableWeeklySummary[[#This Row],[Desde]],TableDailySummary[Fecha],"&lt;="&amp;TableWeeklySummary[[#This Row],[Hasta]])</f>
        <v>0</v>
      </c>
      <c r="P118" s="11">
        <f>SUMIFS(TableDailySummary[Rappi_net_sales],TableDailySummary[Fecha],"&gt;="&amp;TableWeeklySummary[[#This Row],[Desde]],TableDailySummary[Fecha],"&lt;="&amp;TableWeeklySummary[[#This Row],[Hasta]])</f>
        <v>0</v>
      </c>
      <c r="Q118" s="11">
        <f>SUMIFS(TableDailySummary[Rappi_orders],TableDailySummary[Fecha],"&gt;="&amp;TableWeeklySummary[[#This Row],[Desde]],TableDailySummary[Fecha],"&lt;="&amp;TableWeeklySummary[[#This Row],[Hasta]])</f>
        <v>0</v>
      </c>
      <c r="R11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8" s="11">
        <f>SUMIFS(TableDailySummary[Corporativo no tienda_orders],TableDailySummary[Fecha],"&gt;="&amp;TableWeeklySummary[[#This Row],[Desde]],TableDailySummary[Fecha],"&lt;="&amp;TableWeeklySummary[[#This Row],[Hasta]])</f>
        <v>0</v>
      </c>
      <c r="T118" s="11">
        <f>SUMIFS(TableDailySummary[Inversión google ads],TableDailySummary[Fecha],"&gt;="&amp;TableWeeklySummary[[#This Row],[Desde]],TableDailySummary[Fecha],"&lt;="&amp;TableWeeklySummary[[#This Row],[Hasta]])</f>
        <v>0</v>
      </c>
      <c r="U118" s="11">
        <f>SUMIFS(TableDailySummary[Ventas google ads],TableDailySummary[Fecha],"&gt;="&amp;TableWeeklySummary[[#This Row],[Desde]],TableDailySummary[Fecha],"&lt;="&amp;TableWeeklySummary[[#This Row],[Hasta]])</f>
        <v>0</v>
      </c>
      <c r="V118" s="11">
        <f>SUMIFS(TableDailySummary[Inversión meta ads],TableDailySummary[Fecha],"&gt;="&amp;TableWeeklySummary[[#This Row],[Desde]],TableDailySummary[Fecha],"&lt;="&amp;TableWeeklySummary[[#This Row],[Hasta]])</f>
        <v>0</v>
      </c>
      <c r="W118" s="11">
        <f>SUMIFS(TableDailySummary[Ventas meta ads],TableDailySummary[Fecha],"&gt;="&amp;TableWeeklySummary[[#This Row],[Desde]],TableDailySummary[Fecha],"&lt;="&amp;TableWeeklySummary[[#This Row],[Hasta]])</f>
        <v>0</v>
      </c>
      <c r="X118" s="11">
        <f>TableWeeklySummary[[#This Row],[Inversión google ads]]+TableWeeklySummary[[#This Row],[Inversión meta ads]]</f>
        <v>0</v>
      </c>
      <c r="Y118" s="11">
        <f>TableWeeklySummary[[#This Row],[Ventas google ads]]+TableWeeklySummary[[#This Row],[Ventas meta ads]]</f>
        <v>0</v>
      </c>
      <c r="Z118" s="14">
        <f>IFERROR(TableWeeklySummary[[#This Row],[Ventas publicidad]]/TableWeeklySummary[[#This Row],[Inversión publicidad]],0)</f>
        <v>0</v>
      </c>
      <c r="AA118" s="14">
        <f>IFERROR(TableWeeklySummary[[#This Row],[Ventas primer cliente]]/TableWeeklySummary[[#This Row],[Inversión publicidad]],0)</f>
        <v>0</v>
      </c>
      <c r="AB118" s="14"/>
      <c r="AC118" s="11"/>
      <c r="AI11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8" s="11">
        <f>SUMIFS(TableDailySummary[Costo de ventas registrado],TableDailySummary[Fecha],"&gt;="&amp;TableWeeklySummary[[#This Row],[Desde]],TableDailySummary[Fecha],"&lt;="&amp;TableWeeklySummary[[#This Row],[Hasta]])</f>
        <v>0</v>
      </c>
      <c r="AK118" s="11">
        <f>SUMIFS(TableDailySummary[Utilidad bruta],TableDailySummary[Fecha],"&gt;="&amp;TableWeeklySummary[[#This Row],[Desde]],TableDailySummary[Fecha],"&lt;="&amp;TableWeeklySummary[[#This Row],[Hasta]])</f>
        <v>0</v>
      </c>
      <c r="AL118" s="18">
        <f>IFERROR(TableWeeklySummary[[#This Row],[Utilidad bruta]]/TableWeeklySummary[[#This Row],[Ventas netas con costo registrado]],0)</f>
        <v>0</v>
      </c>
    </row>
    <row r="119" spans="2:38" x14ac:dyDescent="0.2">
      <c r="B119" s="16">
        <f>_xlfn.ISOWEEKNUM(TableWeeklySummary[[#This Row],[Hasta]])</f>
        <v>4</v>
      </c>
      <c r="C119" s="6">
        <f t="shared" si="3"/>
        <v>45310</v>
      </c>
      <c r="D119" s="6">
        <f>TableWeeklySummary[[#This Row],[Desde]]+7-1</f>
        <v>45316</v>
      </c>
      <c r="E119" s="11">
        <f>SUMIFS(TableDailySummary[Ventas netas totales],TableDailySummary[Fecha],"&gt;="&amp;TableWeeklySummary[[#This Row],[Desde]],TableDailySummary[Fecha],"&lt;="&amp;TableWeeklySummary[[#This Row],[Hasta]])</f>
        <v>0</v>
      </c>
      <c r="F119" s="11">
        <f>SUMIFS(TableDailySummary[Órdenes totales],TableDailySummary[Fecha],"&gt;="&amp;TableWeeklySummary[[#This Row],[Desde]],TableDailySummary[Fecha],"&lt;="&amp;TableWeeklySummary[[#This Row],[Hasta]])</f>
        <v>0</v>
      </c>
      <c r="G119" s="11">
        <f>IFERROR(TableWeeklySummary[[#This Row],[Ventas netas totales]]/TableWeeklySummary[[#This Row],[Órdenes totales]],0)</f>
        <v>0</v>
      </c>
      <c r="H11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19" s="11">
        <f>TableWeeklySummary[[#This Row],[Órden promedio totales]]*TableWeeklySummary[[#This Row],[CR totales]]</f>
        <v>0</v>
      </c>
      <c r="J119" s="11">
        <f>SUMIFS(TableDailySummary[Ventas primer cliente],TableDailySummary[Fecha],"&gt;="&amp;TableWeeklySummary[[#This Row],[Desde]],TableDailySummary[Fecha],"&lt;="&amp;TableWeeklySummary[[#This Row],[Hasta]])</f>
        <v>0</v>
      </c>
      <c r="K119" s="11">
        <f>SUMIFS(TableDailySummary[Órdenes primer cliente],TableDailySummary[Fecha],"&gt;="&amp;TableWeeklySummary[[#This Row],[Desde]],TableDailySummary[Fecha],"&lt;="&amp;TableWeeklySummary[[#This Row],[Hasta]])</f>
        <v>0</v>
      </c>
      <c r="L119" s="11">
        <f>SUMIFS(TableDailySummary[Online Store_net_sales],TableDailySummary[Fecha],"&gt;="&amp;TableWeeklySummary[[#This Row],[Desde]],TableDailySummary[Fecha],"&lt;="&amp;TableWeeklySummary[[#This Row],[Hasta]])</f>
        <v>0</v>
      </c>
      <c r="M119" s="11">
        <f>SUMIFS(TableDailySummary[Online Store_orders],TableDailySummary[Fecha],"&gt;="&amp;TableWeeklySummary[[#This Row],[Desde]],TableDailySummary[Fecha],"&lt;="&amp;TableWeeklySummary[[#This Row],[Hasta]])</f>
        <v>0</v>
      </c>
      <c r="N119" s="11">
        <f>SUMIFS(TableDailySummary[Tienda 81_net_sales],TableDailySummary[Fecha],"&gt;="&amp;TableWeeklySummary[[#This Row],[Desde]],TableDailySummary[Fecha],"&lt;="&amp;TableWeeklySummary[[#This Row],[Hasta]])</f>
        <v>0</v>
      </c>
      <c r="O119" s="11">
        <f>SUMIFS(TableDailySummary[Tienda 81_orders],TableDailySummary[Fecha],"&gt;="&amp;TableWeeklySummary[[#This Row],[Desde]],TableDailySummary[Fecha],"&lt;="&amp;TableWeeklySummary[[#This Row],[Hasta]])</f>
        <v>0</v>
      </c>
      <c r="P119" s="11">
        <f>SUMIFS(TableDailySummary[Rappi_net_sales],TableDailySummary[Fecha],"&gt;="&amp;TableWeeklySummary[[#This Row],[Desde]],TableDailySummary[Fecha],"&lt;="&amp;TableWeeklySummary[[#This Row],[Hasta]])</f>
        <v>0</v>
      </c>
      <c r="Q119" s="11">
        <f>SUMIFS(TableDailySummary[Rappi_orders],TableDailySummary[Fecha],"&gt;="&amp;TableWeeklySummary[[#This Row],[Desde]],TableDailySummary[Fecha],"&lt;="&amp;TableWeeklySummary[[#This Row],[Hasta]])</f>
        <v>0</v>
      </c>
      <c r="R11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19" s="11">
        <f>SUMIFS(TableDailySummary[Corporativo no tienda_orders],TableDailySummary[Fecha],"&gt;="&amp;TableWeeklySummary[[#This Row],[Desde]],TableDailySummary[Fecha],"&lt;="&amp;TableWeeklySummary[[#This Row],[Hasta]])</f>
        <v>0</v>
      </c>
      <c r="T119" s="11">
        <f>SUMIFS(TableDailySummary[Inversión google ads],TableDailySummary[Fecha],"&gt;="&amp;TableWeeklySummary[[#This Row],[Desde]],TableDailySummary[Fecha],"&lt;="&amp;TableWeeklySummary[[#This Row],[Hasta]])</f>
        <v>0</v>
      </c>
      <c r="U119" s="11">
        <f>SUMIFS(TableDailySummary[Ventas google ads],TableDailySummary[Fecha],"&gt;="&amp;TableWeeklySummary[[#This Row],[Desde]],TableDailySummary[Fecha],"&lt;="&amp;TableWeeklySummary[[#This Row],[Hasta]])</f>
        <v>0</v>
      </c>
      <c r="V119" s="11">
        <f>SUMIFS(TableDailySummary[Inversión meta ads],TableDailySummary[Fecha],"&gt;="&amp;TableWeeklySummary[[#This Row],[Desde]],TableDailySummary[Fecha],"&lt;="&amp;TableWeeklySummary[[#This Row],[Hasta]])</f>
        <v>0</v>
      </c>
      <c r="W119" s="11">
        <f>SUMIFS(TableDailySummary[Ventas meta ads],TableDailySummary[Fecha],"&gt;="&amp;TableWeeklySummary[[#This Row],[Desde]],TableDailySummary[Fecha],"&lt;="&amp;TableWeeklySummary[[#This Row],[Hasta]])</f>
        <v>0</v>
      </c>
      <c r="X119" s="11">
        <f>TableWeeklySummary[[#This Row],[Inversión google ads]]+TableWeeklySummary[[#This Row],[Inversión meta ads]]</f>
        <v>0</v>
      </c>
      <c r="Y119" s="11">
        <f>TableWeeklySummary[[#This Row],[Ventas google ads]]+TableWeeklySummary[[#This Row],[Ventas meta ads]]</f>
        <v>0</v>
      </c>
      <c r="Z119" s="14">
        <f>IFERROR(TableWeeklySummary[[#This Row],[Ventas publicidad]]/TableWeeklySummary[[#This Row],[Inversión publicidad]],0)</f>
        <v>0</v>
      </c>
      <c r="AA119" s="14">
        <f>IFERROR(TableWeeklySummary[[#This Row],[Ventas primer cliente]]/TableWeeklySummary[[#This Row],[Inversión publicidad]],0)</f>
        <v>0</v>
      </c>
      <c r="AB119" s="14"/>
      <c r="AC119" s="11"/>
      <c r="AI11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19" s="11">
        <f>SUMIFS(TableDailySummary[Costo de ventas registrado],TableDailySummary[Fecha],"&gt;="&amp;TableWeeklySummary[[#This Row],[Desde]],TableDailySummary[Fecha],"&lt;="&amp;TableWeeklySummary[[#This Row],[Hasta]])</f>
        <v>0</v>
      </c>
      <c r="AK119" s="11">
        <f>SUMIFS(TableDailySummary[Utilidad bruta],TableDailySummary[Fecha],"&gt;="&amp;TableWeeklySummary[[#This Row],[Desde]],TableDailySummary[Fecha],"&lt;="&amp;TableWeeklySummary[[#This Row],[Hasta]])</f>
        <v>0</v>
      </c>
      <c r="AL119" s="18">
        <f>IFERROR(TableWeeklySummary[[#This Row],[Utilidad bruta]]/TableWeeklySummary[[#This Row],[Ventas netas con costo registrado]],0)</f>
        <v>0</v>
      </c>
    </row>
    <row r="120" spans="2:38" x14ac:dyDescent="0.2">
      <c r="B120" s="16">
        <f>_xlfn.ISOWEEKNUM(TableWeeklySummary[[#This Row],[Hasta]])</f>
        <v>5</v>
      </c>
      <c r="C120" s="6">
        <f t="shared" si="3"/>
        <v>45317</v>
      </c>
      <c r="D120" s="6">
        <f>TableWeeklySummary[[#This Row],[Desde]]+7-1</f>
        <v>45323</v>
      </c>
      <c r="E120" s="11">
        <f>SUMIFS(TableDailySummary[Ventas netas totales],TableDailySummary[Fecha],"&gt;="&amp;TableWeeklySummary[[#This Row],[Desde]],TableDailySummary[Fecha],"&lt;="&amp;TableWeeklySummary[[#This Row],[Hasta]])</f>
        <v>0</v>
      </c>
      <c r="F120" s="11">
        <f>SUMIFS(TableDailySummary[Órdenes totales],TableDailySummary[Fecha],"&gt;="&amp;TableWeeklySummary[[#This Row],[Desde]],TableDailySummary[Fecha],"&lt;="&amp;TableWeeklySummary[[#This Row],[Hasta]])</f>
        <v>0</v>
      </c>
      <c r="G120" s="11">
        <f>IFERROR(TableWeeklySummary[[#This Row],[Ventas netas totales]]/TableWeeklySummary[[#This Row],[Órdenes totales]],0)</f>
        <v>0</v>
      </c>
      <c r="H12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0" s="11">
        <f>TableWeeklySummary[[#This Row],[Órden promedio totales]]*TableWeeklySummary[[#This Row],[CR totales]]</f>
        <v>0</v>
      </c>
      <c r="J120" s="11">
        <f>SUMIFS(TableDailySummary[Ventas primer cliente],TableDailySummary[Fecha],"&gt;="&amp;TableWeeklySummary[[#This Row],[Desde]],TableDailySummary[Fecha],"&lt;="&amp;TableWeeklySummary[[#This Row],[Hasta]])</f>
        <v>0</v>
      </c>
      <c r="K120" s="11">
        <f>SUMIFS(TableDailySummary[Órdenes primer cliente],TableDailySummary[Fecha],"&gt;="&amp;TableWeeklySummary[[#This Row],[Desde]],TableDailySummary[Fecha],"&lt;="&amp;TableWeeklySummary[[#This Row],[Hasta]])</f>
        <v>0</v>
      </c>
      <c r="L120" s="11">
        <f>SUMIFS(TableDailySummary[Online Store_net_sales],TableDailySummary[Fecha],"&gt;="&amp;TableWeeklySummary[[#This Row],[Desde]],TableDailySummary[Fecha],"&lt;="&amp;TableWeeklySummary[[#This Row],[Hasta]])</f>
        <v>0</v>
      </c>
      <c r="M120" s="11">
        <f>SUMIFS(TableDailySummary[Online Store_orders],TableDailySummary[Fecha],"&gt;="&amp;TableWeeklySummary[[#This Row],[Desde]],TableDailySummary[Fecha],"&lt;="&amp;TableWeeklySummary[[#This Row],[Hasta]])</f>
        <v>0</v>
      </c>
      <c r="N120" s="11">
        <f>SUMIFS(TableDailySummary[Tienda 81_net_sales],TableDailySummary[Fecha],"&gt;="&amp;TableWeeklySummary[[#This Row],[Desde]],TableDailySummary[Fecha],"&lt;="&amp;TableWeeklySummary[[#This Row],[Hasta]])</f>
        <v>0</v>
      </c>
      <c r="O120" s="11">
        <f>SUMIFS(TableDailySummary[Tienda 81_orders],TableDailySummary[Fecha],"&gt;="&amp;TableWeeklySummary[[#This Row],[Desde]],TableDailySummary[Fecha],"&lt;="&amp;TableWeeklySummary[[#This Row],[Hasta]])</f>
        <v>0</v>
      </c>
      <c r="P120" s="11">
        <f>SUMIFS(TableDailySummary[Rappi_net_sales],TableDailySummary[Fecha],"&gt;="&amp;TableWeeklySummary[[#This Row],[Desde]],TableDailySummary[Fecha],"&lt;="&amp;TableWeeklySummary[[#This Row],[Hasta]])</f>
        <v>0</v>
      </c>
      <c r="Q120" s="11">
        <f>SUMIFS(TableDailySummary[Rappi_orders],TableDailySummary[Fecha],"&gt;="&amp;TableWeeklySummary[[#This Row],[Desde]],TableDailySummary[Fecha],"&lt;="&amp;TableWeeklySummary[[#This Row],[Hasta]])</f>
        <v>0</v>
      </c>
      <c r="R12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0" s="11">
        <f>SUMIFS(TableDailySummary[Corporativo no tienda_orders],TableDailySummary[Fecha],"&gt;="&amp;TableWeeklySummary[[#This Row],[Desde]],TableDailySummary[Fecha],"&lt;="&amp;TableWeeklySummary[[#This Row],[Hasta]])</f>
        <v>0</v>
      </c>
      <c r="T120" s="11">
        <f>SUMIFS(TableDailySummary[Inversión google ads],TableDailySummary[Fecha],"&gt;="&amp;TableWeeklySummary[[#This Row],[Desde]],TableDailySummary[Fecha],"&lt;="&amp;TableWeeklySummary[[#This Row],[Hasta]])</f>
        <v>0</v>
      </c>
      <c r="U120" s="11">
        <f>SUMIFS(TableDailySummary[Ventas google ads],TableDailySummary[Fecha],"&gt;="&amp;TableWeeklySummary[[#This Row],[Desde]],TableDailySummary[Fecha],"&lt;="&amp;TableWeeklySummary[[#This Row],[Hasta]])</f>
        <v>0</v>
      </c>
      <c r="V120" s="11">
        <f>SUMIFS(TableDailySummary[Inversión meta ads],TableDailySummary[Fecha],"&gt;="&amp;TableWeeklySummary[[#This Row],[Desde]],TableDailySummary[Fecha],"&lt;="&amp;TableWeeklySummary[[#This Row],[Hasta]])</f>
        <v>0</v>
      </c>
      <c r="W120" s="11">
        <f>SUMIFS(TableDailySummary[Ventas meta ads],TableDailySummary[Fecha],"&gt;="&amp;TableWeeklySummary[[#This Row],[Desde]],TableDailySummary[Fecha],"&lt;="&amp;TableWeeklySummary[[#This Row],[Hasta]])</f>
        <v>0</v>
      </c>
      <c r="X120" s="11">
        <f>TableWeeklySummary[[#This Row],[Inversión google ads]]+TableWeeklySummary[[#This Row],[Inversión meta ads]]</f>
        <v>0</v>
      </c>
      <c r="Y120" s="11">
        <f>TableWeeklySummary[[#This Row],[Ventas google ads]]+TableWeeklySummary[[#This Row],[Ventas meta ads]]</f>
        <v>0</v>
      </c>
      <c r="Z120" s="14">
        <f>IFERROR(TableWeeklySummary[[#This Row],[Ventas publicidad]]/TableWeeklySummary[[#This Row],[Inversión publicidad]],0)</f>
        <v>0</v>
      </c>
      <c r="AA120" s="14">
        <f>IFERROR(TableWeeklySummary[[#This Row],[Ventas primer cliente]]/TableWeeklySummary[[#This Row],[Inversión publicidad]],0)</f>
        <v>0</v>
      </c>
      <c r="AB120" s="14"/>
      <c r="AC120" s="11"/>
      <c r="AI12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0" s="11">
        <f>SUMIFS(TableDailySummary[Costo de ventas registrado],TableDailySummary[Fecha],"&gt;="&amp;TableWeeklySummary[[#This Row],[Desde]],TableDailySummary[Fecha],"&lt;="&amp;TableWeeklySummary[[#This Row],[Hasta]])</f>
        <v>0</v>
      </c>
      <c r="AK120" s="11">
        <f>SUMIFS(TableDailySummary[Utilidad bruta],TableDailySummary[Fecha],"&gt;="&amp;TableWeeklySummary[[#This Row],[Desde]],TableDailySummary[Fecha],"&lt;="&amp;TableWeeklySummary[[#This Row],[Hasta]])</f>
        <v>0</v>
      </c>
      <c r="AL120" s="18">
        <f>IFERROR(TableWeeklySummary[[#This Row],[Utilidad bruta]]/TableWeeklySummary[[#This Row],[Ventas netas con costo registrado]],0)</f>
        <v>0</v>
      </c>
    </row>
    <row r="121" spans="2:38" x14ac:dyDescent="0.2">
      <c r="B121" s="16">
        <f>_xlfn.ISOWEEKNUM(TableWeeklySummary[[#This Row],[Hasta]])</f>
        <v>6</v>
      </c>
      <c r="C121" s="6">
        <f t="shared" si="3"/>
        <v>45324</v>
      </c>
      <c r="D121" s="6">
        <f>TableWeeklySummary[[#This Row],[Desde]]+7-1</f>
        <v>45330</v>
      </c>
      <c r="E121" s="11">
        <f>SUMIFS(TableDailySummary[Ventas netas totales],TableDailySummary[Fecha],"&gt;="&amp;TableWeeklySummary[[#This Row],[Desde]],TableDailySummary[Fecha],"&lt;="&amp;TableWeeklySummary[[#This Row],[Hasta]])</f>
        <v>0</v>
      </c>
      <c r="F121" s="11">
        <f>SUMIFS(TableDailySummary[Órdenes totales],TableDailySummary[Fecha],"&gt;="&amp;TableWeeklySummary[[#This Row],[Desde]],TableDailySummary[Fecha],"&lt;="&amp;TableWeeklySummary[[#This Row],[Hasta]])</f>
        <v>0</v>
      </c>
      <c r="G121" s="11">
        <f>IFERROR(TableWeeklySummary[[#This Row],[Ventas netas totales]]/TableWeeklySummary[[#This Row],[Órdenes totales]],0)</f>
        <v>0</v>
      </c>
      <c r="H12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1" s="11">
        <f>TableWeeklySummary[[#This Row],[Órden promedio totales]]*TableWeeklySummary[[#This Row],[CR totales]]</f>
        <v>0</v>
      </c>
      <c r="J121" s="11">
        <f>SUMIFS(TableDailySummary[Ventas primer cliente],TableDailySummary[Fecha],"&gt;="&amp;TableWeeklySummary[[#This Row],[Desde]],TableDailySummary[Fecha],"&lt;="&amp;TableWeeklySummary[[#This Row],[Hasta]])</f>
        <v>0</v>
      </c>
      <c r="K121" s="11">
        <f>SUMIFS(TableDailySummary[Órdenes primer cliente],TableDailySummary[Fecha],"&gt;="&amp;TableWeeklySummary[[#This Row],[Desde]],TableDailySummary[Fecha],"&lt;="&amp;TableWeeklySummary[[#This Row],[Hasta]])</f>
        <v>0</v>
      </c>
      <c r="L121" s="11">
        <f>SUMIFS(TableDailySummary[Online Store_net_sales],TableDailySummary[Fecha],"&gt;="&amp;TableWeeklySummary[[#This Row],[Desde]],TableDailySummary[Fecha],"&lt;="&amp;TableWeeklySummary[[#This Row],[Hasta]])</f>
        <v>0</v>
      </c>
      <c r="M121" s="11">
        <f>SUMIFS(TableDailySummary[Online Store_orders],TableDailySummary[Fecha],"&gt;="&amp;TableWeeklySummary[[#This Row],[Desde]],TableDailySummary[Fecha],"&lt;="&amp;TableWeeklySummary[[#This Row],[Hasta]])</f>
        <v>0</v>
      </c>
      <c r="N121" s="11">
        <f>SUMIFS(TableDailySummary[Tienda 81_net_sales],TableDailySummary[Fecha],"&gt;="&amp;TableWeeklySummary[[#This Row],[Desde]],TableDailySummary[Fecha],"&lt;="&amp;TableWeeklySummary[[#This Row],[Hasta]])</f>
        <v>0</v>
      </c>
      <c r="O121" s="11">
        <f>SUMIFS(TableDailySummary[Tienda 81_orders],TableDailySummary[Fecha],"&gt;="&amp;TableWeeklySummary[[#This Row],[Desde]],TableDailySummary[Fecha],"&lt;="&amp;TableWeeklySummary[[#This Row],[Hasta]])</f>
        <v>0</v>
      </c>
      <c r="P121" s="11">
        <f>SUMIFS(TableDailySummary[Rappi_net_sales],TableDailySummary[Fecha],"&gt;="&amp;TableWeeklySummary[[#This Row],[Desde]],TableDailySummary[Fecha],"&lt;="&amp;TableWeeklySummary[[#This Row],[Hasta]])</f>
        <v>0</v>
      </c>
      <c r="Q121" s="11">
        <f>SUMIFS(TableDailySummary[Rappi_orders],TableDailySummary[Fecha],"&gt;="&amp;TableWeeklySummary[[#This Row],[Desde]],TableDailySummary[Fecha],"&lt;="&amp;TableWeeklySummary[[#This Row],[Hasta]])</f>
        <v>0</v>
      </c>
      <c r="R12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1" s="11">
        <f>SUMIFS(TableDailySummary[Corporativo no tienda_orders],TableDailySummary[Fecha],"&gt;="&amp;TableWeeklySummary[[#This Row],[Desde]],TableDailySummary[Fecha],"&lt;="&amp;TableWeeklySummary[[#This Row],[Hasta]])</f>
        <v>0</v>
      </c>
      <c r="T121" s="11">
        <f>SUMIFS(TableDailySummary[Inversión google ads],TableDailySummary[Fecha],"&gt;="&amp;TableWeeklySummary[[#This Row],[Desde]],TableDailySummary[Fecha],"&lt;="&amp;TableWeeklySummary[[#This Row],[Hasta]])</f>
        <v>0</v>
      </c>
      <c r="U121" s="11">
        <f>SUMIFS(TableDailySummary[Ventas google ads],TableDailySummary[Fecha],"&gt;="&amp;TableWeeklySummary[[#This Row],[Desde]],TableDailySummary[Fecha],"&lt;="&amp;TableWeeklySummary[[#This Row],[Hasta]])</f>
        <v>0</v>
      </c>
      <c r="V121" s="11">
        <f>SUMIFS(TableDailySummary[Inversión meta ads],TableDailySummary[Fecha],"&gt;="&amp;TableWeeklySummary[[#This Row],[Desde]],TableDailySummary[Fecha],"&lt;="&amp;TableWeeklySummary[[#This Row],[Hasta]])</f>
        <v>0</v>
      </c>
      <c r="W121" s="11">
        <f>SUMIFS(TableDailySummary[Ventas meta ads],TableDailySummary[Fecha],"&gt;="&amp;TableWeeklySummary[[#This Row],[Desde]],TableDailySummary[Fecha],"&lt;="&amp;TableWeeklySummary[[#This Row],[Hasta]])</f>
        <v>0</v>
      </c>
      <c r="X121" s="11">
        <f>TableWeeklySummary[[#This Row],[Inversión google ads]]+TableWeeklySummary[[#This Row],[Inversión meta ads]]</f>
        <v>0</v>
      </c>
      <c r="Y121" s="11">
        <f>TableWeeklySummary[[#This Row],[Ventas google ads]]+TableWeeklySummary[[#This Row],[Ventas meta ads]]</f>
        <v>0</v>
      </c>
      <c r="Z121" s="14">
        <f>IFERROR(TableWeeklySummary[[#This Row],[Ventas publicidad]]/TableWeeklySummary[[#This Row],[Inversión publicidad]],0)</f>
        <v>0</v>
      </c>
      <c r="AA121" s="14">
        <f>IFERROR(TableWeeklySummary[[#This Row],[Ventas primer cliente]]/TableWeeklySummary[[#This Row],[Inversión publicidad]],0)</f>
        <v>0</v>
      </c>
      <c r="AB121" s="14"/>
      <c r="AC121" s="11"/>
      <c r="AI12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1" s="11">
        <f>SUMIFS(TableDailySummary[Costo de ventas registrado],TableDailySummary[Fecha],"&gt;="&amp;TableWeeklySummary[[#This Row],[Desde]],TableDailySummary[Fecha],"&lt;="&amp;TableWeeklySummary[[#This Row],[Hasta]])</f>
        <v>0</v>
      </c>
      <c r="AK121" s="11">
        <f>SUMIFS(TableDailySummary[Utilidad bruta],TableDailySummary[Fecha],"&gt;="&amp;TableWeeklySummary[[#This Row],[Desde]],TableDailySummary[Fecha],"&lt;="&amp;TableWeeklySummary[[#This Row],[Hasta]])</f>
        <v>0</v>
      </c>
      <c r="AL121" s="18">
        <f>IFERROR(TableWeeklySummary[[#This Row],[Utilidad bruta]]/TableWeeklySummary[[#This Row],[Ventas netas con costo registrado]],0)</f>
        <v>0</v>
      </c>
    </row>
    <row r="122" spans="2:38" x14ac:dyDescent="0.2">
      <c r="B122" s="16">
        <f>_xlfn.ISOWEEKNUM(TableWeeklySummary[[#This Row],[Hasta]])</f>
        <v>7</v>
      </c>
      <c r="C122" s="6">
        <f t="shared" si="3"/>
        <v>45331</v>
      </c>
      <c r="D122" s="6">
        <f>TableWeeklySummary[[#This Row],[Desde]]+7-1</f>
        <v>45337</v>
      </c>
      <c r="E122" s="11">
        <f>SUMIFS(TableDailySummary[Ventas netas totales],TableDailySummary[Fecha],"&gt;="&amp;TableWeeklySummary[[#This Row],[Desde]],TableDailySummary[Fecha],"&lt;="&amp;TableWeeklySummary[[#This Row],[Hasta]])</f>
        <v>0</v>
      </c>
      <c r="F122" s="11">
        <f>SUMIFS(TableDailySummary[Órdenes totales],TableDailySummary[Fecha],"&gt;="&amp;TableWeeklySummary[[#This Row],[Desde]],TableDailySummary[Fecha],"&lt;="&amp;TableWeeklySummary[[#This Row],[Hasta]])</f>
        <v>0</v>
      </c>
      <c r="G122" s="11">
        <f>IFERROR(TableWeeklySummary[[#This Row],[Ventas netas totales]]/TableWeeklySummary[[#This Row],[Órdenes totales]],0)</f>
        <v>0</v>
      </c>
      <c r="H12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2" s="11">
        <f>TableWeeklySummary[[#This Row],[Órden promedio totales]]*TableWeeklySummary[[#This Row],[CR totales]]</f>
        <v>0</v>
      </c>
      <c r="J122" s="11">
        <f>SUMIFS(TableDailySummary[Ventas primer cliente],TableDailySummary[Fecha],"&gt;="&amp;TableWeeklySummary[[#This Row],[Desde]],TableDailySummary[Fecha],"&lt;="&amp;TableWeeklySummary[[#This Row],[Hasta]])</f>
        <v>0</v>
      </c>
      <c r="K122" s="11">
        <f>SUMIFS(TableDailySummary[Órdenes primer cliente],TableDailySummary[Fecha],"&gt;="&amp;TableWeeklySummary[[#This Row],[Desde]],TableDailySummary[Fecha],"&lt;="&amp;TableWeeklySummary[[#This Row],[Hasta]])</f>
        <v>0</v>
      </c>
      <c r="L122" s="11">
        <f>SUMIFS(TableDailySummary[Online Store_net_sales],TableDailySummary[Fecha],"&gt;="&amp;TableWeeklySummary[[#This Row],[Desde]],TableDailySummary[Fecha],"&lt;="&amp;TableWeeklySummary[[#This Row],[Hasta]])</f>
        <v>0</v>
      </c>
      <c r="M122" s="11">
        <f>SUMIFS(TableDailySummary[Online Store_orders],TableDailySummary[Fecha],"&gt;="&amp;TableWeeklySummary[[#This Row],[Desde]],TableDailySummary[Fecha],"&lt;="&amp;TableWeeklySummary[[#This Row],[Hasta]])</f>
        <v>0</v>
      </c>
      <c r="N122" s="11">
        <f>SUMIFS(TableDailySummary[Tienda 81_net_sales],TableDailySummary[Fecha],"&gt;="&amp;TableWeeklySummary[[#This Row],[Desde]],TableDailySummary[Fecha],"&lt;="&amp;TableWeeklySummary[[#This Row],[Hasta]])</f>
        <v>0</v>
      </c>
      <c r="O122" s="11">
        <f>SUMIFS(TableDailySummary[Tienda 81_orders],TableDailySummary[Fecha],"&gt;="&amp;TableWeeklySummary[[#This Row],[Desde]],TableDailySummary[Fecha],"&lt;="&amp;TableWeeklySummary[[#This Row],[Hasta]])</f>
        <v>0</v>
      </c>
      <c r="P122" s="11">
        <f>SUMIFS(TableDailySummary[Rappi_net_sales],TableDailySummary[Fecha],"&gt;="&amp;TableWeeklySummary[[#This Row],[Desde]],TableDailySummary[Fecha],"&lt;="&amp;TableWeeklySummary[[#This Row],[Hasta]])</f>
        <v>0</v>
      </c>
      <c r="Q122" s="11">
        <f>SUMIFS(TableDailySummary[Rappi_orders],TableDailySummary[Fecha],"&gt;="&amp;TableWeeklySummary[[#This Row],[Desde]],TableDailySummary[Fecha],"&lt;="&amp;TableWeeklySummary[[#This Row],[Hasta]])</f>
        <v>0</v>
      </c>
      <c r="R12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2" s="11">
        <f>SUMIFS(TableDailySummary[Corporativo no tienda_orders],TableDailySummary[Fecha],"&gt;="&amp;TableWeeklySummary[[#This Row],[Desde]],TableDailySummary[Fecha],"&lt;="&amp;TableWeeklySummary[[#This Row],[Hasta]])</f>
        <v>0</v>
      </c>
      <c r="T122" s="11">
        <f>SUMIFS(TableDailySummary[Inversión google ads],TableDailySummary[Fecha],"&gt;="&amp;TableWeeklySummary[[#This Row],[Desde]],TableDailySummary[Fecha],"&lt;="&amp;TableWeeklySummary[[#This Row],[Hasta]])</f>
        <v>0</v>
      </c>
      <c r="U122" s="11">
        <f>SUMIFS(TableDailySummary[Ventas google ads],TableDailySummary[Fecha],"&gt;="&amp;TableWeeklySummary[[#This Row],[Desde]],TableDailySummary[Fecha],"&lt;="&amp;TableWeeklySummary[[#This Row],[Hasta]])</f>
        <v>0</v>
      </c>
      <c r="V122" s="11">
        <f>SUMIFS(TableDailySummary[Inversión meta ads],TableDailySummary[Fecha],"&gt;="&amp;TableWeeklySummary[[#This Row],[Desde]],TableDailySummary[Fecha],"&lt;="&amp;TableWeeklySummary[[#This Row],[Hasta]])</f>
        <v>0</v>
      </c>
      <c r="W122" s="11">
        <f>SUMIFS(TableDailySummary[Ventas meta ads],TableDailySummary[Fecha],"&gt;="&amp;TableWeeklySummary[[#This Row],[Desde]],TableDailySummary[Fecha],"&lt;="&amp;TableWeeklySummary[[#This Row],[Hasta]])</f>
        <v>0</v>
      </c>
      <c r="X122" s="11">
        <f>TableWeeklySummary[[#This Row],[Inversión google ads]]+TableWeeklySummary[[#This Row],[Inversión meta ads]]</f>
        <v>0</v>
      </c>
      <c r="Y122" s="11">
        <f>TableWeeklySummary[[#This Row],[Ventas google ads]]+TableWeeklySummary[[#This Row],[Ventas meta ads]]</f>
        <v>0</v>
      </c>
      <c r="Z122" s="14">
        <f>IFERROR(TableWeeklySummary[[#This Row],[Ventas publicidad]]/TableWeeklySummary[[#This Row],[Inversión publicidad]],0)</f>
        <v>0</v>
      </c>
      <c r="AA122" s="14">
        <f>IFERROR(TableWeeklySummary[[#This Row],[Ventas primer cliente]]/TableWeeklySummary[[#This Row],[Inversión publicidad]],0)</f>
        <v>0</v>
      </c>
      <c r="AB122" s="14"/>
      <c r="AC122" s="11"/>
      <c r="AI12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2" s="11">
        <f>SUMIFS(TableDailySummary[Costo de ventas registrado],TableDailySummary[Fecha],"&gt;="&amp;TableWeeklySummary[[#This Row],[Desde]],TableDailySummary[Fecha],"&lt;="&amp;TableWeeklySummary[[#This Row],[Hasta]])</f>
        <v>0</v>
      </c>
      <c r="AK122" s="11">
        <f>SUMIFS(TableDailySummary[Utilidad bruta],TableDailySummary[Fecha],"&gt;="&amp;TableWeeklySummary[[#This Row],[Desde]],TableDailySummary[Fecha],"&lt;="&amp;TableWeeklySummary[[#This Row],[Hasta]])</f>
        <v>0</v>
      </c>
      <c r="AL122" s="18">
        <f>IFERROR(TableWeeklySummary[[#This Row],[Utilidad bruta]]/TableWeeklySummary[[#This Row],[Ventas netas con costo registrado]],0)</f>
        <v>0</v>
      </c>
    </row>
    <row r="123" spans="2:38" x14ac:dyDescent="0.2">
      <c r="B123" s="16">
        <f>_xlfn.ISOWEEKNUM(TableWeeklySummary[[#This Row],[Hasta]])</f>
        <v>8</v>
      </c>
      <c r="C123" s="6">
        <f t="shared" si="3"/>
        <v>45338</v>
      </c>
      <c r="D123" s="6">
        <f>TableWeeklySummary[[#This Row],[Desde]]+7-1</f>
        <v>45344</v>
      </c>
      <c r="E123" s="11">
        <f>SUMIFS(TableDailySummary[Ventas netas totales],TableDailySummary[Fecha],"&gt;="&amp;TableWeeklySummary[[#This Row],[Desde]],TableDailySummary[Fecha],"&lt;="&amp;TableWeeklySummary[[#This Row],[Hasta]])</f>
        <v>0</v>
      </c>
      <c r="F123" s="11">
        <f>SUMIFS(TableDailySummary[Órdenes totales],TableDailySummary[Fecha],"&gt;="&amp;TableWeeklySummary[[#This Row],[Desde]],TableDailySummary[Fecha],"&lt;="&amp;TableWeeklySummary[[#This Row],[Hasta]])</f>
        <v>0</v>
      </c>
      <c r="G123" s="11">
        <f>IFERROR(TableWeeklySummary[[#This Row],[Ventas netas totales]]/TableWeeklySummary[[#This Row],[Órdenes totales]],0)</f>
        <v>0</v>
      </c>
      <c r="H12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3" s="11">
        <f>TableWeeklySummary[[#This Row],[Órden promedio totales]]*TableWeeklySummary[[#This Row],[CR totales]]</f>
        <v>0</v>
      </c>
      <c r="J123" s="11">
        <f>SUMIFS(TableDailySummary[Ventas primer cliente],TableDailySummary[Fecha],"&gt;="&amp;TableWeeklySummary[[#This Row],[Desde]],TableDailySummary[Fecha],"&lt;="&amp;TableWeeklySummary[[#This Row],[Hasta]])</f>
        <v>0</v>
      </c>
      <c r="K123" s="11">
        <f>SUMIFS(TableDailySummary[Órdenes primer cliente],TableDailySummary[Fecha],"&gt;="&amp;TableWeeklySummary[[#This Row],[Desde]],TableDailySummary[Fecha],"&lt;="&amp;TableWeeklySummary[[#This Row],[Hasta]])</f>
        <v>0</v>
      </c>
      <c r="L123" s="11">
        <f>SUMIFS(TableDailySummary[Online Store_net_sales],TableDailySummary[Fecha],"&gt;="&amp;TableWeeklySummary[[#This Row],[Desde]],TableDailySummary[Fecha],"&lt;="&amp;TableWeeklySummary[[#This Row],[Hasta]])</f>
        <v>0</v>
      </c>
      <c r="M123" s="11">
        <f>SUMIFS(TableDailySummary[Online Store_orders],TableDailySummary[Fecha],"&gt;="&amp;TableWeeklySummary[[#This Row],[Desde]],TableDailySummary[Fecha],"&lt;="&amp;TableWeeklySummary[[#This Row],[Hasta]])</f>
        <v>0</v>
      </c>
      <c r="N123" s="11">
        <f>SUMIFS(TableDailySummary[Tienda 81_net_sales],TableDailySummary[Fecha],"&gt;="&amp;TableWeeklySummary[[#This Row],[Desde]],TableDailySummary[Fecha],"&lt;="&amp;TableWeeklySummary[[#This Row],[Hasta]])</f>
        <v>0</v>
      </c>
      <c r="O123" s="11">
        <f>SUMIFS(TableDailySummary[Tienda 81_orders],TableDailySummary[Fecha],"&gt;="&amp;TableWeeklySummary[[#This Row],[Desde]],TableDailySummary[Fecha],"&lt;="&amp;TableWeeklySummary[[#This Row],[Hasta]])</f>
        <v>0</v>
      </c>
      <c r="P123" s="11">
        <f>SUMIFS(TableDailySummary[Rappi_net_sales],TableDailySummary[Fecha],"&gt;="&amp;TableWeeklySummary[[#This Row],[Desde]],TableDailySummary[Fecha],"&lt;="&amp;TableWeeklySummary[[#This Row],[Hasta]])</f>
        <v>0</v>
      </c>
      <c r="Q123" s="11">
        <f>SUMIFS(TableDailySummary[Rappi_orders],TableDailySummary[Fecha],"&gt;="&amp;TableWeeklySummary[[#This Row],[Desde]],TableDailySummary[Fecha],"&lt;="&amp;TableWeeklySummary[[#This Row],[Hasta]])</f>
        <v>0</v>
      </c>
      <c r="R12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3" s="11">
        <f>SUMIFS(TableDailySummary[Corporativo no tienda_orders],TableDailySummary[Fecha],"&gt;="&amp;TableWeeklySummary[[#This Row],[Desde]],TableDailySummary[Fecha],"&lt;="&amp;TableWeeklySummary[[#This Row],[Hasta]])</f>
        <v>0</v>
      </c>
      <c r="T123" s="11">
        <f>SUMIFS(TableDailySummary[Inversión google ads],TableDailySummary[Fecha],"&gt;="&amp;TableWeeklySummary[[#This Row],[Desde]],TableDailySummary[Fecha],"&lt;="&amp;TableWeeklySummary[[#This Row],[Hasta]])</f>
        <v>0</v>
      </c>
      <c r="U123" s="11">
        <f>SUMIFS(TableDailySummary[Ventas google ads],TableDailySummary[Fecha],"&gt;="&amp;TableWeeklySummary[[#This Row],[Desde]],TableDailySummary[Fecha],"&lt;="&amp;TableWeeklySummary[[#This Row],[Hasta]])</f>
        <v>0</v>
      </c>
      <c r="V123" s="11">
        <f>SUMIFS(TableDailySummary[Inversión meta ads],TableDailySummary[Fecha],"&gt;="&amp;TableWeeklySummary[[#This Row],[Desde]],TableDailySummary[Fecha],"&lt;="&amp;TableWeeklySummary[[#This Row],[Hasta]])</f>
        <v>0</v>
      </c>
      <c r="W123" s="11">
        <f>SUMIFS(TableDailySummary[Ventas meta ads],TableDailySummary[Fecha],"&gt;="&amp;TableWeeklySummary[[#This Row],[Desde]],TableDailySummary[Fecha],"&lt;="&amp;TableWeeklySummary[[#This Row],[Hasta]])</f>
        <v>0</v>
      </c>
      <c r="X123" s="11">
        <f>TableWeeklySummary[[#This Row],[Inversión google ads]]+TableWeeklySummary[[#This Row],[Inversión meta ads]]</f>
        <v>0</v>
      </c>
      <c r="Y123" s="11">
        <f>TableWeeklySummary[[#This Row],[Ventas google ads]]+TableWeeklySummary[[#This Row],[Ventas meta ads]]</f>
        <v>0</v>
      </c>
      <c r="Z123" s="14">
        <f>IFERROR(TableWeeklySummary[[#This Row],[Ventas publicidad]]/TableWeeklySummary[[#This Row],[Inversión publicidad]],0)</f>
        <v>0</v>
      </c>
      <c r="AA123" s="14">
        <f>IFERROR(TableWeeklySummary[[#This Row],[Ventas primer cliente]]/TableWeeklySummary[[#This Row],[Inversión publicidad]],0)</f>
        <v>0</v>
      </c>
      <c r="AB123" s="14"/>
      <c r="AC123" s="11"/>
      <c r="AI12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3" s="11">
        <f>SUMIFS(TableDailySummary[Costo de ventas registrado],TableDailySummary[Fecha],"&gt;="&amp;TableWeeklySummary[[#This Row],[Desde]],TableDailySummary[Fecha],"&lt;="&amp;TableWeeklySummary[[#This Row],[Hasta]])</f>
        <v>0</v>
      </c>
      <c r="AK123" s="11">
        <f>SUMIFS(TableDailySummary[Utilidad bruta],TableDailySummary[Fecha],"&gt;="&amp;TableWeeklySummary[[#This Row],[Desde]],TableDailySummary[Fecha],"&lt;="&amp;TableWeeklySummary[[#This Row],[Hasta]])</f>
        <v>0</v>
      </c>
      <c r="AL123" s="18">
        <f>IFERROR(TableWeeklySummary[[#This Row],[Utilidad bruta]]/TableWeeklySummary[[#This Row],[Ventas netas con costo registrado]],0)</f>
        <v>0</v>
      </c>
    </row>
    <row r="124" spans="2:38" x14ac:dyDescent="0.2">
      <c r="B124" s="16">
        <f>_xlfn.ISOWEEKNUM(TableWeeklySummary[[#This Row],[Hasta]])</f>
        <v>9</v>
      </c>
      <c r="C124" s="6">
        <f t="shared" si="3"/>
        <v>45345</v>
      </c>
      <c r="D124" s="6">
        <f>TableWeeklySummary[[#This Row],[Desde]]+7-1</f>
        <v>45351</v>
      </c>
      <c r="E124" s="11">
        <f>SUMIFS(TableDailySummary[Ventas netas totales],TableDailySummary[Fecha],"&gt;="&amp;TableWeeklySummary[[#This Row],[Desde]],TableDailySummary[Fecha],"&lt;="&amp;TableWeeklySummary[[#This Row],[Hasta]])</f>
        <v>0</v>
      </c>
      <c r="F124" s="11">
        <f>SUMIFS(TableDailySummary[Órdenes totales],TableDailySummary[Fecha],"&gt;="&amp;TableWeeklySummary[[#This Row],[Desde]],TableDailySummary[Fecha],"&lt;="&amp;TableWeeklySummary[[#This Row],[Hasta]])</f>
        <v>0</v>
      </c>
      <c r="G124" s="11">
        <f>IFERROR(TableWeeklySummary[[#This Row],[Ventas netas totales]]/TableWeeklySummary[[#This Row],[Órdenes totales]],0)</f>
        <v>0</v>
      </c>
      <c r="H12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4" s="11">
        <f>TableWeeklySummary[[#This Row],[Órden promedio totales]]*TableWeeklySummary[[#This Row],[CR totales]]</f>
        <v>0</v>
      </c>
      <c r="J124" s="11">
        <f>SUMIFS(TableDailySummary[Ventas primer cliente],TableDailySummary[Fecha],"&gt;="&amp;TableWeeklySummary[[#This Row],[Desde]],TableDailySummary[Fecha],"&lt;="&amp;TableWeeklySummary[[#This Row],[Hasta]])</f>
        <v>0</v>
      </c>
      <c r="K124" s="11">
        <f>SUMIFS(TableDailySummary[Órdenes primer cliente],TableDailySummary[Fecha],"&gt;="&amp;TableWeeklySummary[[#This Row],[Desde]],TableDailySummary[Fecha],"&lt;="&amp;TableWeeklySummary[[#This Row],[Hasta]])</f>
        <v>0</v>
      </c>
      <c r="L124" s="11">
        <f>SUMIFS(TableDailySummary[Online Store_net_sales],TableDailySummary[Fecha],"&gt;="&amp;TableWeeklySummary[[#This Row],[Desde]],TableDailySummary[Fecha],"&lt;="&amp;TableWeeklySummary[[#This Row],[Hasta]])</f>
        <v>0</v>
      </c>
      <c r="M124" s="11">
        <f>SUMIFS(TableDailySummary[Online Store_orders],TableDailySummary[Fecha],"&gt;="&amp;TableWeeklySummary[[#This Row],[Desde]],TableDailySummary[Fecha],"&lt;="&amp;TableWeeklySummary[[#This Row],[Hasta]])</f>
        <v>0</v>
      </c>
      <c r="N124" s="11">
        <f>SUMIFS(TableDailySummary[Tienda 81_net_sales],TableDailySummary[Fecha],"&gt;="&amp;TableWeeklySummary[[#This Row],[Desde]],TableDailySummary[Fecha],"&lt;="&amp;TableWeeklySummary[[#This Row],[Hasta]])</f>
        <v>0</v>
      </c>
      <c r="O124" s="11">
        <f>SUMIFS(TableDailySummary[Tienda 81_orders],TableDailySummary[Fecha],"&gt;="&amp;TableWeeklySummary[[#This Row],[Desde]],TableDailySummary[Fecha],"&lt;="&amp;TableWeeklySummary[[#This Row],[Hasta]])</f>
        <v>0</v>
      </c>
      <c r="P124" s="11">
        <f>SUMIFS(TableDailySummary[Rappi_net_sales],TableDailySummary[Fecha],"&gt;="&amp;TableWeeklySummary[[#This Row],[Desde]],TableDailySummary[Fecha],"&lt;="&amp;TableWeeklySummary[[#This Row],[Hasta]])</f>
        <v>0</v>
      </c>
      <c r="Q124" s="11">
        <f>SUMIFS(TableDailySummary[Rappi_orders],TableDailySummary[Fecha],"&gt;="&amp;TableWeeklySummary[[#This Row],[Desde]],TableDailySummary[Fecha],"&lt;="&amp;TableWeeklySummary[[#This Row],[Hasta]])</f>
        <v>0</v>
      </c>
      <c r="R12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4" s="11">
        <f>SUMIFS(TableDailySummary[Corporativo no tienda_orders],TableDailySummary[Fecha],"&gt;="&amp;TableWeeklySummary[[#This Row],[Desde]],TableDailySummary[Fecha],"&lt;="&amp;TableWeeklySummary[[#This Row],[Hasta]])</f>
        <v>0</v>
      </c>
      <c r="T124" s="11">
        <f>SUMIFS(TableDailySummary[Inversión google ads],TableDailySummary[Fecha],"&gt;="&amp;TableWeeklySummary[[#This Row],[Desde]],TableDailySummary[Fecha],"&lt;="&amp;TableWeeklySummary[[#This Row],[Hasta]])</f>
        <v>0</v>
      </c>
      <c r="U124" s="11">
        <f>SUMIFS(TableDailySummary[Ventas google ads],TableDailySummary[Fecha],"&gt;="&amp;TableWeeklySummary[[#This Row],[Desde]],TableDailySummary[Fecha],"&lt;="&amp;TableWeeklySummary[[#This Row],[Hasta]])</f>
        <v>0</v>
      </c>
      <c r="V124" s="11">
        <f>SUMIFS(TableDailySummary[Inversión meta ads],TableDailySummary[Fecha],"&gt;="&amp;TableWeeklySummary[[#This Row],[Desde]],TableDailySummary[Fecha],"&lt;="&amp;TableWeeklySummary[[#This Row],[Hasta]])</f>
        <v>0</v>
      </c>
      <c r="W124" s="11">
        <f>SUMIFS(TableDailySummary[Ventas meta ads],TableDailySummary[Fecha],"&gt;="&amp;TableWeeklySummary[[#This Row],[Desde]],TableDailySummary[Fecha],"&lt;="&amp;TableWeeklySummary[[#This Row],[Hasta]])</f>
        <v>0</v>
      </c>
      <c r="X124" s="11">
        <f>TableWeeklySummary[[#This Row],[Inversión google ads]]+TableWeeklySummary[[#This Row],[Inversión meta ads]]</f>
        <v>0</v>
      </c>
      <c r="Y124" s="11">
        <f>TableWeeklySummary[[#This Row],[Ventas google ads]]+TableWeeklySummary[[#This Row],[Ventas meta ads]]</f>
        <v>0</v>
      </c>
      <c r="Z124" s="14">
        <f>IFERROR(TableWeeklySummary[[#This Row],[Ventas publicidad]]/TableWeeklySummary[[#This Row],[Inversión publicidad]],0)</f>
        <v>0</v>
      </c>
      <c r="AA124" s="14">
        <f>IFERROR(TableWeeklySummary[[#This Row],[Ventas primer cliente]]/TableWeeklySummary[[#This Row],[Inversión publicidad]],0)</f>
        <v>0</v>
      </c>
      <c r="AB124" s="14"/>
      <c r="AC124" s="11"/>
      <c r="AI12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4" s="11">
        <f>SUMIFS(TableDailySummary[Costo de ventas registrado],TableDailySummary[Fecha],"&gt;="&amp;TableWeeklySummary[[#This Row],[Desde]],TableDailySummary[Fecha],"&lt;="&amp;TableWeeklySummary[[#This Row],[Hasta]])</f>
        <v>0</v>
      </c>
      <c r="AK124" s="11">
        <f>SUMIFS(TableDailySummary[Utilidad bruta],TableDailySummary[Fecha],"&gt;="&amp;TableWeeklySummary[[#This Row],[Desde]],TableDailySummary[Fecha],"&lt;="&amp;TableWeeklySummary[[#This Row],[Hasta]])</f>
        <v>0</v>
      </c>
      <c r="AL124" s="18">
        <f>IFERROR(TableWeeklySummary[[#This Row],[Utilidad bruta]]/TableWeeklySummary[[#This Row],[Ventas netas con costo registrado]],0)</f>
        <v>0</v>
      </c>
    </row>
    <row r="125" spans="2:38" x14ac:dyDescent="0.2">
      <c r="B125" s="16">
        <f>_xlfn.ISOWEEKNUM(TableWeeklySummary[[#This Row],[Hasta]])</f>
        <v>10</v>
      </c>
      <c r="C125" s="6">
        <f t="shared" si="3"/>
        <v>45352</v>
      </c>
      <c r="D125" s="6">
        <f>TableWeeklySummary[[#This Row],[Desde]]+7-1</f>
        <v>45358</v>
      </c>
      <c r="E125" s="11">
        <f>SUMIFS(TableDailySummary[Ventas netas totales],TableDailySummary[Fecha],"&gt;="&amp;TableWeeklySummary[[#This Row],[Desde]],TableDailySummary[Fecha],"&lt;="&amp;TableWeeklySummary[[#This Row],[Hasta]])</f>
        <v>0</v>
      </c>
      <c r="F125" s="11">
        <f>SUMIFS(TableDailySummary[Órdenes totales],TableDailySummary[Fecha],"&gt;="&amp;TableWeeklySummary[[#This Row],[Desde]],TableDailySummary[Fecha],"&lt;="&amp;TableWeeklySummary[[#This Row],[Hasta]])</f>
        <v>0</v>
      </c>
      <c r="G125" s="11">
        <f>IFERROR(TableWeeklySummary[[#This Row],[Ventas netas totales]]/TableWeeklySummary[[#This Row],[Órdenes totales]],0)</f>
        <v>0</v>
      </c>
      <c r="H12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5" s="11">
        <f>TableWeeklySummary[[#This Row],[Órden promedio totales]]*TableWeeklySummary[[#This Row],[CR totales]]</f>
        <v>0</v>
      </c>
      <c r="J125" s="11">
        <f>SUMIFS(TableDailySummary[Ventas primer cliente],TableDailySummary[Fecha],"&gt;="&amp;TableWeeklySummary[[#This Row],[Desde]],TableDailySummary[Fecha],"&lt;="&amp;TableWeeklySummary[[#This Row],[Hasta]])</f>
        <v>0</v>
      </c>
      <c r="K125" s="11">
        <f>SUMIFS(TableDailySummary[Órdenes primer cliente],TableDailySummary[Fecha],"&gt;="&amp;TableWeeklySummary[[#This Row],[Desde]],TableDailySummary[Fecha],"&lt;="&amp;TableWeeklySummary[[#This Row],[Hasta]])</f>
        <v>0</v>
      </c>
      <c r="L125" s="11">
        <f>SUMIFS(TableDailySummary[Online Store_net_sales],TableDailySummary[Fecha],"&gt;="&amp;TableWeeklySummary[[#This Row],[Desde]],TableDailySummary[Fecha],"&lt;="&amp;TableWeeklySummary[[#This Row],[Hasta]])</f>
        <v>0</v>
      </c>
      <c r="M125" s="11">
        <f>SUMIFS(TableDailySummary[Online Store_orders],TableDailySummary[Fecha],"&gt;="&amp;TableWeeklySummary[[#This Row],[Desde]],TableDailySummary[Fecha],"&lt;="&amp;TableWeeklySummary[[#This Row],[Hasta]])</f>
        <v>0</v>
      </c>
      <c r="N125" s="11">
        <f>SUMIFS(TableDailySummary[Tienda 81_net_sales],TableDailySummary[Fecha],"&gt;="&amp;TableWeeklySummary[[#This Row],[Desde]],TableDailySummary[Fecha],"&lt;="&amp;TableWeeklySummary[[#This Row],[Hasta]])</f>
        <v>0</v>
      </c>
      <c r="O125" s="11">
        <f>SUMIFS(TableDailySummary[Tienda 81_orders],TableDailySummary[Fecha],"&gt;="&amp;TableWeeklySummary[[#This Row],[Desde]],TableDailySummary[Fecha],"&lt;="&amp;TableWeeklySummary[[#This Row],[Hasta]])</f>
        <v>0</v>
      </c>
      <c r="P125" s="11">
        <f>SUMIFS(TableDailySummary[Rappi_net_sales],TableDailySummary[Fecha],"&gt;="&amp;TableWeeklySummary[[#This Row],[Desde]],TableDailySummary[Fecha],"&lt;="&amp;TableWeeklySummary[[#This Row],[Hasta]])</f>
        <v>0</v>
      </c>
      <c r="Q125" s="11">
        <f>SUMIFS(TableDailySummary[Rappi_orders],TableDailySummary[Fecha],"&gt;="&amp;TableWeeklySummary[[#This Row],[Desde]],TableDailySummary[Fecha],"&lt;="&amp;TableWeeklySummary[[#This Row],[Hasta]])</f>
        <v>0</v>
      </c>
      <c r="R12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5" s="11">
        <f>SUMIFS(TableDailySummary[Corporativo no tienda_orders],TableDailySummary[Fecha],"&gt;="&amp;TableWeeklySummary[[#This Row],[Desde]],TableDailySummary[Fecha],"&lt;="&amp;TableWeeklySummary[[#This Row],[Hasta]])</f>
        <v>0</v>
      </c>
      <c r="T125" s="11">
        <f>SUMIFS(TableDailySummary[Inversión google ads],TableDailySummary[Fecha],"&gt;="&amp;TableWeeklySummary[[#This Row],[Desde]],TableDailySummary[Fecha],"&lt;="&amp;TableWeeklySummary[[#This Row],[Hasta]])</f>
        <v>0</v>
      </c>
      <c r="U125" s="11">
        <f>SUMIFS(TableDailySummary[Ventas google ads],TableDailySummary[Fecha],"&gt;="&amp;TableWeeklySummary[[#This Row],[Desde]],TableDailySummary[Fecha],"&lt;="&amp;TableWeeklySummary[[#This Row],[Hasta]])</f>
        <v>0</v>
      </c>
      <c r="V125" s="11">
        <f>SUMIFS(TableDailySummary[Inversión meta ads],TableDailySummary[Fecha],"&gt;="&amp;TableWeeklySummary[[#This Row],[Desde]],TableDailySummary[Fecha],"&lt;="&amp;TableWeeklySummary[[#This Row],[Hasta]])</f>
        <v>0</v>
      </c>
      <c r="W125" s="11">
        <f>SUMIFS(TableDailySummary[Ventas meta ads],TableDailySummary[Fecha],"&gt;="&amp;TableWeeklySummary[[#This Row],[Desde]],TableDailySummary[Fecha],"&lt;="&amp;TableWeeklySummary[[#This Row],[Hasta]])</f>
        <v>0</v>
      </c>
      <c r="X125" s="11">
        <f>TableWeeklySummary[[#This Row],[Inversión google ads]]+TableWeeklySummary[[#This Row],[Inversión meta ads]]</f>
        <v>0</v>
      </c>
      <c r="Y125" s="11">
        <f>TableWeeklySummary[[#This Row],[Ventas google ads]]+TableWeeklySummary[[#This Row],[Ventas meta ads]]</f>
        <v>0</v>
      </c>
      <c r="Z125" s="14">
        <f>IFERROR(TableWeeklySummary[[#This Row],[Ventas publicidad]]/TableWeeklySummary[[#This Row],[Inversión publicidad]],0)</f>
        <v>0</v>
      </c>
      <c r="AA125" s="14">
        <f>IFERROR(TableWeeklySummary[[#This Row],[Ventas primer cliente]]/TableWeeklySummary[[#This Row],[Inversión publicidad]],0)</f>
        <v>0</v>
      </c>
      <c r="AB125" s="14"/>
      <c r="AC125" s="11"/>
      <c r="AI12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5" s="11">
        <f>SUMIFS(TableDailySummary[Costo de ventas registrado],TableDailySummary[Fecha],"&gt;="&amp;TableWeeklySummary[[#This Row],[Desde]],TableDailySummary[Fecha],"&lt;="&amp;TableWeeklySummary[[#This Row],[Hasta]])</f>
        <v>0</v>
      </c>
      <c r="AK125" s="11">
        <f>SUMIFS(TableDailySummary[Utilidad bruta],TableDailySummary[Fecha],"&gt;="&amp;TableWeeklySummary[[#This Row],[Desde]],TableDailySummary[Fecha],"&lt;="&amp;TableWeeklySummary[[#This Row],[Hasta]])</f>
        <v>0</v>
      </c>
      <c r="AL125" s="18">
        <f>IFERROR(TableWeeklySummary[[#This Row],[Utilidad bruta]]/TableWeeklySummary[[#This Row],[Ventas netas con costo registrado]],0)</f>
        <v>0</v>
      </c>
    </row>
    <row r="126" spans="2:38" x14ac:dyDescent="0.2">
      <c r="B126" s="16">
        <f>_xlfn.ISOWEEKNUM(TableWeeklySummary[[#This Row],[Hasta]])</f>
        <v>11</v>
      </c>
      <c r="C126" s="6">
        <f t="shared" si="3"/>
        <v>45359</v>
      </c>
      <c r="D126" s="6">
        <f>TableWeeklySummary[[#This Row],[Desde]]+7-1</f>
        <v>45365</v>
      </c>
      <c r="E126" s="11">
        <f>SUMIFS(TableDailySummary[Ventas netas totales],TableDailySummary[Fecha],"&gt;="&amp;TableWeeklySummary[[#This Row],[Desde]],TableDailySummary[Fecha],"&lt;="&amp;TableWeeklySummary[[#This Row],[Hasta]])</f>
        <v>0</v>
      </c>
      <c r="F126" s="11">
        <f>SUMIFS(TableDailySummary[Órdenes totales],TableDailySummary[Fecha],"&gt;="&amp;TableWeeklySummary[[#This Row],[Desde]],TableDailySummary[Fecha],"&lt;="&amp;TableWeeklySummary[[#This Row],[Hasta]])</f>
        <v>0</v>
      </c>
      <c r="G126" s="11">
        <f>IFERROR(TableWeeklySummary[[#This Row],[Ventas netas totales]]/TableWeeklySummary[[#This Row],[Órdenes totales]],0)</f>
        <v>0</v>
      </c>
      <c r="H12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6" s="11">
        <f>TableWeeklySummary[[#This Row],[Órden promedio totales]]*TableWeeklySummary[[#This Row],[CR totales]]</f>
        <v>0</v>
      </c>
      <c r="J126" s="11">
        <f>SUMIFS(TableDailySummary[Ventas primer cliente],TableDailySummary[Fecha],"&gt;="&amp;TableWeeklySummary[[#This Row],[Desde]],TableDailySummary[Fecha],"&lt;="&amp;TableWeeklySummary[[#This Row],[Hasta]])</f>
        <v>0</v>
      </c>
      <c r="K126" s="11">
        <f>SUMIFS(TableDailySummary[Órdenes primer cliente],TableDailySummary[Fecha],"&gt;="&amp;TableWeeklySummary[[#This Row],[Desde]],TableDailySummary[Fecha],"&lt;="&amp;TableWeeklySummary[[#This Row],[Hasta]])</f>
        <v>0</v>
      </c>
      <c r="L126" s="11">
        <f>SUMIFS(TableDailySummary[Online Store_net_sales],TableDailySummary[Fecha],"&gt;="&amp;TableWeeklySummary[[#This Row],[Desde]],TableDailySummary[Fecha],"&lt;="&amp;TableWeeklySummary[[#This Row],[Hasta]])</f>
        <v>0</v>
      </c>
      <c r="M126" s="11">
        <f>SUMIFS(TableDailySummary[Online Store_orders],TableDailySummary[Fecha],"&gt;="&amp;TableWeeklySummary[[#This Row],[Desde]],TableDailySummary[Fecha],"&lt;="&amp;TableWeeklySummary[[#This Row],[Hasta]])</f>
        <v>0</v>
      </c>
      <c r="N126" s="11">
        <f>SUMIFS(TableDailySummary[Tienda 81_net_sales],TableDailySummary[Fecha],"&gt;="&amp;TableWeeklySummary[[#This Row],[Desde]],TableDailySummary[Fecha],"&lt;="&amp;TableWeeklySummary[[#This Row],[Hasta]])</f>
        <v>0</v>
      </c>
      <c r="O126" s="11">
        <f>SUMIFS(TableDailySummary[Tienda 81_orders],TableDailySummary[Fecha],"&gt;="&amp;TableWeeklySummary[[#This Row],[Desde]],TableDailySummary[Fecha],"&lt;="&amp;TableWeeklySummary[[#This Row],[Hasta]])</f>
        <v>0</v>
      </c>
      <c r="P126" s="11">
        <f>SUMIFS(TableDailySummary[Rappi_net_sales],TableDailySummary[Fecha],"&gt;="&amp;TableWeeklySummary[[#This Row],[Desde]],TableDailySummary[Fecha],"&lt;="&amp;TableWeeklySummary[[#This Row],[Hasta]])</f>
        <v>0</v>
      </c>
      <c r="Q126" s="11">
        <f>SUMIFS(TableDailySummary[Rappi_orders],TableDailySummary[Fecha],"&gt;="&amp;TableWeeklySummary[[#This Row],[Desde]],TableDailySummary[Fecha],"&lt;="&amp;TableWeeklySummary[[#This Row],[Hasta]])</f>
        <v>0</v>
      </c>
      <c r="R12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6" s="11">
        <f>SUMIFS(TableDailySummary[Corporativo no tienda_orders],TableDailySummary[Fecha],"&gt;="&amp;TableWeeklySummary[[#This Row],[Desde]],TableDailySummary[Fecha],"&lt;="&amp;TableWeeklySummary[[#This Row],[Hasta]])</f>
        <v>0</v>
      </c>
      <c r="T126" s="11">
        <f>SUMIFS(TableDailySummary[Inversión google ads],TableDailySummary[Fecha],"&gt;="&amp;TableWeeklySummary[[#This Row],[Desde]],TableDailySummary[Fecha],"&lt;="&amp;TableWeeklySummary[[#This Row],[Hasta]])</f>
        <v>0</v>
      </c>
      <c r="U126" s="11">
        <f>SUMIFS(TableDailySummary[Ventas google ads],TableDailySummary[Fecha],"&gt;="&amp;TableWeeklySummary[[#This Row],[Desde]],TableDailySummary[Fecha],"&lt;="&amp;TableWeeklySummary[[#This Row],[Hasta]])</f>
        <v>0</v>
      </c>
      <c r="V126" s="11">
        <f>SUMIFS(TableDailySummary[Inversión meta ads],TableDailySummary[Fecha],"&gt;="&amp;TableWeeklySummary[[#This Row],[Desde]],TableDailySummary[Fecha],"&lt;="&amp;TableWeeklySummary[[#This Row],[Hasta]])</f>
        <v>0</v>
      </c>
      <c r="W126" s="11">
        <f>SUMIFS(TableDailySummary[Ventas meta ads],TableDailySummary[Fecha],"&gt;="&amp;TableWeeklySummary[[#This Row],[Desde]],TableDailySummary[Fecha],"&lt;="&amp;TableWeeklySummary[[#This Row],[Hasta]])</f>
        <v>0</v>
      </c>
      <c r="X126" s="11">
        <f>TableWeeklySummary[[#This Row],[Inversión google ads]]+TableWeeklySummary[[#This Row],[Inversión meta ads]]</f>
        <v>0</v>
      </c>
      <c r="Y126" s="11">
        <f>TableWeeklySummary[[#This Row],[Ventas google ads]]+TableWeeklySummary[[#This Row],[Ventas meta ads]]</f>
        <v>0</v>
      </c>
      <c r="Z126" s="14">
        <f>IFERROR(TableWeeklySummary[[#This Row],[Ventas publicidad]]/TableWeeklySummary[[#This Row],[Inversión publicidad]],0)</f>
        <v>0</v>
      </c>
      <c r="AA126" s="14">
        <f>IFERROR(TableWeeklySummary[[#This Row],[Ventas primer cliente]]/TableWeeklySummary[[#This Row],[Inversión publicidad]],0)</f>
        <v>0</v>
      </c>
      <c r="AB126" s="14"/>
      <c r="AC126" s="11"/>
      <c r="AI12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6" s="11">
        <f>SUMIFS(TableDailySummary[Costo de ventas registrado],TableDailySummary[Fecha],"&gt;="&amp;TableWeeklySummary[[#This Row],[Desde]],TableDailySummary[Fecha],"&lt;="&amp;TableWeeklySummary[[#This Row],[Hasta]])</f>
        <v>0</v>
      </c>
      <c r="AK126" s="11">
        <f>SUMIFS(TableDailySummary[Utilidad bruta],TableDailySummary[Fecha],"&gt;="&amp;TableWeeklySummary[[#This Row],[Desde]],TableDailySummary[Fecha],"&lt;="&amp;TableWeeklySummary[[#This Row],[Hasta]])</f>
        <v>0</v>
      </c>
      <c r="AL126" s="18">
        <f>IFERROR(TableWeeklySummary[[#This Row],[Utilidad bruta]]/TableWeeklySummary[[#This Row],[Ventas netas con costo registrado]],0)</f>
        <v>0</v>
      </c>
    </row>
    <row r="127" spans="2:38" x14ac:dyDescent="0.2">
      <c r="B127" s="16">
        <f>_xlfn.ISOWEEKNUM(TableWeeklySummary[[#This Row],[Hasta]])</f>
        <v>12</v>
      </c>
      <c r="C127" s="6">
        <f t="shared" si="3"/>
        <v>45366</v>
      </c>
      <c r="D127" s="6">
        <f>TableWeeklySummary[[#This Row],[Desde]]+7-1</f>
        <v>45372</v>
      </c>
      <c r="E127" s="11">
        <f>SUMIFS(TableDailySummary[Ventas netas totales],TableDailySummary[Fecha],"&gt;="&amp;TableWeeklySummary[[#This Row],[Desde]],TableDailySummary[Fecha],"&lt;="&amp;TableWeeklySummary[[#This Row],[Hasta]])</f>
        <v>0</v>
      </c>
      <c r="F127" s="11">
        <f>SUMIFS(TableDailySummary[Órdenes totales],TableDailySummary[Fecha],"&gt;="&amp;TableWeeklySummary[[#This Row],[Desde]],TableDailySummary[Fecha],"&lt;="&amp;TableWeeklySummary[[#This Row],[Hasta]])</f>
        <v>0</v>
      </c>
      <c r="G127" s="11">
        <f>IFERROR(TableWeeklySummary[[#This Row],[Ventas netas totales]]/TableWeeklySummary[[#This Row],[Órdenes totales]],0)</f>
        <v>0</v>
      </c>
      <c r="H12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7" s="11">
        <f>TableWeeklySummary[[#This Row],[Órden promedio totales]]*TableWeeklySummary[[#This Row],[CR totales]]</f>
        <v>0</v>
      </c>
      <c r="J127" s="11">
        <f>SUMIFS(TableDailySummary[Ventas primer cliente],TableDailySummary[Fecha],"&gt;="&amp;TableWeeklySummary[[#This Row],[Desde]],TableDailySummary[Fecha],"&lt;="&amp;TableWeeklySummary[[#This Row],[Hasta]])</f>
        <v>0</v>
      </c>
      <c r="K127" s="11">
        <f>SUMIFS(TableDailySummary[Órdenes primer cliente],TableDailySummary[Fecha],"&gt;="&amp;TableWeeklySummary[[#This Row],[Desde]],TableDailySummary[Fecha],"&lt;="&amp;TableWeeklySummary[[#This Row],[Hasta]])</f>
        <v>0</v>
      </c>
      <c r="L127" s="11">
        <f>SUMIFS(TableDailySummary[Online Store_net_sales],TableDailySummary[Fecha],"&gt;="&amp;TableWeeklySummary[[#This Row],[Desde]],TableDailySummary[Fecha],"&lt;="&amp;TableWeeklySummary[[#This Row],[Hasta]])</f>
        <v>0</v>
      </c>
      <c r="M127" s="11">
        <f>SUMIFS(TableDailySummary[Online Store_orders],TableDailySummary[Fecha],"&gt;="&amp;TableWeeklySummary[[#This Row],[Desde]],TableDailySummary[Fecha],"&lt;="&amp;TableWeeklySummary[[#This Row],[Hasta]])</f>
        <v>0</v>
      </c>
      <c r="N127" s="11">
        <f>SUMIFS(TableDailySummary[Tienda 81_net_sales],TableDailySummary[Fecha],"&gt;="&amp;TableWeeklySummary[[#This Row],[Desde]],TableDailySummary[Fecha],"&lt;="&amp;TableWeeklySummary[[#This Row],[Hasta]])</f>
        <v>0</v>
      </c>
      <c r="O127" s="11">
        <f>SUMIFS(TableDailySummary[Tienda 81_orders],TableDailySummary[Fecha],"&gt;="&amp;TableWeeklySummary[[#This Row],[Desde]],TableDailySummary[Fecha],"&lt;="&amp;TableWeeklySummary[[#This Row],[Hasta]])</f>
        <v>0</v>
      </c>
      <c r="P127" s="11">
        <f>SUMIFS(TableDailySummary[Rappi_net_sales],TableDailySummary[Fecha],"&gt;="&amp;TableWeeklySummary[[#This Row],[Desde]],TableDailySummary[Fecha],"&lt;="&amp;TableWeeklySummary[[#This Row],[Hasta]])</f>
        <v>0</v>
      </c>
      <c r="Q127" s="11">
        <f>SUMIFS(TableDailySummary[Rappi_orders],TableDailySummary[Fecha],"&gt;="&amp;TableWeeklySummary[[#This Row],[Desde]],TableDailySummary[Fecha],"&lt;="&amp;TableWeeklySummary[[#This Row],[Hasta]])</f>
        <v>0</v>
      </c>
      <c r="R12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7" s="11">
        <f>SUMIFS(TableDailySummary[Corporativo no tienda_orders],TableDailySummary[Fecha],"&gt;="&amp;TableWeeklySummary[[#This Row],[Desde]],TableDailySummary[Fecha],"&lt;="&amp;TableWeeklySummary[[#This Row],[Hasta]])</f>
        <v>0</v>
      </c>
      <c r="T127" s="11">
        <f>SUMIFS(TableDailySummary[Inversión google ads],TableDailySummary[Fecha],"&gt;="&amp;TableWeeklySummary[[#This Row],[Desde]],TableDailySummary[Fecha],"&lt;="&amp;TableWeeklySummary[[#This Row],[Hasta]])</f>
        <v>0</v>
      </c>
      <c r="U127" s="11">
        <f>SUMIFS(TableDailySummary[Ventas google ads],TableDailySummary[Fecha],"&gt;="&amp;TableWeeklySummary[[#This Row],[Desde]],TableDailySummary[Fecha],"&lt;="&amp;TableWeeklySummary[[#This Row],[Hasta]])</f>
        <v>0</v>
      </c>
      <c r="V127" s="11">
        <f>SUMIFS(TableDailySummary[Inversión meta ads],TableDailySummary[Fecha],"&gt;="&amp;TableWeeklySummary[[#This Row],[Desde]],TableDailySummary[Fecha],"&lt;="&amp;TableWeeklySummary[[#This Row],[Hasta]])</f>
        <v>0</v>
      </c>
      <c r="W127" s="11">
        <f>SUMIFS(TableDailySummary[Ventas meta ads],TableDailySummary[Fecha],"&gt;="&amp;TableWeeklySummary[[#This Row],[Desde]],TableDailySummary[Fecha],"&lt;="&amp;TableWeeklySummary[[#This Row],[Hasta]])</f>
        <v>0</v>
      </c>
      <c r="X127" s="11">
        <f>TableWeeklySummary[[#This Row],[Inversión google ads]]+TableWeeklySummary[[#This Row],[Inversión meta ads]]</f>
        <v>0</v>
      </c>
      <c r="Y127" s="11">
        <f>TableWeeklySummary[[#This Row],[Ventas google ads]]+TableWeeklySummary[[#This Row],[Ventas meta ads]]</f>
        <v>0</v>
      </c>
      <c r="Z127" s="14">
        <f>IFERROR(TableWeeklySummary[[#This Row],[Ventas publicidad]]/TableWeeklySummary[[#This Row],[Inversión publicidad]],0)</f>
        <v>0</v>
      </c>
      <c r="AA127" s="14">
        <f>IFERROR(TableWeeklySummary[[#This Row],[Ventas primer cliente]]/TableWeeklySummary[[#This Row],[Inversión publicidad]],0)</f>
        <v>0</v>
      </c>
      <c r="AB127" s="14"/>
      <c r="AC127" s="11"/>
      <c r="AI12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7" s="11">
        <f>SUMIFS(TableDailySummary[Costo de ventas registrado],TableDailySummary[Fecha],"&gt;="&amp;TableWeeklySummary[[#This Row],[Desde]],TableDailySummary[Fecha],"&lt;="&amp;TableWeeklySummary[[#This Row],[Hasta]])</f>
        <v>0</v>
      </c>
      <c r="AK127" s="11">
        <f>SUMIFS(TableDailySummary[Utilidad bruta],TableDailySummary[Fecha],"&gt;="&amp;TableWeeklySummary[[#This Row],[Desde]],TableDailySummary[Fecha],"&lt;="&amp;TableWeeklySummary[[#This Row],[Hasta]])</f>
        <v>0</v>
      </c>
      <c r="AL127" s="18">
        <f>IFERROR(TableWeeklySummary[[#This Row],[Utilidad bruta]]/TableWeeklySummary[[#This Row],[Ventas netas con costo registrado]],0)</f>
        <v>0</v>
      </c>
    </row>
    <row r="128" spans="2:38" x14ac:dyDescent="0.2">
      <c r="B128" s="16">
        <f>_xlfn.ISOWEEKNUM(TableWeeklySummary[[#This Row],[Hasta]])</f>
        <v>13</v>
      </c>
      <c r="C128" s="6">
        <f t="shared" ref="C128:C191" si="4">_xlfn.LET(
    _xlpm.fechaini, ParamFechaInicioReporte,
    _xlpm.start_friday, IF(WEEKDAY(_xlpm.fechaini, 1) = 6, _xlpm.fechaini, _xlpm.fechaini - MOD(WEEKDAY(_xlpm.fechaini, 1) + 1, 7)),
    IF(ROW()=8, _xlpm.start_friday, C127 + 7)
)</f>
        <v>45373</v>
      </c>
      <c r="D128" s="6">
        <f>TableWeeklySummary[[#This Row],[Desde]]+7-1</f>
        <v>45379</v>
      </c>
      <c r="E128" s="11">
        <f>SUMIFS(TableDailySummary[Ventas netas totales],TableDailySummary[Fecha],"&gt;="&amp;TableWeeklySummary[[#This Row],[Desde]],TableDailySummary[Fecha],"&lt;="&amp;TableWeeklySummary[[#This Row],[Hasta]])</f>
        <v>0</v>
      </c>
      <c r="F128" s="11">
        <f>SUMIFS(TableDailySummary[Órdenes totales],TableDailySummary[Fecha],"&gt;="&amp;TableWeeklySummary[[#This Row],[Desde]],TableDailySummary[Fecha],"&lt;="&amp;TableWeeklySummary[[#This Row],[Hasta]])</f>
        <v>0</v>
      </c>
      <c r="G128" s="11">
        <f>IFERROR(TableWeeklySummary[[#This Row],[Ventas netas totales]]/TableWeeklySummary[[#This Row],[Órdenes totales]],0)</f>
        <v>0</v>
      </c>
      <c r="H12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8" s="11">
        <f>TableWeeklySummary[[#This Row],[Órden promedio totales]]*TableWeeklySummary[[#This Row],[CR totales]]</f>
        <v>0</v>
      </c>
      <c r="J128" s="11">
        <f>SUMIFS(TableDailySummary[Ventas primer cliente],TableDailySummary[Fecha],"&gt;="&amp;TableWeeklySummary[[#This Row],[Desde]],TableDailySummary[Fecha],"&lt;="&amp;TableWeeklySummary[[#This Row],[Hasta]])</f>
        <v>0</v>
      </c>
      <c r="K128" s="11">
        <f>SUMIFS(TableDailySummary[Órdenes primer cliente],TableDailySummary[Fecha],"&gt;="&amp;TableWeeklySummary[[#This Row],[Desde]],TableDailySummary[Fecha],"&lt;="&amp;TableWeeklySummary[[#This Row],[Hasta]])</f>
        <v>0</v>
      </c>
      <c r="L128" s="11">
        <f>SUMIFS(TableDailySummary[Online Store_net_sales],TableDailySummary[Fecha],"&gt;="&amp;TableWeeklySummary[[#This Row],[Desde]],TableDailySummary[Fecha],"&lt;="&amp;TableWeeklySummary[[#This Row],[Hasta]])</f>
        <v>0</v>
      </c>
      <c r="M128" s="11">
        <f>SUMIFS(TableDailySummary[Online Store_orders],TableDailySummary[Fecha],"&gt;="&amp;TableWeeklySummary[[#This Row],[Desde]],TableDailySummary[Fecha],"&lt;="&amp;TableWeeklySummary[[#This Row],[Hasta]])</f>
        <v>0</v>
      </c>
      <c r="N128" s="11">
        <f>SUMIFS(TableDailySummary[Tienda 81_net_sales],TableDailySummary[Fecha],"&gt;="&amp;TableWeeklySummary[[#This Row],[Desde]],TableDailySummary[Fecha],"&lt;="&amp;TableWeeklySummary[[#This Row],[Hasta]])</f>
        <v>0</v>
      </c>
      <c r="O128" s="11">
        <f>SUMIFS(TableDailySummary[Tienda 81_orders],TableDailySummary[Fecha],"&gt;="&amp;TableWeeklySummary[[#This Row],[Desde]],TableDailySummary[Fecha],"&lt;="&amp;TableWeeklySummary[[#This Row],[Hasta]])</f>
        <v>0</v>
      </c>
      <c r="P128" s="11">
        <f>SUMIFS(TableDailySummary[Rappi_net_sales],TableDailySummary[Fecha],"&gt;="&amp;TableWeeklySummary[[#This Row],[Desde]],TableDailySummary[Fecha],"&lt;="&amp;TableWeeklySummary[[#This Row],[Hasta]])</f>
        <v>0</v>
      </c>
      <c r="Q128" s="11">
        <f>SUMIFS(TableDailySummary[Rappi_orders],TableDailySummary[Fecha],"&gt;="&amp;TableWeeklySummary[[#This Row],[Desde]],TableDailySummary[Fecha],"&lt;="&amp;TableWeeklySummary[[#This Row],[Hasta]])</f>
        <v>0</v>
      </c>
      <c r="R12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8" s="11">
        <f>SUMIFS(TableDailySummary[Corporativo no tienda_orders],TableDailySummary[Fecha],"&gt;="&amp;TableWeeklySummary[[#This Row],[Desde]],TableDailySummary[Fecha],"&lt;="&amp;TableWeeklySummary[[#This Row],[Hasta]])</f>
        <v>0</v>
      </c>
      <c r="T128" s="11">
        <f>SUMIFS(TableDailySummary[Inversión google ads],TableDailySummary[Fecha],"&gt;="&amp;TableWeeklySummary[[#This Row],[Desde]],TableDailySummary[Fecha],"&lt;="&amp;TableWeeklySummary[[#This Row],[Hasta]])</f>
        <v>0</v>
      </c>
      <c r="U128" s="11">
        <f>SUMIFS(TableDailySummary[Ventas google ads],TableDailySummary[Fecha],"&gt;="&amp;TableWeeklySummary[[#This Row],[Desde]],TableDailySummary[Fecha],"&lt;="&amp;TableWeeklySummary[[#This Row],[Hasta]])</f>
        <v>0</v>
      </c>
      <c r="V128" s="11">
        <f>SUMIFS(TableDailySummary[Inversión meta ads],TableDailySummary[Fecha],"&gt;="&amp;TableWeeklySummary[[#This Row],[Desde]],TableDailySummary[Fecha],"&lt;="&amp;TableWeeklySummary[[#This Row],[Hasta]])</f>
        <v>0</v>
      </c>
      <c r="W128" s="11">
        <f>SUMIFS(TableDailySummary[Ventas meta ads],TableDailySummary[Fecha],"&gt;="&amp;TableWeeklySummary[[#This Row],[Desde]],TableDailySummary[Fecha],"&lt;="&amp;TableWeeklySummary[[#This Row],[Hasta]])</f>
        <v>0</v>
      </c>
      <c r="X128" s="11">
        <f>TableWeeklySummary[[#This Row],[Inversión google ads]]+TableWeeklySummary[[#This Row],[Inversión meta ads]]</f>
        <v>0</v>
      </c>
      <c r="Y128" s="11">
        <f>TableWeeklySummary[[#This Row],[Ventas google ads]]+TableWeeklySummary[[#This Row],[Ventas meta ads]]</f>
        <v>0</v>
      </c>
      <c r="Z128" s="14">
        <f>IFERROR(TableWeeklySummary[[#This Row],[Ventas publicidad]]/TableWeeklySummary[[#This Row],[Inversión publicidad]],0)</f>
        <v>0</v>
      </c>
      <c r="AA128" s="14">
        <f>IFERROR(TableWeeklySummary[[#This Row],[Ventas primer cliente]]/TableWeeklySummary[[#This Row],[Inversión publicidad]],0)</f>
        <v>0</v>
      </c>
      <c r="AB128" s="14"/>
      <c r="AC128" s="11"/>
      <c r="AI12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8" s="11">
        <f>SUMIFS(TableDailySummary[Costo de ventas registrado],TableDailySummary[Fecha],"&gt;="&amp;TableWeeklySummary[[#This Row],[Desde]],TableDailySummary[Fecha],"&lt;="&amp;TableWeeklySummary[[#This Row],[Hasta]])</f>
        <v>0</v>
      </c>
      <c r="AK128" s="11">
        <f>SUMIFS(TableDailySummary[Utilidad bruta],TableDailySummary[Fecha],"&gt;="&amp;TableWeeklySummary[[#This Row],[Desde]],TableDailySummary[Fecha],"&lt;="&amp;TableWeeklySummary[[#This Row],[Hasta]])</f>
        <v>0</v>
      </c>
      <c r="AL128" s="18">
        <f>IFERROR(TableWeeklySummary[[#This Row],[Utilidad bruta]]/TableWeeklySummary[[#This Row],[Ventas netas con costo registrado]],0)</f>
        <v>0</v>
      </c>
    </row>
    <row r="129" spans="2:38" x14ac:dyDescent="0.2">
      <c r="B129" s="16">
        <f>_xlfn.ISOWEEKNUM(TableWeeklySummary[[#This Row],[Hasta]])</f>
        <v>14</v>
      </c>
      <c r="C129" s="6">
        <f t="shared" si="4"/>
        <v>45380</v>
      </c>
      <c r="D129" s="6">
        <f>TableWeeklySummary[[#This Row],[Desde]]+7-1</f>
        <v>45386</v>
      </c>
      <c r="E129" s="11">
        <f>SUMIFS(TableDailySummary[Ventas netas totales],TableDailySummary[Fecha],"&gt;="&amp;TableWeeklySummary[[#This Row],[Desde]],TableDailySummary[Fecha],"&lt;="&amp;TableWeeklySummary[[#This Row],[Hasta]])</f>
        <v>0</v>
      </c>
      <c r="F129" s="11">
        <f>SUMIFS(TableDailySummary[Órdenes totales],TableDailySummary[Fecha],"&gt;="&amp;TableWeeklySummary[[#This Row],[Desde]],TableDailySummary[Fecha],"&lt;="&amp;TableWeeklySummary[[#This Row],[Hasta]])</f>
        <v>0</v>
      </c>
      <c r="G129" s="11">
        <f>IFERROR(TableWeeklySummary[[#This Row],[Ventas netas totales]]/TableWeeklySummary[[#This Row],[Órdenes totales]],0)</f>
        <v>0</v>
      </c>
      <c r="H12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29" s="11">
        <f>TableWeeklySummary[[#This Row],[Órden promedio totales]]*TableWeeklySummary[[#This Row],[CR totales]]</f>
        <v>0</v>
      </c>
      <c r="J129" s="11">
        <f>SUMIFS(TableDailySummary[Ventas primer cliente],TableDailySummary[Fecha],"&gt;="&amp;TableWeeklySummary[[#This Row],[Desde]],TableDailySummary[Fecha],"&lt;="&amp;TableWeeklySummary[[#This Row],[Hasta]])</f>
        <v>0</v>
      </c>
      <c r="K129" s="11">
        <f>SUMIFS(TableDailySummary[Órdenes primer cliente],TableDailySummary[Fecha],"&gt;="&amp;TableWeeklySummary[[#This Row],[Desde]],TableDailySummary[Fecha],"&lt;="&amp;TableWeeklySummary[[#This Row],[Hasta]])</f>
        <v>0</v>
      </c>
      <c r="L129" s="11">
        <f>SUMIFS(TableDailySummary[Online Store_net_sales],TableDailySummary[Fecha],"&gt;="&amp;TableWeeklySummary[[#This Row],[Desde]],TableDailySummary[Fecha],"&lt;="&amp;TableWeeklySummary[[#This Row],[Hasta]])</f>
        <v>0</v>
      </c>
      <c r="M129" s="11">
        <f>SUMIFS(TableDailySummary[Online Store_orders],TableDailySummary[Fecha],"&gt;="&amp;TableWeeklySummary[[#This Row],[Desde]],TableDailySummary[Fecha],"&lt;="&amp;TableWeeklySummary[[#This Row],[Hasta]])</f>
        <v>0</v>
      </c>
      <c r="N129" s="11">
        <f>SUMIFS(TableDailySummary[Tienda 81_net_sales],TableDailySummary[Fecha],"&gt;="&amp;TableWeeklySummary[[#This Row],[Desde]],TableDailySummary[Fecha],"&lt;="&amp;TableWeeklySummary[[#This Row],[Hasta]])</f>
        <v>0</v>
      </c>
      <c r="O129" s="11">
        <f>SUMIFS(TableDailySummary[Tienda 81_orders],TableDailySummary[Fecha],"&gt;="&amp;TableWeeklySummary[[#This Row],[Desde]],TableDailySummary[Fecha],"&lt;="&amp;TableWeeklySummary[[#This Row],[Hasta]])</f>
        <v>0</v>
      </c>
      <c r="P129" s="11">
        <f>SUMIFS(TableDailySummary[Rappi_net_sales],TableDailySummary[Fecha],"&gt;="&amp;TableWeeklySummary[[#This Row],[Desde]],TableDailySummary[Fecha],"&lt;="&amp;TableWeeklySummary[[#This Row],[Hasta]])</f>
        <v>0</v>
      </c>
      <c r="Q129" s="11">
        <f>SUMIFS(TableDailySummary[Rappi_orders],TableDailySummary[Fecha],"&gt;="&amp;TableWeeklySummary[[#This Row],[Desde]],TableDailySummary[Fecha],"&lt;="&amp;TableWeeklySummary[[#This Row],[Hasta]])</f>
        <v>0</v>
      </c>
      <c r="R12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29" s="11">
        <f>SUMIFS(TableDailySummary[Corporativo no tienda_orders],TableDailySummary[Fecha],"&gt;="&amp;TableWeeklySummary[[#This Row],[Desde]],TableDailySummary[Fecha],"&lt;="&amp;TableWeeklySummary[[#This Row],[Hasta]])</f>
        <v>0</v>
      </c>
      <c r="T129" s="11">
        <f>SUMIFS(TableDailySummary[Inversión google ads],TableDailySummary[Fecha],"&gt;="&amp;TableWeeklySummary[[#This Row],[Desde]],TableDailySummary[Fecha],"&lt;="&amp;TableWeeklySummary[[#This Row],[Hasta]])</f>
        <v>0</v>
      </c>
      <c r="U129" s="11">
        <f>SUMIFS(TableDailySummary[Ventas google ads],TableDailySummary[Fecha],"&gt;="&amp;TableWeeklySummary[[#This Row],[Desde]],TableDailySummary[Fecha],"&lt;="&amp;TableWeeklySummary[[#This Row],[Hasta]])</f>
        <v>0</v>
      </c>
      <c r="V129" s="11">
        <f>SUMIFS(TableDailySummary[Inversión meta ads],TableDailySummary[Fecha],"&gt;="&amp;TableWeeklySummary[[#This Row],[Desde]],TableDailySummary[Fecha],"&lt;="&amp;TableWeeklySummary[[#This Row],[Hasta]])</f>
        <v>0</v>
      </c>
      <c r="W129" s="11">
        <f>SUMIFS(TableDailySummary[Ventas meta ads],TableDailySummary[Fecha],"&gt;="&amp;TableWeeklySummary[[#This Row],[Desde]],TableDailySummary[Fecha],"&lt;="&amp;TableWeeklySummary[[#This Row],[Hasta]])</f>
        <v>0</v>
      </c>
      <c r="X129" s="11">
        <f>TableWeeklySummary[[#This Row],[Inversión google ads]]+TableWeeklySummary[[#This Row],[Inversión meta ads]]</f>
        <v>0</v>
      </c>
      <c r="Y129" s="11">
        <f>TableWeeklySummary[[#This Row],[Ventas google ads]]+TableWeeklySummary[[#This Row],[Ventas meta ads]]</f>
        <v>0</v>
      </c>
      <c r="Z129" s="14">
        <f>IFERROR(TableWeeklySummary[[#This Row],[Ventas publicidad]]/TableWeeklySummary[[#This Row],[Inversión publicidad]],0)</f>
        <v>0</v>
      </c>
      <c r="AA129" s="14">
        <f>IFERROR(TableWeeklySummary[[#This Row],[Ventas primer cliente]]/TableWeeklySummary[[#This Row],[Inversión publicidad]],0)</f>
        <v>0</v>
      </c>
      <c r="AB129" s="14"/>
      <c r="AC129" s="11"/>
      <c r="AI12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29" s="11">
        <f>SUMIFS(TableDailySummary[Costo de ventas registrado],TableDailySummary[Fecha],"&gt;="&amp;TableWeeklySummary[[#This Row],[Desde]],TableDailySummary[Fecha],"&lt;="&amp;TableWeeklySummary[[#This Row],[Hasta]])</f>
        <v>0</v>
      </c>
      <c r="AK129" s="11">
        <f>SUMIFS(TableDailySummary[Utilidad bruta],TableDailySummary[Fecha],"&gt;="&amp;TableWeeklySummary[[#This Row],[Desde]],TableDailySummary[Fecha],"&lt;="&amp;TableWeeklySummary[[#This Row],[Hasta]])</f>
        <v>0</v>
      </c>
      <c r="AL129" s="18">
        <f>IFERROR(TableWeeklySummary[[#This Row],[Utilidad bruta]]/TableWeeklySummary[[#This Row],[Ventas netas con costo registrado]],0)</f>
        <v>0</v>
      </c>
    </row>
    <row r="130" spans="2:38" x14ac:dyDescent="0.2">
      <c r="B130" s="16">
        <f>_xlfn.ISOWEEKNUM(TableWeeklySummary[[#This Row],[Hasta]])</f>
        <v>15</v>
      </c>
      <c r="C130" s="6">
        <f t="shared" si="4"/>
        <v>45387</v>
      </c>
      <c r="D130" s="6">
        <f>TableWeeklySummary[[#This Row],[Desde]]+7-1</f>
        <v>45393</v>
      </c>
      <c r="E130" s="11">
        <f>SUMIFS(TableDailySummary[Ventas netas totales],TableDailySummary[Fecha],"&gt;="&amp;TableWeeklySummary[[#This Row],[Desde]],TableDailySummary[Fecha],"&lt;="&amp;TableWeeklySummary[[#This Row],[Hasta]])</f>
        <v>0</v>
      </c>
      <c r="F130" s="11">
        <f>SUMIFS(TableDailySummary[Órdenes totales],TableDailySummary[Fecha],"&gt;="&amp;TableWeeklySummary[[#This Row],[Desde]],TableDailySummary[Fecha],"&lt;="&amp;TableWeeklySummary[[#This Row],[Hasta]])</f>
        <v>0</v>
      </c>
      <c r="G130" s="11">
        <f>IFERROR(TableWeeklySummary[[#This Row],[Ventas netas totales]]/TableWeeklySummary[[#This Row],[Órdenes totales]],0)</f>
        <v>0</v>
      </c>
      <c r="H13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0" s="11">
        <f>TableWeeklySummary[[#This Row],[Órden promedio totales]]*TableWeeklySummary[[#This Row],[CR totales]]</f>
        <v>0</v>
      </c>
      <c r="J130" s="11">
        <f>SUMIFS(TableDailySummary[Ventas primer cliente],TableDailySummary[Fecha],"&gt;="&amp;TableWeeklySummary[[#This Row],[Desde]],TableDailySummary[Fecha],"&lt;="&amp;TableWeeklySummary[[#This Row],[Hasta]])</f>
        <v>0</v>
      </c>
      <c r="K130" s="11">
        <f>SUMIFS(TableDailySummary[Órdenes primer cliente],TableDailySummary[Fecha],"&gt;="&amp;TableWeeklySummary[[#This Row],[Desde]],TableDailySummary[Fecha],"&lt;="&amp;TableWeeklySummary[[#This Row],[Hasta]])</f>
        <v>0</v>
      </c>
      <c r="L130" s="11">
        <f>SUMIFS(TableDailySummary[Online Store_net_sales],TableDailySummary[Fecha],"&gt;="&amp;TableWeeklySummary[[#This Row],[Desde]],TableDailySummary[Fecha],"&lt;="&amp;TableWeeklySummary[[#This Row],[Hasta]])</f>
        <v>0</v>
      </c>
      <c r="M130" s="11">
        <f>SUMIFS(TableDailySummary[Online Store_orders],TableDailySummary[Fecha],"&gt;="&amp;TableWeeklySummary[[#This Row],[Desde]],TableDailySummary[Fecha],"&lt;="&amp;TableWeeklySummary[[#This Row],[Hasta]])</f>
        <v>0</v>
      </c>
      <c r="N130" s="11">
        <f>SUMIFS(TableDailySummary[Tienda 81_net_sales],TableDailySummary[Fecha],"&gt;="&amp;TableWeeklySummary[[#This Row],[Desde]],TableDailySummary[Fecha],"&lt;="&amp;TableWeeklySummary[[#This Row],[Hasta]])</f>
        <v>0</v>
      </c>
      <c r="O130" s="11">
        <f>SUMIFS(TableDailySummary[Tienda 81_orders],TableDailySummary[Fecha],"&gt;="&amp;TableWeeklySummary[[#This Row],[Desde]],TableDailySummary[Fecha],"&lt;="&amp;TableWeeklySummary[[#This Row],[Hasta]])</f>
        <v>0</v>
      </c>
      <c r="P130" s="11">
        <f>SUMIFS(TableDailySummary[Rappi_net_sales],TableDailySummary[Fecha],"&gt;="&amp;TableWeeklySummary[[#This Row],[Desde]],TableDailySummary[Fecha],"&lt;="&amp;TableWeeklySummary[[#This Row],[Hasta]])</f>
        <v>0</v>
      </c>
      <c r="Q130" s="11">
        <f>SUMIFS(TableDailySummary[Rappi_orders],TableDailySummary[Fecha],"&gt;="&amp;TableWeeklySummary[[#This Row],[Desde]],TableDailySummary[Fecha],"&lt;="&amp;TableWeeklySummary[[#This Row],[Hasta]])</f>
        <v>0</v>
      </c>
      <c r="R13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0" s="11">
        <f>SUMIFS(TableDailySummary[Corporativo no tienda_orders],TableDailySummary[Fecha],"&gt;="&amp;TableWeeklySummary[[#This Row],[Desde]],TableDailySummary[Fecha],"&lt;="&amp;TableWeeklySummary[[#This Row],[Hasta]])</f>
        <v>0</v>
      </c>
      <c r="T130" s="11">
        <f>SUMIFS(TableDailySummary[Inversión google ads],TableDailySummary[Fecha],"&gt;="&amp;TableWeeklySummary[[#This Row],[Desde]],TableDailySummary[Fecha],"&lt;="&amp;TableWeeklySummary[[#This Row],[Hasta]])</f>
        <v>0</v>
      </c>
      <c r="U130" s="11">
        <f>SUMIFS(TableDailySummary[Ventas google ads],TableDailySummary[Fecha],"&gt;="&amp;TableWeeklySummary[[#This Row],[Desde]],TableDailySummary[Fecha],"&lt;="&amp;TableWeeklySummary[[#This Row],[Hasta]])</f>
        <v>0</v>
      </c>
      <c r="V130" s="11">
        <f>SUMIFS(TableDailySummary[Inversión meta ads],TableDailySummary[Fecha],"&gt;="&amp;TableWeeklySummary[[#This Row],[Desde]],TableDailySummary[Fecha],"&lt;="&amp;TableWeeklySummary[[#This Row],[Hasta]])</f>
        <v>0</v>
      </c>
      <c r="W130" s="11">
        <f>SUMIFS(TableDailySummary[Ventas meta ads],TableDailySummary[Fecha],"&gt;="&amp;TableWeeklySummary[[#This Row],[Desde]],TableDailySummary[Fecha],"&lt;="&amp;TableWeeklySummary[[#This Row],[Hasta]])</f>
        <v>0</v>
      </c>
      <c r="X130" s="11">
        <f>TableWeeklySummary[[#This Row],[Inversión google ads]]+TableWeeklySummary[[#This Row],[Inversión meta ads]]</f>
        <v>0</v>
      </c>
      <c r="Y130" s="11">
        <f>TableWeeklySummary[[#This Row],[Ventas google ads]]+TableWeeklySummary[[#This Row],[Ventas meta ads]]</f>
        <v>0</v>
      </c>
      <c r="Z130" s="14">
        <f>IFERROR(TableWeeklySummary[[#This Row],[Ventas publicidad]]/TableWeeklySummary[[#This Row],[Inversión publicidad]],0)</f>
        <v>0</v>
      </c>
      <c r="AA130" s="14">
        <f>IFERROR(TableWeeklySummary[[#This Row],[Ventas primer cliente]]/TableWeeklySummary[[#This Row],[Inversión publicidad]],0)</f>
        <v>0</v>
      </c>
      <c r="AB130" s="14"/>
      <c r="AC130" s="11"/>
      <c r="AI13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0" s="11">
        <f>SUMIFS(TableDailySummary[Costo de ventas registrado],TableDailySummary[Fecha],"&gt;="&amp;TableWeeklySummary[[#This Row],[Desde]],TableDailySummary[Fecha],"&lt;="&amp;TableWeeklySummary[[#This Row],[Hasta]])</f>
        <v>0</v>
      </c>
      <c r="AK130" s="11">
        <f>SUMIFS(TableDailySummary[Utilidad bruta],TableDailySummary[Fecha],"&gt;="&amp;TableWeeklySummary[[#This Row],[Desde]],TableDailySummary[Fecha],"&lt;="&amp;TableWeeklySummary[[#This Row],[Hasta]])</f>
        <v>0</v>
      </c>
      <c r="AL130" s="18">
        <f>IFERROR(TableWeeklySummary[[#This Row],[Utilidad bruta]]/TableWeeklySummary[[#This Row],[Ventas netas con costo registrado]],0)</f>
        <v>0</v>
      </c>
    </row>
    <row r="131" spans="2:38" x14ac:dyDescent="0.2">
      <c r="B131" s="16">
        <f>_xlfn.ISOWEEKNUM(TableWeeklySummary[[#This Row],[Hasta]])</f>
        <v>16</v>
      </c>
      <c r="C131" s="6">
        <f t="shared" si="4"/>
        <v>45394</v>
      </c>
      <c r="D131" s="6">
        <f>TableWeeklySummary[[#This Row],[Desde]]+7-1</f>
        <v>45400</v>
      </c>
      <c r="E131" s="11">
        <f>SUMIFS(TableDailySummary[Ventas netas totales],TableDailySummary[Fecha],"&gt;="&amp;TableWeeklySummary[[#This Row],[Desde]],TableDailySummary[Fecha],"&lt;="&amp;TableWeeklySummary[[#This Row],[Hasta]])</f>
        <v>0</v>
      </c>
      <c r="F131" s="11">
        <f>SUMIFS(TableDailySummary[Órdenes totales],TableDailySummary[Fecha],"&gt;="&amp;TableWeeklySummary[[#This Row],[Desde]],TableDailySummary[Fecha],"&lt;="&amp;TableWeeklySummary[[#This Row],[Hasta]])</f>
        <v>0</v>
      </c>
      <c r="G131" s="11">
        <f>IFERROR(TableWeeklySummary[[#This Row],[Ventas netas totales]]/TableWeeklySummary[[#This Row],[Órdenes totales]],0)</f>
        <v>0</v>
      </c>
      <c r="H13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1" s="11">
        <f>TableWeeklySummary[[#This Row],[Órden promedio totales]]*TableWeeklySummary[[#This Row],[CR totales]]</f>
        <v>0</v>
      </c>
      <c r="J131" s="11">
        <f>SUMIFS(TableDailySummary[Ventas primer cliente],TableDailySummary[Fecha],"&gt;="&amp;TableWeeklySummary[[#This Row],[Desde]],TableDailySummary[Fecha],"&lt;="&amp;TableWeeklySummary[[#This Row],[Hasta]])</f>
        <v>0</v>
      </c>
      <c r="K131" s="11">
        <f>SUMIFS(TableDailySummary[Órdenes primer cliente],TableDailySummary[Fecha],"&gt;="&amp;TableWeeklySummary[[#This Row],[Desde]],TableDailySummary[Fecha],"&lt;="&amp;TableWeeklySummary[[#This Row],[Hasta]])</f>
        <v>0</v>
      </c>
      <c r="L131" s="11">
        <f>SUMIFS(TableDailySummary[Online Store_net_sales],TableDailySummary[Fecha],"&gt;="&amp;TableWeeklySummary[[#This Row],[Desde]],TableDailySummary[Fecha],"&lt;="&amp;TableWeeklySummary[[#This Row],[Hasta]])</f>
        <v>0</v>
      </c>
      <c r="M131" s="11">
        <f>SUMIFS(TableDailySummary[Online Store_orders],TableDailySummary[Fecha],"&gt;="&amp;TableWeeklySummary[[#This Row],[Desde]],TableDailySummary[Fecha],"&lt;="&amp;TableWeeklySummary[[#This Row],[Hasta]])</f>
        <v>0</v>
      </c>
      <c r="N131" s="11">
        <f>SUMIFS(TableDailySummary[Tienda 81_net_sales],TableDailySummary[Fecha],"&gt;="&amp;TableWeeklySummary[[#This Row],[Desde]],TableDailySummary[Fecha],"&lt;="&amp;TableWeeklySummary[[#This Row],[Hasta]])</f>
        <v>0</v>
      </c>
      <c r="O131" s="11">
        <f>SUMIFS(TableDailySummary[Tienda 81_orders],TableDailySummary[Fecha],"&gt;="&amp;TableWeeklySummary[[#This Row],[Desde]],TableDailySummary[Fecha],"&lt;="&amp;TableWeeklySummary[[#This Row],[Hasta]])</f>
        <v>0</v>
      </c>
      <c r="P131" s="11">
        <f>SUMIFS(TableDailySummary[Rappi_net_sales],TableDailySummary[Fecha],"&gt;="&amp;TableWeeklySummary[[#This Row],[Desde]],TableDailySummary[Fecha],"&lt;="&amp;TableWeeklySummary[[#This Row],[Hasta]])</f>
        <v>0</v>
      </c>
      <c r="Q131" s="11">
        <f>SUMIFS(TableDailySummary[Rappi_orders],TableDailySummary[Fecha],"&gt;="&amp;TableWeeklySummary[[#This Row],[Desde]],TableDailySummary[Fecha],"&lt;="&amp;TableWeeklySummary[[#This Row],[Hasta]])</f>
        <v>0</v>
      </c>
      <c r="R13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1" s="11">
        <f>SUMIFS(TableDailySummary[Corporativo no tienda_orders],TableDailySummary[Fecha],"&gt;="&amp;TableWeeklySummary[[#This Row],[Desde]],TableDailySummary[Fecha],"&lt;="&amp;TableWeeklySummary[[#This Row],[Hasta]])</f>
        <v>0</v>
      </c>
      <c r="T131" s="11">
        <f>SUMIFS(TableDailySummary[Inversión google ads],TableDailySummary[Fecha],"&gt;="&amp;TableWeeklySummary[[#This Row],[Desde]],TableDailySummary[Fecha],"&lt;="&amp;TableWeeklySummary[[#This Row],[Hasta]])</f>
        <v>0</v>
      </c>
      <c r="U131" s="11">
        <f>SUMIFS(TableDailySummary[Ventas google ads],TableDailySummary[Fecha],"&gt;="&amp;TableWeeklySummary[[#This Row],[Desde]],TableDailySummary[Fecha],"&lt;="&amp;TableWeeklySummary[[#This Row],[Hasta]])</f>
        <v>0</v>
      </c>
      <c r="V131" s="11">
        <f>SUMIFS(TableDailySummary[Inversión meta ads],TableDailySummary[Fecha],"&gt;="&amp;TableWeeklySummary[[#This Row],[Desde]],TableDailySummary[Fecha],"&lt;="&amp;TableWeeklySummary[[#This Row],[Hasta]])</f>
        <v>0</v>
      </c>
      <c r="W131" s="11">
        <f>SUMIFS(TableDailySummary[Ventas meta ads],TableDailySummary[Fecha],"&gt;="&amp;TableWeeklySummary[[#This Row],[Desde]],TableDailySummary[Fecha],"&lt;="&amp;TableWeeklySummary[[#This Row],[Hasta]])</f>
        <v>0</v>
      </c>
      <c r="X131" s="11">
        <f>TableWeeklySummary[[#This Row],[Inversión google ads]]+TableWeeklySummary[[#This Row],[Inversión meta ads]]</f>
        <v>0</v>
      </c>
      <c r="Y131" s="11">
        <f>TableWeeklySummary[[#This Row],[Ventas google ads]]+TableWeeklySummary[[#This Row],[Ventas meta ads]]</f>
        <v>0</v>
      </c>
      <c r="Z131" s="14">
        <f>IFERROR(TableWeeklySummary[[#This Row],[Ventas publicidad]]/TableWeeklySummary[[#This Row],[Inversión publicidad]],0)</f>
        <v>0</v>
      </c>
      <c r="AA131" s="14">
        <f>IFERROR(TableWeeklySummary[[#This Row],[Ventas primer cliente]]/TableWeeklySummary[[#This Row],[Inversión publicidad]],0)</f>
        <v>0</v>
      </c>
      <c r="AB131" s="14"/>
      <c r="AC131" s="11"/>
      <c r="AI13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1" s="11">
        <f>SUMIFS(TableDailySummary[Costo de ventas registrado],TableDailySummary[Fecha],"&gt;="&amp;TableWeeklySummary[[#This Row],[Desde]],TableDailySummary[Fecha],"&lt;="&amp;TableWeeklySummary[[#This Row],[Hasta]])</f>
        <v>0</v>
      </c>
      <c r="AK131" s="11">
        <f>SUMIFS(TableDailySummary[Utilidad bruta],TableDailySummary[Fecha],"&gt;="&amp;TableWeeklySummary[[#This Row],[Desde]],TableDailySummary[Fecha],"&lt;="&amp;TableWeeklySummary[[#This Row],[Hasta]])</f>
        <v>0</v>
      </c>
      <c r="AL131" s="18">
        <f>IFERROR(TableWeeklySummary[[#This Row],[Utilidad bruta]]/TableWeeklySummary[[#This Row],[Ventas netas con costo registrado]],0)</f>
        <v>0</v>
      </c>
    </row>
    <row r="132" spans="2:38" x14ac:dyDescent="0.2">
      <c r="B132" s="16">
        <f>_xlfn.ISOWEEKNUM(TableWeeklySummary[[#This Row],[Hasta]])</f>
        <v>17</v>
      </c>
      <c r="C132" s="6">
        <f t="shared" si="4"/>
        <v>45401</v>
      </c>
      <c r="D132" s="6">
        <f>TableWeeklySummary[[#This Row],[Desde]]+7-1</f>
        <v>45407</v>
      </c>
      <c r="E132" s="11">
        <f>SUMIFS(TableDailySummary[Ventas netas totales],TableDailySummary[Fecha],"&gt;="&amp;TableWeeklySummary[[#This Row],[Desde]],TableDailySummary[Fecha],"&lt;="&amp;TableWeeklySummary[[#This Row],[Hasta]])</f>
        <v>0</v>
      </c>
      <c r="F132" s="11">
        <f>SUMIFS(TableDailySummary[Órdenes totales],TableDailySummary[Fecha],"&gt;="&amp;TableWeeklySummary[[#This Row],[Desde]],TableDailySummary[Fecha],"&lt;="&amp;TableWeeklySummary[[#This Row],[Hasta]])</f>
        <v>0</v>
      </c>
      <c r="G132" s="11">
        <f>IFERROR(TableWeeklySummary[[#This Row],[Ventas netas totales]]/TableWeeklySummary[[#This Row],[Órdenes totales]],0)</f>
        <v>0</v>
      </c>
      <c r="H13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2" s="11">
        <f>TableWeeklySummary[[#This Row],[Órden promedio totales]]*TableWeeklySummary[[#This Row],[CR totales]]</f>
        <v>0</v>
      </c>
      <c r="J132" s="11">
        <f>SUMIFS(TableDailySummary[Ventas primer cliente],TableDailySummary[Fecha],"&gt;="&amp;TableWeeklySummary[[#This Row],[Desde]],TableDailySummary[Fecha],"&lt;="&amp;TableWeeklySummary[[#This Row],[Hasta]])</f>
        <v>0</v>
      </c>
      <c r="K132" s="11">
        <f>SUMIFS(TableDailySummary[Órdenes primer cliente],TableDailySummary[Fecha],"&gt;="&amp;TableWeeklySummary[[#This Row],[Desde]],TableDailySummary[Fecha],"&lt;="&amp;TableWeeklySummary[[#This Row],[Hasta]])</f>
        <v>0</v>
      </c>
      <c r="L132" s="11">
        <f>SUMIFS(TableDailySummary[Online Store_net_sales],TableDailySummary[Fecha],"&gt;="&amp;TableWeeklySummary[[#This Row],[Desde]],TableDailySummary[Fecha],"&lt;="&amp;TableWeeklySummary[[#This Row],[Hasta]])</f>
        <v>0</v>
      </c>
      <c r="M132" s="11">
        <f>SUMIFS(TableDailySummary[Online Store_orders],TableDailySummary[Fecha],"&gt;="&amp;TableWeeklySummary[[#This Row],[Desde]],TableDailySummary[Fecha],"&lt;="&amp;TableWeeklySummary[[#This Row],[Hasta]])</f>
        <v>0</v>
      </c>
      <c r="N132" s="11">
        <f>SUMIFS(TableDailySummary[Tienda 81_net_sales],TableDailySummary[Fecha],"&gt;="&amp;TableWeeklySummary[[#This Row],[Desde]],TableDailySummary[Fecha],"&lt;="&amp;TableWeeklySummary[[#This Row],[Hasta]])</f>
        <v>0</v>
      </c>
      <c r="O132" s="11">
        <f>SUMIFS(TableDailySummary[Tienda 81_orders],TableDailySummary[Fecha],"&gt;="&amp;TableWeeklySummary[[#This Row],[Desde]],TableDailySummary[Fecha],"&lt;="&amp;TableWeeklySummary[[#This Row],[Hasta]])</f>
        <v>0</v>
      </c>
      <c r="P132" s="11">
        <f>SUMIFS(TableDailySummary[Rappi_net_sales],TableDailySummary[Fecha],"&gt;="&amp;TableWeeklySummary[[#This Row],[Desde]],TableDailySummary[Fecha],"&lt;="&amp;TableWeeklySummary[[#This Row],[Hasta]])</f>
        <v>0</v>
      </c>
      <c r="Q132" s="11">
        <f>SUMIFS(TableDailySummary[Rappi_orders],TableDailySummary[Fecha],"&gt;="&amp;TableWeeklySummary[[#This Row],[Desde]],TableDailySummary[Fecha],"&lt;="&amp;TableWeeklySummary[[#This Row],[Hasta]])</f>
        <v>0</v>
      </c>
      <c r="R13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2" s="11">
        <f>SUMIFS(TableDailySummary[Corporativo no tienda_orders],TableDailySummary[Fecha],"&gt;="&amp;TableWeeklySummary[[#This Row],[Desde]],TableDailySummary[Fecha],"&lt;="&amp;TableWeeklySummary[[#This Row],[Hasta]])</f>
        <v>0</v>
      </c>
      <c r="T132" s="11">
        <f>SUMIFS(TableDailySummary[Inversión google ads],TableDailySummary[Fecha],"&gt;="&amp;TableWeeklySummary[[#This Row],[Desde]],TableDailySummary[Fecha],"&lt;="&amp;TableWeeklySummary[[#This Row],[Hasta]])</f>
        <v>0</v>
      </c>
      <c r="U132" s="11">
        <f>SUMIFS(TableDailySummary[Ventas google ads],TableDailySummary[Fecha],"&gt;="&amp;TableWeeklySummary[[#This Row],[Desde]],TableDailySummary[Fecha],"&lt;="&amp;TableWeeklySummary[[#This Row],[Hasta]])</f>
        <v>0</v>
      </c>
      <c r="V132" s="11">
        <f>SUMIFS(TableDailySummary[Inversión meta ads],TableDailySummary[Fecha],"&gt;="&amp;TableWeeklySummary[[#This Row],[Desde]],TableDailySummary[Fecha],"&lt;="&amp;TableWeeklySummary[[#This Row],[Hasta]])</f>
        <v>0</v>
      </c>
      <c r="W132" s="11">
        <f>SUMIFS(TableDailySummary[Ventas meta ads],TableDailySummary[Fecha],"&gt;="&amp;TableWeeklySummary[[#This Row],[Desde]],TableDailySummary[Fecha],"&lt;="&amp;TableWeeklySummary[[#This Row],[Hasta]])</f>
        <v>0</v>
      </c>
      <c r="X132" s="11">
        <f>TableWeeklySummary[[#This Row],[Inversión google ads]]+TableWeeklySummary[[#This Row],[Inversión meta ads]]</f>
        <v>0</v>
      </c>
      <c r="Y132" s="11">
        <f>TableWeeklySummary[[#This Row],[Ventas google ads]]+TableWeeklySummary[[#This Row],[Ventas meta ads]]</f>
        <v>0</v>
      </c>
      <c r="Z132" s="14">
        <f>IFERROR(TableWeeklySummary[[#This Row],[Ventas publicidad]]/TableWeeklySummary[[#This Row],[Inversión publicidad]],0)</f>
        <v>0</v>
      </c>
      <c r="AA132" s="14">
        <f>IFERROR(TableWeeklySummary[[#This Row],[Ventas primer cliente]]/TableWeeklySummary[[#This Row],[Inversión publicidad]],0)</f>
        <v>0</v>
      </c>
      <c r="AB132" s="14"/>
      <c r="AC132" s="11"/>
      <c r="AI13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2" s="11">
        <f>SUMIFS(TableDailySummary[Costo de ventas registrado],TableDailySummary[Fecha],"&gt;="&amp;TableWeeklySummary[[#This Row],[Desde]],TableDailySummary[Fecha],"&lt;="&amp;TableWeeklySummary[[#This Row],[Hasta]])</f>
        <v>0</v>
      </c>
      <c r="AK132" s="11">
        <f>SUMIFS(TableDailySummary[Utilidad bruta],TableDailySummary[Fecha],"&gt;="&amp;TableWeeklySummary[[#This Row],[Desde]],TableDailySummary[Fecha],"&lt;="&amp;TableWeeklySummary[[#This Row],[Hasta]])</f>
        <v>0</v>
      </c>
      <c r="AL132" s="18">
        <f>IFERROR(TableWeeklySummary[[#This Row],[Utilidad bruta]]/TableWeeklySummary[[#This Row],[Ventas netas con costo registrado]],0)</f>
        <v>0</v>
      </c>
    </row>
    <row r="133" spans="2:38" x14ac:dyDescent="0.2">
      <c r="B133" s="16">
        <f>_xlfn.ISOWEEKNUM(TableWeeklySummary[[#This Row],[Hasta]])</f>
        <v>18</v>
      </c>
      <c r="C133" s="6">
        <f t="shared" si="4"/>
        <v>45408</v>
      </c>
      <c r="D133" s="6">
        <f>TableWeeklySummary[[#This Row],[Desde]]+7-1</f>
        <v>45414</v>
      </c>
      <c r="E133" s="11">
        <f>SUMIFS(TableDailySummary[Ventas netas totales],TableDailySummary[Fecha],"&gt;="&amp;TableWeeklySummary[[#This Row],[Desde]],TableDailySummary[Fecha],"&lt;="&amp;TableWeeklySummary[[#This Row],[Hasta]])</f>
        <v>0</v>
      </c>
      <c r="F133" s="11">
        <f>SUMIFS(TableDailySummary[Órdenes totales],TableDailySummary[Fecha],"&gt;="&amp;TableWeeklySummary[[#This Row],[Desde]],TableDailySummary[Fecha],"&lt;="&amp;TableWeeklySummary[[#This Row],[Hasta]])</f>
        <v>0</v>
      </c>
      <c r="G133" s="11">
        <f>IFERROR(TableWeeklySummary[[#This Row],[Ventas netas totales]]/TableWeeklySummary[[#This Row],[Órdenes totales]],0)</f>
        <v>0</v>
      </c>
      <c r="H13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3" s="11">
        <f>TableWeeklySummary[[#This Row],[Órden promedio totales]]*TableWeeklySummary[[#This Row],[CR totales]]</f>
        <v>0</v>
      </c>
      <c r="J133" s="11">
        <f>SUMIFS(TableDailySummary[Ventas primer cliente],TableDailySummary[Fecha],"&gt;="&amp;TableWeeklySummary[[#This Row],[Desde]],TableDailySummary[Fecha],"&lt;="&amp;TableWeeklySummary[[#This Row],[Hasta]])</f>
        <v>0</v>
      </c>
      <c r="K133" s="11">
        <f>SUMIFS(TableDailySummary[Órdenes primer cliente],TableDailySummary[Fecha],"&gt;="&amp;TableWeeklySummary[[#This Row],[Desde]],TableDailySummary[Fecha],"&lt;="&amp;TableWeeklySummary[[#This Row],[Hasta]])</f>
        <v>0</v>
      </c>
      <c r="L133" s="11">
        <f>SUMIFS(TableDailySummary[Online Store_net_sales],TableDailySummary[Fecha],"&gt;="&amp;TableWeeklySummary[[#This Row],[Desde]],TableDailySummary[Fecha],"&lt;="&amp;TableWeeklySummary[[#This Row],[Hasta]])</f>
        <v>0</v>
      </c>
      <c r="M133" s="11">
        <f>SUMIFS(TableDailySummary[Online Store_orders],TableDailySummary[Fecha],"&gt;="&amp;TableWeeklySummary[[#This Row],[Desde]],TableDailySummary[Fecha],"&lt;="&amp;TableWeeklySummary[[#This Row],[Hasta]])</f>
        <v>0</v>
      </c>
      <c r="N133" s="11">
        <f>SUMIFS(TableDailySummary[Tienda 81_net_sales],TableDailySummary[Fecha],"&gt;="&amp;TableWeeklySummary[[#This Row],[Desde]],TableDailySummary[Fecha],"&lt;="&amp;TableWeeklySummary[[#This Row],[Hasta]])</f>
        <v>0</v>
      </c>
      <c r="O133" s="11">
        <f>SUMIFS(TableDailySummary[Tienda 81_orders],TableDailySummary[Fecha],"&gt;="&amp;TableWeeklySummary[[#This Row],[Desde]],TableDailySummary[Fecha],"&lt;="&amp;TableWeeklySummary[[#This Row],[Hasta]])</f>
        <v>0</v>
      </c>
      <c r="P133" s="11">
        <f>SUMIFS(TableDailySummary[Rappi_net_sales],TableDailySummary[Fecha],"&gt;="&amp;TableWeeklySummary[[#This Row],[Desde]],TableDailySummary[Fecha],"&lt;="&amp;TableWeeklySummary[[#This Row],[Hasta]])</f>
        <v>0</v>
      </c>
      <c r="Q133" s="11">
        <f>SUMIFS(TableDailySummary[Rappi_orders],TableDailySummary[Fecha],"&gt;="&amp;TableWeeklySummary[[#This Row],[Desde]],TableDailySummary[Fecha],"&lt;="&amp;TableWeeklySummary[[#This Row],[Hasta]])</f>
        <v>0</v>
      </c>
      <c r="R13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3" s="11">
        <f>SUMIFS(TableDailySummary[Corporativo no tienda_orders],TableDailySummary[Fecha],"&gt;="&amp;TableWeeklySummary[[#This Row],[Desde]],TableDailySummary[Fecha],"&lt;="&amp;TableWeeklySummary[[#This Row],[Hasta]])</f>
        <v>0</v>
      </c>
      <c r="T133" s="11">
        <f>SUMIFS(TableDailySummary[Inversión google ads],TableDailySummary[Fecha],"&gt;="&amp;TableWeeklySummary[[#This Row],[Desde]],TableDailySummary[Fecha],"&lt;="&amp;TableWeeklySummary[[#This Row],[Hasta]])</f>
        <v>0</v>
      </c>
      <c r="U133" s="11">
        <f>SUMIFS(TableDailySummary[Ventas google ads],TableDailySummary[Fecha],"&gt;="&amp;TableWeeklySummary[[#This Row],[Desde]],TableDailySummary[Fecha],"&lt;="&amp;TableWeeklySummary[[#This Row],[Hasta]])</f>
        <v>0</v>
      </c>
      <c r="V133" s="11">
        <f>SUMIFS(TableDailySummary[Inversión meta ads],TableDailySummary[Fecha],"&gt;="&amp;TableWeeklySummary[[#This Row],[Desde]],TableDailySummary[Fecha],"&lt;="&amp;TableWeeklySummary[[#This Row],[Hasta]])</f>
        <v>0</v>
      </c>
      <c r="W133" s="11">
        <f>SUMIFS(TableDailySummary[Ventas meta ads],TableDailySummary[Fecha],"&gt;="&amp;TableWeeklySummary[[#This Row],[Desde]],TableDailySummary[Fecha],"&lt;="&amp;TableWeeklySummary[[#This Row],[Hasta]])</f>
        <v>0</v>
      </c>
      <c r="X133" s="11">
        <f>TableWeeklySummary[[#This Row],[Inversión google ads]]+TableWeeklySummary[[#This Row],[Inversión meta ads]]</f>
        <v>0</v>
      </c>
      <c r="Y133" s="11">
        <f>TableWeeklySummary[[#This Row],[Ventas google ads]]+TableWeeklySummary[[#This Row],[Ventas meta ads]]</f>
        <v>0</v>
      </c>
      <c r="Z133" s="14">
        <f>IFERROR(TableWeeklySummary[[#This Row],[Ventas publicidad]]/TableWeeklySummary[[#This Row],[Inversión publicidad]],0)</f>
        <v>0</v>
      </c>
      <c r="AA133" s="14">
        <f>IFERROR(TableWeeklySummary[[#This Row],[Ventas primer cliente]]/TableWeeklySummary[[#This Row],[Inversión publicidad]],0)</f>
        <v>0</v>
      </c>
      <c r="AB133" s="14"/>
      <c r="AC133" s="11"/>
      <c r="AI13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3" s="11">
        <f>SUMIFS(TableDailySummary[Costo de ventas registrado],TableDailySummary[Fecha],"&gt;="&amp;TableWeeklySummary[[#This Row],[Desde]],TableDailySummary[Fecha],"&lt;="&amp;TableWeeklySummary[[#This Row],[Hasta]])</f>
        <v>0</v>
      </c>
      <c r="AK133" s="11">
        <f>SUMIFS(TableDailySummary[Utilidad bruta],TableDailySummary[Fecha],"&gt;="&amp;TableWeeklySummary[[#This Row],[Desde]],TableDailySummary[Fecha],"&lt;="&amp;TableWeeklySummary[[#This Row],[Hasta]])</f>
        <v>0</v>
      </c>
      <c r="AL133" s="18">
        <f>IFERROR(TableWeeklySummary[[#This Row],[Utilidad bruta]]/TableWeeklySummary[[#This Row],[Ventas netas con costo registrado]],0)</f>
        <v>0</v>
      </c>
    </row>
    <row r="134" spans="2:38" x14ac:dyDescent="0.2">
      <c r="B134" s="16">
        <f>_xlfn.ISOWEEKNUM(TableWeeklySummary[[#This Row],[Hasta]])</f>
        <v>19</v>
      </c>
      <c r="C134" s="6">
        <f t="shared" si="4"/>
        <v>45415</v>
      </c>
      <c r="D134" s="6">
        <f>TableWeeklySummary[[#This Row],[Desde]]+7-1</f>
        <v>45421</v>
      </c>
      <c r="E134" s="11">
        <f>SUMIFS(TableDailySummary[Ventas netas totales],TableDailySummary[Fecha],"&gt;="&amp;TableWeeklySummary[[#This Row],[Desde]],TableDailySummary[Fecha],"&lt;="&amp;TableWeeklySummary[[#This Row],[Hasta]])</f>
        <v>0</v>
      </c>
      <c r="F134" s="11">
        <f>SUMIFS(TableDailySummary[Órdenes totales],TableDailySummary[Fecha],"&gt;="&amp;TableWeeklySummary[[#This Row],[Desde]],TableDailySummary[Fecha],"&lt;="&amp;TableWeeklySummary[[#This Row],[Hasta]])</f>
        <v>0</v>
      </c>
      <c r="G134" s="11">
        <f>IFERROR(TableWeeklySummary[[#This Row],[Ventas netas totales]]/TableWeeklySummary[[#This Row],[Órdenes totales]],0)</f>
        <v>0</v>
      </c>
      <c r="H13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4" s="11">
        <f>TableWeeklySummary[[#This Row],[Órden promedio totales]]*TableWeeklySummary[[#This Row],[CR totales]]</f>
        <v>0</v>
      </c>
      <c r="J134" s="11">
        <f>SUMIFS(TableDailySummary[Ventas primer cliente],TableDailySummary[Fecha],"&gt;="&amp;TableWeeklySummary[[#This Row],[Desde]],TableDailySummary[Fecha],"&lt;="&amp;TableWeeklySummary[[#This Row],[Hasta]])</f>
        <v>0</v>
      </c>
      <c r="K134" s="11">
        <f>SUMIFS(TableDailySummary[Órdenes primer cliente],TableDailySummary[Fecha],"&gt;="&amp;TableWeeklySummary[[#This Row],[Desde]],TableDailySummary[Fecha],"&lt;="&amp;TableWeeklySummary[[#This Row],[Hasta]])</f>
        <v>0</v>
      </c>
      <c r="L134" s="11">
        <f>SUMIFS(TableDailySummary[Online Store_net_sales],TableDailySummary[Fecha],"&gt;="&amp;TableWeeklySummary[[#This Row],[Desde]],TableDailySummary[Fecha],"&lt;="&amp;TableWeeklySummary[[#This Row],[Hasta]])</f>
        <v>0</v>
      </c>
      <c r="M134" s="11">
        <f>SUMIFS(TableDailySummary[Online Store_orders],TableDailySummary[Fecha],"&gt;="&amp;TableWeeklySummary[[#This Row],[Desde]],TableDailySummary[Fecha],"&lt;="&amp;TableWeeklySummary[[#This Row],[Hasta]])</f>
        <v>0</v>
      </c>
      <c r="N134" s="11">
        <f>SUMIFS(TableDailySummary[Tienda 81_net_sales],TableDailySummary[Fecha],"&gt;="&amp;TableWeeklySummary[[#This Row],[Desde]],TableDailySummary[Fecha],"&lt;="&amp;TableWeeklySummary[[#This Row],[Hasta]])</f>
        <v>0</v>
      </c>
      <c r="O134" s="11">
        <f>SUMIFS(TableDailySummary[Tienda 81_orders],TableDailySummary[Fecha],"&gt;="&amp;TableWeeklySummary[[#This Row],[Desde]],TableDailySummary[Fecha],"&lt;="&amp;TableWeeklySummary[[#This Row],[Hasta]])</f>
        <v>0</v>
      </c>
      <c r="P134" s="11">
        <f>SUMIFS(TableDailySummary[Rappi_net_sales],TableDailySummary[Fecha],"&gt;="&amp;TableWeeklySummary[[#This Row],[Desde]],TableDailySummary[Fecha],"&lt;="&amp;TableWeeklySummary[[#This Row],[Hasta]])</f>
        <v>0</v>
      </c>
      <c r="Q134" s="11">
        <f>SUMIFS(TableDailySummary[Rappi_orders],TableDailySummary[Fecha],"&gt;="&amp;TableWeeklySummary[[#This Row],[Desde]],TableDailySummary[Fecha],"&lt;="&amp;TableWeeklySummary[[#This Row],[Hasta]])</f>
        <v>0</v>
      </c>
      <c r="R13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4" s="11">
        <f>SUMIFS(TableDailySummary[Corporativo no tienda_orders],TableDailySummary[Fecha],"&gt;="&amp;TableWeeklySummary[[#This Row],[Desde]],TableDailySummary[Fecha],"&lt;="&amp;TableWeeklySummary[[#This Row],[Hasta]])</f>
        <v>0</v>
      </c>
      <c r="T134" s="11">
        <f>SUMIFS(TableDailySummary[Inversión google ads],TableDailySummary[Fecha],"&gt;="&amp;TableWeeklySummary[[#This Row],[Desde]],TableDailySummary[Fecha],"&lt;="&amp;TableWeeklySummary[[#This Row],[Hasta]])</f>
        <v>0</v>
      </c>
      <c r="U134" s="11">
        <f>SUMIFS(TableDailySummary[Ventas google ads],TableDailySummary[Fecha],"&gt;="&amp;TableWeeklySummary[[#This Row],[Desde]],TableDailySummary[Fecha],"&lt;="&amp;TableWeeklySummary[[#This Row],[Hasta]])</f>
        <v>0</v>
      </c>
      <c r="V134" s="11">
        <f>SUMIFS(TableDailySummary[Inversión meta ads],TableDailySummary[Fecha],"&gt;="&amp;TableWeeklySummary[[#This Row],[Desde]],TableDailySummary[Fecha],"&lt;="&amp;TableWeeklySummary[[#This Row],[Hasta]])</f>
        <v>0</v>
      </c>
      <c r="W134" s="11">
        <f>SUMIFS(TableDailySummary[Ventas meta ads],TableDailySummary[Fecha],"&gt;="&amp;TableWeeklySummary[[#This Row],[Desde]],TableDailySummary[Fecha],"&lt;="&amp;TableWeeklySummary[[#This Row],[Hasta]])</f>
        <v>0</v>
      </c>
      <c r="X134" s="11">
        <f>TableWeeklySummary[[#This Row],[Inversión google ads]]+TableWeeklySummary[[#This Row],[Inversión meta ads]]</f>
        <v>0</v>
      </c>
      <c r="Y134" s="11">
        <f>TableWeeklySummary[[#This Row],[Ventas google ads]]+TableWeeklySummary[[#This Row],[Ventas meta ads]]</f>
        <v>0</v>
      </c>
      <c r="Z134" s="14">
        <f>IFERROR(TableWeeklySummary[[#This Row],[Ventas publicidad]]/TableWeeklySummary[[#This Row],[Inversión publicidad]],0)</f>
        <v>0</v>
      </c>
      <c r="AA134" s="14">
        <f>IFERROR(TableWeeklySummary[[#This Row],[Ventas primer cliente]]/TableWeeklySummary[[#This Row],[Inversión publicidad]],0)</f>
        <v>0</v>
      </c>
      <c r="AB134" s="14"/>
      <c r="AC134" s="11"/>
      <c r="AI13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4" s="11">
        <f>SUMIFS(TableDailySummary[Costo de ventas registrado],TableDailySummary[Fecha],"&gt;="&amp;TableWeeklySummary[[#This Row],[Desde]],TableDailySummary[Fecha],"&lt;="&amp;TableWeeklySummary[[#This Row],[Hasta]])</f>
        <v>0</v>
      </c>
      <c r="AK134" s="11">
        <f>SUMIFS(TableDailySummary[Utilidad bruta],TableDailySummary[Fecha],"&gt;="&amp;TableWeeklySummary[[#This Row],[Desde]],TableDailySummary[Fecha],"&lt;="&amp;TableWeeklySummary[[#This Row],[Hasta]])</f>
        <v>0</v>
      </c>
      <c r="AL134" s="18">
        <f>IFERROR(TableWeeklySummary[[#This Row],[Utilidad bruta]]/TableWeeklySummary[[#This Row],[Ventas netas con costo registrado]],0)</f>
        <v>0</v>
      </c>
    </row>
    <row r="135" spans="2:38" x14ac:dyDescent="0.2">
      <c r="B135" s="16">
        <f>_xlfn.ISOWEEKNUM(TableWeeklySummary[[#This Row],[Hasta]])</f>
        <v>20</v>
      </c>
      <c r="C135" s="6">
        <f t="shared" si="4"/>
        <v>45422</v>
      </c>
      <c r="D135" s="6">
        <f>TableWeeklySummary[[#This Row],[Desde]]+7-1</f>
        <v>45428</v>
      </c>
      <c r="E135" s="11">
        <f>SUMIFS(TableDailySummary[Ventas netas totales],TableDailySummary[Fecha],"&gt;="&amp;TableWeeklySummary[[#This Row],[Desde]],TableDailySummary[Fecha],"&lt;="&amp;TableWeeklySummary[[#This Row],[Hasta]])</f>
        <v>0</v>
      </c>
      <c r="F135" s="11">
        <f>SUMIFS(TableDailySummary[Órdenes totales],TableDailySummary[Fecha],"&gt;="&amp;TableWeeklySummary[[#This Row],[Desde]],TableDailySummary[Fecha],"&lt;="&amp;TableWeeklySummary[[#This Row],[Hasta]])</f>
        <v>0</v>
      </c>
      <c r="G135" s="11">
        <f>IFERROR(TableWeeklySummary[[#This Row],[Ventas netas totales]]/TableWeeklySummary[[#This Row],[Órdenes totales]],0)</f>
        <v>0</v>
      </c>
      <c r="H13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5" s="11">
        <f>TableWeeklySummary[[#This Row],[Órden promedio totales]]*TableWeeklySummary[[#This Row],[CR totales]]</f>
        <v>0</v>
      </c>
      <c r="J135" s="11">
        <f>SUMIFS(TableDailySummary[Ventas primer cliente],TableDailySummary[Fecha],"&gt;="&amp;TableWeeklySummary[[#This Row],[Desde]],TableDailySummary[Fecha],"&lt;="&amp;TableWeeklySummary[[#This Row],[Hasta]])</f>
        <v>0</v>
      </c>
      <c r="K135" s="11">
        <f>SUMIFS(TableDailySummary[Órdenes primer cliente],TableDailySummary[Fecha],"&gt;="&amp;TableWeeklySummary[[#This Row],[Desde]],TableDailySummary[Fecha],"&lt;="&amp;TableWeeklySummary[[#This Row],[Hasta]])</f>
        <v>0</v>
      </c>
      <c r="L135" s="11">
        <f>SUMIFS(TableDailySummary[Online Store_net_sales],TableDailySummary[Fecha],"&gt;="&amp;TableWeeklySummary[[#This Row],[Desde]],TableDailySummary[Fecha],"&lt;="&amp;TableWeeklySummary[[#This Row],[Hasta]])</f>
        <v>0</v>
      </c>
      <c r="M135" s="11">
        <f>SUMIFS(TableDailySummary[Online Store_orders],TableDailySummary[Fecha],"&gt;="&amp;TableWeeklySummary[[#This Row],[Desde]],TableDailySummary[Fecha],"&lt;="&amp;TableWeeklySummary[[#This Row],[Hasta]])</f>
        <v>0</v>
      </c>
      <c r="N135" s="11">
        <f>SUMIFS(TableDailySummary[Tienda 81_net_sales],TableDailySummary[Fecha],"&gt;="&amp;TableWeeklySummary[[#This Row],[Desde]],TableDailySummary[Fecha],"&lt;="&amp;TableWeeklySummary[[#This Row],[Hasta]])</f>
        <v>0</v>
      </c>
      <c r="O135" s="11">
        <f>SUMIFS(TableDailySummary[Tienda 81_orders],TableDailySummary[Fecha],"&gt;="&amp;TableWeeklySummary[[#This Row],[Desde]],TableDailySummary[Fecha],"&lt;="&amp;TableWeeklySummary[[#This Row],[Hasta]])</f>
        <v>0</v>
      </c>
      <c r="P135" s="11">
        <f>SUMIFS(TableDailySummary[Rappi_net_sales],TableDailySummary[Fecha],"&gt;="&amp;TableWeeklySummary[[#This Row],[Desde]],TableDailySummary[Fecha],"&lt;="&amp;TableWeeklySummary[[#This Row],[Hasta]])</f>
        <v>0</v>
      </c>
      <c r="Q135" s="11">
        <f>SUMIFS(TableDailySummary[Rappi_orders],TableDailySummary[Fecha],"&gt;="&amp;TableWeeklySummary[[#This Row],[Desde]],TableDailySummary[Fecha],"&lt;="&amp;TableWeeklySummary[[#This Row],[Hasta]])</f>
        <v>0</v>
      </c>
      <c r="R13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5" s="11">
        <f>SUMIFS(TableDailySummary[Corporativo no tienda_orders],TableDailySummary[Fecha],"&gt;="&amp;TableWeeklySummary[[#This Row],[Desde]],TableDailySummary[Fecha],"&lt;="&amp;TableWeeklySummary[[#This Row],[Hasta]])</f>
        <v>0</v>
      </c>
      <c r="T135" s="11">
        <f>SUMIFS(TableDailySummary[Inversión google ads],TableDailySummary[Fecha],"&gt;="&amp;TableWeeklySummary[[#This Row],[Desde]],TableDailySummary[Fecha],"&lt;="&amp;TableWeeklySummary[[#This Row],[Hasta]])</f>
        <v>0</v>
      </c>
      <c r="U135" s="11">
        <f>SUMIFS(TableDailySummary[Ventas google ads],TableDailySummary[Fecha],"&gt;="&amp;TableWeeklySummary[[#This Row],[Desde]],TableDailySummary[Fecha],"&lt;="&amp;TableWeeklySummary[[#This Row],[Hasta]])</f>
        <v>0</v>
      </c>
      <c r="V135" s="11">
        <f>SUMIFS(TableDailySummary[Inversión meta ads],TableDailySummary[Fecha],"&gt;="&amp;TableWeeklySummary[[#This Row],[Desde]],TableDailySummary[Fecha],"&lt;="&amp;TableWeeklySummary[[#This Row],[Hasta]])</f>
        <v>0</v>
      </c>
      <c r="W135" s="11">
        <f>SUMIFS(TableDailySummary[Ventas meta ads],TableDailySummary[Fecha],"&gt;="&amp;TableWeeklySummary[[#This Row],[Desde]],TableDailySummary[Fecha],"&lt;="&amp;TableWeeklySummary[[#This Row],[Hasta]])</f>
        <v>0</v>
      </c>
      <c r="X135" s="11">
        <f>TableWeeklySummary[[#This Row],[Inversión google ads]]+TableWeeklySummary[[#This Row],[Inversión meta ads]]</f>
        <v>0</v>
      </c>
      <c r="Y135" s="11">
        <f>TableWeeklySummary[[#This Row],[Ventas google ads]]+TableWeeklySummary[[#This Row],[Ventas meta ads]]</f>
        <v>0</v>
      </c>
      <c r="Z135" s="14">
        <f>IFERROR(TableWeeklySummary[[#This Row],[Ventas publicidad]]/TableWeeklySummary[[#This Row],[Inversión publicidad]],0)</f>
        <v>0</v>
      </c>
      <c r="AA135" s="14">
        <f>IFERROR(TableWeeklySummary[[#This Row],[Ventas primer cliente]]/TableWeeklySummary[[#This Row],[Inversión publicidad]],0)</f>
        <v>0</v>
      </c>
      <c r="AB135" s="14"/>
      <c r="AC135" s="11"/>
      <c r="AI13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5" s="11">
        <f>SUMIFS(TableDailySummary[Costo de ventas registrado],TableDailySummary[Fecha],"&gt;="&amp;TableWeeklySummary[[#This Row],[Desde]],TableDailySummary[Fecha],"&lt;="&amp;TableWeeklySummary[[#This Row],[Hasta]])</f>
        <v>0</v>
      </c>
      <c r="AK135" s="11">
        <f>SUMIFS(TableDailySummary[Utilidad bruta],TableDailySummary[Fecha],"&gt;="&amp;TableWeeklySummary[[#This Row],[Desde]],TableDailySummary[Fecha],"&lt;="&amp;TableWeeklySummary[[#This Row],[Hasta]])</f>
        <v>0</v>
      </c>
      <c r="AL135" s="18">
        <f>IFERROR(TableWeeklySummary[[#This Row],[Utilidad bruta]]/TableWeeklySummary[[#This Row],[Ventas netas con costo registrado]],0)</f>
        <v>0</v>
      </c>
    </row>
    <row r="136" spans="2:38" x14ac:dyDescent="0.2">
      <c r="B136" s="16">
        <f>_xlfn.ISOWEEKNUM(TableWeeklySummary[[#This Row],[Hasta]])</f>
        <v>21</v>
      </c>
      <c r="C136" s="6">
        <f t="shared" si="4"/>
        <v>45429</v>
      </c>
      <c r="D136" s="6">
        <f>TableWeeklySummary[[#This Row],[Desde]]+7-1</f>
        <v>45435</v>
      </c>
      <c r="E136" s="11">
        <f>SUMIFS(TableDailySummary[Ventas netas totales],TableDailySummary[Fecha],"&gt;="&amp;TableWeeklySummary[[#This Row],[Desde]],TableDailySummary[Fecha],"&lt;="&amp;TableWeeklySummary[[#This Row],[Hasta]])</f>
        <v>0</v>
      </c>
      <c r="F136" s="11">
        <f>SUMIFS(TableDailySummary[Órdenes totales],TableDailySummary[Fecha],"&gt;="&amp;TableWeeklySummary[[#This Row],[Desde]],TableDailySummary[Fecha],"&lt;="&amp;TableWeeklySummary[[#This Row],[Hasta]])</f>
        <v>0</v>
      </c>
      <c r="G136" s="11">
        <f>IFERROR(TableWeeklySummary[[#This Row],[Ventas netas totales]]/TableWeeklySummary[[#This Row],[Órdenes totales]],0)</f>
        <v>0</v>
      </c>
      <c r="H13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6" s="11">
        <f>TableWeeklySummary[[#This Row],[Órden promedio totales]]*TableWeeklySummary[[#This Row],[CR totales]]</f>
        <v>0</v>
      </c>
      <c r="J136" s="11">
        <f>SUMIFS(TableDailySummary[Ventas primer cliente],TableDailySummary[Fecha],"&gt;="&amp;TableWeeklySummary[[#This Row],[Desde]],TableDailySummary[Fecha],"&lt;="&amp;TableWeeklySummary[[#This Row],[Hasta]])</f>
        <v>0</v>
      </c>
      <c r="K136" s="11">
        <f>SUMIFS(TableDailySummary[Órdenes primer cliente],TableDailySummary[Fecha],"&gt;="&amp;TableWeeklySummary[[#This Row],[Desde]],TableDailySummary[Fecha],"&lt;="&amp;TableWeeklySummary[[#This Row],[Hasta]])</f>
        <v>0</v>
      </c>
      <c r="L136" s="11">
        <f>SUMIFS(TableDailySummary[Online Store_net_sales],TableDailySummary[Fecha],"&gt;="&amp;TableWeeklySummary[[#This Row],[Desde]],TableDailySummary[Fecha],"&lt;="&amp;TableWeeklySummary[[#This Row],[Hasta]])</f>
        <v>0</v>
      </c>
      <c r="M136" s="11">
        <f>SUMIFS(TableDailySummary[Online Store_orders],TableDailySummary[Fecha],"&gt;="&amp;TableWeeklySummary[[#This Row],[Desde]],TableDailySummary[Fecha],"&lt;="&amp;TableWeeklySummary[[#This Row],[Hasta]])</f>
        <v>0</v>
      </c>
      <c r="N136" s="11">
        <f>SUMIFS(TableDailySummary[Tienda 81_net_sales],TableDailySummary[Fecha],"&gt;="&amp;TableWeeklySummary[[#This Row],[Desde]],TableDailySummary[Fecha],"&lt;="&amp;TableWeeklySummary[[#This Row],[Hasta]])</f>
        <v>0</v>
      </c>
      <c r="O136" s="11">
        <f>SUMIFS(TableDailySummary[Tienda 81_orders],TableDailySummary[Fecha],"&gt;="&amp;TableWeeklySummary[[#This Row],[Desde]],TableDailySummary[Fecha],"&lt;="&amp;TableWeeklySummary[[#This Row],[Hasta]])</f>
        <v>0</v>
      </c>
      <c r="P136" s="11">
        <f>SUMIFS(TableDailySummary[Rappi_net_sales],TableDailySummary[Fecha],"&gt;="&amp;TableWeeklySummary[[#This Row],[Desde]],TableDailySummary[Fecha],"&lt;="&amp;TableWeeklySummary[[#This Row],[Hasta]])</f>
        <v>0</v>
      </c>
      <c r="Q136" s="11">
        <f>SUMIFS(TableDailySummary[Rappi_orders],TableDailySummary[Fecha],"&gt;="&amp;TableWeeklySummary[[#This Row],[Desde]],TableDailySummary[Fecha],"&lt;="&amp;TableWeeklySummary[[#This Row],[Hasta]])</f>
        <v>0</v>
      </c>
      <c r="R13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6" s="11">
        <f>SUMIFS(TableDailySummary[Corporativo no tienda_orders],TableDailySummary[Fecha],"&gt;="&amp;TableWeeklySummary[[#This Row],[Desde]],TableDailySummary[Fecha],"&lt;="&amp;TableWeeklySummary[[#This Row],[Hasta]])</f>
        <v>0</v>
      </c>
      <c r="T136" s="11">
        <f>SUMIFS(TableDailySummary[Inversión google ads],TableDailySummary[Fecha],"&gt;="&amp;TableWeeklySummary[[#This Row],[Desde]],TableDailySummary[Fecha],"&lt;="&amp;TableWeeklySummary[[#This Row],[Hasta]])</f>
        <v>0</v>
      </c>
      <c r="U136" s="11">
        <f>SUMIFS(TableDailySummary[Ventas google ads],TableDailySummary[Fecha],"&gt;="&amp;TableWeeklySummary[[#This Row],[Desde]],TableDailySummary[Fecha],"&lt;="&amp;TableWeeklySummary[[#This Row],[Hasta]])</f>
        <v>0</v>
      </c>
      <c r="V136" s="11">
        <f>SUMIFS(TableDailySummary[Inversión meta ads],TableDailySummary[Fecha],"&gt;="&amp;TableWeeklySummary[[#This Row],[Desde]],TableDailySummary[Fecha],"&lt;="&amp;TableWeeklySummary[[#This Row],[Hasta]])</f>
        <v>0</v>
      </c>
      <c r="W136" s="11">
        <f>SUMIFS(TableDailySummary[Ventas meta ads],TableDailySummary[Fecha],"&gt;="&amp;TableWeeklySummary[[#This Row],[Desde]],TableDailySummary[Fecha],"&lt;="&amp;TableWeeklySummary[[#This Row],[Hasta]])</f>
        <v>0</v>
      </c>
      <c r="X136" s="11">
        <f>TableWeeklySummary[[#This Row],[Inversión google ads]]+TableWeeklySummary[[#This Row],[Inversión meta ads]]</f>
        <v>0</v>
      </c>
      <c r="Y136" s="11">
        <f>TableWeeklySummary[[#This Row],[Ventas google ads]]+TableWeeklySummary[[#This Row],[Ventas meta ads]]</f>
        <v>0</v>
      </c>
      <c r="Z136" s="14">
        <f>IFERROR(TableWeeklySummary[[#This Row],[Ventas publicidad]]/TableWeeklySummary[[#This Row],[Inversión publicidad]],0)</f>
        <v>0</v>
      </c>
      <c r="AA136" s="14">
        <f>IFERROR(TableWeeklySummary[[#This Row],[Ventas primer cliente]]/TableWeeklySummary[[#This Row],[Inversión publicidad]],0)</f>
        <v>0</v>
      </c>
      <c r="AB136" s="14"/>
      <c r="AC136" s="11"/>
      <c r="AI13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6" s="11">
        <f>SUMIFS(TableDailySummary[Costo de ventas registrado],TableDailySummary[Fecha],"&gt;="&amp;TableWeeklySummary[[#This Row],[Desde]],TableDailySummary[Fecha],"&lt;="&amp;TableWeeklySummary[[#This Row],[Hasta]])</f>
        <v>0</v>
      </c>
      <c r="AK136" s="11">
        <f>SUMIFS(TableDailySummary[Utilidad bruta],TableDailySummary[Fecha],"&gt;="&amp;TableWeeklySummary[[#This Row],[Desde]],TableDailySummary[Fecha],"&lt;="&amp;TableWeeklySummary[[#This Row],[Hasta]])</f>
        <v>0</v>
      </c>
      <c r="AL136" s="18">
        <f>IFERROR(TableWeeklySummary[[#This Row],[Utilidad bruta]]/TableWeeklySummary[[#This Row],[Ventas netas con costo registrado]],0)</f>
        <v>0</v>
      </c>
    </row>
    <row r="137" spans="2:38" x14ac:dyDescent="0.2">
      <c r="B137" s="16">
        <f>_xlfn.ISOWEEKNUM(TableWeeklySummary[[#This Row],[Hasta]])</f>
        <v>22</v>
      </c>
      <c r="C137" s="6">
        <f t="shared" si="4"/>
        <v>45436</v>
      </c>
      <c r="D137" s="6">
        <f>TableWeeklySummary[[#This Row],[Desde]]+7-1</f>
        <v>45442</v>
      </c>
      <c r="E137" s="11">
        <f>SUMIFS(TableDailySummary[Ventas netas totales],TableDailySummary[Fecha],"&gt;="&amp;TableWeeklySummary[[#This Row],[Desde]],TableDailySummary[Fecha],"&lt;="&amp;TableWeeklySummary[[#This Row],[Hasta]])</f>
        <v>0</v>
      </c>
      <c r="F137" s="11">
        <f>SUMIFS(TableDailySummary[Órdenes totales],TableDailySummary[Fecha],"&gt;="&amp;TableWeeklySummary[[#This Row],[Desde]],TableDailySummary[Fecha],"&lt;="&amp;TableWeeklySummary[[#This Row],[Hasta]])</f>
        <v>0</v>
      </c>
      <c r="G137" s="11">
        <f>IFERROR(TableWeeklySummary[[#This Row],[Ventas netas totales]]/TableWeeklySummary[[#This Row],[Órdenes totales]],0)</f>
        <v>0</v>
      </c>
      <c r="H13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7" s="11">
        <f>TableWeeklySummary[[#This Row],[Órden promedio totales]]*TableWeeklySummary[[#This Row],[CR totales]]</f>
        <v>0</v>
      </c>
      <c r="J137" s="11">
        <f>SUMIFS(TableDailySummary[Ventas primer cliente],TableDailySummary[Fecha],"&gt;="&amp;TableWeeklySummary[[#This Row],[Desde]],TableDailySummary[Fecha],"&lt;="&amp;TableWeeklySummary[[#This Row],[Hasta]])</f>
        <v>0</v>
      </c>
      <c r="K137" s="11">
        <f>SUMIFS(TableDailySummary[Órdenes primer cliente],TableDailySummary[Fecha],"&gt;="&amp;TableWeeklySummary[[#This Row],[Desde]],TableDailySummary[Fecha],"&lt;="&amp;TableWeeklySummary[[#This Row],[Hasta]])</f>
        <v>0</v>
      </c>
      <c r="L137" s="11">
        <f>SUMIFS(TableDailySummary[Online Store_net_sales],TableDailySummary[Fecha],"&gt;="&amp;TableWeeklySummary[[#This Row],[Desde]],TableDailySummary[Fecha],"&lt;="&amp;TableWeeklySummary[[#This Row],[Hasta]])</f>
        <v>0</v>
      </c>
      <c r="M137" s="11">
        <f>SUMIFS(TableDailySummary[Online Store_orders],TableDailySummary[Fecha],"&gt;="&amp;TableWeeklySummary[[#This Row],[Desde]],TableDailySummary[Fecha],"&lt;="&amp;TableWeeklySummary[[#This Row],[Hasta]])</f>
        <v>0</v>
      </c>
      <c r="N137" s="11">
        <f>SUMIFS(TableDailySummary[Tienda 81_net_sales],TableDailySummary[Fecha],"&gt;="&amp;TableWeeklySummary[[#This Row],[Desde]],TableDailySummary[Fecha],"&lt;="&amp;TableWeeklySummary[[#This Row],[Hasta]])</f>
        <v>0</v>
      </c>
      <c r="O137" s="11">
        <f>SUMIFS(TableDailySummary[Tienda 81_orders],TableDailySummary[Fecha],"&gt;="&amp;TableWeeklySummary[[#This Row],[Desde]],TableDailySummary[Fecha],"&lt;="&amp;TableWeeklySummary[[#This Row],[Hasta]])</f>
        <v>0</v>
      </c>
      <c r="P137" s="11">
        <f>SUMIFS(TableDailySummary[Rappi_net_sales],TableDailySummary[Fecha],"&gt;="&amp;TableWeeklySummary[[#This Row],[Desde]],TableDailySummary[Fecha],"&lt;="&amp;TableWeeklySummary[[#This Row],[Hasta]])</f>
        <v>0</v>
      </c>
      <c r="Q137" s="11">
        <f>SUMIFS(TableDailySummary[Rappi_orders],TableDailySummary[Fecha],"&gt;="&amp;TableWeeklySummary[[#This Row],[Desde]],TableDailySummary[Fecha],"&lt;="&amp;TableWeeklySummary[[#This Row],[Hasta]])</f>
        <v>0</v>
      </c>
      <c r="R13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7" s="11">
        <f>SUMIFS(TableDailySummary[Corporativo no tienda_orders],TableDailySummary[Fecha],"&gt;="&amp;TableWeeklySummary[[#This Row],[Desde]],TableDailySummary[Fecha],"&lt;="&amp;TableWeeklySummary[[#This Row],[Hasta]])</f>
        <v>0</v>
      </c>
      <c r="T137" s="11">
        <f>SUMIFS(TableDailySummary[Inversión google ads],TableDailySummary[Fecha],"&gt;="&amp;TableWeeklySummary[[#This Row],[Desde]],TableDailySummary[Fecha],"&lt;="&amp;TableWeeklySummary[[#This Row],[Hasta]])</f>
        <v>0</v>
      </c>
      <c r="U137" s="11">
        <f>SUMIFS(TableDailySummary[Ventas google ads],TableDailySummary[Fecha],"&gt;="&amp;TableWeeklySummary[[#This Row],[Desde]],TableDailySummary[Fecha],"&lt;="&amp;TableWeeklySummary[[#This Row],[Hasta]])</f>
        <v>0</v>
      </c>
      <c r="V137" s="11">
        <f>SUMIFS(TableDailySummary[Inversión meta ads],TableDailySummary[Fecha],"&gt;="&amp;TableWeeklySummary[[#This Row],[Desde]],TableDailySummary[Fecha],"&lt;="&amp;TableWeeklySummary[[#This Row],[Hasta]])</f>
        <v>0</v>
      </c>
      <c r="W137" s="11">
        <f>SUMIFS(TableDailySummary[Ventas meta ads],TableDailySummary[Fecha],"&gt;="&amp;TableWeeklySummary[[#This Row],[Desde]],TableDailySummary[Fecha],"&lt;="&amp;TableWeeklySummary[[#This Row],[Hasta]])</f>
        <v>0</v>
      </c>
      <c r="X137" s="11">
        <f>TableWeeklySummary[[#This Row],[Inversión google ads]]+TableWeeklySummary[[#This Row],[Inversión meta ads]]</f>
        <v>0</v>
      </c>
      <c r="Y137" s="11">
        <f>TableWeeklySummary[[#This Row],[Ventas google ads]]+TableWeeklySummary[[#This Row],[Ventas meta ads]]</f>
        <v>0</v>
      </c>
      <c r="Z137" s="14">
        <f>IFERROR(TableWeeklySummary[[#This Row],[Ventas publicidad]]/TableWeeklySummary[[#This Row],[Inversión publicidad]],0)</f>
        <v>0</v>
      </c>
      <c r="AA137" s="14">
        <f>IFERROR(TableWeeklySummary[[#This Row],[Ventas primer cliente]]/TableWeeklySummary[[#This Row],[Inversión publicidad]],0)</f>
        <v>0</v>
      </c>
      <c r="AB137" s="14"/>
      <c r="AC137" s="11"/>
      <c r="AI13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7" s="11">
        <f>SUMIFS(TableDailySummary[Costo de ventas registrado],TableDailySummary[Fecha],"&gt;="&amp;TableWeeklySummary[[#This Row],[Desde]],TableDailySummary[Fecha],"&lt;="&amp;TableWeeklySummary[[#This Row],[Hasta]])</f>
        <v>0</v>
      </c>
      <c r="AK137" s="11">
        <f>SUMIFS(TableDailySummary[Utilidad bruta],TableDailySummary[Fecha],"&gt;="&amp;TableWeeklySummary[[#This Row],[Desde]],TableDailySummary[Fecha],"&lt;="&amp;TableWeeklySummary[[#This Row],[Hasta]])</f>
        <v>0</v>
      </c>
      <c r="AL137" s="18">
        <f>IFERROR(TableWeeklySummary[[#This Row],[Utilidad bruta]]/TableWeeklySummary[[#This Row],[Ventas netas con costo registrado]],0)</f>
        <v>0</v>
      </c>
    </row>
    <row r="138" spans="2:38" x14ac:dyDescent="0.2">
      <c r="B138" s="16">
        <f>_xlfn.ISOWEEKNUM(TableWeeklySummary[[#This Row],[Hasta]])</f>
        <v>23</v>
      </c>
      <c r="C138" s="6">
        <f t="shared" si="4"/>
        <v>45443</v>
      </c>
      <c r="D138" s="6">
        <f>TableWeeklySummary[[#This Row],[Desde]]+7-1</f>
        <v>45449</v>
      </c>
      <c r="E138" s="11">
        <f>SUMIFS(TableDailySummary[Ventas netas totales],TableDailySummary[Fecha],"&gt;="&amp;TableWeeklySummary[[#This Row],[Desde]],TableDailySummary[Fecha],"&lt;="&amp;TableWeeklySummary[[#This Row],[Hasta]])</f>
        <v>0</v>
      </c>
      <c r="F138" s="11">
        <f>SUMIFS(TableDailySummary[Órdenes totales],TableDailySummary[Fecha],"&gt;="&amp;TableWeeklySummary[[#This Row],[Desde]],TableDailySummary[Fecha],"&lt;="&amp;TableWeeklySummary[[#This Row],[Hasta]])</f>
        <v>0</v>
      </c>
      <c r="G138" s="11">
        <f>IFERROR(TableWeeklySummary[[#This Row],[Ventas netas totales]]/TableWeeklySummary[[#This Row],[Órdenes totales]],0)</f>
        <v>0</v>
      </c>
      <c r="H13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8" s="11">
        <f>TableWeeklySummary[[#This Row],[Órden promedio totales]]*TableWeeklySummary[[#This Row],[CR totales]]</f>
        <v>0</v>
      </c>
      <c r="J138" s="11">
        <f>SUMIFS(TableDailySummary[Ventas primer cliente],TableDailySummary[Fecha],"&gt;="&amp;TableWeeklySummary[[#This Row],[Desde]],TableDailySummary[Fecha],"&lt;="&amp;TableWeeklySummary[[#This Row],[Hasta]])</f>
        <v>0</v>
      </c>
      <c r="K138" s="11">
        <f>SUMIFS(TableDailySummary[Órdenes primer cliente],TableDailySummary[Fecha],"&gt;="&amp;TableWeeklySummary[[#This Row],[Desde]],TableDailySummary[Fecha],"&lt;="&amp;TableWeeklySummary[[#This Row],[Hasta]])</f>
        <v>0</v>
      </c>
      <c r="L138" s="11">
        <f>SUMIFS(TableDailySummary[Online Store_net_sales],TableDailySummary[Fecha],"&gt;="&amp;TableWeeklySummary[[#This Row],[Desde]],TableDailySummary[Fecha],"&lt;="&amp;TableWeeklySummary[[#This Row],[Hasta]])</f>
        <v>0</v>
      </c>
      <c r="M138" s="11">
        <f>SUMIFS(TableDailySummary[Online Store_orders],TableDailySummary[Fecha],"&gt;="&amp;TableWeeklySummary[[#This Row],[Desde]],TableDailySummary[Fecha],"&lt;="&amp;TableWeeklySummary[[#This Row],[Hasta]])</f>
        <v>0</v>
      </c>
      <c r="N138" s="11">
        <f>SUMIFS(TableDailySummary[Tienda 81_net_sales],TableDailySummary[Fecha],"&gt;="&amp;TableWeeklySummary[[#This Row],[Desde]],TableDailySummary[Fecha],"&lt;="&amp;TableWeeklySummary[[#This Row],[Hasta]])</f>
        <v>0</v>
      </c>
      <c r="O138" s="11">
        <f>SUMIFS(TableDailySummary[Tienda 81_orders],TableDailySummary[Fecha],"&gt;="&amp;TableWeeklySummary[[#This Row],[Desde]],TableDailySummary[Fecha],"&lt;="&amp;TableWeeklySummary[[#This Row],[Hasta]])</f>
        <v>0</v>
      </c>
      <c r="P138" s="11">
        <f>SUMIFS(TableDailySummary[Rappi_net_sales],TableDailySummary[Fecha],"&gt;="&amp;TableWeeklySummary[[#This Row],[Desde]],TableDailySummary[Fecha],"&lt;="&amp;TableWeeklySummary[[#This Row],[Hasta]])</f>
        <v>0</v>
      </c>
      <c r="Q138" s="11">
        <f>SUMIFS(TableDailySummary[Rappi_orders],TableDailySummary[Fecha],"&gt;="&amp;TableWeeklySummary[[#This Row],[Desde]],TableDailySummary[Fecha],"&lt;="&amp;TableWeeklySummary[[#This Row],[Hasta]])</f>
        <v>0</v>
      </c>
      <c r="R13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8" s="11">
        <f>SUMIFS(TableDailySummary[Corporativo no tienda_orders],TableDailySummary[Fecha],"&gt;="&amp;TableWeeklySummary[[#This Row],[Desde]],TableDailySummary[Fecha],"&lt;="&amp;TableWeeklySummary[[#This Row],[Hasta]])</f>
        <v>0</v>
      </c>
      <c r="T138" s="11">
        <f>SUMIFS(TableDailySummary[Inversión google ads],TableDailySummary[Fecha],"&gt;="&amp;TableWeeklySummary[[#This Row],[Desde]],TableDailySummary[Fecha],"&lt;="&amp;TableWeeklySummary[[#This Row],[Hasta]])</f>
        <v>0</v>
      </c>
      <c r="U138" s="11">
        <f>SUMIFS(TableDailySummary[Ventas google ads],TableDailySummary[Fecha],"&gt;="&amp;TableWeeklySummary[[#This Row],[Desde]],TableDailySummary[Fecha],"&lt;="&amp;TableWeeklySummary[[#This Row],[Hasta]])</f>
        <v>0</v>
      </c>
      <c r="V138" s="11">
        <f>SUMIFS(TableDailySummary[Inversión meta ads],TableDailySummary[Fecha],"&gt;="&amp;TableWeeklySummary[[#This Row],[Desde]],TableDailySummary[Fecha],"&lt;="&amp;TableWeeklySummary[[#This Row],[Hasta]])</f>
        <v>0</v>
      </c>
      <c r="W138" s="11">
        <f>SUMIFS(TableDailySummary[Ventas meta ads],TableDailySummary[Fecha],"&gt;="&amp;TableWeeklySummary[[#This Row],[Desde]],TableDailySummary[Fecha],"&lt;="&amp;TableWeeklySummary[[#This Row],[Hasta]])</f>
        <v>0</v>
      </c>
      <c r="X138" s="11">
        <f>TableWeeklySummary[[#This Row],[Inversión google ads]]+TableWeeklySummary[[#This Row],[Inversión meta ads]]</f>
        <v>0</v>
      </c>
      <c r="Y138" s="11">
        <f>TableWeeklySummary[[#This Row],[Ventas google ads]]+TableWeeklySummary[[#This Row],[Ventas meta ads]]</f>
        <v>0</v>
      </c>
      <c r="Z138" s="14">
        <f>IFERROR(TableWeeklySummary[[#This Row],[Ventas publicidad]]/TableWeeklySummary[[#This Row],[Inversión publicidad]],0)</f>
        <v>0</v>
      </c>
      <c r="AA138" s="14">
        <f>IFERROR(TableWeeklySummary[[#This Row],[Ventas primer cliente]]/TableWeeklySummary[[#This Row],[Inversión publicidad]],0)</f>
        <v>0</v>
      </c>
      <c r="AB138" s="14"/>
      <c r="AC138" s="11"/>
      <c r="AI13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8" s="11">
        <f>SUMIFS(TableDailySummary[Costo de ventas registrado],TableDailySummary[Fecha],"&gt;="&amp;TableWeeklySummary[[#This Row],[Desde]],TableDailySummary[Fecha],"&lt;="&amp;TableWeeklySummary[[#This Row],[Hasta]])</f>
        <v>0</v>
      </c>
      <c r="AK138" s="11">
        <f>SUMIFS(TableDailySummary[Utilidad bruta],TableDailySummary[Fecha],"&gt;="&amp;TableWeeklySummary[[#This Row],[Desde]],TableDailySummary[Fecha],"&lt;="&amp;TableWeeklySummary[[#This Row],[Hasta]])</f>
        <v>0</v>
      </c>
      <c r="AL138" s="18">
        <f>IFERROR(TableWeeklySummary[[#This Row],[Utilidad bruta]]/TableWeeklySummary[[#This Row],[Ventas netas con costo registrado]],0)</f>
        <v>0</v>
      </c>
    </row>
    <row r="139" spans="2:38" x14ac:dyDescent="0.2">
      <c r="B139" s="16">
        <f>_xlfn.ISOWEEKNUM(TableWeeklySummary[[#This Row],[Hasta]])</f>
        <v>24</v>
      </c>
      <c r="C139" s="6">
        <f t="shared" si="4"/>
        <v>45450</v>
      </c>
      <c r="D139" s="6">
        <f>TableWeeklySummary[[#This Row],[Desde]]+7-1</f>
        <v>45456</v>
      </c>
      <c r="E139" s="11">
        <f>SUMIFS(TableDailySummary[Ventas netas totales],TableDailySummary[Fecha],"&gt;="&amp;TableWeeklySummary[[#This Row],[Desde]],TableDailySummary[Fecha],"&lt;="&amp;TableWeeklySummary[[#This Row],[Hasta]])</f>
        <v>0</v>
      </c>
      <c r="F139" s="11">
        <f>SUMIFS(TableDailySummary[Órdenes totales],TableDailySummary[Fecha],"&gt;="&amp;TableWeeklySummary[[#This Row],[Desde]],TableDailySummary[Fecha],"&lt;="&amp;TableWeeklySummary[[#This Row],[Hasta]])</f>
        <v>0</v>
      </c>
      <c r="G139" s="11">
        <f>IFERROR(TableWeeklySummary[[#This Row],[Ventas netas totales]]/TableWeeklySummary[[#This Row],[Órdenes totales]],0)</f>
        <v>0</v>
      </c>
      <c r="H13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39" s="11">
        <f>TableWeeklySummary[[#This Row],[Órden promedio totales]]*TableWeeklySummary[[#This Row],[CR totales]]</f>
        <v>0</v>
      </c>
      <c r="J139" s="11">
        <f>SUMIFS(TableDailySummary[Ventas primer cliente],TableDailySummary[Fecha],"&gt;="&amp;TableWeeklySummary[[#This Row],[Desde]],TableDailySummary[Fecha],"&lt;="&amp;TableWeeklySummary[[#This Row],[Hasta]])</f>
        <v>0</v>
      </c>
      <c r="K139" s="11">
        <f>SUMIFS(TableDailySummary[Órdenes primer cliente],TableDailySummary[Fecha],"&gt;="&amp;TableWeeklySummary[[#This Row],[Desde]],TableDailySummary[Fecha],"&lt;="&amp;TableWeeklySummary[[#This Row],[Hasta]])</f>
        <v>0</v>
      </c>
      <c r="L139" s="11">
        <f>SUMIFS(TableDailySummary[Online Store_net_sales],TableDailySummary[Fecha],"&gt;="&amp;TableWeeklySummary[[#This Row],[Desde]],TableDailySummary[Fecha],"&lt;="&amp;TableWeeklySummary[[#This Row],[Hasta]])</f>
        <v>0</v>
      </c>
      <c r="M139" s="11">
        <f>SUMIFS(TableDailySummary[Online Store_orders],TableDailySummary[Fecha],"&gt;="&amp;TableWeeklySummary[[#This Row],[Desde]],TableDailySummary[Fecha],"&lt;="&amp;TableWeeklySummary[[#This Row],[Hasta]])</f>
        <v>0</v>
      </c>
      <c r="N139" s="11">
        <f>SUMIFS(TableDailySummary[Tienda 81_net_sales],TableDailySummary[Fecha],"&gt;="&amp;TableWeeklySummary[[#This Row],[Desde]],TableDailySummary[Fecha],"&lt;="&amp;TableWeeklySummary[[#This Row],[Hasta]])</f>
        <v>0</v>
      </c>
      <c r="O139" s="11">
        <f>SUMIFS(TableDailySummary[Tienda 81_orders],TableDailySummary[Fecha],"&gt;="&amp;TableWeeklySummary[[#This Row],[Desde]],TableDailySummary[Fecha],"&lt;="&amp;TableWeeklySummary[[#This Row],[Hasta]])</f>
        <v>0</v>
      </c>
      <c r="P139" s="11">
        <f>SUMIFS(TableDailySummary[Rappi_net_sales],TableDailySummary[Fecha],"&gt;="&amp;TableWeeklySummary[[#This Row],[Desde]],TableDailySummary[Fecha],"&lt;="&amp;TableWeeklySummary[[#This Row],[Hasta]])</f>
        <v>0</v>
      </c>
      <c r="Q139" s="11">
        <f>SUMIFS(TableDailySummary[Rappi_orders],TableDailySummary[Fecha],"&gt;="&amp;TableWeeklySummary[[#This Row],[Desde]],TableDailySummary[Fecha],"&lt;="&amp;TableWeeklySummary[[#This Row],[Hasta]])</f>
        <v>0</v>
      </c>
      <c r="R13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39" s="11">
        <f>SUMIFS(TableDailySummary[Corporativo no tienda_orders],TableDailySummary[Fecha],"&gt;="&amp;TableWeeklySummary[[#This Row],[Desde]],TableDailySummary[Fecha],"&lt;="&amp;TableWeeklySummary[[#This Row],[Hasta]])</f>
        <v>0</v>
      </c>
      <c r="T139" s="11">
        <f>SUMIFS(TableDailySummary[Inversión google ads],TableDailySummary[Fecha],"&gt;="&amp;TableWeeklySummary[[#This Row],[Desde]],TableDailySummary[Fecha],"&lt;="&amp;TableWeeklySummary[[#This Row],[Hasta]])</f>
        <v>0</v>
      </c>
      <c r="U139" s="11">
        <f>SUMIFS(TableDailySummary[Ventas google ads],TableDailySummary[Fecha],"&gt;="&amp;TableWeeklySummary[[#This Row],[Desde]],TableDailySummary[Fecha],"&lt;="&amp;TableWeeklySummary[[#This Row],[Hasta]])</f>
        <v>0</v>
      </c>
      <c r="V139" s="11">
        <f>SUMIFS(TableDailySummary[Inversión meta ads],TableDailySummary[Fecha],"&gt;="&amp;TableWeeklySummary[[#This Row],[Desde]],TableDailySummary[Fecha],"&lt;="&amp;TableWeeklySummary[[#This Row],[Hasta]])</f>
        <v>0</v>
      </c>
      <c r="W139" s="11">
        <f>SUMIFS(TableDailySummary[Ventas meta ads],TableDailySummary[Fecha],"&gt;="&amp;TableWeeklySummary[[#This Row],[Desde]],TableDailySummary[Fecha],"&lt;="&amp;TableWeeklySummary[[#This Row],[Hasta]])</f>
        <v>0</v>
      </c>
      <c r="X139" s="11">
        <f>TableWeeklySummary[[#This Row],[Inversión google ads]]+TableWeeklySummary[[#This Row],[Inversión meta ads]]</f>
        <v>0</v>
      </c>
      <c r="Y139" s="11">
        <f>TableWeeklySummary[[#This Row],[Ventas google ads]]+TableWeeklySummary[[#This Row],[Ventas meta ads]]</f>
        <v>0</v>
      </c>
      <c r="Z139" s="14">
        <f>IFERROR(TableWeeklySummary[[#This Row],[Ventas publicidad]]/TableWeeklySummary[[#This Row],[Inversión publicidad]],0)</f>
        <v>0</v>
      </c>
      <c r="AA139" s="14">
        <f>IFERROR(TableWeeklySummary[[#This Row],[Ventas primer cliente]]/TableWeeklySummary[[#This Row],[Inversión publicidad]],0)</f>
        <v>0</v>
      </c>
      <c r="AB139" s="14"/>
      <c r="AC139" s="11"/>
      <c r="AI13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39" s="11">
        <f>SUMIFS(TableDailySummary[Costo de ventas registrado],TableDailySummary[Fecha],"&gt;="&amp;TableWeeklySummary[[#This Row],[Desde]],TableDailySummary[Fecha],"&lt;="&amp;TableWeeklySummary[[#This Row],[Hasta]])</f>
        <v>0</v>
      </c>
      <c r="AK139" s="11">
        <f>SUMIFS(TableDailySummary[Utilidad bruta],TableDailySummary[Fecha],"&gt;="&amp;TableWeeklySummary[[#This Row],[Desde]],TableDailySummary[Fecha],"&lt;="&amp;TableWeeklySummary[[#This Row],[Hasta]])</f>
        <v>0</v>
      </c>
      <c r="AL139" s="18">
        <f>IFERROR(TableWeeklySummary[[#This Row],[Utilidad bruta]]/TableWeeklySummary[[#This Row],[Ventas netas con costo registrado]],0)</f>
        <v>0</v>
      </c>
    </row>
    <row r="140" spans="2:38" x14ac:dyDescent="0.2">
      <c r="B140" s="16">
        <f>_xlfn.ISOWEEKNUM(TableWeeklySummary[[#This Row],[Hasta]])</f>
        <v>25</v>
      </c>
      <c r="C140" s="6">
        <f t="shared" si="4"/>
        <v>45457</v>
      </c>
      <c r="D140" s="6">
        <f>TableWeeklySummary[[#This Row],[Desde]]+7-1</f>
        <v>45463</v>
      </c>
      <c r="E140" s="11">
        <f>SUMIFS(TableDailySummary[Ventas netas totales],TableDailySummary[Fecha],"&gt;="&amp;TableWeeklySummary[[#This Row],[Desde]],TableDailySummary[Fecha],"&lt;="&amp;TableWeeklySummary[[#This Row],[Hasta]])</f>
        <v>0</v>
      </c>
      <c r="F140" s="11">
        <f>SUMIFS(TableDailySummary[Órdenes totales],TableDailySummary[Fecha],"&gt;="&amp;TableWeeklySummary[[#This Row],[Desde]],TableDailySummary[Fecha],"&lt;="&amp;TableWeeklySummary[[#This Row],[Hasta]])</f>
        <v>0</v>
      </c>
      <c r="G140" s="11">
        <f>IFERROR(TableWeeklySummary[[#This Row],[Ventas netas totales]]/TableWeeklySummary[[#This Row],[Órdenes totales]],0)</f>
        <v>0</v>
      </c>
      <c r="H14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0" s="11">
        <f>TableWeeklySummary[[#This Row],[Órden promedio totales]]*TableWeeklySummary[[#This Row],[CR totales]]</f>
        <v>0</v>
      </c>
      <c r="J140" s="11">
        <f>SUMIFS(TableDailySummary[Ventas primer cliente],TableDailySummary[Fecha],"&gt;="&amp;TableWeeklySummary[[#This Row],[Desde]],TableDailySummary[Fecha],"&lt;="&amp;TableWeeklySummary[[#This Row],[Hasta]])</f>
        <v>0</v>
      </c>
      <c r="K140" s="11">
        <f>SUMIFS(TableDailySummary[Órdenes primer cliente],TableDailySummary[Fecha],"&gt;="&amp;TableWeeklySummary[[#This Row],[Desde]],TableDailySummary[Fecha],"&lt;="&amp;TableWeeklySummary[[#This Row],[Hasta]])</f>
        <v>0</v>
      </c>
      <c r="L140" s="11">
        <f>SUMIFS(TableDailySummary[Online Store_net_sales],TableDailySummary[Fecha],"&gt;="&amp;TableWeeklySummary[[#This Row],[Desde]],TableDailySummary[Fecha],"&lt;="&amp;TableWeeklySummary[[#This Row],[Hasta]])</f>
        <v>0</v>
      </c>
      <c r="M140" s="11">
        <f>SUMIFS(TableDailySummary[Online Store_orders],TableDailySummary[Fecha],"&gt;="&amp;TableWeeklySummary[[#This Row],[Desde]],TableDailySummary[Fecha],"&lt;="&amp;TableWeeklySummary[[#This Row],[Hasta]])</f>
        <v>0</v>
      </c>
      <c r="N140" s="11">
        <f>SUMIFS(TableDailySummary[Tienda 81_net_sales],TableDailySummary[Fecha],"&gt;="&amp;TableWeeklySummary[[#This Row],[Desde]],TableDailySummary[Fecha],"&lt;="&amp;TableWeeklySummary[[#This Row],[Hasta]])</f>
        <v>0</v>
      </c>
      <c r="O140" s="11">
        <f>SUMIFS(TableDailySummary[Tienda 81_orders],TableDailySummary[Fecha],"&gt;="&amp;TableWeeklySummary[[#This Row],[Desde]],TableDailySummary[Fecha],"&lt;="&amp;TableWeeklySummary[[#This Row],[Hasta]])</f>
        <v>0</v>
      </c>
      <c r="P140" s="11">
        <f>SUMIFS(TableDailySummary[Rappi_net_sales],TableDailySummary[Fecha],"&gt;="&amp;TableWeeklySummary[[#This Row],[Desde]],TableDailySummary[Fecha],"&lt;="&amp;TableWeeklySummary[[#This Row],[Hasta]])</f>
        <v>0</v>
      </c>
      <c r="Q140" s="11">
        <f>SUMIFS(TableDailySummary[Rappi_orders],TableDailySummary[Fecha],"&gt;="&amp;TableWeeklySummary[[#This Row],[Desde]],TableDailySummary[Fecha],"&lt;="&amp;TableWeeklySummary[[#This Row],[Hasta]])</f>
        <v>0</v>
      </c>
      <c r="R14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0" s="11">
        <f>SUMIFS(TableDailySummary[Corporativo no tienda_orders],TableDailySummary[Fecha],"&gt;="&amp;TableWeeklySummary[[#This Row],[Desde]],TableDailySummary[Fecha],"&lt;="&amp;TableWeeklySummary[[#This Row],[Hasta]])</f>
        <v>0</v>
      </c>
      <c r="T140" s="11">
        <f>SUMIFS(TableDailySummary[Inversión google ads],TableDailySummary[Fecha],"&gt;="&amp;TableWeeklySummary[[#This Row],[Desde]],TableDailySummary[Fecha],"&lt;="&amp;TableWeeklySummary[[#This Row],[Hasta]])</f>
        <v>0</v>
      </c>
      <c r="U140" s="11">
        <f>SUMIFS(TableDailySummary[Ventas google ads],TableDailySummary[Fecha],"&gt;="&amp;TableWeeklySummary[[#This Row],[Desde]],TableDailySummary[Fecha],"&lt;="&amp;TableWeeklySummary[[#This Row],[Hasta]])</f>
        <v>0</v>
      </c>
      <c r="V140" s="11">
        <f>SUMIFS(TableDailySummary[Inversión meta ads],TableDailySummary[Fecha],"&gt;="&amp;TableWeeklySummary[[#This Row],[Desde]],TableDailySummary[Fecha],"&lt;="&amp;TableWeeklySummary[[#This Row],[Hasta]])</f>
        <v>0</v>
      </c>
      <c r="W140" s="11">
        <f>SUMIFS(TableDailySummary[Ventas meta ads],TableDailySummary[Fecha],"&gt;="&amp;TableWeeklySummary[[#This Row],[Desde]],TableDailySummary[Fecha],"&lt;="&amp;TableWeeklySummary[[#This Row],[Hasta]])</f>
        <v>0</v>
      </c>
      <c r="X140" s="11">
        <f>TableWeeklySummary[[#This Row],[Inversión google ads]]+TableWeeklySummary[[#This Row],[Inversión meta ads]]</f>
        <v>0</v>
      </c>
      <c r="Y140" s="11">
        <f>TableWeeklySummary[[#This Row],[Ventas google ads]]+TableWeeklySummary[[#This Row],[Ventas meta ads]]</f>
        <v>0</v>
      </c>
      <c r="Z140" s="14">
        <f>IFERROR(TableWeeklySummary[[#This Row],[Ventas publicidad]]/TableWeeklySummary[[#This Row],[Inversión publicidad]],0)</f>
        <v>0</v>
      </c>
      <c r="AA140" s="14">
        <f>IFERROR(TableWeeklySummary[[#This Row],[Ventas primer cliente]]/TableWeeklySummary[[#This Row],[Inversión publicidad]],0)</f>
        <v>0</v>
      </c>
      <c r="AB140" s="14"/>
      <c r="AC140" s="11"/>
      <c r="AI14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0" s="11">
        <f>SUMIFS(TableDailySummary[Costo de ventas registrado],TableDailySummary[Fecha],"&gt;="&amp;TableWeeklySummary[[#This Row],[Desde]],TableDailySummary[Fecha],"&lt;="&amp;TableWeeklySummary[[#This Row],[Hasta]])</f>
        <v>0</v>
      </c>
      <c r="AK140" s="11">
        <f>SUMIFS(TableDailySummary[Utilidad bruta],TableDailySummary[Fecha],"&gt;="&amp;TableWeeklySummary[[#This Row],[Desde]],TableDailySummary[Fecha],"&lt;="&amp;TableWeeklySummary[[#This Row],[Hasta]])</f>
        <v>0</v>
      </c>
      <c r="AL140" s="18">
        <f>IFERROR(TableWeeklySummary[[#This Row],[Utilidad bruta]]/TableWeeklySummary[[#This Row],[Ventas netas con costo registrado]],0)</f>
        <v>0</v>
      </c>
    </row>
    <row r="141" spans="2:38" x14ac:dyDescent="0.2">
      <c r="B141" s="16">
        <f>_xlfn.ISOWEEKNUM(TableWeeklySummary[[#This Row],[Hasta]])</f>
        <v>26</v>
      </c>
      <c r="C141" s="6">
        <f t="shared" si="4"/>
        <v>45464</v>
      </c>
      <c r="D141" s="6">
        <f>TableWeeklySummary[[#This Row],[Desde]]+7-1</f>
        <v>45470</v>
      </c>
      <c r="E141" s="11">
        <f>SUMIFS(TableDailySummary[Ventas netas totales],TableDailySummary[Fecha],"&gt;="&amp;TableWeeklySummary[[#This Row],[Desde]],TableDailySummary[Fecha],"&lt;="&amp;TableWeeklySummary[[#This Row],[Hasta]])</f>
        <v>0</v>
      </c>
      <c r="F141" s="11">
        <f>SUMIFS(TableDailySummary[Órdenes totales],TableDailySummary[Fecha],"&gt;="&amp;TableWeeklySummary[[#This Row],[Desde]],TableDailySummary[Fecha],"&lt;="&amp;TableWeeklySummary[[#This Row],[Hasta]])</f>
        <v>0</v>
      </c>
      <c r="G141" s="11">
        <f>IFERROR(TableWeeklySummary[[#This Row],[Ventas netas totales]]/TableWeeklySummary[[#This Row],[Órdenes totales]],0)</f>
        <v>0</v>
      </c>
      <c r="H14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1" s="11">
        <f>TableWeeklySummary[[#This Row],[Órden promedio totales]]*TableWeeklySummary[[#This Row],[CR totales]]</f>
        <v>0</v>
      </c>
      <c r="J141" s="11">
        <f>SUMIFS(TableDailySummary[Ventas primer cliente],TableDailySummary[Fecha],"&gt;="&amp;TableWeeklySummary[[#This Row],[Desde]],TableDailySummary[Fecha],"&lt;="&amp;TableWeeklySummary[[#This Row],[Hasta]])</f>
        <v>0</v>
      </c>
      <c r="K141" s="11">
        <f>SUMIFS(TableDailySummary[Órdenes primer cliente],TableDailySummary[Fecha],"&gt;="&amp;TableWeeklySummary[[#This Row],[Desde]],TableDailySummary[Fecha],"&lt;="&amp;TableWeeklySummary[[#This Row],[Hasta]])</f>
        <v>0</v>
      </c>
      <c r="L141" s="11">
        <f>SUMIFS(TableDailySummary[Online Store_net_sales],TableDailySummary[Fecha],"&gt;="&amp;TableWeeklySummary[[#This Row],[Desde]],TableDailySummary[Fecha],"&lt;="&amp;TableWeeklySummary[[#This Row],[Hasta]])</f>
        <v>0</v>
      </c>
      <c r="M141" s="11">
        <f>SUMIFS(TableDailySummary[Online Store_orders],TableDailySummary[Fecha],"&gt;="&amp;TableWeeklySummary[[#This Row],[Desde]],TableDailySummary[Fecha],"&lt;="&amp;TableWeeklySummary[[#This Row],[Hasta]])</f>
        <v>0</v>
      </c>
      <c r="N141" s="11">
        <f>SUMIFS(TableDailySummary[Tienda 81_net_sales],TableDailySummary[Fecha],"&gt;="&amp;TableWeeklySummary[[#This Row],[Desde]],TableDailySummary[Fecha],"&lt;="&amp;TableWeeklySummary[[#This Row],[Hasta]])</f>
        <v>0</v>
      </c>
      <c r="O141" s="11">
        <f>SUMIFS(TableDailySummary[Tienda 81_orders],TableDailySummary[Fecha],"&gt;="&amp;TableWeeklySummary[[#This Row],[Desde]],TableDailySummary[Fecha],"&lt;="&amp;TableWeeklySummary[[#This Row],[Hasta]])</f>
        <v>0</v>
      </c>
      <c r="P141" s="11">
        <f>SUMIFS(TableDailySummary[Rappi_net_sales],TableDailySummary[Fecha],"&gt;="&amp;TableWeeklySummary[[#This Row],[Desde]],TableDailySummary[Fecha],"&lt;="&amp;TableWeeklySummary[[#This Row],[Hasta]])</f>
        <v>0</v>
      </c>
      <c r="Q141" s="11">
        <f>SUMIFS(TableDailySummary[Rappi_orders],TableDailySummary[Fecha],"&gt;="&amp;TableWeeklySummary[[#This Row],[Desde]],TableDailySummary[Fecha],"&lt;="&amp;TableWeeklySummary[[#This Row],[Hasta]])</f>
        <v>0</v>
      </c>
      <c r="R14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1" s="11">
        <f>SUMIFS(TableDailySummary[Corporativo no tienda_orders],TableDailySummary[Fecha],"&gt;="&amp;TableWeeklySummary[[#This Row],[Desde]],TableDailySummary[Fecha],"&lt;="&amp;TableWeeklySummary[[#This Row],[Hasta]])</f>
        <v>0</v>
      </c>
      <c r="T141" s="11">
        <f>SUMIFS(TableDailySummary[Inversión google ads],TableDailySummary[Fecha],"&gt;="&amp;TableWeeklySummary[[#This Row],[Desde]],TableDailySummary[Fecha],"&lt;="&amp;TableWeeklySummary[[#This Row],[Hasta]])</f>
        <v>0</v>
      </c>
      <c r="U141" s="11">
        <f>SUMIFS(TableDailySummary[Ventas google ads],TableDailySummary[Fecha],"&gt;="&amp;TableWeeklySummary[[#This Row],[Desde]],TableDailySummary[Fecha],"&lt;="&amp;TableWeeklySummary[[#This Row],[Hasta]])</f>
        <v>0</v>
      </c>
      <c r="V141" s="11">
        <f>SUMIFS(TableDailySummary[Inversión meta ads],TableDailySummary[Fecha],"&gt;="&amp;TableWeeklySummary[[#This Row],[Desde]],TableDailySummary[Fecha],"&lt;="&amp;TableWeeklySummary[[#This Row],[Hasta]])</f>
        <v>0</v>
      </c>
      <c r="W141" s="11">
        <f>SUMIFS(TableDailySummary[Ventas meta ads],TableDailySummary[Fecha],"&gt;="&amp;TableWeeklySummary[[#This Row],[Desde]],TableDailySummary[Fecha],"&lt;="&amp;TableWeeklySummary[[#This Row],[Hasta]])</f>
        <v>0</v>
      </c>
      <c r="X141" s="11">
        <f>TableWeeklySummary[[#This Row],[Inversión google ads]]+TableWeeklySummary[[#This Row],[Inversión meta ads]]</f>
        <v>0</v>
      </c>
      <c r="Y141" s="11">
        <f>TableWeeklySummary[[#This Row],[Ventas google ads]]+TableWeeklySummary[[#This Row],[Ventas meta ads]]</f>
        <v>0</v>
      </c>
      <c r="Z141" s="14">
        <f>IFERROR(TableWeeklySummary[[#This Row],[Ventas publicidad]]/TableWeeklySummary[[#This Row],[Inversión publicidad]],0)</f>
        <v>0</v>
      </c>
      <c r="AA141" s="14">
        <f>IFERROR(TableWeeklySummary[[#This Row],[Ventas primer cliente]]/TableWeeklySummary[[#This Row],[Inversión publicidad]],0)</f>
        <v>0</v>
      </c>
      <c r="AB141" s="14"/>
      <c r="AC141" s="11"/>
      <c r="AI14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1" s="11">
        <f>SUMIFS(TableDailySummary[Costo de ventas registrado],TableDailySummary[Fecha],"&gt;="&amp;TableWeeklySummary[[#This Row],[Desde]],TableDailySummary[Fecha],"&lt;="&amp;TableWeeklySummary[[#This Row],[Hasta]])</f>
        <v>0</v>
      </c>
      <c r="AK141" s="11">
        <f>SUMIFS(TableDailySummary[Utilidad bruta],TableDailySummary[Fecha],"&gt;="&amp;TableWeeklySummary[[#This Row],[Desde]],TableDailySummary[Fecha],"&lt;="&amp;TableWeeklySummary[[#This Row],[Hasta]])</f>
        <v>0</v>
      </c>
      <c r="AL141" s="18">
        <f>IFERROR(TableWeeklySummary[[#This Row],[Utilidad bruta]]/TableWeeklySummary[[#This Row],[Ventas netas con costo registrado]],0)</f>
        <v>0</v>
      </c>
    </row>
    <row r="142" spans="2:38" x14ac:dyDescent="0.2">
      <c r="B142" s="16">
        <f>_xlfn.ISOWEEKNUM(TableWeeklySummary[[#This Row],[Hasta]])</f>
        <v>27</v>
      </c>
      <c r="C142" s="6">
        <f t="shared" si="4"/>
        <v>45471</v>
      </c>
      <c r="D142" s="6">
        <f>TableWeeklySummary[[#This Row],[Desde]]+7-1</f>
        <v>45477</v>
      </c>
      <c r="E142" s="11">
        <f>SUMIFS(TableDailySummary[Ventas netas totales],TableDailySummary[Fecha],"&gt;="&amp;TableWeeklySummary[[#This Row],[Desde]],TableDailySummary[Fecha],"&lt;="&amp;TableWeeklySummary[[#This Row],[Hasta]])</f>
        <v>0</v>
      </c>
      <c r="F142" s="11">
        <f>SUMIFS(TableDailySummary[Órdenes totales],TableDailySummary[Fecha],"&gt;="&amp;TableWeeklySummary[[#This Row],[Desde]],TableDailySummary[Fecha],"&lt;="&amp;TableWeeklySummary[[#This Row],[Hasta]])</f>
        <v>0</v>
      </c>
      <c r="G142" s="11">
        <f>IFERROR(TableWeeklySummary[[#This Row],[Ventas netas totales]]/TableWeeklySummary[[#This Row],[Órdenes totales]],0)</f>
        <v>0</v>
      </c>
      <c r="H14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2" s="11">
        <f>TableWeeklySummary[[#This Row],[Órden promedio totales]]*TableWeeklySummary[[#This Row],[CR totales]]</f>
        <v>0</v>
      </c>
      <c r="J142" s="11">
        <f>SUMIFS(TableDailySummary[Ventas primer cliente],TableDailySummary[Fecha],"&gt;="&amp;TableWeeklySummary[[#This Row],[Desde]],TableDailySummary[Fecha],"&lt;="&amp;TableWeeklySummary[[#This Row],[Hasta]])</f>
        <v>0</v>
      </c>
      <c r="K142" s="11">
        <f>SUMIFS(TableDailySummary[Órdenes primer cliente],TableDailySummary[Fecha],"&gt;="&amp;TableWeeklySummary[[#This Row],[Desde]],TableDailySummary[Fecha],"&lt;="&amp;TableWeeklySummary[[#This Row],[Hasta]])</f>
        <v>0</v>
      </c>
      <c r="L142" s="11">
        <f>SUMIFS(TableDailySummary[Online Store_net_sales],TableDailySummary[Fecha],"&gt;="&amp;TableWeeklySummary[[#This Row],[Desde]],TableDailySummary[Fecha],"&lt;="&amp;TableWeeklySummary[[#This Row],[Hasta]])</f>
        <v>0</v>
      </c>
      <c r="M142" s="11">
        <f>SUMIFS(TableDailySummary[Online Store_orders],TableDailySummary[Fecha],"&gt;="&amp;TableWeeklySummary[[#This Row],[Desde]],TableDailySummary[Fecha],"&lt;="&amp;TableWeeklySummary[[#This Row],[Hasta]])</f>
        <v>0</v>
      </c>
      <c r="N142" s="11">
        <f>SUMIFS(TableDailySummary[Tienda 81_net_sales],TableDailySummary[Fecha],"&gt;="&amp;TableWeeklySummary[[#This Row],[Desde]],TableDailySummary[Fecha],"&lt;="&amp;TableWeeklySummary[[#This Row],[Hasta]])</f>
        <v>0</v>
      </c>
      <c r="O142" s="11">
        <f>SUMIFS(TableDailySummary[Tienda 81_orders],TableDailySummary[Fecha],"&gt;="&amp;TableWeeklySummary[[#This Row],[Desde]],TableDailySummary[Fecha],"&lt;="&amp;TableWeeklySummary[[#This Row],[Hasta]])</f>
        <v>0</v>
      </c>
      <c r="P142" s="11">
        <f>SUMIFS(TableDailySummary[Rappi_net_sales],TableDailySummary[Fecha],"&gt;="&amp;TableWeeklySummary[[#This Row],[Desde]],TableDailySummary[Fecha],"&lt;="&amp;TableWeeklySummary[[#This Row],[Hasta]])</f>
        <v>0</v>
      </c>
      <c r="Q142" s="11">
        <f>SUMIFS(TableDailySummary[Rappi_orders],TableDailySummary[Fecha],"&gt;="&amp;TableWeeklySummary[[#This Row],[Desde]],TableDailySummary[Fecha],"&lt;="&amp;TableWeeklySummary[[#This Row],[Hasta]])</f>
        <v>0</v>
      </c>
      <c r="R14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2" s="11">
        <f>SUMIFS(TableDailySummary[Corporativo no tienda_orders],TableDailySummary[Fecha],"&gt;="&amp;TableWeeklySummary[[#This Row],[Desde]],TableDailySummary[Fecha],"&lt;="&amp;TableWeeklySummary[[#This Row],[Hasta]])</f>
        <v>0</v>
      </c>
      <c r="T142" s="11">
        <f>SUMIFS(TableDailySummary[Inversión google ads],TableDailySummary[Fecha],"&gt;="&amp;TableWeeklySummary[[#This Row],[Desde]],TableDailySummary[Fecha],"&lt;="&amp;TableWeeklySummary[[#This Row],[Hasta]])</f>
        <v>0</v>
      </c>
      <c r="U142" s="11">
        <f>SUMIFS(TableDailySummary[Ventas google ads],TableDailySummary[Fecha],"&gt;="&amp;TableWeeklySummary[[#This Row],[Desde]],TableDailySummary[Fecha],"&lt;="&amp;TableWeeklySummary[[#This Row],[Hasta]])</f>
        <v>0</v>
      </c>
      <c r="V142" s="11">
        <f>SUMIFS(TableDailySummary[Inversión meta ads],TableDailySummary[Fecha],"&gt;="&amp;TableWeeklySummary[[#This Row],[Desde]],TableDailySummary[Fecha],"&lt;="&amp;TableWeeklySummary[[#This Row],[Hasta]])</f>
        <v>0</v>
      </c>
      <c r="W142" s="11">
        <f>SUMIFS(TableDailySummary[Ventas meta ads],TableDailySummary[Fecha],"&gt;="&amp;TableWeeklySummary[[#This Row],[Desde]],TableDailySummary[Fecha],"&lt;="&amp;TableWeeklySummary[[#This Row],[Hasta]])</f>
        <v>0</v>
      </c>
      <c r="X142" s="11">
        <f>TableWeeklySummary[[#This Row],[Inversión google ads]]+TableWeeklySummary[[#This Row],[Inversión meta ads]]</f>
        <v>0</v>
      </c>
      <c r="Y142" s="11">
        <f>TableWeeklySummary[[#This Row],[Ventas google ads]]+TableWeeklySummary[[#This Row],[Ventas meta ads]]</f>
        <v>0</v>
      </c>
      <c r="Z142" s="14">
        <f>IFERROR(TableWeeklySummary[[#This Row],[Ventas publicidad]]/TableWeeklySummary[[#This Row],[Inversión publicidad]],0)</f>
        <v>0</v>
      </c>
      <c r="AA142" s="14">
        <f>IFERROR(TableWeeklySummary[[#This Row],[Ventas primer cliente]]/TableWeeklySummary[[#This Row],[Inversión publicidad]],0)</f>
        <v>0</v>
      </c>
      <c r="AB142" s="14"/>
      <c r="AC142" s="11"/>
      <c r="AI14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2" s="11">
        <f>SUMIFS(TableDailySummary[Costo de ventas registrado],TableDailySummary[Fecha],"&gt;="&amp;TableWeeklySummary[[#This Row],[Desde]],TableDailySummary[Fecha],"&lt;="&amp;TableWeeklySummary[[#This Row],[Hasta]])</f>
        <v>0</v>
      </c>
      <c r="AK142" s="11">
        <f>SUMIFS(TableDailySummary[Utilidad bruta],TableDailySummary[Fecha],"&gt;="&amp;TableWeeklySummary[[#This Row],[Desde]],TableDailySummary[Fecha],"&lt;="&amp;TableWeeklySummary[[#This Row],[Hasta]])</f>
        <v>0</v>
      </c>
      <c r="AL142" s="18">
        <f>IFERROR(TableWeeklySummary[[#This Row],[Utilidad bruta]]/TableWeeklySummary[[#This Row],[Ventas netas con costo registrado]],0)</f>
        <v>0</v>
      </c>
    </row>
    <row r="143" spans="2:38" x14ac:dyDescent="0.2">
      <c r="B143" s="16">
        <f>_xlfn.ISOWEEKNUM(TableWeeklySummary[[#This Row],[Hasta]])</f>
        <v>28</v>
      </c>
      <c r="C143" s="6">
        <f t="shared" si="4"/>
        <v>45478</v>
      </c>
      <c r="D143" s="6">
        <f>TableWeeklySummary[[#This Row],[Desde]]+7-1</f>
        <v>45484</v>
      </c>
      <c r="E143" s="11">
        <f>SUMIFS(TableDailySummary[Ventas netas totales],TableDailySummary[Fecha],"&gt;="&amp;TableWeeklySummary[[#This Row],[Desde]],TableDailySummary[Fecha],"&lt;="&amp;TableWeeklySummary[[#This Row],[Hasta]])</f>
        <v>0</v>
      </c>
      <c r="F143" s="11">
        <f>SUMIFS(TableDailySummary[Órdenes totales],TableDailySummary[Fecha],"&gt;="&amp;TableWeeklySummary[[#This Row],[Desde]],TableDailySummary[Fecha],"&lt;="&amp;TableWeeklySummary[[#This Row],[Hasta]])</f>
        <v>0</v>
      </c>
      <c r="G143" s="11">
        <f>IFERROR(TableWeeklySummary[[#This Row],[Ventas netas totales]]/TableWeeklySummary[[#This Row],[Órdenes totales]],0)</f>
        <v>0</v>
      </c>
      <c r="H14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3" s="11">
        <f>TableWeeklySummary[[#This Row],[Órden promedio totales]]*TableWeeklySummary[[#This Row],[CR totales]]</f>
        <v>0</v>
      </c>
      <c r="J143" s="11">
        <f>SUMIFS(TableDailySummary[Ventas primer cliente],TableDailySummary[Fecha],"&gt;="&amp;TableWeeklySummary[[#This Row],[Desde]],TableDailySummary[Fecha],"&lt;="&amp;TableWeeklySummary[[#This Row],[Hasta]])</f>
        <v>0</v>
      </c>
      <c r="K143" s="11">
        <f>SUMIFS(TableDailySummary[Órdenes primer cliente],TableDailySummary[Fecha],"&gt;="&amp;TableWeeklySummary[[#This Row],[Desde]],TableDailySummary[Fecha],"&lt;="&amp;TableWeeklySummary[[#This Row],[Hasta]])</f>
        <v>0</v>
      </c>
      <c r="L143" s="11">
        <f>SUMIFS(TableDailySummary[Online Store_net_sales],TableDailySummary[Fecha],"&gt;="&amp;TableWeeklySummary[[#This Row],[Desde]],TableDailySummary[Fecha],"&lt;="&amp;TableWeeklySummary[[#This Row],[Hasta]])</f>
        <v>0</v>
      </c>
      <c r="M143" s="11">
        <f>SUMIFS(TableDailySummary[Online Store_orders],TableDailySummary[Fecha],"&gt;="&amp;TableWeeklySummary[[#This Row],[Desde]],TableDailySummary[Fecha],"&lt;="&amp;TableWeeklySummary[[#This Row],[Hasta]])</f>
        <v>0</v>
      </c>
      <c r="N143" s="11">
        <f>SUMIFS(TableDailySummary[Tienda 81_net_sales],TableDailySummary[Fecha],"&gt;="&amp;TableWeeklySummary[[#This Row],[Desde]],TableDailySummary[Fecha],"&lt;="&amp;TableWeeklySummary[[#This Row],[Hasta]])</f>
        <v>0</v>
      </c>
      <c r="O143" s="11">
        <f>SUMIFS(TableDailySummary[Tienda 81_orders],TableDailySummary[Fecha],"&gt;="&amp;TableWeeklySummary[[#This Row],[Desde]],TableDailySummary[Fecha],"&lt;="&amp;TableWeeklySummary[[#This Row],[Hasta]])</f>
        <v>0</v>
      </c>
      <c r="P143" s="11">
        <f>SUMIFS(TableDailySummary[Rappi_net_sales],TableDailySummary[Fecha],"&gt;="&amp;TableWeeklySummary[[#This Row],[Desde]],TableDailySummary[Fecha],"&lt;="&amp;TableWeeklySummary[[#This Row],[Hasta]])</f>
        <v>0</v>
      </c>
      <c r="Q143" s="11">
        <f>SUMIFS(TableDailySummary[Rappi_orders],TableDailySummary[Fecha],"&gt;="&amp;TableWeeklySummary[[#This Row],[Desde]],TableDailySummary[Fecha],"&lt;="&amp;TableWeeklySummary[[#This Row],[Hasta]])</f>
        <v>0</v>
      </c>
      <c r="R14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3" s="11">
        <f>SUMIFS(TableDailySummary[Corporativo no tienda_orders],TableDailySummary[Fecha],"&gt;="&amp;TableWeeklySummary[[#This Row],[Desde]],TableDailySummary[Fecha],"&lt;="&amp;TableWeeklySummary[[#This Row],[Hasta]])</f>
        <v>0</v>
      </c>
      <c r="T143" s="11">
        <f>SUMIFS(TableDailySummary[Inversión google ads],TableDailySummary[Fecha],"&gt;="&amp;TableWeeklySummary[[#This Row],[Desde]],TableDailySummary[Fecha],"&lt;="&amp;TableWeeklySummary[[#This Row],[Hasta]])</f>
        <v>0</v>
      </c>
      <c r="U143" s="11">
        <f>SUMIFS(TableDailySummary[Ventas google ads],TableDailySummary[Fecha],"&gt;="&amp;TableWeeklySummary[[#This Row],[Desde]],TableDailySummary[Fecha],"&lt;="&amp;TableWeeklySummary[[#This Row],[Hasta]])</f>
        <v>0</v>
      </c>
      <c r="V143" s="11">
        <f>SUMIFS(TableDailySummary[Inversión meta ads],TableDailySummary[Fecha],"&gt;="&amp;TableWeeklySummary[[#This Row],[Desde]],TableDailySummary[Fecha],"&lt;="&amp;TableWeeklySummary[[#This Row],[Hasta]])</f>
        <v>0</v>
      </c>
      <c r="W143" s="11">
        <f>SUMIFS(TableDailySummary[Ventas meta ads],TableDailySummary[Fecha],"&gt;="&amp;TableWeeklySummary[[#This Row],[Desde]],TableDailySummary[Fecha],"&lt;="&amp;TableWeeklySummary[[#This Row],[Hasta]])</f>
        <v>0</v>
      </c>
      <c r="X143" s="11">
        <f>TableWeeklySummary[[#This Row],[Inversión google ads]]+TableWeeklySummary[[#This Row],[Inversión meta ads]]</f>
        <v>0</v>
      </c>
      <c r="Y143" s="11">
        <f>TableWeeklySummary[[#This Row],[Ventas google ads]]+TableWeeklySummary[[#This Row],[Ventas meta ads]]</f>
        <v>0</v>
      </c>
      <c r="Z143" s="14">
        <f>IFERROR(TableWeeklySummary[[#This Row],[Ventas publicidad]]/TableWeeklySummary[[#This Row],[Inversión publicidad]],0)</f>
        <v>0</v>
      </c>
      <c r="AA143" s="14">
        <f>IFERROR(TableWeeklySummary[[#This Row],[Ventas primer cliente]]/TableWeeklySummary[[#This Row],[Inversión publicidad]],0)</f>
        <v>0</v>
      </c>
      <c r="AB143" s="14"/>
      <c r="AC143" s="11"/>
      <c r="AI14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3" s="11">
        <f>SUMIFS(TableDailySummary[Costo de ventas registrado],TableDailySummary[Fecha],"&gt;="&amp;TableWeeklySummary[[#This Row],[Desde]],TableDailySummary[Fecha],"&lt;="&amp;TableWeeklySummary[[#This Row],[Hasta]])</f>
        <v>0</v>
      </c>
      <c r="AK143" s="11">
        <f>SUMIFS(TableDailySummary[Utilidad bruta],TableDailySummary[Fecha],"&gt;="&amp;TableWeeklySummary[[#This Row],[Desde]],TableDailySummary[Fecha],"&lt;="&amp;TableWeeklySummary[[#This Row],[Hasta]])</f>
        <v>0</v>
      </c>
      <c r="AL143" s="18">
        <f>IFERROR(TableWeeklySummary[[#This Row],[Utilidad bruta]]/TableWeeklySummary[[#This Row],[Ventas netas con costo registrado]],0)</f>
        <v>0</v>
      </c>
    </row>
    <row r="144" spans="2:38" x14ac:dyDescent="0.2">
      <c r="B144" s="16">
        <f>_xlfn.ISOWEEKNUM(TableWeeklySummary[[#This Row],[Hasta]])</f>
        <v>29</v>
      </c>
      <c r="C144" s="6">
        <f t="shared" si="4"/>
        <v>45485</v>
      </c>
      <c r="D144" s="6">
        <f>TableWeeklySummary[[#This Row],[Desde]]+7-1</f>
        <v>45491</v>
      </c>
      <c r="E144" s="11">
        <f>SUMIFS(TableDailySummary[Ventas netas totales],TableDailySummary[Fecha],"&gt;="&amp;TableWeeklySummary[[#This Row],[Desde]],TableDailySummary[Fecha],"&lt;="&amp;TableWeeklySummary[[#This Row],[Hasta]])</f>
        <v>0</v>
      </c>
      <c r="F144" s="11">
        <f>SUMIFS(TableDailySummary[Órdenes totales],TableDailySummary[Fecha],"&gt;="&amp;TableWeeklySummary[[#This Row],[Desde]],TableDailySummary[Fecha],"&lt;="&amp;TableWeeklySummary[[#This Row],[Hasta]])</f>
        <v>0</v>
      </c>
      <c r="G144" s="11">
        <f>IFERROR(TableWeeklySummary[[#This Row],[Ventas netas totales]]/TableWeeklySummary[[#This Row],[Órdenes totales]],0)</f>
        <v>0</v>
      </c>
      <c r="H14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4" s="11">
        <f>TableWeeklySummary[[#This Row],[Órden promedio totales]]*TableWeeklySummary[[#This Row],[CR totales]]</f>
        <v>0</v>
      </c>
      <c r="J144" s="11">
        <f>SUMIFS(TableDailySummary[Ventas primer cliente],TableDailySummary[Fecha],"&gt;="&amp;TableWeeklySummary[[#This Row],[Desde]],TableDailySummary[Fecha],"&lt;="&amp;TableWeeklySummary[[#This Row],[Hasta]])</f>
        <v>0</v>
      </c>
      <c r="K144" s="11">
        <f>SUMIFS(TableDailySummary[Órdenes primer cliente],TableDailySummary[Fecha],"&gt;="&amp;TableWeeklySummary[[#This Row],[Desde]],TableDailySummary[Fecha],"&lt;="&amp;TableWeeklySummary[[#This Row],[Hasta]])</f>
        <v>0</v>
      </c>
      <c r="L144" s="11">
        <f>SUMIFS(TableDailySummary[Online Store_net_sales],TableDailySummary[Fecha],"&gt;="&amp;TableWeeklySummary[[#This Row],[Desde]],TableDailySummary[Fecha],"&lt;="&amp;TableWeeklySummary[[#This Row],[Hasta]])</f>
        <v>0</v>
      </c>
      <c r="M144" s="11">
        <f>SUMIFS(TableDailySummary[Online Store_orders],TableDailySummary[Fecha],"&gt;="&amp;TableWeeklySummary[[#This Row],[Desde]],TableDailySummary[Fecha],"&lt;="&amp;TableWeeklySummary[[#This Row],[Hasta]])</f>
        <v>0</v>
      </c>
      <c r="N144" s="11">
        <f>SUMIFS(TableDailySummary[Tienda 81_net_sales],TableDailySummary[Fecha],"&gt;="&amp;TableWeeklySummary[[#This Row],[Desde]],TableDailySummary[Fecha],"&lt;="&amp;TableWeeklySummary[[#This Row],[Hasta]])</f>
        <v>0</v>
      </c>
      <c r="O144" s="11">
        <f>SUMIFS(TableDailySummary[Tienda 81_orders],TableDailySummary[Fecha],"&gt;="&amp;TableWeeklySummary[[#This Row],[Desde]],TableDailySummary[Fecha],"&lt;="&amp;TableWeeklySummary[[#This Row],[Hasta]])</f>
        <v>0</v>
      </c>
      <c r="P144" s="11">
        <f>SUMIFS(TableDailySummary[Rappi_net_sales],TableDailySummary[Fecha],"&gt;="&amp;TableWeeklySummary[[#This Row],[Desde]],TableDailySummary[Fecha],"&lt;="&amp;TableWeeklySummary[[#This Row],[Hasta]])</f>
        <v>0</v>
      </c>
      <c r="Q144" s="11">
        <f>SUMIFS(TableDailySummary[Rappi_orders],TableDailySummary[Fecha],"&gt;="&amp;TableWeeklySummary[[#This Row],[Desde]],TableDailySummary[Fecha],"&lt;="&amp;TableWeeklySummary[[#This Row],[Hasta]])</f>
        <v>0</v>
      </c>
      <c r="R14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4" s="11">
        <f>SUMIFS(TableDailySummary[Corporativo no tienda_orders],TableDailySummary[Fecha],"&gt;="&amp;TableWeeklySummary[[#This Row],[Desde]],TableDailySummary[Fecha],"&lt;="&amp;TableWeeklySummary[[#This Row],[Hasta]])</f>
        <v>0</v>
      </c>
      <c r="T144" s="11">
        <f>SUMIFS(TableDailySummary[Inversión google ads],TableDailySummary[Fecha],"&gt;="&amp;TableWeeklySummary[[#This Row],[Desde]],TableDailySummary[Fecha],"&lt;="&amp;TableWeeklySummary[[#This Row],[Hasta]])</f>
        <v>0</v>
      </c>
      <c r="U144" s="11">
        <f>SUMIFS(TableDailySummary[Ventas google ads],TableDailySummary[Fecha],"&gt;="&amp;TableWeeklySummary[[#This Row],[Desde]],TableDailySummary[Fecha],"&lt;="&amp;TableWeeklySummary[[#This Row],[Hasta]])</f>
        <v>0</v>
      </c>
      <c r="V144" s="11">
        <f>SUMIFS(TableDailySummary[Inversión meta ads],TableDailySummary[Fecha],"&gt;="&amp;TableWeeklySummary[[#This Row],[Desde]],TableDailySummary[Fecha],"&lt;="&amp;TableWeeklySummary[[#This Row],[Hasta]])</f>
        <v>0</v>
      </c>
      <c r="W144" s="11">
        <f>SUMIFS(TableDailySummary[Ventas meta ads],TableDailySummary[Fecha],"&gt;="&amp;TableWeeklySummary[[#This Row],[Desde]],TableDailySummary[Fecha],"&lt;="&amp;TableWeeklySummary[[#This Row],[Hasta]])</f>
        <v>0</v>
      </c>
      <c r="X144" s="11">
        <f>TableWeeklySummary[[#This Row],[Inversión google ads]]+TableWeeklySummary[[#This Row],[Inversión meta ads]]</f>
        <v>0</v>
      </c>
      <c r="Y144" s="11">
        <f>TableWeeklySummary[[#This Row],[Ventas google ads]]+TableWeeklySummary[[#This Row],[Ventas meta ads]]</f>
        <v>0</v>
      </c>
      <c r="Z144" s="14">
        <f>IFERROR(TableWeeklySummary[[#This Row],[Ventas publicidad]]/TableWeeklySummary[[#This Row],[Inversión publicidad]],0)</f>
        <v>0</v>
      </c>
      <c r="AA144" s="14">
        <f>IFERROR(TableWeeklySummary[[#This Row],[Ventas primer cliente]]/TableWeeklySummary[[#This Row],[Inversión publicidad]],0)</f>
        <v>0</v>
      </c>
      <c r="AB144" s="14"/>
      <c r="AC144" s="11"/>
      <c r="AI14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4" s="11">
        <f>SUMIFS(TableDailySummary[Costo de ventas registrado],TableDailySummary[Fecha],"&gt;="&amp;TableWeeklySummary[[#This Row],[Desde]],TableDailySummary[Fecha],"&lt;="&amp;TableWeeklySummary[[#This Row],[Hasta]])</f>
        <v>0</v>
      </c>
      <c r="AK144" s="11">
        <f>SUMIFS(TableDailySummary[Utilidad bruta],TableDailySummary[Fecha],"&gt;="&amp;TableWeeklySummary[[#This Row],[Desde]],TableDailySummary[Fecha],"&lt;="&amp;TableWeeklySummary[[#This Row],[Hasta]])</f>
        <v>0</v>
      </c>
      <c r="AL144" s="18">
        <f>IFERROR(TableWeeklySummary[[#This Row],[Utilidad bruta]]/TableWeeklySummary[[#This Row],[Ventas netas con costo registrado]],0)</f>
        <v>0</v>
      </c>
    </row>
    <row r="145" spans="2:38" x14ac:dyDescent="0.2">
      <c r="B145" s="16">
        <f>_xlfn.ISOWEEKNUM(TableWeeklySummary[[#This Row],[Hasta]])</f>
        <v>30</v>
      </c>
      <c r="C145" s="6">
        <f t="shared" si="4"/>
        <v>45492</v>
      </c>
      <c r="D145" s="6">
        <f>TableWeeklySummary[[#This Row],[Desde]]+7-1</f>
        <v>45498</v>
      </c>
      <c r="E145" s="11">
        <f>SUMIFS(TableDailySummary[Ventas netas totales],TableDailySummary[Fecha],"&gt;="&amp;TableWeeklySummary[[#This Row],[Desde]],TableDailySummary[Fecha],"&lt;="&amp;TableWeeklySummary[[#This Row],[Hasta]])</f>
        <v>0</v>
      </c>
      <c r="F145" s="11">
        <f>SUMIFS(TableDailySummary[Órdenes totales],TableDailySummary[Fecha],"&gt;="&amp;TableWeeklySummary[[#This Row],[Desde]],TableDailySummary[Fecha],"&lt;="&amp;TableWeeklySummary[[#This Row],[Hasta]])</f>
        <v>0</v>
      </c>
      <c r="G145" s="11">
        <f>IFERROR(TableWeeklySummary[[#This Row],[Ventas netas totales]]/TableWeeklySummary[[#This Row],[Órdenes totales]],0)</f>
        <v>0</v>
      </c>
      <c r="H14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5" s="11">
        <f>TableWeeklySummary[[#This Row],[Órden promedio totales]]*TableWeeklySummary[[#This Row],[CR totales]]</f>
        <v>0</v>
      </c>
      <c r="J145" s="11">
        <f>SUMIFS(TableDailySummary[Ventas primer cliente],TableDailySummary[Fecha],"&gt;="&amp;TableWeeklySummary[[#This Row],[Desde]],TableDailySummary[Fecha],"&lt;="&amp;TableWeeklySummary[[#This Row],[Hasta]])</f>
        <v>0</v>
      </c>
      <c r="K145" s="11">
        <f>SUMIFS(TableDailySummary[Órdenes primer cliente],TableDailySummary[Fecha],"&gt;="&amp;TableWeeklySummary[[#This Row],[Desde]],TableDailySummary[Fecha],"&lt;="&amp;TableWeeklySummary[[#This Row],[Hasta]])</f>
        <v>0</v>
      </c>
      <c r="L145" s="11">
        <f>SUMIFS(TableDailySummary[Online Store_net_sales],TableDailySummary[Fecha],"&gt;="&amp;TableWeeklySummary[[#This Row],[Desde]],TableDailySummary[Fecha],"&lt;="&amp;TableWeeklySummary[[#This Row],[Hasta]])</f>
        <v>0</v>
      </c>
      <c r="M145" s="11">
        <f>SUMIFS(TableDailySummary[Online Store_orders],TableDailySummary[Fecha],"&gt;="&amp;TableWeeklySummary[[#This Row],[Desde]],TableDailySummary[Fecha],"&lt;="&amp;TableWeeklySummary[[#This Row],[Hasta]])</f>
        <v>0</v>
      </c>
      <c r="N145" s="11">
        <f>SUMIFS(TableDailySummary[Tienda 81_net_sales],TableDailySummary[Fecha],"&gt;="&amp;TableWeeklySummary[[#This Row],[Desde]],TableDailySummary[Fecha],"&lt;="&amp;TableWeeklySummary[[#This Row],[Hasta]])</f>
        <v>0</v>
      </c>
      <c r="O145" s="11">
        <f>SUMIFS(TableDailySummary[Tienda 81_orders],TableDailySummary[Fecha],"&gt;="&amp;TableWeeklySummary[[#This Row],[Desde]],TableDailySummary[Fecha],"&lt;="&amp;TableWeeklySummary[[#This Row],[Hasta]])</f>
        <v>0</v>
      </c>
      <c r="P145" s="11">
        <f>SUMIFS(TableDailySummary[Rappi_net_sales],TableDailySummary[Fecha],"&gt;="&amp;TableWeeklySummary[[#This Row],[Desde]],TableDailySummary[Fecha],"&lt;="&amp;TableWeeklySummary[[#This Row],[Hasta]])</f>
        <v>0</v>
      </c>
      <c r="Q145" s="11">
        <f>SUMIFS(TableDailySummary[Rappi_orders],TableDailySummary[Fecha],"&gt;="&amp;TableWeeklySummary[[#This Row],[Desde]],TableDailySummary[Fecha],"&lt;="&amp;TableWeeklySummary[[#This Row],[Hasta]])</f>
        <v>0</v>
      </c>
      <c r="R14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5" s="11">
        <f>SUMIFS(TableDailySummary[Corporativo no tienda_orders],TableDailySummary[Fecha],"&gt;="&amp;TableWeeklySummary[[#This Row],[Desde]],TableDailySummary[Fecha],"&lt;="&amp;TableWeeklySummary[[#This Row],[Hasta]])</f>
        <v>0</v>
      </c>
      <c r="T145" s="11">
        <f>SUMIFS(TableDailySummary[Inversión google ads],TableDailySummary[Fecha],"&gt;="&amp;TableWeeklySummary[[#This Row],[Desde]],TableDailySummary[Fecha],"&lt;="&amp;TableWeeklySummary[[#This Row],[Hasta]])</f>
        <v>0</v>
      </c>
      <c r="U145" s="11">
        <f>SUMIFS(TableDailySummary[Ventas google ads],TableDailySummary[Fecha],"&gt;="&amp;TableWeeklySummary[[#This Row],[Desde]],TableDailySummary[Fecha],"&lt;="&amp;TableWeeklySummary[[#This Row],[Hasta]])</f>
        <v>0</v>
      </c>
      <c r="V145" s="11">
        <f>SUMIFS(TableDailySummary[Inversión meta ads],TableDailySummary[Fecha],"&gt;="&amp;TableWeeklySummary[[#This Row],[Desde]],TableDailySummary[Fecha],"&lt;="&amp;TableWeeklySummary[[#This Row],[Hasta]])</f>
        <v>0</v>
      </c>
      <c r="W145" s="11">
        <f>SUMIFS(TableDailySummary[Ventas meta ads],TableDailySummary[Fecha],"&gt;="&amp;TableWeeklySummary[[#This Row],[Desde]],TableDailySummary[Fecha],"&lt;="&amp;TableWeeklySummary[[#This Row],[Hasta]])</f>
        <v>0</v>
      </c>
      <c r="X145" s="11">
        <f>TableWeeklySummary[[#This Row],[Inversión google ads]]+TableWeeklySummary[[#This Row],[Inversión meta ads]]</f>
        <v>0</v>
      </c>
      <c r="Y145" s="11">
        <f>TableWeeklySummary[[#This Row],[Ventas google ads]]+TableWeeklySummary[[#This Row],[Ventas meta ads]]</f>
        <v>0</v>
      </c>
      <c r="Z145" s="14">
        <f>IFERROR(TableWeeklySummary[[#This Row],[Ventas publicidad]]/TableWeeklySummary[[#This Row],[Inversión publicidad]],0)</f>
        <v>0</v>
      </c>
      <c r="AA145" s="14">
        <f>IFERROR(TableWeeklySummary[[#This Row],[Ventas primer cliente]]/TableWeeklySummary[[#This Row],[Inversión publicidad]],0)</f>
        <v>0</v>
      </c>
      <c r="AB145" s="14"/>
      <c r="AC145" s="11"/>
      <c r="AI14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5" s="11">
        <f>SUMIFS(TableDailySummary[Costo de ventas registrado],TableDailySummary[Fecha],"&gt;="&amp;TableWeeklySummary[[#This Row],[Desde]],TableDailySummary[Fecha],"&lt;="&amp;TableWeeklySummary[[#This Row],[Hasta]])</f>
        <v>0</v>
      </c>
      <c r="AK145" s="11">
        <f>SUMIFS(TableDailySummary[Utilidad bruta],TableDailySummary[Fecha],"&gt;="&amp;TableWeeklySummary[[#This Row],[Desde]],TableDailySummary[Fecha],"&lt;="&amp;TableWeeklySummary[[#This Row],[Hasta]])</f>
        <v>0</v>
      </c>
      <c r="AL145" s="18">
        <f>IFERROR(TableWeeklySummary[[#This Row],[Utilidad bruta]]/TableWeeklySummary[[#This Row],[Ventas netas con costo registrado]],0)</f>
        <v>0</v>
      </c>
    </row>
    <row r="146" spans="2:38" x14ac:dyDescent="0.2">
      <c r="B146" s="16">
        <f>_xlfn.ISOWEEKNUM(TableWeeklySummary[[#This Row],[Hasta]])</f>
        <v>31</v>
      </c>
      <c r="C146" s="6">
        <f t="shared" si="4"/>
        <v>45499</v>
      </c>
      <c r="D146" s="6">
        <f>TableWeeklySummary[[#This Row],[Desde]]+7-1</f>
        <v>45505</v>
      </c>
      <c r="E146" s="11">
        <f>SUMIFS(TableDailySummary[Ventas netas totales],TableDailySummary[Fecha],"&gt;="&amp;TableWeeklySummary[[#This Row],[Desde]],TableDailySummary[Fecha],"&lt;="&amp;TableWeeklySummary[[#This Row],[Hasta]])</f>
        <v>0</v>
      </c>
      <c r="F146" s="11">
        <f>SUMIFS(TableDailySummary[Órdenes totales],TableDailySummary[Fecha],"&gt;="&amp;TableWeeklySummary[[#This Row],[Desde]],TableDailySummary[Fecha],"&lt;="&amp;TableWeeklySummary[[#This Row],[Hasta]])</f>
        <v>0</v>
      </c>
      <c r="G146" s="11">
        <f>IFERROR(TableWeeklySummary[[#This Row],[Ventas netas totales]]/TableWeeklySummary[[#This Row],[Órdenes totales]],0)</f>
        <v>0</v>
      </c>
      <c r="H14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6" s="11">
        <f>TableWeeklySummary[[#This Row],[Órden promedio totales]]*TableWeeklySummary[[#This Row],[CR totales]]</f>
        <v>0</v>
      </c>
      <c r="J146" s="11">
        <f>SUMIFS(TableDailySummary[Ventas primer cliente],TableDailySummary[Fecha],"&gt;="&amp;TableWeeklySummary[[#This Row],[Desde]],TableDailySummary[Fecha],"&lt;="&amp;TableWeeklySummary[[#This Row],[Hasta]])</f>
        <v>0</v>
      </c>
      <c r="K146" s="11">
        <f>SUMIFS(TableDailySummary[Órdenes primer cliente],TableDailySummary[Fecha],"&gt;="&amp;TableWeeklySummary[[#This Row],[Desde]],TableDailySummary[Fecha],"&lt;="&amp;TableWeeklySummary[[#This Row],[Hasta]])</f>
        <v>0</v>
      </c>
      <c r="L146" s="11">
        <f>SUMIFS(TableDailySummary[Online Store_net_sales],TableDailySummary[Fecha],"&gt;="&amp;TableWeeklySummary[[#This Row],[Desde]],TableDailySummary[Fecha],"&lt;="&amp;TableWeeklySummary[[#This Row],[Hasta]])</f>
        <v>0</v>
      </c>
      <c r="M146" s="11">
        <f>SUMIFS(TableDailySummary[Online Store_orders],TableDailySummary[Fecha],"&gt;="&amp;TableWeeklySummary[[#This Row],[Desde]],TableDailySummary[Fecha],"&lt;="&amp;TableWeeklySummary[[#This Row],[Hasta]])</f>
        <v>0</v>
      </c>
      <c r="N146" s="11">
        <f>SUMIFS(TableDailySummary[Tienda 81_net_sales],TableDailySummary[Fecha],"&gt;="&amp;TableWeeklySummary[[#This Row],[Desde]],TableDailySummary[Fecha],"&lt;="&amp;TableWeeklySummary[[#This Row],[Hasta]])</f>
        <v>0</v>
      </c>
      <c r="O146" s="11">
        <f>SUMIFS(TableDailySummary[Tienda 81_orders],TableDailySummary[Fecha],"&gt;="&amp;TableWeeklySummary[[#This Row],[Desde]],TableDailySummary[Fecha],"&lt;="&amp;TableWeeklySummary[[#This Row],[Hasta]])</f>
        <v>0</v>
      </c>
      <c r="P146" s="11">
        <f>SUMIFS(TableDailySummary[Rappi_net_sales],TableDailySummary[Fecha],"&gt;="&amp;TableWeeklySummary[[#This Row],[Desde]],TableDailySummary[Fecha],"&lt;="&amp;TableWeeklySummary[[#This Row],[Hasta]])</f>
        <v>0</v>
      </c>
      <c r="Q146" s="11">
        <f>SUMIFS(TableDailySummary[Rappi_orders],TableDailySummary[Fecha],"&gt;="&amp;TableWeeklySummary[[#This Row],[Desde]],TableDailySummary[Fecha],"&lt;="&amp;TableWeeklySummary[[#This Row],[Hasta]])</f>
        <v>0</v>
      </c>
      <c r="R14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6" s="11">
        <f>SUMIFS(TableDailySummary[Corporativo no tienda_orders],TableDailySummary[Fecha],"&gt;="&amp;TableWeeklySummary[[#This Row],[Desde]],TableDailySummary[Fecha],"&lt;="&amp;TableWeeklySummary[[#This Row],[Hasta]])</f>
        <v>0</v>
      </c>
      <c r="T146" s="11">
        <f>SUMIFS(TableDailySummary[Inversión google ads],TableDailySummary[Fecha],"&gt;="&amp;TableWeeklySummary[[#This Row],[Desde]],TableDailySummary[Fecha],"&lt;="&amp;TableWeeklySummary[[#This Row],[Hasta]])</f>
        <v>0</v>
      </c>
      <c r="U146" s="11">
        <f>SUMIFS(TableDailySummary[Ventas google ads],TableDailySummary[Fecha],"&gt;="&amp;TableWeeklySummary[[#This Row],[Desde]],TableDailySummary[Fecha],"&lt;="&amp;TableWeeklySummary[[#This Row],[Hasta]])</f>
        <v>0</v>
      </c>
      <c r="V146" s="11">
        <f>SUMIFS(TableDailySummary[Inversión meta ads],TableDailySummary[Fecha],"&gt;="&amp;TableWeeklySummary[[#This Row],[Desde]],TableDailySummary[Fecha],"&lt;="&amp;TableWeeklySummary[[#This Row],[Hasta]])</f>
        <v>0</v>
      </c>
      <c r="W146" s="11">
        <f>SUMIFS(TableDailySummary[Ventas meta ads],TableDailySummary[Fecha],"&gt;="&amp;TableWeeklySummary[[#This Row],[Desde]],TableDailySummary[Fecha],"&lt;="&amp;TableWeeklySummary[[#This Row],[Hasta]])</f>
        <v>0</v>
      </c>
      <c r="X146" s="11">
        <f>TableWeeklySummary[[#This Row],[Inversión google ads]]+TableWeeklySummary[[#This Row],[Inversión meta ads]]</f>
        <v>0</v>
      </c>
      <c r="Y146" s="11">
        <f>TableWeeklySummary[[#This Row],[Ventas google ads]]+TableWeeklySummary[[#This Row],[Ventas meta ads]]</f>
        <v>0</v>
      </c>
      <c r="Z146" s="14">
        <f>IFERROR(TableWeeklySummary[[#This Row],[Ventas publicidad]]/TableWeeklySummary[[#This Row],[Inversión publicidad]],0)</f>
        <v>0</v>
      </c>
      <c r="AA146" s="14">
        <f>IFERROR(TableWeeklySummary[[#This Row],[Ventas primer cliente]]/TableWeeklySummary[[#This Row],[Inversión publicidad]],0)</f>
        <v>0</v>
      </c>
      <c r="AB146" s="14"/>
      <c r="AC146" s="11"/>
      <c r="AI14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6" s="11">
        <f>SUMIFS(TableDailySummary[Costo de ventas registrado],TableDailySummary[Fecha],"&gt;="&amp;TableWeeklySummary[[#This Row],[Desde]],TableDailySummary[Fecha],"&lt;="&amp;TableWeeklySummary[[#This Row],[Hasta]])</f>
        <v>0</v>
      </c>
      <c r="AK146" s="11">
        <f>SUMIFS(TableDailySummary[Utilidad bruta],TableDailySummary[Fecha],"&gt;="&amp;TableWeeklySummary[[#This Row],[Desde]],TableDailySummary[Fecha],"&lt;="&amp;TableWeeklySummary[[#This Row],[Hasta]])</f>
        <v>0</v>
      </c>
      <c r="AL146" s="18">
        <f>IFERROR(TableWeeklySummary[[#This Row],[Utilidad bruta]]/TableWeeklySummary[[#This Row],[Ventas netas con costo registrado]],0)</f>
        <v>0</v>
      </c>
    </row>
    <row r="147" spans="2:38" x14ac:dyDescent="0.2">
      <c r="B147" s="16">
        <f>_xlfn.ISOWEEKNUM(TableWeeklySummary[[#This Row],[Hasta]])</f>
        <v>32</v>
      </c>
      <c r="C147" s="6">
        <f t="shared" si="4"/>
        <v>45506</v>
      </c>
      <c r="D147" s="6">
        <f>TableWeeklySummary[[#This Row],[Desde]]+7-1</f>
        <v>45512</v>
      </c>
      <c r="E147" s="11">
        <f>SUMIFS(TableDailySummary[Ventas netas totales],TableDailySummary[Fecha],"&gt;="&amp;TableWeeklySummary[[#This Row],[Desde]],TableDailySummary[Fecha],"&lt;="&amp;TableWeeklySummary[[#This Row],[Hasta]])</f>
        <v>0</v>
      </c>
      <c r="F147" s="11">
        <f>SUMIFS(TableDailySummary[Órdenes totales],TableDailySummary[Fecha],"&gt;="&amp;TableWeeklySummary[[#This Row],[Desde]],TableDailySummary[Fecha],"&lt;="&amp;TableWeeklySummary[[#This Row],[Hasta]])</f>
        <v>0</v>
      </c>
      <c r="G147" s="11">
        <f>IFERROR(TableWeeklySummary[[#This Row],[Ventas netas totales]]/TableWeeklySummary[[#This Row],[Órdenes totales]],0)</f>
        <v>0</v>
      </c>
      <c r="H14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7" s="11">
        <f>TableWeeklySummary[[#This Row],[Órden promedio totales]]*TableWeeklySummary[[#This Row],[CR totales]]</f>
        <v>0</v>
      </c>
      <c r="J147" s="11">
        <f>SUMIFS(TableDailySummary[Ventas primer cliente],TableDailySummary[Fecha],"&gt;="&amp;TableWeeklySummary[[#This Row],[Desde]],TableDailySummary[Fecha],"&lt;="&amp;TableWeeklySummary[[#This Row],[Hasta]])</f>
        <v>0</v>
      </c>
      <c r="K147" s="11">
        <f>SUMIFS(TableDailySummary[Órdenes primer cliente],TableDailySummary[Fecha],"&gt;="&amp;TableWeeklySummary[[#This Row],[Desde]],TableDailySummary[Fecha],"&lt;="&amp;TableWeeklySummary[[#This Row],[Hasta]])</f>
        <v>0</v>
      </c>
      <c r="L147" s="11">
        <f>SUMIFS(TableDailySummary[Online Store_net_sales],TableDailySummary[Fecha],"&gt;="&amp;TableWeeklySummary[[#This Row],[Desde]],TableDailySummary[Fecha],"&lt;="&amp;TableWeeklySummary[[#This Row],[Hasta]])</f>
        <v>0</v>
      </c>
      <c r="M147" s="11">
        <f>SUMIFS(TableDailySummary[Online Store_orders],TableDailySummary[Fecha],"&gt;="&amp;TableWeeklySummary[[#This Row],[Desde]],TableDailySummary[Fecha],"&lt;="&amp;TableWeeklySummary[[#This Row],[Hasta]])</f>
        <v>0</v>
      </c>
      <c r="N147" s="11">
        <f>SUMIFS(TableDailySummary[Tienda 81_net_sales],TableDailySummary[Fecha],"&gt;="&amp;TableWeeklySummary[[#This Row],[Desde]],TableDailySummary[Fecha],"&lt;="&amp;TableWeeklySummary[[#This Row],[Hasta]])</f>
        <v>0</v>
      </c>
      <c r="O147" s="11">
        <f>SUMIFS(TableDailySummary[Tienda 81_orders],TableDailySummary[Fecha],"&gt;="&amp;TableWeeklySummary[[#This Row],[Desde]],TableDailySummary[Fecha],"&lt;="&amp;TableWeeklySummary[[#This Row],[Hasta]])</f>
        <v>0</v>
      </c>
      <c r="P147" s="11">
        <f>SUMIFS(TableDailySummary[Rappi_net_sales],TableDailySummary[Fecha],"&gt;="&amp;TableWeeklySummary[[#This Row],[Desde]],TableDailySummary[Fecha],"&lt;="&amp;TableWeeklySummary[[#This Row],[Hasta]])</f>
        <v>0</v>
      </c>
      <c r="Q147" s="11">
        <f>SUMIFS(TableDailySummary[Rappi_orders],TableDailySummary[Fecha],"&gt;="&amp;TableWeeklySummary[[#This Row],[Desde]],TableDailySummary[Fecha],"&lt;="&amp;TableWeeklySummary[[#This Row],[Hasta]])</f>
        <v>0</v>
      </c>
      <c r="R14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7" s="11">
        <f>SUMIFS(TableDailySummary[Corporativo no tienda_orders],TableDailySummary[Fecha],"&gt;="&amp;TableWeeklySummary[[#This Row],[Desde]],TableDailySummary[Fecha],"&lt;="&amp;TableWeeklySummary[[#This Row],[Hasta]])</f>
        <v>0</v>
      </c>
      <c r="T147" s="11">
        <f>SUMIFS(TableDailySummary[Inversión google ads],TableDailySummary[Fecha],"&gt;="&amp;TableWeeklySummary[[#This Row],[Desde]],TableDailySummary[Fecha],"&lt;="&amp;TableWeeklySummary[[#This Row],[Hasta]])</f>
        <v>0</v>
      </c>
      <c r="U147" s="11">
        <f>SUMIFS(TableDailySummary[Ventas google ads],TableDailySummary[Fecha],"&gt;="&amp;TableWeeklySummary[[#This Row],[Desde]],TableDailySummary[Fecha],"&lt;="&amp;TableWeeklySummary[[#This Row],[Hasta]])</f>
        <v>0</v>
      </c>
      <c r="V147" s="11">
        <f>SUMIFS(TableDailySummary[Inversión meta ads],TableDailySummary[Fecha],"&gt;="&amp;TableWeeklySummary[[#This Row],[Desde]],TableDailySummary[Fecha],"&lt;="&amp;TableWeeklySummary[[#This Row],[Hasta]])</f>
        <v>0</v>
      </c>
      <c r="W147" s="11">
        <f>SUMIFS(TableDailySummary[Ventas meta ads],TableDailySummary[Fecha],"&gt;="&amp;TableWeeklySummary[[#This Row],[Desde]],TableDailySummary[Fecha],"&lt;="&amp;TableWeeklySummary[[#This Row],[Hasta]])</f>
        <v>0</v>
      </c>
      <c r="X147" s="11">
        <f>TableWeeklySummary[[#This Row],[Inversión google ads]]+TableWeeklySummary[[#This Row],[Inversión meta ads]]</f>
        <v>0</v>
      </c>
      <c r="Y147" s="11">
        <f>TableWeeklySummary[[#This Row],[Ventas google ads]]+TableWeeklySummary[[#This Row],[Ventas meta ads]]</f>
        <v>0</v>
      </c>
      <c r="Z147" s="14">
        <f>IFERROR(TableWeeklySummary[[#This Row],[Ventas publicidad]]/TableWeeklySummary[[#This Row],[Inversión publicidad]],0)</f>
        <v>0</v>
      </c>
      <c r="AA147" s="14">
        <f>IFERROR(TableWeeklySummary[[#This Row],[Ventas primer cliente]]/TableWeeklySummary[[#This Row],[Inversión publicidad]],0)</f>
        <v>0</v>
      </c>
      <c r="AB147" s="14"/>
      <c r="AC147" s="11"/>
      <c r="AI14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7" s="11">
        <f>SUMIFS(TableDailySummary[Costo de ventas registrado],TableDailySummary[Fecha],"&gt;="&amp;TableWeeklySummary[[#This Row],[Desde]],TableDailySummary[Fecha],"&lt;="&amp;TableWeeklySummary[[#This Row],[Hasta]])</f>
        <v>0</v>
      </c>
      <c r="AK147" s="11">
        <f>SUMIFS(TableDailySummary[Utilidad bruta],TableDailySummary[Fecha],"&gt;="&amp;TableWeeklySummary[[#This Row],[Desde]],TableDailySummary[Fecha],"&lt;="&amp;TableWeeklySummary[[#This Row],[Hasta]])</f>
        <v>0</v>
      </c>
      <c r="AL147" s="18">
        <f>IFERROR(TableWeeklySummary[[#This Row],[Utilidad bruta]]/TableWeeklySummary[[#This Row],[Ventas netas con costo registrado]],0)</f>
        <v>0</v>
      </c>
    </row>
    <row r="148" spans="2:38" x14ac:dyDescent="0.2">
      <c r="B148" s="16">
        <f>_xlfn.ISOWEEKNUM(TableWeeklySummary[[#This Row],[Hasta]])</f>
        <v>33</v>
      </c>
      <c r="C148" s="6">
        <f t="shared" si="4"/>
        <v>45513</v>
      </c>
      <c r="D148" s="6">
        <f>TableWeeklySummary[[#This Row],[Desde]]+7-1</f>
        <v>45519</v>
      </c>
      <c r="E148" s="11">
        <f>SUMIFS(TableDailySummary[Ventas netas totales],TableDailySummary[Fecha],"&gt;="&amp;TableWeeklySummary[[#This Row],[Desde]],TableDailySummary[Fecha],"&lt;="&amp;TableWeeklySummary[[#This Row],[Hasta]])</f>
        <v>0</v>
      </c>
      <c r="F148" s="11">
        <f>SUMIFS(TableDailySummary[Órdenes totales],TableDailySummary[Fecha],"&gt;="&amp;TableWeeklySummary[[#This Row],[Desde]],TableDailySummary[Fecha],"&lt;="&amp;TableWeeklySummary[[#This Row],[Hasta]])</f>
        <v>0</v>
      </c>
      <c r="G148" s="11">
        <f>IFERROR(TableWeeklySummary[[#This Row],[Ventas netas totales]]/TableWeeklySummary[[#This Row],[Órdenes totales]],0)</f>
        <v>0</v>
      </c>
      <c r="H14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8" s="11">
        <f>TableWeeklySummary[[#This Row],[Órden promedio totales]]*TableWeeklySummary[[#This Row],[CR totales]]</f>
        <v>0</v>
      </c>
      <c r="J148" s="11">
        <f>SUMIFS(TableDailySummary[Ventas primer cliente],TableDailySummary[Fecha],"&gt;="&amp;TableWeeklySummary[[#This Row],[Desde]],TableDailySummary[Fecha],"&lt;="&amp;TableWeeklySummary[[#This Row],[Hasta]])</f>
        <v>0</v>
      </c>
      <c r="K148" s="11">
        <f>SUMIFS(TableDailySummary[Órdenes primer cliente],TableDailySummary[Fecha],"&gt;="&amp;TableWeeklySummary[[#This Row],[Desde]],TableDailySummary[Fecha],"&lt;="&amp;TableWeeklySummary[[#This Row],[Hasta]])</f>
        <v>0</v>
      </c>
      <c r="L148" s="11">
        <f>SUMIFS(TableDailySummary[Online Store_net_sales],TableDailySummary[Fecha],"&gt;="&amp;TableWeeklySummary[[#This Row],[Desde]],TableDailySummary[Fecha],"&lt;="&amp;TableWeeklySummary[[#This Row],[Hasta]])</f>
        <v>0</v>
      </c>
      <c r="M148" s="11">
        <f>SUMIFS(TableDailySummary[Online Store_orders],TableDailySummary[Fecha],"&gt;="&amp;TableWeeklySummary[[#This Row],[Desde]],TableDailySummary[Fecha],"&lt;="&amp;TableWeeklySummary[[#This Row],[Hasta]])</f>
        <v>0</v>
      </c>
      <c r="N148" s="11">
        <f>SUMIFS(TableDailySummary[Tienda 81_net_sales],TableDailySummary[Fecha],"&gt;="&amp;TableWeeklySummary[[#This Row],[Desde]],TableDailySummary[Fecha],"&lt;="&amp;TableWeeklySummary[[#This Row],[Hasta]])</f>
        <v>0</v>
      </c>
      <c r="O148" s="11">
        <f>SUMIFS(TableDailySummary[Tienda 81_orders],TableDailySummary[Fecha],"&gt;="&amp;TableWeeklySummary[[#This Row],[Desde]],TableDailySummary[Fecha],"&lt;="&amp;TableWeeklySummary[[#This Row],[Hasta]])</f>
        <v>0</v>
      </c>
      <c r="P148" s="11">
        <f>SUMIFS(TableDailySummary[Rappi_net_sales],TableDailySummary[Fecha],"&gt;="&amp;TableWeeklySummary[[#This Row],[Desde]],TableDailySummary[Fecha],"&lt;="&amp;TableWeeklySummary[[#This Row],[Hasta]])</f>
        <v>0</v>
      </c>
      <c r="Q148" s="11">
        <f>SUMIFS(TableDailySummary[Rappi_orders],TableDailySummary[Fecha],"&gt;="&amp;TableWeeklySummary[[#This Row],[Desde]],TableDailySummary[Fecha],"&lt;="&amp;TableWeeklySummary[[#This Row],[Hasta]])</f>
        <v>0</v>
      </c>
      <c r="R14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8" s="11">
        <f>SUMIFS(TableDailySummary[Corporativo no tienda_orders],TableDailySummary[Fecha],"&gt;="&amp;TableWeeklySummary[[#This Row],[Desde]],TableDailySummary[Fecha],"&lt;="&amp;TableWeeklySummary[[#This Row],[Hasta]])</f>
        <v>0</v>
      </c>
      <c r="T148" s="11">
        <f>SUMIFS(TableDailySummary[Inversión google ads],TableDailySummary[Fecha],"&gt;="&amp;TableWeeklySummary[[#This Row],[Desde]],TableDailySummary[Fecha],"&lt;="&amp;TableWeeklySummary[[#This Row],[Hasta]])</f>
        <v>0</v>
      </c>
      <c r="U148" s="11">
        <f>SUMIFS(TableDailySummary[Ventas google ads],TableDailySummary[Fecha],"&gt;="&amp;TableWeeklySummary[[#This Row],[Desde]],TableDailySummary[Fecha],"&lt;="&amp;TableWeeklySummary[[#This Row],[Hasta]])</f>
        <v>0</v>
      </c>
      <c r="V148" s="11">
        <f>SUMIFS(TableDailySummary[Inversión meta ads],TableDailySummary[Fecha],"&gt;="&amp;TableWeeklySummary[[#This Row],[Desde]],TableDailySummary[Fecha],"&lt;="&amp;TableWeeklySummary[[#This Row],[Hasta]])</f>
        <v>0</v>
      </c>
      <c r="W148" s="11">
        <f>SUMIFS(TableDailySummary[Ventas meta ads],TableDailySummary[Fecha],"&gt;="&amp;TableWeeklySummary[[#This Row],[Desde]],TableDailySummary[Fecha],"&lt;="&amp;TableWeeklySummary[[#This Row],[Hasta]])</f>
        <v>0</v>
      </c>
      <c r="X148" s="11">
        <f>TableWeeklySummary[[#This Row],[Inversión google ads]]+TableWeeklySummary[[#This Row],[Inversión meta ads]]</f>
        <v>0</v>
      </c>
      <c r="Y148" s="11">
        <f>TableWeeklySummary[[#This Row],[Ventas google ads]]+TableWeeklySummary[[#This Row],[Ventas meta ads]]</f>
        <v>0</v>
      </c>
      <c r="Z148" s="14">
        <f>IFERROR(TableWeeklySummary[[#This Row],[Ventas publicidad]]/TableWeeklySummary[[#This Row],[Inversión publicidad]],0)</f>
        <v>0</v>
      </c>
      <c r="AA148" s="14">
        <f>IFERROR(TableWeeklySummary[[#This Row],[Ventas primer cliente]]/TableWeeklySummary[[#This Row],[Inversión publicidad]],0)</f>
        <v>0</v>
      </c>
      <c r="AB148" s="14"/>
      <c r="AC148" s="11"/>
      <c r="AI14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8" s="11">
        <f>SUMIFS(TableDailySummary[Costo de ventas registrado],TableDailySummary[Fecha],"&gt;="&amp;TableWeeklySummary[[#This Row],[Desde]],TableDailySummary[Fecha],"&lt;="&amp;TableWeeklySummary[[#This Row],[Hasta]])</f>
        <v>0</v>
      </c>
      <c r="AK148" s="11">
        <f>SUMIFS(TableDailySummary[Utilidad bruta],TableDailySummary[Fecha],"&gt;="&amp;TableWeeklySummary[[#This Row],[Desde]],TableDailySummary[Fecha],"&lt;="&amp;TableWeeklySummary[[#This Row],[Hasta]])</f>
        <v>0</v>
      </c>
      <c r="AL148" s="18">
        <f>IFERROR(TableWeeklySummary[[#This Row],[Utilidad bruta]]/TableWeeklySummary[[#This Row],[Ventas netas con costo registrado]],0)</f>
        <v>0</v>
      </c>
    </row>
    <row r="149" spans="2:38" x14ac:dyDescent="0.2">
      <c r="B149" s="16">
        <f>_xlfn.ISOWEEKNUM(TableWeeklySummary[[#This Row],[Hasta]])</f>
        <v>34</v>
      </c>
      <c r="C149" s="6">
        <f t="shared" si="4"/>
        <v>45520</v>
      </c>
      <c r="D149" s="6">
        <f>TableWeeklySummary[[#This Row],[Desde]]+7-1</f>
        <v>45526</v>
      </c>
      <c r="E149" s="11">
        <f>SUMIFS(TableDailySummary[Ventas netas totales],TableDailySummary[Fecha],"&gt;="&amp;TableWeeklySummary[[#This Row],[Desde]],TableDailySummary[Fecha],"&lt;="&amp;TableWeeklySummary[[#This Row],[Hasta]])</f>
        <v>0</v>
      </c>
      <c r="F149" s="11">
        <f>SUMIFS(TableDailySummary[Órdenes totales],TableDailySummary[Fecha],"&gt;="&amp;TableWeeklySummary[[#This Row],[Desde]],TableDailySummary[Fecha],"&lt;="&amp;TableWeeklySummary[[#This Row],[Hasta]])</f>
        <v>0</v>
      </c>
      <c r="G149" s="11">
        <f>IFERROR(TableWeeklySummary[[#This Row],[Ventas netas totales]]/TableWeeklySummary[[#This Row],[Órdenes totales]],0)</f>
        <v>0</v>
      </c>
      <c r="H14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49" s="11">
        <f>TableWeeklySummary[[#This Row],[Órden promedio totales]]*TableWeeklySummary[[#This Row],[CR totales]]</f>
        <v>0</v>
      </c>
      <c r="J149" s="11">
        <f>SUMIFS(TableDailySummary[Ventas primer cliente],TableDailySummary[Fecha],"&gt;="&amp;TableWeeklySummary[[#This Row],[Desde]],TableDailySummary[Fecha],"&lt;="&amp;TableWeeklySummary[[#This Row],[Hasta]])</f>
        <v>0</v>
      </c>
      <c r="K149" s="11">
        <f>SUMIFS(TableDailySummary[Órdenes primer cliente],TableDailySummary[Fecha],"&gt;="&amp;TableWeeklySummary[[#This Row],[Desde]],TableDailySummary[Fecha],"&lt;="&amp;TableWeeklySummary[[#This Row],[Hasta]])</f>
        <v>0</v>
      </c>
      <c r="L149" s="11">
        <f>SUMIFS(TableDailySummary[Online Store_net_sales],TableDailySummary[Fecha],"&gt;="&amp;TableWeeklySummary[[#This Row],[Desde]],TableDailySummary[Fecha],"&lt;="&amp;TableWeeklySummary[[#This Row],[Hasta]])</f>
        <v>0</v>
      </c>
      <c r="M149" s="11">
        <f>SUMIFS(TableDailySummary[Online Store_orders],TableDailySummary[Fecha],"&gt;="&amp;TableWeeklySummary[[#This Row],[Desde]],TableDailySummary[Fecha],"&lt;="&amp;TableWeeklySummary[[#This Row],[Hasta]])</f>
        <v>0</v>
      </c>
      <c r="N149" s="11">
        <f>SUMIFS(TableDailySummary[Tienda 81_net_sales],TableDailySummary[Fecha],"&gt;="&amp;TableWeeklySummary[[#This Row],[Desde]],TableDailySummary[Fecha],"&lt;="&amp;TableWeeklySummary[[#This Row],[Hasta]])</f>
        <v>0</v>
      </c>
      <c r="O149" s="11">
        <f>SUMIFS(TableDailySummary[Tienda 81_orders],TableDailySummary[Fecha],"&gt;="&amp;TableWeeklySummary[[#This Row],[Desde]],TableDailySummary[Fecha],"&lt;="&amp;TableWeeklySummary[[#This Row],[Hasta]])</f>
        <v>0</v>
      </c>
      <c r="P149" s="11">
        <f>SUMIFS(TableDailySummary[Rappi_net_sales],TableDailySummary[Fecha],"&gt;="&amp;TableWeeklySummary[[#This Row],[Desde]],TableDailySummary[Fecha],"&lt;="&amp;TableWeeklySummary[[#This Row],[Hasta]])</f>
        <v>0</v>
      </c>
      <c r="Q149" s="11">
        <f>SUMIFS(TableDailySummary[Rappi_orders],TableDailySummary[Fecha],"&gt;="&amp;TableWeeklySummary[[#This Row],[Desde]],TableDailySummary[Fecha],"&lt;="&amp;TableWeeklySummary[[#This Row],[Hasta]])</f>
        <v>0</v>
      </c>
      <c r="R14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49" s="11">
        <f>SUMIFS(TableDailySummary[Corporativo no tienda_orders],TableDailySummary[Fecha],"&gt;="&amp;TableWeeklySummary[[#This Row],[Desde]],TableDailySummary[Fecha],"&lt;="&amp;TableWeeklySummary[[#This Row],[Hasta]])</f>
        <v>0</v>
      </c>
      <c r="T149" s="11">
        <f>SUMIFS(TableDailySummary[Inversión google ads],TableDailySummary[Fecha],"&gt;="&amp;TableWeeklySummary[[#This Row],[Desde]],TableDailySummary[Fecha],"&lt;="&amp;TableWeeklySummary[[#This Row],[Hasta]])</f>
        <v>0</v>
      </c>
      <c r="U149" s="11">
        <f>SUMIFS(TableDailySummary[Ventas google ads],TableDailySummary[Fecha],"&gt;="&amp;TableWeeklySummary[[#This Row],[Desde]],TableDailySummary[Fecha],"&lt;="&amp;TableWeeklySummary[[#This Row],[Hasta]])</f>
        <v>0</v>
      </c>
      <c r="V149" s="11">
        <f>SUMIFS(TableDailySummary[Inversión meta ads],TableDailySummary[Fecha],"&gt;="&amp;TableWeeklySummary[[#This Row],[Desde]],TableDailySummary[Fecha],"&lt;="&amp;TableWeeklySummary[[#This Row],[Hasta]])</f>
        <v>0</v>
      </c>
      <c r="W149" s="11">
        <f>SUMIFS(TableDailySummary[Ventas meta ads],TableDailySummary[Fecha],"&gt;="&amp;TableWeeklySummary[[#This Row],[Desde]],TableDailySummary[Fecha],"&lt;="&amp;TableWeeklySummary[[#This Row],[Hasta]])</f>
        <v>0</v>
      </c>
      <c r="X149" s="11">
        <f>TableWeeklySummary[[#This Row],[Inversión google ads]]+TableWeeklySummary[[#This Row],[Inversión meta ads]]</f>
        <v>0</v>
      </c>
      <c r="Y149" s="11">
        <f>TableWeeklySummary[[#This Row],[Ventas google ads]]+TableWeeklySummary[[#This Row],[Ventas meta ads]]</f>
        <v>0</v>
      </c>
      <c r="Z149" s="14">
        <f>IFERROR(TableWeeklySummary[[#This Row],[Ventas publicidad]]/TableWeeklySummary[[#This Row],[Inversión publicidad]],0)</f>
        <v>0</v>
      </c>
      <c r="AA149" s="14">
        <f>IFERROR(TableWeeklySummary[[#This Row],[Ventas primer cliente]]/TableWeeklySummary[[#This Row],[Inversión publicidad]],0)</f>
        <v>0</v>
      </c>
      <c r="AB149" s="14"/>
      <c r="AC149" s="11"/>
      <c r="AI14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49" s="11">
        <f>SUMIFS(TableDailySummary[Costo de ventas registrado],TableDailySummary[Fecha],"&gt;="&amp;TableWeeklySummary[[#This Row],[Desde]],TableDailySummary[Fecha],"&lt;="&amp;TableWeeklySummary[[#This Row],[Hasta]])</f>
        <v>0</v>
      </c>
      <c r="AK149" s="11">
        <f>SUMIFS(TableDailySummary[Utilidad bruta],TableDailySummary[Fecha],"&gt;="&amp;TableWeeklySummary[[#This Row],[Desde]],TableDailySummary[Fecha],"&lt;="&amp;TableWeeklySummary[[#This Row],[Hasta]])</f>
        <v>0</v>
      </c>
      <c r="AL149" s="18">
        <f>IFERROR(TableWeeklySummary[[#This Row],[Utilidad bruta]]/TableWeeklySummary[[#This Row],[Ventas netas con costo registrado]],0)</f>
        <v>0</v>
      </c>
    </row>
    <row r="150" spans="2:38" x14ac:dyDescent="0.2">
      <c r="B150" s="16">
        <f>_xlfn.ISOWEEKNUM(TableWeeklySummary[[#This Row],[Hasta]])</f>
        <v>35</v>
      </c>
      <c r="C150" s="6">
        <f t="shared" si="4"/>
        <v>45527</v>
      </c>
      <c r="D150" s="6">
        <f>TableWeeklySummary[[#This Row],[Desde]]+7-1</f>
        <v>45533</v>
      </c>
      <c r="E150" s="11">
        <f>SUMIFS(TableDailySummary[Ventas netas totales],TableDailySummary[Fecha],"&gt;="&amp;TableWeeklySummary[[#This Row],[Desde]],TableDailySummary[Fecha],"&lt;="&amp;TableWeeklySummary[[#This Row],[Hasta]])</f>
        <v>0</v>
      </c>
      <c r="F150" s="11">
        <f>SUMIFS(TableDailySummary[Órdenes totales],TableDailySummary[Fecha],"&gt;="&amp;TableWeeklySummary[[#This Row],[Desde]],TableDailySummary[Fecha],"&lt;="&amp;TableWeeklySummary[[#This Row],[Hasta]])</f>
        <v>0</v>
      </c>
      <c r="G150" s="11">
        <f>IFERROR(TableWeeklySummary[[#This Row],[Ventas netas totales]]/TableWeeklySummary[[#This Row],[Órdenes totales]],0)</f>
        <v>0</v>
      </c>
      <c r="H15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0" s="11">
        <f>TableWeeklySummary[[#This Row],[Órden promedio totales]]*TableWeeklySummary[[#This Row],[CR totales]]</f>
        <v>0</v>
      </c>
      <c r="J150" s="11">
        <f>SUMIFS(TableDailySummary[Ventas primer cliente],TableDailySummary[Fecha],"&gt;="&amp;TableWeeklySummary[[#This Row],[Desde]],TableDailySummary[Fecha],"&lt;="&amp;TableWeeklySummary[[#This Row],[Hasta]])</f>
        <v>0</v>
      </c>
      <c r="K150" s="11">
        <f>SUMIFS(TableDailySummary[Órdenes primer cliente],TableDailySummary[Fecha],"&gt;="&amp;TableWeeklySummary[[#This Row],[Desde]],TableDailySummary[Fecha],"&lt;="&amp;TableWeeklySummary[[#This Row],[Hasta]])</f>
        <v>0</v>
      </c>
      <c r="L150" s="11">
        <f>SUMIFS(TableDailySummary[Online Store_net_sales],TableDailySummary[Fecha],"&gt;="&amp;TableWeeklySummary[[#This Row],[Desde]],TableDailySummary[Fecha],"&lt;="&amp;TableWeeklySummary[[#This Row],[Hasta]])</f>
        <v>0</v>
      </c>
      <c r="M150" s="11">
        <f>SUMIFS(TableDailySummary[Online Store_orders],TableDailySummary[Fecha],"&gt;="&amp;TableWeeklySummary[[#This Row],[Desde]],TableDailySummary[Fecha],"&lt;="&amp;TableWeeklySummary[[#This Row],[Hasta]])</f>
        <v>0</v>
      </c>
      <c r="N150" s="11">
        <f>SUMIFS(TableDailySummary[Tienda 81_net_sales],TableDailySummary[Fecha],"&gt;="&amp;TableWeeklySummary[[#This Row],[Desde]],TableDailySummary[Fecha],"&lt;="&amp;TableWeeklySummary[[#This Row],[Hasta]])</f>
        <v>0</v>
      </c>
      <c r="O150" s="11">
        <f>SUMIFS(TableDailySummary[Tienda 81_orders],TableDailySummary[Fecha],"&gt;="&amp;TableWeeklySummary[[#This Row],[Desde]],TableDailySummary[Fecha],"&lt;="&amp;TableWeeklySummary[[#This Row],[Hasta]])</f>
        <v>0</v>
      </c>
      <c r="P150" s="11">
        <f>SUMIFS(TableDailySummary[Rappi_net_sales],TableDailySummary[Fecha],"&gt;="&amp;TableWeeklySummary[[#This Row],[Desde]],TableDailySummary[Fecha],"&lt;="&amp;TableWeeklySummary[[#This Row],[Hasta]])</f>
        <v>0</v>
      </c>
      <c r="Q150" s="11">
        <f>SUMIFS(TableDailySummary[Rappi_orders],TableDailySummary[Fecha],"&gt;="&amp;TableWeeklySummary[[#This Row],[Desde]],TableDailySummary[Fecha],"&lt;="&amp;TableWeeklySummary[[#This Row],[Hasta]])</f>
        <v>0</v>
      </c>
      <c r="R15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0" s="11">
        <f>SUMIFS(TableDailySummary[Corporativo no tienda_orders],TableDailySummary[Fecha],"&gt;="&amp;TableWeeklySummary[[#This Row],[Desde]],TableDailySummary[Fecha],"&lt;="&amp;TableWeeklySummary[[#This Row],[Hasta]])</f>
        <v>0</v>
      </c>
      <c r="T150" s="11">
        <f>SUMIFS(TableDailySummary[Inversión google ads],TableDailySummary[Fecha],"&gt;="&amp;TableWeeklySummary[[#This Row],[Desde]],TableDailySummary[Fecha],"&lt;="&amp;TableWeeklySummary[[#This Row],[Hasta]])</f>
        <v>0</v>
      </c>
      <c r="U150" s="11">
        <f>SUMIFS(TableDailySummary[Ventas google ads],TableDailySummary[Fecha],"&gt;="&amp;TableWeeklySummary[[#This Row],[Desde]],TableDailySummary[Fecha],"&lt;="&amp;TableWeeklySummary[[#This Row],[Hasta]])</f>
        <v>0</v>
      </c>
      <c r="V150" s="11">
        <f>SUMIFS(TableDailySummary[Inversión meta ads],TableDailySummary[Fecha],"&gt;="&amp;TableWeeklySummary[[#This Row],[Desde]],TableDailySummary[Fecha],"&lt;="&amp;TableWeeklySummary[[#This Row],[Hasta]])</f>
        <v>0</v>
      </c>
      <c r="W150" s="11">
        <f>SUMIFS(TableDailySummary[Ventas meta ads],TableDailySummary[Fecha],"&gt;="&amp;TableWeeklySummary[[#This Row],[Desde]],TableDailySummary[Fecha],"&lt;="&amp;TableWeeklySummary[[#This Row],[Hasta]])</f>
        <v>0</v>
      </c>
      <c r="X150" s="11">
        <f>TableWeeklySummary[[#This Row],[Inversión google ads]]+TableWeeklySummary[[#This Row],[Inversión meta ads]]</f>
        <v>0</v>
      </c>
      <c r="Y150" s="11">
        <f>TableWeeklySummary[[#This Row],[Ventas google ads]]+TableWeeklySummary[[#This Row],[Ventas meta ads]]</f>
        <v>0</v>
      </c>
      <c r="Z150" s="14">
        <f>IFERROR(TableWeeklySummary[[#This Row],[Ventas publicidad]]/TableWeeklySummary[[#This Row],[Inversión publicidad]],0)</f>
        <v>0</v>
      </c>
      <c r="AA150" s="14">
        <f>IFERROR(TableWeeklySummary[[#This Row],[Ventas primer cliente]]/TableWeeklySummary[[#This Row],[Inversión publicidad]],0)</f>
        <v>0</v>
      </c>
      <c r="AB150" s="14"/>
      <c r="AC150" s="11"/>
      <c r="AI15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0" s="11">
        <f>SUMIFS(TableDailySummary[Costo de ventas registrado],TableDailySummary[Fecha],"&gt;="&amp;TableWeeklySummary[[#This Row],[Desde]],TableDailySummary[Fecha],"&lt;="&amp;TableWeeklySummary[[#This Row],[Hasta]])</f>
        <v>0</v>
      </c>
      <c r="AK150" s="11">
        <f>SUMIFS(TableDailySummary[Utilidad bruta],TableDailySummary[Fecha],"&gt;="&amp;TableWeeklySummary[[#This Row],[Desde]],TableDailySummary[Fecha],"&lt;="&amp;TableWeeklySummary[[#This Row],[Hasta]])</f>
        <v>0</v>
      </c>
      <c r="AL150" s="18">
        <f>IFERROR(TableWeeklySummary[[#This Row],[Utilidad bruta]]/TableWeeklySummary[[#This Row],[Ventas netas con costo registrado]],0)</f>
        <v>0</v>
      </c>
    </row>
    <row r="151" spans="2:38" x14ac:dyDescent="0.2">
      <c r="B151" s="16">
        <f>_xlfn.ISOWEEKNUM(TableWeeklySummary[[#This Row],[Hasta]])</f>
        <v>36</v>
      </c>
      <c r="C151" s="6">
        <f t="shared" si="4"/>
        <v>45534</v>
      </c>
      <c r="D151" s="6">
        <f>TableWeeklySummary[[#This Row],[Desde]]+7-1</f>
        <v>45540</v>
      </c>
      <c r="E151" s="11">
        <f>SUMIFS(TableDailySummary[Ventas netas totales],TableDailySummary[Fecha],"&gt;="&amp;TableWeeklySummary[[#This Row],[Desde]],TableDailySummary[Fecha],"&lt;="&amp;TableWeeklySummary[[#This Row],[Hasta]])</f>
        <v>0</v>
      </c>
      <c r="F151" s="11">
        <f>SUMIFS(TableDailySummary[Órdenes totales],TableDailySummary[Fecha],"&gt;="&amp;TableWeeklySummary[[#This Row],[Desde]],TableDailySummary[Fecha],"&lt;="&amp;TableWeeklySummary[[#This Row],[Hasta]])</f>
        <v>0</v>
      </c>
      <c r="G151" s="11">
        <f>IFERROR(TableWeeklySummary[[#This Row],[Ventas netas totales]]/TableWeeklySummary[[#This Row],[Órdenes totales]],0)</f>
        <v>0</v>
      </c>
      <c r="H15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1" s="11">
        <f>TableWeeklySummary[[#This Row],[Órden promedio totales]]*TableWeeklySummary[[#This Row],[CR totales]]</f>
        <v>0</v>
      </c>
      <c r="J151" s="11">
        <f>SUMIFS(TableDailySummary[Ventas primer cliente],TableDailySummary[Fecha],"&gt;="&amp;TableWeeklySummary[[#This Row],[Desde]],TableDailySummary[Fecha],"&lt;="&amp;TableWeeklySummary[[#This Row],[Hasta]])</f>
        <v>0</v>
      </c>
      <c r="K151" s="11">
        <f>SUMIFS(TableDailySummary[Órdenes primer cliente],TableDailySummary[Fecha],"&gt;="&amp;TableWeeklySummary[[#This Row],[Desde]],TableDailySummary[Fecha],"&lt;="&amp;TableWeeklySummary[[#This Row],[Hasta]])</f>
        <v>0</v>
      </c>
      <c r="L151" s="11">
        <f>SUMIFS(TableDailySummary[Online Store_net_sales],TableDailySummary[Fecha],"&gt;="&amp;TableWeeklySummary[[#This Row],[Desde]],TableDailySummary[Fecha],"&lt;="&amp;TableWeeklySummary[[#This Row],[Hasta]])</f>
        <v>0</v>
      </c>
      <c r="M151" s="11">
        <f>SUMIFS(TableDailySummary[Online Store_orders],TableDailySummary[Fecha],"&gt;="&amp;TableWeeklySummary[[#This Row],[Desde]],TableDailySummary[Fecha],"&lt;="&amp;TableWeeklySummary[[#This Row],[Hasta]])</f>
        <v>0</v>
      </c>
      <c r="N151" s="11">
        <f>SUMIFS(TableDailySummary[Tienda 81_net_sales],TableDailySummary[Fecha],"&gt;="&amp;TableWeeklySummary[[#This Row],[Desde]],TableDailySummary[Fecha],"&lt;="&amp;TableWeeklySummary[[#This Row],[Hasta]])</f>
        <v>0</v>
      </c>
      <c r="O151" s="11">
        <f>SUMIFS(TableDailySummary[Tienda 81_orders],TableDailySummary[Fecha],"&gt;="&amp;TableWeeklySummary[[#This Row],[Desde]],TableDailySummary[Fecha],"&lt;="&amp;TableWeeklySummary[[#This Row],[Hasta]])</f>
        <v>0</v>
      </c>
      <c r="P151" s="11">
        <f>SUMIFS(TableDailySummary[Rappi_net_sales],TableDailySummary[Fecha],"&gt;="&amp;TableWeeklySummary[[#This Row],[Desde]],TableDailySummary[Fecha],"&lt;="&amp;TableWeeklySummary[[#This Row],[Hasta]])</f>
        <v>0</v>
      </c>
      <c r="Q151" s="11">
        <f>SUMIFS(TableDailySummary[Rappi_orders],TableDailySummary[Fecha],"&gt;="&amp;TableWeeklySummary[[#This Row],[Desde]],TableDailySummary[Fecha],"&lt;="&amp;TableWeeklySummary[[#This Row],[Hasta]])</f>
        <v>0</v>
      </c>
      <c r="R15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1" s="11">
        <f>SUMIFS(TableDailySummary[Corporativo no tienda_orders],TableDailySummary[Fecha],"&gt;="&amp;TableWeeklySummary[[#This Row],[Desde]],TableDailySummary[Fecha],"&lt;="&amp;TableWeeklySummary[[#This Row],[Hasta]])</f>
        <v>0</v>
      </c>
      <c r="T151" s="11">
        <f>SUMIFS(TableDailySummary[Inversión google ads],TableDailySummary[Fecha],"&gt;="&amp;TableWeeklySummary[[#This Row],[Desde]],TableDailySummary[Fecha],"&lt;="&amp;TableWeeklySummary[[#This Row],[Hasta]])</f>
        <v>0</v>
      </c>
      <c r="U151" s="11">
        <f>SUMIFS(TableDailySummary[Ventas google ads],TableDailySummary[Fecha],"&gt;="&amp;TableWeeklySummary[[#This Row],[Desde]],TableDailySummary[Fecha],"&lt;="&amp;TableWeeklySummary[[#This Row],[Hasta]])</f>
        <v>0</v>
      </c>
      <c r="V151" s="11">
        <f>SUMIFS(TableDailySummary[Inversión meta ads],TableDailySummary[Fecha],"&gt;="&amp;TableWeeklySummary[[#This Row],[Desde]],TableDailySummary[Fecha],"&lt;="&amp;TableWeeklySummary[[#This Row],[Hasta]])</f>
        <v>0</v>
      </c>
      <c r="W151" s="11">
        <f>SUMIFS(TableDailySummary[Ventas meta ads],TableDailySummary[Fecha],"&gt;="&amp;TableWeeklySummary[[#This Row],[Desde]],TableDailySummary[Fecha],"&lt;="&amp;TableWeeklySummary[[#This Row],[Hasta]])</f>
        <v>0</v>
      </c>
      <c r="X151" s="11">
        <f>TableWeeklySummary[[#This Row],[Inversión google ads]]+TableWeeklySummary[[#This Row],[Inversión meta ads]]</f>
        <v>0</v>
      </c>
      <c r="Y151" s="11">
        <f>TableWeeklySummary[[#This Row],[Ventas google ads]]+TableWeeklySummary[[#This Row],[Ventas meta ads]]</f>
        <v>0</v>
      </c>
      <c r="Z151" s="14">
        <f>IFERROR(TableWeeklySummary[[#This Row],[Ventas publicidad]]/TableWeeklySummary[[#This Row],[Inversión publicidad]],0)</f>
        <v>0</v>
      </c>
      <c r="AA151" s="14">
        <f>IFERROR(TableWeeklySummary[[#This Row],[Ventas primer cliente]]/TableWeeklySummary[[#This Row],[Inversión publicidad]],0)</f>
        <v>0</v>
      </c>
      <c r="AB151" s="14"/>
      <c r="AC151" s="11"/>
      <c r="AI15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1" s="11">
        <f>SUMIFS(TableDailySummary[Costo de ventas registrado],TableDailySummary[Fecha],"&gt;="&amp;TableWeeklySummary[[#This Row],[Desde]],TableDailySummary[Fecha],"&lt;="&amp;TableWeeklySummary[[#This Row],[Hasta]])</f>
        <v>0</v>
      </c>
      <c r="AK151" s="11">
        <f>SUMIFS(TableDailySummary[Utilidad bruta],TableDailySummary[Fecha],"&gt;="&amp;TableWeeklySummary[[#This Row],[Desde]],TableDailySummary[Fecha],"&lt;="&amp;TableWeeklySummary[[#This Row],[Hasta]])</f>
        <v>0</v>
      </c>
      <c r="AL151" s="18">
        <f>IFERROR(TableWeeklySummary[[#This Row],[Utilidad bruta]]/TableWeeklySummary[[#This Row],[Ventas netas con costo registrado]],0)</f>
        <v>0</v>
      </c>
    </row>
    <row r="152" spans="2:38" x14ac:dyDescent="0.2">
      <c r="B152" s="16">
        <f>_xlfn.ISOWEEKNUM(TableWeeklySummary[[#This Row],[Hasta]])</f>
        <v>37</v>
      </c>
      <c r="C152" s="6">
        <f t="shared" si="4"/>
        <v>45541</v>
      </c>
      <c r="D152" s="6">
        <f>TableWeeklySummary[[#This Row],[Desde]]+7-1</f>
        <v>45547</v>
      </c>
      <c r="E152" s="11">
        <f>SUMIFS(TableDailySummary[Ventas netas totales],TableDailySummary[Fecha],"&gt;="&amp;TableWeeklySummary[[#This Row],[Desde]],TableDailySummary[Fecha],"&lt;="&amp;TableWeeklySummary[[#This Row],[Hasta]])</f>
        <v>0</v>
      </c>
      <c r="F152" s="11">
        <f>SUMIFS(TableDailySummary[Órdenes totales],TableDailySummary[Fecha],"&gt;="&amp;TableWeeklySummary[[#This Row],[Desde]],TableDailySummary[Fecha],"&lt;="&amp;TableWeeklySummary[[#This Row],[Hasta]])</f>
        <v>0</v>
      </c>
      <c r="G152" s="11">
        <f>IFERROR(TableWeeklySummary[[#This Row],[Ventas netas totales]]/TableWeeklySummary[[#This Row],[Órdenes totales]],0)</f>
        <v>0</v>
      </c>
      <c r="H15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2" s="11">
        <f>TableWeeklySummary[[#This Row],[Órden promedio totales]]*TableWeeklySummary[[#This Row],[CR totales]]</f>
        <v>0</v>
      </c>
      <c r="J152" s="11">
        <f>SUMIFS(TableDailySummary[Ventas primer cliente],TableDailySummary[Fecha],"&gt;="&amp;TableWeeklySummary[[#This Row],[Desde]],TableDailySummary[Fecha],"&lt;="&amp;TableWeeklySummary[[#This Row],[Hasta]])</f>
        <v>0</v>
      </c>
      <c r="K152" s="11">
        <f>SUMIFS(TableDailySummary[Órdenes primer cliente],TableDailySummary[Fecha],"&gt;="&amp;TableWeeklySummary[[#This Row],[Desde]],TableDailySummary[Fecha],"&lt;="&amp;TableWeeklySummary[[#This Row],[Hasta]])</f>
        <v>0</v>
      </c>
      <c r="L152" s="11">
        <f>SUMIFS(TableDailySummary[Online Store_net_sales],TableDailySummary[Fecha],"&gt;="&amp;TableWeeklySummary[[#This Row],[Desde]],TableDailySummary[Fecha],"&lt;="&amp;TableWeeklySummary[[#This Row],[Hasta]])</f>
        <v>0</v>
      </c>
      <c r="M152" s="11">
        <f>SUMIFS(TableDailySummary[Online Store_orders],TableDailySummary[Fecha],"&gt;="&amp;TableWeeklySummary[[#This Row],[Desde]],TableDailySummary[Fecha],"&lt;="&amp;TableWeeklySummary[[#This Row],[Hasta]])</f>
        <v>0</v>
      </c>
      <c r="N152" s="11">
        <f>SUMIFS(TableDailySummary[Tienda 81_net_sales],TableDailySummary[Fecha],"&gt;="&amp;TableWeeklySummary[[#This Row],[Desde]],TableDailySummary[Fecha],"&lt;="&amp;TableWeeklySummary[[#This Row],[Hasta]])</f>
        <v>0</v>
      </c>
      <c r="O152" s="11">
        <f>SUMIFS(TableDailySummary[Tienda 81_orders],TableDailySummary[Fecha],"&gt;="&amp;TableWeeklySummary[[#This Row],[Desde]],TableDailySummary[Fecha],"&lt;="&amp;TableWeeklySummary[[#This Row],[Hasta]])</f>
        <v>0</v>
      </c>
      <c r="P152" s="11">
        <f>SUMIFS(TableDailySummary[Rappi_net_sales],TableDailySummary[Fecha],"&gt;="&amp;TableWeeklySummary[[#This Row],[Desde]],TableDailySummary[Fecha],"&lt;="&amp;TableWeeklySummary[[#This Row],[Hasta]])</f>
        <v>0</v>
      </c>
      <c r="Q152" s="11">
        <f>SUMIFS(TableDailySummary[Rappi_orders],TableDailySummary[Fecha],"&gt;="&amp;TableWeeklySummary[[#This Row],[Desde]],TableDailySummary[Fecha],"&lt;="&amp;TableWeeklySummary[[#This Row],[Hasta]])</f>
        <v>0</v>
      </c>
      <c r="R15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2" s="11">
        <f>SUMIFS(TableDailySummary[Corporativo no tienda_orders],TableDailySummary[Fecha],"&gt;="&amp;TableWeeklySummary[[#This Row],[Desde]],TableDailySummary[Fecha],"&lt;="&amp;TableWeeklySummary[[#This Row],[Hasta]])</f>
        <v>0</v>
      </c>
      <c r="T152" s="11">
        <f>SUMIFS(TableDailySummary[Inversión google ads],TableDailySummary[Fecha],"&gt;="&amp;TableWeeklySummary[[#This Row],[Desde]],TableDailySummary[Fecha],"&lt;="&amp;TableWeeklySummary[[#This Row],[Hasta]])</f>
        <v>0</v>
      </c>
      <c r="U152" s="11">
        <f>SUMIFS(TableDailySummary[Ventas google ads],TableDailySummary[Fecha],"&gt;="&amp;TableWeeklySummary[[#This Row],[Desde]],TableDailySummary[Fecha],"&lt;="&amp;TableWeeklySummary[[#This Row],[Hasta]])</f>
        <v>0</v>
      </c>
      <c r="V152" s="11">
        <f>SUMIFS(TableDailySummary[Inversión meta ads],TableDailySummary[Fecha],"&gt;="&amp;TableWeeklySummary[[#This Row],[Desde]],TableDailySummary[Fecha],"&lt;="&amp;TableWeeklySummary[[#This Row],[Hasta]])</f>
        <v>0</v>
      </c>
      <c r="W152" s="11">
        <f>SUMIFS(TableDailySummary[Ventas meta ads],TableDailySummary[Fecha],"&gt;="&amp;TableWeeklySummary[[#This Row],[Desde]],TableDailySummary[Fecha],"&lt;="&amp;TableWeeklySummary[[#This Row],[Hasta]])</f>
        <v>0</v>
      </c>
      <c r="X152" s="11">
        <f>TableWeeklySummary[[#This Row],[Inversión google ads]]+TableWeeklySummary[[#This Row],[Inversión meta ads]]</f>
        <v>0</v>
      </c>
      <c r="Y152" s="11">
        <f>TableWeeklySummary[[#This Row],[Ventas google ads]]+TableWeeklySummary[[#This Row],[Ventas meta ads]]</f>
        <v>0</v>
      </c>
      <c r="Z152" s="14">
        <f>IFERROR(TableWeeklySummary[[#This Row],[Ventas publicidad]]/TableWeeklySummary[[#This Row],[Inversión publicidad]],0)</f>
        <v>0</v>
      </c>
      <c r="AA152" s="14">
        <f>IFERROR(TableWeeklySummary[[#This Row],[Ventas primer cliente]]/TableWeeklySummary[[#This Row],[Inversión publicidad]],0)</f>
        <v>0</v>
      </c>
      <c r="AB152" s="14"/>
      <c r="AC152" s="11"/>
      <c r="AI15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2" s="11">
        <f>SUMIFS(TableDailySummary[Costo de ventas registrado],TableDailySummary[Fecha],"&gt;="&amp;TableWeeklySummary[[#This Row],[Desde]],TableDailySummary[Fecha],"&lt;="&amp;TableWeeklySummary[[#This Row],[Hasta]])</f>
        <v>0</v>
      </c>
      <c r="AK152" s="11">
        <f>SUMIFS(TableDailySummary[Utilidad bruta],TableDailySummary[Fecha],"&gt;="&amp;TableWeeklySummary[[#This Row],[Desde]],TableDailySummary[Fecha],"&lt;="&amp;TableWeeklySummary[[#This Row],[Hasta]])</f>
        <v>0</v>
      </c>
      <c r="AL152" s="18">
        <f>IFERROR(TableWeeklySummary[[#This Row],[Utilidad bruta]]/TableWeeklySummary[[#This Row],[Ventas netas con costo registrado]],0)</f>
        <v>0</v>
      </c>
    </row>
    <row r="153" spans="2:38" x14ac:dyDescent="0.2">
      <c r="B153" s="16">
        <f>_xlfn.ISOWEEKNUM(TableWeeklySummary[[#This Row],[Hasta]])</f>
        <v>38</v>
      </c>
      <c r="C153" s="6">
        <f t="shared" si="4"/>
        <v>45548</v>
      </c>
      <c r="D153" s="6">
        <f>TableWeeklySummary[[#This Row],[Desde]]+7-1</f>
        <v>45554</v>
      </c>
      <c r="E153" s="11">
        <f>SUMIFS(TableDailySummary[Ventas netas totales],TableDailySummary[Fecha],"&gt;="&amp;TableWeeklySummary[[#This Row],[Desde]],TableDailySummary[Fecha],"&lt;="&amp;TableWeeklySummary[[#This Row],[Hasta]])</f>
        <v>0</v>
      </c>
      <c r="F153" s="11">
        <f>SUMIFS(TableDailySummary[Órdenes totales],TableDailySummary[Fecha],"&gt;="&amp;TableWeeklySummary[[#This Row],[Desde]],TableDailySummary[Fecha],"&lt;="&amp;TableWeeklySummary[[#This Row],[Hasta]])</f>
        <v>0</v>
      </c>
      <c r="G153" s="11">
        <f>IFERROR(TableWeeklySummary[[#This Row],[Ventas netas totales]]/TableWeeklySummary[[#This Row],[Órdenes totales]],0)</f>
        <v>0</v>
      </c>
      <c r="H15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3" s="11">
        <f>TableWeeklySummary[[#This Row],[Órden promedio totales]]*TableWeeklySummary[[#This Row],[CR totales]]</f>
        <v>0</v>
      </c>
      <c r="J153" s="11">
        <f>SUMIFS(TableDailySummary[Ventas primer cliente],TableDailySummary[Fecha],"&gt;="&amp;TableWeeklySummary[[#This Row],[Desde]],TableDailySummary[Fecha],"&lt;="&amp;TableWeeklySummary[[#This Row],[Hasta]])</f>
        <v>0</v>
      </c>
      <c r="K153" s="11">
        <f>SUMIFS(TableDailySummary[Órdenes primer cliente],TableDailySummary[Fecha],"&gt;="&amp;TableWeeklySummary[[#This Row],[Desde]],TableDailySummary[Fecha],"&lt;="&amp;TableWeeklySummary[[#This Row],[Hasta]])</f>
        <v>0</v>
      </c>
      <c r="L153" s="11">
        <f>SUMIFS(TableDailySummary[Online Store_net_sales],TableDailySummary[Fecha],"&gt;="&amp;TableWeeklySummary[[#This Row],[Desde]],TableDailySummary[Fecha],"&lt;="&amp;TableWeeklySummary[[#This Row],[Hasta]])</f>
        <v>0</v>
      </c>
      <c r="M153" s="11">
        <f>SUMIFS(TableDailySummary[Online Store_orders],TableDailySummary[Fecha],"&gt;="&amp;TableWeeklySummary[[#This Row],[Desde]],TableDailySummary[Fecha],"&lt;="&amp;TableWeeklySummary[[#This Row],[Hasta]])</f>
        <v>0</v>
      </c>
      <c r="N153" s="11">
        <f>SUMIFS(TableDailySummary[Tienda 81_net_sales],TableDailySummary[Fecha],"&gt;="&amp;TableWeeklySummary[[#This Row],[Desde]],TableDailySummary[Fecha],"&lt;="&amp;TableWeeklySummary[[#This Row],[Hasta]])</f>
        <v>0</v>
      </c>
      <c r="O153" s="11">
        <f>SUMIFS(TableDailySummary[Tienda 81_orders],TableDailySummary[Fecha],"&gt;="&amp;TableWeeklySummary[[#This Row],[Desde]],TableDailySummary[Fecha],"&lt;="&amp;TableWeeklySummary[[#This Row],[Hasta]])</f>
        <v>0</v>
      </c>
      <c r="P153" s="11">
        <f>SUMIFS(TableDailySummary[Rappi_net_sales],TableDailySummary[Fecha],"&gt;="&amp;TableWeeklySummary[[#This Row],[Desde]],TableDailySummary[Fecha],"&lt;="&amp;TableWeeklySummary[[#This Row],[Hasta]])</f>
        <v>0</v>
      </c>
      <c r="Q153" s="11">
        <f>SUMIFS(TableDailySummary[Rappi_orders],TableDailySummary[Fecha],"&gt;="&amp;TableWeeklySummary[[#This Row],[Desde]],TableDailySummary[Fecha],"&lt;="&amp;TableWeeklySummary[[#This Row],[Hasta]])</f>
        <v>0</v>
      </c>
      <c r="R15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3" s="11">
        <f>SUMIFS(TableDailySummary[Corporativo no tienda_orders],TableDailySummary[Fecha],"&gt;="&amp;TableWeeklySummary[[#This Row],[Desde]],TableDailySummary[Fecha],"&lt;="&amp;TableWeeklySummary[[#This Row],[Hasta]])</f>
        <v>0</v>
      </c>
      <c r="T153" s="11">
        <f>SUMIFS(TableDailySummary[Inversión google ads],TableDailySummary[Fecha],"&gt;="&amp;TableWeeklySummary[[#This Row],[Desde]],TableDailySummary[Fecha],"&lt;="&amp;TableWeeklySummary[[#This Row],[Hasta]])</f>
        <v>0</v>
      </c>
      <c r="U153" s="11">
        <f>SUMIFS(TableDailySummary[Ventas google ads],TableDailySummary[Fecha],"&gt;="&amp;TableWeeklySummary[[#This Row],[Desde]],TableDailySummary[Fecha],"&lt;="&amp;TableWeeklySummary[[#This Row],[Hasta]])</f>
        <v>0</v>
      </c>
      <c r="V153" s="11">
        <f>SUMIFS(TableDailySummary[Inversión meta ads],TableDailySummary[Fecha],"&gt;="&amp;TableWeeklySummary[[#This Row],[Desde]],TableDailySummary[Fecha],"&lt;="&amp;TableWeeklySummary[[#This Row],[Hasta]])</f>
        <v>0</v>
      </c>
      <c r="W153" s="11">
        <f>SUMIFS(TableDailySummary[Ventas meta ads],TableDailySummary[Fecha],"&gt;="&amp;TableWeeklySummary[[#This Row],[Desde]],TableDailySummary[Fecha],"&lt;="&amp;TableWeeklySummary[[#This Row],[Hasta]])</f>
        <v>0</v>
      </c>
      <c r="X153" s="11">
        <f>TableWeeklySummary[[#This Row],[Inversión google ads]]+TableWeeklySummary[[#This Row],[Inversión meta ads]]</f>
        <v>0</v>
      </c>
      <c r="Y153" s="11">
        <f>TableWeeklySummary[[#This Row],[Ventas google ads]]+TableWeeklySummary[[#This Row],[Ventas meta ads]]</f>
        <v>0</v>
      </c>
      <c r="Z153" s="14">
        <f>IFERROR(TableWeeklySummary[[#This Row],[Ventas publicidad]]/TableWeeklySummary[[#This Row],[Inversión publicidad]],0)</f>
        <v>0</v>
      </c>
      <c r="AA153" s="14">
        <f>IFERROR(TableWeeklySummary[[#This Row],[Ventas primer cliente]]/TableWeeklySummary[[#This Row],[Inversión publicidad]],0)</f>
        <v>0</v>
      </c>
      <c r="AB153" s="14"/>
      <c r="AC153" s="11"/>
      <c r="AI15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3" s="11">
        <f>SUMIFS(TableDailySummary[Costo de ventas registrado],TableDailySummary[Fecha],"&gt;="&amp;TableWeeklySummary[[#This Row],[Desde]],TableDailySummary[Fecha],"&lt;="&amp;TableWeeklySummary[[#This Row],[Hasta]])</f>
        <v>0</v>
      </c>
      <c r="AK153" s="11">
        <f>SUMIFS(TableDailySummary[Utilidad bruta],TableDailySummary[Fecha],"&gt;="&amp;TableWeeklySummary[[#This Row],[Desde]],TableDailySummary[Fecha],"&lt;="&amp;TableWeeklySummary[[#This Row],[Hasta]])</f>
        <v>0</v>
      </c>
      <c r="AL153" s="18">
        <f>IFERROR(TableWeeklySummary[[#This Row],[Utilidad bruta]]/TableWeeklySummary[[#This Row],[Ventas netas con costo registrado]],0)</f>
        <v>0</v>
      </c>
    </row>
    <row r="154" spans="2:38" x14ac:dyDescent="0.2">
      <c r="B154" s="16">
        <f>_xlfn.ISOWEEKNUM(TableWeeklySummary[[#This Row],[Hasta]])</f>
        <v>39</v>
      </c>
      <c r="C154" s="6">
        <f t="shared" si="4"/>
        <v>45555</v>
      </c>
      <c r="D154" s="6">
        <f>TableWeeklySummary[[#This Row],[Desde]]+7-1</f>
        <v>45561</v>
      </c>
      <c r="E154" s="11">
        <f>SUMIFS(TableDailySummary[Ventas netas totales],TableDailySummary[Fecha],"&gt;="&amp;TableWeeklySummary[[#This Row],[Desde]],TableDailySummary[Fecha],"&lt;="&amp;TableWeeklySummary[[#This Row],[Hasta]])</f>
        <v>0</v>
      </c>
      <c r="F154" s="11">
        <f>SUMIFS(TableDailySummary[Órdenes totales],TableDailySummary[Fecha],"&gt;="&amp;TableWeeklySummary[[#This Row],[Desde]],TableDailySummary[Fecha],"&lt;="&amp;TableWeeklySummary[[#This Row],[Hasta]])</f>
        <v>0</v>
      </c>
      <c r="G154" s="11">
        <f>IFERROR(TableWeeklySummary[[#This Row],[Ventas netas totales]]/TableWeeklySummary[[#This Row],[Órdenes totales]],0)</f>
        <v>0</v>
      </c>
      <c r="H15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4" s="11">
        <f>TableWeeklySummary[[#This Row],[Órden promedio totales]]*TableWeeklySummary[[#This Row],[CR totales]]</f>
        <v>0</v>
      </c>
      <c r="J154" s="11">
        <f>SUMIFS(TableDailySummary[Ventas primer cliente],TableDailySummary[Fecha],"&gt;="&amp;TableWeeklySummary[[#This Row],[Desde]],TableDailySummary[Fecha],"&lt;="&amp;TableWeeklySummary[[#This Row],[Hasta]])</f>
        <v>0</v>
      </c>
      <c r="K154" s="11">
        <f>SUMIFS(TableDailySummary[Órdenes primer cliente],TableDailySummary[Fecha],"&gt;="&amp;TableWeeklySummary[[#This Row],[Desde]],TableDailySummary[Fecha],"&lt;="&amp;TableWeeklySummary[[#This Row],[Hasta]])</f>
        <v>0</v>
      </c>
      <c r="L154" s="11">
        <f>SUMIFS(TableDailySummary[Online Store_net_sales],TableDailySummary[Fecha],"&gt;="&amp;TableWeeklySummary[[#This Row],[Desde]],TableDailySummary[Fecha],"&lt;="&amp;TableWeeklySummary[[#This Row],[Hasta]])</f>
        <v>0</v>
      </c>
      <c r="M154" s="11">
        <f>SUMIFS(TableDailySummary[Online Store_orders],TableDailySummary[Fecha],"&gt;="&amp;TableWeeklySummary[[#This Row],[Desde]],TableDailySummary[Fecha],"&lt;="&amp;TableWeeklySummary[[#This Row],[Hasta]])</f>
        <v>0</v>
      </c>
      <c r="N154" s="11">
        <f>SUMIFS(TableDailySummary[Tienda 81_net_sales],TableDailySummary[Fecha],"&gt;="&amp;TableWeeklySummary[[#This Row],[Desde]],TableDailySummary[Fecha],"&lt;="&amp;TableWeeklySummary[[#This Row],[Hasta]])</f>
        <v>0</v>
      </c>
      <c r="O154" s="11">
        <f>SUMIFS(TableDailySummary[Tienda 81_orders],TableDailySummary[Fecha],"&gt;="&amp;TableWeeklySummary[[#This Row],[Desde]],TableDailySummary[Fecha],"&lt;="&amp;TableWeeklySummary[[#This Row],[Hasta]])</f>
        <v>0</v>
      </c>
      <c r="P154" s="11">
        <f>SUMIFS(TableDailySummary[Rappi_net_sales],TableDailySummary[Fecha],"&gt;="&amp;TableWeeklySummary[[#This Row],[Desde]],TableDailySummary[Fecha],"&lt;="&amp;TableWeeklySummary[[#This Row],[Hasta]])</f>
        <v>0</v>
      </c>
      <c r="Q154" s="11">
        <f>SUMIFS(TableDailySummary[Rappi_orders],TableDailySummary[Fecha],"&gt;="&amp;TableWeeklySummary[[#This Row],[Desde]],TableDailySummary[Fecha],"&lt;="&amp;TableWeeklySummary[[#This Row],[Hasta]])</f>
        <v>0</v>
      </c>
      <c r="R15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4" s="11">
        <f>SUMIFS(TableDailySummary[Corporativo no tienda_orders],TableDailySummary[Fecha],"&gt;="&amp;TableWeeklySummary[[#This Row],[Desde]],TableDailySummary[Fecha],"&lt;="&amp;TableWeeklySummary[[#This Row],[Hasta]])</f>
        <v>0</v>
      </c>
      <c r="T154" s="11">
        <f>SUMIFS(TableDailySummary[Inversión google ads],TableDailySummary[Fecha],"&gt;="&amp;TableWeeklySummary[[#This Row],[Desde]],TableDailySummary[Fecha],"&lt;="&amp;TableWeeklySummary[[#This Row],[Hasta]])</f>
        <v>0</v>
      </c>
      <c r="U154" s="11">
        <f>SUMIFS(TableDailySummary[Ventas google ads],TableDailySummary[Fecha],"&gt;="&amp;TableWeeklySummary[[#This Row],[Desde]],TableDailySummary[Fecha],"&lt;="&amp;TableWeeklySummary[[#This Row],[Hasta]])</f>
        <v>0</v>
      </c>
      <c r="V154" s="11">
        <f>SUMIFS(TableDailySummary[Inversión meta ads],TableDailySummary[Fecha],"&gt;="&amp;TableWeeklySummary[[#This Row],[Desde]],TableDailySummary[Fecha],"&lt;="&amp;TableWeeklySummary[[#This Row],[Hasta]])</f>
        <v>0</v>
      </c>
      <c r="W154" s="11">
        <f>SUMIFS(TableDailySummary[Ventas meta ads],TableDailySummary[Fecha],"&gt;="&amp;TableWeeklySummary[[#This Row],[Desde]],TableDailySummary[Fecha],"&lt;="&amp;TableWeeklySummary[[#This Row],[Hasta]])</f>
        <v>0</v>
      </c>
      <c r="X154" s="11">
        <f>TableWeeklySummary[[#This Row],[Inversión google ads]]+TableWeeklySummary[[#This Row],[Inversión meta ads]]</f>
        <v>0</v>
      </c>
      <c r="Y154" s="11">
        <f>TableWeeklySummary[[#This Row],[Ventas google ads]]+TableWeeklySummary[[#This Row],[Ventas meta ads]]</f>
        <v>0</v>
      </c>
      <c r="Z154" s="14">
        <f>IFERROR(TableWeeklySummary[[#This Row],[Ventas publicidad]]/TableWeeklySummary[[#This Row],[Inversión publicidad]],0)</f>
        <v>0</v>
      </c>
      <c r="AA154" s="14">
        <f>IFERROR(TableWeeklySummary[[#This Row],[Ventas primer cliente]]/TableWeeklySummary[[#This Row],[Inversión publicidad]],0)</f>
        <v>0</v>
      </c>
      <c r="AB154" s="14"/>
      <c r="AC154" s="11"/>
      <c r="AI15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4" s="11">
        <f>SUMIFS(TableDailySummary[Costo de ventas registrado],TableDailySummary[Fecha],"&gt;="&amp;TableWeeklySummary[[#This Row],[Desde]],TableDailySummary[Fecha],"&lt;="&amp;TableWeeklySummary[[#This Row],[Hasta]])</f>
        <v>0</v>
      </c>
      <c r="AK154" s="11">
        <f>SUMIFS(TableDailySummary[Utilidad bruta],TableDailySummary[Fecha],"&gt;="&amp;TableWeeklySummary[[#This Row],[Desde]],TableDailySummary[Fecha],"&lt;="&amp;TableWeeklySummary[[#This Row],[Hasta]])</f>
        <v>0</v>
      </c>
      <c r="AL154" s="18">
        <f>IFERROR(TableWeeklySummary[[#This Row],[Utilidad bruta]]/TableWeeklySummary[[#This Row],[Ventas netas con costo registrado]],0)</f>
        <v>0</v>
      </c>
    </row>
    <row r="155" spans="2:38" x14ac:dyDescent="0.2">
      <c r="B155" s="16">
        <f>_xlfn.ISOWEEKNUM(TableWeeklySummary[[#This Row],[Hasta]])</f>
        <v>40</v>
      </c>
      <c r="C155" s="6">
        <f t="shared" si="4"/>
        <v>45562</v>
      </c>
      <c r="D155" s="6">
        <f>TableWeeklySummary[[#This Row],[Desde]]+7-1</f>
        <v>45568</v>
      </c>
      <c r="E155" s="11">
        <f>SUMIFS(TableDailySummary[Ventas netas totales],TableDailySummary[Fecha],"&gt;="&amp;TableWeeklySummary[[#This Row],[Desde]],TableDailySummary[Fecha],"&lt;="&amp;TableWeeklySummary[[#This Row],[Hasta]])</f>
        <v>0</v>
      </c>
      <c r="F155" s="11">
        <f>SUMIFS(TableDailySummary[Órdenes totales],TableDailySummary[Fecha],"&gt;="&amp;TableWeeklySummary[[#This Row],[Desde]],TableDailySummary[Fecha],"&lt;="&amp;TableWeeklySummary[[#This Row],[Hasta]])</f>
        <v>0</v>
      </c>
      <c r="G155" s="11">
        <f>IFERROR(TableWeeklySummary[[#This Row],[Ventas netas totales]]/TableWeeklySummary[[#This Row],[Órdenes totales]],0)</f>
        <v>0</v>
      </c>
      <c r="H15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5" s="11">
        <f>TableWeeklySummary[[#This Row],[Órden promedio totales]]*TableWeeklySummary[[#This Row],[CR totales]]</f>
        <v>0</v>
      </c>
      <c r="J155" s="11">
        <f>SUMIFS(TableDailySummary[Ventas primer cliente],TableDailySummary[Fecha],"&gt;="&amp;TableWeeklySummary[[#This Row],[Desde]],TableDailySummary[Fecha],"&lt;="&amp;TableWeeklySummary[[#This Row],[Hasta]])</f>
        <v>0</v>
      </c>
      <c r="K155" s="11">
        <f>SUMIFS(TableDailySummary[Órdenes primer cliente],TableDailySummary[Fecha],"&gt;="&amp;TableWeeklySummary[[#This Row],[Desde]],TableDailySummary[Fecha],"&lt;="&amp;TableWeeklySummary[[#This Row],[Hasta]])</f>
        <v>0</v>
      </c>
      <c r="L155" s="11">
        <f>SUMIFS(TableDailySummary[Online Store_net_sales],TableDailySummary[Fecha],"&gt;="&amp;TableWeeklySummary[[#This Row],[Desde]],TableDailySummary[Fecha],"&lt;="&amp;TableWeeklySummary[[#This Row],[Hasta]])</f>
        <v>0</v>
      </c>
      <c r="M155" s="11">
        <f>SUMIFS(TableDailySummary[Online Store_orders],TableDailySummary[Fecha],"&gt;="&amp;TableWeeklySummary[[#This Row],[Desde]],TableDailySummary[Fecha],"&lt;="&amp;TableWeeklySummary[[#This Row],[Hasta]])</f>
        <v>0</v>
      </c>
      <c r="N155" s="11">
        <f>SUMIFS(TableDailySummary[Tienda 81_net_sales],TableDailySummary[Fecha],"&gt;="&amp;TableWeeklySummary[[#This Row],[Desde]],TableDailySummary[Fecha],"&lt;="&amp;TableWeeklySummary[[#This Row],[Hasta]])</f>
        <v>0</v>
      </c>
      <c r="O155" s="11">
        <f>SUMIFS(TableDailySummary[Tienda 81_orders],TableDailySummary[Fecha],"&gt;="&amp;TableWeeklySummary[[#This Row],[Desde]],TableDailySummary[Fecha],"&lt;="&amp;TableWeeklySummary[[#This Row],[Hasta]])</f>
        <v>0</v>
      </c>
      <c r="P155" s="11">
        <f>SUMIFS(TableDailySummary[Rappi_net_sales],TableDailySummary[Fecha],"&gt;="&amp;TableWeeklySummary[[#This Row],[Desde]],TableDailySummary[Fecha],"&lt;="&amp;TableWeeklySummary[[#This Row],[Hasta]])</f>
        <v>0</v>
      </c>
      <c r="Q155" s="11">
        <f>SUMIFS(TableDailySummary[Rappi_orders],TableDailySummary[Fecha],"&gt;="&amp;TableWeeklySummary[[#This Row],[Desde]],TableDailySummary[Fecha],"&lt;="&amp;TableWeeklySummary[[#This Row],[Hasta]])</f>
        <v>0</v>
      </c>
      <c r="R15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5" s="11">
        <f>SUMIFS(TableDailySummary[Corporativo no tienda_orders],TableDailySummary[Fecha],"&gt;="&amp;TableWeeklySummary[[#This Row],[Desde]],TableDailySummary[Fecha],"&lt;="&amp;TableWeeklySummary[[#This Row],[Hasta]])</f>
        <v>0</v>
      </c>
      <c r="T155" s="11">
        <f>SUMIFS(TableDailySummary[Inversión google ads],TableDailySummary[Fecha],"&gt;="&amp;TableWeeklySummary[[#This Row],[Desde]],TableDailySummary[Fecha],"&lt;="&amp;TableWeeklySummary[[#This Row],[Hasta]])</f>
        <v>0</v>
      </c>
      <c r="U155" s="11">
        <f>SUMIFS(TableDailySummary[Ventas google ads],TableDailySummary[Fecha],"&gt;="&amp;TableWeeklySummary[[#This Row],[Desde]],TableDailySummary[Fecha],"&lt;="&amp;TableWeeklySummary[[#This Row],[Hasta]])</f>
        <v>0</v>
      </c>
      <c r="V155" s="11">
        <f>SUMIFS(TableDailySummary[Inversión meta ads],TableDailySummary[Fecha],"&gt;="&amp;TableWeeklySummary[[#This Row],[Desde]],TableDailySummary[Fecha],"&lt;="&amp;TableWeeklySummary[[#This Row],[Hasta]])</f>
        <v>0</v>
      </c>
      <c r="W155" s="11">
        <f>SUMIFS(TableDailySummary[Ventas meta ads],TableDailySummary[Fecha],"&gt;="&amp;TableWeeklySummary[[#This Row],[Desde]],TableDailySummary[Fecha],"&lt;="&amp;TableWeeklySummary[[#This Row],[Hasta]])</f>
        <v>0</v>
      </c>
      <c r="X155" s="11">
        <f>TableWeeklySummary[[#This Row],[Inversión google ads]]+TableWeeklySummary[[#This Row],[Inversión meta ads]]</f>
        <v>0</v>
      </c>
      <c r="Y155" s="11">
        <f>TableWeeklySummary[[#This Row],[Ventas google ads]]+TableWeeklySummary[[#This Row],[Ventas meta ads]]</f>
        <v>0</v>
      </c>
      <c r="Z155" s="14">
        <f>IFERROR(TableWeeklySummary[[#This Row],[Ventas publicidad]]/TableWeeklySummary[[#This Row],[Inversión publicidad]],0)</f>
        <v>0</v>
      </c>
      <c r="AA155" s="14">
        <f>IFERROR(TableWeeklySummary[[#This Row],[Ventas primer cliente]]/TableWeeklySummary[[#This Row],[Inversión publicidad]],0)</f>
        <v>0</v>
      </c>
      <c r="AB155" s="14"/>
      <c r="AC155" s="11"/>
      <c r="AI15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5" s="11">
        <f>SUMIFS(TableDailySummary[Costo de ventas registrado],TableDailySummary[Fecha],"&gt;="&amp;TableWeeklySummary[[#This Row],[Desde]],TableDailySummary[Fecha],"&lt;="&amp;TableWeeklySummary[[#This Row],[Hasta]])</f>
        <v>0</v>
      </c>
      <c r="AK155" s="11">
        <f>SUMIFS(TableDailySummary[Utilidad bruta],TableDailySummary[Fecha],"&gt;="&amp;TableWeeklySummary[[#This Row],[Desde]],TableDailySummary[Fecha],"&lt;="&amp;TableWeeklySummary[[#This Row],[Hasta]])</f>
        <v>0</v>
      </c>
      <c r="AL155" s="18">
        <f>IFERROR(TableWeeklySummary[[#This Row],[Utilidad bruta]]/TableWeeklySummary[[#This Row],[Ventas netas con costo registrado]],0)</f>
        <v>0</v>
      </c>
    </row>
    <row r="156" spans="2:38" x14ac:dyDescent="0.2">
      <c r="B156" s="16">
        <f>_xlfn.ISOWEEKNUM(TableWeeklySummary[[#This Row],[Hasta]])</f>
        <v>41</v>
      </c>
      <c r="C156" s="6">
        <f t="shared" si="4"/>
        <v>45569</v>
      </c>
      <c r="D156" s="6">
        <f>TableWeeklySummary[[#This Row],[Desde]]+7-1</f>
        <v>45575</v>
      </c>
      <c r="E156" s="11">
        <f>SUMIFS(TableDailySummary[Ventas netas totales],TableDailySummary[Fecha],"&gt;="&amp;TableWeeklySummary[[#This Row],[Desde]],TableDailySummary[Fecha],"&lt;="&amp;TableWeeklySummary[[#This Row],[Hasta]])</f>
        <v>0</v>
      </c>
      <c r="F156" s="11">
        <f>SUMIFS(TableDailySummary[Órdenes totales],TableDailySummary[Fecha],"&gt;="&amp;TableWeeklySummary[[#This Row],[Desde]],TableDailySummary[Fecha],"&lt;="&amp;TableWeeklySummary[[#This Row],[Hasta]])</f>
        <v>0</v>
      </c>
      <c r="G156" s="11">
        <f>IFERROR(TableWeeklySummary[[#This Row],[Ventas netas totales]]/TableWeeklySummary[[#This Row],[Órdenes totales]],0)</f>
        <v>0</v>
      </c>
      <c r="H15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6" s="11">
        <f>TableWeeklySummary[[#This Row],[Órden promedio totales]]*TableWeeklySummary[[#This Row],[CR totales]]</f>
        <v>0</v>
      </c>
      <c r="J156" s="11">
        <f>SUMIFS(TableDailySummary[Ventas primer cliente],TableDailySummary[Fecha],"&gt;="&amp;TableWeeklySummary[[#This Row],[Desde]],TableDailySummary[Fecha],"&lt;="&amp;TableWeeklySummary[[#This Row],[Hasta]])</f>
        <v>0</v>
      </c>
      <c r="K156" s="11">
        <f>SUMIFS(TableDailySummary[Órdenes primer cliente],TableDailySummary[Fecha],"&gt;="&amp;TableWeeklySummary[[#This Row],[Desde]],TableDailySummary[Fecha],"&lt;="&amp;TableWeeklySummary[[#This Row],[Hasta]])</f>
        <v>0</v>
      </c>
      <c r="L156" s="11">
        <f>SUMIFS(TableDailySummary[Online Store_net_sales],TableDailySummary[Fecha],"&gt;="&amp;TableWeeklySummary[[#This Row],[Desde]],TableDailySummary[Fecha],"&lt;="&amp;TableWeeklySummary[[#This Row],[Hasta]])</f>
        <v>0</v>
      </c>
      <c r="M156" s="11">
        <f>SUMIFS(TableDailySummary[Online Store_orders],TableDailySummary[Fecha],"&gt;="&amp;TableWeeklySummary[[#This Row],[Desde]],TableDailySummary[Fecha],"&lt;="&amp;TableWeeklySummary[[#This Row],[Hasta]])</f>
        <v>0</v>
      </c>
      <c r="N156" s="11">
        <f>SUMIFS(TableDailySummary[Tienda 81_net_sales],TableDailySummary[Fecha],"&gt;="&amp;TableWeeklySummary[[#This Row],[Desde]],TableDailySummary[Fecha],"&lt;="&amp;TableWeeklySummary[[#This Row],[Hasta]])</f>
        <v>0</v>
      </c>
      <c r="O156" s="11">
        <f>SUMIFS(TableDailySummary[Tienda 81_orders],TableDailySummary[Fecha],"&gt;="&amp;TableWeeklySummary[[#This Row],[Desde]],TableDailySummary[Fecha],"&lt;="&amp;TableWeeklySummary[[#This Row],[Hasta]])</f>
        <v>0</v>
      </c>
      <c r="P156" s="11">
        <f>SUMIFS(TableDailySummary[Rappi_net_sales],TableDailySummary[Fecha],"&gt;="&amp;TableWeeklySummary[[#This Row],[Desde]],TableDailySummary[Fecha],"&lt;="&amp;TableWeeklySummary[[#This Row],[Hasta]])</f>
        <v>0</v>
      </c>
      <c r="Q156" s="11">
        <f>SUMIFS(TableDailySummary[Rappi_orders],TableDailySummary[Fecha],"&gt;="&amp;TableWeeklySummary[[#This Row],[Desde]],TableDailySummary[Fecha],"&lt;="&amp;TableWeeklySummary[[#This Row],[Hasta]])</f>
        <v>0</v>
      </c>
      <c r="R15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6" s="11">
        <f>SUMIFS(TableDailySummary[Corporativo no tienda_orders],TableDailySummary[Fecha],"&gt;="&amp;TableWeeklySummary[[#This Row],[Desde]],TableDailySummary[Fecha],"&lt;="&amp;TableWeeklySummary[[#This Row],[Hasta]])</f>
        <v>0</v>
      </c>
      <c r="T156" s="11">
        <f>SUMIFS(TableDailySummary[Inversión google ads],TableDailySummary[Fecha],"&gt;="&amp;TableWeeklySummary[[#This Row],[Desde]],TableDailySummary[Fecha],"&lt;="&amp;TableWeeklySummary[[#This Row],[Hasta]])</f>
        <v>0</v>
      </c>
      <c r="U156" s="11">
        <f>SUMIFS(TableDailySummary[Ventas google ads],TableDailySummary[Fecha],"&gt;="&amp;TableWeeklySummary[[#This Row],[Desde]],TableDailySummary[Fecha],"&lt;="&amp;TableWeeklySummary[[#This Row],[Hasta]])</f>
        <v>0</v>
      </c>
      <c r="V156" s="11">
        <f>SUMIFS(TableDailySummary[Inversión meta ads],TableDailySummary[Fecha],"&gt;="&amp;TableWeeklySummary[[#This Row],[Desde]],TableDailySummary[Fecha],"&lt;="&amp;TableWeeklySummary[[#This Row],[Hasta]])</f>
        <v>0</v>
      </c>
      <c r="W156" s="11">
        <f>SUMIFS(TableDailySummary[Ventas meta ads],TableDailySummary[Fecha],"&gt;="&amp;TableWeeklySummary[[#This Row],[Desde]],TableDailySummary[Fecha],"&lt;="&amp;TableWeeklySummary[[#This Row],[Hasta]])</f>
        <v>0</v>
      </c>
      <c r="X156" s="11">
        <f>TableWeeklySummary[[#This Row],[Inversión google ads]]+TableWeeklySummary[[#This Row],[Inversión meta ads]]</f>
        <v>0</v>
      </c>
      <c r="Y156" s="11">
        <f>TableWeeklySummary[[#This Row],[Ventas google ads]]+TableWeeklySummary[[#This Row],[Ventas meta ads]]</f>
        <v>0</v>
      </c>
      <c r="Z156" s="14">
        <f>IFERROR(TableWeeklySummary[[#This Row],[Ventas publicidad]]/TableWeeklySummary[[#This Row],[Inversión publicidad]],0)</f>
        <v>0</v>
      </c>
      <c r="AA156" s="14">
        <f>IFERROR(TableWeeklySummary[[#This Row],[Ventas primer cliente]]/TableWeeklySummary[[#This Row],[Inversión publicidad]],0)</f>
        <v>0</v>
      </c>
      <c r="AB156" s="14"/>
      <c r="AC156" s="11"/>
      <c r="AI15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6" s="11">
        <f>SUMIFS(TableDailySummary[Costo de ventas registrado],TableDailySummary[Fecha],"&gt;="&amp;TableWeeklySummary[[#This Row],[Desde]],TableDailySummary[Fecha],"&lt;="&amp;TableWeeklySummary[[#This Row],[Hasta]])</f>
        <v>0</v>
      </c>
      <c r="AK156" s="11">
        <f>SUMIFS(TableDailySummary[Utilidad bruta],TableDailySummary[Fecha],"&gt;="&amp;TableWeeklySummary[[#This Row],[Desde]],TableDailySummary[Fecha],"&lt;="&amp;TableWeeklySummary[[#This Row],[Hasta]])</f>
        <v>0</v>
      </c>
      <c r="AL156" s="18">
        <f>IFERROR(TableWeeklySummary[[#This Row],[Utilidad bruta]]/TableWeeklySummary[[#This Row],[Ventas netas con costo registrado]],0)</f>
        <v>0</v>
      </c>
    </row>
    <row r="157" spans="2:38" x14ac:dyDescent="0.2">
      <c r="B157" s="16">
        <f>_xlfn.ISOWEEKNUM(TableWeeklySummary[[#This Row],[Hasta]])</f>
        <v>42</v>
      </c>
      <c r="C157" s="6">
        <f t="shared" si="4"/>
        <v>45576</v>
      </c>
      <c r="D157" s="6">
        <f>TableWeeklySummary[[#This Row],[Desde]]+7-1</f>
        <v>45582</v>
      </c>
      <c r="E157" s="11">
        <f>SUMIFS(TableDailySummary[Ventas netas totales],TableDailySummary[Fecha],"&gt;="&amp;TableWeeklySummary[[#This Row],[Desde]],TableDailySummary[Fecha],"&lt;="&amp;TableWeeklySummary[[#This Row],[Hasta]])</f>
        <v>0</v>
      </c>
      <c r="F157" s="11">
        <f>SUMIFS(TableDailySummary[Órdenes totales],TableDailySummary[Fecha],"&gt;="&amp;TableWeeklySummary[[#This Row],[Desde]],TableDailySummary[Fecha],"&lt;="&amp;TableWeeklySummary[[#This Row],[Hasta]])</f>
        <v>0</v>
      </c>
      <c r="G157" s="11">
        <f>IFERROR(TableWeeklySummary[[#This Row],[Ventas netas totales]]/TableWeeklySummary[[#This Row],[Órdenes totales]],0)</f>
        <v>0</v>
      </c>
      <c r="H15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7" s="11">
        <f>TableWeeklySummary[[#This Row],[Órden promedio totales]]*TableWeeklySummary[[#This Row],[CR totales]]</f>
        <v>0</v>
      </c>
      <c r="J157" s="11">
        <f>SUMIFS(TableDailySummary[Ventas primer cliente],TableDailySummary[Fecha],"&gt;="&amp;TableWeeklySummary[[#This Row],[Desde]],TableDailySummary[Fecha],"&lt;="&amp;TableWeeklySummary[[#This Row],[Hasta]])</f>
        <v>0</v>
      </c>
      <c r="K157" s="11">
        <f>SUMIFS(TableDailySummary[Órdenes primer cliente],TableDailySummary[Fecha],"&gt;="&amp;TableWeeklySummary[[#This Row],[Desde]],TableDailySummary[Fecha],"&lt;="&amp;TableWeeklySummary[[#This Row],[Hasta]])</f>
        <v>0</v>
      </c>
      <c r="L157" s="11">
        <f>SUMIFS(TableDailySummary[Online Store_net_sales],TableDailySummary[Fecha],"&gt;="&amp;TableWeeklySummary[[#This Row],[Desde]],TableDailySummary[Fecha],"&lt;="&amp;TableWeeklySummary[[#This Row],[Hasta]])</f>
        <v>0</v>
      </c>
      <c r="M157" s="11">
        <f>SUMIFS(TableDailySummary[Online Store_orders],TableDailySummary[Fecha],"&gt;="&amp;TableWeeklySummary[[#This Row],[Desde]],TableDailySummary[Fecha],"&lt;="&amp;TableWeeklySummary[[#This Row],[Hasta]])</f>
        <v>0</v>
      </c>
      <c r="N157" s="11">
        <f>SUMIFS(TableDailySummary[Tienda 81_net_sales],TableDailySummary[Fecha],"&gt;="&amp;TableWeeklySummary[[#This Row],[Desde]],TableDailySummary[Fecha],"&lt;="&amp;TableWeeklySummary[[#This Row],[Hasta]])</f>
        <v>0</v>
      </c>
      <c r="O157" s="11">
        <f>SUMIFS(TableDailySummary[Tienda 81_orders],TableDailySummary[Fecha],"&gt;="&amp;TableWeeklySummary[[#This Row],[Desde]],TableDailySummary[Fecha],"&lt;="&amp;TableWeeklySummary[[#This Row],[Hasta]])</f>
        <v>0</v>
      </c>
      <c r="P157" s="11">
        <f>SUMIFS(TableDailySummary[Rappi_net_sales],TableDailySummary[Fecha],"&gt;="&amp;TableWeeklySummary[[#This Row],[Desde]],TableDailySummary[Fecha],"&lt;="&amp;TableWeeklySummary[[#This Row],[Hasta]])</f>
        <v>0</v>
      </c>
      <c r="Q157" s="11">
        <f>SUMIFS(TableDailySummary[Rappi_orders],TableDailySummary[Fecha],"&gt;="&amp;TableWeeklySummary[[#This Row],[Desde]],TableDailySummary[Fecha],"&lt;="&amp;TableWeeklySummary[[#This Row],[Hasta]])</f>
        <v>0</v>
      </c>
      <c r="R15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7" s="11">
        <f>SUMIFS(TableDailySummary[Corporativo no tienda_orders],TableDailySummary[Fecha],"&gt;="&amp;TableWeeklySummary[[#This Row],[Desde]],TableDailySummary[Fecha],"&lt;="&amp;TableWeeklySummary[[#This Row],[Hasta]])</f>
        <v>0</v>
      </c>
      <c r="T157" s="11">
        <f>SUMIFS(TableDailySummary[Inversión google ads],TableDailySummary[Fecha],"&gt;="&amp;TableWeeklySummary[[#This Row],[Desde]],TableDailySummary[Fecha],"&lt;="&amp;TableWeeklySummary[[#This Row],[Hasta]])</f>
        <v>0</v>
      </c>
      <c r="U157" s="11">
        <f>SUMIFS(TableDailySummary[Ventas google ads],TableDailySummary[Fecha],"&gt;="&amp;TableWeeklySummary[[#This Row],[Desde]],TableDailySummary[Fecha],"&lt;="&amp;TableWeeklySummary[[#This Row],[Hasta]])</f>
        <v>0</v>
      </c>
      <c r="V157" s="11">
        <f>SUMIFS(TableDailySummary[Inversión meta ads],TableDailySummary[Fecha],"&gt;="&amp;TableWeeklySummary[[#This Row],[Desde]],TableDailySummary[Fecha],"&lt;="&amp;TableWeeklySummary[[#This Row],[Hasta]])</f>
        <v>0</v>
      </c>
      <c r="W157" s="11">
        <f>SUMIFS(TableDailySummary[Ventas meta ads],TableDailySummary[Fecha],"&gt;="&amp;TableWeeklySummary[[#This Row],[Desde]],TableDailySummary[Fecha],"&lt;="&amp;TableWeeklySummary[[#This Row],[Hasta]])</f>
        <v>0</v>
      </c>
      <c r="X157" s="11">
        <f>TableWeeklySummary[[#This Row],[Inversión google ads]]+TableWeeklySummary[[#This Row],[Inversión meta ads]]</f>
        <v>0</v>
      </c>
      <c r="Y157" s="11">
        <f>TableWeeklySummary[[#This Row],[Ventas google ads]]+TableWeeklySummary[[#This Row],[Ventas meta ads]]</f>
        <v>0</v>
      </c>
      <c r="Z157" s="14">
        <f>IFERROR(TableWeeklySummary[[#This Row],[Ventas publicidad]]/TableWeeklySummary[[#This Row],[Inversión publicidad]],0)</f>
        <v>0</v>
      </c>
      <c r="AA157" s="14">
        <f>IFERROR(TableWeeklySummary[[#This Row],[Ventas primer cliente]]/TableWeeklySummary[[#This Row],[Inversión publicidad]],0)</f>
        <v>0</v>
      </c>
      <c r="AB157" s="14"/>
      <c r="AC157" s="11"/>
      <c r="AI15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7" s="11">
        <f>SUMIFS(TableDailySummary[Costo de ventas registrado],TableDailySummary[Fecha],"&gt;="&amp;TableWeeklySummary[[#This Row],[Desde]],TableDailySummary[Fecha],"&lt;="&amp;TableWeeklySummary[[#This Row],[Hasta]])</f>
        <v>0</v>
      </c>
      <c r="AK157" s="11">
        <f>SUMIFS(TableDailySummary[Utilidad bruta],TableDailySummary[Fecha],"&gt;="&amp;TableWeeklySummary[[#This Row],[Desde]],TableDailySummary[Fecha],"&lt;="&amp;TableWeeklySummary[[#This Row],[Hasta]])</f>
        <v>0</v>
      </c>
      <c r="AL157" s="18">
        <f>IFERROR(TableWeeklySummary[[#This Row],[Utilidad bruta]]/TableWeeklySummary[[#This Row],[Ventas netas con costo registrado]],0)</f>
        <v>0</v>
      </c>
    </row>
    <row r="158" spans="2:38" x14ac:dyDescent="0.2">
      <c r="B158" s="16">
        <f>_xlfn.ISOWEEKNUM(TableWeeklySummary[[#This Row],[Hasta]])</f>
        <v>43</v>
      </c>
      <c r="C158" s="6">
        <f t="shared" si="4"/>
        <v>45583</v>
      </c>
      <c r="D158" s="6">
        <f>TableWeeklySummary[[#This Row],[Desde]]+7-1</f>
        <v>45589</v>
      </c>
      <c r="E158" s="11">
        <f>SUMIFS(TableDailySummary[Ventas netas totales],TableDailySummary[Fecha],"&gt;="&amp;TableWeeklySummary[[#This Row],[Desde]],TableDailySummary[Fecha],"&lt;="&amp;TableWeeklySummary[[#This Row],[Hasta]])</f>
        <v>0</v>
      </c>
      <c r="F158" s="11">
        <f>SUMIFS(TableDailySummary[Órdenes totales],TableDailySummary[Fecha],"&gt;="&amp;TableWeeklySummary[[#This Row],[Desde]],TableDailySummary[Fecha],"&lt;="&amp;TableWeeklySummary[[#This Row],[Hasta]])</f>
        <v>0</v>
      </c>
      <c r="G158" s="11">
        <f>IFERROR(TableWeeklySummary[[#This Row],[Ventas netas totales]]/TableWeeklySummary[[#This Row],[Órdenes totales]],0)</f>
        <v>0</v>
      </c>
      <c r="H15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8" s="11">
        <f>TableWeeklySummary[[#This Row],[Órden promedio totales]]*TableWeeklySummary[[#This Row],[CR totales]]</f>
        <v>0</v>
      </c>
      <c r="J158" s="11">
        <f>SUMIFS(TableDailySummary[Ventas primer cliente],TableDailySummary[Fecha],"&gt;="&amp;TableWeeklySummary[[#This Row],[Desde]],TableDailySummary[Fecha],"&lt;="&amp;TableWeeklySummary[[#This Row],[Hasta]])</f>
        <v>0</v>
      </c>
      <c r="K158" s="11">
        <f>SUMIFS(TableDailySummary[Órdenes primer cliente],TableDailySummary[Fecha],"&gt;="&amp;TableWeeklySummary[[#This Row],[Desde]],TableDailySummary[Fecha],"&lt;="&amp;TableWeeklySummary[[#This Row],[Hasta]])</f>
        <v>0</v>
      </c>
      <c r="L158" s="11">
        <f>SUMIFS(TableDailySummary[Online Store_net_sales],TableDailySummary[Fecha],"&gt;="&amp;TableWeeklySummary[[#This Row],[Desde]],TableDailySummary[Fecha],"&lt;="&amp;TableWeeklySummary[[#This Row],[Hasta]])</f>
        <v>0</v>
      </c>
      <c r="M158" s="11">
        <f>SUMIFS(TableDailySummary[Online Store_orders],TableDailySummary[Fecha],"&gt;="&amp;TableWeeklySummary[[#This Row],[Desde]],TableDailySummary[Fecha],"&lt;="&amp;TableWeeklySummary[[#This Row],[Hasta]])</f>
        <v>0</v>
      </c>
      <c r="N158" s="11">
        <f>SUMIFS(TableDailySummary[Tienda 81_net_sales],TableDailySummary[Fecha],"&gt;="&amp;TableWeeklySummary[[#This Row],[Desde]],TableDailySummary[Fecha],"&lt;="&amp;TableWeeklySummary[[#This Row],[Hasta]])</f>
        <v>0</v>
      </c>
      <c r="O158" s="11">
        <f>SUMIFS(TableDailySummary[Tienda 81_orders],TableDailySummary[Fecha],"&gt;="&amp;TableWeeklySummary[[#This Row],[Desde]],TableDailySummary[Fecha],"&lt;="&amp;TableWeeklySummary[[#This Row],[Hasta]])</f>
        <v>0</v>
      </c>
      <c r="P158" s="11">
        <f>SUMIFS(TableDailySummary[Rappi_net_sales],TableDailySummary[Fecha],"&gt;="&amp;TableWeeklySummary[[#This Row],[Desde]],TableDailySummary[Fecha],"&lt;="&amp;TableWeeklySummary[[#This Row],[Hasta]])</f>
        <v>0</v>
      </c>
      <c r="Q158" s="11">
        <f>SUMIFS(TableDailySummary[Rappi_orders],TableDailySummary[Fecha],"&gt;="&amp;TableWeeklySummary[[#This Row],[Desde]],TableDailySummary[Fecha],"&lt;="&amp;TableWeeklySummary[[#This Row],[Hasta]])</f>
        <v>0</v>
      </c>
      <c r="R15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8" s="11">
        <f>SUMIFS(TableDailySummary[Corporativo no tienda_orders],TableDailySummary[Fecha],"&gt;="&amp;TableWeeklySummary[[#This Row],[Desde]],TableDailySummary[Fecha],"&lt;="&amp;TableWeeklySummary[[#This Row],[Hasta]])</f>
        <v>0</v>
      </c>
      <c r="T158" s="11">
        <f>SUMIFS(TableDailySummary[Inversión google ads],TableDailySummary[Fecha],"&gt;="&amp;TableWeeklySummary[[#This Row],[Desde]],TableDailySummary[Fecha],"&lt;="&amp;TableWeeklySummary[[#This Row],[Hasta]])</f>
        <v>0</v>
      </c>
      <c r="U158" s="11">
        <f>SUMIFS(TableDailySummary[Ventas google ads],TableDailySummary[Fecha],"&gt;="&amp;TableWeeklySummary[[#This Row],[Desde]],TableDailySummary[Fecha],"&lt;="&amp;TableWeeklySummary[[#This Row],[Hasta]])</f>
        <v>0</v>
      </c>
      <c r="V158" s="11">
        <f>SUMIFS(TableDailySummary[Inversión meta ads],TableDailySummary[Fecha],"&gt;="&amp;TableWeeklySummary[[#This Row],[Desde]],TableDailySummary[Fecha],"&lt;="&amp;TableWeeklySummary[[#This Row],[Hasta]])</f>
        <v>0</v>
      </c>
      <c r="W158" s="11">
        <f>SUMIFS(TableDailySummary[Ventas meta ads],TableDailySummary[Fecha],"&gt;="&amp;TableWeeklySummary[[#This Row],[Desde]],TableDailySummary[Fecha],"&lt;="&amp;TableWeeklySummary[[#This Row],[Hasta]])</f>
        <v>0</v>
      </c>
      <c r="X158" s="11">
        <f>TableWeeklySummary[[#This Row],[Inversión google ads]]+TableWeeklySummary[[#This Row],[Inversión meta ads]]</f>
        <v>0</v>
      </c>
      <c r="Y158" s="11">
        <f>TableWeeklySummary[[#This Row],[Ventas google ads]]+TableWeeklySummary[[#This Row],[Ventas meta ads]]</f>
        <v>0</v>
      </c>
      <c r="Z158" s="14">
        <f>IFERROR(TableWeeklySummary[[#This Row],[Ventas publicidad]]/TableWeeklySummary[[#This Row],[Inversión publicidad]],0)</f>
        <v>0</v>
      </c>
      <c r="AA158" s="14">
        <f>IFERROR(TableWeeklySummary[[#This Row],[Ventas primer cliente]]/TableWeeklySummary[[#This Row],[Inversión publicidad]],0)</f>
        <v>0</v>
      </c>
      <c r="AB158" s="14"/>
      <c r="AC158" s="11"/>
      <c r="AI15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8" s="11">
        <f>SUMIFS(TableDailySummary[Costo de ventas registrado],TableDailySummary[Fecha],"&gt;="&amp;TableWeeklySummary[[#This Row],[Desde]],TableDailySummary[Fecha],"&lt;="&amp;TableWeeklySummary[[#This Row],[Hasta]])</f>
        <v>0</v>
      </c>
      <c r="AK158" s="11">
        <f>SUMIFS(TableDailySummary[Utilidad bruta],TableDailySummary[Fecha],"&gt;="&amp;TableWeeklySummary[[#This Row],[Desde]],TableDailySummary[Fecha],"&lt;="&amp;TableWeeklySummary[[#This Row],[Hasta]])</f>
        <v>0</v>
      </c>
      <c r="AL158" s="18">
        <f>IFERROR(TableWeeklySummary[[#This Row],[Utilidad bruta]]/TableWeeklySummary[[#This Row],[Ventas netas con costo registrado]],0)</f>
        <v>0</v>
      </c>
    </row>
    <row r="159" spans="2:38" x14ac:dyDescent="0.2">
      <c r="B159" s="16">
        <f>_xlfn.ISOWEEKNUM(TableWeeklySummary[[#This Row],[Hasta]])</f>
        <v>44</v>
      </c>
      <c r="C159" s="6">
        <f t="shared" si="4"/>
        <v>45590</v>
      </c>
      <c r="D159" s="6">
        <f>TableWeeklySummary[[#This Row],[Desde]]+7-1</f>
        <v>45596</v>
      </c>
      <c r="E159" s="11">
        <f>SUMIFS(TableDailySummary[Ventas netas totales],TableDailySummary[Fecha],"&gt;="&amp;TableWeeklySummary[[#This Row],[Desde]],TableDailySummary[Fecha],"&lt;="&amp;TableWeeklySummary[[#This Row],[Hasta]])</f>
        <v>0</v>
      </c>
      <c r="F159" s="11">
        <f>SUMIFS(TableDailySummary[Órdenes totales],TableDailySummary[Fecha],"&gt;="&amp;TableWeeklySummary[[#This Row],[Desde]],TableDailySummary[Fecha],"&lt;="&amp;TableWeeklySummary[[#This Row],[Hasta]])</f>
        <v>0</v>
      </c>
      <c r="G159" s="11">
        <f>IFERROR(TableWeeklySummary[[#This Row],[Ventas netas totales]]/TableWeeklySummary[[#This Row],[Órdenes totales]],0)</f>
        <v>0</v>
      </c>
      <c r="H15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59" s="11">
        <f>TableWeeklySummary[[#This Row],[Órden promedio totales]]*TableWeeklySummary[[#This Row],[CR totales]]</f>
        <v>0</v>
      </c>
      <c r="J159" s="11">
        <f>SUMIFS(TableDailySummary[Ventas primer cliente],TableDailySummary[Fecha],"&gt;="&amp;TableWeeklySummary[[#This Row],[Desde]],TableDailySummary[Fecha],"&lt;="&amp;TableWeeklySummary[[#This Row],[Hasta]])</f>
        <v>0</v>
      </c>
      <c r="K159" s="11">
        <f>SUMIFS(TableDailySummary[Órdenes primer cliente],TableDailySummary[Fecha],"&gt;="&amp;TableWeeklySummary[[#This Row],[Desde]],TableDailySummary[Fecha],"&lt;="&amp;TableWeeklySummary[[#This Row],[Hasta]])</f>
        <v>0</v>
      </c>
      <c r="L159" s="11">
        <f>SUMIFS(TableDailySummary[Online Store_net_sales],TableDailySummary[Fecha],"&gt;="&amp;TableWeeklySummary[[#This Row],[Desde]],TableDailySummary[Fecha],"&lt;="&amp;TableWeeklySummary[[#This Row],[Hasta]])</f>
        <v>0</v>
      </c>
      <c r="M159" s="11">
        <f>SUMIFS(TableDailySummary[Online Store_orders],TableDailySummary[Fecha],"&gt;="&amp;TableWeeklySummary[[#This Row],[Desde]],TableDailySummary[Fecha],"&lt;="&amp;TableWeeklySummary[[#This Row],[Hasta]])</f>
        <v>0</v>
      </c>
      <c r="N159" s="11">
        <f>SUMIFS(TableDailySummary[Tienda 81_net_sales],TableDailySummary[Fecha],"&gt;="&amp;TableWeeklySummary[[#This Row],[Desde]],TableDailySummary[Fecha],"&lt;="&amp;TableWeeklySummary[[#This Row],[Hasta]])</f>
        <v>0</v>
      </c>
      <c r="O159" s="11">
        <f>SUMIFS(TableDailySummary[Tienda 81_orders],TableDailySummary[Fecha],"&gt;="&amp;TableWeeklySummary[[#This Row],[Desde]],TableDailySummary[Fecha],"&lt;="&amp;TableWeeklySummary[[#This Row],[Hasta]])</f>
        <v>0</v>
      </c>
      <c r="P159" s="11">
        <f>SUMIFS(TableDailySummary[Rappi_net_sales],TableDailySummary[Fecha],"&gt;="&amp;TableWeeklySummary[[#This Row],[Desde]],TableDailySummary[Fecha],"&lt;="&amp;TableWeeklySummary[[#This Row],[Hasta]])</f>
        <v>0</v>
      </c>
      <c r="Q159" s="11">
        <f>SUMIFS(TableDailySummary[Rappi_orders],TableDailySummary[Fecha],"&gt;="&amp;TableWeeklySummary[[#This Row],[Desde]],TableDailySummary[Fecha],"&lt;="&amp;TableWeeklySummary[[#This Row],[Hasta]])</f>
        <v>0</v>
      </c>
      <c r="R15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59" s="11">
        <f>SUMIFS(TableDailySummary[Corporativo no tienda_orders],TableDailySummary[Fecha],"&gt;="&amp;TableWeeklySummary[[#This Row],[Desde]],TableDailySummary[Fecha],"&lt;="&amp;TableWeeklySummary[[#This Row],[Hasta]])</f>
        <v>0</v>
      </c>
      <c r="T159" s="11">
        <f>SUMIFS(TableDailySummary[Inversión google ads],TableDailySummary[Fecha],"&gt;="&amp;TableWeeklySummary[[#This Row],[Desde]],TableDailySummary[Fecha],"&lt;="&amp;TableWeeklySummary[[#This Row],[Hasta]])</f>
        <v>0</v>
      </c>
      <c r="U159" s="11">
        <f>SUMIFS(TableDailySummary[Ventas google ads],TableDailySummary[Fecha],"&gt;="&amp;TableWeeklySummary[[#This Row],[Desde]],TableDailySummary[Fecha],"&lt;="&amp;TableWeeklySummary[[#This Row],[Hasta]])</f>
        <v>0</v>
      </c>
      <c r="V159" s="11">
        <f>SUMIFS(TableDailySummary[Inversión meta ads],TableDailySummary[Fecha],"&gt;="&amp;TableWeeklySummary[[#This Row],[Desde]],TableDailySummary[Fecha],"&lt;="&amp;TableWeeklySummary[[#This Row],[Hasta]])</f>
        <v>0</v>
      </c>
      <c r="W159" s="11">
        <f>SUMIFS(TableDailySummary[Ventas meta ads],TableDailySummary[Fecha],"&gt;="&amp;TableWeeklySummary[[#This Row],[Desde]],TableDailySummary[Fecha],"&lt;="&amp;TableWeeklySummary[[#This Row],[Hasta]])</f>
        <v>0</v>
      </c>
      <c r="X159" s="11">
        <f>TableWeeklySummary[[#This Row],[Inversión google ads]]+TableWeeklySummary[[#This Row],[Inversión meta ads]]</f>
        <v>0</v>
      </c>
      <c r="Y159" s="11">
        <f>TableWeeklySummary[[#This Row],[Ventas google ads]]+TableWeeklySummary[[#This Row],[Ventas meta ads]]</f>
        <v>0</v>
      </c>
      <c r="Z159" s="14">
        <f>IFERROR(TableWeeklySummary[[#This Row],[Ventas publicidad]]/TableWeeklySummary[[#This Row],[Inversión publicidad]],0)</f>
        <v>0</v>
      </c>
      <c r="AA159" s="14">
        <f>IFERROR(TableWeeklySummary[[#This Row],[Ventas primer cliente]]/TableWeeklySummary[[#This Row],[Inversión publicidad]],0)</f>
        <v>0</v>
      </c>
      <c r="AB159" s="14"/>
      <c r="AC159" s="11"/>
      <c r="AI15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59" s="11">
        <f>SUMIFS(TableDailySummary[Costo de ventas registrado],TableDailySummary[Fecha],"&gt;="&amp;TableWeeklySummary[[#This Row],[Desde]],TableDailySummary[Fecha],"&lt;="&amp;TableWeeklySummary[[#This Row],[Hasta]])</f>
        <v>0</v>
      </c>
      <c r="AK159" s="11">
        <f>SUMIFS(TableDailySummary[Utilidad bruta],TableDailySummary[Fecha],"&gt;="&amp;TableWeeklySummary[[#This Row],[Desde]],TableDailySummary[Fecha],"&lt;="&amp;TableWeeklySummary[[#This Row],[Hasta]])</f>
        <v>0</v>
      </c>
      <c r="AL159" s="18">
        <f>IFERROR(TableWeeklySummary[[#This Row],[Utilidad bruta]]/TableWeeklySummary[[#This Row],[Ventas netas con costo registrado]],0)</f>
        <v>0</v>
      </c>
    </row>
    <row r="160" spans="2:38" x14ac:dyDescent="0.2">
      <c r="B160" s="16">
        <f>_xlfn.ISOWEEKNUM(TableWeeklySummary[[#This Row],[Hasta]])</f>
        <v>45</v>
      </c>
      <c r="C160" s="6">
        <f t="shared" si="4"/>
        <v>45597</v>
      </c>
      <c r="D160" s="6">
        <f>TableWeeklySummary[[#This Row],[Desde]]+7-1</f>
        <v>45603</v>
      </c>
      <c r="E160" s="11">
        <f>SUMIFS(TableDailySummary[Ventas netas totales],TableDailySummary[Fecha],"&gt;="&amp;TableWeeklySummary[[#This Row],[Desde]],TableDailySummary[Fecha],"&lt;="&amp;TableWeeklySummary[[#This Row],[Hasta]])</f>
        <v>0</v>
      </c>
      <c r="F160" s="11">
        <f>SUMIFS(TableDailySummary[Órdenes totales],TableDailySummary[Fecha],"&gt;="&amp;TableWeeklySummary[[#This Row],[Desde]],TableDailySummary[Fecha],"&lt;="&amp;TableWeeklySummary[[#This Row],[Hasta]])</f>
        <v>0</v>
      </c>
      <c r="G160" s="11">
        <f>IFERROR(TableWeeklySummary[[#This Row],[Ventas netas totales]]/TableWeeklySummary[[#This Row],[Órdenes totales]],0)</f>
        <v>0</v>
      </c>
      <c r="H16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0" s="11">
        <f>TableWeeklySummary[[#This Row],[Órden promedio totales]]*TableWeeklySummary[[#This Row],[CR totales]]</f>
        <v>0</v>
      </c>
      <c r="J160" s="11">
        <f>SUMIFS(TableDailySummary[Ventas primer cliente],TableDailySummary[Fecha],"&gt;="&amp;TableWeeklySummary[[#This Row],[Desde]],TableDailySummary[Fecha],"&lt;="&amp;TableWeeklySummary[[#This Row],[Hasta]])</f>
        <v>0</v>
      </c>
      <c r="K160" s="11">
        <f>SUMIFS(TableDailySummary[Órdenes primer cliente],TableDailySummary[Fecha],"&gt;="&amp;TableWeeklySummary[[#This Row],[Desde]],TableDailySummary[Fecha],"&lt;="&amp;TableWeeklySummary[[#This Row],[Hasta]])</f>
        <v>0</v>
      </c>
      <c r="L160" s="11">
        <f>SUMIFS(TableDailySummary[Online Store_net_sales],TableDailySummary[Fecha],"&gt;="&amp;TableWeeklySummary[[#This Row],[Desde]],TableDailySummary[Fecha],"&lt;="&amp;TableWeeklySummary[[#This Row],[Hasta]])</f>
        <v>0</v>
      </c>
      <c r="M160" s="11">
        <f>SUMIFS(TableDailySummary[Online Store_orders],TableDailySummary[Fecha],"&gt;="&amp;TableWeeklySummary[[#This Row],[Desde]],TableDailySummary[Fecha],"&lt;="&amp;TableWeeklySummary[[#This Row],[Hasta]])</f>
        <v>0</v>
      </c>
      <c r="N160" s="11">
        <f>SUMIFS(TableDailySummary[Tienda 81_net_sales],TableDailySummary[Fecha],"&gt;="&amp;TableWeeklySummary[[#This Row],[Desde]],TableDailySummary[Fecha],"&lt;="&amp;TableWeeklySummary[[#This Row],[Hasta]])</f>
        <v>0</v>
      </c>
      <c r="O160" s="11">
        <f>SUMIFS(TableDailySummary[Tienda 81_orders],TableDailySummary[Fecha],"&gt;="&amp;TableWeeklySummary[[#This Row],[Desde]],TableDailySummary[Fecha],"&lt;="&amp;TableWeeklySummary[[#This Row],[Hasta]])</f>
        <v>0</v>
      </c>
      <c r="P160" s="11">
        <f>SUMIFS(TableDailySummary[Rappi_net_sales],TableDailySummary[Fecha],"&gt;="&amp;TableWeeklySummary[[#This Row],[Desde]],TableDailySummary[Fecha],"&lt;="&amp;TableWeeklySummary[[#This Row],[Hasta]])</f>
        <v>0</v>
      </c>
      <c r="Q160" s="11">
        <f>SUMIFS(TableDailySummary[Rappi_orders],TableDailySummary[Fecha],"&gt;="&amp;TableWeeklySummary[[#This Row],[Desde]],TableDailySummary[Fecha],"&lt;="&amp;TableWeeklySummary[[#This Row],[Hasta]])</f>
        <v>0</v>
      </c>
      <c r="R16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0" s="11">
        <f>SUMIFS(TableDailySummary[Corporativo no tienda_orders],TableDailySummary[Fecha],"&gt;="&amp;TableWeeklySummary[[#This Row],[Desde]],TableDailySummary[Fecha],"&lt;="&amp;TableWeeklySummary[[#This Row],[Hasta]])</f>
        <v>0</v>
      </c>
      <c r="T160" s="11">
        <f>SUMIFS(TableDailySummary[Inversión google ads],TableDailySummary[Fecha],"&gt;="&amp;TableWeeklySummary[[#This Row],[Desde]],TableDailySummary[Fecha],"&lt;="&amp;TableWeeklySummary[[#This Row],[Hasta]])</f>
        <v>0</v>
      </c>
      <c r="U160" s="11">
        <f>SUMIFS(TableDailySummary[Ventas google ads],TableDailySummary[Fecha],"&gt;="&amp;TableWeeklySummary[[#This Row],[Desde]],TableDailySummary[Fecha],"&lt;="&amp;TableWeeklySummary[[#This Row],[Hasta]])</f>
        <v>0</v>
      </c>
      <c r="V160" s="11">
        <f>SUMIFS(TableDailySummary[Inversión meta ads],TableDailySummary[Fecha],"&gt;="&amp;TableWeeklySummary[[#This Row],[Desde]],TableDailySummary[Fecha],"&lt;="&amp;TableWeeklySummary[[#This Row],[Hasta]])</f>
        <v>0</v>
      </c>
      <c r="W160" s="11">
        <f>SUMIFS(TableDailySummary[Ventas meta ads],TableDailySummary[Fecha],"&gt;="&amp;TableWeeklySummary[[#This Row],[Desde]],TableDailySummary[Fecha],"&lt;="&amp;TableWeeklySummary[[#This Row],[Hasta]])</f>
        <v>0</v>
      </c>
      <c r="X160" s="11">
        <f>TableWeeklySummary[[#This Row],[Inversión google ads]]+TableWeeklySummary[[#This Row],[Inversión meta ads]]</f>
        <v>0</v>
      </c>
      <c r="Y160" s="11">
        <f>TableWeeklySummary[[#This Row],[Ventas google ads]]+TableWeeklySummary[[#This Row],[Ventas meta ads]]</f>
        <v>0</v>
      </c>
      <c r="Z160" s="14">
        <f>IFERROR(TableWeeklySummary[[#This Row],[Ventas publicidad]]/TableWeeklySummary[[#This Row],[Inversión publicidad]],0)</f>
        <v>0</v>
      </c>
      <c r="AA160" s="14">
        <f>IFERROR(TableWeeklySummary[[#This Row],[Ventas primer cliente]]/TableWeeklySummary[[#This Row],[Inversión publicidad]],0)</f>
        <v>0</v>
      </c>
      <c r="AB160" s="14"/>
      <c r="AC160" s="11"/>
      <c r="AI16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0" s="11">
        <f>SUMIFS(TableDailySummary[Costo de ventas registrado],TableDailySummary[Fecha],"&gt;="&amp;TableWeeklySummary[[#This Row],[Desde]],TableDailySummary[Fecha],"&lt;="&amp;TableWeeklySummary[[#This Row],[Hasta]])</f>
        <v>0</v>
      </c>
      <c r="AK160" s="11">
        <f>SUMIFS(TableDailySummary[Utilidad bruta],TableDailySummary[Fecha],"&gt;="&amp;TableWeeklySummary[[#This Row],[Desde]],TableDailySummary[Fecha],"&lt;="&amp;TableWeeklySummary[[#This Row],[Hasta]])</f>
        <v>0</v>
      </c>
      <c r="AL160" s="18">
        <f>IFERROR(TableWeeklySummary[[#This Row],[Utilidad bruta]]/TableWeeklySummary[[#This Row],[Ventas netas con costo registrado]],0)</f>
        <v>0</v>
      </c>
    </row>
    <row r="161" spans="2:38" x14ac:dyDescent="0.2">
      <c r="B161" s="16">
        <f>_xlfn.ISOWEEKNUM(TableWeeklySummary[[#This Row],[Hasta]])</f>
        <v>46</v>
      </c>
      <c r="C161" s="6">
        <f t="shared" si="4"/>
        <v>45604</v>
      </c>
      <c r="D161" s="6">
        <f>TableWeeklySummary[[#This Row],[Desde]]+7-1</f>
        <v>45610</v>
      </c>
      <c r="E161" s="11">
        <f>SUMIFS(TableDailySummary[Ventas netas totales],TableDailySummary[Fecha],"&gt;="&amp;TableWeeklySummary[[#This Row],[Desde]],TableDailySummary[Fecha],"&lt;="&amp;TableWeeklySummary[[#This Row],[Hasta]])</f>
        <v>0</v>
      </c>
      <c r="F161" s="11">
        <f>SUMIFS(TableDailySummary[Órdenes totales],TableDailySummary[Fecha],"&gt;="&amp;TableWeeklySummary[[#This Row],[Desde]],TableDailySummary[Fecha],"&lt;="&amp;TableWeeklySummary[[#This Row],[Hasta]])</f>
        <v>0</v>
      </c>
      <c r="G161" s="11">
        <f>IFERROR(TableWeeklySummary[[#This Row],[Ventas netas totales]]/TableWeeklySummary[[#This Row],[Órdenes totales]],0)</f>
        <v>0</v>
      </c>
      <c r="H16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1" s="11">
        <f>TableWeeklySummary[[#This Row],[Órden promedio totales]]*TableWeeklySummary[[#This Row],[CR totales]]</f>
        <v>0</v>
      </c>
      <c r="J161" s="11">
        <f>SUMIFS(TableDailySummary[Ventas primer cliente],TableDailySummary[Fecha],"&gt;="&amp;TableWeeklySummary[[#This Row],[Desde]],TableDailySummary[Fecha],"&lt;="&amp;TableWeeklySummary[[#This Row],[Hasta]])</f>
        <v>0</v>
      </c>
      <c r="K161" s="11">
        <f>SUMIFS(TableDailySummary[Órdenes primer cliente],TableDailySummary[Fecha],"&gt;="&amp;TableWeeklySummary[[#This Row],[Desde]],TableDailySummary[Fecha],"&lt;="&amp;TableWeeklySummary[[#This Row],[Hasta]])</f>
        <v>0</v>
      </c>
      <c r="L161" s="11">
        <f>SUMIFS(TableDailySummary[Online Store_net_sales],TableDailySummary[Fecha],"&gt;="&amp;TableWeeklySummary[[#This Row],[Desde]],TableDailySummary[Fecha],"&lt;="&amp;TableWeeklySummary[[#This Row],[Hasta]])</f>
        <v>0</v>
      </c>
      <c r="M161" s="11">
        <f>SUMIFS(TableDailySummary[Online Store_orders],TableDailySummary[Fecha],"&gt;="&amp;TableWeeklySummary[[#This Row],[Desde]],TableDailySummary[Fecha],"&lt;="&amp;TableWeeklySummary[[#This Row],[Hasta]])</f>
        <v>0</v>
      </c>
      <c r="N161" s="11">
        <f>SUMIFS(TableDailySummary[Tienda 81_net_sales],TableDailySummary[Fecha],"&gt;="&amp;TableWeeklySummary[[#This Row],[Desde]],TableDailySummary[Fecha],"&lt;="&amp;TableWeeklySummary[[#This Row],[Hasta]])</f>
        <v>0</v>
      </c>
      <c r="O161" s="11">
        <f>SUMIFS(TableDailySummary[Tienda 81_orders],TableDailySummary[Fecha],"&gt;="&amp;TableWeeklySummary[[#This Row],[Desde]],TableDailySummary[Fecha],"&lt;="&amp;TableWeeklySummary[[#This Row],[Hasta]])</f>
        <v>0</v>
      </c>
      <c r="P161" s="11">
        <f>SUMIFS(TableDailySummary[Rappi_net_sales],TableDailySummary[Fecha],"&gt;="&amp;TableWeeklySummary[[#This Row],[Desde]],TableDailySummary[Fecha],"&lt;="&amp;TableWeeklySummary[[#This Row],[Hasta]])</f>
        <v>0</v>
      </c>
      <c r="Q161" s="11">
        <f>SUMIFS(TableDailySummary[Rappi_orders],TableDailySummary[Fecha],"&gt;="&amp;TableWeeklySummary[[#This Row],[Desde]],TableDailySummary[Fecha],"&lt;="&amp;TableWeeklySummary[[#This Row],[Hasta]])</f>
        <v>0</v>
      </c>
      <c r="R16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1" s="11">
        <f>SUMIFS(TableDailySummary[Corporativo no tienda_orders],TableDailySummary[Fecha],"&gt;="&amp;TableWeeklySummary[[#This Row],[Desde]],TableDailySummary[Fecha],"&lt;="&amp;TableWeeklySummary[[#This Row],[Hasta]])</f>
        <v>0</v>
      </c>
      <c r="T161" s="11">
        <f>SUMIFS(TableDailySummary[Inversión google ads],TableDailySummary[Fecha],"&gt;="&amp;TableWeeklySummary[[#This Row],[Desde]],TableDailySummary[Fecha],"&lt;="&amp;TableWeeklySummary[[#This Row],[Hasta]])</f>
        <v>0</v>
      </c>
      <c r="U161" s="11">
        <f>SUMIFS(TableDailySummary[Ventas google ads],TableDailySummary[Fecha],"&gt;="&amp;TableWeeklySummary[[#This Row],[Desde]],TableDailySummary[Fecha],"&lt;="&amp;TableWeeklySummary[[#This Row],[Hasta]])</f>
        <v>0</v>
      </c>
      <c r="V161" s="11">
        <f>SUMIFS(TableDailySummary[Inversión meta ads],TableDailySummary[Fecha],"&gt;="&amp;TableWeeklySummary[[#This Row],[Desde]],TableDailySummary[Fecha],"&lt;="&amp;TableWeeklySummary[[#This Row],[Hasta]])</f>
        <v>0</v>
      </c>
      <c r="W161" s="11">
        <f>SUMIFS(TableDailySummary[Ventas meta ads],TableDailySummary[Fecha],"&gt;="&amp;TableWeeklySummary[[#This Row],[Desde]],TableDailySummary[Fecha],"&lt;="&amp;TableWeeklySummary[[#This Row],[Hasta]])</f>
        <v>0</v>
      </c>
      <c r="X161" s="11">
        <f>TableWeeklySummary[[#This Row],[Inversión google ads]]+TableWeeklySummary[[#This Row],[Inversión meta ads]]</f>
        <v>0</v>
      </c>
      <c r="Y161" s="11">
        <f>TableWeeklySummary[[#This Row],[Ventas google ads]]+TableWeeklySummary[[#This Row],[Ventas meta ads]]</f>
        <v>0</v>
      </c>
      <c r="Z161" s="14">
        <f>IFERROR(TableWeeklySummary[[#This Row],[Ventas publicidad]]/TableWeeklySummary[[#This Row],[Inversión publicidad]],0)</f>
        <v>0</v>
      </c>
      <c r="AA161" s="14">
        <f>IFERROR(TableWeeklySummary[[#This Row],[Ventas primer cliente]]/TableWeeklySummary[[#This Row],[Inversión publicidad]],0)</f>
        <v>0</v>
      </c>
      <c r="AB161" s="14"/>
      <c r="AC161" s="11"/>
      <c r="AI16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1" s="11">
        <f>SUMIFS(TableDailySummary[Costo de ventas registrado],TableDailySummary[Fecha],"&gt;="&amp;TableWeeklySummary[[#This Row],[Desde]],TableDailySummary[Fecha],"&lt;="&amp;TableWeeklySummary[[#This Row],[Hasta]])</f>
        <v>0</v>
      </c>
      <c r="AK161" s="11">
        <f>SUMIFS(TableDailySummary[Utilidad bruta],TableDailySummary[Fecha],"&gt;="&amp;TableWeeklySummary[[#This Row],[Desde]],TableDailySummary[Fecha],"&lt;="&amp;TableWeeklySummary[[#This Row],[Hasta]])</f>
        <v>0</v>
      </c>
      <c r="AL161" s="18">
        <f>IFERROR(TableWeeklySummary[[#This Row],[Utilidad bruta]]/TableWeeklySummary[[#This Row],[Ventas netas con costo registrado]],0)</f>
        <v>0</v>
      </c>
    </row>
    <row r="162" spans="2:38" x14ac:dyDescent="0.2">
      <c r="B162" s="16">
        <f>_xlfn.ISOWEEKNUM(TableWeeklySummary[[#This Row],[Hasta]])</f>
        <v>47</v>
      </c>
      <c r="C162" s="6">
        <f t="shared" si="4"/>
        <v>45611</v>
      </c>
      <c r="D162" s="6">
        <f>TableWeeklySummary[[#This Row],[Desde]]+7-1</f>
        <v>45617</v>
      </c>
      <c r="E162" s="11">
        <f>SUMIFS(TableDailySummary[Ventas netas totales],TableDailySummary[Fecha],"&gt;="&amp;TableWeeklySummary[[#This Row],[Desde]],TableDailySummary[Fecha],"&lt;="&amp;TableWeeklySummary[[#This Row],[Hasta]])</f>
        <v>0</v>
      </c>
      <c r="F162" s="11">
        <f>SUMIFS(TableDailySummary[Órdenes totales],TableDailySummary[Fecha],"&gt;="&amp;TableWeeklySummary[[#This Row],[Desde]],TableDailySummary[Fecha],"&lt;="&amp;TableWeeklySummary[[#This Row],[Hasta]])</f>
        <v>0</v>
      </c>
      <c r="G162" s="11">
        <f>IFERROR(TableWeeklySummary[[#This Row],[Ventas netas totales]]/TableWeeklySummary[[#This Row],[Órdenes totales]],0)</f>
        <v>0</v>
      </c>
      <c r="H16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2" s="11">
        <f>TableWeeklySummary[[#This Row],[Órden promedio totales]]*TableWeeklySummary[[#This Row],[CR totales]]</f>
        <v>0</v>
      </c>
      <c r="J162" s="11">
        <f>SUMIFS(TableDailySummary[Ventas primer cliente],TableDailySummary[Fecha],"&gt;="&amp;TableWeeklySummary[[#This Row],[Desde]],TableDailySummary[Fecha],"&lt;="&amp;TableWeeklySummary[[#This Row],[Hasta]])</f>
        <v>0</v>
      </c>
      <c r="K162" s="11">
        <f>SUMIFS(TableDailySummary[Órdenes primer cliente],TableDailySummary[Fecha],"&gt;="&amp;TableWeeklySummary[[#This Row],[Desde]],TableDailySummary[Fecha],"&lt;="&amp;TableWeeklySummary[[#This Row],[Hasta]])</f>
        <v>0</v>
      </c>
      <c r="L162" s="11">
        <f>SUMIFS(TableDailySummary[Online Store_net_sales],TableDailySummary[Fecha],"&gt;="&amp;TableWeeklySummary[[#This Row],[Desde]],TableDailySummary[Fecha],"&lt;="&amp;TableWeeklySummary[[#This Row],[Hasta]])</f>
        <v>0</v>
      </c>
      <c r="M162" s="11">
        <f>SUMIFS(TableDailySummary[Online Store_orders],TableDailySummary[Fecha],"&gt;="&amp;TableWeeklySummary[[#This Row],[Desde]],TableDailySummary[Fecha],"&lt;="&amp;TableWeeklySummary[[#This Row],[Hasta]])</f>
        <v>0</v>
      </c>
      <c r="N162" s="11">
        <f>SUMIFS(TableDailySummary[Tienda 81_net_sales],TableDailySummary[Fecha],"&gt;="&amp;TableWeeklySummary[[#This Row],[Desde]],TableDailySummary[Fecha],"&lt;="&amp;TableWeeklySummary[[#This Row],[Hasta]])</f>
        <v>0</v>
      </c>
      <c r="O162" s="11">
        <f>SUMIFS(TableDailySummary[Tienda 81_orders],TableDailySummary[Fecha],"&gt;="&amp;TableWeeklySummary[[#This Row],[Desde]],TableDailySummary[Fecha],"&lt;="&amp;TableWeeklySummary[[#This Row],[Hasta]])</f>
        <v>0</v>
      </c>
      <c r="P162" s="11">
        <f>SUMIFS(TableDailySummary[Rappi_net_sales],TableDailySummary[Fecha],"&gt;="&amp;TableWeeklySummary[[#This Row],[Desde]],TableDailySummary[Fecha],"&lt;="&amp;TableWeeklySummary[[#This Row],[Hasta]])</f>
        <v>0</v>
      </c>
      <c r="Q162" s="11">
        <f>SUMIFS(TableDailySummary[Rappi_orders],TableDailySummary[Fecha],"&gt;="&amp;TableWeeklySummary[[#This Row],[Desde]],TableDailySummary[Fecha],"&lt;="&amp;TableWeeklySummary[[#This Row],[Hasta]])</f>
        <v>0</v>
      </c>
      <c r="R16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2" s="11">
        <f>SUMIFS(TableDailySummary[Corporativo no tienda_orders],TableDailySummary[Fecha],"&gt;="&amp;TableWeeklySummary[[#This Row],[Desde]],TableDailySummary[Fecha],"&lt;="&amp;TableWeeklySummary[[#This Row],[Hasta]])</f>
        <v>0</v>
      </c>
      <c r="T162" s="11">
        <f>SUMIFS(TableDailySummary[Inversión google ads],TableDailySummary[Fecha],"&gt;="&amp;TableWeeklySummary[[#This Row],[Desde]],TableDailySummary[Fecha],"&lt;="&amp;TableWeeklySummary[[#This Row],[Hasta]])</f>
        <v>0</v>
      </c>
      <c r="U162" s="11">
        <f>SUMIFS(TableDailySummary[Ventas google ads],TableDailySummary[Fecha],"&gt;="&amp;TableWeeklySummary[[#This Row],[Desde]],TableDailySummary[Fecha],"&lt;="&amp;TableWeeklySummary[[#This Row],[Hasta]])</f>
        <v>0</v>
      </c>
      <c r="V162" s="11">
        <f>SUMIFS(TableDailySummary[Inversión meta ads],TableDailySummary[Fecha],"&gt;="&amp;TableWeeklySummary[[#This Row],[Desde]],TableDailySummary[Fecha],"&lt;="&amp;TableWeeklySummary[[#This Row],[Hasta]])</f>
        <v>0</v>
      </c>
      <c r="W162" s="11">
        <f>SUMIFS(TableDailySummary[Ventas meta ads],TableDailySummary[Fecha],"&gt;="&amp;TableWeeklySummary[[#This Row],[Desde]],TableDailySummary[Fecha],"&lt;="&amp;TableWeeklySummary[[#This Row],[Hasta]])</f>
        <v>0</v>
      </c>
      <c r="X162" s="11">
        <f>TableWeeklySummary[[#This Row],[Inversión google ads]]+TableWeeklySummary[[#This Row],[Inversión meta ads]]</f>
        <v>0</v>
      </c>
      <c r="Y162" s="11">
        <f>TableWeeklySummary[[#This Row],[Ventas google ads]]+TableWeeklySummary[[#This Row],[Ventas meta ads]]</f>
        <v>0</v>
      </c>
      <c r="Z162" s="14">
        <f>IFERROR(TableWeeklySummary[[#This Row],[Ventas publicidad]]/TableWeeklySummary[[#This Row],[Inversión publicidad]],0)</f>
        <v>0</v>
      </c>
      <c r="AA162" s="14">
        <f>IFERROR(TableWeeklySummary[[#This Row],[Ventas primer cliente]]/TableWeeklySummary[[#This Row],[Inversión publicidad]],0)</f>
        <v>0</v>
      </c>
      <c r="AB162" s="14"/>
      <c r="AC162" s="11"/>
      <c r="AI16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2" s="11">
        <f>SUMIFS(TableDailySummary[Costo de ventas registrado],TableDailySummary[Fecha],"&gt;="&amp;TableWeeklySummary[[#This Row],[Desde]],TableDailySummary[Fecha],"&lt;="&amp;TableWeeklySummary[[#This Row],[Hasta]])</f>
        <v>0</v>
      </c>
      <c r="AK162" s="11">
        <f>SUMIFS(TableDailySummary[Utilidad bruta],TableDailySummary[Fecha],"&gt;="&amp;TableWeeklySummary[[#This Row],[Desde]],TableDailySummary[Fecha],"&lt;="&amp;TableWeeklySummary[[#This Row],[Hasta]])</f>
        <v>0</v>
      </c>
      <c r="AL162" s="18">
        <f>IFERROR(TableWeeklySummary[[#This Row],[Utilidad bruta]]/TableWeeklySummary[[#This Row],[Ventas netas con costo registrado]],0)</f>
        <v>0</v>
      </c>
    </row>
    <row r="163" spans="2:38" x14ac:dyDescent="0.2">
      <c r="B163" s="16">
        <f>_xlfn.ISOWEEKNUM(TableWeeklySummary[[#This Row],[Hasta]])</f>
        <v>48</v>
      </c>
      <c r="C163" s="6">
        <f t="shared" si="4"/>
        <v>45618</v>
      </c>
      <c r="D163" s="6">
        <f>TableWeeklySummary[[#This Row],[Desde]]+7-1</f>
        <v>45624</v>
      </c>
      <c r="E163" s="11">
        <f>SUMIFS(TableDailySummary[Ventas netas totales],TableDailySummary[Fecha],"&gt;="&amp;TableWeeklySummary[[#This Row],[Desde]],TableDailySummary[Fecha],"&lt;="&amp;TableWeeklySummary[[#This Row],[Hasta]])</f>
        <v>0</v>
      </c>
      <c r="F163" s="11">
        <f>SUMIFS(TableDailySummary[Órdenes totales],TableDailySummary[Fecha],"&gt;="&amp;TableWeeklySummary[[#This Row],[Desde]],TableDailySummary[Fecha],"&lt;="&amp;TableWeeklySummary[[#This Row],[Hasta]])</f>
        <v>0</v>
      </c>
      <c r="G163" s="11">
        <f>IFERROR(TableWeeklySummary[[#This Row],[Ventas netas totales]]/TableWeeklySummary[[#This Row],[Órdenes totales]],0)</f>
        <v>0</v>
      </c>
      <c r="H16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3" s="11">
        <f>TableWeeklySummary[[#This Row],[Órden promedio totales]]*TableWeeklySummary[[#This Row],[CR totales]]</f>
        <v>0</v>
      </c>
      <c r="J163" s="11">
        <f>SUMIFS(TableDailySummary[Ventas primer cliente],TableDailySummary[Fecha],"&gt;="&amp;TableWeeklySummary[[#This Row],[Desde]],TableDailySummary[Fecha],"&lt;="&amp;TableWeeklySummary[[#This Row],[Hasta]])</f>
        <v>0</v>
      </c>
      <c r="K163" s="11">
        <f>SUMIFS(TableDailySummary[Órdenes primer cliente],TableDailySummary[Fecha],"&gt;="&amp;TableWeeklySummary[[#This Row],[Desde]],TableDailySummary[Fecha],"&lt;="&amp;TableWeeklySummary[[#This Row],[Hasta]])</f>
        <v>0</v>
      </c>
      <c r="L163" s="11">
        <f>SUMIFS(TableDailySummary[Online Store_net_sales],TableDailySummary[Fecha],"&gt;="&amp;TableWeeklySummary[[#This Row],[Desde]],TableDailySummary[Fecha],"&lt;="&amp;TableWeeklySummary[[#This Row],[Hasta]])</f>
        <v>0</v>
      </c>
      <c r="M163" s="11">
        <f>SUMIFS(TableDailySummary[Online Store_orders],TableDailySummary[Fecha],"&gt;="&amp;TableWeeklySummary[[#This Row],[Desde]],TableDailySummary[Fecha],"&lt;="&amp;TableWeeklySummary[[#This Row],[Hasta]])</f>
        <v>0</v>
      </c>
      <c r="N163" s="11">
        <f>SUMIFS(TableDailySummary[Tienda 81_net_sales],TableDailySummary[Fecha],"&gt;="&amp;TableWeeklySummary[[#This Row],[Desde]],TableDailySummary[Fecha],"&lt;="&amp;TableWeeklySummary[[#This Row],[Hasta]])</f>
        <v>0</v>
      </c>
      <c r="O163" s="11">
        <f>SUMIFS(TableDailySummary[Tienda 81_orders],TableDailySummary[Fecha],"&gt;="&amp;TableWeeklySummary[[#This Row],[Desde]],TableDailySummary[Fecha],"&lt;="&amp;TableWeeklySummary[[#This Row],[Hasta]])</f>
        <v>0</v>
      </c>
      <c r="P163" s="11">
        <f>SUMIFS(TableDailySummary[Rappi_net_sales],TableDailySummary[Fecha],"&gt;="&amp;TableWeeklySummary[[#This Row],[Desde]],TableDailySummary[Fecha],"&lt;="&amp;TableWeeklySummary[[#This Row],[Hasta]])</f>
        <v>0</v>
      </c>
      <c r="Q163" s="11">
        <f>SUMIFS(TableDailySummary[Rappi_orders],TableDailySummary[Fecha],"&gt;="&amp;TableWeeklySummary[[#This Row],[Desde]],TableDailySummary[Fecha],"&lt;="&amp;TableWeeklySummary[[#This Row],[Hasta]])</f>
        <v>0</v>
      </c>
      <c r="R16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3" s="11">
        <f>SUMIFS(TableDailySummary[Corporativo no tienda_orders],TableDailySummary[Fecha],"&gt;="&amp;TableWeeklySummary[[#This Row],[Desde]],TableDailySummary[Fecha],"&lt;="&amp;TableWeeklySummary[[#This Row],[Hasta]])</f>
        <v>0</v>
      </c>
      <c r="T163" s="11">
        <f>SUMIFS(TableDailySummary[Inversión google ads],TableDailySummary[Fecha],"&gt;="&amp;TableWeeklySummary[[#This Row],[Desde]],TableDailySummary[Fecha],"&lt;="&amp;TableWeeklySummary[[#This Row],[Hasta]])</f>
        <v>0</v>
      </c>
      <c r="U163" s="11">
        <f>SUMIFS(TableDailySummary[Ventas google ads],TableDailySummary[Fecha],"&gt;="&amp;TableWeeklySummary[[#This Row],[Desde]],TableDailySummary[Fecha],"&lt;="&amp;TableWeeklySummary[[#This Row],[Hasta]])</f>
        <v>0</v>
      </c>
      <c r="V163" s="11">
        <f>SUMIFS(TableDailySummary[Inversión meta ads],TableDailySummary[Fecha],"&gt;="&amp;TableWeeklySummary[[#This Row],[Desde]],TableDailySummary[Fecha],"&lt;="&amp;TableWeeklySummary[[#This Row],[Hasta]])</f>
        <v>0</v>
      </c>
      <c r="W163" s="11">
        <f>SUMIFS(TableDailySummary[Ventas meta ads],TableDailySummary[Fecha],"&gt;="&amp;TableWeeklySummary[[#This Row],[Desde]],TableDailySummary[Fecha],"&lt;="&amp;TableWeeklySummary[[#This Row],[Hasta]])</f>
        <v>0</v>
      </c>
      <c r="X163" s="11">
        <f>TableWeeklySummary[[#This Row],[Inversión google ads]]+TableWeeklySummary[[#This Row],[Inversión meta ads]]</f>
        <v>0</v>
      </c>
      <c r="Y163" s="11">
        <f>TableWeeklySummary[[#This Row],[Ventas google ads]]+TableWeeklySummary[[#This Row],[Ventas meta ads]]</f>
        <v>0</v>
      </c>
      <c r="Z163" s="14">
        <f>IFERROR(TableWeeklySummary[[#This Row],[Ventas publicidad]]/TableWeeklySummary[[#This Row],[Inversión publicidad]],0)</f>
        <v>0</v>
      </c>
      <c r="AA163" s="14">
        <f>IFERROR(TableWeeklySummary[[#This Row],[Ventas primer cliente]]/TableWeeklySummary[[#This Row],[Inversión publicidad]],0)</f>
        <v>0</v>
      </c>
      <c r="AB163" s="14"/>
      <c r="AC163" s="11"/>
      <c r="AI16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3" s="11">
        <f>SUMIFS(TableDailySummary[Costo de ventas registrado],TableDailySummary[Fecha],"&gt;="&amp;TableWeeklySummary[[#This Row],[Desde]],TableDailySummary[Fecha],"&lt;="&amp;TableWeeklySummary[[#This Row],[Hasta]])</f>
        <v>0</v>
      </c>
      <c r="AK163" s="11">
        <f>SUMIFS(TableDailySummary[Utilidad bruta],TableDailySummary[Fecha],"&gt;="&amp;TableWeeklySummary[[#This Row],[Desde]],TableDailySummary[Fecha],"&lt;="&amp;TableWeeklySummary[[#This Row],[Hasta]])</f>
        <v>0</v>
      </c>
      <c r="AL163" s="18">
        <f>IFERROR(TableWeeklySummary[[#This Row],[Utilidad bruta]]/TableWeeklySummary[[#This Row],[Ventas netas con costo registrado]],0)</f>
        <v>0</v>
      </c>
    </row>
    <row r="164" spans="2:38" x14ac:dyDescent="0.2">
      <c r="B164" s="16">
        <f>_xlfn.ISOWEEKNUM(TableWeeklySummary[[#This Row],[Hasta]])</f>
        <v>49</v>
      </c>
      <c r="C164" s="6">
        <f t="shared" si="4"/>
        <v>45625</v>
      </c>
      <c r="D164" s="6">
        <f>TableWeeklySummary[[#This Row],[Desde]]+7-1</f>
        <v>45631</v>
      </c>
      <c r="E164" s="11">
        <f>SUMIFS(TableDailySummary[Ventas netas totales],TableDailySummary[Fecha],"&gt;="&amp;TableWeeklySummary[[#This Row],[Desde]],TableDailySummary[Fecha],"&lt;="&amp;TableWeeklySummary[[#This Row],[Hasta]])</f>
        <v>0</v>
      </c>
      <c r="F164" s="11">
        <f>SUMIFS(TableDailySummary[Órdenes totales],TableDailySummary[Fecha],"&gt;="&amp;TableWeeklySummary[[#This Row],[Desde]],TableDailySummary[Fecha],"&lt;="&amp;TableWeeklySummary[[#This Row],[Hasta]])</f>
        <v>0</v>
      </c>
      <c r="G164" s="11">
        <f>IFERROR(TableWeeklySummary[[#This Row],[Ventas netas totales]]/TableWeeklySummary[[#This Row],[Órdenes totales]],0)</f>
        <v>0</v>
      </c>
      <c r="H16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4" s="11">
        <f>TableWeeklySummary[[#This Row],[Órden promedio totales]]*TableWeeklySummary[[#This Row],[CR totales]]</f>
        <v>0</v>
      </c>
      <c r="J164" s="11">
        <f>SUMIFS(TableDailySummary[Ventas primer cliente],TableDailySummary[Fecha],"&gt;="&amp;TableWeeklySummary[[#This Row],[Desde]],TableDailySummary[Fecha],"&lt;="&amp;TableWeeklySummary[[#This Row],[Hasta]])</f>
        <v>0</v>
      </c>
      <c r="K164" s="11">
        <f>SUMIFS(TableDailySummary[Órdenes primer cliente],TableDailySummary[Fecha],"&gt;="&amp;TableWeeklySummary[[#This Row],[Desde]],TableDailySummary[Fecha],"&lt;="&amp;TableWeeklySummary[[#This Row],[Hasta]])</f>
        <v>0</v>
      </c>
      <c r="L164" s="11">
        <f>SUMIFS(TableDailySummary[Online Store_net_sales],TableDailySummary[Fecha],"&gt;="&amp;TableWeeklySummary[[#This Row],[Desde]],TableDailySummary[Fecha],"&lt;="&amp;TableWeeklySummary[[#This Row],[Hasta]])</f>
        <v>0</v>
      </c>
      <c r="M164" s="11">
        <f>SUMIFS(TableDailySummary[Online Store_orders],TableDailySummary[Fecha],"&gt;="&amp;TableWeeklySummary[[#This Row],[Desde]],TableDailySummary[Fecha],"&lt;="&amp;TableWeeklySummary[[#This Row],[Hasta]])</f>
        <v>0</v>
      </c>
      <c r="N164" s="11">
        <f>SUMIFS(TableDailySummary[Tienda 81_net_sales],TableDailySummary[Fecha],"&gt;="&amp;TableWeeklySummary[[#This Row],[Desde]],TableDailySummary[Fecha],"&lt;="&amp;TableWeeklySummary[[#This Row],[Hasta]])</f>
        <v>0</v>
      </c>
      <c r="O164" s="11">
        <f>SUMIFS(TableDailySummary[Tienda 81_orders],TableDailySummary[Fecha],"&gt;="&amp;TableWeeklySummary[[#This Row],[Desde]],TableDailySummary[Fecha],"&lt;="&amp;TableWeeklySummary[[#This Row],[Hasta]])</f>
        <v>0</v>
      </c>
      <c r="P164" s="11">
        <f>SUMIFS(TableDailySummary[Rappi_net_sales],TableDailySummary[Fecha],"&gt;="&amp;TableWeeklySummary[[#This Row],[Desde]],TableDailySummary[Fecha],"&lt;="&amp;TableWeeklySummary[[#This Row],[Hasta]])</f>
        <v>0</v>
      </c>
      <c r="Q164" s="11">
        <f>SUMIFS(TableDailySummary[Rappi_orders],TableDailySummary[Fecha],"&gt;="&amp;TableWeeklySummary[[#This Row],[Desde]],TableDailySummary[Fecha],"&lt;="&amp;TableWeeklySummary[[#This Row],[Hasta]])</f>
        <v>0</v>
      </c>
      <c r="R16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4" s="11">
        <f>SUMIFS(TableDailySummary[Corporativo no tienda_orders],TableDailySummary[Fecha],"&gt;="&amp;TableWeeklySummary[[#This Row],[Desde]],TableDailySummary[Fecha],"&lt;="&amp;TableWeeklySummary[[#This Row],[Hasta]])</f>
        <v>0</v>
      </c>
      <c r="T164" s="11">
        <f>SUMIFS(TableDailySummary[Inversión google ads],TableDailySummary[Fecha],"&gt;="&amp;TableWeeklySummary[[#This Row],[Desde]],TableDailySummary[Fecha],"&lt;="&amp;TableWeeklySummary[[#This Row],[Hasta]])</f>
        <v>0</v>
      </c>
      <c r="U164" s="11">
        <f>SUMIFS(TableDailySummary[Ventas google ads],TableDailySummary[Fecha],"&gt;="&amp;TableWeeklySummary[[#This Row],[Desde]],TableDailySummary[Fecha],"&lt;="&amp;TableWeeklySummary[[#This Row],[Hasta]])</f>
        <v>0</v>
      </c>
      <c r="V164" s="11">
        <f>SUMIFS(TableDailySummary[Inversión meta ads],TableDailySummary[Fecha],"&gt;="&amp;TableWeeklySummary[[#This Row],[Desde]],TableDailySummary[Fecha],"&lt;="&amp;TableWeeklySummary[[#This Row],[Hasta]])</f>
        <v>0</v>
      </c>
      <c r="W164" s="11">
        <f>SUMIFS(TableDailySummary[Ventas meta ads],TableDailySummary[Fecha],"&gt;="&amp;TableWeeklySummary[[#This Row],[Desde]],TableDailySummary[Fecha],"&lt;="&amp;TableWeeklySummary[[#This Row],[Hasta]])</f>
        <v>0</v>
      </c>
      <c r="X164" s="11">
        <f>TableWeeklySummary[[#This Row],[Inversión google ads]]+TableWeeklySummary[[#This Row],[Inversión meta ads]]</f>
        <v>0</v>
      </c>
      <c r="Y164" s="11">
        <f>TableWeeklySummary[[#This Row],[Ventas google ads]]+TableWeeklySummary[[#This Row],[Ventas meta ads]]</f>
        <v>0</v>
      </c>
      <c r="Z164" s="14">
        <f>IFERROR(TableWeeklySummary[[#This Row],[Ventas publicidad]]/TableWeeklySummary[[#This Row],[Inversión publicidad]],0)</f>
        <v>0</v>
      </c>
      <c r="AA164" s="14">
        <f>IFERROR(TableWeeklySummary[[#This Row],[Ventas primer cliente]]/TableWeeklySummary[[#This Row],[Inversión publicidad]],0)</f>
        <v>0</v>
      </c>
      <c r="AB164" s="14"/>
      <c r="AC164" s="11"/>
      <c r="AI16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4" s="11">
        <f>SUMIFS(TableDailySummary[Costo de ventas registrado],TableDailySummary[Fecha],"&gt;="&amp;TableWeeklySummary[[#This Row],[Desde]],TableDailySummary[Fecha],"&lt;="&amp;TableWeeklySummary[[#This Row],[Hasta]])</f>
        <v>0</v>
      </c>
      <c r="AK164" s="11">
        <f>SUMIFS(TableDailySummary[Utilidad bruta],TableDailySummary[Fecha],"&gt;="&amp;TableWeeklySummary[[#This Row],[Desde]],TableDailySummary[Fecha],"&lt;="&amp;TableWeeklySummary[[#This Row],[Hasta]])</f>
        <v>0</v>
      </c>
      <c r="AL164" s="18">
        <f>IFERROR(TableWeeklySummary[[#This Row],[Utilidad bruta]]/TableWeeklySummary[[#This Row],[Ventas netas con costo registrado]],0)</f>
        <v>0</v>
      </c>
    </row>
    <row r="165" spans="2:38" x14ac:dyDescent="0.2">
      <c r="B165" s="16">
        <f>_xlfn.ISOWEEKNUM(TableWeeklySummary[[#This Row],[Hasta]])</f>
        <v>50</v>
      </c>
      <c r="C165" s="6">
        <f t="shared" si="4"/>
        <v>45632</v>
      </c>
      <c r="D165" s="6">
        <f>TableWeeklySummary[[#This Row],[Desde]]+7-1</f>
        <v>45638</v>
      </c>
      <c r="E165" s="11">
        <f>SUMIFS(TableDailySummary[Ventas netas totales],TableDailySummary[Fecha],"&gt;="&amp;TableWeeklySummary[[#This Row],[Desde]],TableDailySummary[Fecha],"&lt;="&amp;TableWeeklySummary[[#This Row],[Hasta]])</f>
        <v>0</v>
      </c>
      <c r="F165" s="11">
        <f>SUMIFS(TableDailySummary[Órdenes totales],TableDailySummary[Fecha],"&gt;="&amp;TableWeeklySummary[[#This Row],[Desde]],TableDailySummary[Fecha],"&lt;="&amp;TableWeeklySummary[[#This Row],[Hasta]])</f>
        <v>0</v>
      </c>
      <c r="G165" s="11">
        <f>IFERROR(TableWeeklySummary[[#This Row],[Ventas netas totales]]/TableWeeklySummary[[#This Row],[Órdenes totales]],0)</f>
        <v>0</v>
      </c>
      <c r="H16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5" s="11">
        <f>TableWeeklySummary[[#This Row],[Órden promedio totales]]*TableWeeklySummary[[#This Row],[CR totales]]</f>
        <v>0</v>
      </c>
      <c r="J165" s="11">
        <f>SUMIFS(TableDailySummary[Ventas primer cliente],TableDailySummary[Fecha],"&gt;="&amp;TableWeeklySummary[[#This Row],[Desde]],TableDailySummary[Fecha],"&lt;="&amp;TableWeeklySummary[[#This Row],[Hasta]])</f>
        <v>0</v>
      </c>
      <c r="K165" s="11">
        <f>SUMIFS(TableDailySummary[Órdenes primer cliente],TableDailySummary[Fecha],"&gt;="&amp;TableWeeklySummary[[#This Row],[Desde]],TableDailySummary[Fecha],"&lt;="&amp;TableWeeklySummary[[#This Row],[Hasta]])</f>
        <v>0</v>
      </c>
      <c r="L165" s="11">
        <f>SUMIFS(TableDailySummary[Online Store_net_sales],TableDailySummary[Fecha],"&gt;="&amp;TableWeeklySummary[[#This Row],[Desde]],TableDailySummary[Fecha],"&lt;="&amp;TableWeeklySummary[[#This Row],[Hasta]])</f>
        <v>0</v>
      </c>
      <c r="M165" s="11">
        <f>SUMIFS(TableDailySummary[Online Store_orders],TableDailySummary[Fecha],"&gt;="&amp;TableWeeklySummary[[#This Row],[Desde]],TableDailySummary[Fecha],"&lt;="&amp;TableWeeklySummary[[#This Row],[Hasta]])</f>
        <v>0</v>
      </c>
      <c r="N165" s="11">
        <f>SUMIFS(TableDailySummary[Tienda 81_net_sales],TableDailySummary[Fecha],"&gt;="&amp;TableWeeklySummary[[#This Row],[Desde]],TableDailySummary[Fecha],"&lt;="&amp;TableWeeklySummary[[#This Row],[Hasta]])</f>
        <v>0</v>
      </c>
      <c r="O165" s="11">
        <f>SUMIFS(TableDailySummary[Tienda 81_orders],TableDailySummary[Fecha],"&gt;="&amp;TableWeeklySummary[[#This Row],[Desde]],TableDailySummary[Fecha],"&lt;="&amp;TableWeeklySummary[[#This Row],[Hasta]])</f>
        <v>0</v>
      </c>
      <c r="P165" s="11">
        <f>SUMIFS(TableDailySummary[Rappi_net_sales],TableDailySummary[Fecha],"&gt;="&amp;TableWeeklySummary[[#This Row],[Desde]],TableDailySummary[Fecha],"&lt;="&amp;TableWeeklySummary[[#This Row],[Hasta]])</f>
        <v>0</v>
      </c>
      <c r="Q165" s="11">
        <f>SUMIFS(TableDailySummary[Rappi_orders],TableDailySummary[Fecha],"&gt;="&amp;TableWeeklySummary[[#This Row],[Desde]],TableDailySummary[Fecha],"&lt;="&amp;TableWeeklySummary[[#This Row],[Hasta]])</f>
        <v>0</v>
      </c>
      <c r="R16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5" s="11">
        <f>SUMIFS(TableDailySummary[Corporativo no tienda_orders],TableDailySummary[Fecha],"&gt;="&amp;TableWeeklySummary[[#This Row],[Desde]],TableDailySummary[Fecha],"&lt;="&amp;TableWeeklySummary[[#This Row],[Hasta]])</f>
        <v>0</v>
      </c>
      <c r="T165" s="11">
        <f>SUMIFS(TableDailySummary[Inversión google ads],TableDailySummary[Fecha],"&gt;="&amp;TableWeeklySummary[[#This Row],[Desde]],TableDailySummary[Fecha],"&lt;="&amp;TableWeeklySummary[[#This Row],[Hasta]])</f>
        <v>0</v>
      </c>
      <c r="U165" s="11">
        <f>SUMIFS(TableDailySummary[Ventas google ads],TableDailySummary[Fecha],"&gt;="&amp;TableWeeklySummary[[#This Row],[Desde]],TableDailySummary[Fecha],"&lt;="&amp;TableWeeklySummary[[#This Row],[Hasta]])</f>
        <v>0</v>
      </c>
      <c r="V165" s="11">
        <f>SUMIFS(TableDailySummary[Inversión meta ads],TableDailySummary[Fecha],"&gt;="&amp;TableWeeklySummary[[#This Row],[Desde]],TableDailySummary[Fecha],"&lt;="&amp;TableWeeklySummary[[#This Row],[Hasta]])</f>
        <v>0</v>
      </c>
      <c r="W165" s="11">
        <f>SUMIFS(TableDailySummary[Ventas meta ads],TableDailySummary[Fecha],"&gt;="&amp;TableWeeklySummary[[#This Row],[Desde]],TableDailySummary[Fecha],"&lt;="&amp;TableWeeklySummary[[#This Row],[Hasta]])</f>
        <v>0</v>
      </c>
      <c r="X165" s="11">
        <f>TableWeeklySummary[[#This Row],[Inversión google ads]]+TableWeeklySummary[[#This Row],[Inversión meta ads]]</f>
        <v>0</v>
      </c>
      <c r="Y165" s="11">
        <f>TableWeeklySummary[[#This Row],[Ventas google ads]]+TableWeeklySummary[[#This Row],[Ventas meta ads]]</f>
        <v>0</v>
      </c>
      <c r="Z165" s="14">
        <f>IFERROR(TableWeeklySummary[[#This Row],[Ventas publicidad]]/TableWeeklySummary[[#This Row],[Inversión publicidad]],0)</f>
        <v>0</v>
      </c>
      <c r="AA165" s="14">
        <f>IFERROR(TableWeeklySummary[[#This Row],[Ventas primer cliente]]/TableWeeklySummary[[#This Row],[Inversión publicidad]],0)</f>
        <v>0</v>
      </c>
      <c r="AB165" s="14"/>
      <c r="AC165" s="11"/>
      <c r="AI16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5" s="11">
        <f>SUMIFS(TableDailySummary[Costo de ventas registrado],TableDailySummary[Fecha],"&gt;="&amp;TableWeeklySummary[[#This Row],[Desde]],TableDailySummary[Fecha],"&lt;="&amp;TableWeeklySummary[[#This Row],[Hasta]])</f>
        <v>0</v>
      </c>
      <c r="AK165" s="11">
        <f>SUMIFS(TableDailySummary[Utilidad bruta],TableDailySummary[Fecha],"&gt;="&amp;TableWeeklySummary[[#This Row],[Desde]],TableDailySummary[Fecha],"&lt;="&amp;TableWeeklySummary[[#This Row],[Hasta]])</f>
        <v>0</v>
      </c>
      <c r="AL165" s="18">
        <f>IFERROR(TableWeeklySummary[[#This Row],[Utilidad bruta]]/TableWeeklySummary[[#This Row],[Ventas netas con costo registrado]],0)</f>
        <v>0</v>
      </c>
    </row>
    <row r="166" spans="2:38" x14ac:dyDescent="0.2">
      <c r="B166" s="16">
        <f>_xlfn.ISOWEEKNUM(TableWeeklySummary[[#This Row],[Hasta]])</f>
        <v>51</v>
      </c>
      <c r="C166" s="6">
        <f t="shared" si="4"/>
        <v>45639</v>
      </c>
      <c r="D166" s="6">
        <f>TableWeeklySummary[[#This Row],[Desde]]+7-1</f>
        <v>45645</v>
      </c>
      <c r="E166" s="11">
        <f>SUMIFS(TableDailySummary[Ventas netas totales],TableDailySummary[Fecha],"&gt;="&amp;TableWeeklySummary[[#This Row],[Desde]],TableDailySummary[Fecha],"&lt;="&amp;TableWeeklySummary[[#This Row],[Hasta]])</f>
        <v>0</v>
      </c>
      <c r="F166" s="11">
        <f>SUMIFS(TableDailySummary[Órdenes totales],TableDailySummary[Fecha],"&gt;="&amp;TableWeeklySummary[[#This Row],[Desde]],TableDailySummary[Fecha],"&lt;="&amp;TableWeeklySummary[[#This Row],[Hasta]])</f>
        <v>0</v>
      </c>
      <c r="G166" s="11">
        <f>IFERROR(TableWeeklySummary[[#This Row],[Ventas netas totales]]/TableWeeklySummary[[#This Row],[Órdenes totales]],0)</f>
        <v>0</v>
      </c>
      <c r="H16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6" s="11">
        <f>TableWeeklySummary[[#This Row],[Órden promedio totales]]*TableWeeklySummary[[#This Row],[CR totales]]</f>
        <v>0</v>
      </c>
      <c r="J166" s="11">
        <f>SUMIFS(TableDailySummary[Ventas primer cliente],TableDailySummary[Fecha],"&gt;="&amp;TableWeeklySummary[[#This Row],[Desde]],TableDailySummary[Fecha],"&lt;="&amp;TableWeeklySummary[[#This Row],[Hasta]])</f>
        <v>0</v>
      </c>
      <c r="K166" s="11">
        <f>SUMIFS(TableDailySummary[Órdenes primer cliente],TableDailySummary[Fecha],"&gt;="&amp;TableWeeklySummary[[#This Row],[Desde]],TableDailySummary[Fecha],"&lt;="&amp;TableWeeklySummary[[#This Row],[Hasta]])</f>
        <v>0</v>
      </c>
      <c r="L166" s="11">
        <f>SUMIFS(TableDailySummary[Online Store_net_sales],TableDailySummary[Fecha],"&gt;="&amp;TableWeeklySummary[[#This Row],[Desde]],TableDailySummary[Fecha],"&lt;="&amp;TableWeeklySummary[[#This Row],[Hasta]])</f>
        <v>0</v>
      </c>
      <c r="M166" s="11">
        <f>SUMIFS(TableDailySummary[Online Store_orders],TableDailySummary[Fecha],"&gt;="&amp;TableWeeklySummary[[#This Row],[Desde]],TableDailySummary[Fecha],"&lt;="&amp;TableWeeklySummary[[#This Row],[Hasta]])</f>
        <v>0</v>
      </c>
      <c r="N166" s="11">
        <f>SUMIFS(TableDailySummary[Tienda 81_net_sales],TableDailySummary[Fecha],"&gt;="&amp;TableWeeklySummary[[#This Row],[Desde]],TableDailySummary[Fecha],"&lt;="&amp;TableWeeklySummary[[#This Row],[Hasta]])</f>
        <v>0</v>
      </c>
      <c r="O166" s="11">
        <f>SUMIFS(TableDailySummary[Tienda 81_orders],TableDailySummary[Fecha],"&gt;="&amp;TableWeeklySummary[[#This Row],[Desde]],TableDailySummary[Fecha],"&lt;="&amp;TableWeeklySummary[[#This Row],[Hasta]])</f>
        <v>0</v>
      </c>
      <c r="P166" s="11">
        <f>SUMIFS(TableDailySummary[Rappi_net_sales],TableDailySummary[Fecha],"&gt;="&amp;TableWeeklySummary[[#This Row],[Desde]],TableDailySummary[Fecha],"&lt;="&amp;TableWeeklySummary[[#This Row],[Hasta]])</f>
        <v>0</v>
      </c>
      <c r="Q166" s="11">
        <f>SUMIFS(TableDailySummary[Rappi_orders],TableDailySummary[Fecha],"&gt;="&amp;TableWeeklySummary[[#This Row],[Desde]],TableDailySummary[Fecha],"&lt;="&amp;TableWeeklySummary[[#This Row],[Hasta]])</f>
        <v>0</v>
      </c>
      <c r="R16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6" s="11">
        <f>SUMIFS(TableDailySummary[Corporativo no tienda_orders],TableDailySummary[Fecha],"&gt;="&amp;TableWeeklySummary[[#This Row],[Desde]],TableDailySummary[Fecha],"&lt;="&amp;TableWeeklySummary[[#This Row],[Hasta]])</f>
        <v>0</v>
      </c>
      <c r="T166" s="11">
        <f>SUMIFS(TableDailySummary[Inversión google ads],TableDailySummary[Fecha],"&gt;="&amp;TableWeeklySummary[[#This Row],[Desde]],TableDailySummary[Fecha],"&lt;="&amp;TableWeeklySummary[[#This Row],[Hasta]])</f>
        <v>0</v>
      </c>
      <c r="U166" s="11">
        <f>SUMIFS(TableDailySummary[Ventas google ads],TableDailySummary[Fecha],"&gt;="&amp;TableWeeklySummary[[#This Row],[Desde]],TableDailySummary[Fecha],"&lt;="&amp;TableWeeklySummary[[#This Row],[Hasta]])</f>
        <v>0</v>
      </c>
      <c r="V166" s="11">
        <f>SUMIFS(TableDailySummary[Inversión meta ads],TableDailySummary[Fecha],"&gt;="&amp;TableWeeklySummary[[#This Row],[Desde]],TableDailySummary[Fecha],"&lt;="&amp;TableWeeklySummary[[#This Row],[Hasta]])</f>
        <v>0</v>
      </c>
      <c r="W166" s="11">
        <f>SUMIFS(TableDailySummary[Ventas meta ads],TableDailySummary[Fecha],"&gt;="&amp;TableWeeklySummary[[#This Row],[Desde]],TableDailySummary[Fecha],"&lt;="&amp;TableWeeklySummary[[#This Row],[Hasta]])</f>
        <v>0</v>
      </c>
      <c r="X166" s="11">
        <f>TableWeeklySummary[[#This Row],[Inversión google ads]]+TableWeeklySummary[[#This Row],[Inversión meta ads]]</f>
        <v>0</v>
      </c>
      <c r="Y166" s="11">
        <f>TableWeeklySummary[[#This Row],[Ventas google ads]]+TableWeeklySummary[[#This Row],[Ventas meta ads]]</f>
        <v>0</v>
      </c>
      <c r="Z166" s="14">
        <f>IFERROR(TableWeeklySummary[[#This Row],[Ventas publicidad]]/TableWeeklySummary[[#This Row],[Inversión publicidad]],0)</f>
        <v>0</v>
      </c>
      <c r="AA166" s="14">
        <f>IFERROR(TableWeeklySummary[[#This Row],[Ventas primer cliente]]/TableWeeklySummary[[#This Row],[Inversión publicidad]],0)</f>
        <v>0</v>
      </c>
      <c r="AB166" s="14"/>
      <c r="AC166" s="11"/>
      <c r="AI16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6" s="11">
        <f>SUMIFS(TableDailySummary[Costo de ventas registrado],TableDailySummary[Fecha],"&gt;="&amp;TableWeeklySummary[[#This Row],[Desde]],TableDailySummary[Fecha],"&lt;="&amp;TableWeeklySummary[[#This Row],[Hasta]])</f>
        <v>0</v>
      </c>
      <c r="AK166" s="11">
        <f>SUMIFS(TableDailySummary[Utilidad bruta],TableDailySummary[Fecha],"&gt;="&amp;TableWeeklySummary[[#This Row],[Desde]],TableDailySummary[Fecha],"&lt;="&amp;TableWeeklySummary[[#This Row],[Hasta]])</f>
        <v>0</v>
      </c>
      <c r="AL166" s="18">
        <f>IFERROR(TableWeeklySummary[[#This Row],[Utilidad bruta]]/TableWeeklySummary[[#This Row],[Ventas netas con costo registrado]],0)</f>
        <v>0</v>
      </c>
    </row>
    <row r="167" spans="2:38" x14ac:dyDescent="0.2">
      <c r="B167" s="16">
        <f>_xlfn.ISOWEEKNUM(TableWeeklySummary[[#This Row],[Hasta]])</f>
        <v>52</v>
      </c>
      <c r="C167" s="6">
        <f t="shared" si="4"/>
        <v>45646</v>
      </c>
      <c r="D167" s="6">
        <f>TableWeeklySummary[[#This Row],[Desde]]+7-1</f>
        <v>45652</v>
      </c>
      <c r="E167" s="11">
        <f>SUMIFS(TableDailySummary[Ventas netas totales],TableDailySummary[Fecha],"&gt;="&amp;TableWeeklySummary[[#This Row],[Desde]],TableDailySummary[Fecha],"&lt;="&amp;TableWeeklySummary[[#This Row],[Hasta]])</f>
        <v>0</v>
      </c>
      <c r="F167" s="11">
        <f>SUMIFS(TableDailySummary[Órdenes totales],TableDailySummary[Fecha],"&gt;="&amp;TableWeeklySummary[[#This Row],[Desde]],TableDailySummary[Fecha],"&lt;="&amp;TableWeeklySummary[[#This Row],[Hasta]])</f>
        <v>0</v>
      </c>
      <c r="G167" s="11">
        <f>IFERROR(TableWeeklySummary[[#This Row],[Ventas netas totales]]/TableWeeklySummary[[#This Row],[Órdenes totales]],0)</f>
        <v>0</v>
      </c>
      <c r="H16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7" s="11">
        <f>TableWeeklySummary[[#This Row],[Órden promedio totales]]*TableWeeklySummary[[#This Row],[CR totales]]</f>
        <v>0</v>
      </c>
      <c r="J167" s="11">
        <f>SUMIFS(TableDailySummary[Ventas primer cliente],TableDailySummary[Fecha],"&gt;="&amp;TableWeeklySummary[[#This Row],[Desde]],TableDailySummary[Fecha],"&lt;="&amp;TableWeeklySummary[[#This Row],[Hasta]])</f>
        <v>0</v>
      </c>
      <c r="K167" s="11">
        <f>SUMIFS(TableDailySummary[Órdenes primer cliente],TableDailySummary[Fecha],"&gt;="&amp;TableWeeklySummary[[#This Row],[Desde]],TableDailySummary[Fecha],"&lt;="&amp;TableWeeklySummary[[#This Row],[Hasta]])</f>
        <v>0</v>
      </c>
      <c r="L167" s="11">
        <f>SUMIFS(TableDailySummary[Online Store_net_sales],TableDailySummary[Fecha],"&gt;="&amp;TableWeeklySummary[[#This Row],[Desde]],TableDailySummary[Fecha],"&lt;="&amp;TableWeeklySummary[[#This Row],[Hasta]])</f>
        <v>0</v>
      </c>
      <c r="M167" s="11">
        <f>SUMIFS(TableDailySummary[Online Store_orders],TableDailySummary[Fecha],"&gt;="&amp;TableWeeklySummary[[#This Row],[Desde]],TableDailySummary[Fecha],"&lt;="&amp;TableWeeklySummary[[#This Row],[Hasta]])</f>
        <v>0</v>
      </c>
      <c r="N167" s="11">
        <f>SUMIFS(TableDailySummary[Tienda 81_net_sales],TableDailySummary[Fecha],"&gt;="&amp;TableWeeklySummary[[#This Row],[Desde]],TableDailySummary[Fecha],"&lt;="&amp;TableWeeklySummary[[#This Row],[Hasta]])</f>
        <v>0</v>
      </c>
      <c r="O167" s="11">
        <f>SUMIFS(TableDailySummary[Tienda 81_orders],TableDailySummary[Fecha],"&gt;="&amp;TableWeeklySummary[[#This Row],[Desde]],TableDailySummary[Fecha],"&lt;="&amp;TableWeeklySummary[[#This Row],[Hasta]])</f>
        <v>0</v>
      </c>
      <c r="P167" s="11">
        <f>SUMIFS(TableDailySummary[Rappi_net_sales],TableDailySummary[Fecha],"&gt;="&amp;TableWeeklySummary[[#This Row],[Desde]],TableDailySummary[Fecha],"&lt;="&amp;TableWeeklySummary[[#This Row],[Hasta]])</f>
        <v>0</v>
      </c>
      <c r="Q167" s="11">
        <f>SUMIFS(TableDailySummary[Rappi_orders],TableDailySummary[Fecha],"&gt;="&amp;TableWeeklySummary[[#This Row],[Desde]],TableDailySummary[Fecha],"&lt;="&amp;TableWeeklySummary[[#This Row],[Hasta]])</f>
        <v>0</v>
      </c>
      <c r="R16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7" s="11">
        <f>SUMIFS(TableDailySummary[Corporativo no tienda_orders],TableDailySummary[Fecha],"&gt;="&amp;TableWeeklySummary[[#This Row],[Desde]],TableDailySummary[Fecha],"&lt;="&amp;TableWeeklySummary[[#This Row],[Hasta]])</f>
        <v>0</v>
      </c>
      <c r="T167" s="11">
        <f>SUMIFS(TableDailySummary[Inversión google ads],TableDailySummary[Fecha],"&gt;="&amp;TableWeeklySummary[[#This Row],[Desde]],TableDailySummary[Fecha],"&lt;="&amp;TableWeeklySummary[[#This Row],[Hasta]])</f>
        <v>0</v>
      </c>
      <c r="U167" s="11">
        <f>SUMIFS(TableDailySummary[Ventas google ads],TableDailySummary[Fecha],"&gt;="&amp;TableWeeklySummary[[#This Row],[Desde]],TableDailySummary[Fecha],"&lt;="&amp;TableWeeklySummary[[#This Row],[Hasta]])</f>
        <v>0</v>
      </c>
      <c r="V167" s="11">
        <f>SUMIFS(TableDailySummary[Inversión meta ads],TableDailySummary[Fecha],"&gt;="&amp;TableWeeklySummary[[#This Row],[Desde]],TableDailySummary[Fecha],"&lt;="&amp;TableWeeklySummary[[#This Row],[Hasta]])</f>
        <v>0</v>
      </c>
      <c r="W167" s="11">
        <f>SUMIFS(TableDailySummary[Ventas meta ads],TableDailySummary[Fecha],"&gt;="&amp;TableWeeklySummary[[#This Row],[Desde]],TableDailySummary[Fecha],"&lt;="&amp;TableWeeklySummary[[#This Row],[Hasta]])</f>
        <v>0</v>
      </c>
      <c r="X167" s="11">
        <f>TableWeeklySummary[[#This Row],[Inversión google ads]]+TableWeeklySummary[[#This Row],[Inversión meta ads]]</f>
        <v>0</v>
      </c>
      <c r="Y167" s="11">
        <f>TableWeeklySummary[[#This Row],[Ventas google ads]]+TableWeeklySummary[[#This Row],[Ventas meta ads]]</f>
        <v>0</v>
      </c>
      <c r="Z167" s="14">
        <f>IFERROR(TableWeeklySummary[[#This Row],[Ventas publicidad]]/TableWeeklySummary[[#This Row],[Inversión publicidad]],0)</f>
        <v>0</v>
      </c>
      <c r="AA167" s="14">
        <f>IFERROR(TableWeeklySummary[[#This Row],[Ventas primer cliente]]/TableWeeklySummary[[#This Row],[Inversión publicidad]],0)</f>
        <v>0</v>
      </c>
      <c r="AB167" s="14"/>
      <c r="AC167" s="11"/>
      <c r="AI16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7" s="11">
        <f>SUMIFS(TableDailySummary[Costo de ventas registrado],TableDailySummary[Fecha],"&gt;="&amp;TableWeeklySummary[[#This Row],[Desde]],TableDailySummary[Fecha],"&lt;="&amp;TableWeeklySummary[[#This Row],[Hasta]])</f>
        <v>0</v>
      </c>
      <c r="AK167" s="11">
        <f>SUMIFS(TableDailySummary[Utilidad bruta],TableDailySummary[Fecha],"&gt;="&amp;TableWeeklySummary[[#This Row],[Desde]],TableDailySummary[Fecha],"&lt;="&amp;TableWeeklySummary[[#This Row],[Hasta]])</f>
        <v>0</v>
      </c>
      <c r="AL167" s="18">
        <f>IFERROR(TableWeeklySummary[[#This Row],[Utilidad bruta]]/TableWeeklySummary[[#This Row],[Ventas netas con costo registrado]],0)</f>
        <v>0</v>
      </c>
    </row>
    <row r="168" spans="2:38" x14ac:dyDescent="0.2">
      <c r="B168" s="16">
        <f>_xlfn.ISOWEEKNUM(TableWeeklySummary[[#This Row],[Hasta]])</f>
        <v>1</v>
      </c>
      <c r="C168" s="6">
        <f t="shared" si="4"/>
        <v>45653</v>
      </c>
      <c r="D168" s="6">
        <f>TableWeeklySummary[[#This Row],[Desde]]+7-1</f>
        <v>45659</v>
      </c>
      <c r="E168" s="11">
        <f>SUMIFS(TableDailySummary[Ventas netas totales],TableDailySummary[Fecha],"&gt;="&amp;TableWeeklySummary[[#This Row],[Desde]],TableDailySummary[Fecha],"&lt;="&amp;TableWeeklySummary[[#This Row],[Hasta]])</f>
        <v>0</v>
      </c>
      <c r="F168" s="11">
        <f>SUMIFS(TableDailySummary[Órdenes totales],TableDailySummary[Fecha],"&gt;="&amp;TableWeeklySummary[[#This Row],[Desde]],TableDailySummary[Fecha],"&lt;="&amp;TableWeeklySummary[[#This Row],[Hasta]])</f>
        <v>0</v>
      </c>
      <c r="G168" s="11">
        <f>IFERROR(TableWeeklySummary[[#This Row],[Ventas netas totales]]/TableWeeklySummary[[#This Row],[Órdenes totales]],0)</f>
        <v>0</v>
      </c>
      <c r="H16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8" s="11">
        <f>TableWeeklySummary[[#This Row],[Órden promedio totales]]*TableWeeklySummary[[#This Row],[CR totales]]</f>
        <v>0</v>
      </c>
      <c r="J168" s="11">
        <f>SUMIFS(TableDailySummary[Ventas primer cliente],TableDailySummary[Fecha],"&gt;="&amp;TableWeeklySummary[[#This Row],[Desde]],TableDailySummary[Fecha],"&lt;="&amp;TableWeeklySummary[[#This Row],[Hasta]])</f>
        <v>0</v>
      </c>
      <c r="K168" s="11">
        <f>SUMIFS(TableDailySummary[Órdenes primer cliente],TableDailySummary[Fecha],"&gt;="&amp;TableWeeklySummary[[#This Row],[Desde]],TableDailySummary[Fecha],"&lt;="&amp;TableWeeklySummary[[#This Row],[Hasta]])</f>
        <v>0</v>
      </c>
      <c r="L168" s="11">
        <f>SUMIFS(TableDailySummary[Online Store_net_sales],TableDailySummary[Fecha],"&gt;="&amp;TableWeeklySummary[[#This Row],[Desde]],TableDailySummary[Fecha],"&lt;="&amp;TableWeeklySummary[[#This Row],[Hasta]])</f>
        <v>0</v>
      </c>
      <c r="M168" s="11">
        <f>SUMIFS(TableDailySummary[Online Store_orders],TableDailySummary[Fecha],"&gt;="&amp;TableWeeklySummary[[#This Row],[Desde]],TableDailySummary[Fecha],"&lt;="&amp;TableWeeklySummary[[#This Row],[Hasta]])</f>
        <v>0</v>
      </c>
      <c r="N168" s="11">
        <f>SUMIFS(TableDailySummary[Tienda 81_net_sales],TableDailySummary[Fecha],"&gt;="&amp;TableWeeklySummary[[#This Row],[Desde]],TableDailySummary[Fecha],"&lt;="&amp;TableWeeklySummary[[#This Row],[Hasta]])</f>
        <v>0</v>
      </c>
      <c r="O168" s="11">
        <f>SUMIFS(TableDailySummary[Tienda 81_orders],TableDailySummary[Fecha],"&gt;="&amp;TableWeeklySummary[[#This Row],[Desde]],TableDailySummary[Fecha],"&lt;="&amp;TableWeeklySummary[[#This Row],[Hasta]])</f>
        <v>0</v>
      </c>
      <c r="P168" s="11">
        <f>SUMIFS(TableDailySummary[Rappi_net_sales],TableDailySummary[Fecha],"&gt;="&amp;TableWeeklySummary[[#This Row],[Desde]],TableDailySummary[Fecha],"&lt;="&amp;TableWeeklySummary[[#This Row],[Hasta]])</f>
        <v>0</v>
      </c>
      <c r="Q168" s="11">
        <f>SUMIFS(TableDailySummary[Rappi_orders],TableDailySummary[Fecha],"&gt;="&amp;TableWeeklySummary[[#This Row],[Desde]],TableDailySummary[Fecha],"&lt;="&amp;TableWeeklySummary[[#This Row],[Hasta]])</f>
        <v>0</v>
      </c>
      <c r="R16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8" s="11">
        <f>SUMIFS(TableDailySummary[Corporativo no tienda_orders],TableDailySummary[Fecha],"&gt;="&amp;TableWeeklySummary[[#This Row],[Desde]],TableDailySummary[Fecha],"&lt;="&amp;TableWeeklySummary[[#This Row],[Hasta]])</f>
        <v>0</v>
      </c>
      <c r="T168" s="11">
        <f>SUMIFS(TableDailySummary[Inversión google ads],TableDailySummary[Fecha],"&gt;="&amp;TableWeeklySummary[[#This Row],[Desde]],TableDailySummary[Fecha],"&lt;="&amp;TableWeeklySummary[[#This Row],[Hasta]])</f>
        <v>0</v>
      </c>
      <c r="U168" s="11">
        <f>SUMIFS(TableDailySummary[Ventas google ads],TableDailySummary[Fecha],"&gt;="&amp;TableWeeklySummary[[#This Row],[Desde]],TableDailySummary[Fecha],"&lt;="&amp;TableWeeklySummary[[#This Row],[Hasta]])</f>
        <v>0</v>
      </c>
      <c r="V168" s="11">
        <f>SUMIFS(TableDailySummary[Inversión meta ads],TableDailySummary[Fecha],"&gt;="&amp;TableWeeklySummary[[#This Row],[Desde]],TableDailySummary[Fecha],"&lt;="&amp;TableWeeklySummary[[#This Row],[Hasta]])</f>
        <v>0</v>
      </c>
      <c r="W168" s="11">
        <f>SUMIFS(TableDailySummary[Ventas meta ads],TableDailySummary[Fecha],"&gt;="&amp;TableWeeklySummary[[#This Row],[Desde]],TableDailySummary[Fecha],"&lt;="&amp;TableWeeklySummary[[#This Row],[Hasta]])</f>
        <v>0</v>
      </c>
      <c r="X168" s="11">
        <f>TableWeeklySummary[[#This Row],[Inversión google ads]]+TableWeeklySummary[[#This Row],[Inversión meta ads]]</f>
        <v>0</v>
      </c>
      <c r="Y168" s="11">
        <f>TableWeeklySummary[[#This Row],[Ventas google ads]]+TableWeeklySummary[[#This Row],[Ventas meta ads]]</f>
        <v>0</v>
      </c>
      <c r="Z168" s="14">
        <f>IFERROR(TableWeeklySummary[[#This Row],[Ventas publicidad]]/TableWeeklySummary[[#This Row],[Inversión publicidad]],0)</f>
        <v>0</v>
      </c>
      <c r="AA168" s="14">
        <f>IFERROR(TableWeeklySummary[[#This Row],[Ventas primer cliente]]/TableWeeklySummary[[#This Row],[Inversión publicidad]],0)</f>
        <v>0</v>
      </c>
      <c r="AB168" s="14"/>
      <c r="AC168" s="11"/>
      <c r="AI16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8" s="11">
        <f>SUMIFS(TableDailySummary[Costo de ventas registrado],TableDailySummary[Fecha],"&gt;="&amp;TableWeeklySummary[[#This Row],[Desde]],TableDailySummary[Fecha],"&lt;="&amp;TableWeeklySummary[[#This Row],[Hasta]])</f>
        <v>0</v>
      </c>
      <c r="AK168" s="11">
        <f>SUMIFS(TableDailySummary[Utilidad bruta],TableDailySummary[Fecha],"&gt;="&amp;TableWeeklySummary[[#This Row],[Desde]],TableDailySummary[Fecha],"&lt;="&amp;TableWeeklySummary[[#This Row],[Hasta]])</f>
        <v>0</v>
      </c>
      <c r="AL168" s="18">
        <f>IFERROR(TableWeeklySummary[[#This Row],[Utilidad bruta]]/TableWeeklySummary[[#This Row],[Ventas netas con costo registrado]],0)</f>
        <v>0</v>
      </c>
    </row>
    <row r="169" spans="2:38" x14ac:dyDescent="0.2">
      <c r="B169" s="16">
        <f>_xlfn.ISOWEEKNUM(TableWeeklySummary[[#This Row],[Hasta]])</f>
        <v>2</v>
      </c>
      <c r="C169" s="6">
        <f t="shared" si="4"/>
        <v>45660</v>
      </c>
      <c r="D169" s="6">
        <f>TableWeeklySummary[[#This Row],[Desde]]+7-1</f>
        <v>45666</v>
      </c>
      <c r="E169" s="11">
        <f>SUMIFS(TableDailySummary[Ventas netas totales],TableDailySummary[Fecha],"&gt;="&amp;TableWeeklySummary[[#This Row],[Desde]],TableDailySummary[Fecha],"&lt;="&amp;TableWeeklySummary[[#This Row],[Hasta]])</f>
        <v>0</v>
      </c>
      <c r="F169" s="11">
        <f>SUMIFS(TableDailySummary[Órdenes totales],TableDailySummary[Fecha],"&gt;="&amp;TableWeeklySummary[[#This Row],[Desde]],TableDailySummary[Fecha],"&lt;="&amp;TableWeeklySummary[[#This Row],[Hasta]])</f>
        <v>0</v>
      </c>
      <c r="G169" s="11">
        <f>IFERROR(TableWeeklySummary[[#This Row],[Ventas netas totales]]/TableWeeklySummary[[#This Row],[Órdenes totales]],0)</f>
        <v>0</v>
      </c>
      <c r="H16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69" s="11">
        <f>TableWeeklySummary[[#This Row],[Órden promedio totales]]*TableWeeklySummary[[#This Row],[CR totales]]</f>
        <v>0</v>
      </c>
      <c r="J169" s="11">
        <f>SUMIFS(TableDailySummary[Ventas primer cliente],TableDailySummary[Fecha],"&gt;="&amp;TableWeeklySummary[[#This Row],[Desde]],TableDailySummary[Fecha],"&lt;="&amp;TableWeeklySummary[[#This Row],[Hasta]])</f>
        <v>0</v>
      </c>
      <c r="K169" s="11">
        <f>SUMIFS(TableDailySummary[Órdenes primer cliente],TableDailySummary[Fecha],"&gt;="&amp;TableWeeklySummary[[#This Row],[Desde]],TableDailySummary[Fecha],"&lt;="&amp;TableWeeklySummary[[#This Row],[Hasta]])</f>
        <v>0</v>
      </c>
      <c r="L169" s="11">
        <f>SUMIFS(TableDailySummary[Online Store_net_sales],TableDailySummary[Fecha],"&gt;="&amp;TableWeeklySummary[[#This Row],[Desde]],TableDailySummary[Fecha],"&lt;="&amp;TableWeeklySummary[[#This Row],[Hasta]])</f>
        <v>0</v>
      </c>
      <c r="M169" s="11">
        <f>SUMIFS(TableDailySummary[Online Store_orders],TableDailySummary[Fecha],"&gt;="&amp;TableWeeklySummary[[#This Row],[Desde]],TableDailySummary[Fecha],"&lt;="&amp;TableWeeklySummary[[#This Row],[Hasta]])</f>
        <v>0</v>
      </c>
      <c r="N169" s="11">
        <f>SUMIFS(TableDailySummary[Tienda 81_net_sales],TableDailySummary[Fecha],"&gt;="&amp;TableWeeklySummary[[#This Row],[Desde]],TableDailySummary[Fecha],"&lt;="&amp;TableWeeklySummary[[#This Row],[Hasta]])</f>
        <v>0</v>
      </c>
      <c r="O169" s="11">
        <f>SUMIFS(TableDailySummary[Tienda 81_orders],TableDailySummary[Fecha],"&gt;="&amp;TableWeeklySummary[[#This Row],[Desde]],TableDailySummary[Fecha],"&lt;="&amp;TableWeeklySummary[[#This Row],[Hasta]])</f>
        <v>0</v>
      </c>
      <c r="P169" s="11">
        <f>SUMIFS(TableDailySummary[Rappi_net_sales],TableDailySummary[Fecha],"&gt;="&amp;TableWeeklySummary[[#This Row],[Desde]],TableDailySummary[Fecha],"&lt;="&amp;TableWeeklySummary[[#This Row],[Hasta]])</f>
        <v>0</v>
      </c>
      <c r="Q169" s="11">
        <f>SUMIFS(TableDailySummary[Rappi_orders],TableDailySummary[Fecha],"&gt;="&amp;TableWeeklySummary[[#This Row],[Desde]],TableDailySummary[Fecha],"&lt;="&amp;TableWeeklySummary[[#This Row],[Hasta]])</f>
        <v>0</v>
      </c>
      <c r="R16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69" s="11">
        <f>SUMIFS(TableDailySummary[Corporativo no tienda_orders],TableDailySummary[Fecha],"&gt;="&amp;TableWeeklySummary[[#This Row],[Desde]],TableDailySummary[Fecha],"&lt;="&amp;TableWeeklySummary[[#This Row],[Hasta]])</f>
        <v>0</v>
      </c>
      <c r="T169" s="11">
        <f>SUMIFS(TableDailySummary[Inversión google ads],TableDailySummary[Fecha],"&gt;="&amp;TableWeeklySummary[[#This Row],[Desde]],TableDailySummary[Fecha],"&lt;="&amp;TableWeeklySummary[[#This Row],[Hasta]])</f>
        <v>0</v>
      </c>
      <c r="U169" s="11">
        <f>SUMIFS(TableDailySummary[Ventas google ads],TableDailySummary[Fecha],"&gt;="&amp;TableWeeklySummary[[#This Row],[Desde]],TableDailySummary[Fecha],"&lt;="&amp;TableWeeklySummary[[#This Row],[Hasta]])</f>
        <v>0</v>
      </c>
      <c r="V169" s="11">
        <f>SUMIFS(TableDailySummary[Inversión meta ads],TableDailySummary[Fecha],"&gt;="&amp;TableWeeklySummary[[#This Row],[Desde]],TableDailySummary[Fecha],"&lt;="&amp;TableWeeklySummary[[#This Row],[Hasta]])</f>
        <v>0</v>
      </c>
      <c r="W169" s="11">
        <f>SUMIFS(TableDailySummary[Ventas meta ads],TableDailySummary[Fecha],"&gt;="&amp;TableWeeklySummary[[#This Row],[Desde]],TableDailySummary[Fecha],"&lt;="&amp;TableWeeklySummary[[#This Row],[Hasta]])</f>
        <v>0</v>
      </c>
      <c r="X169" s="11">
        <f>TableWeeklySummary[[#This Row],[Inversión google ads]]+TableWeeklySummary[[#This Row],[Inversión meta ads]]</f>
        <v>0</v>
      </c>
      <c r="Y169" s="11">
        <f>TableWeeklySummary[[#This Row],[Ventas google ads]]+TableWeeklySummary[[#This Row],[Ventas meta ads]]</f>
        <v>0</v>
      </c>
      <c r="Z169" s="14">
        <f>IFERROR(TableWeeklySummary[[#This Row],[Ventas publicidad]]/TableWeeklySummary[[#This Row],[Inversión publicidad]],0)</f>
        <v>0</v>
      </c>
      <c r="AA169" s="14">
        <f>IFERROR(TableWeeklySummary[[#This Row],[Ventas primer cliente]]/TableWeeklySummary[[#This Row],[Inversión publicidad]],0)</f>
        <v>0</v>
      </c>
      <c r="AB169" s="14"/>
      <c r="AC169" s="11"/>
      <c r="AI16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69" s="11">
        <f>SUMIFS(TableDailySummary[Costo de ventas registrado],TableDailySummary[Fecha],"&gt;="&amp;TableWeeklySummary[[#This Row],[Desde]],TableDailySummary[Fecha],"&lt;="&amp;TableWeeklySummary[[#This Row],[Hasta]])</f>
        <v>0</v>
      </c>
      <c r="AK169" s="11">
        <f>SUMIFS(TableDailySummary[Utilidad bruta],TableDailySummary[Fecha],"&gt;="&amp;TableWeeklySummary[[#This Row],[Desde]],TableDailySummary[Fecha],"&lt;="&amp;TableWeeklySummary[[#This Row],[Hasta]])</f>
        <v>0</v>
      </c>
      <c r="AL169" s="18">
        <f>IFERROR(TableWeeklySummary[[#This Row],[Utilidad bruta]]/TableWeeklySummary[[#This Row],[Ventas netas con costo registrado]],0)</f>
        <v>0</v>
      </c>
    </row>
    <row r="170" spans="2:38" x14ac:dyDescent="0.2">
      <c r="B170" s="16">
        <f>_xlfn.ISOWEEKNUM(TableWeeklySummary[[#This Row],[Hasta]])</f>
        <v>3</v>
      </c>
      <c r="C170" s="6">
        <f t="shared" si="4"/>
        <v>45667</v>
      </c>
      <c r="D170" s="6">
        <f>TableWeeklySummary[[#This Row],[Desde]]+7-1</f>
        <v>45673</v>
      </c>
      <c r="E170" s="11">
        <f>SUMIFS(TableDailySummary[Ventas netas totales],TableDailySummary[Fecha],"&gt;="&amp;TableWeeklySummary[[#This Row],[Desde]],TableDailySummary[Fecha],"&lt;="&amp;TableWeeklySummary[[#This Row],[Hasta]])</f>
        <v>0</v>
      </c>
      <c r="F170" s="11">
        <f>SUMIFS(TableDailySummary[Órdenes totales],TableDailySummary[Fecha],"&gt;="&amp;TableWeeklySummary[[#This Row],[Desde]],TableDailySummary[Fecha],"&lt;="&amp;TableWeeklySummary[[#This Row],[Hasta]])</f>
        <v>0</v>
      </c>
      <c r="G170" s="11">
        <f>IFERROR(TableWeeklySummary[[#This Row],[Ventas netas totales]]/TableWeeklySummary[[#This Row],[Órdenes totales]],0)</f>
        <v>0</v>
      </c>
      <c r="H17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0" s="11">
        <f>TableWeeklySummary[[#This Row],[Órden promedio totales]]*TableWeeklySummary[[#This Row],[CR totales]]</f>
        <v>0</v>
      </c>
      <c r="J170" s="11">
        <f>SUMIFS(TableDailySummary[Ventas primer cliente],TableDailySummary[Fecha],"&gt;="&amp;TableWeeklySummary[[#This Row],[Desde]],TableDailySummary[Fecha],"&lt;="&amp;TableWeeklySummary[[#This Row],[Hasta]])</f>
        <v>0</v>
      </c>
      <c r="K170" s="11">
        <f>SUMIFS(TableDailySummary[Órdenes primer cliente],TableDailySummary[Fecha],"&gt;="&amp;TableWeeklySummary[[#This Row],[Desde]],TableDailySummary[Fecha],"&lt;="&amp;TableWeeklySummary[[#This Row],[Hasta]])</f>
        <v>0</v>
      </c>
      <c r="L170" s="11">
        <f>SUMIFS(TableDailySummary[Online Store_net_sales],TableDailySummary[Fecha],"&gt;="&amp;TableWeeklySummary[[#This Row],[Desde]],TableDailySummary[Fecha],"&lt;="&amp;TableWeeklySummary[[#This Row],[Hasta]])</f>
        <v>0</v>
      </c>
      <c r="M170" s="11">
        <f>SUMIFS(TableDailySummary[Online Store_orders],TableDailySummary[Fecha],"&gt;="&amp;TableWeeklySummary[[#This Row],[Desde]],TableDailySummary[Fecha],"&lt;="&amp;TableWeeklySummary[[#This Row],[Hasta]])</f>
        <v>0</v>
      </c>
      <c r="N170" s="11">
        <f>SUMIFS(TableDailySummary[Tienda 81_net_sales],TableDailySummary[Fecha],"&gt;="&amp;TableWeeklySummary[[#This Row],[Desde]],TableDailySummary[Fecha],"&lt;="&amp;TableWeeklySummary[[#This Row],[Hasta]])</f>
        <v>0</v>
      </c>
      <c r="O170" s="11">
        <f>SUMIFS(TableDailySummary[Tienda 81_orders],TableDailySummary[Fecha],"&gt;="&amp;TableWeeklySummary[[#This Row],[Desde]],TableDailySummary[Fecha],"&lt;="&amp;TableWeeklySummary[[#This Row],[Hasta]])</f>
        <v>0</v>
      </c>
      <c r="P170" s="11">
        <f>SUMIFS(TableDailySummary[Rappi_net_sales],TableDailySummary[Fecha],"&gt;="&amp;TableWeeklySummary[[#This Row],[Desde]],TableDailySummary[Fecha],"&lt;="&amp;TableWeeklySummary[[#This Row],[Hasta]])</f>
        <v>0</v>
      </c>
      <c r="Q170" s="11">
        <f>SUMIFS(TableDailySummary[Rappi_orders],TableDailySummary[Fecha],"&gt;="&amp;TableWeeklySummary[[#This Row],[Desde]],TableDailySummary[Fecha],"&lt;="&amp;TableWeeklySummary[[#This Row],[Hasta]])</f>
        <v>0</v>
      </c>
      <c r="R17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0" s="11">
        <f>SUMIFS(TableDailySummary[Corporativo no tienda_orders],TableDailySummary[Fecha],"&gt;="&amp;TableWeeklySummary[[#This Row],[Desde]],TableDailySummary[Fecha],"&lt;="&amp;TableWeeklySummary[[#This Row],[Hasta]])</f>
        <v>0</v>
      </c>
      <c r="T170" s="11">
        <f>SUMIFS(TableDailySummary[Inversión google ads],TableDailySummary[Fecha],"&gt;="&amp;TableWeeklySummary[[#This Row],[Desde]],TableDailySummary[Fecha],"&lt;="&amp;TableWeeklySummary[[#This Row],[Hasta]])</f>
        <v>0</v>
      </c>
      <c r="U170" s="11">
        <f>SUMIFS(TableDailySummary[Ventas google ads],TableDailySummary[Fecha],"&gt;="&amp;TableWeeklySummary[[#This Row],[Desde]],TableDailySummary[Fecha],"&lt;="&amp;TableWeeklySummary[[#This Row],[Hasta]])</f>
        <v>0</v>
      </c>
      <c r="V170" s="11">
        <f>SUMIFS(TableDailySummary[Inversión meta ads],TableDailySummary[Fecha],"&gt;="&amp;TableWeeklySummary[[#This Row],[Desde]],TableDailySummary[Fecha],"&lt;="&amp;TableWeeklySummary[[#This Row],[Hasta]])</f>
        <v>0</v>
      </c>
      <c r="W170" s="11">
        <f>SUMIFS(TableDailySummary[Ventas meta ads],TableDailySummary[Fecha],"&gt;="&amp;TableWeeklySummary[[#This Row],[Desde]],TableDailySummary[Fecha],"&lt;="&amp;TableWeeklySummary[[#This Row],[Hasta]])</f>
        <v>0</v>
      </c>
      <c r="X170" s="11">
        <f>TableWeeklySummary[[#This Row],[Inversión google ads]]+TableWeeklySummary[[#This Row],[Inversión meta ads]]</f>
        <v>0</v>
      </c>
      <c r="Y170" s="11">
        <f>TableWeeklySummary[[#This Row],[Ventas google ads]]+TableWeeklySummary[[#This Row],[Ventas meta ads]]</f>
        <v>0</v>
      </c>
      <c r="Z170" s="14">
        <f>IFERROR(TableWeeklySummary[[#This Row],[Ventas publicidad]]/TableWeeklySummary[[#This Row],[Inversión publicidad]],0)</f>
        <v>0</v>
      </c>
      <c r="AA170" s="14">
        <f>IFERROR(TableWeeklySummary[[#This Row],[Ventas primer cliente]]/TableWeeklySummary[[#This Row],[Inversión publicidad]],0)</f>
        <v>0</v>
      </c>
      <c r="AB170" s="14"/>
      <c r="AC170" s="11"/>
      <c r="AI17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0" s="11">
        <f>SUMIFS(TableDailySummary[Costo de ventas registrado],TableDailySummary[Fecha],"&gt;="&amp;TableWeeklySummary[[#This Row],[Desde]],TableDailySummary[Fecha],"&lt;="&amp;TableWeeklySummary[[#This Row],[Hasta]])</f>
        <v>0</v>
      </c>
      <c r="AK170" s="11">
        <f>SUMIFS(TableDailySummary[Utilidad bruta],TableDailySummary[Fecha],"&gt;="&amp;TableWeeklySummary[[#This Row],[Desde]],TableDailySummary[Fecha],"&lt;="&amp;TableWeeklySummary[[#This Row],[Hasta]])</f>
        <v>0</v>
      </c>
      <c r="AL170" s="18">
        <f>IFERROR(TableWeeklySummary[[#This Row],[Utilidad bruta]]/TableWeeklySummary[[#This Row],[Ventas netas con costo registrado]],0)</f>
        <v>0</v>
      </c>
    </row>
    <row r="171" spans="2:38" x14ac:dyDescent="0.2">
      <c r="B171" s="16">
        <f>_xlfn.ISOWEEKNUM(TableWeeklySummary[[#This Row],[Hasta]])</f>
        <v>4</v>
      </c>
      <c r="C171" s="6">
        <f t="shared" si="4"/>
        <v>45674</v>
      </c>
      <c r="D171" s="6">
        <f>TableWeeklySummary[[#This Row],[Desde]]+7-1</f>
        <v>45680</v>
      </c>
      <c r="E171" s="11">
        <f>SUMIFS(TableDailySummary[Ventas netas totales],TableDailySummary[Fecha],"&gt;="&amp;TableWeeklySummary[[#This Row],[Desde]],TableDailySummary[Fecha],"&lt;="&amp;TableWeeklySummary[[#This Row],[Hasta]])</f>
        <v>0</v>
      </c>
      <c r="F171" s="11">
        <f>SUMIFS(TableDailySummary[Órdenes totales],TableDailySummary[Fecha],"&gt;="&amp;TableWeeklySummary[[#This Row],[Desde]],TableDailySummary[Fecha],"&lt;="&amp;TableWeeklySummary[[#This Row],[Hasta]])</f>
        <v>0</v>
      </c>
      <c r="G171" s="11">
        <f>IFERROR(TableWeeklySummary[[#This Row],[Ventas netas totales]]/TableWeeklySummary[[#This Row],[Órdenes totales]],0)</f>
        <v>0</v>
      </c>
      <c r="H17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1" s="11">
        <f>TableWeeklySummary[[#This Row],[Órden promedio totales]]*TableWeeklySummary[[#This Row],[CR totales]]</f>
        <v>0</v>
      </c>
      <c r="J171" s="11">
        <f>SUMIFS(TableDailySummary[Ventas primer cliente],TableDailySummary[Fecha],"&gt;="&amp;TableWeeklySummary[[#This Row],[Desde]],TableDailySummary[Fecha],"&lt;="&amp;TableWeeklySummary[[#This Row],[Hasta]])</f>
        <v>0</v>
      </c>
      <c r="K171" s="11">
        <f>SUMIFS(TableDailySummary[Órdenes primer cliente],TableDailySummary[Fecha],"&gt;="&amp;TableWeeklySummary[[#This Row],[Desde]],TableDailySummary[Fecha],"&lt;="&amp;TableWeeklySummary[[#This Row],[Hasta]])</f>
        <v>0</v>
      </c>
      <c r="L171" s="11">
        <f>SUMIFS(TableDailySummary[Online Store_net_sales],TableDailySummary[Fecha],"&gt;="&amp;TableWeeklySummary[[#This Row],[Desde]],TableDailySummary[Fecha],"&lt;="&amp;TableWeeklySummary[[#This Row],[Hasta]])</f>
        <v>0</v>
      </c>
      <c r="M171" s="11">
        <f>SUMIFS(TableDailySummary[Online Store_orders],TableDailySummary[Fecha],"&gt;="&amp;TableWeeklySummary[[#This Row],[Desde]],TableDailySummary[Fecha],"&lt;="&amp;TableWeeklySummary[[#This Row],[Hasta]])</f>
        <v>0</v>
      </c>
      <c r="N171" s="11">
        <f>SUMIFS(TableDailySummary[Tienda 81_net_sales],TableDailySummary[Fecha],"&gt;="&amp;TableWeeklySummary[[#This Row],[Desde]],TableDailySummary[Fecha],"&lt;="&amp;TableWeeklySummary[[#This Row],[Hasta]])</f>
        <v>0</v>
      </c>
      <c r="O171" s="11">
        <f>SUMIFS(TableDailySummary[Tienda 81_orders],TableDailySummary[Fecha],"&gt;="&amp;TableWeeklySummary[[#This Row],[Desde]],TableDailySummary[Fecha],"&lt;="&amp;TableWeeklySummary[[#This Row],[Hasta]])</f>
        <v>0</v>
      </c>
      <c r="P171" s="11">
        <f>SUMIFS(TableDailySummary[Rappi_net_sales],TableDailySummary[Fecha],"&gt;="&amp;TableWeeklySummary[[#This Row],[Desde]],TableDailySummary[Fecha],"&lt;="&amp;TableWeeklySummary[[#This Row],[Hasta]])</f>
        <v>0</v>
      </c>
      <c r="Q171" s="11">
        <f>SUMIFS(TableDailySummary[Rappi_orders],TableDailySummary[Fecha],"&gt;="&amp;TableWeeklySummary[[#This Row],[Desde]],TableDailySummary[Fecha],"&lt;="&amp;TableWeeklySummary[[#This Row],[Hasta]])</f>
        <v>0</v>
      </c>
      <c r="R17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1" s="11">
        <f>SUMIFS(TableDailySummary[Corporativo no tienda_orders],TableDailySummary[Fecha],"&gt;="&amp;TableWeeklySummary[[#This Row],[Desde]],TableDailySummary[Fecha],"&lt;="&amp;TableWeeklySummary[[#This Row],[Hasta]])</f>
        <v>0</v>
      </c>
      <c r="T171" s="11">
        <f>SUMIFS(TableDailySummary[Inversión google ads],TableDailySummary[Fecha],"&gt;="&amp;TableWeeklySummary[[#This Row],[Desde]],TableDailySummary[Fecha],"&lt;="&amp;TableWeeklySummary[[#This Row],[Hasta]])</f>
        <v>0</v>
      </c>
      <c r="U171" s="11">
        <f>SUMIFS(TableDailySummary[Ventas google ads],TableDailySummary[Fecha],"&gt;="&amp;TableWeeklySummary[[#This Row],[Desde]],TableDailySummary[Fecha],"&lt;="&amp;TableWeeklySummary[[#This Row],[Hasta]])</f>
        <v>0</v>
      </c>
      <c r="V171" s="11">
        <f>SUMIFS(TableDailySummary[Inversión meta ads],TableDailySummary[Fecha],"&gt;="&amp;TableWeeklySummary[[#This Row],[Desde]],TableDailySummary[Fecha],"&lt;="&amp;TableWeeklySummary[[#This Row],[Hasta]])</f>
        <v>0</v>
      </c>
      <c r="W171" s="11">
        <f>SUMIFS(TableDailySummary[Ventas meta ads],TableDailySummary[Fecha],"&gt;="&amp;TableWeeklySummary[[#This Row],[Desde]],TableDailySummary[Fecha],"&lt;="&amp;TableWeeklySummary[[#This Row],[Hasta]])</f>
        <v>0</v>
      </c>
      <c r="X171" s="11">
        <f>TableWeeklySummary[[#This Row],[Inversión google ads]]+TableWeeklySummary[[#This Row],[Inversión meta ads]]</f>
        <v>0</v>
      </c>
      <c r="Y171" s="11">
        <f>TableWeeklySummary[[#This Row],[Ventas google ads]]+TableWeeklySummary[[#This Row],[Ventas meta ads]]</f>
        <v>0</v>
      </c>
      <c r="Z171" s="14">
        <f>IFERROR(TableWeeklySummary[[#This Row],[Ventas publicidad]]/TableWeeklySummary[[#This Row],[Inversión publicidad]],0)</f>
        <v>0</v>
      </c>
      <c r="AA171" s="14">
        <f>IFERROR(TableWeeklySummary[[#This Row],[Ventas primer cliente]]/TableWeeklySummary[[#This Row],[Inversión publicidad]],0)</f>
        <v>0</v>
      </c>
      <c r="AB171" s="14"/>
      <c r="AC171" s="11"/>
      <c r="AI17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1" s="11">
        <f>SUMIFS(TableDailySummary[Costo de ventas registrado],TableDailySummary[Fecha],"&gt;="&amp;TableWeeklySummary[[#This Row],[Desde]],TableDailySummary[Fecha],"&lt;="&amp;TableWeeklySummary[[#This Row],[Hasta]])</f>
        <v>0</v>
      </c>
      <c r="AK171" s="11">
        <f>SUMIFS(TableDailySummary[Utilidad bruta],TableDailySummary[Fecha],"&gt;="&amp;TableWeeklySummary[[#This Row],[Desde]],TableDailySummary[Fecha],"&lt;="&amp;TableWeeklySummary[[#This Row],[Hasta]])</f>
        <v>0</v>
      </c>
      <c r="AL171" s="18">
        <f>IFERROR(TableWeeklySummary[[#This Row],[Utilidad bruta]]/TableWeeklySummary[[#This Row],[Ventas netas con costo registrado]],0)</f>
        <v>0</v>
      </c>
    </row>
    <row r="172" spans="2:38" x14ac:dyDescent="0.2">
      <c r="B172" s="16">
        <f>_xlfn.ISOWEEKNUM(TableWeeklySummary[[#This Row],[Hasta]])</f>
        <v>5</v>
      </c>
      <c r="C172" s="6">
        <f t="shared" si="4"/>
        <v>45681</v>
      </c>
      <c r="D172" s="6">
        <f>TableWeeklySummary[[#This Row],[Desde]]+7-1</f>
        <v>45687</v>
      </c>
      <c r="E172" s="11">
        <f>SUMIFS(TableDailySummary[Ventas netas totales],TableDailySummary[Fecha],"&gt;="&amp;TableWeeklySummary[[#This Row],[Desde]],TableDailySummary[Fecha],"&lt;="&amp;TableWeeklySummary[[#This Row],[Hasta]])</f>
        <v>0</v>
      </c>
      <c r="F172" s="11">
        <f>SUMIFS(TableDailySummary[Órdenes totales],TableDailySummary[Fecha],"&gt;="&amp;TableWeeklySummary[[#This Row],[Desde]],TableDailySummary[Fecha],"&lt;="&amp;TableWeeklySummary[[#This Row],[Hasta]])</f>
        <v>0</v>
      </c>
      <c r="G172" s="11">
        <f>IFERROR(TableWeeklySummary[[#This Row],[Ventas netas totales]]/TableWeeklySummary[[#This Row],[Órdenes totales]],0)</f>
        <v>0</v>
      </c>
      <c r="H17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2" s="11">
        <f>TableWeeklySummary[[#This Row],[Órden promedio totales]]*TableWeeklySummary[[#This Row],[CR totales]]</f>
        <v>0</v>
      </c>
      <c r="J172" s="11">
        <f>SUMIFS(TableDailySummary[Ventas primer cliente],TableDailySummary[Fecha],"&gt;="&amp;TableWeeklySummary[[#This Row],[Desde]],TableDailySummary[Fecha],"&lt;="&amp;TableWeeklySummary[[#This Row],[Hasta]])</f>
        <v>0</v>
      </c>
      <c r="K172" s="11">
        <f>SUMIFS(TableDailySummary[Órdenes primer cliente],TableDailySummary[Fecha],"&gt;="&amp;TableWeeklySummary[[#This Row],[Desde]],TableDailySummary[Fecha],"&lt;="&amp;TableWeeklySummary[[#This Row],[Hasta]])</f>
        <v>0</v>
      </c>
      <c r="L172" s="11">
        <f>SUMIFS(TableDailySummary[Online Store_net_sales],TableDailySummary[Fecha],"&gt;="&amp;TableWeeklySummary[[#This Row],[Desde]],TableDailySummary[Fecha],"&lt;="&amp;TableWeeklySummary[[#This Row],[Hasta]])</f>
        <v>0</v>
      </c>
      <c r="M172" s="11">
        <f>SUMIFS(TableDailySummary[Online Store_orders],TableDailySummary[Fecha],"&gt;="&amp;TableWeeklySummary[[#This Row],[Desde]],TableDailySummary[Fecha],"&lt;="&amp;TableWeeklySummary[[#This Row],[Hasta]])</f>
        <v>0</v>
      </c>
      <c r="N172" s="11">
        <f>SUMIFS(TableDailySummary[Tienda 81_net_sales],TableDailySummary[Fecha],"&gt;="&amp;TableWeeklySummary[[#This Row],[Desde]],TableDailySummary[Fecha],"&lt;="&amp;TableWeeklySummary[[#This Row],[Hasta]])</f>
        <v>0</v>
      </c>
      <c r="O172" s="11">
        <f>SUMIFS(TableDailySummary[Tienda 81_orders],TableDailySummary[Fecha],"&gt;="&amp;TableWeeklySummary[[#This Row],[Desde]],TableDailySummary[Fecha],"&lt;="&amp;TableWeeklySummary[[#This Row],[Hasta]])</f>
        <v>0</v>
      </c>
      <c r="P172" s="11">
        <f>SUMIFS(TableDailySummary[Rappi_net_sales],TableDailySummary[Fecha],"&gt;="&amp;TableWeeklySummary[[#This Row],[Desde]],TableDailySummary[Fecha],"&lt;="&amp;TableWeeklySummary[[#This Row],[Hasta]])</f>
        <v>0</v>
      </c>
      <c r="Q172" s="11">
        <f>SUMIFS(TableDailySummary[Rappi_orders],TableDailySummary[Fecha],"&gt;="&amp;TableWeeklySummary[[#This Row],[Desde]],TableDailySummary[Fecha],"&lt;="&amp;TableWeeklySummary[[#This Row],[Hasta]])</f>
        <v>0</v>
      </c>
      <c r="R17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2" s="11">
        <f>SUMIFS(TableDailySummary[Corporativo no tienda_orders],TableDailySummary[Fecha],"&gt;="&amp;TableWeeklySummary[[#This Row],[Desde]],TableDailySummary[Fecha],"&lt;="&amp;TableWeeklySummary[[#This Row],[Hasta]])</f>
        <v>0</v>
      </c>
      <c r="T172" s="11">
        <f>SUMIFS(TableDailySummary[Inversión google ads],TableDailySummary[Fecha],"&gt;="&amp;TableWeeklySummary[[#This Row],[Desde]],TableDailySummary[Fecha],"&lt;="&amp;TableWeeklySummary[[#This Row],[Hasta]])</f>
        <v>0</v>
      </c>
      <c r="U172" s="11">
        <f>SUMIFS(TableDailySummary[Ventas google ads],TableDailySummary[Fecha],"&gt;="&amp;TableWeeklySummary[[#This Row],[Desde]],TableDailySummary[Fecha],"&lt;="&amp;TableWeeklySummary[[#This Row],[Hasta]])</f>
        <v>0</v>
      </c>
      <c r="V172" s="11">
        <f>SUMIFS(TableDailySummary[Inversión meta ads],TableDailySummary[Fecha],"&gt;="&amp;TableWeeklySummary[[#This Row],[Desde]],TableDailySummary[Fecha],"&lt;="&amp;TableWeeklySummary[[#This Row],[Hasta]])</f>
        <v>0</v>
      </c>
      <c r="W172" s="11">
        <f>SUMIFS(TableDailySummary[Ventas meta ads],TableDailySummary[Fecha],"&gt;="&amp;TableWeeklySummary[[#This Row],[Desde]],TableDailySummary[Fecha],"&lt;="&amp;TableWeeklySummary[[#This Row],[Hasta]])</f>
        <v>0</v>
      </c>
      <c r="X172" s="11">
        <f>TableWeeklySummary[[#This Row],[Inversión google ads]]+TableWeeklySummary[[#This Row],[Inversión meta ads]]</f>
        <v>0</v>
      </c>
      <c r="Y172" s="11">
        <f>TableWeeklySummary[[#This Row],[Ventas google ads]]+TableWeeklySummary[[#This Row],[Ventas meta ads]]</f>
        <v>0</v>
      </c>
      <c r="Z172" s="14">
        <f>IFERROR(TableWeeklySummary[[#This Row],[Ventas publicidad]]/TableWeeklySummary[[#This Row],[Inversión publicidad]],0)</f>
        <v>0</v>
      </c>
      <c r="AA172" s="14">
        <f>IFERROR(TableWeeklySummary[[#This Row],[Ventas primer cliente]]/TableWeeklySummary[[#This Row],[Inversión publicidad]],0)</f>
        <v>0</v>
      </c>
      <c r="AB172" s="14"/>
      <c r="AC172" s="11"/>
      <c r="AI17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2" s="11">
        <f>SUMIFS(TableDailySummary[Costo de ventas registrado],TableDailySummary[Fecha],"&gt;="&amp;TableWeeklySummary[[#This Row],[Desde]],TableDailySummary[Fecha],"&lt;="&amp;TableWeeklySummary[[#This Row],[Hasta]])</f>
        <v>0</v>
      </c>
      <c r="AK172" s="11">
        <f>SUMIFS(TableDailySummary[Utilidad bruta],TableDailySummary[Fecha],"&gt;="&amp;TableWeeklySummary[[#This Row],[Desde]],TableDailySummary[Fecha],"&lt;="&amp;TableWeeklySummary[[#This Row],[Hasta]])</f>
        <v>0</v>
      </c>
      <c r="AL172" s="18">
        <f>IFERROR(TableWeeklySummary[[#This Row],[Utilidad bruta]]/TableWeeklySummary[[#This Row],[Ventas netas con costo registrado]],0)</f>
        <v>0</v>
      </c>
    </row>
    <row r="173" spans="2:38" x14ac:dyDescent="0.2">
      <c r="B173" s="16">
        <f>_xlfn.ISOWEEKNUM(TableWeeklySummary[[#This Row],[Hasta]])</f>
        <v>6</v>
      </c>
      <c r="C173" s="6">
        <f t="shared" si="4"/>
        <v>45688</v>
      </c>
      <c r="D173" s="6">
        <f>TableWeeklySummary[[#This Row],[Desde]]+7-1</f>
        <v>45694</v>
      </c>
      <c r="E173" s="11">
        <f>SUMIFS(TableDailySummary[Ventas netas totales],TableDailySummary[Fecha],"&gt;="&amp;TableWeeklySummary[[#This Row],[Desde]],TableDailySummary[Fecha],"&lt;="&amp;TableWeeklySummary[[#This Row],[Hasta]])</f>
        <v>0</v>
      </c>
      <c r="F173" s="11">
        <f>SUMIFS(TableDailySummary[Órdenes totales],TableDailySummary[Fecha],"&gt;="&amp;TableWeeklySummary[[#This Row],[Desde]],TableDailySummary[Fecha],"&lt;="&amp;TableWeeklySummary[[#This Row],[Hasta]])</f>
        <v>0</v>
      </c>
      <c r="G173" s="11">
        <f>IFERROR(TableWeeklySummary[[#This Row],[Ventas netas totales]]/TableWeeklySummary[[#This Row],[Órdenes totales]],0)</f>
        <v>0</v>
      </c>
      <c r="H17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3" s="11">
        <f>TableWeeklySummary[[#This Row],[Órden promedio totales]]*TableWeeklySummary[[#This Row],[CR totales]]</f>
        <v>0</v>
      </c>
      <c r="J173" s="11">
        <f>SUMIFS(TableDailySummary[Ventas primer cliente],TableDailySummary[Fecha],"&gt;="&amp;TableWeeklySummary[[#This Row],[Desde]],TableDailySummary[Fecha],"&lt;="&amp;TableWeeklySummary[[#This Row],[Hasta]])</f>
        <v>0</v>
      </c>
      <c r="K173" s="11">
        <f>SUMIFS(TableDailySummary[Órdenes primer cliente],TableDailySummary[Fecha],"&gt;="&amp;TableWeeklySummary[[#This Row],[Desde]],TableDailySummary[Fecha],"&lt;="&amp;TableWeeklySummary[[#This Row],[Hasta]])</f>
        <v>0</v>
      </c>
      <c r="L173" s="11">
        <f>SUMIFS(TableDailySummary[Online Store_net_sales],TableDailySummary[Fecha],"&gt;="&amp;TableWeeklySummary[[#This Row],[Desde]],TableDailySummary[Fecha],"&lt;="&amp;TableWeeklySummary[[#This Row],[Hasta]])</f>
        <v>0</v>
      </c>
      <c r="M173" s="11">
        <f>SUMIFS(TableDailySummary[Online Store_orders],TableDailySummary[Fecha],"&gt;="&amp;TableWeeklySummary[[#This Row],[Desde]],TableDailySummary[Fecha],"&lt;="&amp;TableWeeklySummary[[#This Row],[Hasta]])</f>
        <v>0</v>
      </c>
      <c r="N173" s="11">
        <f>SUMIFS(TableDailySummary[Tienda 81_net_sales],TableDailySummary[Fecha],"&gt;="&amp;TableWeeklySummary[[#This Row],[Desde]],TableDailySummary[Fecha],"&lt;="&amp;TableWeeklySummary[[#This Row],[Hasta]])</f>
        <v>0</v>
      </c>
      <c r="O173" s="11">
        <f>SUMIFS(TableDailySummary[Tienda 81_orders],TableDailySummary[Fecha],"&gt;="&amp;TableWeeklySummary[[#This Row],[Desde]],TableDailySummary[Fecha],"&lt;="&amp;TableWeeklySummary[[#This Row],[Hasta]])</f>
        <v>0</v>
      </c>
      <c r="P173" s="11">
        <f>SUMIFS(TableDailySummary[Rappi_net_sales],TableDailySummary[Fecha],"&gt;="&amp;TableWeeklySummary[[#This Row],[Desde]],TableDailySummary[Fecha],"&lt;="&amp;TableWeeklySummary[[#This Row],[Hasta]])</f>
        <v>0</v>
      </c>
      <c r="Q173" s="11">
        <f>SUMIFS(TableDailySummary[Rappi_orders],TableDailySummary[Fecha],"&gt;="&amp;TableWeeklySummary[[#This Row],[Desde]],TableDailySummary[Fecha],"&lt;="&amp;TableWeeklySummary[[#This Row],[Hasta]])</f>
        <v>0</v>
      </c>
      <c r="R17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3" s="11">
        <f>SUMIFS(TableDailySummary[Corporativo no tienda_orders],TableDailySummary[Fecha],"&gt;="&amp;TableWeeklySummary[[#This Row],[Desde]],TableDailySummary[Fecha],"&lt;="&amp;TableWeeklySummary[[#This Row],[Hasta]])</f>
        <v>0</v>
      </c>
      <c r="T173" s="11">
        <f>SUMIFS(TableDailySummary[Inversión google ads],TableDailySummary[Fecha],"&gt;="&amp;TableWeeklySummary[[#This Row],[Desde]],TableDailySummary[Fecha],"&lt;="&amp;TableWeeklySummary[[#This Row],[Hasta]])</f>
        <v>0</v>
      </c>
      <c r="U173" s="11">
        <f>SUMIFS(TableDailySummary[Ventas google ads],TableDailySummary[Fecha],"&gt;="&amp;TableWeeklySummary[[#This Row],[Desde]],TableDailySummary[Fecha],"&lt;="&amp;TableWeeklySummary[[#This Row],[Hasta]])</f>
        <v>0</v>
      </c>
      <c r="V173" s="11">
        <f>SUMIFS(TableDailySummary[Inversión meta ads],TableDailySummary[Fecha],"&gt;="&amp;TableWeeklySummary[[#This Row],[Desde]],TableDailySummary[Fecha],"&lt;="&amp;TableWeeklySummary[[#This Row],[Hasta]])</f>
        <v>0</v>
      </c>
      <c r="W173" s="11">
        <f>SUMIFS(TableDailySummary[Ventas meta ads],TableDailySummary[Fecha],"&gt;="&amp;TableWeeklySummary[[#This Row],[Desde]],TableDailySummary[Fecha],"&lt;="&amp;TableWeeklySummary[[#This Row],[Hasta]])</f>
        <v>0</v>
      </c>
      <c r="X173" s="11">
        <f>TableWeeklySummary[[#This Row],[Inversión google ads]]+TableWeeklySummary[[#This Row],[Inversión meta ads]]</f>
        <v>0</v>
      </c>
      <c r="Y173" s="11">
        <f>TableWeeklySummary[[#This Row],[Ventas google ads]]+TableWeeklySummary[[#This Row],[Ventas meta ads]]</f>
        <v>0</v>
      </c>
      <c r="Z173" s="14">
        <f>IFERROR(TableWeeklySummary[[#This Row],[Ventas publicidad]]/TableWeeklySummary[[#This Row],[Inversión publicidad]],0)</f>
        <v>0</v>
      </c>
      <c r="AA173" s="14">
        <f>IFERROR(TableWeeklySummary[[#This Row],[Ventas primer cliente]]/TableWeeklySummary[[#This Row],[Inversión publicidad]],0)</f>
        <v>0</v>
      </c>
      <c r="AB173" s="14"/>
      <c r="AC173" s="11"/>
      <c r="AI17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3" s="11">
        <f>SUMIFS(TableDailySummary[Costo de ventas registrado],TableDailySummary[Fecha],"&gt;="&amp;TableWeeklySummary[[#This Row],[Desde]],TableDailySummary[Fecha],"&lt;="&amp;TableWeeklySummary[[#This Row],[Hasta]])</f>
        <v>0</v>
      </c>
      <c r="AK173" s="11">
        <f>SUMIFS(TableDailySummary[Utilidad bruta],TableDailySummary[Fecha],"&gt;="&amp;TableWeeklySummary[[#This Row],[Desde]],TableDailySummary[Fecha],"&lt;="&amp;TableWeeklySummary[[#This Row],[Hasta]])</f>
        <v>0</v>
      </c>
      <c r="AL173" s="18">
        <f>IFERROR(TableWeeklySummary[[#This Row],[Utilidad bruta]]/TableWeeklySummary[[#This Row],[Ventas netas con costo registrado]],0)</f>
        <v>0</v>
      </c>
    </row>
    <row r="174" spans="2:38" x14ac:dyDescent="0.2">
      <c r="B174" s="16">
        <f>_xlfn.ISOWEEKNUM(TableWeeklySummary[[#This Row],[Hasta]])</f>
        <v>7</v>
      </c>
      <c r="C174" s="6">
        <f t="shared" si="4"/>
        <v>45695</v>
      </c>
      <c r="D174" s="6">
        <f>TableWeeklySummary[[#This Row],[Desde]]+7-1</f>
        <v>45701</v>
      </c>
      <c r="E174" s="11">
        <f>SUMIFS(TableDailySummary[Ventas netas totales],TableDailySummary[Fecha],"&gt;="&amp;TableWeeklySummary[[#This Row],[Desde]],TableDailySummary[Fecha],"&lt;="&amp;TableWeeklySummary[[#This Row],[Hasta]])</f>
        <v>0</v>
      </c>
      <c r="F174" s="11">
        <f>SUMIFS(TableDailySummary[Órdenes totales],TableDailySummary[Fecha],"&gt;="&amp;TableWeeklySummary[[#This Row],[Desde]],TableDailySummary[Fecha],"&lt;="&amp;TableWeeklySummary[[#This Row],[Hasta]])</f>
        <v>0</v>
      </c>
      <c r="G174" s="11">
        <f>IFERROR(TableWeeklySummary[[#This Row],[Ventas netas totales]]/TableWeeklySummary[[#This Row],[Órdenes totales]],0)</f>
        <v>0</v>
      </c>
      <c r="H17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4" s="11">
        <f>TableWeeklySummary[[#This Row],[Órden promedio totales]]*TableWeeklySummary[[#This Row],[CR totales]]</f>
        <v>0</v>
      </c>
      <c r="J174" s="11">
        <f>SUMIFS(TableDailySummary[Ventas primer cliente],TableDailySummary[Fecha],"&gt;="&amp;TableWeeklySummary[[#This Row],[Desde]],TableDailySummary[Fecha],"&lt;="&amp;TableWeeklySummary[[#This Row],[Hasta]])</f>
        <v>0</v>
      </c>
      <c r="K174" s="11">
        <f>SUMIFS(TableDailySummary[Órdenes primer cliente],TableDailySummary[Fecha],"&gt;="&amp;TableWeeklySummary[[#This Row],[Desde]],TableDailySummary[Fecha],"&lt;="&amp;TableWeeklySummary[[#This Row],[Hasta]])</f>
        <v>0</v>
      </c>
      <c r="L174" s="11">
        <f>SUMIFS(TableDailySummary[Online Store_net_sales],TableDailySummary[Fecha],"&gt;="&amp;TableWeeklySummary[[#This Row],[Desde]],TableDailySummary[Fecha],"&lt;="&amp;TableWeeklySummary[[#This Row],[Hasta]])</f>
        <v>0</v>
      </c>
      <c r="M174" s="11">
        <f>SUMIFS(TableDailySummary[Online Store_orders],TableDailySummary[Fecha],"&gt;="&amp;TableWeeklySummary[[#This Row],[Desde]],TableDailySummary[Fecha],"&lt;="&amp;TableWeeklySummary[[#This Row],[Hasta]])</f>
        <v>0</v>
      </c>
      <c r="N174" s="11">
        <f>SUMIFS(TableDailySummary[Tienda 81_net_sales],TableDailySummary[Fecha],"&gt;="&amp;TableWeeklySummary[[#This Row],[Desde]],TableDailySummary[Fecha],"&lt;="&amp;TableWeeklySummary[[#This Row],[Hasta]])</f>
        <v>0</v>
      </c>
      <c r="O174" s="11">
        <f>SUMIFS(TableDailySummary[Tienda 81_orders],TableDailySummary[Fecha],"&gt;="&amp;TableWeeklySummary[[#This Row],[Desde]],TableDailySummary[Fecha],"&lt;="&amp;TableWeeklySummary[[#This Row],[Hasta]])</f>
        <v>0</v>
      </c>
      <c r="P174" s="11">
        <f>SUMIFS(TableDailySummary[Rappi_net_sales],TableDailySummary[Fecha],"&gt;="&amp;TableWeeklySummary[[#This Row],[Desde]],TableDailySummary[Fecha],"&lt;="&amp;TableWeeklySummary[[#This Row],[Hasta]])</f>
        <v>0</v>
      </c>
      <c r="Q174" s="11">
        <f>SUMIFS(TableDailySummary[Rappi_orders],TableDailySummary[Fecha],"&gt;="&amp;TableWeeklySummary[[#This Row],[Desde]],TableDailySummary[Fecha],"&lt;="&amp;TableWeeklySummary[[#This Row],[Hasta]])</f>
        <v>0</v>
      </c>
      <c r="R17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4" s="11">
        <f>SUMIFS(TableDailySummary[Corporativo no tienda_orders],TableDailySummary[Fecha],"&gt;="&amp;TableWeeklySummary[[#This Row],[Desde]],TableDailySummary[Fecha],"&lt;="&amp;TableWeeklySummary[[#This Row],[Hasta]])</f>
        <v>0</v>
      </c>
      <c r="T174" s="11">
        <f>SUMIFS(TableDailySummary[Inversión google ads],TableDailySummary[Fecha],"&gt;="&amp;TableWeeklySummary[[#This Row],[Desde]],TableDailySummary[Fecha],"&lt;="&amp;TableWeeklySummary[[#This Row],[Hasta]])</f>
        <v>0</v>
      </c>
      <c r="U174" s="11">
        <f>SUMIFS(TableDailySummary[Ventas google ads],TableDailySummary[Fecha],"&gt;="&amp;TableWeeklySummary[[#This Row],[Desde]],TableDailySummary[Fecha],"&lt;="&amp;TableWeeklySummary[[#This Row],[Hasta]])</f>
        <v>0</v>
      </c>
      <c r="V174" s="11">
        <f>SUMIFS(TableDailySummary[Inversión meta ads],TableDailySummary[Fecha],"&gt;="&amp;TableWeeklySummary[[#This Row],[Desde]],TableDailySummary[Fecha],"&lt;="&amp;TableWeeklySummary[[#This Row],[Hasta]])</f>
        <v>0</v>
      </c>
      <c r="W174" s="11">
        <f>SUMIFS(TableDailySummary[Ventas meta ads],TableDailySummary[Fecha],"&gt;="&amp;TableWeeklySummary[[#This Row],[Desde]],TableDailySummary[Fecha],"&lt;="&amp;TableWeeklySummary[[#This Row],[Hasta]])</f>
        <v>0</v>
      </c>
      <c r="X174" s="11">
        <f>TableWeeklySummary[[#This Row],[Inversión google ads]]+TableWeeklySummary[[#This Row],[Inversión meta ads]]</f>
        <v>0</v>
      </c>
      <c r="Y174" s="11">
        <f>TableWeeklySummary[[#This Row],[Ventas google ads]]+TableWeeklySummary[[#This Row],[Ventas meta ads]]</f>
        <v>0</v>
      </c>
      <c r="Z174" s="14">
        <f>IFERROR(TableWeeklySummary[[#This Row],[Ventas publicidad]]/TableWeeklySummary[[#This Row],[Inversión publicidad]],0)</f>
        <v>0</v>
      </c>
      <c r="AA174" s="14">
        <f>IFERROR(TableWeeklySummary[[#This Row],[Ventas primer cliente]]/TableWeeklySummary[[#This Row],[Inversión publicidad]],0)</f>
        <v>0</v>
      </c>
      <c r="AB174" s="14"/>
      <c r="AC174" s="11"/>
      <c r="AI17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4" s="11">
        <f>SUMIFS(TableDailySummary[Costo de ventas registrado],TableDailySummary[Fecha],"&gt;="&amp;TableWeeklySummary[[#This Row],[Desde]],TableDailySummary[Fecha],"&lt;="&amp;TableWeeklySummary[[#This Row],[Hasta]])</f>
        <v>0</v>
      </c>
      <c r="AK174" s="11">
        <f>SUMIFS(TableDailySummary[Utilidad bruta],TableDailySummary[Fecha],"&gt;="&amp;TableWeeklySummary[[#This Row],[Desde]],TableDailySummary[Fecha],"&lt;="&amp;TableWeeklySummary[[#This Row],[Hasta]])</f>
        <v>0</v>
      </c>
      <c r="AL174" s="18">
        <f>IFERROR(TableWeeklySummary[[#This Row],[Utilidad bruta]]/TableWeeklySummary[[#This Row],[Ventas netas con costo registrado]],0)</f>
        <v>0</v>
      </c>
    </row>
    <row r="175" spans="2:38" x14ac:dyDescent="0.2">
      <c r="B175" s="16">
        <f>_xlfn.ISOWEEKNUM(TableWeeklySummary[[#This Row],[Hasta]])</f>
        <v>8</v>
      </c>
      <c r="C175" s="6">
        <f t="shared" si="4"/>
        <v>45702</v>
      </c>
      <c r="D175" s="6">
        <f>TableWeeklySummary[[#This Row],[Desde]]+7-1</f>
        <v>45708</v>
      </c>
      <c r="E175" s="11">
        <f>SUMIFS(TableDailySummary[Ventas netas totales],TableDailySummary[Fecha],"&gt;="&amp;TableWeeklySummary[[#This Row],[Desde]],TableDailySummary[Fecha],"&lt;="&amp;TableWeeklySummary[[#This Row],[Hasta]])</f>
        <v>0</v>
      </c>
      <c r="F175" s="11">
        <f>SUMIFS(TableDailySummary[Órdenes totales],TableDailySummary[Fecha],"&gt;="&amp;TableWeeklySummary[[#This Row],[Desde]],TableDailySummary[Fecha],"&lt;="&amp;TableWeeklySummary[[#This Row],[Hasta]])</f>
        <v>0</v>
      </c>
      <c r="G175" s="11">
        <f>IFERROR(TableWeeklySummary[[#This Row],[Ventas netas totales]]/TableWeeklySummary[[#This Row],[Órdenes totales]],0)</f>
        <v>0</v>
      </c>
      <c r="H17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5" s="11">
        <f>TableWeeklySummary[[#This Row],[Órden promedio totales]]*TableWeeklySummary[[#This Row],[CR totales]]</f>
        <v>0</v>
      </c>
      <c r="J175" s="11">
        <f>SUMIFS(TableDailySummary[Ventas primer cliente],TableDailySummary[Fecha],"&gt;="&amp;TableWeeklySummary[[#This Row],[Desde]],TableDailySummary[Fecha],"&lt;="&amp;TableWeeklySummary[[#This Row],[Hasta]])</f>
        <v>0</v>
      </c>
      <c r="K175" s="11">
        <f>SUMIFS(TableDailySummary[Órdenes primer cliente],TableDailySummary[Fecha],"&gt;="&amp;TableWeeklySummary[[#This Row],[Desde]],TableDailySummary[Fecha],"&lt;="&amp;TableWeeklySummary[[#This Row],[Hasta]])</f>
        <v>0</v>
      </c>
      <c r="L175" s="11">
        <f>SUMIFS(TableDailySummary[Online Store_net_sales],TableDailySummary[Fecha],"&gt;="&amp;TableWeeklySummary[[#This Row],[Desde]],TableDailySummary[Fecha],"&lt;="&amp;TableWeeklySummary[[#This Row],[Hasta]])</f>
        <v>0</v>
      </c>
      <c r="M175" s="11">
        <f>SUMIFS(TableDailySummary[Online Store_orders],TableDailySummary[Fecha],"&gt;="&amp;TableWeeklySummary[[#This Row],[Desde]],TableDailySummary[Fecha],"&lt;="&amp;TableWeeklySummary[[#This Row],[Hasta]])</f>
        <v>0</v>
      </c>
      <c r="N175" s="11">
        <f>SUMIFS(TableDailySummary[Tienda 81_net_sales],TableDailySummary[Fecha],"&gt;="&amp;TableWeeklySummary[[#This Row],[Desde]],TableDailySummary[Fecha],"&lt;="&amp;TableWeeklySummary[[#This Row],[Hasta]])</f>
        <v>0</v>
      </c>
      <c r="O175" s="11">
        <f>SUMIFS(TableDailySummary[Tienda 81_orders],TableDailySummary[Fecha],"&gt;="&amp;TableWeeklySummary[[#This Row],[Desde]],TableDailySummary[Fecha],"&lt;="&amp;TableWeeklySummary[[#This Row],[Hasta]])</f>
        <v>0</v>
      </c>
      <c r="P175" s="11">
        <f>SUMIFS(TableDailySummary[Rappi_net_sales],TableDailySummary[Fecha],"&gt;="&amp;TableWeeklySummary[[#This Row],[Desde]],TableDailySummary[Fecha],"&lt;="&amp;TableWeeklySummary[[#This Row],[Hasta]])</f>
        <v>0</v>
      </c>
      <c r="Q175" s="11">
        <f>SUMIFS(TableDailySummary[Rappi_orders],TableDailySummary[Fecha],"&gt;="&amp;TableWeeklySummary[[#This Row],[Desde]],TableDailySummary[Fecha],"&lt;="&amp;TableWeeklySummary[[#This Row],[Hasta]])</f>
        <v>0</v>
      </c>
      <c r="R17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5" s="11">
        <f>SUMIFS(TableDailySummary[Corporativo no tienda_orders],TableDailySummary[Fecha],"&gt;="&amp;TableWeeklySummary[[#This Row],[Desde]],TableDailySummary[Fecha],"&lt;="&amp;TableWeeklySummary[[#This Row],[Hasta]])</f>
        <v>0</v>
      </c>
      <c r="T175" s="11">
        <f>SUMIFS(TableDailySummary[Inversión google ads],TableDailySummary[Fecha],"&gt;="&amp;TableWeeklySummary[[#This Row],[Desde]],TableDailySummary[Fecha],"&lt;="&amp;TableWeeklySummary[[#This Row],[Hasta]])</f>
        <v>0</v>
      </c>
      <c r="U175" s="11">
        <f>SUMIFS(TableDailySummary[Ventas google ads],TableDailySummary[Fecha],"&gt;="&amp;TableWeeklySummary[[#This Row],[Desde]],TableDailySummary[Fecha],"&lt;="&amp;TableWeeklySummary[[#This Row],[Hasta]])</f>
        <v>0</v>
      </c>
      <c r="V175" s="11">
        <f>SUMIFS(TableDailySummary[Inversión meta ads],TableDailySummary[Fecha],"&gt;="&amp;TableWeeklySummary[[#This Row],[Desde]],TableDailySummary[Fecha],"&lt;="&amp;TableWeeklySummary[[#This Row],[Hasta]])</f>
        <v>0</v>
      </c>
      <c r="W175" s="11">
        <f>SUMIFS(TableDailySummary[Ventas meta ads],TableDailySummary[Fecha],"&gt;="&amp;TableWeeklySummary[[#This Row],[Desde]],TableDailySummary[Fecha],"&lt;="&amp;TableWeeklySummary[[#This Row],[Hasta]])</f>
        <v>0</v>
      </c>
      <c r="X175" s="11">
        <f>TableWeeklySummary[[#This Row],[Inversión google ads]]+TableWeeklySummary[[#This Row],[Inversión meta ads]]</f>
        <v>0</v>
      </c>
      <c r="Y175" s="11">
        <f>TableWeeklySummary[[#This Row],[Ventas google ads]]+TableWeeklySummary[[#This Row],[Ventas meta ads]]</f>
        <v>0</v>
      </c>
      <c r="Z175" s="14">
        <f>IFERROR(TableWeeklySummary[[#This Row],[Ventas publicidad]]/TableWeeklySummary[[#This Row],[Inversión publicidad]],0)</f>
        <v>0</v>
      </c>
      <c r="AA175" s="14">
        <f>IFERROR(TableWeeklySummary[[#This Row],[Ventas primer cliente]]/TableWeeklySummary[[#This Row],[Inversión publicidad]],0)</f>
        <v>0</v>
      </c>
      <c r="AB175" s="14"/>
      <c r="AC175" s="11"/>
      <c r="AI17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5" s="11">
        <f>SUMIFS(TableDailySummary[Costo de ventas registrado],TableDailySummary[Fecha],"&gt;="&amp;TableWeeklySummary[[#This Row],[Desde]],TableDailySummary[Fecha],"&lt;="&amp;TableWeeklySummary[[#This Row],[Hasta]])</f>
        <v>0</v>
      </c>
      <c r="AK175" s="11">
        <f>SUMIFS(TableDailySummary[Utilidad bruta],TableDailySummary[Fecha],"&gt;="&amp;TableWeeklySummary[[#This Row],[Desde]],TableDailySummary[Fecha],"&lt;="&amp;TableWeeklySummary[[#This Row],[Hasta]])</f>
        <v>0</v>
      </c>
      <c r="AL175" s="18">
        <f>IFERROR(TableWeeklySummary[[#This Row],[Utilidad bruta]]/TableWeeklySummary[[#This Row],[Ventas netas con costo registrado]],0)</f>
        <v>0</v>
      </c>
    </row>
    <row r="176" spans="2:38" x14ac:dyDescent="0.2">
      <c r="B176" s="16">
        <f>_xlfn.ISOWEEKNUM(TableWeeklySummary[[#This Row],[Hasta]])</f>
        <v>9</v>
      </c>
      <c r="C176" s="6">
        <f t="shared" si="4"/>
        <v>45709</v>
      </c>
      <c r="D176" s="6">
        <f>TableWeeklySummary[[#This Row],[Desde]]+7-1</f>
        <v>45715</v>
      </c>
      <c r="E176" s="11">
        <f>SUMIFS(TableDailySummary[Ventas netas totales],TableDailySummary[Fecha],"&gt;="&amp;TableWeeklySummary[[#This Row],[Desde]],TableDailySummary[Fecha],"&lt;="&amp;TableWeeklySummary[[#This Row],[Hasta]])</f>
        <v>0</v>
      </c>
      <c r="F176" s="11">
        <f>SUMIFS(TableDailySummary[Órdenes totales],TableDailySummary[Fecha],"&gt;="&amp;TableWeeklySummary[[#This Row],[Desde]],TableDailySummary[Fecha],"&lt;="&amp;TableWeeklySummary[[#This Row],[Hasta]])</f>
        <v>0</v>
      </c>
      <c r="G176" s="11">
        <f>IFERROR(TableWeeklySummary[[#This Row],[Ventas netas totales]]/TableWeeklySummary[[#This Row],[Órdenes totales]],0)</f>
        <v>0</v>
      </c>
      <c r="H17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6" s="11">
        <f>TableWeeklySummary[[#This Row],[Órden promedio totales]]*TableWeeklySummary[[#This Row],[CR totales]]</f>
        <v>0</v>
      </c>
      <c r="J176" s="11">
        <f>SUMIFS(TableDailySummary[Ventas primer cliente],TableDailySummary[Fecha],"&gt;="&amp;TableWeeklySummary[[#This Row],[Desde]],TableDailySummary[Fecha],"&lt;="&amp;TableWeeklySummary[[#This Row],[Hasta]])</f>
        <v>0</v>
      </c>
      <c r="K176" s="11">
        <f>SUMIFS(TableDailySummary[Órdenes primer cliente],TableDailySummary[Fecha],"&gt;="&amp;TableWeeklySummary[[#This Row],[Desde]],TableDailySummary[Fecha],"&lt;="&amp;TableWeeklySummary[[#This Row],[Hasta]])</f>
        <v>0</v>
      </c>
      <c r="L176" s="11">
        <f>SUMIFS(TableDailySummary[Online Store_net_sales],TableDailySummary[Fecha],"&gt;="&amp;TableWeeklySummary[[#This Row],[Desde]],TableDailySummary[Fecha],"&lt;="&amp;TableWeeklySummary[[#This Row],[Hasta]])</f>
        <v>0</v>
      </c>
      <c r="M176" s="11">
        <f>SUMIFS(TableDailySummary[Online Store_orders],TableDailySummary[Fecha],"&gt;="&amp;TableWeeklySummary[[#This Row],[Desde]],TableDailySummary[Fecha],"&lt;="&amp;TableWeeklySummary[[#This Row],[Hasta]])</f>
        <v>0</v>
      </c>
      <c r="N176" s="11">
        <f>SUMIFS(TableDailySummary[Tienda 81_net_sales],TableDailySummary[Fecha],"&gt;="&amp;TableWeeklySummary[[#This Row],[Desde]],TableDailySummary[Fecha],"&lt;="&amp;TableWeeklySummary[[#This Row],[Hasta]])</f>
        <v>0</v>
      </c>
      <c r="O176" s="11">
        <f>SUMIFS(TableDailySummary[Tienda 81_orders],TableDailySummary[Fecha],"&gt;="&amp;TableWeeklySummary[[#This Row],[Desde]],TableDailySummary[Fecha],"&lt;="&amp;TableWeeklySummary[[#This Row],[Hasta]])</f>
        <v>0</v>
      </c>
      <c r="P176" s="11">
        <f>SUMIFS(TableDailySummary[Rappi_net_sales],TableDailySummary[Fecha],"&gt;="&amp;TableWeeklySummary[[#This Row],[Desde]],TableDailySummary[Fecha],"&lt;="&amp;TableWeeklySummary[[#This Row],[Hasta]])</f>
        <v>0</v>
      </c>
      <c r="Q176" s="11">
        <f>SUMIFS(TableDailySummary[Rappi_orders],TableDailySummary[Fecha],"&gt;="&amp;TableWeeklySummary[[#This Row],[Desde]],TableDailySummary[Fecha],"&lt;="&amp;TableWeeklySummary[[#This Row],[Hasta]])</f>
        <v>0</v>
      </c>
      <c r="R17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6" s="11">
        <f>SUMIFS(TableDailySummary[Corporativo no tienda_orders],TableDailySummary[Fecha],"&gt;="&amp;TableWeeklySummary[[#This Row],[Desde]],TableDailySummary[Fecha],"&lt;="&amp;TableWeeklySummary[[#This Row],[Hasta]])</f>
        <v>0</v>
      </c>
      <c r="T176" s="11">
        <f>SUMIFS(TableDailySummary[Inversión google ads],TableDailySummary[Fecha],"&gt;="&amp;TableWeeklySummary[[#This Row],[Desde]],TableDailySummary[Fecha],"&lt;="&amp;TableWeeklySummary[[#This Row],[Hasta]])</f>
        <v>0</v>
      </c>
      <c r="U176" s="11">
        <f>SUMIFS(TableDailySummary[Ventas google ads],TableDailySummary[Fecha],"&gt;="&amp;TableWeeklySummary[[#This Row],[Desde]],TableDailySummary[Fecha],"&lt;="&amp;TableWeeklySummary[[#This Row],[Hasta]])</f>
        <v>0</v>
      </c>
      <c r="V176" s="11">
        <f>SUMIFS(TableDailySummary[Inversión meta ads],TableDailySummary[Fecha],"&gt;="&amp;TableWeeklySummary[[#This Row],[Desde]],TableDailySummary[Fecha],"&lt;="&amp;TableWeeklySummary[[#This Row],[Hasta]])</f>
        <v>0</v>
      </c>
      <c r="W176" s="11">
        <f>SUMIFS(TableDailySummary[Ventas meta ads],TableDailySummary[Fecha],"&gt;="&amp;TableWeeklySummary[[#This Row],[Desde]],TableDailySummary[Fecha],"&lt;="&amp;TableWeeklySummary[[#This Row],[Hasta]])</f>
        <v>0</v>
      </c>
      <c r="X176" s="11">
        <f>TableWeeklySummary[[#This Row],[Inversión google ads]]+TableWeeklySummary[[#This Row],[Inversión meta ads]]</f>
        <v>0</v>
      </c>
      <c r="Y176" s="11">
        <f>TableWeeklySummary[[#This Row],[Ventas google ads]]+TableWeeklySummary[[#This Row],[Ventas meta ads]]</f>
        <v>0</v>
      </c>
      <c r="Z176" s="14">
        <f>IFERROR(TableWeeklySummary[[#This Row],[Ventas publicidad]]/TableWeeklySummary[[#This Row],[Inversión publicidad]],0)</f>
        <v>0</v>
      </c>
      <c r="AA176" s="14">
        <f>IFERROR(TableWeeklySummary[[#This Row],[Ventas primer cliente]]/TableWeeklySummary[[#This Row],[Inversión publicidad]],0)</f>
        <v>0</v>
      </c>
      <c r="AB176" s="14"/>
      <c r="AC176" s="11"/>
      <c r="AI17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6" s="11">
        <f>SUMIFS(TableDailySummary[Costo de ventas registrado],TableDailySummary[Fecha],"&gt;="&amp;TableWeeklySummary[[#This Row],[Desde]],TableDailySummary[Fecha],"&lt;="&amp;TableWeeklySummary[[#This Row],[Hasta]])</f>
        <v>0</v>
      </c>
      <c r="AK176" s="11">
        <f>SUMIFS(TableDailySummary[Utilidad bruta],TableDailySummary[Fecha],"&gt;="&amp;TableWeeklySummary[[#This Row],[Desde]],TableDailySummary[Fecha],"&lt;="&amp;TableWeeklySummary[[#This Row],[Hasta]])</f>
        <v>0</v>
      </c>
      <c r="AL176" s="18">
        <f>IFERROR(TableWeeklySummary[[#This Row],[Utilidad bruta]]/TableWeeklySummary[[#This Row],[Ventas netas con costo registrado]],0)</f>
        <v>0</v>
      </c>
    </row>
    <row r="177" spans="2:38" x14ac:dyDescent="0.2">
      <c r="B177" s="16">
        <f>_xlfn.ISOWEEKNUM(TableWeeklySummary[[#This Row],[Hasta]])</f>
        <v>10</v>
      </c>
      <c r="C177" s="6">
        <f t="shared" si="4"/>
        <v>45716</v>
      </c>
      <c r="D177" s="6">
        <f>TableWeeklySummary[[#This Row],[Desde]]+7-1</f>
        <v>45722</v>
      </c>
      <c r="E177" s="11">
        <f>SUMIFS(TableDailySummary[Ventas netas totales],TableDailySummary[Fecha],"&gt;="&amp;TableWeeklySummary[[#This Row],[Desde]],TableDailySummary[Fecha],"&lt;="&amp;TableWeeklySummary[[#This Row],[Hasta]])</f>
        <v>0</v>
      </c>
      <c r="F177" s="11">
        <f>SUMIFS(TableDailySummary[Órdenes totales],TableDailySummary[Fecha],"&gt;="&amp;TableWeeklySummary[[#This Row],[Desde]],TableDailySummary[Fecha],"&lt;="&amp;TableWeeklySummary[[#This Row],[Hasta]])</f>
        <v>0</v>
      </c>
      <c r="G177" s="11">
        <f>IFERROR(TableWeeklySummary[[#This Row],[Ventas netas totales]]/TableWeeklySummary[[#This Row],[Órdenes totales]],0)</f>
        <v>0</v>
      </c>
      <c r="H17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7" s="11">
        <f>TableWeeklySummary[[#This Row],[Órden promedio totales]]*TableWeeklySummary[[#This Row],[CR totales]]</f>
        <v>0</v>
      </c>
      <c r="J177" s="11">
        <f>SUMIFS(TableDailySummary[Ventas primer cliente],TableDailySummary[Fecha],"&gt;="&amp;TableWeeklySummary[[#This Row],[Desde]],TableDailySummary[Fecha],"&lt;="&amp;TableWeeklySummary[[#This Row],[Hasta]])</f>
        <v>0</v>
      </c>
      <c r="K177" s="11">
        <f>SUMIFS(TableDailySummary[Órdenes primer cliente],TableDailySummary[Fecha],"&gt;="&amp;TableWeeklySummary[[#This Row],[Desde]],TableDailySummary[Fecha],"&lt;="&amp;TableWeeklySummary[[#This Row],[Hasta]])</f>
        <v>0</v>
      </c>
      <c r="L177" s="11">
        <f>SUMIFS(TableDailySummary[Online Store_net_sales],TableDailySummary[Fecha],"&gt;="&amp;TableWeeklySummary[[#This Row],[Desde]],TableDailySummary[Fecha],"&lt;="&amp;TableWeeklySummary[[#This Row],[Hasta]])</f>
        <v>0</v>
      </c>
      <c r="M177" s="11">
        <f>SUMIFS(TableDailySummary[Online Store_orders],TableDailySummary[Fecha],"&gt;="&amp;TableWeeklySummary[[#This Row],[Desde]],TableDailySummary[Fecha],"&lt;="&amp;TableWeeklySummary[[#This Row],[Hasta]])</f>
        <v>0</v>
      </c>
      <c r="N177" s="11">
        <f>SUMIFS(TableDailySummary[Tienda 81_net_sales],TableDailySummary[Fecha],"&gt;="&amp;TableWeeklySummary[[#This Row],[Desde]],TableDailySummary[Fecha],"&lt;="&amp;TableWeeklySummary[[#This Row],[Hasta]])</f>
        <v>0</v>
      </c>
      <c r="O177" s="11">
        <f>SUMIFS(TableDailySummary[Tienda 81_orders],TableDailySummary[Fecha],"&gt;="&amp;TableWeeklySummary[[#This Row],[Desde]],TableDailySummary[Fecha],"&lt;="&amp;TableWeeklySummary[[#This Row],[Hasta]])</f>
        <v>0</v>
      </c>
      <c r="P177" s="11">
        <f>SUMIFS(TableDailySummary[Rappi_net_sales],TableDailySummary[Fecha],"&gt;="&amp;TableWeeklySummary[[#This Row],[Desde]],TableDailySummary[Fecha],"&lt;="&amp;TableWeeklySummary[[#This Row],[Hasta]])</f>
        <v>0</v>
      </c>
      <c r="Q177" s="11">
        <f>SUMIFS(TableDailySummary[Rappi_orders],TableDailySummary[Fecha],"&gt;="&amp;TableWeeklySummary[[#This Row],[Desde]],TableDailySummary[Fecha],"&lt;="&amp;TableWeeklySummary[[#This Row],[Hasta]])</f>
        <v>0</v>
      </c>
      <c r="R17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7" s="11">
        <f>SUMIFS(TableDailySummary[Corporativo no tienda_orders],TableDailySummary[Fecha],"&gt;="&amp;TableWeeklySummary[[#This Row],[Desde]],TableDailySummary[Fecha],"&lt;="&amp;TableWeeklySummary[[#This Row],[Hasta]])</f>
        <v>0</v>
      </c>
      <c r="T177" s="11">
        <f>SUMIFS(TableDailySummary[Inversión google ads],TableDailySummary[Fecha],"&gt;="&amp;TableWeeklySummary[[#This Row],[Desde]],TableDailySummary[Fecha],"&lt;="&amp;TableWeeklySummary[[#This Row],[Hasta]])</f>
        <v>0</v>
      </c>
      <c r="U177" s="11">
        <f>SUMIFS(TableDailySummary[Ventas google ads],TableDailySummary[Fecha],"&gt;="&amp;TableWeeklySummary[[#This Row],[Desde]],TableDailySummary[Fecha],"&lt;="&amp;TableWeeklySummary[[#This Row],[Hasta]])</f>
        <v>0</v>
      </c>
      <c r="V177" s="11">
        <f>SUMIFS(TableDailySummary[Inversión meta ads],TableDailySummary[Fecha],"&gt;="&amp;TableWeeklySummary[[#This Row],[Desde]],TableDailySummary[Fecha],"&lt;="&amp;TableWeeklySummary[[#This Row],[Hasta]])</f>
        <v>0</v>
      </c>
      <c r="W177" s="11">
        <f>SUMIFS(TableDailySummary[Ventas meta ads],TableDailySummary[Fecha],"&gt;="&amp;TableWeeklySummary[[#This Row],[Desde]],TableDailySummary[Fecha],"&lt;="&amp;TableWeeklySummary[[#This Row],[Hasta]])</f>
        <v>0</v>
      </c>
      <c r="X177" s="11">
        <f>TableWeeklySummary[[#This Row],[Inversión google ads]]+TableWeeklySummary[[#This Row],[Inversión meta ads]]</f>
        <v>0</v>
      </c>
      <c r="Y177" s="11">
        <f>TableWeeklySummary[[#This Row],[Ventas google ads]]+TableWeeklySummary[[#This Row],[Ventas meta ads]]</f>
        <v>0</v>
      </c>
      <c r="Z177" s="14">
        <f>IFERROR(TableWeeklySummary[[#This Row],[Ventas publicidad]]/TableWeeklySummary[[#This Row],[Inversión publicidad]],0)</f>
        <v>0</v>
      </c>
      <c r="AA177" s="14">
        <f>IFERROR(TableWeeklySummary[[#This Row],[Ventas primer cliente]]/TableWeeklySummary[[#This Row],[Inversión publicidad]],0)</f>
        <v>0</v>
      </c>
      <c r="AB177" s="14"/>
      <c r="AC177" s="11"/>
      <c r="AI17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7" s="11">
        <f>SUMIFS(TableDailySummary[Costo de ventas registrado],TableDailySummary[Fecha],"&gt;="&amp;TableWeeklySummary[[#This Row],[Desde]],TableDailySummary[Fecha],"&lt;="&amp;TableWeeklySummary[[#This Row],[Hasta]])</f>
        <v>0</v>
      </c>
      <c r="AK177" s="11">
        <f>SUMIFS(TableDailySummary[Utilidad bruta],TableDailySummary[Fecha],"&gt;="&amp;TableWeeklySummary[[#This Row],[Desde]],TableDailySummary[Fecha],"&lt;="&amp;TableWeeklySummary[[#This Row],[Hasta]])</f>
        <v>0</v>
      </c>
      <c r="AL177" s="18">
        <f>IFERROR(TableWeeklySummary[[#This Row],[Utilidad bruta]]/TableWeeklySummary[[#This Row],[Ventas netas con costo registrado]],0)</f>
        <v>0</v>
      </c>
    </row>
    <row r="178" spans="2:38" x14ac:dyDescent="0.2">
      <c r="B178" s="16">
        <f>_xlfn.ISOWEEKNUM(TableWeeklySummary[[#This Row],[Hasta]])</f>
        <v>11</v>
      </c>
      <c r="C178" s="6">
        <f t="shared" si="4"/>
        <v>45723</v>
      </c>
      <c r="D178" s="6">
        <f>TableWeeklySummary[[#This Row],[Desde]]+7-1</f>
        <v>45729</v>
      </c>
      <c r="E178" s="11">
        <f>SUMIFS(TableDailySummary[Ventas netas totales],TableDailySummary[Fecha],"&gt;="&amp;TableWeeklySummary[[#This Row],[Desde]],TableDailySummary[Fecha],"&lt;="&amp;TableWeeklySummary[[#This Row],[Hasta]])</f>
        <v>0</v>
      </c>
      <c r="F178" s="11">
        <f>SUMIFS(TableDailySummary[Órdenes totales],TableDailySummary[Fecha],"&gt;="&amp;TableWeeklySummary[[#This Row],[Desde]],TableDailySummary[Fecha],"&lt;="&amp;TableWeeklySummary[[#This Row],[Hasta]])</f>
        <v>0</v>
      </c>
      <c r="G178" s="11">
        <f>IFERROR(TableWeeklySummary[[#This Row],[Ventas netas totales]]/TableWeeklySummary[[#This Row],[Órdenes totales]],0)</f>
        <v>0</v>
      </c>
      <c r="H17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8" s="11">
        <f>TableWeeklySummary[[#This Row],[Órden promedio totales]]*TableWeeklySummary[[#This Row],[CR totales]]</f>
        <v>0</v>
      </c>
      <c r="J178" s="11">
        <f>SUMIFS(TableDailySummary[Ventas primer cliente],TableDailySummary[Fecha],"&gt;="&amp;TableWeeklySummary[[#This Row],[Desde]],TableDailySummary[Fecha],"&lt;="&amp;TableWeeklySummary[[#This Row],[Hasta]])</f>
        <v>0</v>
      </c>
      <c r="K178" s="11">
        <f>SUMIFS(TableDailySummary[Órdenes primer cliente],TableDailySummary[Fecha],"&gt;="&amp;TableWeeklySummary[[#This Row],[Desde]],TableDailySummary[Fecha],"&lt;="&amp;TableWeeklySummary[[#This Row],[Hasta]])</f>
        <v>0</v>
      </c>
      <c r="L178" s="11">
        <f>SUMIFS(TableDailySummary[Online Store_net_sales],TableDailySummary[Fecha],"&gt;="&amp;TableWeeklySummary[[#This Row],[Desde]],TableDailySummary[Fecha],"&lt;="&amp;TableWeeklySummary[[#This Row],[Hasta]])</f>
        <v>0</v>
      </c>
      <c r="M178" s="11">
        <f>SUMIFS(TableDailySummary[Online Store_orders],TableDailySummary[Fecha],"&gt;="&amp;TableWeeklySummary[[#This Row],[Desde]],TableDailySummary[Fecha],"&lt;="&amp;TableWeeklySummary[[#This Row],[Hasta]])</f>
        <v>0</v>
      </c>
      <c r="N178" s="11">
        <f>SUMIFS(TableDailySummary[Tienda 81_net_sales],TableDailySummary[Fecha],"&gt;="&amp;TableWeeklySummary[[#This Row],[Desde]],TableDailySummary[Fecha],"&lt;="&amp;TableWeeklySummary[[#This Row],[Hasta]])</f>
        <v>0</v>
      </c>
      <c r="O178" s="11">
        <f>SUMIFS(TableDailySummary[Tienda 81_orders],TableDailySummary[Fecha],"&gt;="&amp;TableWeeklySummary[[#This Row],[Desde]],TableDailySummary[Fecha],"&lt;="&amp;TableWeeklySummary[[#This Row],[Hasta]])</f>
        <v>0</v>
      </c>
      <c r="P178" s="11">
        <f>SUMIFS(TableDailySummary[Rappi_net_sales],TableDailySummary[Fecha],"&gt;="&amp;TableWeeklySummary[[#This Row],[Desde]],TableDailySummary[Fecha],"&lt;="&amp;TableWeeklySummary[[#This Row],[Hasta]])</f>
        <v>0</v>
      </c>
      <c r="Q178" s="11">
        <f>SUMIFS(TableDailySummary[Rappi_orders],TableDailySummary[Fecha],"&gt;="&amp;TableWeeklySummary[[#This Row],[Desde]],TableDailySummary[Fecha],"&lt;="&amp;TableWeeklySummary[[#This Row],[Hasta]])</f>
        <v>0</v>
      </c>
      <c r="R17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8" s="11">
        <f>SUMIFS(TableDailySummary[Corporativo no tienda_orders],TableDailySummary[Fecha],"&gt;="&amp;TableWeeklySummary[[#This Row],[Desde]],TableDailySummary[Fecha],"&lt;="&amp;TableWeeklySummary[[#This Row],[Hasta]])</f>
        <v>0</v>
      </c>
      <c r="T178" s="11">
        <f>SUMIFS(TableDailySummary[Inversión google ads],TableDailySummary[Fecha],"&gt;="&amp;TableWeeklySummary[[#This Row],[Desde]],TableDailySummary[Fecha],"&lt;="&amp;TableWeeklySummary[[#This Row],[Hasta]])</f>
        <v>0</v>
      </c>
      <c r="U178" s="11">
        <f>SUMIFS(TableDailySummary[Ventas google ads],TableDailySummary[Fecha],"&gt;="&amp;TableWeeklySummary[[#This Row],[Desde]],TableDailySummary[Fecha],"&lt;="&amp;TableWeeklySummary[[#This Row],[Hasta]])</f>
        <v>0</v>
      </c>
      <c r="V178" s="11">
        <f>SUMIFS(TableDailySummary[Inversión meta ads],TableDailySummary[Fecha],"&gt;="&amp;TableWeeklySummary[[#This Row],[Desde]],TableDailySummary[Fecha],"&lt;="&amp;TableWeeklySummary[[#This Row],[Hasta]])</f>
        <v>0</v>
      </c>
      <c r="W178" s="11">
        <f>SUMIFS(TableDailySummary[Ventas meta ads],TableDailySummary[Fecha],"&gt;="&amp;TableWeeklySummary[[#This Row],[Desde]],TableDailySummary[Fecha],"&lt;="&amp;TableWeeklySummary[[#This Row],[Hasta]])</f>
        <v>0</v>
      </c>
      <c r="X178" s="11">
        <f>TableWeeklySummary[[#This Row],[Inversión google ads]]+TableWeeklySummary[[#This Row],[Inversión meta ads]]</f>
        <v>0</v>
      </c>
      <c r="Y178" s="11">
        <f>TableWeeklySummary[[#This Row],[Ventas google ads]]+TableWeeklySummary[[#This Row],[Ventas meta ads]]</f>
        <v>0</v>
      </c>
      <c r="Z178" s="14">
        <f>IFERROR(TableWeeklySummary[[#This Row],[Ventas publicidad]]/TableWeeklySummary[[#This Row],[Inversión publicidad]],0)</f>
        <v>0</v>
      </c>
      <c r="AA178" s="14">
        <f>IFERROR(TableWeeklySummary[[#This Row],[Ventas primer cliente]]/TableWeeklySummary[[#This Row],[Inversión publicidad]],0)</f>
        <v>0</v>
      </c>
      <c r="AB178" s="14"/>
      <c r="AC178" s="11"/>
      <c r="AI17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8" s="11">
        <f>SUMIFS(TableDailySummary[Costo de ventas registrado],TableDailySummary[Fecha],"&gt;="&amp;TableWeeklySummary[[#This Row],[Desde]],TableDailySummary[Fecha],"&lt;="&amp;TableWeeklySummary[[#This Row],[Hasta]])</f>
        <v>0</v>
      </c>
      <c r="AK178" s="11">
        <f>SUMIFS(TableDailySummary[Utilidad bruta],TableDailySummary[Fecha],"&gt;="&amp;TableWeeklySummary[[#This Row],[Desde]],TableDailySummary[Fecha],"&lt;="&amp;TableWeeklySummary[[#This Row],[Hasta]])</f>
        <v>0</v>
      </c>
      <c r="AL178" s="18">
        <f>IFERROR(TableWeeklySummary[[#This Row],[Utilidad bruta]]/TableWeeklySummary[[#This Row],[Ventas netas con costo registrado]],0)</f>
        <v>0</v>
      </c>
    </row>
    <row r="179" spans="2:38" x14ac:dyDescent="0.2">
      <c r="B179" s="16">
        <f>_xlfn.ISOWEEKNUM(TableWeeklySummary[[#This Row],[Hasta]])</f>
        <v>12</v>
      </c>
      <c r="C179" s="6">
        <f t="shared" si="4"/>
        <v>45730</v>
      </c>
      <c r="D179" s="6">
        <f>TableWeeklySummary[[#This Row],[Desde]]+7-1</f>
        <v>45736</v>
      </c>
      <c r="E179" s="11">
        <f>SUMIFS(TableDailySummary[Ventas netas totales],TableDailySummary[Fecha],"&gt;="&amp;TableWeeklySummary[[#This Row],[Desde]],TableDailySummary[Fecha],"&lt;="&amp;TableWeeklySummary[[#This Row],[Hasta]])</f>
        <v>0</v>
      </c>
      <c r="F179" s="11">
        <f>SUMIFS(TableDailySummary[Órdenes totales],TableDailySummary[Fecha],"&gt;="&amp;TableWeeklySummary[[#This Row],[Desde]],TableDailySummary[Fecha],"&lt;="&amp;TableWeeklySummary[[#This Row],[Hasta]])</f>
        <v>0</v>
      </c>
      <c r="G179" s="11">
        <f>IFERROR(TableWeeklySummary[[#This Row],[Ventas netas totales]]/TableWeeklySummary[[#This Row],[Órdenes totales]],0)</f>
        <v>0</v>
      </c>
      <c r="H17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79" s="11">
        <f>TableWeeklySummary[[#This Row],[Órden promedio totales]]*TableWeeklySummary[[#This Row],[CR totales]]</f>
        <v>0</v>
      </c>
      <c r="J179" s="11">
        <f>SUMIFS(TableDailySummary[Ventas primer cliente],TableDailySummary[Fecha],"&gt;="&amp;TableWeeklySummary[[#This Row],[Desde]],TableDailySummary[Fecha],"&lt;="&amp;TableWeeklySummary[[#This Row],[Hasta]])</f>
        <v>0</v>
      </c>
      <c r="K179" s="11">
        <f>SUMIFS(TableDailySummary[Órdenes primer cliente],TableDailySummary[Fecha],"&gt;="&amp;TableWeeklySummary[[#This Row],[Desde]],TableDailySummary[Fecha],"&lt;="&amp;TableWeeklySummary[[#This Row],[Hasta]])</f>
        <v>0</v>
      </c>
      <c r="L179" s="11">
        <f>SUMIFS(TableDailySummary[Online Store_net_sales],TableDailySummary[Fecha],"&gt;="&amp;TableWeeklySummary[[#This Row],[Desde]],TableDailySummary[Fecha],"&lt;="&amp;TableWeeklySummary[[#This Row],[Hasta]])</f>
        <v>0</v>
      </c>
      <c r="M179" s="11">
        <f>SUMIFS(TableDailySummary[Online Store_orders],TableDailySummary[Fecha],"&gt;="&amp;TableWeeklySummary[[#This Row],[Desde]],TableDailySummary[Fecha],"&lt;="&amp;TableWeeklySummary[[#This Row],[Hasta]])</f>
        <v>0</v>
      </c>
      <c r="N179" s="11">
        <f>SUMIFS(TableDailySummary[Tienda 81_net_sales],TableDailySummary[Fecha],"&gt;="&amp;TableWeeklySummary[[#This Row],[Desde]],TableDailySummary[Fecha],"&lt;="&amp;TableWeeklySummary[[#This Row],[Hasta]])</f>
        <v>0</v>
      </c>
      <c r="O179" s="11">
        <f>SUMIFS(TableDailySummary[Tienda 81_orders],TableDailySummary[Fecha],"&gt;="&amp;TableWeeklySummary[[#This Row],[Desde]],TableDailySummary[Fecha],"&lt;="&amp;TableWeeklySummary[[#This Row],[Hasta]])</f>
        <v>0</v>
      </c>
      <c r="P179" s="11">
        <f>SUMIFS(TableDailySummary[Rappi_net_sales],TableDailySummary[Fecha],"&gt;="&amp;TableWeeklySummary[[#This Row],[Desde]],TableDailySummary[Fecha],"&lt;="&amp;TableWeeklySummary[[#This Row],[Hasta]])</f>
        <v>0</v>
      </c>
      <c r="Q179" s="11">
        <f>SUMIFS(TableDailySummary[Rappi_orders],TableDailySummary[Fecha],"&gt;="&amp;TableWeeklySummary[[#This Row],[Desde]],TableDailySummary[Fecha],"&lt;="&amp;TableWeeklySummary[[#This Row],[Hasta]])</f>
        <v>0</v>
      </c>
      <c r="R17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79" s="11">
        <f>SUMIFS(TableDailySummary[Corporativo no tienda_orders],TableDailySummary[Fecha],"&gt;="&amp;TableWeeklySummary[[#This Row],[Desde]],TableDailySummary[Fecha],"&lt;="&amp;TableWeeklySummary[[#This Row],[Hasta]])</f>
        <v>0</v>
      </c>
      <c r="T179" s="11">
        <f>SUMIFS(TableDailySummary[Inversión google ads],TableDailySummary[Fecha],"&gt;="&amp;TableWeeklySummary[[#This Row],[Desde]],TableDailySummary[Fecha],"&lt;="&amp;TableWeeklySummary[[#This Row],[Hasta]])</f>
        <v>0</v>
      </c>
      <c r="U179" s="11">
        <f>SUMIFS(TableDailySummary[Ventas google ads],TableDailySummary[Fecha],"&gt;="&amp;TableWeeklySummary[[#This Row],[Desde]],TableDailySummary[Fecha],"&lt;="&amp;TableWeeklySummary[[#This Row],[Hasta]])</f>
        <v>0</v>
      </c>
      <c r="V179" s="11">
        <f>SUMIFS(TableDailySummary[Inversión meta ads],TableDailySummary[Fecha],"&gt;="&amp;TableWeeklySummary[[#This Row],[Desde]],TableDailySummary[Fecha],"&lt;="&amp;TableWeeklySummary[[#This Row],[Hasta]])</f>
        <v>0</v>
      </c>
      <c r="W179" s="11">
        <f>SUMIFS(TableDailySummary[Ventas meta ads],TableDailySummary[Fecha],"&gt;="&amp;TableWeeklySummary[[#This Row],[Desde]],TableDailySummary[Fecha],"&lt;="&amp;TableWeeklySummary[[#This Row],[Hasta]])</f>
        <v>0</v>
      </c>
      <c r="X179" s="11">
        <f>TableWeeklySummary[[#This Row],[Inversión google ads]]+TableWeeklySummary[[#This Row],[Inversión meta ads]]</f>
        <v>0</v>
      </c>
      <c r="Y179" s="11">
        <f>TableWeeklySummary[[#This Row],[Ventas google ads]]+TableWeeklySummary[[#This Row],[Ventas meta ads]]</f>
        <v>0</v>
      </c>
      <c r="Z179" s="14">
        <f>IFERROR(TableWeeklySummary[[#This Row],[Ventas publicidad]]/TableWeeklySummary[[#This Row],[Inversión publicidad]],0)</f>
        <v>0</v>
      </c>
      <c r="AA179" s="14">
        <f>IFERROR(TableWeeklySummary[[#This Row],[Ventas primer cliente]]/TableWeeklySummary[[#This Row],[Inversión publicidad]],0)</f>
        <v>0</v>
      </c>
      <c r="AB179" s="14"/>
      <c r="AC179" s="11"/>
      <c r="AI17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79" s="11">
        <f>SUMIFS(TableDailySummary[Costo de ventas registrado],TableDailySummary[Fecha],"&gt;="&amp;TableWeeklySummary[[#This Row],[Desde]],TableDailySummary[Fecha],"&lt;="&amp;TableWeeklySummary[[#This Row],[Hasta]])</f>
        <v>0</v>
      </c>
      <c r="AK179" s="11">
        <f>SUMIFS(TableDailySummary[Utilidad bruta],TableDailySummary[Fecha],"&gt;="&amp;TableWeeklySummary[[#This Row],[Desde]],TableDailySummary[Fecha],"&lt;="&amp;TableWeeklySummary[[#This Row],[Hasta]])</f>
        <v>0</v>
      </c>
      <c r="AL179" s="18">
        <f>IFERROR(TableWeeklySummary[[#This Row],[Utilidad bruta]]/TableWeeklySummary[[#This Row],[Ventas netas con costo registrado]],0)</f>
        <v>0</v>
      </c>
    </row>
    <row r="180" spans="2:38" x14ac:dyDescent="0.2">
      <c r="B180" s="16">
        <f>_xlfn.ISOWEEKNUM(TableWeeklySummary[[#This Row],[Hasta]])</f>
        <v>13</v>
      </c>
      <c r="C180" s="6">
        <f t="shared" si="4"/>
        <v>45737</v>
      </c>
      <c r="D180" s="6">
        <f>TableWeeklySummary[[#This Row],[Desde]]+7-1</f>
        <v>45743</v>
      </c>
      <c r="E180" s="11">
        <f>SUMIFS(TableDailySummary[Ventas netas totales],TableDailySummary[Fecha],"&gt;="&amp;TableWeeklySummary[[#This Row],[Desde]],TableDailySummary[Fecha],"&lt;="&amp;TableWeeklySummary[[#This Row],[Hasta]])</f>
        <v>0</v>
      </c>
      <c r="F180" s="11">
        <f>SUMIFS(TableDailySummary[Órdenes totales],TableDailySummary[Fecha],"&gt;="&amp;TableWeeklySummary[[#This Row],[Desde]],TableDailySummary[Fecha],"&lt;="&amp;TableWeeklySummary[[#This Row],[Hasta]])</f>
        <v>0</v>
      </c>
      <c r="G180" s="11">
        <f>IFERROR(TableWeeklySummary[[#This Row],[Ventas netas totales]]/TableWeeklySummary[[#This Row],[Órdenes totales]],0)</f>
        <v>0</v>
      </c>
      <c r="H18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80" s="11">
        <f>TableWeeklySummary[[#This Row],[Órden promedio totales]]*TableWeeklySummary[[#This Row],[CR totales]]</f>
        <v>0</v>
      </c>
      <c r="J180" s="11">
        <f>SUMIFS(TableDailySummary[Ventas primer cliente],TableDailySummary[Fecha],"&gt;="&amp;TableWeeklySummary[[#This Row],[Desde]],TableDailySummary[Fecha],"&lt;="&amp;TableWeeklySummary[[#This Row],[Hasta]])</f>
        <v>0</v>
      </c>
      <c r="K180" s="11">
        <f>SUMIFS(TableDailySummary[Órdenes primer cliente],TableDailySummary[Fecha],"&gt;="&amp;TableWeeklySummary[[#This Row],[Desde]],TableDailySummary[Fecha],"&lt;="&amp;TableWeeklySummary[[#This Row],[Hasta]])</f>
        <v>0</v>
      </c>
      <c r="L180" s="11">
        <f>SUMIFS(TableDailySummary[Online Store_net_sales],TableDailySummary[Fecha],"&gt;="&amp;TableWeeklySummary[[#This Row],[Desde]],TableDailySummary[Fecha],"&lt;="&amp;TableWeeklySummary[[#This Row],[Hasta]])</f>
        <v>0</v>
      </c>
      <c r="M180" s="11">
        <f>SUMIFS(TableDailySummary[Online Store_orders],TableDailySummary[Fecha],"&gt;="&amp;TableWeeklySummary[[#This Row],[Desde]],TableDailySummary[Fecha],"&lt;="&amp;TableWeeklySummary[[#This Row],[Hasta]])</f>
        <v>0</v>
      </c>
      <c r="N180" s="11">
        <f>SUMIFS(TableDailySummary[Tienda 81_net_sales],TableDailySummary[Fecha],"&gt;="&amp;TableWeeklySummary[[#This Row],[Desde]],TableDailySummary[Fecha],"&lt;="&amp;TableWeeklySummary[[#This Row],[Hasta]])</f>
        <v>0</v>
      </c>
      <c r="O180" s="11">
        <f>SUMIFS(TableDailySummary[Tienda 81_orders],TableDailySummary[Fecha],"&gt;="&amp;TableWeeklySummary[[#This Row],[Desde]],TableDailySummary[Fecha],"&lt;="&amp;TableWeeklySummary[[#This Row],[Hasta]])</f>
        <v>0</v>
      </c>
      <c r="P180" s="11">
        <f>SUMIFS(TableDailySummary[Rappi_net_sales],TableDailySummary[Fecha],"&gt;="&amp;TableWeeklySummary[[#This Row],[Desde]],TableDailySummary[Fecha],"&lt;="&amp;TableWeeklySummary[[#This Row],[Hasta]])</f>
        <v>0</v>
      </c>
      <c r="Q180" s="11">
        <f>SUMIFS(TableDailySummary[Rappi_orders],TableDailySummary[Fecha],"&gt;="&amp;TableWeeklySummary[[#This Row],[Desde]],TableDailySummary[Fecha],"&lt;="&amp;TableWeeklySummary[[#This Row],[Hasta]])</f>
        <v>0</v>
      </c>
      <c r="R18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0" s="11">
        <f>SUMIFS(TableDailySummary[Corporativo no tienda_orders],TableDailySummary[Fecha],"&gt;="&amp;TableWeeklySummary[[#This Row],[Desde]],TableDailySummary[Fecha],"&lt;="&amp;TableWeeklySummary[[#This Row],[Hasta]])</f>
        <v>0</v>
      </c>
      <c r="T180" s="11">
        <f>SUMIFS(TableDailySummary[Inversión google ads],TableDailySummary[Fecha],"&gt;="&amp;TableWeeklySummary[[#This Row],[Desde]],TableDailySummary[Fecha],"&lt;="&amp;TableWeeklySummary[[#This Row],[Hasta]])</f>
        <v>0</v>
      </c>
      <c r="U180" s="11">
        <f>SUMIFS(TableDailySummary[Ventas google ads],TableDailySummary[Fecha],"&gt;="&amp;TableWeeklySummary[[#This Row],[Desde]],TableDailySummary[Fecha],"&lt;="&amp;TableWeeklySummary[[#This Row],[Hasta]])</f>
        <v>0</v>
      </c>
      <c r="V180" s="11">
        <f>SUMIFS(TableDailySummary[Inversión meta ads],TableDailySummary[Fecha],"&gt;="&amp;TableWeeklySummary[[#This Row],[Desde]],TableDailySummary[Fecha],"&lt;="&amp;TableWeeklySummary[[#This Row],[Hasta]])</f>
        <v>0</v>
      </c>
      <c r="W180" s="11">
        <f>SUMIFS(TableDailySummary[Ventas meta ads],TableDailySummary[Fecha],"&gt;="&amp;TableWeeklySummary[[#This Row],[Desde]],TableDailySummary[Fecha],"&lt;="&amp;TableWeeklySummary[[#This Row],[Hasta]])</f>
        <v>0</v>
      </c>
      <c r="X180" s="11">
        <f>TableWeeklySummary[[#This Row],[Inversión google ads]]+TableWeeklySummary[[#This Row],[Inversión meta ads]]</f>
        <v>0</v>
      </c>
      <c r="Y180" s="11">
        <f>TableWeeklySummary[[#This Row],[Ventas google ads]]+TableWeeklySummary[[#This Row],[Ventas meta ads]]</f>
        <v>0</v>
      </c>
      <c r="Z180" s="14">
        <f>IFERROR(TableWeeklySummary[[#This Row],[Ventas publicidad]]/TableWeeklySummary[[#This Row],[Inversión publicidad]],0)</f>
        <v>0</v>
      </c>
      <c r="AA180" s="14">
        <f>IFERROR(TableWeeklySummary[[#This Row],[Ventas primer cliente]]/TableWeeklySummary[[#This Row],[Inversión publicidad]],0)</f>
        <v>0</v>
      </c>
      <c r="AB180" s="14"/>
      <c r="AC180" s="11"/>
      <c r="AI18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0" s="11">
        <f>SUMIFS(TableDailySummary[Costo de ventas registrado],TableDailySummary[Fecha],"&gt;="&amp;TableWeeklySummary[[#This Row],[Desde]],TableDailySummary[Fecha],"&lt;="&amp;TableWeeklySummary[[#This Row],[Hasta]])</f>
        <v>0</v>
      </c>
      <c r="AK180" s="11">
        <f>SUMIFS(TableDailySummary[Utilidad bruta],TableDailySummary[Fecha],"&gt;="&amp;TableWeeklySummary[[#This Row],[Desde]],TableDailySummary[Fecha],"&lt;="&amp;TableWeeklySummary[[#This Row],[Hasta]])</f>
        <v>0</v>
      </c>
      <c r="AL180" s="18">
        <f>IFERROR(TableWeeklySummary[[#This Row],[Utilidad bruta]]/TableWeeklySummary[[#This Row],[Ventas netas con costo registrado]],0)</f>
        <v>0</v>
      </c>
    </row>
    <row r="181" spans="2:38" x14ac:dyDescent="0.2">
      <c r="B181" s="16">
        <f>_xlfn.ISOWEEKNUM(TableWeeklySummary[[#This Row],[Hasta]])</f>
        <v>14</v>
      </c>
      <c r="C181" s="6">
        <f t="shared" si="4"/>
        <v>45744</v>
      </c>
      <c r="D181" s="6">
        <f>TableWeeklySummary[[#This Row],[Desde]]+7-1</f>
        <v>45750</v>
      </c>
      <c r="E181" s="11">
        <f>SUMIFS(TableDailySummary[Ventas netas totales],TableDailySummary[Fecha],"&gt;="&amp;TableWeeklySummary[[#This Row],[Desde]],TableDailySummary[Fecha],"&lt;="&amp;TableWeeklySummary[[#This Row],[Hasta]])</f>
        <v>0</v>
      </c>
      <c r="F181" s="11">
        <f>SUMIFS(TableDailySummary[Órdenes totales],TableDailySummary[Fecha],"&gt;="&amp;TableWeeklySummary[[#This Row],[Desde]],TableDailySummary[Fecha],"&lt;="&amp;TableWeeklySummary[[#This Row],[Hasta]])</f>
        <v>0</v>
      </c>
      <c r="G181" s="11">
        <f>IFERROR(TableWeeklySummary[[#This Row],[Ventas netas totales]]/TableWeeklySummary[[#This Row],[Órdenes totales]],0)</f>
        <v>0</v>
      </c>
      <c r="H18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81" s="11">
        <f>TableWeeklySummary[[#This Row],[Órden promedio totales]]*TableWeeklySummary[[#This Row],[CR totales]]</f>
        <v>0</v>
      </c>
      <c r="J181" s="11">
        <f>SUMIFS(TableDailySummary[Ventas primer cliente],TableDailySummary[Fecha],"&gt;="&amp;TableWeeklySummary[[#This Row],[Desde]],TableDailySummary[Fecha],"&lt;="&amp;TableWeeklySummary[[#This Row],[Hasta]])</f>
        <v>0</v>
      </c>
      <c r="K181" s="11">
        <f>SUMIFS(TableDailySummary[Órdenes primer cliente],TableDailySummary[Fecha],"&gt;="&amp;TableWeeklySummary[[#This Row],[Desde]],TableDailySummary[Fecha],"&lt;="&amp;TableWeeklySummary[[#This Row],[Hasta]])</f>
        <v>0</v>
      </c>
      <c r="L181" s="11">
        <f>SUMIFS(TableDailySummary[Online Store_net_sales],TableDailySummary[Fecha],"&gt;="&amp;TableWeeklySummary[[#This Row],[Desde]],TableDailySummary[Fecha],"&lt;="&amp;TableWeeklySummary[[#This Row],[Hasta]])</f>
        <v>0</v>
      </c>
      <c r="M181" s="11">
        <f>SUMIFS(TableDailySummary[Online Store_orders],TableDailySummary[Fecha],"&gt;="&amp;TableWeeklySummary[[#This Row],[Desde]],TableDailySummary[Fecha],"&lt;="&amp;TableWeeklySummary[[#This Row],[Hasta]])</f>
        <v>0</v>
      </c>
      <c r="N181" s="11">
        <f>SUMIFS(TableDailySummary[Tienda 81_net_sales],TableDailySummary[Fecha],"&gt;="&amp;TableWeeklySummary[[#This Row],[Desde]],TableDailySummary[Fecha],"&lt;="&amp;TableWeeklySummary[[#This Row],[Hasta]])</f>
        <v>0</v>
      </c>
      <c r="O181" s="11">
        <f>SUMIFS(TableDailySummary[Tienda 81_orders],TableDailySummary[Fecha],"&gt;="&amp;TableWeeklySummary[[#This Row],[Desde]],TableDailySummary[Fecha],"&lt;="&amp;TableWeeklySummary[[#This Row],[Hasta]])</f>
        <v>0</v>
      </c>
      <c r="P181" s="11">
        <f>SUMIFS(TableDailySummary[Rappi_net_sales],TableDailySummary[Fecha],"&gt;="&amp;TableWeeklySummary[[#This Row],[Desde]],TableDailySummary[Fecha],"&lt;="&amp;TableWeeklySummary[[#This Row],[Hasta]])</f>
        <v>0</v>
      </c>
      <c r="Q181" s="11">
        <f>SUMIFS(TableDailySummary[Rappi_orders],TableDailySummary[Fecha],"&gt;="&amp;TableWeeklySummary[[#This Row],[Desde]],TableDailySummary[Fecha],"&lt;="&amp;TableWeeklySummary[[#This Row],[Hasta]])</f>
        <v>0</v>
      </c>
      <c r="R18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1" s="11">
        <f>SUMIFS(TableDailySummary[Corporativo no tienda_orders],TableDailySummary[Fecha],"&gt;="&amp;TableWeeklySummary[[#This Row],[Desde]],TableDailySummary[Fecha],"&lt;="&amp;TableWeeklySummary[[#This Row],[Hasta]])</f>
        <v>0</v>
      </c>
      <c r="T181" s="11">
        <f>SUMIFS(TableDailySummary[Inversión google ads],TableDailySummary[Fecha],"&gt;="&amp;TableWeeklySummary[[#This Row],[Desde]],TableDailySummary[Fecha],"&lt;="&amp;TableWeeklySummary[[#This Row],[Hasta]])</f>
        <v>0</v>
      </c>
      <c r="U181" s="11">
        <f>SUMIFS(TableDailySummary[Ventas google ads],TableDailySummary[Fecha],"&gt;="&amp;TableWeeklySummary[[#This Row],[Desde]],TableDailySummary[Fecha],"&lt;="&amp;TableWeeklySummary[[#This Row],[Hasta]])</f>
        <v>0</v>
      </c>
      <c r="V181" s="11">
        <f>SUMIFS(TableDailySummary[Inversión meta ads],TableDailySummary[Fecha],"&gt;="&amp;TableWeeklySummary[[#This Row],[Desde]],TableDailySummary[Fecha],"&lt;="&amp;TableWeeklySummary[[#This Row],[Hasta]])</f>
        <v>0</v>
      </c>
      <c r="W181" s="11">
        <f>SUMIFS(TableDailySummary[Ventas meta ads],TableDailySummary[Fecha],"&gt;="&amp;TableWeeklySummary[[#This Row],[Desde]],TableDailySummary[Fecha],"&lt;="&amp;TableWeeklySummary[[#This Row],[Hasta]])</f>
        <v>0</v>
      </c>
      <c r="X181" s="11">
        <f>TableWeeklySummary[[#This Row],[Inversión google ads]]+TableWeeklySummary[[#This Row],[Inversión meta ads]]</f>
        <v>0</v>
      </c>
      <c r="Y181" s="11">
        <f>TableWeeklySummary[[#This Row],[Ventas google ads]]+TableWeeklySummary[[#This Row],[Ventas meta ads]]</f>
        <v>0</v>
      </c>
      <c r="Z181" s="14">
        <f>IFERROR(TableWeeklySummary[[#This Row],[Ventas publicidad]]/TableWeeklySummary[[#This Row],[Inversión publicidad]],0)</f>
        <v>0</v>
      </c>
      <c r="AA181" s="14">
        <f>IFERROR(TableWeeklySummary[[#This Row],[Ventas primer cliente]]/TableWeeklySummary[[#This Row],[Inversión publicidad]],0)</f>
        <v>0</v>
      </c>
      <c r="AB181" s="14"/>
      <c r="AC181" s="11"/>
      <c r="AI18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1" s="11">
        <f>SUMIFS(TableDailySummary[Costo de ventas registrado],TableDailySummary[Fecha],"&gt;="&amp;TableWeeklySummary[[#This Row],[Desde]],TableDailySummary[Fecha],"&lt;="&amp;TableWeeklySummary[[#This Row],[Hasta]])</f>
        <v>0</v>
      </c>
      <c r="AK181" s="11">
        <f>SUMIFS(TableDailySummary[Utilidad bruta],TableDailySummary[Fecha],"&gt;="&amp;TableWeeklySummary[[#This Row],[Desde]],TableDailySummary[Fecha],"&lt;="&amp;TableWeeklySummary[[#This Row],[Hasta]])</f>
        <v>0</v>
      </c>
      <c r="AL181" s="18">
        <f>IFERROR(TableWeeklySummary[[#This Row],[Utilidad bruta]]/TableWeeklySummary[[#This Row],[Ventas netas con costo registrado]],0)</f>
        <v>0</v>
      </c>
    </row>
    <row r="182" spans="2:38" x14ac:dyDescent="0.2">
      <c r="B182" s="16">
        <f>_xlfn.ISOWEEKNUM(TableWeeklySummary[[#This Row],[Hasta]])</f>
        <v>15</v>
      </c>
      <c r="C182" s="6">
        <f t="shared" si="4"/>
        <v>45751</v>
      </c>
      <c r="D182" s="6">
        <f>TableWeeklySummary[[#This Row],[Desde]]+7-1</f>
        <v>45757</v>
      </c>
      <c r="E182" s="11">
        <f>SUMIFS(TableDailySummary[Ventas netas totales],TableDailySummary[Fecha],"&gt;="&amp;TableWeeklySummary[[#This Row],[Desde]],TableDailySummary[Fecha],"&lt;="&amp;TableWeeklySummary[[#This Row],[Hasta]])</f>
        <v>0</v>
      </c>
      <c r="F182" s="11">
        <f>SUMIFS(TableDailySummary[Órdenes totales],TableDailySummary[Fecha],"&gt;="&amp;TableWeeklySummary[[#This Row],[Desde]],TableDailySummary[Fecha],"&lt;="&amp;TableWeeklySummary[[#This Row],[Hasta]])</f>
        <v>0</v>
      </c>
      <c r="G182" s="11">
        <f>IFERROR(TableWeeklySummary[[#This Row],[Ventas netas totales]]/TableWeeklySummary[[#This Row],[Órdenes totales]],0)</f>
        <v>0</v>
      </c>
      <c r="H18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82" s="11">
        <f>TableWeeklySummary[[#This Row],[Órden promedio totales]]*TableWeeklySummary[[#This Row],[CR totales]]</f>
        <v>0</v>
      </c>
      <c r="J182" s="11">
        <f>SUMIFS(TableDailySummary[Ventas primer cliente],TableDailySummary[Fecha],"&gt;="&amp;TableWeeklySummary[[#This Row],[Desde]],TableDailySummary[Fecha],"&lt;="&amp;TableWeeklySummary[[#This Row],[Hasta]])</f>
        <v>0</v>
      </c>
      <c r="K182" s="11">
        <f>SUMIFS(TableDailySummary[Órdenes primer cliente],TableDailySummary[Fecha],"&gt;="&amp;TableWeeklySummary[[#This Row],[Desde]],TableDailySummary[Fecha],"&lt;="&amp;TableWeeklySummary[[#This Row],[Hasta]])</f>
        <v>0</v>
      </c>
      <c r="L182" s="11">
        <f>SUMIFS(TableDailySummary[Online Store_net_sales],TableDailySummary[Fecha],"&gt;="&amp;TableWeeklySummary[[#This Row],[Desde]],TableDailySummary[Fecha],"&lt;="&amp;TableWeeklySummary[[#This Row],[Hasta]])</f>
        <v>0</v>
      </c>
      <c r="M182" s="11">
        <f>SUMIFS(TableDailySummary[Online Store_orders],TableDailySummary[Fecha],"&gt;="&amp;TableWeeklySummary[[#This Row],[Desde]],TableDailySummary[Fecha],"&lt;="&amp;TableWeeklySummary[[#This Row],[Hasta]])</f>
        <v>0</v>
      </c>
      <c r="N182" s="11">
        <f>SUMIFS(TableDailySummary[Tienda 81_net_sales],TableDailySummary[Fecha],"&gt;="&amp;TableWeeklySummary[[#This Row],[Desde]],TableDailySummary[Fecha],"&lt;="&amp;TableWeeklySummary[[#This Row],[Hasta]])</f>
        <v>0</v>
      </c>
      <c r="O182" s="11">
        <f>SUMIFS(TableDailySummary[Tienda 81_orders],TableDailySummary[Fecha],"&gt;="&amp;TableWeeklySummary[[#This Row],[Desde]],TableDailySummary[Fecha],"&lt;="&amp;TableWeeklySummary[[#This Row],[Hasta]])</f>
        <v>0</v>
      </c>
      <c r="P182" s="11">
        <f>SUMIFS(TableDailySummary[Rappi_net_sales],TableDailySummary[Fecha],"&gt;="&amp;TableWeeklySummary[[#This Row],[Desde]],TableDailySummary[Fecha],"&lt;="&amp;TableWeeklySummary[[#This Row],[Hasta]])</f>
        <v>0</v>
      </c>
      <c r="Q182" s="11">
        <f>SUMIFS(TableDailySummary[Rappi_orders],TableDailySummary[Fecha],"&gt;="&amp;TableWeeklySummary[[#This Row],[Desde]],TableDailySummary[Fecha],"&lt;="&amp;TableWeeklySummary[[#This Row],[Hasta]])</f>
        <v>0</v>
      </c>
      <c r="R18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2" s="11">
        <f>SUMIFS(TableDailySummary[Corporativo no tienda_orders],TableDailySummary[Fecha],"&gt;="&amp;TableWeeklySummary[[#This Row],[Desde]],TableDailySummary[Fecha],"&lt;="&amp;TableWeeklySummary[[#This Row],[Hasta]])</f>
        <v>0</v>
      </c>
      <c r="T182" s="11">
        <f>SUMIFS(TableDailySummary[Inversión google ads],TableDailySummary[Fecha],"&gt;="&amp;TableWeeklySummary[[#This Row],[Desde]],TableDailySummary[Fecha],"&lt;="&amp;TableWeeklySummary[[#This Row],[Hasta]])</f>
        <v>0</v>
      </c>
      <c r="U182" s="11">
        <f>SUMIFS(TableDailySummary[Ventas google ads],TableDailySummary[Fecha],"&gt;="&amp;TableWeeklySummary[[#This Row],[Desde]],TableDailySummary[Fecha],"&lt;="&amp;TableWeeklySummary[[#This Row],[Hasta]])</f>
        <v>0</v>
      </c>
      <c r="V182" s="11">
        <f>SUMIFS(TableDailySummary[Inversión meta ads],TableDailySummary[Fecha],"&gt;="&amp;TableWeeklySummary[[#This Row],[Desde]],TableDailySummary[Fecha],"&lt;="&amp;TableWeeklySummary[[#This Row],[Hasta]])</f>
        <v>0</v>
      </c>
      <c r="W182" s="11">
        <f>SUMIFS(TableDailySummary[Ventas meta ads],TableDailySummary[Fecha],"&gt;="&amp;TableWeeklySummary[[#This Row],[Desde]],TableDailySummary[Fecha],"&lt;="&amp;TableWeeklySummary[[#This Row],[Hasta]])</f>
        <v>0</v>
      </c>
      <c r="X182" s="11">
        <f>TableWeeklySummary[[#This Row],[Inversión google ads]]+TableWeeklySummary[[#This Row],[Inversión meta ads]]</f>
        <v>0</v>
      </c>
      <c r="Y182" s="11">
        <f>TableWeeklySummary[[#This Row],[Ventas google ads]]+TableWeeklySummary[[#This Row],[Ventas meta ads]]</f>
        <v>0</v>
      </c>
      <c r="Z182" s="14">
        <f>IFERROR(TableWeeklySummary[[#This Row],[Ventas publicidad]]/TableWeeklySummary[[#This Row],[Inversión publicidad]],0)</f>
        <v>0</v>
      </c>
      <c r="AA182" s="14">
        <f>IFERROR(TableWeeklySummary[[#This Row],[Ventas primer cliente]]/TableWeeklySummary[[#This Row],[Inversión publicidad]],0)</f>
        <v>0</v>
      </c>
      <c r="AB182" s="14"/>
      <c r="AC182" s="11"/>
      <c r="AI18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2" s="11">
        <f>SUMIFS(TableDailySummary[Costo de ventas registrado],TableDailySummary[Fecha],"&gt;="&amp;TableWeeklySummary[[#This Row],[Desde]],TableDailySummary[Fecha],"&lt;="&amp;TableWeeklySummary[[#This Row],[Hasta]])</f>
        <v>0</v>
      </c>
      <c r="AK182" s="11">
        <f>SUMIFS(TableDailySummary[Utilidad bruta],TableDailySummary[Fecha],"&gt;="&amp;TableWeeklySummary[[#This Row],[Desde]],TableDailySummary[Fecha],"&lt;="&amp;TableWeeklySummary[[#This Row],[Hasta]])</f>
        <v>0</v>
      </c>
      <c r="AL182" s="18">
        <f>IFERROR(TableWeeklySummary[[#This Row],[Utilidad bruta]]/TableWeeklySummary[[#This Row],[Ventas netas con costo registrado]],0)</f>
        <v>0</v>
      </c>
    </row>
    <row r="183" spans="2:38" x14ac:dyDescent="0.2">
      <c r="B183" s="16">
        <f>_xlfn.ISOWEEKNUM(TableWeeklySummary[[#This Row],[Hasta]])</f>
        <v>16</v>
      </c>
      <c r="C183" s="6">
        <f t="shared" si="4"/>
        <v>45758</v>
      </c>
      <c r="D183" s="6">
        <f>TableWeeklySummary[[#This Row],[Desde]]+7-1</f>
        <v>45764</v>
      </c>
      <c r="E183" s="11">
        <f>SUMIFS(TableDailySummary[Ventas netas totales],TableDailySummary[Fecha],"&gt;="&amp;TableWeeklySummary[[#This Row],[Desde]],TableDailySummary[Fecha],"&lt;="&amp;TableWeeklySummary[[#This Row],[Hasta]])</f>
        <v>0</v>
      </c>
      <c r="F183" s="11">
        <f>SUMIFS(TableDailySummary[Órdenes totales],TableDailySummary[Fecha],"&gt;="&amp;TableWeeklySummary[[#This Row],[Desde]],TableDailySummary[Fecha],"&lt;="&amp;TableWeeklySummary[[#This Row],[Hasta]])</f>
        <v>0</v>
      </c>
      <c r="G183" s="11">
        <f>IFERROR(TableWeeklySummary[[#This Row],[Ventas netas totales]]/TableWeeklySummary[[#This Row],[Órdenes totales]],0)</f>
        <v>0</v>
      </c>
      <c r="H18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83" s="11">
        <f>TableWeeklySummary[[#This Row],[Órden promedio totales]]*TableWeeklySummary[[#This Row],[CR totales]]</f>
        <v>0</v>
      </c>
      <c r="J183" s="11">
        <f>SUMIFS(TableDailySummary[Ventas primer cliente],TableDailySummary[Fecha],"&gt;="&amp;TableWeeklySummary[[#This Row],[Desde]],TableDailySummary[Fecha],"&lt;="&amp;TableWeeklySummary[[#This Row],[Hasta]])</f>
        <v>0</v>
      </c>
      <c r="K183" s="11">
        <f>SUMIFS(TableDailySummary[Órdenes primer cliente],TableDailySummary[Fecha],"&gt;="&amp;TableWeeklySummary[[#This Row],[Desde]],TableDailySummary[Fecha],"&lt;="&amp;TableWeeklySummary[[#This Row],[Hasta]])</f>
        <v>0</v>
      </c>
      <c r="L183" s="11">
        <f>SUMIFS(TableDailySummary[Online Store_net_sales],TableDailySummary[Fecha],"&gt;="&amp;TableWeeklySummary[[#This Row],[Desde]],TableDailySummary[Fecha],"&lt;="&amp;TableWeeklySummary[[#This Row],[Hasta]])</f>
        <v>0</v>
      </c>
      <c r="M183" s="11">
        <f>SUMIFS(TableDailySummary[Online Store_orders],TableDailySummary[Fecha],"&gt;="&amp;TableWeeklySummary[[#This Row],[Desde]],TableDailySummary[Fecha],"&lt;="&amp;TableWeeklySummary[[#This Row],[Hasta]])</f>
        <v>0</v>
      </c>
      <c r="N183" s="11">
        <f>SUMIFS(TableDailySummary[Tienda 81_net_sales],TableDailySummary[Fecha],"&gt;="&amp;TableWeeklySummary[[#This Row],[Desde]],TableDailySummary[Fecha],"&lt;="&amp;TableWeeklySummary[[#This Row],[Hasta]])</f>
        <v>0</v>
      </c>
      <c r="O183" s="11">
        <f>SUMIFS(TableDailySummary[Tienda 81_orders],TableDailySummary[Fecha],"&gt;="&amp;TableWeeklySummary[[#This Row],[Desde]],TableDailySummary[Fecha],"&lt;="&amp;TableWeeklySummary[[#This Row],[Hasta]])</f>
        <v>0</v>
      </c>
      <c r="P183" s="11">
        <f>SUMIFS(TableDailySummary[Rappi_net_sales],TableDailySummary[Fecha],"&gt;="&amp;TableWeeklySummary[[#This Row],[Desde]],TableDailySummary[Fecha],"&lt;="&amp;TableWeeklySummary[[#This Row],[Hasta]])</f>
        <v>0</v>
      </c>
      <c r="Q183" s="11">
        <f>SUMIFS(TableDailySummary[Rappi_orders],TableDailySummary[Fecha],"&gt;="&amp;TableWeeklySummary[[#This Row],[Desde]],TableDailySummary[Fecha],"&lt;="&amp;TableWeeklySummary[[#This Row],[Hasta]])</f>
        <v>0</v>
      </c>
      <c r="R18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3" s="11">
        <f>SUMIFS(TableDailySummary[Corporativo no tienda_orders],TableDailySummary[Fecha],"&gt;="&amp;TableWeeklySummary[[#This Row],[Desde]],TableDailySummary[Fecha],"&lt;="&amp;TableWeeklySummary[[#This Row],[Hasta]])</f>
        <v>0</v>
      </c>
      <c r="T183" s="11">
        <f>SUMIFS(TableDailySummary[Inversión google ads],TableDailySummary[Fecha],"&gt;="&amp;TableWeeklySummary[[#This Row],[Desde]],TableDailySummary[Fecha],"&lt;="&amp;TableWeeklySummary[[#This Row],[Hasta]])</f>
        <v>0</v>
      </c>
      <c r="U183" s="11">
        <f>SUMIFS(TableDailySummary[Ventas google ads],TableDailySummary[Fecha],"&gt;="&amp;TableWeeklySummary[[#This Row],[Desde]],TableDailySummary[Fecha],"&lt;="&amp;TableWeeklySummary[[#This Row],[Hasta]])</f>
        <v>0</v>
      </c>
      <c r="V183" s="11">
        <f>SUMIFS(TableDailySummary[Inversión meta ads],TableDailySummary[Fecha],"&gt;="&amp;TableWeeklySummary[[#This Row],[Desde]],TableDailySummary[Fecha],"&lt;="&amp;TableWeeklySummary[[#This Row],[Hasta]])</f>
        <v>0</v>
      </c>
      <c r="W183" s="11">
        <f>SUMIFS(TableDailySummary[Ventas meta ads],TableDailySummary[Fecha],"&gt;="&amp;TableWeeklySummary[[#This Row],[Desde]],TableDailySummary[Fecha],"&lt;="&amp;TableWeeklySummary[[#This Row],[Hasta]])</f>
        <v>0</v>
      </c>
      <c r="X183" s="11">
        <f>TableWeeklySummary[[#This Row],[Inversión google ads]]+TableWeeklySummary[[#This Row],[Inversión meta ads]]</f>
        <v>0</v>
      </c>
      <c r="Y183" s="11">
        <f>TableWeeklySummary[[#This Row],[Ventas google ads]]+TableWeeklySummary[[#This Row],[Ventas meta ads]]</f>
        <v>0</v>
      </c>
      <c r="Z183" s="14">
        <f>IFERROR(TableWeeklySummary[[#This Row],[Ventas publicidad]]/TableWeeklySummary[[#This Row],[Inversión publicidad]],0)</f>
        <v>0</v>
      </c>
      <c r="AA183" s="14">
        <f>IFERROR(TableWeeklySummary[[#This Row],[Ventas primer cliente]]/TableWeeklySummary[[#This Row],[Inversión publicidad]],0)</f>
        <v>0</v>
      </c>
      <c r="AB183" s="14"/>
      <c r="AC183" s="11"/>
      <c r="AI18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3" s="11">
        <f>SUMIFS(TableDailySummary[Costo de ventas registrado],TableDailySummary[Fecha],"&gt;="&amp;TableWeeklySummary[[#This Row],[Desde]],TableDailySummary[Fecha],"&lt;="&amp;TableWeeklySummary[[#This Row],[Hasta]])</f>
        <v>0</v>
      </c>
      <c r="AK183" s="11">
        <f>SUMIFS(TableDailySummary[Utilidad bruta],TableDailySummary[Fecha],"&gt;="&amp;TableWeeklySummary[[#This Row],[Desde]],TableDailySummary[Fecha],"&lt;="&amp;TableWeeklySummary[[#This Row],[Hasta]])</f>
        <v>0</v>
      </c>
      <c r="AL183" s="18">
        <f>IFERROR(TableWeeklySummary[[#This Row],[Utilidad bruta]]/TableWeeklySummary[[#This Row],[Ventas netas con costo registrado]],0)</f>
        <v>0</v>
      </c>
    </row>
    <row r="184" spans="2:38" x14ac:dyDescent="0.2">
      <c r="B184" s="16">
        <f>_xlfn.ISOWEEKNUM(TableWeeklySummary[[#This Row],[Hasta]])</f>
        <v>17</v>
      </c>
      <c r="C184" s="6">
        <f t="shared" si="4"/>
        <v>45765</v>
      </c>
      <c r="D184" s="6">
        <f>TableWeeklySummary[[#This Row],[Desde]]+7-1</f>
        <v>45771</v>
      </c>
      <c r="E184" s="11">
        <f>SUMIFS(TableDailySummary[Ventas netas totales],TableDailySummary[Fecha],"&gt;="&amp;TableWeeklySummary[[#This Row],[Desde]],TableDailySummary[Fecha],"&lt;="&amp;TableWeeklySummary[[#This Row],[Hasta]])</f>
        <v>0</v>
      </c>
      <c r="F184" s="11">
        <f>SUMIFS(TableDailySummary[Órdenes totales],TableDailySummary[Fecha],"&gt;="&amp;TableWeeklySummary[[#This Row],[Desde]],TableDailySummary[Fecha],"&lt;="&amp;TableWeeklySummary[[#This Row],[Hasta]])</f>
        <v>0</v>
      </c>
      <c r="G184" s="11">
        <f>IFERROR(TableWeeklySummary[[#This Row],[Ventas netas totales]]/TableWeeklySummary[[#This Row],[Órdenes totales]],0)</f>
        <v>0</v>
      </c>
      <c r="H18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184" s="11">
        <f>TableWeeklySummary[[#This Row],[Órden promedio totales]]*TableWeeklySummary[[#This Row],[CR totales]]</f>
        <v>0</v>
      </c>
      <c r="J184" s="11">
        <f>SUMIFS(TableDailySummary[Ventas primer cliente],TableDailySummary[Fecha],"&gt;="&amp;TableWeeklySummary[[#This Row],[Desde]],TableDailySummary[Fecha],"&lt;="&amp;TableWeeklySummary[[#This Row],[Hasta]])</f>
        <v>0</v>
      </c>
      <c r="K184" s="11">
        <f>SUMIFS(TableDailySummary[Órdenes primer cliente],TableDailySummary[Fecha],"&gt;="&amp;TableWeeklySummary[[#This Row],[Desde]],TableDailySummary[Fecha],"&lt;="&amp;TableWeeklySummary[[#This Row],[Hasta]])</f>
        <v>0</v>
      </c>
      <c r="L184" s="11">
        <f>SUMIFS(TableDailySummary[Online Store_net_sales],TableDailySummary[Fecha],"&gt;="&amp;TableWeeklySummary[[#This Row],[Desde]],TableDailySummary[Fecha],"&lt;="&amp;TableWeeklySummary[[#This Row],[Hasta]])</f>
        <v>0</v>
      </c>
      <c r="M184" s="11">
        <f>SUMIFS(TableDailySummary[Online Store_orders],TableDailySummary[Fecha],"&gt;="&amp;TableWeeklySummary[[#This Row],[Desde]],TableDailySummary[Fecha],"&lt;="&amp;TableWeeklySummary[[#This Row],[Hasta]])</f>
        <v>0</v>
      </c>
      <c r="N184" s="11">
        <f>SUMIFS(TableDailySummary[Tienda 81_net_sales],TableDailySummary[Fecha],"&gt;="&amp;TableWeeklySummary[[#This Row],[Desde]],TableDailySummary[Fecha],"&lt;="&amp;TableWeeklySummary[[#This Row],[Hasta]])</f>
        <v>0</v>
      </c>
      <c r="O184" s="11">
        <f>SUMIFS(TableDailySummary[Tienda 81_orders],TableDailySummary[Fecha],"&gt;="&amp;TableWeeklySummary[[#This Row],[Desde]],TableDailySummary[Fecha],"&lt;="&amp;TableWeeklySummary[[#This Row],[Hasta]])</f>
        <v>0</v>
      </c>
      <c r="P184" s="11">
        <f>SUMIFS(TableDailySummary[Rappi_net_sales],TableDailySummary[Fecha],"&gt;="&amp;TableWeeklySummary[[#This Row],[Desde]],TableDailySummary[Fecha],"&lt;="&amp;TableWeeklySummary[[#This Row],[Hasta]])</f>
        <v>0</v>
      </c>
      <c r="Q184" s="11">
        <f>SUMIFS(TableDailySummary[Rappi_orders],TableDailySummary[Fecha],"&gt;="&amp;TableWeeklySummary[[#This Row],[Desde]],TableDailySummary[Fecha],"&lt;="&amp;TableWeeklySummary[[#This Row],[Hasta]])</f>
        <v>0</v>
      </c>
      <c r="R18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4" s="11">
        <f>SUMIFS(TableDailySummary[Corporativo no tienda_orders],TableDailySummary[Fecha],"&gt;="&amp;TableWeeklySummary[[#This Row],[Desde]],TableDailySummary[Fecha],"&lt;="&amp;TableWeeklySummary[[#This Row],[Hasta]])</f>
        <v>0</v>
      </c>
      <c r="T184" s="11">
        <f>SUMIFS(TableDailySummary[Inversión google ads],TableDailySummary[Fecha],"&gt;="&amp;TableWeeklySummary[[#This Row],[Desde]],TableDailySummary[Fecha],"&lt;="&amp;TableWeeklySummary[[#This Row],[Hasta]])</f>
        <v>0</v>
      </c>
      <c r="U184" s="11">
        <f>SUMIFS(TableDailySummary[Ventas google ads],TableDailySummary[Fecha],"&gt;="&amp;TableWeeklySummary[[#This Row],[Desde]],TableDailySummary[Fecha],"&lt;="&amp;TableWeeklySummary[[#This Row],[Hasta]])</f>
        <v>0</v>
      </c>
      <c r="V184" s="11">
        <f>SUMIFS(TableDailySummary[Inversión meta ads],TableDailySummary[Fecha],"&gt;="&amp;TableWeeklySummary[[#This Row],[Desde]],TableDailySummary[Fecha],"&lt;="&amp;TableWeeklySummary[[#This Row],[Hasta]])</f>
        <v>0</v>
      </c>
      <c r="W184" s="11">
        <f>SUMIFS(TableDailySummary[Ventas meta ads],TableDailySummary[Fecha],"&gt;="&amp;TableWeeklySummary[[#This Row],[Desde]],TableDailySummary[Fecha],"&lt;="&amp;TableWeeklySummary[[#This Row],[Hasta]])</f>
        <v>0</v>
      </c>
      <c r="X184" s="11">
        <f>TableWeeklySummary[[#This Row],[Inversión google ads]]+TableWeeklySummary[[#This Row],[Inversión meta ads]]</f>
        <v>0</v>
      </c>
      <c r="Y184" s="11">
        <f>TableWeeklySummary[[#This Row],[Ventas google ads]]+TableWeeklySummary[[#This Row],[Ventas meta ads]]</f>
        <v>0</v>
      </c>
      <c r="Z184" s="14">
        <f>IFERROR(TableWeeklySummary[[#This Row],[Ventas publicidad]]/TableWeeklySummary[[#This Row],[Inversión publicidad]],0)</f>
        <v>0</v>
      </c>
      <c r="AA184" s="14">
        <f>IFERROR(TableWeeklySummary[[#This Row],[Ventas primer cliente]]/TableWeeklySummary[[#This Row],[Inversión publicidad]],0)</f>
        <v>0</v>
      </c>
      <c r="AB184" s="14"/>
      <c r="AC184" s="11"/>
      <c r="AI18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4" s="11">
        <f>SUMIFS(TableDailySummary[Costo de ventas registrado],TableDailySummary[Fecha],"&gt;="&amp;TableWeeklySummary[[#This Row],[Desde]],TableDailySummary[Fecha],"&lt;="&amp;TableWeeklySummary[[#This Row],[Hasta]])</f>
        <v>0</v>
      </c>
      <c r="AK184" s="11">
        <f>SUMIFS(TableDailySummary[Utilidad bruta],TableDailySummary[Fecha],"&gt;="&amp;TableWeeklySummary[[#This Row],[Desde]],TableDailySummary[Fecha],"&lt;="&amp;TableWeeklySummary[[#This Row],[Hasta]])</f>
        <v>0</v>
      </c>
      <c r="AL184" s="18">
        <f>IFERROR(TableWeeklySummary[[#This Row],[Utilidad bruta]]/TableWeeklySummary[[#This Row],[Ventas netas con costo registrado]],0)</f>
        <v>0</v>
      </c>
    </row>
    <row r="185" spans="2:38" x14ac:dyDescent="0.2">
      <c r="B185" s="16">
        <f>_xlfn.ISOWEEKNUM(TableWeeklySummary[[#This Row],[Hasta]])</f>
        <v>18</v>
      </c>
      <c r="C185" s="6">
        <f t="shared" si="4"/>
        <v>45772</v>
      </c>
      <c r="D185" s="6">
        <f>TableWeeklySummary[[#This Row],[Desde]]+7-1</f>
        <v>45778</v>
      </c>
      <c r="E185" s="11">
        <f>SUMIFS(TableDailySummary[Ventas netas totales],TableDailySummary[Fecha],"&gt;="&amp;TableWeeklySummary[[#This Row],[Desde]],TableDailySummary[Fecha],"&lt;="&amp;TableWeeklySummary[[#This Row],[Hasta]])</f>
        <v>0</v>
      </c>
      <c r="F185" s="11">
        <f>SUMIFS(TableDailySummary[Órdenes totales],TableDailySummary[Fecha],"&gt;="&amp;TableWeeklySummary[[#This Row],[Desde]],TableDailySummary[Fecha],"&lt;="&amp;TableWeeklySummary[[#This Row],[Hasta]])</f>
        <v>0</v>
      </c>
      <c r="G185" s="11">
        <f>IFERROR(TableWeeklySummary[[#This Row],[Ventas netas totales]]/TableWeeklySummary[[#This Row],[Órdenes totales]],0)</f>
        <v>0</v>
      </c>
      <c r="H18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1.7857142857142856E-2</v>
      </c>
      <c r="I185" s="11">
        <f>TableWeeklySummary[[#This Row],[Órden promedio totales]]*TableWeeklySummary[[#This Row],[CR totales]]</f>
        <v>0</v>
      </c>
      <c r="J185" s="11">
        <f>SUMIFS(TableDailySummary[Ventas primer cliente],TableDailySummary[Fecha],"&gt;="&amp;TableWeeklySummary[[#This Row],[Desde]],TableDailySummary[Fecha],"&lt;="&amp;TableWeeklySummary[[#This Row],[Hasta]])</f>
        <v>0</v>
      </c>
      <c r="K185" s="11">
        <f>SUMIFS(TableDailySummary[Órdenes primer cliente],TableDailySummary[Fecha],"&gt;="&amp;TableWeeklySummary[[#This Row],[Desde]],TableDailySummary[Fecha],"&lt;="&amp;TableWeeklySummary[[#This Row],[Hasta]])</f>
        <v>0</v>
      </c>
      <c r="L185" s="11">
        <f>SUMIFS(TableDailySummary[Online Store_net_sales],TableDailySummary[Fecha],"&gt;="&amp;TableWeeklySummary[[#This Row],[Desde]],TableDailySummary[Fecha],"&lt;="&amp;TableWeeklySummary[[#This Row],[Hasta]])</f>
        <v>0</v>
      </c>
      <c r="M185" s="11">
        <f>SUMIFS(TableDailySummary[Online Store_orders],TableDailySummary[Fecha],"&gt;="&amp;TableWeeklySummary[[#This Row],[Desde]],TableDailySummary[Fecha],"&lt;="&amp;TableWeeklySummary[[#This Row],[Hasta]])</f>
        <v>0</v>
      </c>
      <c r="N185" s="11">
        <f>SUMIFS(TableDailySummary[Tienda 81_net_sales],TableDailySummary[Fecha],"&gt;="&amp;TableWeeklySummary[[#This Row],[Desde]],TableDailySummary[Fecha],"&lt;="&amp;TableWeeklySummary[[#This Row],[Hasta]])</f>
        <v>0</v>
      </c>
      <c r="O185" s="11">
        <f>SUMIFS(TableDailySummary[Tienda 81_orders],TableDailySummary[Fecha],"&gt;="&amp;TableWeeklySummary[[#This Row],[Desde]],TableDailySummary[Fecha],"&lt;="&amp;TableWeeklySummary[[#This Row],[Hasta]])</f>
        <v>0</v>
      </c>
      <c r="P185" s="11">
        <f>SUMIFS(TableDailySummary[Rappi_net_sales],TableDailySummary[Fecha],"&gt;="&amp;TableWeeklySummary[[#This Row],[Desde]],TableDailySummary[Fecha],"&lt;="&amp;TableWeeklySummary[[#This Row],[Hasta]])</f>
        <v>0</v>
      </c>
      <c r="Q185" s="11">
        <f>SUMIFS(TableDailySummary[Rappi_orders],TableDailySummary[Fecha],"&gt;="&amp;TableWeeklySummary[[#This Row],[Desde]],TableDailySummary[Fecha],"&lt;="&amp;TableWeeklySummary[[#This Row],[Hasta]])</f>
        <v>0</v>
      </c>
      <c r="R18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5" s="11">
        <f>SUMIFS(TableDailySummary[Corporativo no tienda_orders],TableDailySummary[Fecha],"&gt;="&amp;TableWeeklySummary[[#This Row],[Desde]],TableDailySummary[Fecha],"&lt;="&amp;TableWeeklySummary[[#This Row],[Hasta]])</f>
        <v>0</v>
      </c>
      <c r="T185" s="11">
        <f>SUMIFS(TableDailySummary[Inversión google ads],TableDailySummary[Fecha],"&gt;="&amp;TableWeeklySummary[[#This Row],[Desde]],TableDailySummary[Fecha],"&lt;="&amp;TableWeeklySummary[[#This Row],[Hasta]])</f>
        <v>0</v>
      </c>
      <c r="U185" s="11">
        <f>SUMIFS(TableDailySummary[Ventas google ads],TableDailySummary[Fecha],"&gt;="&amp;TableWeeklySummary[[#This Row],[Desde]],TableDailySummary[Fecha],"&lt;="&amp;TableWeeklySummary[[#This Row],[Hasta]])</f>
        <v>0</v>
      </c>
      <c r="V185" s="11">
        <f>SUMIFS(TableDailySummary[Inversión meta ads],TableDailySummary[Fecha],"&gt;="&amp;TableWeeklySummary[[#This Row],[Desde]],TableDailySummary[Fecha],"&lt;="&amp;TableWeeklySummary[[#This Row],[Hasta]])</f>
        <v>0</v>
      </c>
      <c r="W185" s="11">
        <f>SUMIFS(TableDailySummary[Ventas meta ads],TableDailySummary[Fecha],"&gt;="&amp;TableWeeklySummary[[#This Row],[Desde]],TableDailySummary[Fecha],"&lt;="&amp;TableWeeklySummary[[#This Row],[Hasta]])</f>
        <v>0</v>
      </c>
      <c r="X185" s="11">
        <f>TableWeeklySummary[[#This Row],[Inversión google ads]]+TableWeeklySummary[[#This Row],[Inversión meta ads]]</f>
        <v>0</v>
      </c>
      <c r="Y185" s="11">
        <f>TableWeeklySummary[[#This Row],[Ventas google ads]]+TableWeeklySummary[[#This Row],[Ventas meta ads]]</f>
        <v>0</v>
      </c>
      <c r="Z185" s="14">
        <f>IFERROR(TableWeeklySummary[[#This Row],[Ventas publicidad]]/TableWeeklySummary[[#This Row],[Inversión publicidad]],0)</f>
        <v>0</v>
      </c>
      <c r="AA185" s="14">
        <f>IFERROR(TableWeeklySummary[[#This Row],[Ventas primer cliente]]/TableWeeklySummary[[#This Row],[Inversión publicidad]],0)</f>
        <v>0</v>
      </c>
      <c r="AB185" s="14"/>
      <c r="AC185" s="11"/>
      <c r="AI18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5" s="11">
        <f>SUMIFS(TableDailySummary[Costo de ventas registrado],TableDailySummary[Fecha],"&gt;="&amp;TableWeeklySummary[[#This Row],[Desde]],TableDailySummary[Fecha],"&lt;="&amp;TableWeeklySummary[[#This Row],[Hasta]])</f>
        <v>0</v>
      </c>
      <c r="AK185" s="11">
        <f>SUMIFS(TableDailySummary[Utilidad bruta],TableDailySummary[Fecha],"&gt;="&amp;TableWeeklySummary[[#This Row],[Desde]],TableDailySummary[Fecha],"&lt;="&amp;TableWeeklySummary[[#This Row],[Hasta]])</f>
        <v>0</v>
      </c>
      <c r="AL185" s="18">
        <f>IFERROR(TableWeeklySummary[[#This Row],[Utilidad bruta]]/TableWeeklySummary[[#This Row],[Ventas netas con costo registrado]],0)</f>
        <v>0</v>
      </c>
    </row>
    <row r="186" spans="2:38" x14ac:dyDescent="0.2">
      <c r="B186" s="16">
        <f>_xlfn.ISOWEEKNUM(TableWeeklySummary[[#This Row],[Hasta]])</f>
        <v>19</v>
      </c>
      <c r="C186" s="6">
        <f t="shared" si="4"/>
        <v>45779</v>
      </c>
      <c r="D186" s="6">
        <f>TableWeeklySummary[[#This Row],[Desde]]+7-1</f>
        <v>45785</v>
      </c>
      <c r="E186" s="11">
        <f>SUMIFS(TableDailySummary[Ventas netas totales],TableDailySummary[Fecha],"&gt;="&amp;TableWeeklySummary[[#This Row],[Desde]],TableDailySummary[Fecha],"&lt;="&amp;TableWeeklySummary[[#This Row],[Hasta]])</f>
        <v>0</v>
      </c>
      <c r="F186" s="11">
        <f>SUMIFS(TableDailySummary[Órdenes totales],TableDailySummary[Fecha],"&gt;="&amp;TableWeeklySummary[[#This Row],[Desde]],TableDailySummary[Fecha],"&lt;="&amp;TableWeeklySummary[[#This Row],[Hasta]])</f>
        <v>0</v>
      </c>
      <c r="G186" s="11">
        <f>IFERROR(TableWeeklySummary[[#This Row],[Ventas netas totales]]/TableWeeklySummary[[#This Row],[Órdenes totales]],0)</f>
        <v>0</v>
      </c>
      <c r="H18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1.8838789376158124E-2</v>
      </c>
      <c r="I186" s="11">
        <f>TableWeeklySummary[[#This Row],[Órden promedio totales]]*TableWeeklySummary[[#This Row],[CR totales]]</f>
        <v>0</v>
      </c>
      <c r="J186" s="11">
        <f>SUMIFS(TableDailySummary[Ventas primer cliente],TableDailySummary[Fecha],"&gt;="&amp;TableWeeklySummary[[#This Row],[Desde]],TableDailySummary[Fecha],"&lt;="&amp;TableWeeklySummary[[#This Row],[Hasta]])</f>
        <v>0</v>
      </c>
      <c r="K186" s="11">
        <f>SUMIFS(TableDailySummary[Órdenes primer cliente],TableDailySummary[Fecha],"&gt;="&amp;TableWeeklySummary[[#This Row],[Desde]],TableDailySummary[Fecha],"&lt;="&amp;TableWeeklySummary[[#This Row],[Hasta]])</f>
        <v>0</v>
      </c>
      <c r="L186" s="11">
        <f>SUMIFS(TableDailySummary[Online Store_net_sales],TableDailySummary[Fecha],"&gt;="&amp;TableWeeklySummary[[#This Row],[Desde]],TableDailySummary[Fecha],"&lt;="&amp;TableWeeklySummary[[#This Row],[Hasta]])</f>
        <v>0</v>
      </c>
      <c r="M186" s="11">
        <f>SUMIFS(TableDailySummary[Online Store_orders],TableDailySummary[Fecha],"&gt;="&amp;TableWeeklySummary[[#This Row],[Desde]],TableDailySummary[Fecha],"&lt;="&amp;TableWeeklySummary[[#This Row],[Hasta]])</f>
        <v>0</v>
      </c>
      <c r="N186" s="11">
        <f>SUMIFS(TableDailySummary[Tienda 81_net_sales],TableDailySummary[Fecha],"&gt;="&amp;TableWeeklySummary[[#This Row],[Desde]],TableDailySummary[Fecha],"&lt;="&amp;TableWeeklySummary[[#This Row],[Hasta]])</f>
        <v>0</v>
      </c>
      <c r="O186" s="11">
        <f>SUMIFS(TableDailySummary[Tienda 81_orders],TableDailySummary[Fecha],"&gt;="&amp;TableWeeklySummary[[#This Row],[Desde]],TableDailySummary[Fecha],"&lt;="&amp;TableWeeklySummary[[#This Row],[Hasta]])</f>
        <v>0</v>
      </c>
      <c r="P186" s="11">
        <f>SUMIFS(TableDailySummary[Rappi_net_sales],TableDailySummary[Fecha],"&gt;="&amp;TableWeeklySummary[[#This Row],[Desde]],TableDailySummary[Fecha],"&lt;="&amp;TableWeeklySummary[[#This Row],[Hasta]])</f>
        <v>0</v>
      </c>
      <c r="Q186" s="11">
        <f>SUMIFS(TableDailySummary[Rappi_orders],TableDailySummary[Fecha],"&gt;="&amp;TableWeeklySummary[[#This Row],[Desde]],TableDailySummary[Fecha],"&lt;="&amp;TableWeeklySummary[[#This Row],[Hasta]])</f>
        <v>0</v>
      </c>
      <c r="R18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6" s="11">
        <f>SUMIFS(TableDailySummary[Corporativo no tienda_orders],TableDailySummary[Fecha],"&gt;="&amp;TableWeeklySummary[[#This Row],[Desde]],TableDailySummary[Fecha],"&lt;="&amp;TableWeeklySummary[[#This Row],[Hasta]])</f>
        <v>0</v>
      </c>
      <c r="T186" s="11">
        <f>SUMIFS(TableDailySummary[Inversión google ads],TableDailySummary[Fecha],"&gt;="&amp;TableWeeklySummary[[#This Row],[Desde]],TableDailySummary[Fecha],"&lt;="&amp;TableWeeklySummary[[#This Row],[Hasta]])</f>
        <v>0</v>
      </c>
      <c r="U186" s="11">
        <f>SUMIFS(TableDailySummary[Ventas google ads],TableDailySummary[Fecha],"&gt;="&amp;TableWeeklySummary[[#This Row],[Desde]],TableDailySummary[Fecha],"&lt;="&amp;TableWeeklySummary[[#This Row],[Hasta]])</f>
        <v>0</v>
      </c>
      <c r="V186" s="11">
        <f>SUMIFS(TableDailySummary[Inversión meta ads],TableDailySummary[Fecha],"&gt;="&amp;TableWeeklySummary[[#This Row],[Desde]],TableDailySummary[Fecha],"&lt;="&amp;TableWeeklySummary[[#This Row],[Hasta]])</f>
        <v>0</v>
      </c>
      <c r="W186" s="11">
        <f>SUMIFS(TableDailySummary[Ventas meta ads],TableDailySummary[Fecha],"&gt;="&amp;TableWeeklySummary[[#This Row],[Desde]],TableDailySummary[Fecha],"&lt;="&amp;TableWeeklySummary[[#This Row],[Hasta]])</f>
        <v>0</v>
      </c>
      <c r="X186" s="11">
        <f>TableWeeklySummary[[#This Row],[Inversión google ads]]+TableWeeklySummary[[#This Row],[Inversión meta ads]]</f>
        <v>0</v>
      </c>
      <c r="Y186" s="11">
        <f>TableWeeklySummary[[#This Row],[Ventas google ads]]+TableWeeklySummary[[#This Row],[Ventas meta ads]]</f>
        <v>0</v>
      </c>
      <c r="Z186" s="14">
        <f>IFERROR(TableWeeklySummary[[#This Row],[Ventas publicidad]]/TableWeeklySummary[[#This Row],[Inversión publicidad]],0)</f>
        <v>0</v>
      </c>
      <c r="AA186" s="14">
        <f>IFERROR(TableWeeklySummary[[#This Row],[Ventas primer cliente]]/TableWeeklySummary[[#This Row],[Inversión publicidad]],0)</f>
        <v>0</v>
      </c>
      <c r="AB186" s="14"/>
      <c r="AC186" s="11"/>
      <c r="AI18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6" s="11">
        <f>SUMIFS(TableDailySummary[Costo de ventas registrado],TableDailySummary[Fecha],"&gt;="&amp;TableWeeklySummary[[#This Row],[Desde]],TableDailySummary[Fecha],"&lt;="&amp;TableWeeklySummary[[#This Row],[Hasta]])</f>
        <v>0</v>
      </c>
      <c r="AK186" s="11">
        <f>SUMIFS(TableDailySummary[Utilidad bruta],TableDailySummary[Fecha],"&gt;="&amp;TableWeeklySummary[[#This Row],[Desde]],TableDailySummary[Fecha],"&lt;="&amp;TableWeeklySummary[[#This Row],[Hasta]])</f>
        <v>0</v>
      </c>
      <c r="AL186" s="18">
        <f>IFERROR(TableWeeklySummary[[#This Row],[Utilidad bruta]]/TableWeeklySummary[[#This Row],[Ventas netas con costo registrado]],0)</f>
        <v>0</v>
      </c>
    </row>
    <row r="187" spans="2:38" x14ac:dyDescent="0.2">
      <c r="B187" s="16">
        <f>_xlfn.ISOWEEKNUM(TableWeeklySummary[[#This Row],[Hasta]])</f>
        <v>20</v>
      </c>
      <c r="C187" s="6">
        <f t="shared" si="4"/>
        <v>45786</v>
      </c>
      <c r="D187" s="6">
        <f>TableWeeklySummary[[#This Row],[Desde]]+7-1</f>
        <v>45792</v>
      </c>
      <c r="E187" s="11">
        <f>SUMIFS(TableDailySummary[Ventas netas totales],TableDailySummary[Fecha],"&gt;="&amp;TableWeeklySummary[[#This Row],[Desde]],TableDailySummary[Fecha],"&lt;="&amp;TableWeeklySummary[[#This Row],[Hasta]])</f>
        <v>0</v>
      </c>
      <c r="F187" s="11">
        <f>SUMIFS(TableDailySummary[Órdenes totales],TableDailySummary[Fecha],"&gt;="&amp;TableWeeklySummary[[#This Row],[Desde]],TableDailySummary[Fecha],"&lt;="&amp;TableWeeklySummary[[#This Row],[Hasta]])</f>
        <v>0</v>
      </c>
      <c r="G187" s="11">
        <f>IFERROR(TableWeeklySummary[[#This Row],[Ventas netas totales]]/TableWeeklySummary[[#This Row],[Órdenes totales]],0)</f>
        <v>0</v>
      </c>
      <c r="H18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1.6543470608940514E-2</v>
      </c>
      <c r="I187" s="11">
        <f>TableWeeklySummary[[#This Row],[Órden promedio totales]]*TableWeeklySummary[[#This Row],[CR totales]]</f>
        <v>0</v>
      </c>
      <c r="J187" s="11">
        <f>SUMIFS(TableDailySummary[Ventas primer cliente],TableDailySummary[Fecha],"&gt;="&amp;TableWeeklySummary[[#This Row],[Desde]],TableDailySummary[Fecha],"&lt;="&amp;TableWeeklySummary[[#This Row],[Hasta]])</f>
        <v>0</v>
      </c>
      <c r="K187" s="11">
        <f>SUMIFS(TableDailySummary[Órdenes primer cliente],TableDailySummary[Fecha],"&gt;="&amp;TableWeeklySummary[[#This Row],[Desde]],TableDailySummary[Fecha],"&lt;="&amp;TableWeeklySummary[[#This Row],[Hasta]])</f>
        <v>0</v>
      </c>
      <c r="L187" s="11">
        <f>SUMIFS(TableDailySummary[Online Store_net_sales],TableDailySummary[Fecha],"&gt;="&amp;TableWeeklySummary[[#This Row],[Desde]],TableDailySummary[Fecha],"&lt;="&amp;TableWeeklySummary[[#This Row],[Hasta]])</f>
        <v>0</v>
      </c>
      <c r="M187" s="11">
        <f>SUMIFS(TableDailySummary[Online Store_orders],TableDailySummary[Fecha],"&gt;="&amp;TableWeeklySummary[[#This Row],[Desde]],TableDailySummary[Fecha],"&lt;="&amp;TableWeeklySummary[[#This Row],[Hasta]])</f>
        <v>0</v>
      </c>
      <c r="N187" s="11">
        <f>SUMIFS(TableDailySummary[Tienda 81_net_sales],TableDailySummary[Fecha],"&gt;="&amp;TableWeeklySummary[[#This Row],[Desde]],TableDailySummary[Fecha],"&lt;="&amp;TableWeeklySummary[[#This Row],[Hasta]])</f>
        <v>0</v>
      </c>
      <c r="O187" s="11">
        <f>SUMIFS(TableDailySummary[Tienda 81_orders],TableDailySummary[Fecha],"&gt;="&amp;TableWeeklySummary[[#This Row],[Desde]],TableDailySummary[Fecha],"&lt;="&amp;TableWeeklySummary[[#This Row],[Hasta]])</f>
        <v>0</v>
      </c>
      <c r="P187" s="11">
        <f>SUMIFS(TableDailySummary[Rappi_net_sales],TableDailySummary[Fecha],"&gt;="&amp;TableWeeklySummary[[#This Row],[Desde]],TableDailySummary[Fecha],"&lt;="&amp;TableWeeklySummary[[#This Row],[Hasta]])</f>
        <v>0</v>
      </c>
      <c r="Q187" s="11">
        <f>SUMIFS(TableDailySummary[Rappi_orders],TableDailySummary[Fecha],"&gt;="&amp;TableWeeklySummary[[#This Row],[Desde]],TableDailySummary[Fecha],"&lt;="&amp;TableWeeklySummary[[#This Row],[Hasta]])</f>
        <v>0</v>
      </c>
      <c r="R18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7" s="11">
        <f>SUMIFS(TableDailySummary[Corporativo no tienda_orders],TableDailySummary[Fecha],"&gt;="&amp;TableWeeklySummary[[#This Row],[Desde]],TableDailySummary[Fecha],"&lt;="&amp;TableWeeklySummary[[#This Row],[Hasta]])</f>
        <v>0</v>
      </c>
      <c r="T187" s="11">
        <f>SUMIFS(TableDailySummary[Inversión google ads],TableDailySummary[Fecha],"&gt;="&amp;TableWeeklySummary[[#This Row],[Desde]],TableDailySummary[Fecha],"&lt;="&amp;TableWeeklySummary[[#This Row],[Hasta]])</f>
        <v>0</v>
      </c>
      <c r="U187" s="11">
        <f>SUMIFS(TableDailySummary[Ventas google ads],TableDailySummary[Fecha],"&gt;="&amp;TableWeeklySummary[[#This Row],[Desde]],TableDailySummary[Fecha],"&lt;="&amp;TableWeeklySummary[[#This Row],[Hasta]])</f>
        <v>0</v>
      </c>
      <c r="V187" s="11">
        <f>SUMIFS(TableDailySummary[Inversión meta ads],TableDailySummary[Fecha],"&gt;="&amp;TableWeeklySummary[[#This Row],[Desde]],TableDailySummary[Fecha],"&lt;="&amp;TableWeeklySummary[[#This Row],[Hasta]])</f>
        <v>0</v>
      </c>
      <c r="W187" s="11">
        <f>SUMIFS(TableDailySummary[Ventas meta ads],TableDailySummary[Fecha],"&gt;="&amp;TableWeeklySummary[[#This Row],[Desde]],TableDailySummary[Fecha],"&lt;="&amp;TableWeeklySummary[[#This Row],[Hasta]])</f>
        <v>0</v>
      </c>
      <c r="X187" s="11">
        <f>TableWeeklySummary[[#This Row],[Inversión google ads]]+TableWeeklySummary[[#This Row],[Inversión meta ads]]</f>
        <v>0</v>
      </c>
      <c r="Y187" s="11">
        <f>TableWeeklySummary[[#This Row],[Ventas google ads]]+TableWeeklySummary[[#This Row],[Ventas meta ads]]</f>
        <v>0</v>
      </c>
      <c r="Z187" s="14">
        <f>IFERROR(TableWeeklySummary[[#This Row],[Ventas publicidad]]/TableWeeklySummary[[#This Row],[Inversión publicidad]],0)</f>
        <v>0</v>
      </c>
      <c r="AA187" s="14">
        <f>IFERROR(TableWeeklySummary[[#This Row],[Ventas primer cliente]]/TableWeeklySummary[[#This Row],[Inversión publicidad]],0)</f>
        <v>0</v>
      </c>
      <c r="AB187" s="14"/>
      <c r="AC187" s="11"/>
      <c r="AI18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7" s="11">
        <f>SUMIFS(TableDailySummary[Costo de ventas registrado],TableDailySummary[Fecha],"&gt;="&amp;TableWeeklySummary[[#This Row],[Desde]],TableDailySummary[Fecha],"&lt;="&amp;TableWeeklySummary[[#This Row],[Hasta]])</f>
        <v>0</v>
      </c>
      <c r="AK187" s="11">
        <f>SUMIFS(TableDailySummary[Utilidad bruta],TableDailySummary[Fecha],"&gt;="&amp;TableWeeklySummary[[#This Row],[Desde]],TableDailySummary[Fecha],"&lt;="&amp;TableWeeklySummary[[#This Row],[Hasta]])</f>
        <v>0</v>
      </c>
      <c r="AL187" s="18">
        <f>IFERROR(TableWeeklySummary[[#This Row],[Utilidad bruta]]/TableWeeklySummary[[#This Row],[Ventas netas con costo registrado]],0)</f>
        <v>0</v>
      </c>
    </row>
    <row r="188" spans="2:38" x14ac:dyDescent="0.2">
      <c r="B188" s="16">
        <f>_xlfn.ISOWEEKNUM(TableWeeklySummary[[#This Row],[Hasta]])</f>
        <v>21</v>
      </c>
      <c r="C188" s="6">
        <f t="shared" si="4"/>
        <v>45793</v>
      </c>
      <c r="D188" s="6">
        <f>TableWeeklySummary[[#This Row],[Desde]]+7-1</f>
        <v>45799</v>
      </c>
      <c r="E188" s="11">
        <f>SUMIFS(TableDailySummary[Ventas netas totales],TableDailySummary[Fecha],"&gt;="&amp;TableWeeklySummary[[#This Row],[Desde]],TableDailySummary[Fecha],"&lt;="&amp;TableWeeklySummary[[#This Row],[Hasta]])</f>
        <v>0</v>
      </c>
      <c r="F188" s="11">
        <f>SUMIFS(TableDailySummary[Órdenes totales],TableDailySummary[Fecha],"&gt;="&amp;TableWeeklySummary[[#This Row],[Desde]],TableDailySummary[Fecha],"&lt;="&amp;TableWeeklySummary[[#This Row],[Hasta]])</f>
        <v>0</v>
      </c>
      <c r="G188" s="11">
        <f>IFERROR(TableWeeklySummary[[#This Row],[Ventas netas totales]]/TableWeeklySummary[[#This Row],[Órdenes totales]],0)</f>
        <v>0</v>
      </c>
      <c r="H18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1.52766308835673E-2</v>
      </c>
      <c r="I188" s="11">
        <f>TableWeeklySummary[[#This Row],[Órden promedio totales]]*TableWeeklySummary[[#This Row],[CR totales]]</f>
        <v>0</v>
      </c>
      <c r="J188" s="11">
        <f>SUMIFS(TableDailySummary[Ventas primer cliente],TableDailySummary[Fecha],"&gt;="&amp;TableWeeklySummary[[#This Row],[Desde]],TableDailySummary[Fecha],"&lt;="&amp;TableWeeklySummary[[#This Row],[Hasta]])</f>
        <v>0</v>
      </c>
      <c r="K188" s="11">
        <f>SUMIFS(TableDailySummary[Órdenes primer cliente],TableDailySummary[Fecha],"&gt;="&amp;TableWeeklySummary[[#This Row],[Desde]],TableDailySummary[Fecha],"&lt;="&amp;TableWeeklySummary[[#This Row],[Hasta]])</f>
        <v>0</v>
      </c>
      <c r="L188" s="11">
        <f>SUMIFS(TableDailySummary[Online Store_net_sales],TableDailySummary[Fecha],"&gt;="&amp;TableWeeklySummary[[#This Row],[Desde]],TableDailySummary[Fecha],"&lt;="&amp;TableWeeklySummary[[#This Row],[Hasta]])</f>
        <v>0</v>
      </c>
      <c r="M188" s="11">
        <f>SUMIFS(TableDailySummary[Online Store_orders],TableDailySummary[Fecha],"&gt;="&amp;TableWeeklySummary[[#This Row],[Desde]],TableDailySummary[Fecha],"&lt;="&amp;TableWeeklySummary[[#This Row],[Hasta]])</f>
        <v>0</v>
      </c>
      <c r="N188" s="11">
        <f>SUMIFS(TableDailySummary[Tienda 81_net_sales],TableDailySummary[Fecha],"&gt;="&amp;TableWeeklySummary[[#This Row],[Desde]],TableDailySummary[Fecha],"&lt;="&amp;TableWeeklySummary[[#This Row],[Hasta]])</f>
        <v>0</v>
      </c>
      <c r="O188" s="11">
        <f>SUMIFS(TableDailySummary[Tienda 81_orders],TableDailySummary[Fecha],"&gt;="&amp;TableWeeklySummary[[#This Row],[Desde]],TableDailySummary[Fecha],"&lt;="&amp;TableWeeklySummary[[#This Row],[Hasta]])</f>
        <v>0</v>
      </c>
      <c r="P188" s="11">
        <f>SUMIFS(TableDailySummary[Rappi_net_sales],TableDailySummary[Fecha],"&gt;="&amp;TableWeeklySummary[[#This Row],[Desde]],TableDailySummary[Fecha],"&lt;="&amp;TableWeeklySummary[[#This Row],[Hasta]])</f>
        <v>0</v>
      </c>
      <c r="Q188" s="11">
        <f>SUMIFS(TableDailySummary[Rappi_orders],TableDailySummary[Fecha],"&gt;="&amp;TableWeeklySummary[[#This Row],[Desde]],TableDailySummary[Fecha],"&lt;="&amp;TableWeeklySummary[[#This Row],[Hasta]])</f>
        <v>0</v>
      </c>
      <c r="R18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8" s="11">
        <f>SUMIFS(TableDailySummary[Corporativo no tienda_orders],TableDailySummary[Fecha],"&gt;="&amp;TableWeeklySummary[[#This Row],[Desde]],TableDailySummary[Fecha],"&lt;="&amp;TableWeeklySummary[[#This Row],[Hasta]])</f>
        <v>0</v>
      </c>
      <c r="T188" s="11">
        <f>SUMIFS(TableDailySummary[Inversión google ads],TableDailySummary[Fecha],"&gt;="&amp;TableWeeklySummary[[#This Row],[Desde]],TableDailySummary[Fecha],"&lt;="&amp;TableWeeklySummary[[#This Row],[Hasta]])</f>
        <v>0</v>
      </c>
      <c r="U188" s="11">
        <f>SUMIFS(TableDailySummary[Ventas google ads],TableDailySummary[Fecha],"&gt;="&amp;TableWeeklySummary[[#This Row],[Desde]],TableDailySummary[Fecha],"&lt;="&amp;TableWeeklySummary[[#This Row],[Hasta]])</f>
        <v>0</v>
      </c>
      <c r="V188" s="11">
        <f>SUMIFS(TableDailySummary[Inversión meta ads],TableDailySummary[Fecha],"&gt;="&amp;TableWeeklySummary[[#This Row],[Desde]],TableDailySummary[Fecha],"&lt;="&amp;TableWeeklySummary[[#This Row],[Hasta]])</f>
        <v>0</v>
      </c>
      <c r="W188" s="11">
        <f>SUMIFS(TableDailySummary[Ventas meta ads],TableDailySummary[Fecha],"&gt;="&amp;TableWeeklySummary[[#This Row],[Desde]],TableDailySummary[Fecha],"&lt;="&amp;TableWeeklySummary[[#This Row],[Hasta]])</f>
        <v>0</v>
      </c>
      <c r="X188" s="11">
        <f>TableWeeklySummary[[#This Row],[Inversión google ads]]+TableWeeklySummary[[#This Row],[Inversión meta ads]]</f>
        <v>0</v>
      </c>
      <c r="Y188" s="11">
        <f>TableWeeklySummary[[#This Row],[Ventas google ads]]+TableWeeklySummary[[#This Row],[Ventas meta ads]]</f>
        <v>0</v>
      </c>
      <c r="Z188" s="14">
        <f>IFERROR(TableWeeklySummary[[#This Row],[Ventas publicidad]]/TableWeeklySummary[[#This Row],[Inversión publicidad]],0)</f>
        <v>0</v>
      </c>
      <c r="AA188" s="14">
        <f>IFERROR(TableWeeklySummary[[#This Row],[Ventas primer cliente]]/TableWeeklySummary[[#This Row],[Inversión publicidad]],0)</f>
        <v>0</v>
      </c>
      <c r="AB188" s="14"/>
      <c r="AC188" s="11"/>
      <c r="AI18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8" s="11">
        <f>SUMIFS(TableDailySummary[Costo de ventas registrado],TableDailySummary[Fecha],"&gt;="&amp;TableWeeklySummary[[#This Row],[Desde]],TableDailySummary[Fecha],"&lt;="&amp;TableWeeklySummary[[#This Row],[Hasta]])</f>
        <v>0</v>
      </c>
      <c r="AK188" s="11">
        <f>SUMIFS(TableDailySummary[Utilidad bruta],TableDailySummary[Fecha],"&gt;="&amp;TableWeeklySummary[[#This Row],[Desde]],TableDailySummary[Fecha],"&lt;="&amp;TableWeeklySummary[[#This Row],[Hasta]])</f>
        <v>0</v>
      </c>
      <c r="AL188" s="18">
        <f>IFERROR(TableWeeklySummary[[#This Row],[Utilidad bruta]]/TableWeeklySummary[[#This Row],[Ventas netas con costo registrado]],0)</f>
        <v>0</v>
      </c>
    </row>
    <row r="189" spans="2:38" x14ac:dyDescent="0.2">
      <c r="B189" s="16">
        <f>_xlfn.ISOWEEKNUM(TableWeeklySummary[[#This Row],[Hasta]])</f>
        <v>22</v>
      </c>
      <c r="C189" s="6">
        <f t="shared" si="4"/>
        <v>45800</v>
      </c>
      <c r="D189" s="6">
        <f>TableWeeklySummary[[#This Row],[Desde]]+7-1</f>
        <v>45806</v>
      </c>
      <c r="E189" s="11">
        <f>SUMIFS(TableDailySummary[Ventas netas totales],TableDailySummary[Fecha],"&gt;="&amp;TableWeeklySummary[[#This Row],[Desde]],TableDailySummary[Fecha],"&lt;="&amp;TableWeeklySummary[[#This Row],[Hasta]])</f>
        <v>0</v>
      </c>
      <c r="F189" s="11">
        <f>SUMIFS(TableDailySummary[Órdenes totales],TableDailySummary[Fecha],"&gt;="&amp;TableWeeklySummary[[#This Row],[Desde]],TableDailySummary[Fecha],"&lt;="&amp;TableWeeklySummary[[#This Row],[Hasta]])</f>
        <v>0</v>
      </c>
      <c r="G189" s="11">
        <f>IFERROR(TableWeeklySummary[[#This Row],[Ventas netas totales]]/TableWeeklySummary[[#This Row],[Órdenes totales]],0)</f>
        <v>0</v>
      </c>
      <c r="H18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1.442109600329625E-2</v>
      </c>
      <c r="I189" s="11">
        <f>TableWeeklySummary[[#This Row],[Órden promedio totales]]*TableWeeklySummary[[#This Row],[CR totales]]</f>
        <v>0</v>
      </c>
      <c r="J189" s="11">
        <f>SUMIFS(TableDailySummary[Ventas primer cliente],TableDailySummary[Fecha],"&gt;="&amp;TableWeeklySummary[[#This Row],[Desde]],TableDailySummary[Fecha],"&lt;="&amp;TableWeeklySummary[[#This Row],[Hasta]])</f>
        <v>0</v>
      </c>
      <c r="K189" s="11">
        <f>SUMIFS(TableDailySummary[Órdenes primer cliente],TableDailySummary[Fecha],"&gt;="&amp;TableWeeklySummary[[#This Row],[Desde]],TableDailySummary[Fecha],"&lt;="&amp;TableWeeklySummary[[#This Row],[Hasta]])</f>
        <v>0</v>
      </c>
      <c r="L189" s="11">
        <f>SUMIFS(TableDailySummary[Online Store_net_sales],TableDailySummary[Fecha],"&gt;="&amp;TableWeeklySummary[[#This Row],[Desde]],TableDailySummary[Fecha],"&lt;="&amp;TableWeeklySummary[[#This Row],[Hasta]])</f>
        <v>0</v>
      </c>
      <c r="M189" s="11">
        <f>SUMIFS(TableDailySummary[Online Store_orders],TableDailySummary[Fecha],"&gt;="&amp;TableWeeklySummary[[#This Row],[Desde]],TableDailySummary[Fecha],"&lt;="&amp;TableWeeklySummary[[#This Row],[Hasta]])</f>
        <v>0</v>
      </c>
      <c r="N189" s="11">
        <f>SUMIFS(TableDailySummary[Tienda 81_net_sales],TableDailySummary[Fecha],"&gt;="&amp;TableWeeklySummary[[#This Row],[Desde]],TableDailySummary[Fecha],"&lt;="&amp;TableWeeklySummary[[#This Row],[Hasta]])</f>
        <v>0</v>
      </c>
      <c r="O189" s="11">
        <f>SUMIFS(TableDailySummary[Tienda 81_orders],TableDailySummary[Fecha],"&gt;="&amp;TableWeeklySummary[[#This Row],[Desde]],TableDailySummary[Fecha],"&lt;="&amp;TableWeeklySummary[[#This Row],[Hasta]])</f>
        <v>0</v>
      </c>
      <c r="P189" s="11">
        <f>SUMIFS(TableDailySummary[Rappi_net_sales],TableDailySummary[Fecha],"&gt;="&amp;TableWeeklySummary[[#This Row],[Desde]],TableDailySummary[Fecha],"&lt;="&amp;TableWeeklySummary[[#This Row],[Hasta]])</f>
        <v>0</v>
      </c>
      <c r="Q189" s="11">
        <f>SUMIFS(TableDailySummary[Rappi_orders],TableDailySummary[Fecha],"&gt;="&amp;TableWeeklySummary[[#This Row],[Desde]],TableDailySummary[Fecha],"&lt;="&amp;TableWeeklySummary[[#This Row],[Hasta]])</f>
        <v>0</v>
      </c>
      <c r="R18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89" s="11">
        <f>SUMIFS(TableDailySummary[Corporativo no tienda_orders],TableDailySummary[Fecha],"&gt;="&amp;TableWeeklySummary[[#This Row],[Desde]],TableDailySummary[Fecha],"&lt;="&amp;TableWeeklySummary[[#This Row],[Hasta]])</f>
        <v>0</v>
      </c>
      <c r="T189" s="11">
        <f>SUMIFS(TableDailySummary[Inversión google ads],TableDailySummary[Fecha],"&gt;="&amp;TableWeeklySummary[[#This Row],[Desde]],TableDailySummary[Fecha],"&lt;="&amp;TableWeeklySummary[[#This Row],[Hasta]])</f>
        <v>0</v>
      </c>
      <c r="U189" s="11">
        <f>SUMIFS(TableDailySummary[Ventas google ads],TableDailySummary[Fecha],"&gt;="&amp;TableWeeklySummary[[#This Row],[Desde]],TableDailySummary[Fecha],"&lt;="&amp;TableWeeklySummary[[#This Row],[Hasta]])</f>
        <v>0</v>
      </c>
      <c r="V189" s="11">
        <f>SUMIFS(TableDailySummary[Inversión meta ads],TableDailySummary[Fecha],"&gt;="&amp;TableWeeklySummary[[#This Row],[Desde]],TableDailySummary[Fecha],"&lt;="&amp;TableWeeklySummary[[#This Row],[Hasta]])</f>
        <v>0</v>
      </c>
      <c r="W189" s="11">
        <f>SUMIFS(TableDailySummary[Ventas meta ads],TableDailySummary[Fecha],"&gt;="&amp;TableWeeklySummary[[#This Row],[Desde]],TableDailySummary[Fecha],"&lt;="&amp;TableWeeklySummary[[#This Row],[Hasta]])</f>
        <v>0</v>
      </c>
      <c r="X189" s="11">
        <f>TableWeeklySummary[[#This Row],[Inversión google ads]]+TableWeeklySummary[[#This Row],[Inversión meta ads]]</f>
        <v>0</v>
      </c>
      <c r="Y189" s="11">
        <f>TableWeeklySummary[[#This Row],[Ventas google ads]]+TableWeeklySummary[[#This Row],[Ventas meta ads]]</f>
        <v>0</v>
      </c>
      <c r="Z189" s="14">
        <f>IFERROR(TableWeeklySummary[[#This Row],[Ventas publicidad]]/TableWeeklySummary[[#This Row],[Inversión publicidad]],0)</f>
        <v>0</v>
      </c>
      <c r="AA189" s="14">
        <f>IFERROR(TableWeeklySummary[[#This Row],[Ventas primer cliente]]/TableWeeklySummary[[#This Row],[Inversión publicidad]],0)</f>
        <v>0</v>
      </c>
      <c r="AB189" s="14"/>
      <c r="AC189" s="11"/>
      <c r="AI18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89" s="11">
        <f>SUMIFS(TableDailySummary[Costo de ventas registrado],TableDailySummary[Fecha],"&gt;="&amp;TableWeeklySummary[[#This Row],[Desde]],TableDailySummary[Fecha],"&lt;="&amp;TableWeeklySummary[[#This Row],[Hasta]])</f>
        <v>0</v>
      </c>
      <c r="AK189" s="11">
        <f>SUMIFS(TableDailySummary[Utilidad bruta],TableDailySummary[Fecha],"&gt;="&amp;TableWeeklySummary[[#This Row],[Desde]],TableDailySummary[Fecha],"&lt;="&amp;TableWeeklySummary[[#This Row],[Hasta]])</f>
        <v>0</v>
      </c>
      <c r="AL189" s="18">
        <f>IFERROR(TableWeeklySummary[[#This Row],[Utilidad bruta]]/TableWeeklySummary[[#This Row],[Ventas netas con costo registrado]],0)</f>
        <v>0</v>
      </c>
    </row>
    <row r="190" spans="2:38" x14ac:dyDescent="0.2">
      <c r="B190" s="16">
        <f>_xlfn.ISOWEEKNUM(TableWeeklySummary[[#This Row],[Hasta]])</f>
        <v>23</v>
      </c>
      <c r="C190" s="6">
        <f t="shared" si="4"/>
        <v>45807</v>
      </c>
      <c r="D190" s="6">
        <f>TableWeeklySummary[[#This Row],[Desde]]+7-1</f>
        <v>45813</v>
      </c>
      <c r="E190" s="11">
        <f>SUMIFS(TableDailySummary[Ventas netas totales],TableDailySummary[Fecha],"&gt;="&amp;TableWeeklySummary[[#This Row],[Desde]],TableDailySummary[Fecha],"&lt;="&amp;TableWeeklySummary[[#This Row],[Hasta]])</f>
        <v>0</v>
      </c>
      <c r="F190" s="11">
        <f>SUMIFS(TableDailySummary[Órdenes totales],TableDailySummary[Fecha],"&gt;="&amp;TableWeeklySummary[[#This Row],[Desde]],TableDailySummary[Fecha],"&lt;="&amp;TableWeeklySummary[[#This Row],[Hasta]])</f>
        <v>0</v>
      </c>
      <c r="G190" s="11">
        <f>IFERROR(TableWeeklySummary[[#This Row],[Ventas netas totales]]/TableWeeklySummary[[#This Row],[Órdenes totales]],0)</f>
        <v>0</v>
      </c>
      <c r="H19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1.1138958507379559E-2</v>
      </c>
      <c r="I190" s="11">
        <f>TableWeeklySummary[[#This Row],[Órden promedio totales]]*TableWeeklySummary[[#This Row],[CR totales]]</f>
        <v>0</v>
      </c>
      <c r="J190" s="11">
        <f>SUMIFS(TableDailySummary[Ventas primer cliente],TableDailySummary[Fecha],"&gt;="&amp;TableWeeklySummary[[#This Row],[Desde]],TableDailySummary[Fecha],"&lt;="&amp;TableWeeklySummary[[#This Row],[Hasta]])</f>
        <v>0</v>
      </c>
      <c r="K190" s="11">
        <f>SUMIFS(TableDailySummary[Órdenes primer cliente],TableDailySummary[Fecha],"&gt;="&amp;TableWeeklySummary[[#This Row],[Desde]],TableDailySummary[Fecha],"&lt;="&amp;TableWeeklySummary[[#This Row],[Hasta]])</f>
        <v>0</v>
      </c>
      <c r="L190" s="11">
        <f>SUMIFS(TableDailySummary[Online Store_net_sales],TableDailySummary[Fecha],"&gt;="&amp;TableWeeklySummary[[#This Row],[Desde]],TableDailySummary[Fecha],"&lt;="&amp;TableWeeklySummary[[#This Row],[Hasta]])</f>
        <v>0</v>
      </c>
      <c r="M190" s="11">
        <f>SUMIFS(TableDailySummary[Online Store_orders],TableDailySummary[Fecha],"&gt;="&amp;TableWeeklySummary[[#This Row],[Desde]],TableDailySummary[Fecha],"&lt;="&amp;TableWeeklySummary[[#This Row],[Hasta]])</f>
        <v>0</v>
      </c>
      <c r="N190" s="11">
        <f>SUMIFS(TableDailySummary[Tienda 81_net_sales],TableDailySummary[Fecha],"&gt;="&amp;TableWeeklySummary[[#This Row],[Desde]],TableDailySummary[Fecha],"&lt;="&amp;TableWeeklySummary[[#This Row],[Hasta]])</f>
        <v>0</v>
      </c>
      <c r="O190" s="11">
        <f>SUMIFS(TableDailySummary[Tienda 81_orders],TableDailySummary[Fecha],"&gt;="&amp;TableWeeklySummary[[#This Row],[Desde]],TableDailySummary[Fecha],"&lt;="&amp;TableWeeklySummary[[#This Row],[Hasta]])</f>
        <v>0</v>
      </c>
      <c r="P190" s="11">
        <f>SUMIFS(TableDailySummary[Rappi_net_sales],TableDailySummary[Fecha],"&gt;="&amp;TableWeeklySummary[[#This Row],[Desde]],TableDailySummary[Fecha],"&lt;="&amp;TableWeeklySummary[[#This Row],[Hasta]])</f>
        <v>0</v>
      </c>
      <c r="Q190" s="11">
        <f>SUMIFS(TableDailySummary[Rappi_orders],TableDailySummary[Fecha],"&gt;="&amp;TableWeeklySummary[[#This Row],[Desde]],TableDailySummary[Fecha],"&lt;="&amp;TableWeeklySummary[[#This Row],[Hasta]])</f>
        <v>0</v>
      </c>
      <c r="R19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0" s="11">
        <f>SUMIFS(TableDailySummary[Corporativo no tienda_orders],TableDailySummary[Fecha],"&gt;="&amp;TableWeeklySummary[[#This Row],[Desde]],TableDailySummary[Fecha],"&lt;="&amp;TableWeeklySummary[[#This Row],[Hasta]])</f>
        <v>0</v>
      </c>
      <c r="T190" s="11">
        <f>SUMIFS(TableDailySummary[Inversión google ads],TableDailySummary[Fecha],"&gt;="&amp;TableWeeklySummary[[#This Row],[Desde]],TableDailySummary[Fecha],"&lt;="&amp;TableWeeklySummary[[#This Row],[Hasta]])</f>
        <v>0</v>
      </c>
      <c r="U190" s="11">
        <f>SUMIFS(TableDailySummary[Ventas google ads],TableDailySummary[Fecha],"&gt;="&amp;TableWeeklySummary[[#This Row],[Desde]],TableDailySummary[Fecha],"&lt;="&amp;TableWeeklySummary[[#This Row],[Hasta]])</f>
        <v>0</v>
      </c>
      <c r="V190" s="11">
        <f>SUMIFS(TableDailySummary[Inversión meta ads],TableDailySummary[Fecha],"&gt;="&amp;TableWeeklySummary[[#This Row],[Desde]],TableDailySummary[Fecha],"&lt;="&amp;TableWeeklySummary[[#This Row],[Hasta]])</f>
        <v>0</v>
      </c>
      <c r="W190" s="11">
        <f>SUMIFS(TableDailySummary[Ventas meta ads],TableDailySummary[Fecha],"&gt;="&amp;TableWeeklySummary[[#This Row],[Desde]],TableDailySummary[Fecha],"&lt;="&amp;TableWeeklySummary[[#This Row],[Hasta]])</f>
        <v>0</v>
      </c>
      <c r="X190" s="11">
        <f>TableWeeklySummary[[#This Row],[Inversión google ads]]+TableWeeklySummary[[#This Row],[Inversión meta ads]]</f>
        <v>0</v>
      </c>
      <c r="Y190" s="11">
        <f>TableWeeklySummary[[#This Row],[Ventas google ads]]+TableWeeklySummary[[#This Row],[Ventas meta ads]]</f>
        <v>0</v>
      </c>
      <c r="Z190" s="14">
        <f>IFERROR(TableWeeklySummary[[#This Row],[Ventas publicidad]]/TableWeeklySummary[[#This Row],[Inversión publicidad]],0)</f>
        <v>0</v>
      </c>
      <c r="AA190" s="14">
        <f>IFERROR(TableWeeklySummary[[#This Row],[Ventas primer cliente]]/TableWeeklySummary[[#This Row],[Inversión publicidad]],0)</f>
        <v>0</v>
      </c>
      <c r="AB190" s="14"/>
      <c r="AC190" s="11"/>
      <c r="AI19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0" s="11">
        <f>SUMIFS(TableDailySummary[Costo de ventas registrado],TableDailySummary[Fecha],"&gt;="&amp;TableWeeklySummary[[#This Row],[Desde]],TableDailySummary[Fecha],"&lt;="&amp;TableWeeklySummary[[#This Row],[Hasta]])</f>
        <v>0</v>
      </c>
      <c r="AK190" s="11">
        <f>SUMIFS(TableDailySummary[Utilidad bruta],TableDailySummary[Fecha],"&gt;="&amp;TableWeeklySummary[[#This Row],[Desde]],TableDailySummary[Fecha],"&lt;="&amp;TableWeeklySummary[[#This Row],[Hasta]])</f>
        <v>0</v>
      </c>
      <c r="AL190" s="18">
        <f>IFERROR(TableWeeklySummary[[#This Row],[Utilidad bruta]]/TableWeeklySummary[[#This Row],[Ventas netas con costo registrado]],0)</f>
        <v>0</v>
      </c>
    </row>
    <row r="191" spans="2:38" x14ac:dyDescent="0.2">
      <c r="B191" s="16">
        <f>_xlfn.ISOWEEKNUM(TableWeeklySummary[[#This Row],[Hasta]])</f>
        <v>24</v>
      </c>
      <c r="C191" s="6">
        <f t="shared" si="4"/>
        <v>45814</v>
      </c>
      <c r="D191" s="6">
        <f>TableWeeklySummary[[#This Row],[Desde]]+7-1</f>
        <v>45820</v>
      </c>
      <c r="E191" s="11">
        <f>SUMIFS(TableDailySummary[Ventas netas totales],TableDailySummary[Fecha],"&gt;="&amp;TableWeeklySummary[[#This Row],[Desde]],TableDailySummary[Fecha],"&lt;="&amp;TableWeeklySummary[[#This Row],[Hasta]])</f>
        <v>0</v>
      </c>
      <c r="F191" s="11">
        <f>SUMIFS(TableDailySummary[Órdenes totales],TableDailySummary[Fecha],"&gt;="&amp;TableWeeklySummary[[#This Row],[Desde]],TableDailySummary[Fecha],"&lt;="&amp;TableWeeklySummary[[#This Row],[Hasta]])</f>
        <v>0</v>
      </c>
      <c r="G191" s="11">
        <f>IFERROR(TableWeeklySummary[[#This Row],[Ventas netas totales]]/TableWeeklySummary[[#This Row],[Órdenes totales]],0)</f>
        <v>0</v>
      </c>
      <c r="H19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1.2052877138413685E-2</v>
      </c>
      <c r="I191" s="11">
        <f>TableWeeklySummary[[#This Row],[Órden promedio totales]]*TableWeeklySummary[[#This Row],[CR totales]]</f>
        <v>0</v>
      </c>
      <c r="J191" s="11">
        <f>SUMIFS(TableDailySummary[Ventas primer cliente],TableDailySummary[Fecha],"&gt;="&amp;TableWeeklySummary[[#This Row],[Desde]],TableDailySummary[Fecha],"&lt;="&amp;TableWeeklySummary[[#This Row],[Hasta]])</f>
        <v>0</v>
      </c>
      <c r="K191" s="11">
        <f>SUMIFS(TableDailySummary[Órdenes primer cliente],TableDailySummary[Fecha],"&gt;="&amp;TableWeeklySummary[[#This Row],[Desde]],TableDailySummary[Fecha],"&lt;="&amp;TableWeeklySummary[[#This Row],[Hasta]])</f>
        <v>0</v>
      </c>
      <c r="L191" s="11">
        <f>SUMIFS(TableDailySummary[Online Store_net_sales],TableDailySummary[Fecha],"&gt;="&amp;TableWeeklySummary[[#This Row],[Desde]],TableDailySummary[Fecha],"&lt;="&amp;TableWeeklySummary[[#This Row],[Hasta]])</f>
        <v>0</v>
      </c>
      <c r="M191" s="11">
        <f>SUMIFS(TableDailySummary[Online Store_orders],TableDailySummary[Fecha],"&gt;="&amp;TableWeeklySummary[[#This Row],[Desde]],TableDailySummary[Fecha],"&lt;="&amp;TableWeeklySummary[[#This Row],[Hasta]])</f>
        <v>0</v>
      </c>
      <c r="N191" s="11">
        <f>SUMIFS(TableDailySummary[Tienda 81_net_sales],TableDailySummary[Fecha],"&gt;="&amp;TableWeeklySummary[[#This Row],[Desde]],TableDailySummary[Fecha],"&lt;="&amp;TableWeeklySummary[[#This Row],[Hasta]])</f>
        <v>0</v>
      </c>
      <c r="O191" s="11">
        <f>SUMIFS(TableDailySummary[Tienda 81_orders],TableDailySummary[Fecha],"&gt;="&amp;TableWeeklySummary[[#This Row],[Desde]],TableDailySummary[Fecha],"&lt;="&amp;TableWeeklySummary[[#This Row],[Hasta]])</f>
        <v>0</v>
      </c>
      <c r="P191" s="11">
        <f>SUMIFS(TableDailySummary[Rappi_net_sales],TableDailySummary[Fecha],"&gt;="&amp;TableWeeklySummary[[#This Row],[Desde]],TableDailySummary[Fecha],"&lt;="&amp;TableWeeklySummary[[#This Row],[Hasta]])</f>
        <v>0</v>
      </c>
      <c r="Q191" s="11">
        <f>SUMIFS(TableDailySummary[Rappi_orders],TableDailySummary[Fecha],"&gt;="&amp;TableWeeklySummary[[#This Row],[Desde]],TableDailySummary[Fecha],"&lt;="&amp;TableWeeklySummary[[#This Row],[Hasta]])</f>
        <v>0</v>
      </c>
      <c r="R19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1" s="11">
        <f>SUMIFS(TableDailySummary[Corporativo no tienda_orders],TableDailySummary[Fecha],"&gt;="&amp;TableWeeklySummary[[#This Row],[Desde]],TableDailySummary[Fecha],"&lt;="&amp;TableWeeklySummary[[#This Row],[Hasta]])</f>
        <v>0</v>
      </c>
      <c r="T191" s="11">
        <f>SUMIFS(TableDailySummary[Inversión google ads],TableDailySummary[Fecha],"&gt;="&amp;TableWeeklySummary[[#This Row],[Desde]],TableDailySummary[Fecha],"&lt;="&amp;TableWeeklySummary[[#This Row],[Hasta]])</f>
        <v>0</v>
      </c>
      <c r="U191" s="11">
        <f>SUMIFS(TableDailySummary[Ventas google ads],TableDailySummary[Fecha],"&gt;="&amp;TableWeeklySummary[[#This Row],[Desde]],TableDailySummary[Fecha],"&lt;="&amp;TableWeeklySummary[[#This Row],[Hasta]])</f>
        <v>0</v>
      </c>
      <c r="V191" s="11">
        <f>SUMIFS(TableDailySummary[Inversión meta ads],TableDailySummary[Fecha],"&gt;="&amp;TableWeeklySummary[[#This Row],[Desde]],TableDailySummary[Fecha],"&lt;="&amp;TableWeeklySummary[[#This Row],[Hasta]])</f>
        <v>0</v>
      </c>
      <c r="W191" s="11">
        <f>SUMIFS(TableDailySummary[Ventas meta ads],TableDailySummary[Fecha],"&gt;="&amp;TableWeeklySummary[[#This Row],[Desde]],TableDailySummary[Fecha],"&lt;="&amp;TableWeeklySummary[[#This Row],[Hasta]])</f>
        <v>0</v>
      </c>
      <c r="X191" s="11">
        <f>TableWeeklySummary[[#This Row],[Inversión google ads]]+TableWeeklySummary[[#This Row],[Inversión meta ads]]</f>
        <v>0</v>
      </c>
      <c r="Y191" s="11">
        <f>TableWeeklySummary[[#This Row],[Ventas google ads]]+TableWeeklySummary[[#This Row],[Ventas meta ads]]</f>
        <v>0</v>
      </c>
      <c r="Z191" s="14">
        <f>IFERROR(TableWeeklySummary[[#This Row],[Ventas publicidad]]/TableWeeklySummary[[#This Row],[Inversión publicidad]],0)</f>
        <v>0</v>
      </c>
      <c r="AA191" s="14">
        <f>IFERROR(TableWeeklySummary[[#This Row],[Ventas primer cliente]]/TableWeeklySummary[[#This Row],[Inversión publicidad]],0)</f>
        <v>0</v>
      </c>
      <c r="AB191" s="14"/>
      <c r="AC191" s="11"/>
      <c r="AI19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1" s="11">
        <f>SUMIFS(TableDailySummary[Costo de ventas registrado],TableDailySummary[Fecha],"&gt;="&amp;TableWeeklySummary[[#This Row],[Desde]],TableDailySummary[Fecha],"&lt;="&amp;TableWeeklySummary[[#This Row],[Hasta]])</f>
        <v>0</v>
      </c>
      <c r="AK191" s="11">
        <f>SUMIFS(TableDailySummary[Utilidad bruta],TableDailySummary[Fecha],"&gt;="&amp;TableWeeklySummary[[#This Row],[Desde]],TableDailySummary[Fecha],"&lt;="&amp;TableWeeklySummary[[#This Row],[Hasta]])</f>
        <v>0</v>
      </c>
      <c r="AL191" s="18">
        <f>IFERROR(TableWeeklySummary[[#This Row],[Utilidad bruta]]/TableWeeklySummary[[#This Row],[Ventas netas con costo registrado]],0)</f>
        <v>0</v>
      </c>
    </row>
    <row r="192" spans="2:38" x14ac:dyDescent="0.2">
      <c r="B192" s="16">
        <f>_xlfn.ISOWEEKNUM(TableWeeklySummary[[#This Row],[Hasta]])</f>
        <v>25</v>
      </c>
      <c r="C192" s="6">
        <f t="shared" ref="C192:C255" si="5">_xlfn.LET(
    _xlpm.fechaini, ParamFechaInicioReporte,
    _xlpm.start_friday, IF(WEEKDAY(_xlpm.fechaini, 1) = 6, _xlpm.fechaini, _xlpm.fechaini - MOD(WEEKDAY(_xlpm.fechaini, 1) + 1, 7)),
    IF(ROW()=8, _xlpm.start_friday, C191 + 7)
)</f>
        <v>45821</v>
      </c>
      <c r="D192" s="6">
        <f>TableWeeklySummary[[#This Row],[Desde]]+7-1</f>
        <v>45827</v>
      </c>
      <c r="E192" s="11">
        <f>SUMIFS(TableDailySummary[Ventas netas totales],TableDailySummary[Fecha],"&gt;="&amp;TableWeeklySummary[[#This Row],[Desde]],TableDailySummary[Fecha],"&lt;="&amp;TableWeeklySummary[[#This Row],[Hasta]])</f>
        <v>0</v>
      </c>
      <c r="F192" s="11">
        <f>SUMIFS(TableDailySummary[Órdenes totales],TableDailySummary[Fecha],"&gt;="&amp;TableWeeklySummary[[#This Row],[Desde]],TableDailySummary[Fecha],"&lt;="&amp;TableWeeklySummary[[#This Row],[Hasta]])</f>
        <v>0</v>
      </c>
      <c r="G192" s="11">
        <f>IFERROR(TableWeeklySummary[[#This Row],[Ventas netas totales]]/TableWeeklySummary[[#This Row],[Órdenes totales]],0)</f>
        <v>0</v>
      </c>
      <c r="H19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5.8681394546082153E-3</v>
      </c>
      <c r="I192" s="11">
        <f>TableWeeklySummary[[#This Row],[Órden promedio totales]]*TableWeeklySummary[[#This Row],[CR totales]]</f>
        <v>0</v>
      </c>
      <c r="J192" s="11">
        <f>SUMIFS(TableDailySummary[Ventas primer cliente],TableDailySummary[Fecha],"&gt;="&amp;TableWeeklySummary[[#This Row],[Desde]],TableDailySummary[Fecha],"&lt;="&amp;TableWeeklySummary[[#This Row],[Hasta]])</f>
        <v>0</v>
      </c>
      <c r="K192" s="11">
        <f>SUMIFS(TableDailySummary[Órdenes primer cliente],TableDailySummary[Fecha],"&gt;="&amp;TableWeeklySummary[[#This Row],[Desde]],TableDailySummary[Fecha],"&lt;="&amp;TableWeeklySummary[[#This Row],[Hasta]])</f>
        <v>0</v>
      </c>
      <c r="L192" s="11">
        <f>SUMIFS(TableDailySummary[Online Store_net_sales],TableDailySummary[Fecha],"&gt;="&amp;TableWeeklySummary[[#This Row],[Desde]],TableDailySummary[Fecha],"&lt;="&amp;TableWeeklySummary[[#This Row],[Hasta]])</f>
        <v>0</v>
      </c>
      <c r="M192" s="11">
        <f>SUMIFS(TableDailySummary[Online Store_orders],TableDailySummary[Fecha],"&gt;="&amp;TableWeeklySummary[[#This Row],[Desde]],TableDailySummary[Fecha],"&lt;="&amp;TableWeeklySummary[[#This Row],[Hasta]])</f>
        <v>0</v>
      </c>
      <c r="N192" s="11">
        <f>SUMIFS(TableDailySummary[Tienda 81_net_sales],TableDailySummary[Fecha],"&gt;="&amp;TableWeeklySummary[[#This Row],[Desde]],TableDailySummary[Fecha],"&lt;="&amp;TableWeeklySummary[[#This Row],[Hasta]])</f>
        <v>0</v>
      </c>
      <c r="O192" s="11">
        <f>SUMIFS(TableDailySummary[Tienda 81_orders],TableDailySummary[Fecha],"&gt;="&amp;TableWeeklySummary[[#This Row],[Desde]],TableDailySummary[Fecha],"&lt;="&amp;TableWeeklySummary[[#This Row],[Hasta]])</f>
        <v>0</v>
      </c>
      <c r="P192" s="11">
        <f>SUMIFS(TableDailySummary[Rappi_net_sales],TableDailySummary[Fecha],"&gt;="&amp;TableWeeklySummary[[#This Row],[Desde]],TableDailySummary[Fecha],"&lt;="&amp;TableWeeklySummary[[#This Row],[Hasta]])</f>
        <v>0</v>
      </c>
      <c r="Q192" s="11">
        <f>SUMIFS(TableDailySummary[Rappi_orders],TableDailySummary[Fecha],"&gt;="&amp;TableWeeklySummary[[#This Row],[Desde]],TableDailySummary[Fecha],"&lt;="&amp;TableWeeklySummary[[#This Row],[Hasta]])</f>
        <v>0</v>
      </c>
      <c r="R19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2" s="11">
        <f>SUMIFS(TableDailySummary[Corporativo no tienda_orders],TableDailySummary[Fecha],"&gt;="&amp;TableWeeklySummary[[#This Row],[Desde]],TableDailySummary[Fecha],"&lt;="&amp;TableWeeklySummary[[#This Row],[Hasta]])</f>
        <v>0</v>
      </c>
      <c r="T192" s="11">
        <f>SUMIFS(TableDailySummary[Inversión google ads],TableDailySummary[Fecha],"&gt;="&amp;TableWeeklySummary[[#This Row],[Desde]],TableDailySummary[Fecha],"&lt;="&amp;TableWeeklySummary[[#This Row],[Hasta]])</f>
        <v>0</v>
      </c>
      <c r="U192" s="11">
        <f>SUMIFS(TableDailySummary[Ventas google ads],TableDailySummary[Fecha],"&gt;="&amp;TableWeeklySummary[[#This Row],[Desde]],TableDailySummary[Fecha],"&lt;="&amp;TableWeeklySummary[[#This Row],[Hasta]])</f>
        <v>0</v>
      </c>
      <c r="V192" s="11">
        <f>SUMIFS(TableDailySummary[Inversión meta ads],TableDailySummary[Fecha],"&gt;="&amp;TableWeeklySummary[[#This Row],[Desde]],TableDailySummary[Fecha],"&lt;="&amp;TableWeeklySummary[[#This Row],[Hasta]])</f>
        <v>0</v>
      </c>
      <c r="W192" s="11">
        <f>SUMIFS(TableDailySummary[Ventas meta ads],TableDailySummary[Fecha],"&gt;="&amp;TableWeeklySummary[[#This Row],[Desde]],TableDailySummary[Fecha],"&lt;="&amp;TableWeeklySummary[[#This Row],[Hasta]])</f>
        <v>0</v>
      </c>
      <c r="X192" s="11">
        <f>TableWeeklySummary[[#This Row],[Inversión google ads]]+TableWeeklySummary[[#This Row],[Inversión meta ads]]</f>
        <v>0</v>
      </c>
      <c r="Y192" s="11">
        <f>TableWeeklySummary[[#This Row],[Ventas google ads]]+TableWeeklySummary[[#This Row],[Ventas meta ads]]</f>
        <v>0</v>
      </c>
      <c r="Z192" s="14">
        <f>IFERROR(TableWeeklySummary[[#This Row],[Ventas publicidad]]/TableWeeklySummary[[#This Row],[Inversión publicidad]],0)</f>
        <v>0</v>
      </c>
      <c r="AA192" s="14">
        <f>IFERROR(TableWeeklySummary[[#This Row],[Ventas primer cliente]]/TableWeeklySummary[[#This Row],[Inversión publicidad]],0)</f>
        <v>0</v>
      </c>
      <c r="AB192" s="14"/>
      <c r="AC192" s="11"/>
      <c r="AI19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2" s="11">
        <f>SUMIFS(TableDailySummary[Costo de ventas registrado],TableDailySummary[Fecha],"&gt;="&amp;TableWeeklySummary[[#This Row],[Desde]],TableDailySummary[Fecha],"&lt;="&amp;TableWeeklySummary[[#This Row],[Hasta]])</f>
        <v>0</v>
      </c>
      <c r="AK192" s="11">
        <f>SUMIFS(TableDailySummary[Utilidad bruta],TableDailySummary[Fecha],"&gt;="&amp;TableWeeklySummary[[#This Row],[Desde]],TableDailySummary[Fecha],"&lt;="&amp;TableWeeklySummary[[#This Row],[Hasta]])</f>
        <v>0</v>
      </c>
      <c r="AL192" s="18">
        <f>IFERROR(TableWeeklySummary[[#This Row],[Utilidad bruta]]/TableWeeklySummary[[#This Row],[Ventas netas con costo registrado]],0)</f>
        <v>0</v>
      </c>
    </row>
    <row r="193" spans="2:38" x14ac:dyDescent="0.2">
      <c r="B193" s="16">
        <f>_xlfn.ISOWEEKNUM(TableWeeklySummary[[#This Row],[Hasta]])</f>
        <v>26</v>
      </c>
      <c r="C193" s="6">
        <f t="shared" si="5"/>
        <v>45828</v>
      </c>
      <c r="D193" s="6">
        <f>TableWeeklySummary[[#This Row],[Desde]]+7-1</f>
        <v>45834</v>
      </c>
      <c r="E193" s="11">
        <f>SUMIFS(TableDailySummary[Ventas netas totales],TableDailySummary[Fecha],"&gt;="&amp;TableWeeklySummary[[#This Row],[Desde]],TableDailySummary[Fecha],"&lt;="&amp;TableWeeklySummary[[#This Row],[Hasta]])</f>
        <v>0</v>
      </c>
      <c r="F193" s="11">
        <f>SUMIFS(TableDailySummary[Órdenes totales],TableDailySummary[Fecha],"&gt;="&amp;TableWeeklySummary[[#This Row],[Desde]],TableDailySummary[Fecha],"&lt;="&amp;TableWeeklySummary[[#This Row],[Hasta]])</f>
        <v>0</v>
      </c>
      <c r="G193" s="11">
        <f>IFERROR(TableWeeklySummary[[#This Row],[Ventas netas totales]]/TableWeeklySummary[[#This Row],[Órdenes totales]],0)</f>
        <v>0</v>
      </c>
      <c r="H19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4.6494992846924177E-3</v>
      </c>
      <c r="I193" s="11">
        <f>TableWeeklySummary[[#This Row],[Órden promedio totales]]*TableWeeklySummary[[#This Row],[CR totales]]</f>
        <v>0</v>
      </c>
      <c r="J193" s="11">
        <f>SUMIFS(TableDailySummary[Ventas primer cliente],TableDailySummary[Fecha],"&gt;="&amp;TableWeeklySummary[[#This Row],[Desde]],TableDailySummary[Fecha],"&lt;="&amp;TableWeeklySummary[[#This Row],[Hasta]])</f>
        <v>0</v>
      </c>
      <c r="K193" s="11">
        <f>SUMIFS(TableDailySummary[Órdenes primer cliente],TableDailySummary[Fecha],"&gt;="&amp;TableWeeklySummary[[#This Row],[Desde]],TableDailySummary[Fecha],"&lt;="&amp;TableWeeklySummary[[#This Row],[Hasta]])</f>
        <v>0</v>
      </c>
      <c r="L193" s="11">
        <f>SUMIFS(TableDailySummary[Online Store_net_sales],TableDailySummary[Fecha],"&gt;="&amp;TableWeeklySummary[[#This Row],[Desde]],TableDailySummary[Fecha],"&lt;="&amp;TableWeeklySummary[[#This Row],[Hasta]])</f>
        <v>0</v>
      </c>
      <c r="M193" s="11">
        <f>SUMIFS(TableDailySummary[Online Store_orders],TableDailySummary[Fecha],"&gt;="&amp;TableWeeklySummary[[#This Row],[Desde]],TableDailySummary[Fecha],"&lt;="&amp;TableWeeklySummary[[#This Row],[Hasta]])</f>
        <v>0</v>
      </c>
      <c r="N193" s="11">
        <f>SUMIFS(TableDailySummary[Tienda 81_net_sales],TableDailySummary[Fecha],"&gt;="&amp;TableWeeklySummary[[#This Row],[Desde]],TableDailySummary[Fecha],"&lt;="&amp;TableWeeklySummary[[#This Row],[Hasta]])</f>
        <v>0</v>
      </c>
      <c r="O193" s="11">
        <f>SUMIFS(TableDailySummary[Tienda 81_orders],TableDailySummary[Fecha],"&gt;="&amp;TableWeeklySummary[[#This Row],[Desde]],TableDailySummary[Fecha],"&lt;="&amp;TableWeeklySummary[[#This Row],[Hasta]])</f>
        <v>0</v>
      </c>
      <c r="P193" s="11">
        <f>SUMIFS(TableDailySummary[Rappi_net_sales],TableDailySummary[Fecha],"&gt;="&amp;TableWeeklySummary[[#This Row],[Desde]],TableDailySummary[Fecha],"&lt;="&amp;TableWeeklySummary[[#This Row],[Hasta]])</f>
        <v>0</v>
      </c>
      <c r="Q193" s="11">
        <f>SUMIFS(TableDailySummary[Rappi_orders],TableDailySummary[Fecha],"&gt;="&amp;TableWeeklySummary[[#This Row],[Desde]],TableDailySummary[Fecha],"&lt;="&amp;TableWeeklySummary[[#This Row],[Hasta]])</f>
        <v>0</v>
      </c>
      <c r="R19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3" s="11">
        <f>SUMIFS(TableDailySummary[Corporativo no tienda_orders],TableDailySummary[Fecha],"&gt;="&amp;TableWeeklySummary[[#This Row],[Desde]],TableDailySummary[Fecha],"&lt;="&amp;TableWeeklySummary[[#This Row],[Hasta]])</f>
        <v>0</v>
      </c>
      <c r="T193" s="11">
        <f>SUMIFS(TableDailySummary[Inversión google ads],TableDailySummary[Fecha],"&gt;="&amp;TableWeeklySummary[[#This Row],[Desde]],TableDailySummary[Fecha],"&lt;="&amp;TableWeeklySummary[[#This Row],[Hasta]])</f>
        <v>0</v>
      </c>
      <c r="U193" s="11">
        <f>SUMIFS(TableDailySummary[Ventas google ads],TableDailySummary[Fecha],"&gt;="&amp;TableWeeklySummary[[#This Row],[Desde]],TableDailySummary[Fecha],"&lt;="&amp;TableWeeklySummary[[#This Row],[Hasta]])</f>
        <v>0</v>
      </c>
      <c r="V193" s="11">
        <f>SUMIFS(TableDailySummary[Inversión meta ads],TableDailySummary[Fecha],"&gt;="&amp;TableWeeklySummary[[#This Row],[Desde]],TableDailySummary[Fecha],"&lt;="&amp;TableWeeklySummary[[#This Row],[Hasta]])</f>
        <v>0</v>
      </c>
      <c r="W193" s="11">
        <f>SUMIFS(TableDailySummary[Ventas meta ads],TableDailySummary[Fecha],"&gt;="&amp;TableWeeklySummary[[#This Row],[Desde]],TableDailySummary[Fecha],"&lt;="&amp;TableWeeklySummary[[#This Row],[Hasta]])</f>
        <v>0</v>
      </c>
      <c r="X193" s="11">
        <f>TableWeeklySummary[[#This Row],[Inversión google ads]]+TableWeeklySummary[[#This Row],[Inversión meta ads]]</f>
        <v>0</v>
      </c>
      <c r="Y193" s="11">
        <f>TableWeeklySummary[[#This Row],[Ventas google ads]]+TableWeeklySummary[[#This Row],[Ventas meta ads]]</f>
        <v>0</v>
      </c>
      <c r="Z193" s="14">
        <f>IFERROR(TableWeeklySummary[[#This Row],[Ventas publicidad]]/TableWeeklySummary[[#This Row],[Inversión publicidad]],0)</f>
        <v>0</v>
      </c>
      <c r="AA193" s="14">
        <f>IFERROR(TableWeeklySummary[[#This Row],[Ventas primer cliente]]/TableWeeklySummary[[#This Row],[Inversión publicidad]],0)</f>
        <v>0</v>
      </c>
      <c r="AB193" s="14"/>
      <c r="AC193" s="11"/>
      <c r="AI19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3" s="11">
        <f>SUMIFS(TableDailySummary[Costo de ventas registrado],TableDailySummary[Fecha],"&gt;="&amp;TableWeeklySummary[[#This Row],[Desde]],TableDailySummary[Fecha],"&lt;="&amp;TableWeeklySummary[[#This Row],[Hasta]])</f>
        <v>0</v>
      </c>
      <c r="AK193" s="11">
        <f>SUMIFS(TableDailySummary[Utilidad bruta],TableDailySummary[Fecha],"&gt;="&amp;TableWeeklySummary[[#This Row],[Desde]],TableDailySummary[Fecha],"&lt;="&amp;TableWeeklySummary[[#This Row],[Hasta]])</f>
        <v>0</v>
      </c>
      <c r="AL193" s="18">
        <f>IFERROR(TableWeeklySummary[[#This Row],[Utilidad bruta]]/TableWeeklySummary[[#This Row],[Ventas netas con costo registrado]],0)</f>
        <v>0</v>
      </c>
    </row>
    <row r="194" spans="2:38" x14ac:dyDescent="0.2">
      <c r="B194" s="16">
        <f>_xlfn.ISOWEEKNUM(TableWeeklySummary[[#This Row],[Hasta]])</f>
        <v>27</v>
      </c>
      <c r="C194" s="6">
        <f t="shared" si="5"/>
        <v>45835</v>
      </c>
      <c r="D194" s="6">
        <f>TableWeeklySummary[[#This Row],[Desde]]+7-1</f>
        <v>45841</v>
      </c>
      <c r="E194" s="11">
        <f>SUMIFS(TableDailySummary[Ventas netas totales],TableDailySummary[Fecha],"&gt;="&amp;TableWeeklySummary[[#This Row],[Desde]],TableDailySummary[Fecha],"&lt;="&amp;TableWeeklySummary[[#This Row],[Hasta]])</f>
        <v>0</v>
      </c>
      <c r="F194" s="11">
        <f>SUMIFS(TableDailySummary[Órdenes totales],TableDailySummary[Fecha],"&gt;="&amp;TableWeeklySummary[[#This Row],[Desde]],TableDailySummary[Fecha],"&lt;="&amp;TableWeeklySummary[[#This Row],[Hasta]])</f>
        <v>0</v>
      </c>
      <c r="G194" s="11">
        <f>IFERROR(TableWeeklySummary[[#This Row],[Ventas netas totales]]/TableWeeklySummary[[#This Row],[Órdenes totales]],0)</f>
        <v>0</v>
      </c>
      <c r="H19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3.1499878846619821E-3</v>
      </c>
      <c r="I194" s="11">
        <f>TableWeeklySummary[[#This Row],[Órden promedio totales]]*TableWeeklySummary[[#This Row],[CR totales]]</f>
        <v>0</v>
      </c>
      <c r="J194" s="11">
        <f>SUMIFS(TableDailySummary[Ventas primer cliente],TableDailySummary[Fecha],"&gt;="&amp;TableWeeklySummary[[#This Row],[Desde]],TableDailySummary[Fecha],"&lt;="&amp;TableWeeklySummary[[#This Row],[Hasta]])</f>
        <v>0</v>
      </c>
      <c r="K194" s="11">
        <f>SUMIFS(TableDailySummary[Órdenes primer cliente],TableDailySummary[Fecha],"&gt;="&amp;TableWeeklySummary[[#This Row],[Desde]],TableDailySummary[Fecha],"&lt;="&amp;TableWeeklySummary[[#This Row],[Hasta]])</f>
        <v>0</v>
      </c>
      <c r="L194" s="11">
        <f>SUMIFS(TableDailySummary[Online Store_net_sales],TableDailySummary[Fecha],"&gt;="&amp;TableWeeklySummary[[#This Row],[Desde]],TableDailySummary[Fecha],"&lt;="&amp;TableWeeklySummary[[#This Row],[Hasta]])</f>
        <v>0</v>
      </c>
      <c r="M194" s="11">
        <f>SUMIFS(TableDailySummary[Online Store_orders],TableDailySummary[Fecha],"&gt;="&amp;TableWeeklySummary[[#This Row],[Desde]],TableDailySummary[Fecha],"&lt;="&amp;TableWeeklySummary[[#This Row],[Hasta]])</f>
        <v>0</v>
      </c>
      <c r="N194" s="11">
        <f>SUMIFS(TableDailySummary[Tienda 81_net_sales],TableDailySummary[Fecha],"&gt;="&amp;TableWeeklySummary[[#This Row],[Desde]],TableDailySummary[Fecha],"&lt;="&amp;TableWeeklySummary[[#This Row],[Hasta]])</f>
        <v>0</v>
      </c>
      <c r="O194" s="11">
        <f>SUMIFS(TableDailySummary[Tienda 81_orders],TableDailySummary[Fecha],"&gt;="&amp;TableWeeklySummary[[#This Row],[Desde]],TableDailySummary[Fecha],"&lt;="&amp;TableWeeklySummary[[#This Row],[Hasta]])</f>
        <v>0</v>
      </c>
      <c r="P194" s="11">
        <f>SUMIFS(TableDailySummary[Rappi_net_sales],TableDailySummary[Fecha],"&gt;="&amp;TableWeeklySummary[[#This Row],[Desde]],TableDailySummary[Fecha],"&lt;="&amp;TableWeeklySummary[[#This Row],[Hasta]])</f>
        <v>0</v>
      </c>
      <c r="Q194" s="11">
        <f>SUMIFS(TableDailySummary[Rappi_orders],TableDailySummary[Fecha],"&gt;="&amp;TableWeeklySummary[[#This Row],[Desde]],TableDailySummary[Fecha],"&lt;="&amp;TableWeeklySummary[[#This Row],[Hasta]])</f>
        <v>0</v>
      </c>
      <c r="R19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4" s="11">
        <f>SUMIFS(TableDailySummary[Corporativo no tienda_orders],TableDailySummary[Fecha],"&gt;="&amp;TableWeeklySummary[[#This Row],[Desde]],TableDailySummary[Fecha],"&lt;="&amp;TableWeeklySummary[[#This Row],[Hasta]])</f>
        <v>0</v>
      </c>
      <c r="T194" s="11">
        <f>SUMIFS(TableDailySummary[Inversión google ads],TableDailySummary[Fecha],"&gt;="&amp;TableWeeklySummary[[#This Row],[Desde]],TableDailySummary[Fecha],"&lt;="&amp;TableWeeklySummary[[#This Row],[Hasta]])</f>
        <v>0</v>
      </c>
      <c r="U194" s="11">
        <f>SUMIFS(TableDailySummary[Ventas google ads],TableDailySummary[Fecha],"&gt;="&amp;TableWeeklySummary[[#This Row],[Desde]],TableDailySummary[Fecha],"&lt;="&amp;TableWeeklySummary[[#This Row],[Hasta]])</f>
        <v>0</v>
      </c>
      <c r="V194" s="11">
        <f>SUMIFS(TableDailySummary[Inversión meta ads],TableDailySummary[Fecha],"&gt;="&amp;TableWeeklySummary[[#This Row],[Desde]],TableDailySummary[Fecha],"&lt;="&amp;TableWeeklySummary[[#This Row],[Hasta]])</f>
        <v>0</v>
      </c>
      <c r="W194" s="11">
        <f>SUMIFS(TableDailySummary[Ventas meta ads],TableDailySummary[Fecha],"&gt;="&amp;TableWeeklySummary[[#This Row],[Desde]],TableDailySummary[Fecha],"&lt;="&amp;TableWeeklySummary[[#This Row],[Hasta]])</f>
        <v>0</v>
      </c>
      <c r="X194" s="11">
        <f>TableWeeklySummary[[#This Row],[Inversión google ads]]+TableWeeklySummary[[#This Row],[Inversión meta ads]]</f>
        <v>0</v>
      </c>
      <c r="Y194" s="11">
        <f>TableWeeklySummary[[#This Row],[Ventas google ads]]+TableWeeklySummary[[#This Row],[Ventas meta ads]]</f>
        <v>0</v>
      </c>
      <c r="Z194" s="14">
        <f>IFERROR(TableWeeklySummary[[#This Row],[Ventas publicidad]]/TableWeeklySummary[[#This Row],[Inversión publicidad]],0)</f>
        <v>0</v>
      </c>
      <c r="AA194" s="14">
        <f>IFERROR(TableWeeklySummary[[#This Row],[Ventas primer cliente]]/TableWeeklySummary[[#This Row],[Inversión publicidad]],0)</f>
        <v>0</v>
      </c>
      <c r="AB194" s="14"/>
      <c r="AC194" s="11"/>
      <c r="AI19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4" s="11">
        <f>SUMIFS(TableDailySummary[Costo de ventas registrado],TableDailySummary[Fecha],"&gt;="&amp;TableWeeklySummary[[#This Row],[Desde]],TableDailySummary[Fecha],"&lt;="&amp;TableWeeklySummary[[#This Row],[Hasta]])</f>
        <v>0</v>
      </c>
      <c r="AK194" s="11">
        <f>SUMIFS(TableDailySummary[Utilidad bruta],TableDailySummary[Fecha],"&gt;="&amp;TableWeeklySummary[[#This Row],[Desde]],TableDailySummary[Fecha],"&lt;="&amp;TableWeeklySummary[[#This Row],[Hasta]])</f>
        <v>0</v>
      </c>
      <c r="AL194" s="18">
        <f>IFERROR(TableWeeklySummary[[#This Row],[Utilidad bruta]]/TableWeeklySummary[[#This Row],[Ventas netas con costo registrado]],0)</f>
        <v>0</v>
      </c>
    </row>
    <row r="195" spans="2:38" x14ac:dyDescent="0.2">
      <c r="B195" s="16">
        <f>_xlfn.ISOWEEKNUM(TableWeeklySummary[[#This Row],[Hasta]])</f>
        <v>28</v>
      </c>
      <c r="C195" s="6">
        <f t="shared" si="5"/>
        <v>45842</v>
      </c>
      <c r="D195" s="6">
        <f>TableWeeklySummary[[#This Row],[Desde]]+7-1</f>
        <v>45848</v>
      </c>
      <c r="E195" s="11">
        <f>SUMIFS(TableDailySummary[Ventas netas totales],TableDailySummary[Fecha],"&gt;="&amp;TableWeeklySummary[[#This Row],[Desde]],TableDailySummary[Fecha],"&lt;="&amp;TableWeeklySummary[[#This Row],[Hasta]])</f>
        <v>0</v>
      </c>
      <c r="F195" s="11">
        <f>SUMIFS(TableDailySummary[Órdenes totales],TableDailySummary[Fecha],"&gt;="&amp;TableWeeklySummary[[#This Row],[Desde]],TableDailySummary[Fecha],"&lt;="&amp;TableWeeklySummary[[#This Row],[Hasta]])</f>
        <v>0</v>
      </c>
      <c r="G195" s="11">
        <f>IFERROR(TableWeeklySummary[[#This Row],[Ventas netas totales]]/TableWeeklySummary[[#This Row],[Órdenes totales]],0)</f>
        <v>0</v>
      </c>
      <c r="H19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5.1503572021930552E-3</v>
      </c>
      <c r="I195" s="11">
        <f>TableWeeklySummary[[#This Row],[Órden promedio totales]]*TableWeeklySummary[[#This Row],[CR totales]]</f>
        <v>0</v>
      </c>
      <c r="J195" s="11">
        <f>SUMIFS(TableDailySummary[Ventas primer cliente],TableDailySummary[Fecha],"&gt;="&amp;TableWeeklySummary[[#This Row],[Desde]],TableDailySummary[Fecha],"&lt;="&amp;TableWeeklySummary[[#This Row],[Hasta]])</f>
        <v>0</v>
      </c>
      <c r="K195" s="11">
        <f>SUMIFS(TableDailySummary[Órdenes primer cliente],TableDailySummary[Fecha],"&gt;="&amp;TableWeeklySummary[[#This Row],[Desde]],TableDailySummary[Fecha],"&lt;="&amp;TableWeeklySummary[[#This Row],[Hasta]])</f>
        <v>0</v>
      </c>
      <c r="L195" s="11">
        <f>SUMIFS(TableDailySummary[Online Store_net_sales],TableDailySummary[Fecha],"&gt;="&amp;TableWeeklySummary[[#This Row],[Desde]],TableDailySummary[Fecha],"&lt;="&amp;TableWeeklySummary[[#This Row],[Hasta]])</f>
        <v>0</v>
      </c>
      <c r="M195" s="11">
        <f>SUMIFS(TableDailySummary[Online Store_orders],TableDailySummary[Fecha],"&gt;="&amp;TableWeeklySummary[[#This Row],[Desde]],TableDailySummary[Fecha],"&lt;="&amp;TableWeeklySummary[[#This Row],[Hasta]])</f>
        <v>0</v>
      </c>
      <c r="N195" s="11">
        <f>SUMIFS(TableDailySummary[Tienda 81_net_sales],TableDailySummary[Fecha],"&gt;="&amp;TableWeeklySummary[[#This Row],[Desde]],TableDailySummary[Fecha],"&lt;="&amp;TableWeeklySummary[[#This Row],[Hasta]])</f>
        <v>0</v>
      </c>
      <c r="O195" s="11">
        <f>SUMIFS(TableDailySummary[Tienda 81_orders],TableDailySummary[Fecha],"&gt;="&amp;TableWeeklySummary[[#This Row],[Desde]],TableDailySummary[Fecha],"&lt;="&amp;TableWeeklySummary[[#This Row],[Hasta]])</f>
        <v>0</v>
      </c>
      <c r="P195" s="11">
        <f>SUMIFS(TableDailySummary[Rappi_net_sales],TableDailySummary[Fecha],"&gt;="&amp;TableWeeklySummary[[#This Row],[Desde]],TableDailySummary[Fecha],"&lt;="&amp;TableWeeklySummary[[#This Row],[Hasta]])</f>
        <v>0</v>
      </c>
      <c r="Q195" s="11">
        <f>SUMIFS(TableDailySummary[Rappi_orders],TableDailySummary[Fecha],"&gt;="&amp;TableWeeklySummary[[#This Row],[Desde]],TableDailySummary[Fecha],"&lt;="&amp;TableWeeklySummary[[#This Row],[Hasta]])</f>
        <v>0</v>
      </c>
      <c r="R19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5" s="11">
        <f>SUMIFS(TableDailySummary[Corporativo no tienda_orders],TableDailySummary[Fecha],"&gt;="&amp;TableWeeklySummary[[#This Row],[Desde]],TableDailySummary[Fecha],"&lt;="&amp;TableWeeklySummary[[#This Row],[Hasta]])</f>
        <v>0</v>
      </c>
      <c r="T195" s="11">
        <f>SUMIFS(TableDailySummary[Inversión google ads],TableDailySummary[Fecha],"&gt;="&amp;TableWeeklySummary[[#This Row],[Desde]],TableDailySummary[Fecha],"&lt;="&amp;TableWeeklySummary[[#This Row],[Hasta]])</f>
        <v>0</v>
      </c>
      <c r="U195" s="11">
        <f>SUMIFS(TableDailySummary[Ventas google ads],TableDailySummary[Fecha],"&gt;="&amp;TableWeeklySummary[[#This Row],[Desde]],TableDailySummary[Fecha],"&lt;="&amp;TableWeeklySummary[[#This Row],[Hasta]])</f>
        <v>0</v>
      </c>
      <c r="V195" s="11">
        <f>SUMIFS(TableDailySummary[Inversión meta ads],TableDailySummary[Fecha],"&gt;="&amp;TableWeeklySummary[[#This Row],[Desde]],TableDailySummary[Fecha],"&lt;="&amp;TableWeeklySummary[[#This Row],[Hasta]])</f>
        <v>0</v>
      </c>
      <c r="W195" s="11">
        <f>SUMIFS(TableDailySummary[Ventas meta ads],TableDailySummary[Fecha],"&gt;="&amp;TableWeeklySummary[[#This Row],[Desde]],TableDailySummary[Fecha],"&lt;="&amp;TableWeeklySummary[[#This Row],[Hasta]])</f>
        <v>0</v>
      </c>
      <c r="X195" s="11">
        <f>TableWeeklySummary[[#This Row],[Inversión google ads]]+TableWeeklySummary[[#This Row],[Inversión meta ads]]</f>
        <v>0</v>
      </c>
      <c r="Y195" s="11">
        <f>TableWeeklySummary[[#This Row],[Ventas google ads]]+TableWeeklySummary[[#This Row],[Ventas meta ads]]</f>
        <v>0</v>
      </c>
      <c r="Z195" s="14">
        <f>IFERROR(TableWeeklySummary[[#This Row],[Ventas publicidad]]/TableWeeklySummary[[#This Row],[Inversión publicidad]],0)</f>
        <v>0</v>
      </c>
      <c r="AA195" s="14">
        <f>IFERROR(TableWeeklySummary[[#This Row],[Ventas primer cliente]]/TableWeeklySummary[[#This Row],[Inversión publicidad]],0)</f>
        <v>0</v>
      </c>
      <c r="AB195" s="14"/>
      <c r="AC195" s="11"/>
      <c r="AI19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5" s="11">
        <f>SUMIFS(TableDailySummary[Costo de ventas registrado],TableDailySummary[Fecha],"&gt;="&amp;TableWeeklySummary[[#This Row],[Desde]],TableDailySummary[Fecha],"&lt;="&amp;TableWeeklySummary[[#This Row],[Hasta]])</f>
        <v>0</v>
      </c>
      <c r="AK195" s="11">
        <f>SUMIFS(TableDailySummary[Utilidad bruta],TableDailySummary[Fecha],"&gt;="&amp;TableWeeklySummary[[#This Row],[Desde]],TableDailySummary[Fecha],"&lt;="&amp;TableWeeklySummary[[#This Row],[Hasta]])</f>
        <v>0</v>
      </c>
      <c r="AL195" s="18">
        <f>IFERROR(TableWeeklySummary[[#This Row],[Utilidad bruta]]/TableWeeklySummary[[#This Row],[Ventas netas con costo registrado]],0)</f>
        <v>0</v>
      </c>
    </row>
    <row r="196" spans="2:38" x14ac:dyDescent="0.2">
      <c r="B196" s="16">
        <f>_xlfn.ISOWEEKNUM(TableWeeklySummary[[#This Row],[Hasta]])</f>
        <v>29</v>
      </c>
      <c r="C196" s="6">
        <f t="shared" si="5"/>
        <v>45849</v>
      </c>
      <c r="D196" s="6">
        <f>TableWeeklySummary[[#This Row],[Desde]]+7-1</f>
        <v>45855</v>
      </c>
      <c r="E196" s="11">
        <f>SUMIFS(TableDailySummary[Ventas netas totales],TableDailySummary[Fecha],"&gt;="&amp;TableWeeklySummary[[#This Row],[Desde]],TableDailySummary[Fecha],"&lt;="&amp;TableWeeklySummary[[#This Row],[Hasta]])</f>
        <v>0</v>
      </c>
      <c r="F196" s="11">
        <f>SUMIFS(TableDailySummary[Órdenes totales],TableDailySummary[Fecha],"&gt;="&amp;TableWeeklySummary[[#This Row],[Desde]],TableDailySummary[Fecha],"&lt;="&amp;TableWeeklySummary[[#This Row],[Hasta]])</f>
        <v>0</v>
      </c>
      <c r="G196" s="11">
        <f>IFERROR(TableWeeklySummary[[#This Row],[Ventas netas totales]]/TableWeeklySummary[[#This Row],[Órdenes totales]],0)</f>
        <v>0</v>
      </c>
      <c r="H19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7.0711678832116789E-3</v>
      </c>
      <c r="I196" s="11">
        <f>TableWeeklySummary[[#This Row],[Órden promedio totales]]*TableWeeklySummary[[#This Row],[CR totales]]</f>
        <v>0</v>
      </c>
      <c r="J196" s="11">
        <f>SUMIFS(TableDailySummary[Ventas primer cliente],TableDailySummary[Fecha],"&gt;="&amp;TableWeeklySummary[[#This Row],[Desde]],TableDailySummary[Fecha],"&lt;="&amp;TableWeeklySummary[[#This Row],[Hasta]])</f>
        <v>0</v>
      </c>
      <c r="K196" s="11">
        <f>SUMIFS(TableDailySummary[Órdenes primer cliente],TableDailySummary[Fecha],"&gt;="&amp;TableWeeklySummary[[#This Row],[Desde]],TableDailySummary[Fecha],"&lt;="&amp;TableWeeklySummary[[#This Row],[Hasta]])</f>
        <v>0</v>
      </c>
      <c r="L196" s="11">
        <f>SUMIFS(TableDailySummary[Online Store_net_sales],TableDailySummary[Fecha],"&gt;="&amp;TableWeeklySummary[[#This Row],[Desde]],TableDailySummary[Fecha],"&lt;="&amp;TableWeeklySummary[[#This Row],[Hasta]])</f>
        <v>0</v>
      </c>
      <c r="M196" s="11">
        <f>SUMIFS(TableDailySummary[Online Store_orders],TableDailySummary[Fecha],"&gt;="&amp;TableWeeklySummary[[#This Row],[Desde]],TableDailySummary[Fecha],"&lt;="&amp;TableWeeklySummary[[#This Row],[Hasta]])</f>
        <v>0</v>
      </c>
      <c r="N196" s="11">
        <f>SUMIFS(TableDailySummary[Tienda 81_net_sales],TableDailySummary[Fecha],"&gt;="&amp;TableWeeklySummary[[#This Row],[Desde]],TableDailySummary[Fecha],"&lt;="&amp;TableWeeklySummary[[#This Row],[Hasta]])</f>
        <v>0</v>
      </c>
      <c r="O196" s="11">
        <f>SUMIFS(TableDailySummary[Tienda 81_orders],TableDailySummary[Fecha],"&gt;="&amp;TableWeeklySummary[[#This Row],[Desde]],TableDailySummary[Fecha],"&lt;="&amp;TableWeeklySummary[[#This Row],[Hasta]])</f>
        <v>0</v>
      </c>
      <c r="P196" s="11">
        <f>SUMIFS(TableDailySummary[Rappi_net_sales],TableDailySummary[Fecha],"&gt;="&amp;TableWeeklySummary[[#This Row],[Desde]],TableDailySummary[Fecha],"&lt;="&amp;TableWeeklySummary[[#This Row],[Hasta]])</f>
        <v>0</v>
      </c>
      <c r="Q196" s="11">
        <f>SUMIFS(TableDailySummary[Rappi_orders],TableDailySummary[Fecha],"&gt;="&amp;TableWeeklySummary[[#This Row],[Desde]],TableDailySummary[Fecha],"&lt;="&amp;TableWeeklySummary[[#This Row],[Hasta]])</f>
        <v>0</v>
      </c>
      <c r="R19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6" s="11">
        <f>SUMIFS(TableDailySummary[Corporativo no tienda_orders],TableDailySummary[Fecha],"&gt;="&amp;TableWeeklySummary[[#This Row],[Desde]],TableDailySummary[Fecha],"&lt;="&amp;TableWeeklySummary[[#This Row],[Hasta]])</f>
        <v>0</v>
      </c>
      <c r="T196" s="11">
        <f>SUMIFS(TableDailySummary[Inversión google ads],TableDailySummary[Fecha],"&gt;="&amp;TableWeeklySummary[[#This Row],[Desde]],TableDailySummary[Fecha],"&lt;="&amp;TableWeeklySummary[[#This Row],[Hasta]])</f>
        <v>0</v>
      </c>
      <c r="U196" s="11">
        <f>SUMIFS(TableDailySummary[Ventas google ads],TableDailySummary[Fecha],"&gt;="&amp;TableWeeklySummary[[#This Row],[Desde]],TableDailySummary[Fecha],"&lt;="&amp;TableWeeklySummary[[#This Row],[Hasta]])</f>
        <v>0</v>
      </c>
      <c r="V196" s="11">
        <f>SUMIFS(TableDailySummary[Inversión meta ads],TableDailySummary[Fecha],"&gt;="&amp;TableWeeklySummary[[#This Row],[Desde]],TableDailySummary[Fecha],"&lt;="&amp;TableWeeklySummary[[#This Row],[Hasta]])</f>
        <v>0</v>
      </c>
      <c r="W196" s="11">
        <f>SUMIFS(TableDailySummary[Ventas meta ads],TableDailySummary[Fecha],"&gt;="&amp;TableWeeklySummary[[#This Row],[Desde]],TableDailySummary[Fecha],"&lt;="&amp;TableWeeklySummary[[#This Row],[Hasta]])</f>
        <v>0</v>
      </c>
      <c r="X196" s="11">
        <f>TableWeeklySummary[[#This Row],[Inversión google ads]]+TableWeeklySummary[[#This Row],[Inversión meta ads]]</f>
        <v>0</v>
      </c>
      <c r="Y196" s="11">
        <f>TableWeeklySummary[[#This Row],[Ventas google ads]]+TableWeeklySummary[[#This Row],[Ventas meta ads]]</f>
        <v>0</v>
      </c>
      <c r="Z196" s="14">
        <f>IFERROR(TableWeeklySummary[[#This Row],[Ventas publicidad]]/TableWeeklySummary[[#This Row],[Inversión publicidad]],0)</f>
        <v>0</v>
      </c>
      <c r="AA196" s="14">
        <f>IFERROR(TableWeeklySummary[[#This Row],[Ventas primer cliente]]/TableWeeklySummary[[#This Row],[Inversión publicidad]],0)</f>
        <v>0</v>
      </c>
      <c r="AB196" s="14"/>
      <c r="AC196" s="11"/>
      <c r="AI19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6" s="11">
        <f>SUMIFS(TableDailySummary[Costo de ventas registrado],TableDailySummary[Fecha],"&gt;="&amp;TableWeeklySummary[[#This Row],[Desde]],TableDailySummary[Fecha],"&lt;="&amp;TableWeeklySummary[[#This Row],[Hasta]])</f>
        <v>0</v>
      </c>
      <c r="AK196" s="11">
        <f>SUMIFS(TableDailySummary[Utilidad bruta],TableDailySummary[Fecha],"&gt;="&amp;TableWeeklySummary[[#This Row],[Desde]],TableDailySummary[Fecha],"&lt;="&amp;TableWeeklySummary[[#This Row],[Hasta]])</f>
        <v>0</v>
      </c>
      <c r="AL196" s="18">
        <f>IFERROR(TableWeeklySummary[[#This Row],[Utilidad bruta]]/TableWeeklySummary[[#This Row],[Ventas netas con costo registrado]],0)</f>
        <v>0</v>
      </c>
    </row>
    <row r="197" spans="2:38" x14ac:dyDescent="0.2">
      <c r="B197" s="16">
        <f>_xlfn.ISOWEEKNUM(TableWeeklySummary[[#This Row],[Hasta]])</f>
        <v>30</v>
      </c>
      <c r="C197" s="6">
        <f t="shared" si="5"/>
        <v>45856</v>
      </c>
      <c r="D197" s="6">
        <f>TableWeeklySummary[[#This Row],[Desde]]+7-1</f>
        <v>45862</v>
      </c>
      <c r="E197" s="11">
        <f>SUMIFS(TableDailySummary[Ventas netas totales],TableDailySummary[Fecha],"&gt;="&amp;TableWeeklySummary[[#This Row],[Desde]],TableDailySummary[Fecha],"&lt;="&amp;TableWeeklySummary[[#This Row],[Hasta]])</f>
        <v>0</v>
      </c>
      <c r="F197" s="11">
        <f>SUMIFS(TableDailySummary[Órdenes totales],TableDailySummary[Fecha],"&gt;="&amp;TableWeeklySummary[[#This Row],[Desde]],TableDailySummary[Fecha],"&lt;="&amp;TableWeeklySummary[[#This Row],[Hasta]])</f>
        <v>0</v>
      </c>
      <c r="G197" s="11">
        <f>IFERROR(TableWeeklySummary[[#This Row],[Ventas netas totales]]/TableWeeklySummary[[#This Row],[Órdenes totales]],0)</f>
        <v>0</v>
      </c>
      <c r="H19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1.1113316134153601E-2</v>
      </c>
      <c r="I197" s="11">
        <f>TableWeeklySummary[[#This Row],[Órden promedio totales]]*TableWeeklySummary[[#This Row],[CR totales]]</f>
        <v>0</v>
      </c>
      <c r="J197" s="11">
        <f>SUMIFS(TableDailySummary[Ventas primer cliente],TableDailySummary[Fecha],"&gt;="&amp;TableWeeklySummary[[#This Row],[Desde]],TableDailySummary[Fecha],"&lt;="&amp;TableWeeklySummary[[#This Row],[Hasta]])</f>
        <v>0</v>
      </c>
      <c r="K197" s="11">
        <f>SUMIFS(TableDailySummary[Órdenes primer cliente],TableDailySummary[Fecha],"&gt;="&amp;TableWeeklySummary[[#This Row],[Desde]],TableDailySummary[Fecha],"&lt;="&amp;TableWeeklySummary[[#This Row],[Hasta]])</f>
        <v>0</v>
      </c>
      <c r="L197" s="11">
        <f>SUMIFS(TableDailySummary[Online Store_net_sales],TableDailySummary[Fecha],"&gt;="&amp;TableWeeklySummary[[#This Row],[Desde]],TableDailySummary[Fecha],"&lt;="&amp;TableWeeklySummary[[#This Row],[Hasta]])</f>
        <v>0</v>
      </c>
      <c r="M197" s="11">
        <f>SUMIFS(TableDailySummary[Online Store_orders],TableDailySummary[Fecha],"&gt;="&amp;TableWeeklySummary[[#This Row],[Desde]],TableDailySummary[Fecha],"&lt;="&amp;TableWeeklySummary[[#This Row],[Hasta]])</f>
        <v>0</v>
      </c>
      <c r="N197" s="11">
        <f>SUMIFS(TableDailySummary[Tienda 81_net_sales],TableDailySummary[Fecha],"&gt;="&amp;TableWeeklySummary[[#This Row],[Desde]],TableDailySummary[Fecha],"&lt;="&amp;TableWeeklySummary[[#This Row],[Hasta]])</f>
        <v>0</v>
      </c>
      <c r="O197" s="11">
        <f>SUMIFS(TableDailySummary[Tienda 81_orders],TableDailySummary[Fecha],"&gt;="&amp;TableWeeklySummary[[#This Row],[Desde]],TableDailySummary[Fecha],"&lt;="&amp;TableWeeklySummary[[#This Row],[Hasta]])</f>
        <v>0</v>
      </c>
      <c r="P197" s="11">
        <f>SUMIFS(TableDailySummary[Rappi_net_sales],TableDailySummary[Fecha],"&gt;="&amp;TableWeeklySummary[[#This Row],[Desde]],TableDailySummary[Fecha],"&lt;="&amp;TableWeeklySummary[[#This Row],[Hasta]])</f>
        <v>0</v>
      </c>
      <c r="Q197" s="11">
        <f>SUMIFS(TableDailySummary[Rappi_orders],TableDailySummary[Fecha],"&gt;="&amp;TableWeeklySummary[[#This Row],[Desde]],TableDailySummary[Fecha],"&lt;="&amp;TableWeeklySummary[[#This Row],[Hasta]])</f>
        <v>0</v>
      </c>
      <c r="R19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7" s="11">
        <f>SUMIFS(TableDailySummary[Corporativo no tienda_orders],TableDailySummary[Fecha],"&gt;="&amp;TableWeeklySummary[[#This Row],[Desde]],TableDailySummary[Fecha],"&lt;="&amp;TableWeeklySummary[[#This Row],[Hasta]])</f>
        <v>0</v>
      </c>
      <c r="T197" s="11">
        <f>SUMIFS(TableDailySummary[Inversión google ads],TableDailySummary[Fecha],"&gt;="&amp;TableWeeklySummary[[#This Row],[Desde]],TableDailySummary[Fecha],"&lt;="&amp;TableWeeklySummary[[#This Row],[Hasta]])</f>
        <v>0</v>
      </c>
      <c r="U197" s="11">
        <f>SUMIFS(TableDailySummary[Ventas google ads],TableDailySummary[Fecha],"&gt;="&amp;TableWeeklySummary[[#This Row],[Desde]],TableDailySummary[Fecha],"&lt;="&amp;TableWeeklySummary[[#This Row],[Hasta]])</f>
        <v>0</v>
      </c>
      <c r="V197" s="11">
        <f>SUMIFS(TableDailySummary[Inversión meta ads],TableDailySummary[Fecha],"&gt;="&amp;TableWeeklySummary[[#This Row],[Desde]],TableDailySummary[Fecha],"&lt;="&amp;TableWeeklySummary[[#This Row],[Hasta]])</f>
        <v>0</v>
      </c>
      <c r="W197" s="11">
        <f>SUMIFS(TableDailySummary[Ventas meta ads],TableDailySummary[Fecha],"&gt;="&amp;TableWeeklySummary[[#This Row],[Desde]],TableDailySummary[Fecha],"&lt;="&amp;TableWeeklySummary[[#This Row],[Hasta]])</f>
        <v>0</v>
      </c>
      <c r="X197" s="11">
        <f>TableWeeklySummary[[#This Row],[Inversión google ads]]+TableWeeklySummary[[#This Row],[Inversión meta ads]]</f>
        <v>0</v>
      </c>
      <c r="Y197" s="11">
        <f>TableWeeklySummary[[#This Row],[Ventas google ads]]+TableWeeklySummary[[#This Row],[Ventas meta ads]]</f>
        <v>0</v>
      </c>
      <c r="Z197" s="14">
        <f>IFERROR(TableWeeklySummary[[#This Row],[Ventas publicidad]]/TableWeeklySummary[[#This Row],[Inversión publicidad]],0)</f>
        <v>0</v>
      </c>
      <c r="AA197" s="14">
        <f>IFERROR(TableWeeklySummary[[#This Row],[Ventas primer cliente]]/TableWeeklySummary[[#This Row],[Inversión publicidad]],0)</f>
        <v>0</v>
      </c>
      <c r="AB197" s="14"/>
      <c r="AC197" s="11"/>
      <c r="AI19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7" s="11">
        <f>SUMIFS(TableDailySummary[Costo de ventas registrado],TableDailySummary[Fecha],"&gt;="&amp;TableWeeklySummary[[#This Row],[Desde]],TableDailySummary[Fecha],"&lt;="&amp;TableWeeklySummary[[#This Row],[Hasta]])</f>
        <v>0</v>
      </c>
      <c r="AK197" s="11">
        <f>SUMIFS(TableDailySummary[Utilidad bruta],TableDailySummary[Fecha],"&gt;="&amp;TableWeeklySummary[[#This Row],[Desde]],TableDailySummary[Fecha],"&lt;="&amp;TableWeeklySummary[[#This Row],[Hasta]])</f>
        <v>0</v>
      </c>
      <c r="AL197" s="18">
        <f>IFERROR(TableWeeklySummary[[#This Row],[Utilidad bruta]]/TableWeeklySummary[[#This Row],[Ventas netas con costo registrado]],0)</f>
        <v>0</v>
      </c>
    </row>
    <row r="198" spans="2:38" x14ac:dyDescent="0.2">
      <c r="B198" s="16">
        <f>_xlfn.ISOWEEKNUM(TableWeeklySummary[[#This Row],[Hasta]])</f>
        <v>31</v>
      </c>
      <c r="C198" s="6">
        <f t="shared" si="5"/>
        <v>45863</v>
      </c>
      <c r="D198" s="6">
        <f>TableWeeklySummary[[#This Row],[Desde]]+7-1</f>
        <v>45869</v>
      </c>
      <c r="E198" s="11">
        <f>SUMIFS(TableDailySummary[Ventas netas totales],TableDailySummary[Fecha],"&gt;="&amp;TableWeeklySummary[[#This Row],[Desde]],TableDailySummary[Fecha],"&lt;="&amp;TableWeeklySummary[[#This Row],[Hasta]])</f>
        <v>0</v>
      </c>
      <c r="F198" s="11">
        <f>SUMIFS(TableDailySummary[Órdenes totales],TableDailySummary[Fecha],"&gt;="&amp;TableWeeklySummary[[#This Row],[Desde]],TableDailySummary[Fecha],"&lt;="&amp;TableWeeklySummary[[#This Row],[Hasta]])</f>
        <v>0</v>
      </c>
      <c r="G198" s="11">
        <f>IFERROR(TableWeeklySummary[[#This Row],[Ventas netas totales]]/TableWeeklySummary[[#This Row],[Órdenes totales]],0)</f>
        <v>0</v>
      </c>
      <c r="H19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9.2429577464788731E-3</v>
      </c>
      <c r="I198" s="11">
        <f>TableWeeklySummary[[#This Row],[Órden promedio totales]]*TableWeeklySummary[[#This Row],[CR totales]]</f>
        <v>0</v>
      </c>
      <c r="J198" s="11">
        <f>SUMIFS(TableDailySummary[Ventas primer cliente],TableDailySummary[Fecha],"&gt;="&amp;TableWeeklySummary[[#This Row],[Desde]],TableDailySummary[Fecha],"&lt;="&amp;TableWeeklySummary[[#This Row],[Hasta]])</f>
        <v>0</v>
      </c>
      <c r="K198" s="11">
        <f>SUMIFS(TableDailySummary[Órdenes primer cliente],TableDailySummary[Fecha],"&gt;="&amp;TableWeeklySummary[[#This Row],[Desde]],TableDailySummary[Fecha],"&lt;="&amp;TableWeeklySummary[[#This Row],[Hasta]])</f>
        <v>0</v>
      </c>
      <c r="L198" s="11">
        <f>SUMIFS(TableDailySummary[Online Store_net_sales],TableDailySummary[Fecha],"&gt;="&amp;TableWeeklySummary[[#This Row],[Desde]],TableDailySummary[Fecha],"&lt;="&amp;TableWeeklySummary[[#This Row],[Hasta]])</f>
        <v>0</v>
      </c>
      <c r="M198" s="11">
        <f>SUMIFS(TableDailySummary[Online Store_orders],TableDailySummary[Fecha],"&gt;="&amp;TableWeeklySummary[[#This Row],[Desde]],TableDailySummary[Fecha],"&lt;="&amp;TableWeeklySummary[[#This Row],[Hasta]])</f>
        <v>0</v>
      </c>
      <c r="N198" s="11">
        <f>SUMIFS(TableDailySummary[Tienda 81_net_sales],TableDailySummary[Fecha],"&gt;="&amp;TableWeeklySummary[[#This Row],[Desde]],TableDailySummary[Fecha],"&lt;="&amp;TableWeeklySummary[[#This Row],[Hasta]])</f>
        <v>0</v>
      </c>
      <c r="O198" s="11">
        <f>SUMIFS(TableDailySummary[Tienda 81_orders],TableDailySummary[Fecha],"&gt;="&amp;TableWeeklySummary[[#This Row],[Desde]],TableDailySummary[Fecha],"&lt;="&amp;TableWeeklySummary[[#This Row],[Hasta]])</f>
        <v>0</v>
      </c>
      <c r="P198" s="11">
        <f>SUMIFS(TableDailySummary[Rappi_net_sales],TableDailySummary[Fecha],"&gt;="&amp;TableWeeklySummary[[#This Row],[Desde]],TableDailySummary[Fecha],"&lt;="&amp;TableWeeklySummary[[#This Row],[Hasta]])</f>
        <v>0</v>
      </c>
      <c r="Q198" s="11">
        <f>SUMIFS(TableDailySummary[Rappi_orders],TableDailySummary[Fecha],"&gt;="&amp;TableWeeklySummary[[#This Row],[Desde]],TableDailySummary[Fecha],"&lt;="&amp;TableWeeklySummary[[#This Row],[Hasta]])</f>
        <v>0</v>
      </c>
      <c r="R19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8" s="11">
        <f>SUMIFS(TableDailySummary[Corporativo no tienda_orders],TableDailySummary[Fecha],"&gt;="&amp;TableWeeklySummary[[#This Row],[Desde]],TableDailySummary[Fecha],"&lt;="&amp;TableWeeklySummary[[#This Row],[Hasta]])</f>
        <v>0</v>
      </c>
      <c r="T198" s="11">
        <f>SUMIFS(TableDailySummary[Inversión google ads],TableDailySummary[Fecha],"&gt;="&amp;TableWeeklySummary[[#This Row],[Desde]],TableDailySummary[Fecha],"&lt;="&amp;TableWeeklySummary[[#This Row],[Hasta]])</f>
        <v>0</v>
      </c>
      <c r="U198" s="11">
        <f>SUMIFS(TableDailySummary[Ventas google ads],TableDailySummary[Fecha],"&gt;="&amp;TableWeeklySummary[[#This Row],[Desde]],TableDailySummary[Fecha],"&lt;="&amp;TableWeeklySummary[[#This Row],[Hasta]])</f>
        <v>0</v>
      </c>
      <c r="V198" s="11">
        <f>SUMIFS(TableDailySummary[Inversión meta ads],TableDailySummary[Fecha],"&gt;="&amp;TableWeeklySummary[[#This Row],[Desde]],TableDailySummary[Fecha],"&lt;="&amp;TableWeeklySummary[[#This Row],[Hasta]])</f>
        <v>0</v>
      </c>
      <c r="W198" s="11">
        <f>SUMIFS(TableDailySummary[Ventas meta ads],TableDailySummary[Fecha],"&gt;="&amp;TableWeeklySummary[[#This Row],[Desde]],TableDailySummary[Fecha],"&lt;="&amp;TableWeeklySummary[[#This Row],[Hasta]])</f>
        <v>0</v>
      </c>
      <c r="X198" s="11">
        <f>TableWeeklySummary[[#This Row],[Inversión google ads]]+TableWeeklySummary[[#This Row],[Inversión meta ads]]</f>
        <v>0</v>
      </c>
      <c r="Y198" s="11">
        <f>TableWeeklySummary[[#This Row],[Ventas google ads]]+TableWeeklySummary[[#This Row],[Ventas meta ads]]</f>
        <v>0</v>
      </c>
      <c r="Z198" s="14">
        <f>IFERROR(TableWeeklySummary[[#This Row],[Ventas publicidad]]/TableWeeklySummary[[#This Row],[Inversión publicidad]],0)</f>
        <v>0</v>
      </c>
      <c r="AA198" s="14">
        <f>IFERROR(TableWeeklySummary[[#This Row],[Ventas primer cliente]]/TableWeeklySummary[[#This Row],[Inversión publicidad]],0)</f>
        <v>0</v>
      </c>
      <c r="AB198" s="14"/>
      <c r="AC198" s="11"/>
      <c r="AI19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8" s="11">
        <f>SUMIFS(TableDailySummary[Costo de ventas registrado],TableDailySummary[Fecha],"&gt;="&amp;TableWeeklySummary[[#This Row],[Desde]],TableDailySummary[Fecha],"&lt;="&amp;TableWeeklySummary[[#This Row],[Hasta]])</f>
        <v>0</v>
      </c>
      <c r="AK198" s="11">
        <f>SUMIFS(TableDailySummary[Utilidad bruta],TableDailySummary[Fecha],"&gt;="&amp;TableWeeklySummary[[#This Row],[Desde]],TableDailySummary[Fecha],"&lt;="&amp;TableWeeklySummary[[#This Row],[Hasta]])</f>
        <v>0</v>
      </c>
      <c r="AL198" s="18">
        <f>IFERROR(TableWeeklySummary[[#This Row],[Utilidad bruta]]/TableWeeklySummary[[#This Row],[Ventas netas con costo registrado]],0)</f>
        <v>0</v>
      </c>
    </row>
    <row r="199" spans="2:38" x14ac:dyDescent="0.2">
      <c r="B199" s="16">
        <f>_xlfn.ISOWEEKNUM(TableWeeklySummary[[#This Row],[Hasta]])</f>
        <v>32</v>
      </c>
      <c r="C199" s="6">
        <f t="shared" si="5"/>
        <v>45870</v>
      </c>
      <c r="D199" s="6">
        <f>TableWeeklySummary[[#This Row],[Desde]]+7-1</f>
        <v>45876</v>
      </c>
      <c r="E199" s="11">
        <f>SUMIFS(TableDailySummary[Ventas netas totales],TableDailySummary[Fecha],"&gt;="&amp;TableWeeklySummary[[#This Row],[Desde]],TableDailySummary[Fecha],"&lt;="&amp;TableWeeklySummary[[#This Row],[Hasta]])</f>
        <v>0</v>
      </c>
      <c r="F199" s="11">
        <f>SUMIFS(TableDailySummary[Órdenes totales],TableDailySummary[Fecha],"&gt;="&amp;TableWeeklySummary[[#This Row],[Desde]],TableDailySummary[Fecha],"&lt;="&amp;TableWeeklySummary[[#This Row],[Hasta]])</f>
        <v>0</v>
      </c>
      <c r="G199" s="11">
        <f>IFERROR(TableWeeklySummary[[#This Row],[Ventas netas totales]]/TableWeeklySummary[[#This Row],[Órdenes totales]],0)</f>
        <v>0</v>
      </c>
      <c r="H19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7.2744907856450046E-3</v>
      </c>
      <c r="I199" s="11">
        <f>TableWeeklySummary[[#This Row],[Órden promedio totales]]*TableWeeklySummary[[#This Row],[CR totales]]</f>
        <v>0</v>
      </c>
      <c r="J199" s="11">
        <f>SUMIFS(TableDailySummary[Ventas primer cliente],TableDailySummary[Fecha],"&gt;="&amp;TableWeeklySummary[[#This Row],[Desde]],TableDailySummary[Fecha],"&lt;="&amp;TableWeeklySummary[[#This Row],[Hasta]])</f>
        <v>0</v>
      </c>
      <c r="K199" s="11">
        <f>SUMIFS(TableDailySummary[Órdenes primer cliente],TableDailySummary[Fecha],"&gt;="&amp;TableWeeklySummary[[#This Row],[Desde]],TableDailySummary[Fecha],"&lt;="&amp;TableWeeklySummary[[#This Row],[Hasta]])</f>
        <v>0</v>
      </c>
      <c r="L199" s="11">
        <f>SUMIFS(TableDailySummary[Online Store_net_sales],TableDailySummary[Fecha],"&gt;="&amp;TableWeeklySummary[[#This Row],[Desde]],TableDailySummary[Fecha],"&lt;="&amp;TableWeeklySummary[[#This Row],[Hasta]])</f>
        <v>0</v>
      </c>
      <c r="M199" s="11">
        <f>SUMIFS(TableDailySummary[Online Store_orders],TableDailySummary[Fecha],"&gt;="&amp;TableWeeklySummary[[#This Row],[Desde]],TableDailySummary[Fecha],"&lt;="&amp;TableWeeklySummary[[#This Row],[Hasta]])</f>
        <v>0</v>
      </c>
      <c r="N199" s="11">
        <f>SUMIFS(TableDailySummary[Tienda 81_net_sales],TableDailySummary[Fecha],"&gt;="&amp;TableWeeklySummary[[#This Row],[Desde]],TableDailySummary[Fecha],"&lt;="&amp;TableWeeklySummary[[#This Row],[Hasta]])</f>
        <v>0</v>
      </c>
      <c r="O199" s="11">
        <f>SUMIFS(TableDailySummary[Tienda 81_orders],TableDailySummary[Fecha],"&gt;="&amp;TableWeeklySummary[[#This Row],[Desde]],TableDailySummary[Fecha],"&lt;="&amp;TableWeeklySummary[[#This Row],[Hasta]])</f>
        <v>0</v>
      </c>
      <c r="P199" s="11">
        <f>SUMIFS(TableDailySummary[Rappi_net_sales],TableDailySummary[Fecha],"&gt;="&amp;TableWeeklySummary[[#This Row],[Desde]],TableDailySummary[Fecha],"&lt;="&amp;TableWeeklySummary[[#This Row],[Hasta]])</f>
        <v>0</v>
      </c>
      <c r="Q199" s="11">
        <f>SUMIFS(TableDailySummary[Rappi_orders],TableDailySummary[Fecha],"&gt;="&amp;TableWeeklySummary[[#This Row],[Desde]],TableDailySummary[Fecha],"&lt;="&amp;TableWeeklySummary[[#This Row],[Hasta]])</f>
        <v>0</v>
      </c>
      <c r="R19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199" s="11">
        <f>SUMIFS(TableDailySummary[Corporativo no tienda_orders],TableDailySummary[Fecha],"&gt;="&amp;TableWeeklySummary[[#This Row],[Desde]],TableDailySummary[Fecha],"&lt;="&amp;TableWeeklySummary[[#This Row],[Hasta]])</f>
        <v>0</v>
      </c>
      <c r="T199" s="11">
        <f>SUMIFS(TableDailySummary[Inversión google ads],TableDailySummary[Fecha],"&gt;="&amp;TableWeeklySummary[[#This Row],[Desde]],TableDailySummary[Fecha],"&lt;="&amp;TableWeeklySummary[[#This Row],[Hasta]])</f>
        <v>0</v>
      </c>
      <c r="U199" s="11">
        <f>SUMIFS(TableDailySummary[Ventas google ads],TableDailySummary[Fecha],"&gt;="&amp;TableWeeklySummary[[#This Row],[Desde]],TableDailySummary[Fecha],"&lt;="&amp;TableWeeklySummary[[#This Row],[Hasta]])</f>
        <v>0</v>
      </c>
      <c r="V199" s="11">
        <f>SUMIFS(TableDailySummary[Inversión meta ads],TableDailySummary[Fecha],"&gt;="&amp;TableWeeklySummary[[#This Row],[Desde]],TableDailySummary[Fecha],"&lt;="&amp;TableWeeklySummary[[#This Row],[Hasta]])</f>
        <v>0</v>
      </c>
      <c r="W199" s="11">
        <f>SUMIFS(TableDailySummary[Ventas meta ads],TableDailySummary[Fecha],"&gt;="&amp;TableWeeklySummary[[#This Row],[Desde]],TableDailySummary[Fecha],"&lt;="&amp;TableWeeklySummary[[#This Row],[Hasta]])</f>
        <v>0</v>
      </c>
      <c r="X199" s="11">
        <f>TableWeeklySummary[[#This Row],[Inversión google ads]]+TableWeeklySummary[[#This Row],[Inversión meta ads]]</f>
        <v>0</v>
      </c>
      <c r="Y199" s="11">
        <f>TableWeeklySummary[[#This Row],[Ventas google ads]]+TableWeeklySummary[[#This Row],[Ventas meta ads]]</f>
        <v>0</v>
      </c>
      <c r="Z199" s="14">
        <f>IFERROR(TableWeeklySummary[[#This Row],[Ventas publicidad]]/TableWeeklySummary[[#This Row],[Inversión publicidad]],0)</f>
        <v>0</v>
      </c>
      <c r="AA199" s="14">
        <f>IFERROR(TableWeeklySummary[[#This Row],[Ventas primer cliente]]/TableWeeklySummary[[#This Row],[Inversión publicidad]],0)</f>
        <v>0</v>
      </c>
      <c r="AB199" s="14"/>
      <c r="AC199" s="11"/>
      <c r="AI19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199" s="11">
        <f>SUMIFS(TableDailySummary[Costo de ventas registrado],TableDailySummary[Fecha],"&gt;="&amp;TableWeeklySummary[[#This Row],[Desde]],TableDailySummary[Fecha],"&lt;="&amp;TableWeeklySummary[[#This Row],[Hasta]])</f>
        <v>0</v>
      </c>
      <c r="AK199" s="11">
        <f>SUMIFS(TableDailySummary[Utilidad bruta],TableDailySummary[Fecha],"&gt;="&amp;TableWeeklySummary[[#This Row],[Desde]],TableDailySummary[Fecha],"&lt;="&amp;TableWeeklySummary[[#This Row],[Hasta]])</f>
        <v>0</v>
      </c>
      <c r="AL199" s="18">
        <f>IFERROR(TableWeeklySummary[[#This Row],[Utilidad bruta]]/TableWeeklySummary[[#This Row],[Ventas netas con costo registrado]],0)</f>
        <v>0</v>
      </c>
    </row>
    <row r="200" spans="2:38" x14ac:dyDescent="0.2">
      <c r="B200" s="16">
        <f>_xlfn.ISOWEEKNUM(TableWeeklySummary[[#This Row],[Hasta]])</f>
        <v>33</v>
      </c>
      <c r="C200" s="6">
        <f t="shared" si="5"/>
        <v>45877</v>
      </c>
      <c r="D200" s="6">
        <f>TableWeeklySummary[[#This Row],[Desde]]+7-1</f>
        <v>45883</v>
      </c>
      <c r="E200" s="11">
        <f>SUMIFS(TableDailySummary[Ventas netas totales],TableDailySummary[Fecha],"&gt;="&amp;TableWeeklySummary[[#This Row],[Desde]],TableDailySummary[Fecha],"&lt;="&amp;TableWeeklySummary[[#This Row],[Hasta]])</f>
        <v>0</v>
      </c>
      <c r="F200" s="11">
        <f>SUMIFS(TableDailySummary[Órdenes totales],TableDailySummary[Fecha],"&gt;="&amp;TableWeeklySummary[[#This Row],[Desde]],TableDailySummary[Fecha],"&lt;="&amp;TableWeeklySummary[[#This Row],[Hasta]])</f>
        <v>0</v>
      </c>
      <c r="G200" s="11">
        <f>IFERROR(TableWeeklySummary[[#This Row],[Ventas netas totales]]/TableWeeklySummary[[#This Row],[Órdenes totales]],0)</f>
        <v>0</v>
      </c>
      <c r="H20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6.1299550469963221E-3</v>
      </c>
      <c r="I200" s="11">
        <f>TableWeeklySummary[[#This Row],[Órden promedio totales]]*TableWeeklySummary[[#This Row],[CR totales]]</f>
        <v>0</v>
      </c>
      <c r="J200" s="11">
        <f>SUMIFS(TableDailySummary[Ventas primer cliente],TableDailySummary[Fecha],"&gt;="&amp;TableWeeklySummary[[#This Row],[Desde]],TableDailySummary[Fecha],"&lt;="&amp;TableWeeklySummary[[#This Row],[Hasta]])</f>
        <v>0</v>
      </c>
      <c r="K200" s="11">
        <f>SUMIFS(TableDailySummary[Órdenes primer cliente],TableDailySummary[Fecha],"&gt;="&amp;TableWeeklySummary[[#This Row],[Desde]],TableDailySummary[Fecha],"&lt;="&amp;TableWeeklySummary[[#This Row],[Hasta]])</f>
        <v>0</v>
      </c>
      <c r="L200" s="11">
        <f>SUMIFS(TableDailySummary[Online Store_net_sales],TableDailySummary[Fecha],"&gt;="&amp;TableWeeklySummary[[#This Row],[Desde]],TableDailySummary[Fecha],"&lt;="&amp;TableWeeklySummary[[#This Row],[Hasta]])</f>
        <v>0</v>
      </c>
      <c r="M200" s="11">
        <f>SUMIFS(TableDailySummary[Online Store_orders],TableDailySummary[Fecha],"&gt;="&amp;TableWeeklySummary[[#This Row],[Desde]],TableDailySummary[Fecha],"&lt;="&amp;TableWeeklySummary[[#This Row],[Hasta]])</f>
        <v>0</v>
      </c>
      <c r="N200" s="11">
        <f>SUMIFS(TableDailySummary[Tienda 81_net_sales],TableDailySummary[Fecha],"&gt;="&amp;TableWeeklySummary[[#This Row],[Desde]],TableDailySummary[Fecha],"&lt;="&amp;TableWeeklySummary[[#This Row],[Hasta]])</f>
        <v>0</v>
      </c>
      <c r="O200" s="11">
        <f>SUMIFS(TableDailySummary[Tienda 81_orders],TableDailySummary[Fecha],"&gt;="&amp;TableWeeklySummary[[#This Row],[Desde]],TableDailySummary[Fecha],"&lt;="&amp;TableWeeklySummary[[#This Row],[Hasta]])</f>
        <v>0</v>
      </c>
      <c r="P200" s="11">
        <f>SUMIFS(TableDailySummary[Rappi_net_sales],TableDailySummary[Fecha],"&gt;="&amp;TableWeeklySummary[[#This Row],[Desde]],TableDailySummary[Fecha],"&lt;="&amp;TableWeeklySummary[[#This Row],[Hasta]])</f>
        <v>0</v>
      </c>
      <c r="Q200" s="11">
        <f>SUMIFS(TableDailySummary[Rappi_orders],TableDailySummary[Fecha],"&gt;="&amp;TableWeeklySummary[[#This Row],[Desde]],TableDailySummary[Fecha],"&lt;="&amp;TableWeeklySummary[[#This Row],[Hasta]])</f>
        <v>0</v>
      </c>
      <c r="R20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0" s="11">
        <f>SUMIFS(TableDailySummary[Corporativo no tienda_orders],TableDailySummary[Fecha],"&gt;="&amp;TableWeeklySummary[[#This Row],[Desde]],TableDailySummary[Fecha],"&lt;="&amp;TableWeeklySummary[[#This Row],[Hasta]])</f>
        <v>0</v>
      </c>
      <c r="T200" s="11">
        <f>SUMIFS(TableDailySummary[Inversión google ads],TableDailySummary[Fecha],"&gt;="&amp;TableWeeklySummary[[#This Row],[Desde]],TableDailySummary[Fecha],"&lt;="&amp;TableWeeklySummary[[#This Row],[Hasta]])</f>
        <v>0</v>
      </c>
      <c r="U200" s="11">
        <f>SUMIFS(TableDailySummary[Ventas google ads],TableDailySummary[Fecha],"&gt;="&amp;TableWeeklySummary[[#This Row],[Desde]],TableDailySummary[Fecha],"&lt;="&amp;TableWeeklySummary[[#This Row],[Hasta]])</f>
        <v>0</v>
      </c>
      <c r="V200" s="11">
        <f>SUMIFS(TableDailySummary[Inversión meta ads],TableDailySummary[Fecha],"&gt;="&amp;TableWeeklySummary[[#This Row],[Desde]],TableDailySummary[Fecha],"&lt;="&amp;TableWeeklySummary[[#This Row],[Hasta]])</f>
        <v>0</v>
      </c>
      <c r="W200" s="11">
        <f>SUMIFS(TableDailySummary[Ventas meta ads],TableDailySummary[Fecha],"&gt;="&amp;TableWeeklySummary[[#This Row],[Desde]],TableDailySummary[Fecha],"&lt;="&amp;TableWeeklySummary[[#This Row],[Hasta]])</f>
        <v>0</v>
      </c>
      <c r="X200" s="11">
        <f>TableWeeklySummary[[#This Row],[Inversión google ads]]+TableWeeklySummary[[#This Row],[Inversión meta ads]]</f>
        <v>0</v>
      </c>
      <c r="Y200" s="11">
        <f>TableWeeklySummary[[#This Row],[Ventas google ads]]+TableWeeklySummary[[#This Row],[Ventas meta ads]]</f>
        <v>0</v>
      </c>
      <c r="Z200" s="14">
        <f>IFERROR(TableWeeklySummary[[#This Row],[Ventas publicidad]]/TableWeeklySummary[[#This Row],[Inversión publicidad]],0)</f>
        <v>0</v>
      </c>
      <c r="AA200" s="14">
        <f>IFERROR(TableWeeklySummary[[#This Row],[Ventas primer cliente]]/TableWeeklySummary[[#This Row],[Inversión publicidad]],0)</f>
        <v>0</v>
      </c>
      <c r="AB200" s="14"/>
      <c r="AC200" s="11"/>
      <c r="AI20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0" s="11">
        <f>SUMIFS(TableDailySummary[Costo de ventas registrado],TableDailySummary[Fecha],"&gt;="&amp;TableWeeklySummary[[#This Row],[Desde]],TableDailySummary[Fecha],"&lt;="&amp;TableWeeklySummary[[#This Row],[Hasta]])</f>
        <v>0</v>
      </c>
      <c r="AK200" s="11">
        <f>SUMIFS(TableDailySummary[Utilidad bruta],TableDailySummary[Fecha],"&gt;="&amp;TableWeeklySummary[[#This Row],[Desde]],TableDailySummary[Fecha],"&lt;="&amp;TableWeeklySummary[[#This Row],[Hasta]])</f>
        <v>0</v>
      </c>
      <c r="AL200" s="18">
        <f>IFERROR(TableWeeklySummary[[#This Row],[Utilidad bruta]]/TableWeeklySummary[[#This Row],[Ventas netas con costo registrado]],0)</f>
        <v>0</v>
      </c>
    </row>
    <row r="201" spans="2:38" x14ac:dyDescent="0.2">
      <c r="B201" s="16">
        <f>_xlfn.ISOWEEKNUM(TableWeeklySummary[[#This Row],[Hasta]])</f>
        <v>34</v>
      </c>
      <c r="C201" s="6">
        <f t="shared" si="5"/>
        <v>45884</v>
      </c>
      <c r="D201" s="6">
        <f>TableWeeklySummary[[#This Row],[Desde]]+7-1</f>
        <v>45890</v>
      </c>
      <c r="E201" s="11">
        <f>SUMIFS(TableDailySummary[Ventas netas totales],TableDailySummary[Fecha],"&gt;="&amp;TableWeeklySummary[[#This Row],[Desde]],TableDailySummary[Fecha],"&lt;="&amp;TableWeeklySummary[[#This Row],[Hasta]])</f>
        <v>0</v>
      </c>
      <c r="F201" s="11">
        <f>SUMIFS(TableDailySummary[Órdenes totales],TableDailySummary[Fecha],"&gt;="&amp;TableWeeklySummary[[#This Row],[Desde]],TableDailySummary[Fecha],"&lt;="&amp;TableWeeklySummary[[#This Row],[Hasta]])</f>
        <v>0</v>
      </c>
      <c r="G201" s="11">
        <f>IFERROR(TableWeeklySummary[[#This Row],[Ventas netas totales]]/TableWeeklySummary[[#This Row],[Órdenes totales]],0)</f>
        <v>0</v>
      </c>
      <c r="H20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7.4972436604189632E-3</v>
      </c>
      <c r="I201" s="11">
        <f>TableWeeklySummary[[#This Row],[Órden promedio totales]]*TableWeeklySummary[[#This Row],[CR totales]]</f>
        <v>0</v>
      </c>
      <c r="J201" s="11">
        <f>SUMIFS(TableDailySummary[Ventas primer cliente],TableDailySummary[Fecha],"&gt;="&amp;TableWeeklySummary[[#This Row],[Desde]],TableDailySummary[Fecha],"&lt;="&amp;TableWeeklySummary[[#This Row],[Hasta]])</f>
        <v>0</v>
      </c>
      <c r="K201" s="11">
        <f>SUMIFS(TableDailySummary[Órdenes primer cliente],TableDailySummary[Fecha],"&gt;="&amp;TableWeeklySummary[[#This Row],[Desde]],TableDailySummary[Fecha],"&lt;="&amp;TableWeeklySummary[[#This Row],[Hasta]])</f>
        <v>0</v>
      </c>
      <c r="L201" s="11">
        <f>SUMIFS(TableDailySummary[Online Store_net_sales],TableDailySummary[Fecha],"&gt;="&amp;TableWeeklySummary[[#This Row],[Desde]],TableDailySummary[Fecha],"&lt;="&amp;TableWeeklySummary[[#This Row],[Hasta]])</f>
        <v>0</v>
      </c>
      <c r="M201" s="11">
        <f>SUMIFS(TableDailySummary[Online Store_orders],TableDailySummary[Fecha],"&gt;="&amp;TableWeeklySummary[[#This Row],[Desde]],TableDailySummary[Fecha],"&lt;="&amp;TableWeeklySummary[[#This Row],[Hasta]])</f>
        <v>0</v>
      </c>
      <c r="N201" s="11">
        <f>SUMIFS(TableDailySummary[Tienda 81_net_sales],TableDailySummary[Fecha],"&gt;="&amp;TableWeeklySummary[[#This Row],[Desde]],TableDailySummary[Fecha],"&lt;="&amp;TableWeeklySummary[[#This Row],[Hasta]])</f>
        <v>0</v>
      </c>
      <c r="O201" s="11">
        <f>SUMIFS(TableDailySummary[Tienda 81_orders],TableDailySummary[Fecha],"&gt;="&amp;TableWeeklySummary[[#This Row],[Desde]],TableDailySummary[Fecha],"&lt;="&amp;TableWeeklySummary[[#This Row],[Hasta]])</f>
        <v>0</v>
      </c>
      <c r="P201" s="11">
        <f>SUMIFS(TableDailySummary[Rappi_net_sales],TableDailySummary[Fecha],"&gt;="&amp;TableWeeklySummary[[#This Row],[Desde]],TableDailySummary[Fecha],"&lt;="&amp;TableWeeklySummary[[#This Row],[Hasta]])</f>
        <v>0</v>
      </c>
      <c r="Q201" s="11">
        <f>SUMIFS(TableDailySummary[Rappi_orders],TableDailySummary[Fecha],"&gt;="&amp;TableWeeklySummary[[#This Row],[Desde]],TableDailySummary[Fecha],"&lt;="&amp;TableWeeklySummary[[#This Row],[Hasta]])</f>
        <v>0</v>
      </c>
      <c r="R20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1" s="11">
        <f>SUMIFS(TableDailySummary[Corporativo no tienda_orders],TableDailySummary[Fecha],"&gt;="&amp;TableWeeklySummary[[#This Row],[Desde]],TableDailySummary[Fecha],"&lt;="&amp;TableWeeklySummary[[#This Row],[Hasta]])</f>
        <v>0</v>
      </c>
      <c r="T201" s="11">
        <f>SUMIFS(TableDailySummary[Inversión google ads],TableDailySummary[Fecha],"&gt;="&amp;TableWeeklySummary[[#This Row],[Desde]],TableDailySummary[Fecha],"&lt;="&amp;TableWeeklySummary[[#This Row],[Hasta]])</f>
        <v>0</v>
      </c>
      <c r="U201" s="11">
        <f>SUMIFS(TableDailySummary[Ventas google ads],TableDailySummary[Fecha],"&gt;="&amp;TableWeeklySummary[[#This Row],[Desde]],TableDailySummary[Fecha],"&lt;="&amp;TableWeeklySummary[[#This Row],[Hasta]])</f>
        <v>0</v>
      </c>
      <c r="V201" s="11">
        <f>SUMIFS(TableDailySummary[Inversión meta ads],TableDailySummary[Fecha],"&gt;="&amp;TableWeeklySummary[[#This Row],[Desde]],TableDailySummary[Fecha],"&lt;="&amp;TableWeeklySummary[[#This Row],[Hasta]])</f>
        <v>0</v>
      </c>
      <c r="W201" s="11">
        <f>SUMIFS(TableDailySummary[Ventas meta ads],TableDailySummary[Fecha],"&gt;="&amp;TableWeeklySummary[[#This Row],[Desde]],TableDailySummary[Fecha],"&lt;="&amp;TableWeeklySummary[[#This Row],[Hasta]])</f>
        <v>0</v>
      </c>
      <c r="X201" s="11">
        <f>TableWeeklySummary[[#This Row],[Inversión google ads]]+TableWeeklySummary[[#This Row],[Inversión meta ads]]</f>
        <v>0</v>
      </c>
      <c r="Y201" s="11">
        <f>TableWeeklySummary[[#This Row],[Ventas google ads]]+TableWeeklySummary[[#This Row],[Ventas meta ads]]</f>
        <v>0</v>
      </c>
      <c r="Z201" s="14">
        <f>IFERROR(TableWeeklySummary[[#This Row],[Ventas publicidad]]/TableWeeklySummary[[#This Row],[Inversión publicidad]],0)</f>
        <v>0</v>
      </c>
      <c r="AA201" s="14">
        <f>IFERROR(TableWeeklySummary[[#This Row],[Ventas primer cliente]]/TableWeeklySummary[[#This Row],[Inversión publicidad]],0)</f>
        <v>0</v>
      </c>
      <c r="AB201" s="14"/>
      <c r="AC201" s="11"/>
      <c r="AI20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1" s="11">
        <f>SUMIFS(TableDailySummary[Costo de ventas registrado],TableDailySummary[Fecha],"&gt;="&amp;TableWeeklySummary[[#This Row],[Desde]],TableDailySummary[Fecha],"&lt;="&amp;TableWeeklySummary[[#This Row],[Hasta]])</f>
        <v>0</v>
      </c>
      <c r="AK201" s="11">
        <f>SUMIFS(TableDailySummary[Utilidad bruta],TableDailySummary[Fecha],"&gt;="&amp;TableWeeklySummary[[#This Row],[Desde]],TableDailySummary[Fecha],"&lt;="&amp;TableWeeklySummary[[#This Row],[Hasta]])</f>
        <v>0</v>
      </c>
      <c r="AL201" s="18">
        <f>IFERROR(TableWeeklySummary[[#This Row],[Utilidad bruta]]/TableWeeklySummary[[#This Row],[Ventas netas con costo registrado]],0)</f>
        <v>0</v>
      </c>
    </row>
    <row r="202" spans="2:38" x14ac:dyDescent="0.2">
      <c r="B202" s="16">
        <f>_xlfn.ISOWEEKNUM(TableWeeklySummary[[#This Row],[Hasta]])</f>
        <v>35</v>
      </c>
      <c r="C202" s="6">
        <f t="shared" si="5"/>
        <v>45891</v>
      </c>
      <c r="D202" s="6">
        <f>TableWeeklySummary[[#This Row],[Desde]]+7-1</f>
        <v>45897</v>
      </c>
      <c r="E202" s="11">
        <f>SUMIFS(TableDailySummary[Ventas netas totales],TableDailySummary[Fecha],"&gt;="&amp;TableWeeklySummary[[#This Row],[Desde]],TableDailySummary[Fecha],"&lt;="&amp;TableWeeklySummary[[#This Row],[Hasta]])</f>
        <v>0</v>
      </c>
      <c r="F202" s="11">
        <f>SUMIFS(TableDailySummary[Órdenes totales],TableDailySummary[Fecha],"&gt;="&amp;TableWeeklySummary[[#This Row],[Desde]],TableDailySummary[Fecha],"&lt;="&amp;TableWeeklySummary[[#This Row],[Hasta]])</f>
        <v>0</v>
      </c>
      <c r="G202" s="11">
        <f>IFERROR(TableWeeklySummary[[#This Row],[Ventas netas totales]]/TableWeeklySummary[[#This Row],[Órdenes totales]],0)</f>
        <v>0</v>
      </c>
      <c r="H20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2.4557956777996069E-2</v>
      </c>
      <c r="I202" s="11">
        <f>TableWeeklySummary[[#This Row],[Órden promedio totales]]*TableWeeklySummary[[#This Row],[CR totales]]</f>
        <v>0</v>
      </c>
      <c r="J202" s="11">
        <f>SUMIFS(TableDailySummary[Ventas primer cliente],TableDailySummary[Fecha],"&gt;="&amp;TableWeeklySummary[[#This Row],[Desde]],TableDailySummary[Fecha],"&lt;="&amp;TableWeeklySummary[[#This Row],[Hasta]])</f>
        <v>0</v>
      </c>
      <c r="K202" s="11">
        <f>SUMIFS(TableDailySummary[Órdenes primer cliente],TableDailySummary[Fecha],"&gt;="&amp;TableWeeklySummary[[#This Row],[Desde]],TableDailySummary[Fecha],"&lt;="&amp;TableWeeklySummary[[#This Row],[Hasta]])</f>
        <v>0</v>
      </c>
      <c r="L202" s="11">
        <f>SUMIFS(TableDailySummary[Online Store_net_sales],TableDailySummary[Fecha],"&gt;="&amp;TableWeeklySummary[[#This Row],[Desde]],TableDailySummary[Fecha],"&lt;="&amp;TableWeeklySummary[[#This Row],[Hasta]])</f>
        <v>0</v>
      </c>
      <c r="M202" s="11">
        <f>SUMIFS(TableDailySummary[Online Store_orders],TableDailySummary[Fecha],"&gt;="&amp;TableWeeklySummary[[#This Row],[Desde]],TableDailySummary[Fecha],"&lt;="&amp;TableWeeklySummary[[#This Row],[Hasta]])</f>
        <v>0</v>
      </c>
      <c r="N202" s="11">
        <f>SUMIFS(TableDailySummary[Tienda 81_net_sales],TableDailySummary[Fecha],"&gt;="&amp;TableWeeklySummary[[#This Row],[Desde]],TableDailySummary[Fecha],"&lt;="&amp;TableWeeklySummary[[#This Row],[Hasta]])</f>
        <v>0</v>
      </c>
      <c r="O202" s="11">
        <f>SUMIFS(TableDailySummary[Tienda 81_orders],TableDailySummary[Fecha],"&gt;="&amp;TableWeeklySummary[[#This Row],[Desde]],TableDailySummary[Fecha],"&lt;="&amp;TableWeeklySummary[[#This Row],[Hasta]])</f>
        <v>0</v>
      </c>
      <c r="P202" s="11">
        <f>SUMIFS(TableDailySummary[Rappi_net_sales],TableDailySummary[Fecha],"&gt;="&amp;TableWeeklySummary[[#This Row],[Desde]],TableDailySummary[Fecha],"&lt;="&amp;TableWeeklySummary[[#This Row],[Hasta]])</f>
        <v>0</v>
      </c>
      <c r="Q202" s="11">
        <f>SUMIFS(TableDailySummary[Rappi_orders],TableDailySummary[Fecha],"&gt;="&amp;TableWeeklySummary[[#This Row],[Desde]],TableDailySummary[Fecha],"&lt;="&amp;TableWeeklySummary[[#This Row],[Hasta]])</f>
        <v>0</v>
      </c>
      <c r="R20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2" s="11">
        <f>SUMIFS(TableDailySummary[Corporativo no tienda_orders],TableDailySummary[Fecha],"&gt;="&amp;TableWeeklySummary[[#This Row],[Desde]],TableDailySummary[Fecha],"&lt;="&amp;TableWeeklySummary[[#This Row],[Hasta]])</f>
        <v>0</v>
      </c>
      <c r="T202" s="11">
        <f>SUMIFS(TableDailySummary[Inversión google ads],TableDailySummary[Fecha],"&gt;="&amp;TableWeeklySummary[[#This Row],[Desde]],TableDailySummary[Fecha],"&lt;="&amp;TableWeeklySummary[[#This Row],[Hasta]])</f>
        <v>0</v>
      </c>
      <c r="U202" s="11">
        <f>SUMIFS(TableDailySummary[Ventas google ads],TableDailySummary[Fecha],"&gt;="&amp;TableWeeklySummary[[#This Row],[Desde]],TableDailySummary[Fecha],"&lt;="&amp;TableWeeklySummary[[#This Row],[Hasta]])</f>
        <v>0</v>
      </c>
      <c r="V202" s="11">
        <f>SUMIFS(TableDailySummary[Inversión meta ads],TableDailySummary[Fecha],"&gt;="&amp;TableWeeklySummary[[#This Row],[Desde]],TableDailySummary[Fecha],"&lt;="&amp;TableWeeklySummary[[#This Row],[Hasta]])</f>
        <v>0</v>
      </c>
      <c r="W202" s="11">
        <f>SUMIFS(TableDailySummary[Ventas meta ads],TableDailySummary[Fecha],"&gt;="&amp;TableWeeklySummary[[#This Row],[Desde]],TableDailySummary[Fecha],"&lt;="&amp;TableWeeklySummary[[#This Row],[Hasta]])</f>
        <v>0</v>
      </c>
      <c r="X202" s="11">
        <f>TableWeeklySummary[[#This Row],[Inversión google ads]]+TableWeeklySummary[[#This Row],[Inversión meta ads]]</f>
        <v>0</v>
      </c>
      <c r="Y202" s="11">
        <f>TableWeeklySummary[[#This Row],[Ventas google ads]]+TableWeeklySummary[[#This Row],[Ventas meta ads]]</f>
        <v>0</v>
      </c>
      <c r="Z202" s="14">
        <f>IFERROR(TableWeeklySummary[[#This Row],[Ventas publicidad]]/TableWeeklySummary[[#This Row],[Inversión publicidad]],0)</f>
        <v>0</v>
      </c>
      <c r="AA202" s="14">
        <f>IFERROR(TableWeeklySummary[[#This Row],[Ventas primer cliente]]/TableWeeklySummary[[#This Row],[Inversión publicidad]],0)</f>
        <v>0</v>
      </c>
      <c r="AB202" s="14"/>
      <c r="AC202" s="11"/>
      <c r="AI20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2" s="11">
        <f>SUMIFS(TableDailySummary[Costo de ventas registrado],TableDailySummary[Fecha],"&gt;="&amp;TableWeeklySummary[[#This Row],[Desde]],TableDailySummary[Fecha],"&lt;="&amp;TableWeeklySummary[[#This Row],[Hasta]])</f>
        <v>0</v>
      </c>
      <c r="AK202" s="11">
        <f>SUMIFS(TableDailySummary[Utilidad bruta],TableDailySummary[Fecha],"&gt;="&amp;TableWeeklySummary[[#This Row],[Desde]],TableDailySummary[Fecha],"&lt;="&amp;TableWeeklySummary[[#This Row],[Hasta]])</f>
        <v>0</v>
      </c>
      <c r="AL202" s="18">
        <f>IFERROR(TableWeeklySummary[[#This Row],[Utilidad bruta]]/TableWeeklySummary[[#This Row],[Ventas netas con costo registrado]],0)</f>
        <v>0</v>
      </c>
    </row>
    <row r="203" spans="2:38" x14ac:dyDescent="0.2">
      <c r="B203" s="16">
        <f>_xlfn.ISOWEEKNUM(TableWeeklySummary[[#This Row],[Hasta]])</f>
        <v>36</v>
      </c>
      <c r="C203" s="6">
        <f t="shared" si="5"/>
        <v>45898</v>
      </c>
      <c r="D203" s="6">
        <f>TableWeeklySummary[[#This Row],[Desde]]+7-1</f>
        <v>45904</v>
      </c>
      <c r="E203" s="11">
        <f>SUMIFS(TableDailySummary[Ventas netas totales],TableDailySummary[Fecha],"&gt;="&amp;TableWeeklySummary[[#This Row],[Desde]],TableDailySummary[Fecha],"&lt;="&amp;TableWeeklySummary[[#This Row],[Hasta]])</f>
        <v>0</v>
      </c>
      <c r="F203" s="11">
        <f>SUMIFS(TableDailySummary[Órdenes totales],TableDailySummary[Fecha],"&gt;="&amp;TableWeeklySummary[[#This Row],[Desde]],TableDailySummary[Fecha],"&lt;="&amp;TableWeeklySummary[[#This Row],[Hasta]])</f>
        <v>0</v>
      </c>
      <c r="G203" s="11">
        <f>IFERROR(TableWeeklySummary[[#This Row],[Ventas netas totales]]/TableWeeklySummary[[#This Row],[Órdenes totales]],0)</f>
        <v>0</v>
      </c>
      <c r="H20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2.1631644004944377E-2</v>
      </c>
      <c r="I203" s="11">
        <f>TableWeeklySummary[[#This Row],[Órden promedio totales]]*TableWeeklySummary[[#This Row],[CR totales]]</f>
        <v>0</v>
      </c>
      <c r="J203" s="11">
        <f>SUMIFS(TableDailySummary[Ventas primer cliente],TableDailySummary[Fecha],"&gt;="&amp;TableWeeklySummary[[#This Row],[Desde]],TableDailySummary[Fecha],"&lt;="&amp;TableWeeklySummary[[#This Row],[Hasta]])</f>
        <v>0</v>
      </c>
      <c r="K203" s="11">
        <f>SUMIFS(TableDailySummary[Órdenes primer cliente],TableDailySummary[Fecha],"&gt;="&amp;TableWeeklySummary[[#This Row],[Desde]],TableDailySummary[Fecha],"&lt;="&amp;TableWeeklySummary[[#This Row],[Hasta]])</f>
        <v>0</v>
      </c>
      <c r="L203" s="11">
        <f>SUMIFS(TableDailySummary[Online Store_net_sales],TableDailySummary[Fecha],"&gt;="&amp;TableWeeklySummary[[#This Row],[Desde]],TableDailySummary[Fecha],"&lt;="&amp;TableWeeklySummary[[#This Row],[Hasta]])</f>
        <v>0</v>
      </c>
      <c r="M203" s="11">
        <f>SUMIFS(TableDailySummary[Online Store_orders],TableDailySummary[Fecha],"&gt;="&amp;TableWeeklySummary[[#This Row],[Desde]],TableDailySummary[Fecha],"&lt;="&amp;TableWeeklySummary[[#This Row],[Hasta]])</f>
        <v>0</v>
      </c>
      <c r="N203" s="11">
        <f>SUMIFS(TableDailySummary[Tienda 81_net_sales],TableDailySummary[Fecha],"&gt;="&amp;TableWeeklySummary[[#This Row],[Desde]],TableDailySummary[Fecha],"&lt;="&amp;TableWeeklySummary[[#This Row],[Hasta]])</f>
        <v>0</v>
      </c>
      <c r="O203" s="11">
        <f>SUMIFS(TableDailySummary[Tienda 81_orders],TableDailySummary[Fecha],"&gt;="&amp;TableWeeklySummary[[#This Row],[Desde]],TableDailySummary[Fecha],"&lt;="&amp;TableWeeklySummary[[#This Row],[Hasta]])</f>
        <v>0</v>
      </c>
      <c r="P203" s="11">
        <f>SUMIFS(TableDailySummary[Rappi_net_sales],TableDailySummary[Fecha],"&gt;="&amp;TableWeeklySummary[[#This Row],[Desde]],TableDailySummary[Fecha],"&lt;="&amp;TableWeeklySummary[[#This Row],[Hasta]])</f>
        <v>0</v>
      </c>
      <c r="Q203" s="11">
        <f>SUMIFS(TableDailySummary[Rappi_orders],TableDailySummary[Fecha],"&gt;="&amp;TableWeeklySummary[[#This Row],[Desde]],TableDailySummary[Fecha],"&lt;="&amp;TableWeeklySummary[[#This Row],[Hasta]])</f>
        <v>0</v>
      </c>
      <c r="R20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3" s="11">
        <f>SUMIFS(TableDailySummary[Corporativo no tienda_orders],TableDailySummary[Fecha],"&gt;="&amp;TableWeeklySummary[[#This Row],[Desde]],TableDailySummary[Fecha],"&lt;="&amp;TableWeeklySummary[[#This Row],[Hasta]])</f>
        <v>0</v>
      </c>
      <c r="T203" s="11">
        <f>SUMIFS(TableDailySummary[Inversión google ads],TableDailySummary[Fecha],"&gt;="&amp;TableWeeklySummary[[#This Row],[Desde]],TableDailySummary[Fecha],"&lt;="&amp;TableWeeklySummary[[#This Row],[Hasta]])</f>
        <v>0</v>
      </c>
      <c r="U203" s="11">
        <f>SUMIFS(TableDailySummary[Ventas google ads],TableDailySummary[Fecha],"&gt;="&amp;TableWeeklySummary[[#This Row],[Desde]],TableDailySummary[Fecha],"&lt;="&amp;TableWeeklySummary[[#This Row],[Hasta]])</f>
        <v>0</v>
      </c>
      <c r="V203" s="11">
        <f>SUMIFS(TableDailySummary[Inversión meta ads],TableDailySummary[Fecha],"&gt;="&amp;TableWeeklySummary[[#This Row],[Desde]],TableDailySummary[Fecha],"&lt;="&amp;TableWeeklySummary[[#This Row],[Hasta]])</f>
        <v>0</v>
      </c>
      <c r="W203" s="11">
        <f>SUMIFS(TableDailySummary[Ventas meta ads],TableDailySummary[Fecha],"&gt;="&amp;TableWeeklySummary[[#This Row],[Desde]],TableDailySummary[Fecha],"&lt;="&amp;TableWeeklySummary[[#This Row],[Hasta]])</f>
        <v>0</v>
      </c>
      <c r="X203" s="11">
        <f>TableWeeklySummary[[#This Row],[Inversión google ads]]+TableWeeklySummary[[#This Row],[Inversión meta ads]]</f>
        <v>0</v>
      </c>
      <c r="Y203" s="11">
        <f>TableWeeklySummary[[#This Row],[Ventas google ads]]+TableWeeklySummary[[#This Row],[Ventas meta ads]]</f>
        <v>0</v>
      </c>
      <c r="Z203" s="14">
        <f>IFERROR(TableWeeklySummary[[#This Row],[Ventas publicidad]]/TableWeeklySummary[[#This Row],[Inversión publicidad]],0)</f>
        <v>0</v>
      </c>
      <c r="AA203" s="14">
        <f>IFERROR(TableWeeklySummary[[#This Row],[Ventas primer cliente]]/TableWeeklySummary[[#This Row],[Inversión publicidad]],0)</f>
        <v>0</v>
      </c>
      <c r="AB203" s="14"/>
      <c r="AC203" s="11"/>
      <c r="AI20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3" s="11">
        <f>SUMIFS(TableDailySummary[Costo de ventas registrado],TableDailySummary[Fecha],"&gt;="&amp;TableWeeklySummary[[#This Row],[Desde]],TableDailySummary[Fecha],"&lt;="&amp;TableWeeklySummary[[#This Row],[Hasta]])</f>
        <v>0</v>
      </c>
      <c r="AK203" s="11">
        <f>SUMIFS(TableDailySummary[Utilidad bruta],TableDailySummary[Fecha],"&gt;="&amp;TableWeeklySummary[[#This Row],[Desde]],TableDailySummary[Fecha],"&lt;="&amp;TableWeeklySummary[[#This Row],[Hasta]])</f>
        <v>0</v>
      </c>
      <c r="AL203" s="18">
        <f>IFERROR(TableWeeklySummary[[#This Row],[Utilidad bruta]]/TableWeeklySummary[[#This Row],[Ventas netas con costo registrado]],0)</f>
        <v>0</v>
      </c>
    </row>
    <row r="204" spans="2:38" x14ac:dyDescent="0.2">
      <c r="B204" s="16">
        <f>_xlfn.ISOWEEKNUM(TableWeeklySummary[[#This Row],[Hasta]])</f>
        <v>37</v>
      </c>
      <c r="C204" s="6">
        <f t="shared" si="5"/>
        <v>45905</v>
      </c>
      <c r="D204" s="6">
        <f>TableWeeklySummary[[#This Row],[Desde]]+7-1</f>
        <v>45911</v>
      </c>
      <c r="E204" s="11">
        <f>SUMIFS(TableDailySummary[Ventas netas totales],TableDailySummary[Fecha],"&gt;="&amp;TableWeeklySummary[[#This Row],[Desde]],TableDailySummary[Fecha],"&lt;="&amp;TableWeeklySummary[[#This Row],[Hasta]])</f>
        <v>0</v>
      </c>
      <c r="F204" s="11">
        <f>SUMIFS(TableDailySummary[Órdenes totales],TableDailySummary[Fecha],"&gt;="&amp;TableWeeklySummary[[#This Row],[Desde]],TableDailySummary[Fecha],"&lt;="&amp;TableWeeklySummary[[#This Row],[Hasta]])</f>
        <v>0</v>
      </c>
      <c r="G204" s="11">
        <f>IFERROR(TableWeeklySummary[[#This Row],[Ventas netas totales]]/TableWeeklySummary[[#This Row],[Órdenes totales]],0)</f>
        <v>0</v>
      </c>
      <c r="H20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1.0123734533183352E-2</v>
      </c>
      <c r="I204" s="11">
        <f>TableWeeklySummary[[#This Row],[Órden promedio totales]]*TableWeeklySummary[[#This Row],[CR totales]]</f>
        <v>0</v>
      </c>
      <c r="J204" s="11">
        <f>SUMIFS(TableDailySummary[Ventas primer cliente],TableDailySummary[Fecha],"&gt;="&amp;TableWeeklySummary[[#This Row],[Desde]],TableDailySummary[Fecha],"&lt;="&amp;TableWeeklySummary[[#This Row],[Hasta]])</f>
        <v>0</v>
      </c>
      <c r="K204" s="11">
        <f>SUMIFS(TableDailySummary[Órdenes primer cliente],TableDailySummary[Fecha],"&gt;="&amp;TableWeeklySummary[[#This Row],[Desde]],TableDailySummary[Fecha],"&lt;="&amp;TableWeeklySummary[[#This Row],[Hasta]])</f>
        <v>0</v>
      </c>
      <c r="L204" s="11">
        <f>SUMIFS(TableDailySummary[Online Store_net_sales],TableDailySummary[Fecha],"&gt;="&amp;TableWeeklySummary[[#This Row],[Desde]],TableDailySummary[Fecha],"&lt;="&amp;TableWeeklySummary[[#This Row],[Hasta]])</f>
        <v>0</v>
      </c>
      <c r="M204" s="11">
        <f>SUMIFS(TableDailySummary[Online Store_orders],TableDailySummary[Fecha],"&gt;="&amp;TableWeeklySummary[[#This Row],[Desde]],TableDailySummary[Fecha],"&lt;="&amp;TableWeeklySummary[[#This Row],[Hasta]])</f>
        <v>0</v>
      </c>
      <c r="N204" s="11">
        <f>SUMIFS(TableDailySummary[Tienda 81_net_sales],TableDailySummary[Fecha],"&gt;="&amp;TableWeeklySummary[[#This Row],[Desde]],TableDailySummary[Fecha],"&lt;="&amp;TableWeeklySummary[[#This Row],[Hasta]])</f>
        <v>0</v>
      </c>
      <c r="O204" s="11">
        <f>SUMIFS(TableDailySummary[Tienda 81_orders],TableDailySummary[Fecha],"&gt;="&amp;TableWeeklySummary[[#This Row],[Desde]],TableDailySummary[Fecha],"&lt;="&amp;TableWeeklySummary[[#This Row],[Hasta]])</f>
        <v>0</v>
      </c>
      <c r="P204" s="11">
        <f>SUMIFS(TableDailySummary[Rappi_net_sales],TableDailySummary[Fecha],"&gt;="&amp;TableWeeklySummary[[#This Row],[Desde]],TableDailySummary[Fecha],"&lt;="&amp;TableWeeklySummary[[#This Row],[Hasta]])</f>
        <v>0</v>
      </c>
      <c r="Q204" s="11">
        <f>SUMIFS(TableDailySummary[Rappi_orders],TableDailySummary[Fecha],"&gt;="&amp;TableWeeklySummary[[#This Row],[Desde]],TableDailySummary[Fecha],"&lt;="&amp;TableWeeklySummary[[#This Row],[Hasta]])</f>
        <v>0</v>
      </c>
      <c r="R20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4" s="11">
        <f>SUMIFS(TableDailySummary[Corporativo no tienda_orders],TableDailySummary[Fecha],"&gt;="&amp;TableWeeklySummary[[#This Row],[Desde]],TableDailySummary[Fecha],"&lt;="&amp;TableWeeklySummary[[#This Row],[Hasta]])</f>
        <v>0</v>
      </c>
      <c r="T204" s="11">
        <f>SUMIFS(TableDailySummary[Inversión google ads],TableDailySummary[Fecha],"&gt;="&amp;TableWeeklySummary[[#This Row],[Desde]],TableDailySummary[Fecha],"&lt;="&amp;TableWeeklySummary[[#This Row],[Hasta]])</f>
        <v>0</v>
      </c>
      <c r="U204" s="11">
        <f>SUMIFS(TableDailySummary[Ventas google ads],TableDailySummary[Fecha],"&gt;="&amp;TableWeeklySummary[[#This Row],[Desde]],TableDailySummary[Fecha],"&lt;="&amp;TableWeeklySummary[[#This Row],[Hasta]])</f>
        <v>0</v>
      </c>
      <c r="V204" s="11">
        <f>SUMIFS(TableDailySummary[Inversión meta ads],TableDailySummary[Fecha],"&gt;="&amp;TableWeeklySummary[[#This Row],[Desde]],TableDailySummary[Fecha],"&lt;="&amp;TableWeeklySummary[[#This Row],[Hasta]])</f>
        <v>0</v>
      </c>
      <c r="W204" s="11">
        <f>SUMIFS(TableDailySummary[Ventas meta ads],TableDailySummary[Fecha],"&gt;="&amp;TableWeeklySummary[[#This Row],[Desde]],TableDailySummary[Fecha],"&lt;="&amp;TableWeeklySummary[[#This Row],[Hasta]])</f>
        <v>0</v>
      </c>
      <c r="X204" s="11">
        <f>TableWeeklySummary[[#This Row],[Inversión google ads]]+TableWeeklySummary[[#This Row],[Inversión meta ads]]</f>
        <v>0</v>
      </c>
      <c r="Y204" s="11">
        <f>TableWeeklySummary[[#This Row],[Ventas google ads]]+TableWeeklySummary[[#This Row],[Ventas meta ads]]</f>
        <v>0</v>
      </c>
      <c r="Z204" s="14">
        <f>IFERROR(TableWeeklySummary[[#This Row],[Ventas publicidad]]/TableWeeklySummary[[#This Row],[Inversión publicidad]],0)</f>
        <v>0</v>
      </c>
      <c r="AA204" s="14">
        <f>IFERROR(TableWeeklySummary[[#This Row],[Ventas primer cliente]]/TableWeeklySummary[[#This Row],[Inversión publicidad]],0)</f>
        <v>0</v>
      </c>
      <c r="AB204" s="14"/>
      <c r="AC204" s="11"/>
      <c r="AI20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4" s="11">
        <f>SUMIFS(TableDailySummary[Costo de ventas registrado],TableDailySummary[Fecha],"&gt;="&amp;TableWeeklySummary[[#This Row],[Desde]],TableDailySummary[Fecha],"&lt;="&amp;TableWeeklySummary[[#This Row],[Hasta]])</f>
        <v>0</v>
      </c>
      <c r="AK204" s="11">
        <f>SUMIFS(TableDailySummary[Utilidad bruta],TableDailySummary[Fecha],"&gt;="&amp;TableWeeklySummary[[#This Row],[Desde]],TableDailySummary[Fecha],"&lt;="&amp;TableWeeklySummary[[#This Row],[Hasta]])</f>
        <v>0</v>
      </c>
      <c r="AL204" s="18">
        <f>IFERROR(TableWeeklySummary[[#This Row],[Utilidad bruta]]/TableWeeklySummary[[#This Row],[Ventas netas con costo registrado]],0)</f>
        <v>0</v>
      </c>
    </row>
    <row r="205" spans="2:38" x14ac:dyDescent="0.2">
      <c r="B205" s="16">
        <f>_xlfn.ISOWEEKNUM(TableWeeklySummary[[#This Row],[Hasta]])</f>
        <v>38</v>
      </c>
      <c r="C205" s="6">
        <f t="shared" si="5"/>
        <v>45912</v>
      </c>
      <c r="D205" s="6">
        <f>TableWeeklySummary[[#This Row],[Desde]]+7-1</f>
        <v>45918</v>
      </c>
      <c r="E205" s="11">
        <f>SUMIFS(TableDailySummary[Ventas netas totales],TableDailySummary[Fecha],"&gt;="&amp;TableWeeklySummary[[#This Row],[Desde]],TableDailySummary[Fecha],"&lt;="&amp;TableWeeklySummary[[#This Row],[Hasta]])</f>
        <v>0</v>
      </c>
      <c r="F205" s="11">
        <f>SUMIFS(TableDailySummary[Órdenes totales],TableDailySummary[Fecha],"&gt;="&amp;TableWeeklySummary[[#This Row],[Desde]],TableDailySummary[Fecha],"&lt;="&amp;TableWeeklySummary[[#This Row],[Hasta]])</f>
        <v>0</v>
      </c>
      <c r="G205" s="11">
        <f>IFERROR(TableWeeklySummary[[#This Row],[Ventas netas totales]]/TableWeeklySummary[[#This Row],[Órdenes totales]],0)</f>
        <v>0</v>
      </c>
      <c r="H20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6.739484080873809E-3</v>
      </c>
      <c r="I205" s="11">
        <f>TableWeeklySummary[[#This Row],[Órden promedio totales]]*TableWeeklySummary[[#This Row],[CR totales]]</f>
        <v>0</v>
      </c>
      <c r="J205" s="11">
        <f>SUMIFS(TableDailySummary[Ventas primer cliente],TableDailySummary[Fecha],"&gt;="&amp;TableWeeklySummary[[#This Row],[Desde]],TableDailySummary[Fecha],"&lt;="&amp;TableWeeklySummary[[#This Row],[Hasta]])</f>
        <v>0</v>
      </c>
      <c r="K205" s="11">
        <f>SUMIFS(TableDailySummary[Órdenes primer cliente],TableDailySummary[Fecha],"&gt;="&amp;TableWeeklySummary[[#This Row],[Desde]],TableDailySummary[Fecha],"&lt;="&amp;TableWeeklySummary[[#This Row],[Hasta]])</f>
        <v>0</v>
      </c>
      <c r="L205" s="11">
        <f>SUMIFS(TableDailySummary[Online Store_net_sales],TableDailySummary[Fecha],"&gt;="&amp;TableWeeklySummary[[#This Row],[Desde]],TableDailySummary[Fecha],"&lt;="&amp;TableWeeklySummary[[#This Row],[Hasta]])</f>
        <v>0</v>
      </c>
      <c r="M205" s="11">
        <f>SUMIFS(TableDailySummary[Online Store_orders],TableDailySummary[Fecha],"&gt;="&amp;TableWeeklySummary[[#This Row],[Desde]],TableDailySummary[Fecha],"&lt;="&amp;TableWeeklySummary[[#This Row],[Hasta]])</f>
        <v>0</v>
      </c>
      <c r="N205" s="11">
        <f>SUMIFS(TableDailySummary[Tienda 81_net_sales],TableDailySummary[Fecha],"&gt;="&amp;TableWeeklySummary[[#This Row],[Desde]],TableDailySummary[Fecha],"&lt;="&amp;TableWeeklySummary[[#This Row],[Hasta]])</f>
        <v>0</v>
      </c>
      <c r="O205" s="11">
        <f>SUMIFS(TableDailySummary[Tienda 81_orders],TableDailySummary[Fecha],"&gt;="&amp;TableWeeklySummary[[#This Row],[Desde]],TableDailySummary[Fecha],"&lt;="&amp;TableWeeklySummary[[#This Row],[Hasta]])</f>
        <v>0</v>
      </c>
      <c r="P205" s="11">
        <f>SUMIFS(TableDailySummary[Rappi_net_sales],TableDailySummary[Fecha],"&gt;="&amp;TableWeeklySummary[[#This Row],[Desde]],TableDailySummary[Fecha],"&lt;="&amp;TableWeeklySummary[[#This Row],[Hasta]])</f>
        <v>0</v>
      </c>
      <c r="Q205" s="11">
        <f>SUMIFS(TableDailySummary[Rappi_orders],TableDailySummary[Fecha],"&gt;="&amp;TableWeeklySummary[[#This Row],[Desde]],TableDailySummary[Fecha],"&lt;="&amp;TableWeeklySummary[[#This Row],[Hasta]])</f>
        <v>0</v>
      </c>
      <c r="R20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5" s="11">
        <f>SUMIFS(TableDailySummary[Corporativo no tienda_orders],TableDailySummary[Fecha],"&gt;="&amp;TableWeeklySummary[[#This Row],[Desde]],TableDailySummary[Fecha],"&lt;="&amp;TableWeeklySummary[[#This Row],[Hasta]])</f>
        <v>0</v>
      </c>
      <c r="T205" s="11">
        <f>SUMIFS(TableDailySummary[Inversión google ads],TableDailySummary[Fecha],"&gt;="&amp;TableWeeklySummary[[#This Row],[Desde]],TableDailySummary[Fecha],"&lt;="&amp;TableWeeklySummary[[#This Row],[Hasta]])</f>
        <v>0</v>
      </c>
      <c r="U205" s="11">
        <f>SUMIFS(TableDailySummary[Ventas google ads],TableDailySummary[Fecha],"&gt;="&amp;TableWeeklySummary[[#This Row],[Desde]],TableDailySummary[Fecha],"&lt;="&amp;TableWeeklySummary[[#This Row],[Hasta]])</f>
        <v>0</v>
      </c>
      <c r="V205" s="11">
        <f>SUMIFS(TableDailySummary[Inversión meta ads],TableDailySummary[Fecha],"&gt;="&amp;TableWeeklySummary[[#This Row],[Desde]],TableDailySummary[Fecha],"&lt;="&amp;TableWeeklySummary[[#This Row],[Hasta]])</f>
        <v>0</v>
      </c>
      <c r="W205" s="11">
        <f>SUMIFS(TableDailySummary[Ventas meta ads],TableDailySummary[Fecha],"&gt;="&amp;TableWeeklySummary[[#This Row],[Desde]],TableDailySummary[Fecha],"&lt;="&amp;TableWeeklySummary[[#This Row],[Hasta]])</f>
        <v>0</v>
      </c>
      <c r="X205" s="11">
        <f>TableWeeklySummary[[#This Row],[Inversión google ads]]+TableWeeklySummary[[#This Row],[Inversión meta ads]]</f>
        <v>0</v>
      </c>
      <c r="Y205" s="11">
        <f>TableWeeklySummary[[#This Row],[Ventas google ads]]+TableWeeklySummary[[#This Row],[Ventas meta ads]]</f>
        <v>0</v>
      </c>
      <c r="Z205" s="14">
        <f>IFERROR(TableWeeklySummary[[#This Row],[Ventas publicidad]]/TableWeeklySummary[[#This Row],[Inversión publicidad]],0)</f>
        <v>0</v>
      </c>
      <c r="AA205" s="14">
        <f>IFERROR(TableWeeklySummary[[#This Row],[Ventas primer cliente]]/TableWeeklySummary[[#This Row],[Inversión publicidad]],0)</f>
        <v>0</v>
      </c>
      <c r="AB205" s="14"/>
      <c r="AC205" s="11"/>
      <c r="AI20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5" s="11">
        <f>SUMIFS(TableDailySummary[Costo de ventas registrado],TableDailySummary[Fecha],"&gt;="&amp;TableWeeklySummary[[#This Row],[Desde]],TableDailySummary[Fecha],"&lt;="&amp;TableWeeklySummary[[#This Row],[Hasta]])</f>
        <v>0</v>
      </c>
      <c r="AK205" s="11">
        <f>SUMIFS(TableDailySummary[Utilidad bruta],TableDailySummary[Fecha],"&gt;="&amp;TableWeeklySummary[[#This Row],[Desde]],TableDailySummary[Fecha],"&lt;="&amp;TableWeeklySummary[[#This Row],[Hasta]])</f>
        <v>0</v>
      </c>
      <c r="AL205" s="18">
        <f>IFERROR(TableWeeklySummary[[#This Row],[Utilidad bruta]]/TableWeeklySummary[[#This Row],[Ventas netas con costo registrado]],0)</f>
        <v>0</v>
      </c>
    </row>
    <row r="206" spans="2:38" x14ac:dyDescent="0.2">
      <c r="B206" s="16">
        <f>_xlfn.ISOWEEKNUM(TableWeeklySummary[[#This Row],[Hasta]])</f>
        <v>39</v>
      </c>
      <c r="C206" s="6">
        <f t="shared" si="5"/>
        <v>45919</v>
      </c>
      <c r="D206" s="6">
        <f>TableWeeklySummary[[#This Row],[Desde]]+7-1</f>
        <v>45925</v>
      </c>
      <c r="E206" s="11">
        <f>SUMIFS(TableDailySummary[Ventas netas totales],TableDailySummary[Fecha],"&gt;="&amp;TableWeeklySummary[[#This Row],[Desde]],TableDailySummary[Fecha],"&lt;="&amp;TableWeeklySummary[[#This Row],[Hasta]])</f>
        <v>0</v>
      </c>
      <c r="F206" s="11">
        <f>SUMIFS(TableDailySummary[Órdenes totales],TableDailySummary[Fecha],"&gt;="&amp;TableWeeklySummary[[#This Row],[Desde]],TableDailySummary[Fecha],"&lt;="&amp;TableWeeklySummary[[#This Row],[Hasta]])</f>
        <v>0</v>
      </c>
      <c r="G206" s="11">
        <f>IFERROR(TableWeeklySummary[[#This Row],[Ventas netas totales]]/TableWeeklySummary[[#This Row],[Órdenes totales]],0)</f>
        <v>0</v>
      </c>
      <c r="H20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9.958239640218438E-3</v>
      </c>
      <c r="I206" s="11">
        <f>TableWeeklySummary[[#This Row],[Órden promedio totales]]*TableWeeklySummary[[#This Row],[CR totales]]</f>
        <v>0</v>
      </c>
      <c r="J206" s="11">
        <f>SUMIFS(TableDailySummary[Ventas primer cliente],TableDailySummary[Fecha],"&gt;="&amp;TableWeeklySummary[[#This Row],[Desde]],TableDailySummary[Fecha],"&lt;="&amp;TableWeeklySummary[[#This Row],[Hasta]])</f>
        <v>0</v>
      </c>
      <c r="K206" s="11">
        <f>SUMIFS(TableDailySummary[Órdenes primer cliente],TableDailySummary[Fecha],"&gt;="&amp;TableWeeklySummary[[#This Row],[Desde]],TableDailySummary[Fecha],"&lt;="&amp;TableWeeklySummary[[#This Row],[Hasta]])</f>
        <v>0</v>
      </c>
      <c r="L206" s="11">
        <f>SUMIFS(TableDailySummary[Online Store_net_sales],TableDailySummary[Fecha],"&gt;="&amp;TableWeeklySummary[[#This Row],[Desde]],TableDailySummary[Fecha],"&lt;="&amp;TableWeeklySummary[[#This Row],[Hasta]])</f>
        <v>0</v>
      </c>
      <c r="M206" s="11">
        <f>SUMIFS(TableDailySummary[Online Store_orders],TableDailySummary[Fecha],"&gt;="&amp;TableWeeklySummary[[#This Row],[Desde]],TableDailySummary[Fecha],"&lt;="&amp;TableWeeklySummary[[#This Row],[Hasta]])</f>
        <v>0</v>
      </c>
      <c r="N206" s="11">
        <f>SUMIFS(TableDailySummary[Tienda 81_net_sales],TableDailySummary[Fecha],"&gt;="&amp;TableWeeklySummary[[#This Row],[Desde]],TableDailySummary[Fecha],"&lt;="&amp;TableWeeklySummary[[#This Row],[Hasta]])</f>
        <v>0</v>
      </c>
      <c r="O206" s="11">
        <f>SUMIFS(TableDailySummary[Tienda 81_orders],TableDailySummary[Fecha],"&gt;="&amp;TableWeeklySummary[[#This Row],[Desde]],TableDailySummary[Fecha],"&lt;="&amp;TableWeeklySummary[[#This Row],[Hasta]])</f>
        <v>0</v>
      </c>
      <c r="P206" s="11">
        <f>SUMIFS(TableDailySummary[Rappi_net_sales],TableDailySummary[Fecha],"&gt;="&amp;TableWeeklySummary[[#This Row],[Desde]],TableDailySummary[Fecha],"&lt;="&amp;TableWeeklySummary[[#This Row],[Hasta]])</f>
        <v>0</v>
      </c>
      <c r="Q206" s="11">
        <f>SUMIFS(TableDailySummary[Rappi_orders],TableDailySummary[Fecha],"&gt;="&amp;TableWeeklySummary[[#This Row],[Desde]],TableDailySummary[Fecha],"&lt;="&amp;TableWeeklySummary[[#This Row],[Hasta]])</f>
        <v>0</v>
      </c>
      <c r="R20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6" s="11">
        <f>SUMIFS(TableDailySummary[Corporativo no tienda_orders],TableDailySummary[Fecha],"&gt;="&amp;TableWeeklySummary[[#This Row],[Desde]],TableDailySummary[Fecha],"&lt;="&amp;TableWeeklySummary[[#This Row],[Hasta]])</f>
        <v>0</v>
      </c>
      <c r="T206" s="11">
        <f>SUMIFS(TableDailySummary[Inversión google ads],TableDailySummary[Fecha],"&gt;="&amp;TableWeeklySummary[[#This Row],[Desde]],TableDailySummary[Fecha],"&lt;="&amp;TableWeeklySummary[[#This Row],[Hasta]])</f>
        <v>0</v>
      </c>
      <c r="U206" s="11">
        <f>SUMIFS(TableDailySummary[Ventas google ads],TableDailySummary[Fecha],"&gt;="&amp;TableWeeklySummary[[#This Row],[Desde]],TableDailySummary[Fecha],"&lt;="&amp;TableWeeklySummary[[#This Row],[Hasta]])</f>
        <v>0</v>
      </c>
      <c r="V206" s="11">
        <f>SUMIFS(TableDailySummary[Inversión meta ads],TableDailySummary[Fecha],"&gt;="&amp;TableWeeklySummary[[#This Row],[Desde]],TableDailySummary[Fecha],"&lt;="&amp;TableWeeklySummary[[#This Row],[Hasta]])</f>
        <v>0</v>
      </c>
      <c r="W206" s="11">
        <f>SUMIFS(TableDailySummary[Ventas meta ads],TableDailySummary[Fecha],"&gt;="&amp;TableWeeklySummary[[#This Row],[Desde]],TableDailySummary[Fecha],"&lt;="&amp;TableWeeklySummary[[#This Row],[Hasta]])</f>
        <v>0</v>
      </c>
      <c r="X206" s="11">
        <f>TableWeeklySummary[[#This Row],[Inversión google ads]]+TableWeeklySummary[[#This Row],[Inversión meta ads]]</f>
        <v>0</v>
      </c>
      <c r="Y206" s="11">
        <f>TableWeeklySummary[[#This Row],[Ventas google ads]]+TableWeeklySummary[[#This Row],[Ventas meta ads]]</f>
        <v>0</v>
      </c>
      <c r="Z206" s="14">
        <f>IFERROR(TableWeeklySummary[[#This Row],[Ventas publicidad]]/TableWeeklySummary[[#This Row],[Inversión publicidad]],0)</f>
        <v>0</v>
      </c>
      <c r="AA206" s="14">
        <f>IFERROR(TableWeeklySummary[[#This Row],[Ventas primer cliente]]/TableWeeklySummary[[#This Row],[Inversión publicidad]],0)</f>
        <v>0</v>
      </c>
      <c r="AB206" s="14"/>
      <c r="AC206" s="11"/>
      <c r="AI20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6" s="11">
        <f>SUMIFS(TableDailySummary[Costo de ventas registrado],TableDailySummary[Fecha],"&gt;="&amp;TableWeeklySummary[[#This Row],[Desde]],TableDailySummary[Fecha],"&lt;="&amp;TableWeeklySummary[[#This Row],[Hasta]])</f>
        <v>0</v>
      </c>
      <c r="AK206" s="11">
        <f>SUMIFS(TableDailySummary[Utilidad bruta],TableDailySummary[Fecha],"&gt;="&amp;TableWeeklySummary[[#This Row],[Desde]],TableDailySummary[Fecha],"&lt;="&amp;TableWeeklySummary[[#This Row],[Hasta]])</f>
        <v>0</v>
      </c>
      <c r="AL206" s="18">
        <f>IFERROR(TableWeeklySummary[[#This Row],[Utilidad bruta]]/TableWeeklySummary[[#This Row],[Ventas netas con costo registrado]],0)</f>
        <v>0</v>
      </c>
    </row>
    <row r="207" spans="2:38" x14ac:dyDescent="0.2">
      <c r="B207" s="16">
        <f>_xlfn.ISOWEEKNUM(TableWeeklySummary[[#This Row],[Hasta]])</f>
        <v>40</v>
      </c>
      <c r="C207" s="6">
        <f t="shared" si="5"/>
        <v>45926</v>
      </c>
      <c r="D207" s="6">
        <f>TableWeeklySummary[[#This Row],[Desde]]+7-1</f>
        <v>45932</v>
      </c>
      <c r="E207" s="11">
        <f>SUMIFS(TableDailySummary[Ventas netas totales],TableDailySummary[Fecha],"&gt;="&amp;TableWeeklySummary[[#This Row],[Desde]],TableDailySummary[Fecha],"&lt;="&amp;TableWeeklySummary[[#This Row],[Hasta]])</f>
        <v>0</v>
      </c>
      <c r="F207" s="11">
        <f>SUMIFS(TableDailySummary[Órdenes totales],TableDailySummary[Fecha],"&gt;="&amp;TableWeeklySummary[[#This Row],[Desde]],TableDailySummary[Fecha],"&lt;="&amp;TableWeeklySummary[[#This Row],[Hasta]])</f>
        <v>0</v>
      </c>
      <c r="G207" s="11">
        <f>IFERROR(TableWeeklySummary[[#This Row],[Ventas netas totales]]/TableWeeklySummary[[#This Row],[Órdenes totales]],0)</f>
        <v>0</v>
      </c>
      <c r="H20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7.5669383003492434E-3</v>
      </c>
      <c r="I207" s="11">
        <f>TableWeeklySummary[[#This Row],[Órden promedio totales]]*TableWeeklySummary[[#This Row],[CR totales]]</f>
        <v>0</v>
      </c>
      <c r="J207" s="11">
        <f>SUMIFS(TableDailySummary[Ventas primer cliente],TableDailySummary[Fecha],"&gt;="&amp;TableWeeklySummary[[#This Row],[Desde]],TableDailySummary[Fecha],"&lt;="&amp;TableWeeklySummary[[#This Row],[Hasta]])</f>
        <v>0</v>
      </c>
      <c r="K207" s="11">
        <f>SUMIFS(TableDailySummary[Órdenes primer cliente],TableDailySummary[Fecha],"&gt;="&amp;TableWeeklySummary[[#This Row],[Desde]],TableDailySummary[Fecha],"&lt;="&amp;TableWeeklySummary[[#This Row],[Hasta]])</f>
        <v>0</v>
      </c>
      <c r="L207" s="11">
        <f>SUMIFS(TableDailySummary[Online Store_net_sales],TableDailySummary[Fecha],"&gt;="&amp;TableWeeklySummary[[#This Row],[Desde]],TableDailySummary[Fecha],"&lt;="&amp;TableWeeklySummary[[#This Row],[Hasta]])</f>
        <v>0</v>
      </c>
      <c r="M207" s="11">
        <f>SUMIFS(TableDailySummary[Online Store_orders],TableDailySummary[Fecha],"&gt;="&amp;TableWeeklySummary[[#This Row],[Desde]],TableDailySummary[Fecha],"&lt;="&amp;TableWeeklySummary[[#This Row],[Hasta]])</f>
        <v>0</v>
      </c>
      <c r="N207" s="11">
        <f>SUMIFS(TableDailySummary[Tienda 81_net_sales],TableDailySummary[Fecha],"&gt;="&amp;TableWeeklySummary[[#This Row],[Desde]],TableDailySummary[Fecha],"&lt;="&amp;TableWeeklySummary[[#This Row],[Hasta]])</f>
        <v>0</v>
      </c>
      <c r="O207" s="11">
        <f>SUMIFS(TableDailySummary[Tienda 81_orders],TableDailySummary[Fecha],"&gt;="&amp;TableWeeklySummary[[#This Row],[Desde]],TableDailySummary[Fecha],"&lt;="&amp;TableWeeklySummary[[#This Row],[Hasta]])</f>
        <v>0</v>
      </c>
      <c r="P207" s="11">
        <f>SUMIFS(TableDailySummary[Rappi_net_sales],TableDailySummary[Fecha],"&gt;="&amp;TableWeeklySummary[[#This Row],[Desde]],TableDailySummary[Fecha],"&lt;="&amp;TableWeeklySummary[[#This Row],[Hasta]])</f>
        <v>0</v>
      </c>
      <c r="Q207" s="11">
        <f>SUMIFS(TableDailySummary[Rappi_orders],TableDailySummary[Fecha],"&gt;="&amp;TableWeeklySummary[[#This Row],[Desde]],TableDailySummary[Fecha],"&lt;="&amp;TableWeeklySummary[[#This Row],[Hasta]])</f>
        <v>0</v>
      </c>
      <c r="R20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7" s="11">
        <f>SUMIFS(TableDailySummary[Corporativo no tienda_orders],TableDailySummary[Fecha],"&gt;="&amp;TableWeeklySummary[[#This Row],[Desde]],TableDailySummary[Fecha],"&lt;="&amp;TableWeeklySummary[[#This Row],[Hasta]])</f>
        <v>0</v>
      </c>
      <c r="T207" s="11">
        <f>SUMIFS(TableDailySummary[Inversión google ads],TableDailySummary[Fecha],"&gt;="&amp;TableWeeklySummary[[#This Row],[Desde]],TableDailySummary[Fecha],"&lt;="&amp;TableWeeklySummary[[#This Row],[Hasta]])</f>
        <v>0</v>
      </c>
      <c r="U207" s="11">
        <f>SUMIFS(TableDailySummary[Ventas google ads],TableDailySummary[Fecha],"&gt;="&amp;TableWeeklySummary[[#This Row],[Desde]],TableDailySummary[Fecha],"&lt;="&amp;TableWeeklySummary[[#This Row],[Hasta]])</f>
        <v>0</v>
      </c>
      <c r="V207" s="11">
        <f>SUMIFS(TableDailySummary[Inversión meta ads],TableDailySummary[Fecha],"&gt;="&amp;TableWeeklySummary[[#This Row],[Desde]],TableDailySummary[Fecha],"&lt;="&amp;TableWeeklySummary[[#This Row],[Hasta]])</f>
        <v>0</v>
      </c>
      <c r="W207" s="11">
        <f>SUMIFS(TableDailySummary[Ventas meta ads],TableDailySummary[Fecha],"&gt;="&amp;TableWeeklySummary[[#This Row],[Desde]],TableDailySummary[Fecha],"&lt;="&amp;TableWeeklySummary[[#This Row],[Hasta]])</f>
        <v>0</v>
      </c>
      <c r="X207" s="11">
        <f>TableWeeklySummary[[#This Row],[Inversión google ads]]+TableWeeklySummary[[#This Row],[Inversión meta ads]]</f>
        <v>0</v>
      </c>
      <c r="Y207" s="11">
        <f>TableWeeklySummary[[#This Row],[Ventas google ads]]+TableWeeklySummary[[#This Row],[Ventas meta ads]]</f>
        <v>0</v>
      </c>
      <c r="Z207" s="14">
        <f>IFERROR(TableWeeklySummary[[#This Row],[Ventas publicidad]]/TableWeeklySummary[[#This Row],[Inversión publicidad]],0)</f>
        <v>0</v>
      </c>
      <c r="AA207" s="14">
        <f>IFERROR(TableWeeklySummary[[#This Row],[Ventas primer cliente]]/TableWeeklySummary[[#This Row],[Inversión publicidad]],0)</f>
        <v>0</v>
      </c>
      <c r="AB207" s="14"/>
      <c r="AC207" s="11"/>
      <c r="AI20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7" s="11">
        <f>SUMIFS(TableDailySummary[Costo de ventas registrado],TableDailySummary[Fecha],"&gt;="&amp;TableWeeklySummary[[#This Row],[Desde]],TableDailySummary[Fecha],"&lt;="&amp;TableWeeklySummary[[#This Row],[Hasta]])</f>
        <v>0</v>
      </c>
      <c r="AK207" s="11">
        <f>SUMIFS(TableDailySummary[Utilidad bruta],TableDailySummary[Fecha],"&gt;="&amp;TableWeeklySummary[[#This Row],[Desde]],TableDailySummary[Fecha],"&lt;="&amp;TableWeeklySummary[[#This Row],[Hasta]])</f>
        <v>0</v>
      </c>
      <c r="AL207" s="18">
        <f>IFERROR(TableWeeklySummary[[#This Row],[Utilidad bruta]]/TableWeeklySummary[[#This Row],[Ventas netas con costo registrado]],0)</f>
        <v>0</v>
      </c>
    </row>
    <row r="208" spans="2:38" x14ac:dyDescent="0.2">
      <c r="B208" s="16">
        <f>_xlfn.ISOWEEKNUM(TableWeeklySummary[[#This Row],[Hasta]])</f>
        <v>41</v>
      </c>
      <c r="C208" s="6">
        <f t="shared" si="5"/>
        <v>45933</v>
      </c>
      <c r="D208" s="6">
        <f>TableWeeklySummary[[#This Row],[Desde]]+7-1</f>
        <v>45939</v>
      </c>
      <c r="E208" s="11">
        <f>SUMIFS(TableDailySummary[Ventas netas totales],TableDailySummary[Fecha],"&gt;="&amp;TableWeeklySummary[[#This Row],[Desde]],TableDailySummary[Fecha],"&lt;="&amp;TableWeeklySummary[[#This Row],[Hasta]])</f>
        <v>0</v>
      </c>
      <c r="F208" s="11">
        <f>SUMIFS(TableDailySummary[Órdenes totales],TableDailySummary[Fecha],"&gt;="&amp;TableWeeklySummary[[#This Row],[Desde]],TableDailySummary[Fecha],"&lt;="&amp;TableWeeklySummary[[#This Row],[Hasta]])</f>
        <v>0</v>
      </c>
      <c r="G208" s="11">
        <f>IFERROR(TableWeeklySummary[[#This Row],[Ventas netas totales]]/TableWeeklySummary[[#This Row],[Órdenes totales]],0)</f>
        <v>0</v>
      </c>
      <c r="H20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6.4163498098859318E-3</v>
      </c>
      <c r="I208" s="11">
        <f>TableWeeklySummary[[#This Row],[Órden promedio totales]]*TableWeeklySummary[[#This Row],[CR totales]]</f>
        <v>0</v>
      </c>
      <c r="J208" s="11">
        <f>SUMIFS(TableDailySummary[Ventas primer cliente],TableDailySummary[Fecha],"&gt;="&amp;TableWeeklySummary[[#This Row],[Desde]],TableDailySummary[Fecha],"&lt;="&amp;TableWeeklySummary[[#This Row],[Hasta]])</f>
        <v>0</v>
      </c>
      <c r="K208" s="11">
        <f>SUMIFS(TableDailySummary[Órdenes primer cliente],TableDailySummary[Fecha],"&gt;="&amp;TableWeeklySummary[[#This Row],[Desde]],TableDailySummary[Fecha],"&lt;="&amp;TableWeeklySummary[[#This Row],[Hasta]])</f>
        <v>0</v>
      </c>
      <c r="L208" s="11">
        <f>SUMIFS(TableDailySummary[Online Store_net_sales],TableDailySummary[Fecha],"&gt;="&amp;TableWeeklySummary[[#This Row],[Desde]],TableDailySummary[Fecha],"&lt;="&amp;TableWeeklySummary[[#This Row],[Hasta]])</f>
        <v>0</v>
      </c>
      <c r="M208" s="11">
        <f>SUMIFS(TableDailySummary[Online Store_orders],TableDailySummary[Fecha],"&gt;="&amp;TableWeeklySummary[[#This Row],[Desde]],TableDailySummary[Fecha],"&lt;="&amp;TableWeeklySummary[[#This Row],[Hasta]])</f>
        <v>0</v>
      </c>
      <c r="N208" s="11">
        <f>SUMIFS(TableDailySummary[Tienda 81_net_sales],TableDailySummary[Fecha],"&gt;="&amp;TableWeeklySummary[[#This Row],[Desde]],TableDailySummary[Fecha],"&lt;="&amp;TableWeeklySummary[[#This Row],[Hasta]])</f>
        <v>0</v>
      </c>
      <c r="O208" s="11">
        <f>SUMIFS(TableDailySummary[Tienda 81_orders],TableDailySummary[Fecha],"&gt;="&amp;TableWeeklySummary[[#This Row],[Desde]],TableDailySummary[Fecha],"&lt;="&amp;TableWeeklySummary[[#This Row],[Hasta]])</f>
        <v>0</v>
      </c>
      <c r="P208" s="11">
        <f>SUMIFS(TableDailySummary[Rappi_net_sales],TableDailySummary[Fecha],"&gt;="&amp;TableWeeklySummary[[#This Row],[Desde]],TableDailySummary[Fecha],"&lt;="&amp;TableWeeklySummary[[#This Row],[Hasta]])</f>
        <v>0</v>
      </c>
      <c r="Q208" s="11">
        <f>SUMIFS(TableDailySummary[Rappi_orders],TableDailySummary[Fecha],"&gt;="&amp;TableWeeklySummary[[#This Row],[Desde]],TableDailySummary[Fecha],"&lt;="&amp;TableWeeklySummary[[#This Row],[Hasta]])</f>
        <v>0</v>
      </c>
      <c r="R20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8" s="11">
        <f>SUMIFS(TableDailySummary[Corporativo no tienda_orders],TableDailySummary[Fecha],"&gt;="&amp;TableWeeklySummary[[#This Row],[Desde]],TableDailySummary[Fecha],"&lt;="&amp;TableWeeklySummary[[#This Row],[Hasta]])</f>
        <v>0</v>
      </c>
      <c r="T208" s="11">
        <f>SUMIFS(TableDailySummary[Inversión google ads],TableDailySummary[Fecha],"&gt;="&amp;TableWeeklySummary[[#This Row],[Desde]],TableDailySummary[Fecha],"&lt;="&amp;TableWeeklySummary[[#This Row],[Hasta]])</f>
        <v>0</v>
      </c>
      <c r="U208" s="11">
        <f>SUMIFS(TableDailySummary[Ventas google ads],TableDailySummary[Fecha],"&gt;="&amp;TableWeeklySummary[[#This Row],[Desde]],TableDailySummary[Fecha],"&lt;="&amp;TableWeeklySummary[[#This Row],[Hasta]])</f>
        <v>0</v>
      </c>
      <c r="V208" s="11">
        <f>SUMIFS(TableDailySummary[Inversión meta ads],TableDailySummary[Fecha],"&gt;="&amp;TableWeeklySummary[[#This Row],[Desde]],TableDailySummary[Fecha],"&lt;="&amp;TableWeeklySummary[[#This Row],[Hasta]])</f>
        <v>0</v>
      </c>
      <c r="W208" s="11">
        <f>SUMIFS(TableDailySummary[Ventas meta ads],TableDailySummary[Fecha],"&gt;="&amp;TableWeeklySummary[[#This Row],[Desde]],TableDailySummary[Fecha],"&lt;="&amp;TableWeeklySummary[[#This Row],[Hasta]])</f>
        <v>0</v>
      </c>
      <c r="X208" s="11">
        <f>TableWeeklySummary[[#This Row],[Inversión google ads]]+TableWeeklySummary[[#This Row],[Inversión meta ads]]</f>
        <v>0</v>
      </c>
      <c r="Y208" s="11">
        <f>TableWeeklySummary[[#This Row],[Ventas google ads]]+TableWeeklySummary[[#This Row],[Ventas meta ads]]</f>
        <v>0</v>
      </c>
      <c r="Z208" s="14">
        <f>IFERROR(TableWeeklySummary[[#This Row],[Ventas publicidad]]/TableWeeklySummary[[#This Row],[Inversión publicidad]],0)</f>
        <v>0</v>
      </c>
      <c r="AA208" s="14">
        <f>IFERROR(TableWeeklySummary[[#This Row],[Ventas primer cliente]]/TableWeeklySummary[[#This Row],[Inversión publicidad]],0)</f>
        <v>0</v>
      </c>
      <c r="AB208" s="14"/>
      <c r="AC208" s="11"/>
      <c r="AI20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8" s="11">
        <f>SUMIFS(TableDailySummary[Costo de ventas registrado],TableDailySummary[Fecha],"&gt;="&amp;TableWeeklySummary[[#This Row],[Desde]],TableDailySummary[Fecha],"&lt;="&amp;TableWeeklySummary[[#This Row],[Hasta]])</f>
        <v>0</v>
      </c>
      <c r="AK208" s="11">
        <f>SUMIFS(TableDailySummary[Utilidad bruta],TableDailySummary[Fecha],"&gt;="&amp;TableWeeklySummary[[#This Row],[Desde]],TableDailySummary[Fecha],"&lt;="&amp;TableWeeklySummary[[#This Row],[Hasta]])</f>
        <v>0</v>
      </c>
      <c r="AL208" s="18">
        <f>IFERROR(TableWeeklySummary[[#This Row],[Utilidad bruta]]/TableWeeklySummary[[#This Row],[Ventas netas con costo registrado]],0)</f>
        <v>0</v>
      </c>
    </row>
    <row r="209" spans="2:38" x14ac:dyDescent="0.2">
      <c r="B209" s="16">
        <f>_xlfn.ISOWEEKNUM(TableWeeklySummary[[#This Row],[Hasta]])</f>
        <v>42</v>
      </c>
      <c r="C209" s="6">
        <f t="shared" si="5"/>
        <v>45940</v>
      </c>
      <c r="D209" s="6">
        <f>TableWeeklySummary[[#This Row],[Desde]]+7-1</f>
        <v>45946</v>
      </c>
      <c r="E209" s="11">
        <f>SUMIFS(TableDailySummary[Ventas netas totales],TableDailySummary[Fecha],"&gt;="&amp;TableWeeklySummary[[#This Row],[Desde]],TableDailySummary[Fecha],"&lt;="&amp;TableWeeklySummary[[#This Row],[Hasta]])</f>
        <v>0</v>
      </c>
      <c r="F209" s="11">
        <f>SUMIFS(TableDailySummary[Órdenes totales],TableDailySummary[Fecha],"&gt;="&amp;TableWeeklySummary[[#This Row],[Desde]],TableDailySummary[Fecha],"&lt;="&amp;TableWeeklySummary[[#This Row],[Hasta]])</f>
        <v>0</v>
      </c>
      <c r="G209" s="11">
        <f>IFERROR(TableWeeklySummary[[#This Row],[Ventas netas totales]]/TableWeeklySummary[[#This Row],[Órdenes totales]],0)</f>
        <v>0</v>
      </c>
      <c r="H20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7.4550128534704371E-3</v>
      </c>
      <c r="I209" s="11">
        <f>TableWeeklySummary[[#This Row],[Órden promedio totales]]*TableWeeklySummary[[#This Row],[CR totales]]</f>
        <v>0</v>
      </c>
      <c r="J209" s="11">
        <f>SUMIFS(TableDailySummary[Ventas primer cliente],TableDailySummary[Fecha],"&gt;="&amp;TableWeeklySummary[[#This Row],[Desde]],TableDailySummary[Fecha],"&lt;="&amp;TableWeeklySummary[[#This Row],[Hasta]])</f>
        <v>0</v>
      </c>
      <c r="K209" s="11">
        <f>SUMIFS(TableDailySummary[Órdenes primer cliente],TableDailySummary[Fecha],"&gt;="&amp;TableWeeklySummary[[#This Row],[Desde]],TableDailySummary[Fecha],"&lt;="&amp;TableWeeklySummary[[#This Row],[Hasta]])</f>
        <v>0</v>
      </c>
      <c r="L209" s="11">
        <f>SUMIFS(TableDailySummary[Online Store_net_sales],TableDailySummary[Fecha],"&gt;="&amp;TableWeeklySummary[[#This Row],[Desde]],TableDailySummary[Fecha],"&lt;="&amp;TableWeeklySummary[[#This Row],[Hasta]])</f>
        <v>0</v>
      </c>
      <c r="M209" s="11">
        <f>SUMIFS(TableDailySummary[Online Store_orders],TableDailySummary[Fecha],"&gt;="&amp;TableWeeklySummary[[#This Row],[Desde]],TableDailySummary[Fecha],"&lt;="&amp;TableWeeklySummary[[#This Row],[Hasta]])</f>
        <v>0</v>
      </c>
      <c r="N209" s="11">
        <f>SUMIFS(TableDailySummary[Tienda 81_net_sales],TableDailySummary[Fecha],"&gt;="&amp;TableWeeklySummary[[#This Row],[Desde]],TableDailySummary[Fecha],"&lt;="&amp;TableWeeklySummary[[#This Row],[Hasta]])</f>
        <v>0</v>
      </c>
      <c r="O209" s="11">
        <f>SUMIFS(TableDailySummary[Tienda 81_orders],TableDailySummary[Fecha],"&gt;="&amp;TableWeeklySummary[[#This Row],[Desde]],TableDailySummary[Fecha],"&lt;="&amp;TableWeeklySummary[[#This Row],[Hasta]])</f>
        <v>0</v>
      </c>
      <c r="P209" s="11">
        <f>SUMIFS(TableDailySummary[Rappi_net_sales],TableDailySummary[Fecha],"&gt;="&amp;TableWeeklySummary[[#This Row],[Desde]],TableDailySummary[Fecha],"&lt;="&amp;TableWeeklySummary[[#This Row],[Hasta]])</f>
        <v>0</v>
      </c>
      <c r="Q209" s="11">
        <f>SUMIFS(TableDailySummary[Rappi_orders],TableDailySummary[Fecha],"&gt;="&amp;TableWeeklySummary[[#This Row],[Desde]],TableDailySummary[Fecha],"&lt;="&amp;TableWeeklySummary[[#This Row],[Hasta]])</f>
        <v>0</v>
      </c>
      <c r="R20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09" s="11">
        <f>SUMIFS(TableDailySummary[Corporativo no tienda_orders],TableDailySummary[Fecha],"&gt;="&amp;TableWeeklySummary[[#This Row],[Desde]],TableDailySummary[Fecha],"&lt;="&amp;TableWeeklySummary[[#This Row],[Hasta]])</f>
        <v>0</v>
      </c>
      <c r="T209" s="11">
        <f>SUMIFS(TableDailySummary[Inversión google ads],TableDailySummary[Fecha],"&gt;="&amp;TableWeeklySummary[[#This Row],[Desde]],TableDailySummary[Fecha],"&lt;="&amp;TableWeeklySummary[[#This Row],[Hasta]])</f>
        <v>0</v>
      </c>
      <c r="U209" s="11">
        <f>SUMIFS(TableDailySummary[Ventas google ads],TableDailySummary[Fecha],"&gt;="&amp;TableWeeklySummary[[#This Row],[Desde]],TableDailySummary[Fecha],"&lt;="&amp;TableWeeklySummary[[#This Row],[Hasta]])</f>
        <v>0</v>
      </c>
      <c r="V209" s="11">
        <f>SUMIFS(TableDailySummary[Inversión meta ads],TableDailySummary[Fecha],"&gt;="&amp;TableWeeklySummary[[#This Row],[Desde]],TableDailySummary[Fecha],"&lt;="&amp;TableWeeklySummary[[#This Row],[Hasta]])</f>
        <v>0</v>
      </c>
      <c r="W209" s="11">
        <f>SUMIFS(TableDailySummary[Ventas meta ads],TableDailySummary[Fecha],"&gt;="&amp;TableWeeklySummary[[#This Row],[Desde]],TableDailySummary[Fecha],"&lt;="&amp;TableWeeklySummary[[#This Row],[Hasta]])</f>
        <v>0</v>
      </c>
      <c r="X209" s="11">
        <f>TableWeeklySummary[[#This Row],[Inversión google ads]]+TableWeeklySummary[[#This Row],[Inversión meta ads]]</f>
        <v>0</v>
      </c>
      <c r="Y209" s="11">
        <f>TableWeeklySummary[[#This Row],[Ventas google ads]]+TableWeeklySummary[[#This Row],[Ventas meta ads]]</f>
        <v>0</v>
      </c>
      <c r="Z209" s="14">
        <f>IFERROR(TableWeeklySummary[[#This Row],[Ventas publicidad]]/TableWeeklySummary[[#This Row],[Inversión publicidad]],0)</f>
        <v>0</v>
      </c>
      <c r="AA209" s="14">
        <f>IFERROR(TableWeeklySummary[[#This Row],[Ventas primer cliente]]/TableWeeklySummary[[#This Row],[Inversión publicidad]],0)</f>
        <v>0</v>
      </c>
      <c r="AB209" s="14"/>
      <c r="AC209" s="11"/>
      <c r="AI20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09" s="11">
        <f>SUMIFS(TableDailySummary[Costo de ventas registrado],TableDailySummary[Fecha],"&gt;="&amp;TableWeeklySummary[[#This Row],[Desde]],TableDailySummary[Fecha],"&lt;="&amp;TableWeeklySummary[[#This Row],[Hasta]])</f>
        <v>0</v>
      </c>
      <c r="AK209" s="11">
        <f>SUMIFS(TableDailySummary[Utilidad bruta],TableDailySummary[Fecha],"&gt;="&amp;TableWeeklySummary[[#This Row],[Desde]],TableDailySummary[Fecha],"&lt;="&amp;TableWeeklySummary[[#This Row],[Hasta]])</f>
        <v>0</v>
      </c>
      <c r="AL209" s="18">
        <f>IFERROR(TableWeeklySummary[[#This Row],[Utilidad bruta]]/TableWeeklySummary[[#This Row],[Ventas netas con costo registrado]],0)</f>
        <v>0</v>
      </c>
    </row>
    <row r="210" spans="2:38" x14ac:dyDescent="0.2">
      <c r="B210" s="16">
        <f>_xlfn.ISOWEEKNUM(TableWeeklySummary[[#This Row],[Hasta]])</f>
        <v>43</v>
      </c>
      <c r="C210" s="6">
        <f t="shared" si="5"/>
        <v>45947</v>
      </c>
      <c r="D210" s="6">
        <f>TableWeeklySummary[[#This Row],[Desde]]+7-1</f>
        <v>45953</v>
      </c>
      <c r="E210" s="11">
        <f>SUMIFS(TableDailySummary[Ventas netas totales],TableDailySummary[Fecha],"&gt;="&amp;TableWeeklySummary[[#This Row],[Desde]],TableDailySummary[Fecha],"&lt;="&amp;TableWeeklySummary[[#This Row],[Hasta]])</f>
        <v>0</v>
      </c>
      <c r="F210" s="11">
        <f>SUMIFS(TableDailySummary[Órdenes totales],TableDailySummary[Fecha],"&gt;="&amp;TableWeeklySummary[[#This Row],[Desde]],TableDailySummary[Fecha],"&lt;="&amp;TableWeeklySummary[[#This Row],[Hasta]])</f>
        <v>0</v>
      </c>
      <c r="G210" s="11">
        <f>IFERROR(TableWeeklySummary[[#This Row],[Ventas netas totales]]/TableWeeklySummary[[#This Row],[Órdenes totales]],0)</f>
        <v>0</v>
      </c>
      <c r="H21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8.9914945321992717E-3</v>
      </c>
      <c r="I210" s="11">
        <f>TableWeeklySummary[[#This Row],[Órden promedio totales]]*TableWeeklySummary[[#This Row],[CR totales]]</f>
        <v>0</v>
      </c>
      <c r="J210" s="11">
        <f>SUMIFS(TableDailySummary[Ventas primer cliente],TableDailySummary[Fecha],"&gt;="&amp;TableWeeklySummary[[#This Row],[Desde]],TableDailySummary[Fecha],"&lt;="&amp;TableWeeklySummary[[#This Row],[Hasta]])</f>
        <v>0</v>
      </c>
      <c r="K210" s="11">
        <f>SUMIFS(TableDailySummary[Órdenes primer cliente],TableDailySummary[Fecha],"&gt;="&amp;TableWeeklySummary[[#This Row],[Desde]],TableDailySummary[Fecha],"&lt;="&amp;TableWeeklySummary[[#This Row],[Hasta]])</f>
        <v>0</v>
      </c>
      <c r="L210" s="11">
        <f>SUMIFS(TableDailySummary[Online Store_net_sales],TableDailySummary[Fecha],"&gt;="&amp;TableWeeklySummary[[#This Row],[Desde]],TableDailySummary[Fecha],"&lt;="&amp;TableWeeklySummary[[#This Row],[Hasta]])</f>
        <v>0</v>
      </c>
      <c r="M210" s="11">
        <f>SUMIFS(TableDailySummary[Online Store_orders],TableDailySummary[Fecha],"&gt;="&amp;TableWeeklySummary[[#This Row],[Desde]],TableDailySummary[Fecha],"&lt;="&amp;TableWeeklySummary[[#This Row],[Hasta]])</f>
        <v>0</v>
      </c>
      <c r="N210" s="11">
        <f>SUMIFS(TableDailySummary[Tienda 81_net_sales],TableDailySummary[Fecha],"&gt;="&amp;TableWeeklySummary[[#This Row],[Desde]],TableDailySummary[Fecha],"&lt;="&amp;TableWeeklySummary[[#This Row],[Hasta]])</f>
        <v>0</v>
      </c>
      <c r="O210" s="11">
        <f>SUMIFS(TableDailySummary[Tienda 81_orders],TableDailySummary[Fecha],"&gt;="&amp;TableWeeklySummary[[#This Row],[Desde]],TableDailySummary[Fecha],"&lt;="&amp;TableWeeklySummary[[#This Row],[Hasta]])</f>
        <v>0</v>
      </c>
      <c r="P210" s="11">
        <f>SUMIFS(TableDailySummary[Rappi_net_sales],TableDailySummary[Fecha],"&gt;="&amp;TableWeeklySummary[[#This Row],[Desde]],TableDailySummary[Fecha],"&lt;="&amp;TableWeeklySummary[[#This Row],[Hasta]])</f>
        <v>0</v>
      </c>
      <c r="Q210" s="11">
        <f>SUMIFS(TableDailySummary[Rappi_orders],TableDailySummary[Fecha],"&gt;="&amp;TableWeeklySummary[[#This Row],[Desde]],TableDailySummary[Fecha],"&lt;="&amp;TableWeeklySummary[[#This Row],[Hasta]])</f>
        <v>0</v>
      </c>
      <c r="R21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0" s="11">
        <f>SUMIFS(TableDailySummary[Corporativo no tienda_orders],TableDailySummary[Fecha],"&gt;="&amp;TableWeeklySummary[[#This Row],[Desde]],TableDailySummary[Fecha],"&lt;="&amp;TableWeeklySummary[[#This Row],[Hasta]])</f>
        <v>0</v>
      </c>
      <c r="T210" s="11">
        <f>SUMIFS(TableDailySummary[Inversión google ads],TableDailySummary[Fecha],"&gt;="&amp;TableWeeklySummary[[#This Row],[Desde]],TableDailySummary[Fecha],"&lt;="&amp;TableWeeklySummary[[#This Row],[Hasta]])</f>
        <v>0</v>
      </c>
      <c r="U210" s="11">
        <f>SUMIFS(TableDailySummary[Ventas google ads],TableDailySummary[Fecha],"&gt;="&amp;TableWeeklySummary[[#This Row],[Desde]],TableDailySummary[Fecha],"&lt;="&amp;TableWeeklySummary[[#This Row],[Hasta]])</f>
        <v>0</v>
      </c>
      <c r="V210" s="11">
        <f>SUMIFS(TableDailySummary[Inversión meta ads],TableDailySummary[Fecha],"&gt;="&amp;TableWeeklySummary[[#This Row],[Desde]],TableDailySummary[Fecha],"&lt;="&amp;TableWeeklySummary[[#This Row],[Hasta]])</f>
        <v>0</v>
      </c>
      <c r="W210" s="11">
        <f>SUMIFS(TableDailySummary[Ventas meta ads],TableDailySummary[Fecha],"&gt;="&amp;TableWeeklySummary[[#This Row],[Desde]],TableDailySummary[Fecha],"&lt;="&amp;TableWeeklySummary[[#This Row],[Hasta]])</f>
        <v>0</v>
      </c>
      <c r="X210" s="11">
        <f>TableWeeklySummary[[#This Row],[Inversión google ads]]+TableWeeklySummary[[#This Row],[Inversión meta ads]]</f>
        <v>0</v>
      </c>
      <c r="Y210" s="11">
        <f>TableWeeklySummary[[#This Row],[Ventas google ads]]+TableWeeklySummary[[#This Row],[Ventas meta ads]]</f>
        <v>0</v>
      </c>
      <c r="Z210" s="14">
        <f>IFERROR(TableWeeklySummary[[#This Row],[Ventas publicidad]]/TableWeeklySummary[[#This Row],[Inversión publicidad]],0)</f>
        <v>0</v>
      </c>
      <c r="AA210" s="14">
        <f>IFERROR(TableWeeklySummary[[#This Row],[Ventas primer cliente]]/TableWeeklySummary[[#This Row],[Inversión publicidad]],0)</f>
        <v>0</v>
      </c>
      <c r="AB210" s="14"/>
      <c r="AC210" s="11"/>
      <c r="AI21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0" s="11">
        <f>SUMIFS(TableDailySummary[Costo de ventas registrado],TableDailySummary[Fecha],"&gt;="&amp;TableWeeklySummary[[#This Row],[Desde]],TableDailySummary[Fecha],"&lt;="&amp;TableWeeklySummary[[#This Row],[Hasta]])</f>
        <v>0</v>
      </c>
      <c r="AK210" s="11">
        <f>SUMIFS(TableDailySummary[Utilidad bruta],TableDailySummary[Fecha],"&gt;="&amp;TableWeeklySummary[[#This Row],[Desde]],TableDailySummary[Fecha],"&lt;="&amp;TableWeeklySummary[[#This Row],[Hasta]])</f>
        <v>0</v>
      </c>
      <c r="AL210" s="18">
        <f>IFERROR(TableWeeklySummary[[#This Row],[Utilidad bruta]]/TableWeeklySummary[[#This Row],[Ventas netas con costo registrado]],0)</f>
        <v>0</v>
      </c>
    </row>
    <row r="211" spans="2:38" x14ac:dyDescent="0.2">
      <c r="B211" s="16">
        <f>_xlfn.ISOWEEKNUM(TableWeeklySummary[[#This Row],[Hasta]])</f>
        <v>44</v>
      </c>
      <c r="C211" s="6">
        <f t="shared" si="5"/>
        <v>45954</v>
      </c>
      <c r="D211" s="6">
        <f>TableWeeklySummary[[#This Row],[Desde]]+7-1</f>
        <v>45960</v>
      </c>
      <c r="E211" s="11">
        <f>SUMIFS(TableDailySummary[Ventas netas totales],TableDailySummary[Fecha],"&gt;="&amp;TableWeeklySummary[[#This Row],[Desde]],TableDailySummary[Fecha],"&lt;="&amp;TableWeeklySummary[[#This Row],[Hasta]])</f>
        <v>0</v>
      </c>
      <c r="F211" s="11">
        <f>SUMIFS(TableDailySummary[Órdenes totales],TableDailySummary[Fecha],"&gt;="&amp;TableWeeklySummary[[#This Row],[Desde]],TableDailySummary[Fecha],"&lt;="&amp;TableWeeklySummary[[#This Row],[Hasta]])</f>
        <v>0</v>
      </c>
      <c r="G211" s="11">
        <f>IFERROR(TableWeeklySummary[[#This Row],[Ventas netas totales]]/TableWeeklySummary[[#This Row],[Órdenes totales]],0)</f>
        <v>0</v>
      </c>
      <c r="H21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8.5018382352941169E-3</v>
      </c>
      <c r="I211" s="11">
        <f>TableWeeklySummary[[#This Row],[Órden promedio totales]]*TableWeeklySummary[[#This Row],[CR totales]]</f>
        <v>0</v>
      </c>
      <c r="J211" s="11">
        <f>SUMIFS(TableDailySummary[Ventas primer cliente],TableDailySummary[Fecha],"&gt;="&amp;TableWeeklySummary[[#This Row],[Desde]],TableDailySummary[Fecha],"&lt;="&amp;TableWeeklySummary[[#This Row],[Hasta]])</f>
        <v>0</v>
      </c>
      <c r="K211" s="11">
        <f>SUMIFS(TableDailySummary[Órdenes primer cliente],TableDailySummary[Fecha],"&gt;="&amp;TableWeeklySummary[[#This Row],[Desde]],TableDailySummary[Fecha],"&lt;="&amp;TableWeeklySummary[[#This Row],[Hasta]])</f>
        <v>0</v>
      </c>
      <c r="L211" s="11">
        <f>SUMIFS(TableDailySummary[Online Store_net_sales],TableDailySummary[Fecha],"&gt;="&amp;TableWeeklySummary[[#This Row],[Desde]],TableDailySummary[Fecha],"&lt;="&amp;TableWeeklySummary[[#This Row],[Hasta]])</f>
        <v>0</v>
      </c>
      <c r="M211" s="11">
        <f>SUMIFS(TableDailySummary[Online Store_orders],TableDailySummary[Fecha],"&gt;="&amp;TableWeeklySummary[[#This Row],[Desde]],TableDailySummary[Fecha],"&lt;="&amp;TableWeeklySummary[[#This Row],[Hasta]])</f>
        <v>0</v>
      </c>
      <c r="N211" s="11">
        <f>SUMIFS(TableDailySummary[Tienda 81_net_sales],TableDailySummary[Fecha],"&gt;="&amp;TableWeeklySummary[[#This Row],[Desde]],TableDailySummary[Fecha],"&lt;="&amp;TableWeeklySummary[[#This Row],[Hasta]])</f>
        <v>0</v>
      </c>
      <c r="O211" s="11">
        <f>SUMIFS(TableDailySummary[Tienda 81_orders],TableDailySummary[Fecha],"&gt;="&amp;TableWeeklySummary[[#This Row],[Desde]],TableDailySummary[Fecha],"&lt;="&amp;TableWeeklySummary[[#This Row],[Hasta]])</f>
        <v>0</v>
      </c>
      <c r="P211" s="11">
        <f>SUMIFS(TableDailySummary[Rappi_net_sales],TableDailySummary[Fecha],"&gt;="&amp;TableWeeklySummary[[#This Row],[Desde]],TableDailySummary[Fecha],"&lt;="&amp;TableWeeklySummary[[#This Row],[Hasta]])</f>
        <v>0</v>
      </c>
      <c r="Q211" s="11">
        <f>SUMIFS(TableDailySummary[Rappi_orders],TableDailySummary[Fecha],"&gt;="&amp;TableWeeklySummary[[#This Row],[Desde]],TableDailySummary[Fecha],"&lt;="&amp;TableWeeklySummary[[#This Row],[Hasta]])</f>
        <v>0</v>
      </c>
      <c r="R21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1" s="11">
        <f>SUMIFS(TableDailySummary[Corporativo no tienda_orders],TableDailySummary[Fecha],"&gt;="&amp;TableWeeklySummary[[#This Row],[Desde]],TableDailySummary[Fecha],"&lt;="&amp;TableWeeklySummary[[#This Row],[Hasta]])</f>
        <v>0</v>
      </c>
      <c r="T211" s="11">
        <f>SUMIFS(TableDailySummary[Inversión google ads],TableDailySummary[Fecha],"&gt;="&amp;TableWeeklySummary[[#This Row],[Desde]],TableDailySummary[Fecha],"&lt;="&amp;TableWeeklySummary[[#This Row],[Hasta]])</f>
        <v>0</v>
      </c>
      <c r="U211" s="11">
        <f>SUMIFS(TableDailySummary[Ventas google ads],TableDailySummary[Fecha],"&gt;="&amp;TableWeeklySummary[[#This Row],[Desde]],TableDailySummary[Fecha],"&lt;="&amp;TableWeeklySummary[[#This Row],[Hasta]])</f>
        <v>0</v>
      </c>
      <c r="V211" s="11">
        <f>SUMIFS(TableDailySummary[Inversión meta ads],TableDailySummary[Fecha],"&gt;="&amp;TableWeeklySummary[[#This Row],[Desde]],TableDailySummary[Fecha],"&lt;="&amp;TableWeeklySummary[[#This Row],[Hasta]])</f>
        <v>0</v>
      </c>
      <c r="W211" s="11">
        <f>SUMIFS(TableDailySummary[Ventas meta ads],TableDailySummary[Fecha],"&gt;="&amp;TableWeeklySummary[[#This Row],[Desde]],TableDailySummary[Fecha],"&lt;="&amp;TableWeeklySummary[[#This Row],[Hasta]])</f>
        <v>0</v>
      </c>
      <c r="X211" s="11">
        <f>TableWeeklySummary[[#This Row],[Inversión google ads]]+TableWeeklySummary[[#This Row],[Inversión meta ads]]</f>
        <v>0</v>
      </c>
      <c r="Y211" s="11">
        <f>TableWeeklySummary[[#This Row],[Ventas google ads]]+TableWeeklySummary[[#This Row],[Ventas meta ads]]</f>
        <v>0</v>
      </c>
      <c r="Z211" s="14">
        <f>IFERROR(TableWeeklySummary[[#This Row],[Ventas publicidad]]/TableWeeklySummary[[#This Row],[Inversión publicidad]],0)</f>
        <v>0</v>
      </c>
      <c r="AA211" s="14">
        <f>IFERROR(TableWeeklySummary[[#This Row],[Ventas primer cliente]]/TableWeeklySummary[[#This Row],[Inversión publicidad]],0)</f>
        <v>0</v>
      </c>
      <c r="AB211" s="14"/>
      <c r="AC211" s="11"/>
      <c r="AI21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1" s="11">
        <f>SUMIFS(TableDailySummary[Costo de ventas registrado],TableDailySummary[Fecha],"&gt;="&amp;TableWeeklySummary[[#This Row],[Desde]],TableDailySummary[Fecha],"&lt;="&amp;TableWeeklySummary[[#This Row],[Hasta]])</f>
        <v>0</v>
      </c>
      <c r="AK211" s="11">
        <f>SUMIFS(TableDailySummary[Utilidad bruta],TableDailySummary[Fecha],"&gt;="&amp;TableWeeklySummary[[#This Row],[Desde]],TableDailySummary[Fecha],"&lt;="&amp;TableWeeklySummary[[#This Row],[Hasta]])</f>
        <v>0</v>
      </c>
      <c r="AL211" s="18">
        <f>IFERROR(TableWeeklySummary[[#This Row],[Utilidad bruta]]/TableWeeklySummary[[#This Row],[Ventas netas con costo registrado]],0)</f>
        <v>0</v>
      </c>
    </row>
    <row r="212" spans="2:38" x14ac:dyDescent="0.2">
      <c r="B212" s="16">
        <f>_xlfn.ISOWEEKNUM(TableWeeklySummary[[#This Row],[Hasta]])</f>
        <v>45</v>
      </c>
      <c r="C212" s="6">
        <f t="shared" si="5"/>
        <v>45961</v>
      </c>
      <c r="D212" s="6">
        <f>TableWeeklySummary[[#This Row],[Desde]]+7-1</f>
        <v>45967</v>
      </c>
      <c r="E212" s="11">
        <f>SUMIFS(TableDailySummary[Ventas netas totales],TableDailySummary[Fecha],"&gt;="&amp;TableWeeklySummary[[#This Row],[Desde]],TableDailySummary[Fecha],"&lt;="&amp;TableWeeklySummary[[#This Row],[Hasta]])</f>
        <v>0</v>
      </c>
      <c r="F212" s="11">
        <f>SUMIFS(TableDailySummary[Órdenes totales],TableDailySummary[Fecha],"&gt;="&amp;TableWeeklySummary[[#This Row],[Desde]],TableDailySummary[Fecha],"&lt;="&amp;TableWeeklySummary[[#This Row],[Hasta]])</f>
        <v>0</v>
      </c>
      <c r="G212" s="11">
        <f>IFERROR(TableWeeklySummary[[#This Row],[Ventas netas totales]]/TableWeeklySummary[[#This Row],[Órdenes totales]],0)</f>
        <v>0</v>
      </c>
      <c r="H21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8.2594681708299759E-3</v>
      </c>
      <c r="I212" s="11">
        <f>TableWeeklySummary[[#This Row],[Órden promedio totales]]*TableWeeklySummary[[#This Row],[CR totales]]</f>
        <v>0</v>
      </c>
      <c r="J212" s="11">
        <f>SUMIFS(TableDailySummary[Ventas primer cliente],TableDailySummary[Fecha],"&gt;="&amp;TableWeeklySummary[[#This Row],[Desde]],TableDailySummary[Fecha],"&lt;="&amp;TableWeeklySummary[[#This Row],[Hasta]])</f>
        <v>0</v>
      </c>
      <c r="K212" s="11">
        <f>SUMIFS(TableDailySummary[Órdenes primer cliente],TableDailySummary[Fecha],"&gt;="&amp;TableWeeklySummary[[#This Row],[Desde]],TableDailySummary[Fecha],"&lt;="&amp;TableWeeklySummary[[#This Row],[Hasta]])</f>
        <v>0</v>
      </c>
      <c r="L212" s="11">
        <f>SUMIFS(TableDailySummary[Online Store_net_sales],TableDailySummary[Fecha],"&gt;="&amp;TableWeeklySummary[[#This Row],[Desde]],TableDailySummary[Fecha],"&lt;="&amp;TableWeeklySummary[[#This Row],[Hasta]])</f>
        <v>0</v>
      </c>
      <c r="M212" s="11">
        <f>SUMIFS(TableDailySummary[Online Store_orders],TableDailySummary[Fecha],"&gt;="&amp;TableWeeklySummary[[#This Row],[Desde]],TableDailySummary[Fecha],"&lt;="&amp;TableWeeklySummary[[#This Row],[Hasta]])</f>
        <v>0</v>
      </c>
      <c r="N212" s="11">
        <f>SUMIFS(TableDailySummary[Tienda 81_net_sales],TableDailySummary[Fecha],"&gt;="&amp;TableWeeklySummary[[#This Row],[Desde]],TableDailySummary[Fecha],"&lt;="&amp;TableWeeklySummary[[#This Row],[Hasta]])</f>
        <v>0</v>
      </c>
      <c r="O212" s="11">
        <f>SUMIFS(TableDailySummary[Tienda 81_orders],TableDailySummary[Fecha],"&gt;="&amp;TableWeeklySummary[[#This Row],[Desde]],TableDailySummary[Fecha],"&lt;="&amp;TableWeeklySummary[[#This Row],[Hasta]])</f>
        <v>0</v>
      </c>
      <c r="P212" s="11">
        <f>SUMIFS(TableDailySummary[Rappi_net_sales],TableDailySummary[Fecha],"&gt;="&amp;TableWeeklySummary[[#This Row],[Desde]],TableDailySummary[Fecha],"&lt;="&amp;TableWeeklySummary[[#This Row],[Hasta]])</f>
        <v>0</v>
      </c>
      <c r="Q212" s="11">
        <f>SUMIFS(TableDailySummary[Rappi_orders],TableDailySummary[Fecha],"&gt;="&amp;TableWeeklySummary[[#This Row],[Desde]],TableDailySummary[Fecha],"&lt;="&amp;TableWeeklySummary[[#This Row],[Hasta]])</f>
        <v>0</v>
      </c>
      <c r="R21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2" s="11">
        <f>SUMIFS(TableDailySummary[Corporativo no tienda_orders],TableDailySummary[Fecha],"&gt;="&amp;TableWeeklySummary[[#This Row],[Desde]],TableDailySummary[Fecha],"&lt;="&amp;TableWeeklySummary[[#This Row],[Hasta]])</f>
        <v>0</v>
      </c>
      <c r="T212" s="11">
        <f>SUMIFS(TableDailySummary[Inversión google ads],TableDailySummary[Fecha],"&gt;="&amp;TableWeeklySummary[[#This Row],[Desde]],TableDailySummary[Fecha],"&lt;="&amp;TableWeeklySummary[[#This Row],[Hasta]])</f>
        <v>0</v>
      </c>
      <c r="U212" s="11">
        <f>SUMIFS(TableDailySummary[Ventas google ads],TableDailySummary[Fecha],"&gt;="&amp;TableWeeklySummary[[#This Row],[Desde]],TableDailySummary[Fecha],"&lt;="&amp;TableWeeklySummary[[#This Row],[Hasta]])</f>
        <v>0</v>
      </c>
      <c r="V212" s="11">
        <f>SUMIFS(TableDailySummary[Inversión meta ads],TableDailySummary[Fecha],"&gt;="&amp;TableWeeklySummary[[#This Row],[Desde]],TableDailySummary[Fecha],"&lt;="&amp;TableWeeklySummary[[#This Row],[Hasta]])</f>
        <v>0</v>
      </c>
      <c r="W212" s="11">
        <f>SUMIFS(TableDailySummary[Ventas meta ads],TableDailySummary[Fecha],"&gt;="&amp;TableWeeklySummary[[#This Row],[Desde]],TableDailySummary[Fecha],"&lt;="&amp;TableWeeklySummary[[#This Row],[Hasta]])</f>
        <v>0</v>
      </c>
      <c r="X212" s="11">
        <f>TableWeeklySummary[[#This Row],[Inversión google ads]]+TableWeeklySummary[[#This Row],[Inversión meta ads]]</f>
        <v>0</v>
      </c>
      <c r="Y212" s="11">
        <f>TableWeeklySummary[[#This Row],[Ventas google ads]]+TableWeeklySummary[[#This Row],[Ventas meta ads]]</f>
        <v>0</v>
      </c>
      <c r="Z212" s="14">
        <f>IFERROR(TableWeeklySummary[[#This Row],[Ventas publicidad]]/TableWeeklySummary[[#This Row],[Inversión publicidad]],0)</f>
        <v>0</v>
      </c>
      <c r="AA212" s="14">
        <f>IFERROR(TableWeeklySummary[[#This Row],[Ventas primer cliente]]/TableWeeklySummary[[#This Row],[Inversión publicidad]],0)</f>
        <v>0</v>
      </c>
      <c r="AB212" s="14"/>
      <c r="AC212" s="11"/>
      <c r="AI21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2" s="11">
        <f>SUMIFS(TableDailySummary[Costo de ventas registrado],TableDailySummary[Fecha],"&gt;="&amp;TableWeeklySummary[[#This Row],[Desde]],TableDailySummary[Fecha],"&lt;="&amp;TableWeeklySummary[[#This Row],[Hasta]])</f>
        <v>0</v>
      </c>
      <c r="AK212" s="11">
        <f>SUMIFS(TableDailySummary[Utilidad bruta],TableDailySummary[Fecha],"&gt;="&amp;TableWeeklySummary[[#This Row],[Desde]],TableDailySummary[Fecha],"&lt;="&amp;TableWeeklySummary[[#This Row],[Hasta]])</f>
        <v>0</v>
      </c>
      <c r="AL212" s="18">
        <f>IFERROR(TableWeeklySummary[[#This Row],[Utilidad bruta]]/TableWeeklySummary[[#This Row],[Ventas netas con costo registrado]],0)</f>
        <v>0</v>
      </c>
    </row>
    <row r="213" spans="2:38" x14ac:dyDescent="0.2">
      <c r="B213" s="16">
        <f>_xlfn.ISOWEEKNUM(TableWeeklySummary[[#This Row],[Hasta]])</f>
        <v>46</v>
      </c>
      <c r="C213" s="6">
        <f t="shared" si="5"/>
        <v>45968</v>
      </c>
      <c r="D213" s="6">
        <f>TableWeeklySummary[[#This Row],[Desde]]+7-1</f>
        <v>45974</v>
      </c>
      <c r="E213" s="11">
        <f>SUMIFS(TableDailySummary[Ventas netas totales],TableDailySummary[Fecha],"&gt;="&amp;TableWeeklySummary[[#This Row],[Desde]],TableDailySummary[Fecha],"&lt;="&amp;TableWeeklySummary[[#This Row],[Hasta]])</f>
        <v>0</v>
      </c>
      <c r="F213" s="11">
        <f>SUMIFS(TableDailySummary[Órdenes totales],TableDailySummary[Fecha],"&gt;="&amp;TableWeeklySummary[[#This Row],[Desde]],TableDailySummary[Fecha],"&lt;="&amp;TableWeeklySummary[[#This Row],[Hasta]])</f>
        <v>0</v>
      </c>
      <c r="G213" s="11">
        <f>IFERROR(TableWeeklySummary[[#This Row],[Ventas netas totales]]/TableWeeklySummary[[#This Row],[Órdenes totales]],0)</f>
        <v>0</v>
      </c>
      <c r="H21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1.1528822055137845E-2</v>
      </c>
      <c r="I213" s="11">
        <f>TableWeeklySummary[[#This Row],[Órden promedio totales]]*TableWeeklySummary[[#This Row],[CR totales]]</f>
        <v>0</v>
      </c>
      <c r="J213" s="11">
        <f>SUMIFS(TableDailySummary[Ventas primer cliente],TableDailySummary[Fecha],"&gt;="&amp;TableWeeklySummary[[#This Row],[Desde]],TableDailySummary[Fecha],"&lt;="&amp;TableWeeklySummary[[#This Row],[Hasta]])</f>
        <v>0</v>
      </c>
      <c r="K213" s="11">
        <f>SUMIFS(TableDailySummary[Órdenes primer cliente],TableDailySummary[Fecha],"&gt;="&amp;TableWeeklySummary[[#This Row],[Desde]],TableDailySummary[Fecha],"&lt;="&amp;TableWeeklySummary[[#This Row],[Hasta]])</f>
        <v>0</v>
      </c>
      <c r="L213" s="11">
        <f>SUMIFS(TableDailySummary[Online Store_net_sales],TableDailySummary[Fecha],"&gt;="&amp;TableWeeklySummary[[#This Row],[Desde]],TableDailySummary[Fecha],"&lt;="&amp;TableWeeklySummary[[#This Row],[Hasta]])</f>
        <v>0</v>
      </c>
      <c r="M213" s="11">
        <f>SUMIFS(TableDailySummary[Online Store_orders],TableDailySummary[Fecha],"&gt;="&amp;TableWeeklySummary[[#This Row],[Desde]],TableDailySummary[Fecha],"&lt;="&amp;TableWeeklySummary[[#This Row],[Hasta]])</f>
        <v>0</v>
      </c>
      <c r="N213" s="11">
        <f>SUMIFS(TableDailySummary[Tienda 81_net_sales],TableDailySummary[Fecha],"&gt;="&amp;TableWeeklySummary[[#This Row],[Desde]],TableDailySummary[Fecha],"&lt;="&amp;TableWeeklySummary[[#This Row],[Hasta]])</f>
        <v>0</v>
      </c>
      <c r="O213" s="11">
        <f>SUMIFS(TableDailySummary[Tienda 81_orders],TableDailySummary[Fecha],"&gt;="&amp;TableWeeklySummary[[#This Row],[Desde]],TableDailySummary[Fecha],"&lt;="&amp;TableWeeklySummary[[#This Row],[Hasta]])</f>
        <v>0</v>
      </c>
      <c r="P213" s="11">
        <f>SUMIFS(TableDailySummary[Rappi_net_sales],TableDailySummary[Fecha],"&gt;="&amp;TableWeeklySummary[[#This Row],[Desde]],TableDailySummary[Fecha],"&lt;="&amp;TableWeeklySummary[[#This Row],[Hasta]])</f>
        <v>0</v>
      </c>
      <c r="Q213" s="11">
        <f>SUMIFS(TableDailySummary[Rappi_orders],TableDailySummary[Fecha],"&gt;="&amp;TableWeeklySummary[[#This Row],[Desde]],TableDailySummary[Fecha],"&lt;="&amp;TableWeeklySummary[[#This Row],[Hasta]])</f>
        <v>0</v>
      </c>
      <c r="R21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3" s="11">
        <f>SUMIFS(TableDailySummary[Corporativo no tienda_orders],TableDailySummary[Fecha],"&gt;="&amp;TableWeeklySummary[[#This Row],[Desde]],TableDailySummary[Fecha],"&lt;="&amp;TableWeeklySummary[[#This Row],[Hasta]])</f>
        <v>0</v>
      </c>
      <c r="T213" s="11">
        <f>SUMIFS(TableDailySummary[Inversión google ads],TableDailySummary[Fecha],"&gt;="&amp;TableWeeklySummary[[#This Row],[Desde]],TableDailySummary[Fecha],"&lt;="&amp;TableWeeklySummary[[#This Row],[Hasta]])</f>
        <v>0</v>
      </c>
      <c r="U213" s="11">
        <f>SUMIFS(TableDailySummary[Ventas google ads],TableDailySummary[Fecha],"&gt;="&amp;TableWeeklySummary[[#This Row],[Desde]],TableDailySummary[Fecha],"&lt;="&amp;TableWeeklySummary[[#This Row],[Hasta]])</f>
        <v>0</v>
      </c>
      <c r="V213" s="11">
        <f>SUMIFS(TableDailySummary[Inversión meta ads],TableDailySummary[Fecha],"&gt;="&amp;TableWeeklySummary[[#This Row],[Desde]],TableDailySummary[Fecha],"&lt;="&amp;TableWeeklySummary[[#This Row],[Hasta]])</f>
        <v>0</v>
      </c>
      <c r="W213" s="11">
        <f>SUMIFS(TableDailySummary[Ventas meta ads],TableDailySummary[Fecha],"&gt;="&amp;TableWeeklySummary[[#This Row],[Desde]],TableDailySummary[Fecha],"&lt;="&amp;TableWeeklySummary[[#This Row],[Hasta]])</f>
        <v>0</v>
      </c>
      <c r="X213" s="11">
        <f>TableWeeklySummary[[#This Row],[Inversión google ads]]+TableWeeklySummary[[#This Row],[Inversión meta ads]]</f>
        <v>0</v>
      </c>
      <c r="Y213" s="11">
        <f>TableWeeklySummary[[#This Row],[Ventas google ads]]+TableWeeklySummary[[#This Row],[Ventas meta ads]]</f>
        <v>0</v>
      </c>
      <c r="Z213" s="14">
        <f>IFERROR(TableWeeklySummary[[#This Row],[Ventas publicidad]]/TableWeeklySummary[[#This Row],[Inversión publicidad]],0)</f>
        <v>0</v>
      </c>
      <c r="AA213" s="14">
        <f>IFERROR(TableWeeklySummary[[#This Row],[Ventas primer cliente]]/TableWeeklySummary[[#This Row],[Inversión publicidad]],0)</f>
        <v>0</v>
      </c>
      <c r="AB213" s="14"/>
      <c r="AC213" s="11"/>
      <c r="AI21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3" s="11">
        <f>SUMIFS(TableDailySummary[Costo de ventas registrado],TableDailySummary[Fecha],"&gt;="&amp;TableWeeklySummary[[#This Row],[Desde]],TableDailySummary[Fecha],"&lt;="&amp;TableWeeklySummary[[#This Row],[Hasta]])</f>
        <v>0</v>
      </c>
      <c r="AK213" s="11">
        <f>SUMIFS(TableDailySummary[Utilidad bruta],TableDailySummary[Fecha],"&gt;="&amp;TableWeeklySummary[[#This Row],[Desde]],TableDailySummary[Fecha],"&lt;="&amp;TableWeeklySummary[[#This Row],[Hasta]])</f>
        <v>0</v>
      </c>
      <c r="AL213" s="18">
        <f>IFERROR(TableWeeklySummary[[#This Row],[Utilidad bruta]]/TableWeeklySummary[[#This Row],[Ventas netas con costo registrado]],0)</f>
        <v>0</v>
      </c>
    </row>
    <row r="214" spans="2:38" x14ac:dyDescent="0.2">
      <c r="B214" s="16">
        <f>_xlfn.ISOWEEKNUM(TableWeeklySummary[[#This Row],[Hasta]])</f>
        <v>47</v>
      </c>
      <c r="C214" s="6">
        <f t="shared" si="5"/>
        <v>45975</v>
      </c>
      <c r="D214" s="6">
        <f>TableWeeklySummary[[#This Row],[Desde]]+7-1</f>
        <v>45981</v>
      </c>
      <c r="E214" s="11">
        <f>SUMIFS(TableDailySummary[Ventas netas totales],TableDailySummary[Fecha],"&gt;="&amp;TableWeeklySummary[[#This Row],[Desde]],TableDailySummary[Fecha],"&lt;="&amp;TableWeeklySummary[[#This Row],[Hasta]])</f>
        <v>0</v>
      </c>
      <c r="F214" s="11">
        <f>SUMIFS(TableDailySummary[Órdenes totales],TableDailySummary[Fecha],"&gt;="&amp;TableWeeklySummary[[#This Row],[Desde]],TableDailySummary[Fecha],"&lt;="&amp;TableWeeklySummary[[#This Row],[Hasta]])</f>
        <v>0</v>
      </c>
      <c r="G214" s="11">
        <f>IFERROR(TableWeeklySummary[[#This Row],[Ventas netas totales]]/TableWeeklySummary[[#This Row],[Órdenes totales]],0)</f>
        <v>0</v>
      </c>
      <c r="H21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1.2936610608020699E-2</v>
      </c>
      <c r="I214" s="11">
        <f>TableWeeklySummary[[#This Row],[Órden promedio totales]]*TableWeeklySummary[[#This Row],[CR totales]]</f>
        <v>0</v>
      </c>
      <c r="J214" s="11">
        <f>SUMIFS(TableDailySummary[Ventas primer cliente],TableDailySummary[Fecha],"&gt;="&amp;TableWeeklySummary[[#This Row],[Desde]],TableDailySummary[Fecha],"&lt;="&amp;TableWeeklySummary[[#This Row],[Hasta]])</f>
        <v>0</v>
      </c>
      <c r="K214" s="11">
        <f>SUMIFS(TableDailySummary[Órdenes primer cliente],TableDailySummary[Fecha],"&gt;="&amp;TableWeeklySummary[[#This Row],[Desde]],TableDailySummary[Fecha],"&lt;="&amp;TableWeeklySummary[[#This Row],[Hasta]])</f>
        <v>0</v>
      </c>
      <c r="L214" s="11">
        <f>SUMIFS(TableDailySummary[Online Store_net_sales],TableDailySummary[Fecha],"&gt;="&amp;TableWeeklySummary[[#This Row],[Desde]],TableDailySummary[Fecha],"&lt;="&amp;TableWeeklySummary[[#This Row],[Hasta]])</f>
        <v>0</v>
      </c>
      <c r="M214" s="11">
        <f>SUMIFS(TableDailySummary[Online Store_orders],TableDailySummary[Fecha],"&gt;="&amp;TableWeeklySummary[[#This Row],[Desde]],TableDailySummary[Fecha],"&lt;="&amp;TableWeeklySummary[[#This Row],[Hasta]])</f>
        <v>0</v>
      </c>
      <c r="N214" s="11">
        <f>SUMIFS(TableDailySummary[Tienda 81_net_sales],TableDailySummary[Fecha],"&gt;="&amp;TableWeeklySummary[[#This Row],[Desde]],TableDailySummary[Fecha],"&lt;="&amp;TableWeeklySummary[[#This Row],[Hasta]])</f>
        <v>0</v>
      </c>
      <c r="O214" s="11">
        <f>SUMIFS(TableDailySummary[Tienda 81_orders],TableDailySummary[Fecha],"&gt;="&amp;TableWeeklySummary[[#This Row],[Desde]],TableDailySummary[Fecha],"&lt;="&amp;TableWeeklySummary[[#This Row],[Hasta]])</f>
        <v>0</v>
      </c>
      <c r="P214" s="11">
        <f>SUMIFS(TableDailySummary[Rappi_net_sales],TableDailySummary[Fecha],"&gt;="&amp;TableWeeklySummary[[#This Row],[Desde]],TableDailySummary[Fecha],"&lt;="&amp;TableWeeklySummary[[#This Row],[Hasta]])</f>
        <v>0</v>
      </c>
      <c r="Q214" s="11">
        <f>SUMIFS(TableDailySummary[Rappi_orders],TableDailySummary[Fecha],"&gt;="&amp;TableWeeklySummary[[#This Row],[Desde]],TableDailySummary[Fecha],"&lt;="&amp;TableWeeklySummary[[#This Row],[Hasta]])</f>
        <v>0</v>
      </c>
      <c r="R21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4" s="11">
        <f>SUMIFS(TableDailySummary[Corporativo no tienda_orders],TableDailySummary[Fecha],"&gt;="&amp;TableWeeklySummary[[#This Row],[Desde]],TableDailySummary[Fecha],"&lt;="&amp;TableWeeklySummary[[#This Row],[Hasta]])</f>
        <v>0</v>
      </c>
      <c r="T214" s="11">
        <f>SUMIFS(TableDailySummary[Inversión google ads],TableDailySummary[Fecha],"&gt;="&amp;TableWeeklySummary[[#This Row],[Desde]],TableDailySummary[Fecha],"&lt;="&amp;TableWeeklySummary[[#This Row],[Hasta]])</f>
        <v>0</v>
      </c>
      <c r="U214" s="11">
        <f>SUMIFS(TableDailySummary[Ventas google ads],TableDailySummary[Fecha],"&gt;="&amp;TableWeeklySummary[[#This Row],[Desde]],TableDailySummary[Fecha],"&lt;="&amp;TableWeeklySummary[[#This Row],[Hasta]])</f>
        <v>0</v>
      </c>
      <c r="V214" s="11">
        <f>SUMIFS(TableDailySummary[Inversión meta ads],TableDailySummary[Fecha],"&gt;="&amp;TableWeeklySummary[[#This Row],[Desde]],TableDailySummary[Fecha],"&lt;="&amp;TableWeeklySummary[[#This Row],[Hasta]])</f>
        <v>0</v>
      </c>
      <c r="W214" s="11">
        <f>SUMIFS(TableDailySummary[Ventas meta ads],TableDailySummary[Fecha],"&gt;="&amp;TableWeeklySummary[[#This Row],[Desde]],TableDailySummary[Fecha],"&lt;="&amp;TableWeeklySummary[[#This Row],[Hasta]])</f>
        <v>0</v>
      </c>
      <c r="X214" s="11">
        <f>TableWeeklySummary[[#This Row],[Inversión google ads]]+TableWeeklySummary[[#This Row],[Inversión meta ads]]</f>
        <v>0</v>
      </c>
      <c r="Y214" s="11">
        <f>TableWeeklySummary[[#This Row],[Ventas google ads]]+TableWeeklySummary[[#This Row],[Ventas meta ads]]</f>
        <v>0</v>
      </c>
      <c r="Z214" s="14">
        <f>IFERROR(TableWeeklySummary[[#This Row],[Ventas publicidad]]/TableWeeklySummary[[#This Row],[Inversión publicidad]],0)</f>
        <v>0</v>
      </c>
      <c r="AA214" s="14">
        <f>IFERROR(TableWeeklySummary[[#This Row],[Ventas primer cliente]]/TableWeeklySummary[[#This Row],[Inversión publicidad]],0)</f>
        <v>0</v>
      </c>
      <c r="AB214" s="14"/>
      <c r="AC214" s="11"/>
      <c r="AI21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4" s="11">
        <f>SUMIFS(TableDailySummary[Costo de ventas registrado],TableDailySummary[Fecha],"&gt;="&amp;TableWeeklySummary[[#This Row],[Desde]],TableDailySummary[Fecha],"&lt;="&amp;TableWeeklySummary[[#This Row],[Hasta]])</f>
        <v>0</v>
      </c>
      <c r="AK214" s="11">
        <f>SUMIFS(TableDailySummary[Utilidad bruta],TableDailySummary[Fecha],"&gt;="&amp;TableWeeklySummary[[#This Row],[Desde]],TableDailySummary[Fecha],"&lt;="&amp;TableWeeklySummary[[#This Row],[Hasta]])</f>
        <v>0</v>
      </c>
      <c r="AL214" s="18">
        <f>IFERROR(TableWeeklySummary[[#This Row],[Utilidad bruta]]/TableWeeklySummary[[#This Row],[Ventas netas con costo registrado]],0)</f>
        <v>0</v>
      </c>
    </row>
    <row r="215" spans="2:38" x14ac:dyDescent="0.2">
      <c r="B215" s="16">
        <f>_xlfn.ISOWEEKNUM(TableWeeklySummary[[#This Row],[Hasta]])</f>
        <v>48</v>
      </c>
      <c r="C215" s="6">
        <f t="shared" si="5"/>
        <v>45982</v>
      </c>
      <c r="D215" s="6">
        <f>TableWeeklySummary[[#This Row],[Desde]]+7-1</f>
        <v>45988</v>
      </c>
      <c r="E215" s="11">
        <f>SUMIFS(TableDailySummary[Ventas netas totales],TableDailySummary[Fecha],"&gt;="&amp;TableWeeklySummary[[#This Row],[Desde]],TableDailySummary[Fecha],"&lt;="&amp;TableWeeklySummary[[#This Row],[Hasta]])</f>
        <v>0</v>
      </c>
      <c r="F215" s="11">
        <f>SUMIFS(TableDailySummary[Órdenes totales],TableDailySummary[Fecha],"&gt;="&amp;TableWeeklySummary[[#This Row],[Desde]],TableDailySummary[Fecha],"&lt;="&amp;TableWeeklySummary[[#This Row],[Hasta]])</f>
        <v>0</v>
      </c>
      <c r="G215" s="11">
        <f>IFERROR(TableWeeklySummary[[#This Row],[Ventas netas totales]]/TableWeeklySummary[[#This Row],[Órdenes totales]],0)</f>
        <v>0</v>
      </c>
      <c r="H21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1.3554987212276215E-2</v>
      </c>
      <c r="I215" s="11">
        <f>TableWeeklySummary[[#This Row],[Órden promedio totales]]*TableWeeklySummary[[#This Row],[CR totales]]</f>
        <v>0</v>
      </c>
      <c r="J215" s="11">
        <f>SUMIFS(TableDailySummary[Ventas primer cliente],TableDailySummary[Fecha],"&gt;="&amp;TableWeeklySummary[[#This Row],[Desde]],TableDailySummary[Fecha],"&lt;="&amp;TableWeeklySummary[[#This Row],[Hasta]])</f>
        <v>0</v>
      </c>
      <c r="K215" s="11">
        <f>SUMIFS(TableDailySummary[Órdenes primer cliente],TableDailySummary[Fecha],"&gt;="&amp;TableWeeklySummary[[#This Row],[Desde]],TableDailySummary[Fecha],"&lt;="&amp;TableWeeklySummary[[#This Row],[Hasta]])</f>
        <v>0</v>
      </c>
      <c r="L215" s="11">
        <f>SUMIFS(TableDailySummary[Online Store_net_sales],TableDailySummary[Fecha],"&gt;="&amp;TableWeeklySummary[[#This Row],[Desde]],TableDailySummary[Fecha],"&lt;="&amp;TableWeeklySummary[[#This Row],[Hasta]])</f>
        <v>0</v>
      </c>
      <c r="M215" s="11">
        <f>SUMIFS(TableDailySummary[Online Store_orders],TableDailySummary[Fecha],"&gt;="&amp;TableWeeklySummary[[#This Row],[Desde]],TableDailySummary[Fecha],"&lt;="&amp;TableWeeklySummary[[#This Row],[Hasta]])</f>
        <v>0</v>
      </c>
      <c r="N215" s="11">
        <f>SUMIFS(TableDailySummary[Tienda 81_net_sales],TableDailySummary[Fecha],"&gt;="&amp;TableWeeklySummary[[#This Row],[Desde]],TableDailySummary[Fecha],"&lt;="&amp;TableWeeklySummary[[#This Row],[Hasta]])</f>
        <v>0</v>
      </c>
      <c r="O215" s="11">
        <f>SUMIFS(TableDailySummary[Tienda 81_orders],TableDailySummary[Fecha],"&gt;="&amp;TableWeeklySummary[[#This Row],[Desde]],TableDailySummary[Fecha],"&lt;="&amp;TableWeeklySummary[[#This Row],[Hasta]])</f>
        <v>0</v>
      </c>
      <c r="P215" s="11">
        <f>SUMIFS(TableDailySummary[Rappi_net_sales],TableDailySummary[Fecha],"&gt;="&amp;TableWeeklySummary[[#This Row],[Desde]],TableDailySummary[Fecha],"&lt;="&amp;TableWeeklySummary[[#This Row],[Hasta]])</f>
        <v>0</v>
      </c>
      <c r="Q215" s="11">
        <f>SUMIFS(TableDailySummary[Rappi_orders],TableDailySummary[Fecha],"&gt;="&amp;TableWeeklySummary[[#This Row],[Desde]],TableDailySummary[Fecha],"&lt;="&amp;TableWeeklySummary[[#This Row],[Hasta]])</f>
        <v>0</v>
      </c>
      <c r="R21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5" s="11">
        <f>SUMIFS(TableDailySummary[Corporativo no tienda_orders],TableDailySummary[Fecha],"&gt;="&amp;TableWeeklySummary[[#This Row],[Desde]],TableDailySummary[Fecha],"&lt;="&amp;TableWeeklySummary[[#This Row],[Hasta]])</f>
        <v>0</v>
      </c>
      <c r="T215" s="11">
        <f>SUMIFS(TableDailySummary[Inversión google ads],TableDailySummary[Fecha],"&gt;="&amp;TableWeeklySummary[[#This Row],[Desde]],TableDailySummary[Fecha],"&lt;="&amp;TableWeeklySummary[[#This Row],[Hasta]])</f>
        <v>0</v>
      </c>
      <c r="U215" s="11">
        <f>SUMIFS(TableDailySummary[Ventas google ads],TableDailySummary[Fecha],"&gt;="&amp;TableWeeklySummary[[#This Row],[Desde]],TableDailySummary[Fecha],"&lt;="&amp;TableWeeklySummary[[#This Row],[Hasta]])</f>
        <v>0</v>
      </c>
      <c r="V215" s="11">
        <f>SUMIFS(TableDailySummary[Inversión meta ads],TableDailySummary[Fecha],"&gt;="&amp;TableWeeklySummary[[#This Row],[Desde]],TableDailySummary[Fecha],"&lt;="&amp;TableWeeklySummary[[#This Row],[Hasta]])</f>
        <v>0</v>
      </c>
      <c r="W215" s="11">
        <f>SUMIFS(TableDailySummary[Ventas meta ads],TableDailySummary[Fecha],"&gt;="&amp;TableWeeklySummary[[#This Row],[Desde]],TableDailySummary[Fecha],"&lt;="&amp;TableWeeklySummary[[#This Row],[Hasta]])</f>
        <v>0</v>
      </c>
      <c r="X215" s="11">
        <f>TableWeeklySummary[[#This Row],[Inversión google ads]]+TableWeeklySummary[[#This Row],[Inversión meta ads]]</f>
        <v>0</v>
      </c>
      <c r="Y215" s="11">
        <f>TableWeeklySummary[[#This Row],[Ventas google ads]]+TableWeeklySummary[[#This Row],[Ventas meta ads]]</f>
        <v>0</v>
      </c>
      <c r="Z215" s="14">
        <f>IFERROR(TableWeeklySummary[[#This Row],[Ventas publicidad]]/TableWeeklySummary[[#This Row],[Inversión publicidad]],0)</f>
        <v>0</v>
      </c>
      <c r="AA215" s="14">
        <f>IFERROR(TableWeeklySummary[[#This Row],[Ventas primer cliente]]/TableWeeklySummary[[#This Row],[Inversión publicidad]],0)</f>
        <v>0</v>
      </c>
      <c r="AB215" s="14"/>
      <c r="AC215" s="11"/>
      <c r="AI21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5" s="11">
        <f>SUMIFS(TableDailySummary[Costo de ventas registrado],TableDailySummary[Fecha],"&gt;="&amp;TableWeeklySummary[[#This Row],[Desde]],TableDailySummary[Fecha],"&lt;="&amp;TableWeeklySummary[[#This Row],[Hasta]])</f>
        <v>0</v>
      </c>
      <c r="AK215" s="11">
        <f>SUMIFS(TableDailySummary[Utilidad bruta],TableDailySummary[Fecha],"&gt;="&amp;TableWeeklySummary[[#This Row],[Desde]],TableDailySummary[Fecha],"&lt;="&amp;TableWeeklySummary[[#This Row],[Hasta]])</f>
        <v>0</v>
      </c>
      <c r="AL215" s="18">
        <f>IFERROR(TableWeeklySummary[[#This Row],[Utilidad bruta]]/TableWeeklySummary[[#This Row],[Ventas netas con costo registrado]],0)</f>
        <v>0</v>
      </c>
    </row>
    <row r="216" spans="2:38" x14ac:dyDescent="0.2">
      <c r="B216" s="16">
        <f>_xlfn.ISOWEEKNUM(TableWeeklySummary[[#This Row],[Hasta]])</f>
        <v>49</v>
      </c>
      <c r="C216" s="6">
        <f t="shared" si="5"/>
        <v>45989</v>
      </c>
      <c r="D216" s="6">
        <f>TableWeeklySummary[[#This Row],[Desde]]+7-1</f>
        <v>45995</v>
      </c>
      <c r="E216" s="11">
        <f>SUMIFS(TableDailySummary[Ventas netas totales],TableDailySummary[Fecha],"&gt;="&amp;TableWeeklySummary[[#This Row],[Desde]],TableDailySummary[Fecha],"&lt;="&amp;TableWeeklySummary[[#This Row],[Hasta]])</f>
        <v>0</v>
      </c>
      <c r="F216" s="11">
        <f>SUMIFS(TableDailySummary[Órdenes totales],TableDailySummary[Fecha],"&gt;="&amp;TableWeeklySummary[[#This Row],[Desde]],TableDailySummary[Fecha],"&lt;="&amp;TableWeeklySummary[[#This Row],[Hasta]])</f>
        <v>0</v>
      </c>
      <c r="G216" s="11">
        <f>IFERROR(TableWeeklySummary[[#This Row],[Ventas netas totales]]/TableWeeklySummary[[#This Row],[Órdenes totales]],0)</f>
        <v>0</v>
      </c>
      <c r="H21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2.2574447646493755E-2</v>
      </c>
      <c r="I216" s="11">
        <f>TableWeeklySummary[[#This Row],[Órden promedio totales]]*TableWeeklySummary[[#This Row],[CR totales]]</f>
        <v>0</v>
      </c>
      <c r="J216" s="11">
        <f>SUMIFS(TableDailySummary[Ventas primer cliente],TableDailySummary[Fecha],"&gt;="&amp;TableWeeklySummary[[#This Row],[Desde]],TableDailySummary[Fecha],"&lt;="&amp;TableWeeklySummary[[#This Row],[Hasta]])</f>
        <v>0</v>
      </c>
      <c r="K216" s="11">
        <f>SUMIFS(TableDailySummary[Órdenes primer cliente],TableDailySummary[Fecha],"&gt;="&amp;TableWeeklySummary[[#This Row],[Desde]],TableDailySummary[Fecha],"&lt;="&amp;TableWeeklySummary[[#This Row],[Hasta]])</f>
        <v>0</v>
      </c>
      <c r="L216" s="11">
        <f>SUMIFS(TableDailySummary[Online Store_net_sales],TableDailySummary[Fecha],"&gt;="&amp;TableWeeklySummary[[#This Row],[Desde]],TableDailySummary[Fecha],"&lt;="&amp;TableWeeklySummary[[#This Row],[Hasta]])</f>
        <v>0</v>
      </c>
      <c r="M216" s="11">
        <f>SUMIFS(TableDailySummary[Online Store_orders],TableDailySummary[Fecha],"&gt;="&amp;TableWeeklySummary[[#This Row],[Desde]],TableDailySummary[Fecha],"&lt;="&amp;TableWeeklySummary[[#This Row],[Hasta]])</f>
        <v>0</v>
      </c>
      <c r="N216" s="11">
        <f>SUMIFS(TableDailySummary[Tienda 81_net_sales],TableDailySummary[Fecha],"&gt;="&amp;TableWeeklySummary[[#This Row],[Desde]],TableDailySummary[Fecha],"&lt;="&amp;TableWeeklySummary[[#This Row],[Hasta]])</f>
        <v>0</v>
      </c>
      <c r="O216" s="11">
        <f>SUMIFS(TableDailySummary[Tienda 81_orders],TableDailySummary[Fecha],"&gt;="&amp;TableWeeklySummary[[#This Row],[Desde]],TableDailySummary[Fecha],"&lt;="&amp;TableWeeklySummary[[#This Row],[Hasta]])</f>
        <v>0</v>
      </c>
      <c r="P216" s="11">
        <f>SUMIFS(TableDailySummary[Rappi_net_sales],TableDailySummary[Fecha],"&gt;="&amp;TableWeeklySummary[[#This Row],[Desde]],TableDailySummary[Fecha],"&lt;="&amp;TableWeeklySummary[[#This Row],[Hasta]])</f>
        <v>0</v>
      </c>
      <c r="Q216" s="11">
        <f>SUMIFS(TableDailySummary[Rappi_orders],TableDailySummary[Fecha],"&gt;="&amp;TableWeeklySummary[[#This Row],[Desde]],TableDailySummary[Fecha],"&lt;="&amp;TableWeeklySummary[[#This Row],[Hasta]])</f>
        <v>0</v>
      </c>
      <c r="R21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6" s="11">
        <f>SUMIFS(TableDailySummary[Corporativo no tienda_orders],TableDailySummary[Fecha],"&gt;="&amp;TableWeeklySummary[[#This Row],[Desde]],TableDailySummary[Fecha],"&lt;="&amp;TableWeeklySummary[[#This Row],[Hasta]])</f>
        <v>0</v>
      </c>
      <c r="T216" s="11">
        <f>SUMIFS(TableDailySummary[Inversión google ads],TableDailySummary[Fecha],"&gt;="&amp;TableWeeklySummary[[#This Row],[Desde]],TableDailySummary[Fecha],"&lt;="&amp;TableWeeklySummary[[#This Row],[Hasta]])</f>
        <v>0</v>
      </c>
      <c r="U216" s="11">
        <f>SUMIFS(TableDailySummary[Ventas google ads],TableDailySummary[Fecha],"&gt;="&amp;TableWeeklySummary[[#This Row],[Desde]],TableDailySummary[Fecha],"&lt;="&amp;TableWeeklySummary[[#This Row],[Hasta]])</f>
        <v>0</v>
      </c>
      <c r="V216" s="11">
        <f>SUMIFS(TableDailySummary[Inversión meta ads],TableDailySummary[Fecha],"&gt;="&amp;TableWeeklySummary[[#This Row],[Desde]],TableDailySummary[Fecha],"&lt;="&amp;TableWeeklySummary[[#This Row],[Hasta]])</f>
        <v>0</v>
      </c>
      <c r="W216" s="11">
        <f>SUMIFS(TableDailySummary[Ventas meta ads],TableDailySummary[Fecha],"&gt;="&amp;TableWeeklySummary[[#This Row],[Desde]],TableDailySummary[Fecha],"&lt;="&amp;TableWeeklySummary[[#This Row],[Hasta]])</f>
        <v>0</v>
      </c>
      <c r="X216" s="11">
        <f>TableWeeklySummary[[#This Row],[Inversión google ads]]+TableWeeklySummary[[#This Row],[Inversión meta ads]]</f>
        <v>0</v>
      </c>
      <c r="Y216" s="11">
        <f>TableWeeklySummary[[#This Row],[Ventas google ads]]+TableWeeklySummary[[#This Row],[Ventas meta ads]]</f>
        <v>0</v>
      </c>
      <c r="Z216" s="14">
        <f>IFERROR(TableWeeklySummary[[#This Row],[Ventas publicidad]]/TableWeeklySummary[[#This Row],[Inversión publicidad]],0)</f>
        <v>0</v>
      </c>
      <c r="AA216" s="14">
        <f>IFERROR(TableWeeklySummary[[#This Row],[Ventas primer cliente]]/TableWeeklySummary[[#This Row],[Inversión publicidad]],0)</f>
        <v>0</v>
      </c>
      <c r="AB216" s="14"/>
      <c r="AC216" s="11"/>
      <c r="AI21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6" s="11">
        <f>SUMIFS(TableDailySummary[Costo de ventas registrado],TableDailySummary[Fecha],"&gt;="&amp;TableWeeklySummary[[#This Row],[Desde]],TableDailySummary[Fecha],"&lt;="&amp;TableWeeklySummary[[#This Row],[Hasta]])</f>
        <v>0</v>
      </c>
      <c r="AK216" s="11">
        <f>SUMIFS(TableDailySummary[Utilidad bruta],TableDailySummary[Fecha],"&gt;="&amp;TableWeeklySummary[[#This Row],[Desde]],TableDailySummary[Fecha],"&lt;="&amp;TableWeeklySummary[[#This Row],[Hasta]])</f>
        <v>0</v>
      </c>
      <c r="AL216" s="18">
        <f>IFERROR(TableWeeklySummary[[#This Row],[Utilidad bruta]]/TableWeeklySummary[[#This Row],[Ventas netas con costo registrado]],0)</f>
        <v>0</v>
      </c>
    </row>
    <row r="217" spans="2:38" x14ac:dyDescent="0.2">
      <c r="B217" s="16">
        <f>_xlfn.ISOWEEKNUM(TableWeeklySummary[[#This Row],[Hasta]])</f>
        <v>50</v>
      </c>
      <c r="C217" s="6">
        <f t="shared" si="5"/>
        <v>45996</v>
      </c>
      <c r="D217" s="6">
        <f>TableWeeklySummary[[#This Row],[Desde]]+7-1</f>
        <v>46002</v>
      </c>
      <c r="E217" s="11">
        <f>SUMIFS(TableDailySummary[Ventas netas totales],TableDailySummary[Fecha],"&gt;="&amp;TableWeeklySummary[[#This Row],[Desde]],TableDailySummary[Fecha],"&lt;="&amp;TableWeeklySummary[[#This Row],[Hasta]])</f>
        <v>0</v>
      </c>
      <c r="F217" s="11">
        <f>SUMIFS(TableDailySummary[Órdenes totales],TableDailySummary[Fecha],"&gt;="&amp;TableWeeklySummary[[#This Row],[Desde]],TableDailySummary[Fecha],"&lt;="&amp;TableWeeklySummary[[#This Row],[Hasta]])</f>
        <v>0</v>
      </c>
      <c r="G217" s="11">
        <f>IFERROR(TableWeeklySummary[[#This Row],[Ventas netas totales]]/TableWeeklySummary[[#This Row],[Órdenes totales]],0)</f>
        <v>0</v>
      </c>
      <c r="H21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2.1477460467311776E-2</v>
      </c>
      <c r="I217" s="11">
        <f>TableWeeklySummary[[#This Row],[Órden promedio totales]]*TableWeeklySummary[[#This Row],[CR totales]]</f>
        <v>0</v>
      </c>
      <c r="J217" s="11">
        <f>SUMIFS(TableDailySummary[Ventas primer cliente],TableDailySummary[Fecha],"&gt;="&amp;TableWeeklySummary[[#This Row],[Desde]],TableDailySummary[Fecha],"&lt;="&amp;TableWeeklySummary[[#This Row],[Hasta]])</f>
        <v>0</v>
      </c>
      <c r="K217" s="11">
        <f>SUMIFS(TableDailySummary[Órdenes primer cliente],TableDailySummary[Fecha],"&gt;="&amp;TableWeeklySummary[[#This Row],[Desde]],TableDailySummary[Fecha],"&lt;="&amp;TableWeeklySummary[[#This Row],[Hasta]])</f>
        <v>0</v>
      </c>
      <c r="L217" s="11">
        <f>SUMIFS(TableDailySummary[Online Store_net_sales],TableDailySummary[Fecha],"&gt;="&amp;TableWeeklySummary[[#This Row],[Desde]],TableDailySummary[Fecha],"&lt;="&amp;TableWeeklySummary[[#This Row],[Hasta]])</f>
        <v>0</v>
      </c>
      <c r="M217" s="11">
        <f>SUMIFS(TableDailySummary[Online Store_orders],TableDailySummary[Fecha],"&gt;="&amp;TableWeeklySummary[[#This Row],[Desde]],TableDailySummary[Fecha],"&lt;="&amp;TableWeeklySummary[[#This Row],[Hasta]])</f>
        <v>0</v>
      </c>
      <c r="N217" s="11">
        <f>SUMIFS(TableDailySummary[Tienda 81_net_sales],TableDailySummary[Fecha],"&gt;="&amp;TableWeeklySummary[[#This Row],[Desde]],TableDailySummary[Fecha],"&lt;="&amp;TableWeeklySummary[[#This Row],[Hasta]])</f>
        <v>0</v>
      </c>
      <c r="O217" s="11">
        <f>SUMIFS(TableDailySummary[Tienda 81_orders],TableDailySummary[Fecha],"&gt;="&amp;TableWeeklySummary[[#This Row],[Desde]],TableDailySummary[Fecha],"&lt;="&amp;TableWeeklySummary[[#This Row],[Hasta]])</f>
        <v>0</v>
      </c>
      <c r="P217" s="11">
        <f>SUMIFS(TableDailySummary[Rappi_net_sales],TableDailySummary[Fecha],"&gt;="&amp;TableWeeklySummary[[#This Row],[Desde]],TableDailySummary[Fecha],"&lt;="&amp;TableWeeklySummary[[#This Row],[Hasta]])</f>
        <v>0</v>
      </c>
      <c r="Q217" s="11">
        <f>SUMIFS(TableDailySummary[Rappi_orders],TableDailySummary[Fecha],"&gt;="&amp;TableWeeklySummary[[#This Row],[Desde]],TableDailySummary[Fecha],"&lt;="&amp;TableWeeklySummary[[#This Row],[Hasta]])</f>
        <v>0</v>
      </c>
      <c r="R21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7" s="11">
        <f>SUMIFS(TableDailySummary[Corporativo no tienda_orders],TableDailySummary[Fecha],"&gt;="&amp;TableWeeklySummary[[#This Row],[Desde]],TableDailySummary[Fecha],"&lt;="&amp;TableWeeklySummary[[#This Row],[Hasta]])</f>
        <v>0</v>
      </c>
      <c r="T217" s="11">
        <f>SUMIFS(TableDailySummary[Inversión google ads],TableDailySummary[Fecha],"&gt;="&amp;TableWeeklySummary[[#This Row],[Desde]],TableDailySummary[Fecha],"&lt;="&amp;TableWeeklySummary[[#This Row],[Hasta]])</f>
        <v>0</v>
      </c>
      <c r="U217" s="11">
        <f>SUMIFS(TableDailySummary[Ventas google ads],TableDailySummary[Fecha],"&gt;="&amp;TableWeeklySummary[[#This Row],[Desde]],TableDailySummary[Fecha],"&lt;="&amp;TableWeeklySummary[[#This Row],[Hasta]])</f>
        <v>0</v>
      </c>
      <c r="V217" s="11">
        <f>SUMIFS(TableDailySummary[Inversión meta ads],TableDailySummary[Fecha],"&gt;="&amp;TableWeeklySummary[[#This Row],[Desde]],TableDailySummary[Fecha],"&lt;="&amp;TableWeeklySummary[[#This Row],[Hasta]])</f>
        <v>0</v>
      </c>
      <c r="W217" s="11">
        <f>SUMIFS(TableDailySummary[Ventas meta ads],TableDailySummary[Fecha],"&gt;="&amp;TableWeeklySummary[[#This Row],[Desde]],TableDailySummary[Fecha],"&lt;="&amp;TableWeeklySummary[[#This Row],[Hasta]])</f>
        <v>0</v>
      </c>
      <c r="X217" s="11">
        <f>TableWeeklySummary[[#This Row],[Inversión google ads]]+TableWeeklySummary[[#This Row],[Inversión meta ads]]</f>
        <v>0</v>
      </c>
      <c r="Y217" s="11">
        <f>TableWeeklySummary[[#This Row],[Ventas google ads]]+TableWeeklySummary[[#This Row],[Ventas meta ads]]</f>
        <v>0</v>
      </c>
      <c r="Z217" s="14">
        <f>IFERROR(TableWeeklySummary[[#This Row],[Ventas publicidad]]/TableWeeklySummary[[#This Row],[Inversión publicidad]],0)</f>
        <v>0</v>
      </c>
      <c r="AA217" s="14">
        <f>IFERROR(TableWeeklySummary[[#This Row],[Ventas primer cliente]]/TableWeeklySummary[[#This Row],[Inversión publicidad]],0)</f>
        <v>0</v>
      </c>
      <c r="AB217" s="14"/>
      <c r="AC217" s="11"/>
      <c r="AI21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7" s="11">
        <f>SUMIFS(TableDailySummary[Costo de ventas registrado],TableDailySummary[Fecha],"&gt;="&amp;TableWeeklySummary[[#This Row],[Desde]],TableDailySummary[Fecha],"&lt;="&amp;TableWeeklySummary[[#This Row],[Hasta]])</f>
        <v>0</v>
      </c>
      <c r="AK217" s="11">
        <f>SUMIFS(TableDailySummary[Utilidad bruta],TableDailySummary[Fecha],"&gt;="&amp;TableWeeklySummary[[#This Row],[Desde]],TableDailySummary[Fecha],"&lt;="&amp;TableWeeklySummary[[#This Row],[Hasta]])</f>
        <v>0</v>
      </c>
      <c r="AL217" s="18">
        <f>IFERROR(TableWeeklySummary[[#This Row],[Utilidad bruta]]/TableWeeklySummary[[#This Row],[Ventas netas con costo registrado]],0)</f>
        <v>0</v>
      </c>
    </row>
    <row r="218" spans="2:38" x14ac:dyDescent="0.2">
      <c r="B218" s="16">
        <f>_xlfn.ISOWEEKNUM(TableWeeklySummary[[#This Row],[Hasta]])</f>
        <v>51</v>
      </c>
      <c r="C218" s="6">
        <f t="shared" si="5"/>
        <v>46003</v>
      </c>
      <c r="D218" s="6">
        <f>TableWeeklySummary[[#This Row],[Desde]]+7-1</f>
        <v>46009</v>
      </c>
      <c r="E218" s="11">
        <f>SUMIFS(TableDailySummary[Ventas netas totales],TableDailySummary[Fecha],"&gt;="&amp;TableWeeklySummary[[#This Row],[Desde]],TableDailySummary[Fecha],"&lt;="&amp;TableWeeklySummary[[#This Row],[Hasta]])</f>
        <v>0</v>
      </c>
      <c r="F218" s="11">
        <f>SUMIFS(TableDailySummary[Órdenes totales],TableDailySummary[Fecha],"&gt;="&amp;TableWeeklySummary[[#This Row],[Desde]],TableDailySummary[Fecha],"&lt;="&amp;TableWeeklySummary[[#This Row],[Hasta]])</f>
        <v>0</v>
      </c>
      <c r="G218" s="11">
        <f>IFERROR(TableWeeklySummary[[#This Row],[Ventas netas totales]]/TableWeeklySummary[[#This Row],[Órdenes totales]],0)</f>
        <v>0</v>
      </c>
      <c r="H21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1.8038617886178863E-2</v>
      </c>
      <c r="I218" s="11">
        <f>TableWeeklySummary[[#This Row],[Órden promedio totales]]*TableWeeklySummary[[#This Row],[CR totales]]</f>
        <v>0</v>
      </c>
      <c r="J218" s="11">
        <f>SUMIFS(TableDailySummary[Ventas primer cliente],TableDailySummary[Fecha],"&gt;="&amp;TableWeeklySummary[[#This Row],[Desde]],TableDailySummary[Fecha],"&lt;="&amp;TableWeeklySummary[[#This Row],[Hasta]])</f>
        <v>0</v>
      </c>
      <c r="K218" s="11">
        <f>SUMIFS(TableDailySummary[Órdenes primer cliente],TableDailySummary[Fecha],"&gt;="&amp;TableWeeklySummary[[#This Row],[Desde]],TableDailySummary[Fecha],"&lt;="&amp;TableWeeklySummary[[#This Row],[Hasta]])</f>
        <v>0</v>
      </c>
      <c r="L218" s="11">
        <f>SUMIFS(TableDailySummary[Online Store_net_sales],TableDailySummary[Fecha],"&gt;="&amp;TableWeeklySummary[[#This Row],[Desde]],TableDailySummary[Fecha],"&lt;="&amp;TableWeeklySummary[[#This Row],[Hasta]])</f>
        <v>0</v>
      </c>
      <c r="M218" s="11">
        <f>SUMIFS(TableDailySummary[Online Store_orders],TableDailySummary[Fecha],"&gt;="&amp;TableWeeklySummary[[#This Row],[Desde]],TableDailySummary[Fecha],"&lt;="&amp;TableWeeklySummary[[#This Row],[Hasta]])</f>
        <v>0</v>
      </c>
      <c r="N218" s="11">
        <f>SUMIFS(TableDailySummary[Tienda 81_net_sales],TableDailySummary[Fecha],"&gt;="&amp;TableWeeklySummary[[#This Row],[Desde]],TableDailySummary[Fecha],"&lt;="&amp;TableWeeklySummary[[#This Row],[Hasta]])</f>
        <v>0</v>
      </c>
      <c r="O218" s="11">
        <f>SUMIFS(TableDailySummary[Tienda 81_orders],TableDailySummary[Fecha],"&gt;="&amp;TableWeeklySummary[[#This Row],[Desde]],TableDailySummary[Fecha],"&lt;="&amp;TableWeeklySummary[[#This Row],[Hasta]])</f>
        <v>0</v>
      </c>
      <c r="P218" s="11">
        <f>SUMIFS(TableDailySummary[Rappi_net_sales],TableDailySummary[Fecha],"&gt;="&amp;TableWeeklySummary[[#This Row],[Desde]],TableDailySummary[Fecha],"&lt;="&amp;TableWeeklySummary[[#This Row],[Hasta]])</f>
        <v>0</v>
      </c>
      <c r="Q218" s="11">
        <f>SUMIFS(TableDailySummary[Rappi_orders],TableDailySummary[Fecha],"&gt;="&amp;TableWeeklySummary[[#This Row],[Desde]],TableDailySummary[Fecha],"&lt;="&amp;TableWeeklySummary[[#This Row],[Hasta]])</f>
        <v>0</v>
      </c>
      <c r="R21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8" s="11">
        <f>SUMIFS(TableDailySummary[Corporativo no tienda_orders],TableDailySummary[Fecha],"&gt;="&amp;TableWeeklySummary[[#This Row],[Desde]],TableDailySummary[Fecha],"&lt;="&amp;TableWeeklySummary[[#This Row],[Hasta]])</f>
        <v>0</v>
      </c>
      <c r="T218" s="11">
        <f>SUMIFS(TableDailySummary[Inversión google ads],TableDailySummary[Fecha],"&gt;="&amp;TableWeeklySummary[[#This Row],[Desde]],TableDailySummary[Fecha],"&lt;="&amp;TableWeeklySummary[[#This Row],[Hasta]])</f>
        <v>0</v>
      </c>
      <c r="U218" s="11">
        <f>SUMIFS(TableDailySummary[Ventas google ads],TableDailySummary[Fecha],"&gt;="&amp;TableWeeklySummary[[#This Row],[Desde]],TableDailySummary[Fecha],"&lt;="&amp;TableWeeklySummary[[#This Row],[Hasta]])</f>
        <v>0</v>
      </c>
      <c r="V218" s="11">
        <f>SUMIFS(TableDailySummary[Inversión meta ads],TableDailySummary[Fecha],"&gt;="&amp;TableWeeklySummary[[#This Row],[Desde]],TableDailySummary[Fecha],"&lt;="&amp;TableWeeklySummary[[#This Row],[Hasta]])</f>
        <v>0</v>
      </c>
      <c r="W218" s="11">
        <f>SUMIFS(TableDailySummary[Ventas meta ads],TableDailySummary[Fecha],"&gt;="&amp;TableWeeklySummary[[#This Row],[Desde]],TableDailySummary[Fecha],"&lt;="&amp;TableWeeklySummary[[#This Row],[Hasta]])</f>
        <v>0</v>
      </c>
      <c r="X218" s="11">
        <f>TableWeeklySummary[[#This Row],[Inversión google ads]]+TableWeeklySummary[[#This Row],[Inversión meta ads]]</f>
        <v>0</v>
      </c>
      <c r="Y218" s="11">
        <f>TableWeeklySummary[[#This Row],[Ventas google ads]]+TableWeeklySummary[[#This Row],[Ventas meta ads]]</f>
        <v>0</v>
      </c>
      <c r="Z218" s="14">
        <f>IFERROR(TableWeeklySummary[[#This Row],[Ventas publicidad]]/TableWeeklySummary[[#This Row],[Inversión publicidad]],0)</f>
        <v>0</v>
      </c>
      <c r="AA218" s="14">
        <f>IFERROR(TableWeeklySummary[[#This Row],[Ventas primer cliente]]/TableWeeklySummary[[#This Row],[Inversión publicidad]],0)</f>
        <v>0</v>
      </c>
      <c r="AB218" s="14"/>
      <c r="AC218" s="11"/>
      <c r="AI21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8" s="11">
        <f>SUMIFS(TableDailySummary[Costo de ventas registrado],TableDailySummary[Fecha],"&gt;="&amp;TableWeeklySummary[[#This Row],[Desde]],TableDailySummary[Fecha],"&lt;="&amp;TableWeeklySummary[[#This Row],[Hasta]])</f>
        <v>0</v>
      </c>
      <c r="AK218" s="11">
        <f>SUMIFS(TableDailySummary[Utilidad bruta],TableDailySummary[Fecha],"&gt;="&amp;TableWeeklySummary[[#This Row],[Desde]],TableDailySummary[Fecha],"&lt;="&amp;TableWeeklySummary[[#This Row],[Hasta]])</f>
        <v>0</v>
      </c>
      <c r="AL218" s="18">
        <f>IFERROR(TableWeeklySummary[[#This Row],[Utilidad bruta]]/TableWeeklySummary[[#This Row],[Ventas netas con costo registrado]],0)</f>
        <v>0</v>
      </c>
    </row>
    <row r="219" spans="2:38" x14ac:dyDescent="0.2">
      <c r="B219" s="16">
        <f>_xlfn.ISOWEEKNUM(TableWeeklySummary[[#This Row],[Hasta]])</f>
        <v>52</v>
      </c>
      <c r="C219" s="6">
        <f t="shared" si="5"/>
        <v>46010</v>
      </c>
      <c r="D219" s="6">
        <f>TableWeeklySummary[[#This Row],[Desde]]+7-1</f>
        <v>46016</v>
      </c>
      <c r="E219" s="11">
        <f>SUMIFS(TableDailySummary[Ventas netas totales],TableDailySummary[Fecha],"&gt;="&amp;TableWeeklySummary[[#This Row],[Desde]],TableDailySummary[Fecha],"&lt;="&amp;TableWeeklySummary[[#This Row],[Hasta]])</f>
        <v>0</v>
      </c>
      <c r="F219" s="11">
        <f>SUMIFS(TableDailySummary[Órdenes totales],TableDailySummary[Fecha],"&gt;="&amp;TableWeeklySummary[[#This Row],[Desde]],TableDailySummary[Fecha],"&lt;="&amp;TableWeeklySummary[[#This Row],[Hasta]])</f>
        <v>0</v>
      </c>
      <c r="G219" s="11">
        <f>IFERROR(TableWeeklySummary[[#This Row],[Ventas netas totales]]/TableWeeklySummary[[#This Row],[Órdenes totales]],0)</f>
        <v>0</v>
      </c>
      <c r="H21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6.1832490163012928E-3</v>
      </c>
      <c r="I219" s="11">
        <f>TableWeeklySummary[[#This Row],[Órden promedio totales]]*TableWeeklySummary[[#This Row],[CR totales]]</f>
        <v>0</v>
      </c>
      <c r="J219" s="11">
        <f>SUMIFS(TableDailySummary[Ventas primer cliente],TableDailySummary[Fecha],"&gt;="&amp;TableWeeklySummary[[#This Row],[Desde]],TableDailySummary[Fecha],"&lt;="&amp;TableWeeklySummary[[#This Row],[Hasta]])</f>
        <v>0</v>
      </c>
      <c r="K219" s="11">
        <f>SUMIFS(TableDailySummary[Órdenes primer cliente],TableDailySummary[Fecha],"&gt;="&amp;TableWeeklySummary[[#This Row],[Desde]],TableDailySummary[Fecha],"&lt;="&amp;TableWeeklySummary[[#This Row],[Hasta]])</f>
        <v>0</v>
      </c>
      <c r="L219" s="11">
        <f>SUMIFS(TableDailySummary[Online Store_net_sales],TableDailySummary[Fecha],"&gt;="&amp;TableWeeklySummary[[#This Row],[Desde]],TableDailySummary[Fecha],"&lt;="&amp;TableWeeklySummary[[#This Row],[Hasta]])</f>
        <v>0</v>
      </c>
      <c r="M219" s="11">
        <f>SUMIFS(TableDailySummary[Online Store_orders],TableDailySummary[Fecha],"&gt;="&amp;TableWeeklySummary[[#This Row],[Desde]],TableDailySummary[Fecha],"&lt;="&amp;TableWeeklySummary[[#This Row],[Hasta]])</f>
        <v>0</v>
      </c>
      <c r="N219" s="11">
        <f>SUMIFS(TableDailySummary[Tienda 81_net_sales],TableDailySummary[Fecha],"&gt;="&amp;TableWeeklySummary[[#This Row],[Desde]],TableDailySummary[Fecha],"&lt;="&amp;TableWeeklySummary[[#This Row],[Hasta]])</f>
        <v>0</v>
      </c>
      <c r="O219" s="11">
        <f>SUMIFS(TableDailySummary[Tienda 81_orders],TableDailySummary[Fecha],"&gt;="&amp;TableWeeklySummary[[#This Row],[Desde]],TableDailySummary[Fecha],"&lt;="&amp;TableWeeklySummary[[#This Row],[Hasta]])</f>
        <v>0</v>
      </c>
      <c r="P219" s="11">
        <f>SUMIFS(TableDailySummary[Rappi_net_sales],TableDailySummary[Fecha],"&gt;="&amp;TableWeeklySummary[[#This Row],[Desde]],TableDailySummary[Fecha],"&lt;="&amp;TableWeeklySummary[[#This Row],[Hasta]])</f>
        <v>0</v>
      </c>
      <c r="Q219" s="11">
        <f>SUMIFS(TableDailySummary[Rappi_orders],TableDailySummary[Fecha],"&gt;="&amp;TableWeeklySummary[[#This Row],[Desde]],TableDailySummary[Fecha],"&lt;="&amp;TableWeeklySummary[[#This Row],[Hasta]])</f>
        <v>0</v>
      </c>
      <c r="R21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19" s="11">
        <f>SUMIFS(TableDailySummary[Corporativo no tienda_orders],TableDailySummary[Fecha],"&gt;="&amp;TableWeeklySummary[[#This Row],[Desde]],TableDailySummary[Fecha],"&lt;="&amp;TableWeeklySummary[[#This Row],[Hasta]])</f>
        <v>0</v>
      </c>
      <c r="T219" s="11">
        <f>SUMIFS(TableDailySummary[Inversión google ads],TableDailySummary[Fecha],"&gt;="&amp;TableWeeklySummary[[#This Row],[Desde]],TableDailySummary[Fecha],"&lt;="&amp;TableWeeklySummary[[#This Row],[Hasta]])</f>
        <v>0</v>
      </c>
      <c r="U219" s="11">
        <f>SUMIFS(TableDailySummary[Ventas google ads],TableDailySummary[Fecha],"&gt;="&amp;TableWeeklySummary[[#This Row],[Desde]],TableDailySummary[Fecha],"&lt;="&amp;TableWeeklySummary[[#This Row],[Hasta]])</f>
        <v>0</v>
      </c>
      <c r="V219" s="11">
        <f>SUMIFS(TableDailySummary[Inversión meta ads],TableDailySummary[Fecha],"&gt;="&amp;TableWeeklySummary[[#This Row],[Desde]],TableDailySummary[Fecha],"&lt;="&amp;TableWeeklySummary[[#This Row],[Hasta]])</f>
        <v>0</v>
      </c>
      <c r="W219" s="11">
        <f>SUMIFS(TableDailySummary[Ventas meta ads],TableDailySummary[Fecha],"&gt;="&amp;TableWeeklySummary[[#This Row],[Desde]],TableDailySummary[Fecha],"&lt;="&amp;TableWeeklySummary[[#This Row],[Hasta]])</f>
        <v>0</v>
      </c>
      <c r="X219" s="11">
        <f>TableWeeklySummary[[#This Row],[Inversión google ads]]+TableWeeklySummary[[#This Row],[Inversión meta ads]]</f>
        <v>0</v>
      </c>
      <c r="Y219" s="11">
        <f>TableWeeklySummary[[#This Row],[Ventas google ads]]+TableWeeklySummary[[#This Row],[Ventas meta ads]]</f>
        <v>0</v>
      </c>
      <c r="Z219" s="14">
        <f>IFERROR(TableWeeklySummary[[#This Row],[Ventas publicidad]]/TableWeeklySummary[[#This Row],[Inversión publicidad]],0)</f>
        <v>0</v>
      </c>
      <c r="AA219" s="14">
        <f>IFERROR(TableWeeklySummary[[#This Row],[Ventas primer cliente]]/TableWeeklySummary[[#This Row],[Inversión publicidad]],0)</f>
        <v>0</v>
      </c>
      <c r="AB219" s="14"/>
      <c r="AC219" s="11"/>
      <c r="AI21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19" s="11">
        <f>SUMIFS(TableDailySummary[Costo de ventas registrado],TableDailySummary[Fecha],"&gt;="&amp;TableWeeklySummary[[#This Row],[Desde]],TableDailySummary[Fecha],"&lt;="&amp;TableWeeklySummary[[#This Row],[Hasta]])</f>
        <v>0</v>
      </c>
      <c r="AK219" s="11">
        <f>SUMIFS(TableDailySummary[Utilidad bruta],TableDailySummary[Fecha],"&gt;="&amp;TableWeeklySummary[[#This Row],[Desde]],TableDailySummary[Fecha],"&lt;="&amp;TableWeeklySummary[[#This Row],[Hasta]])</f>
        <v>0</v>
      </c>
      <c r="AL219" s="18">
        <f>IFERROR(TableWeeklySummary[[#This Row],[Utilidad bruta]]/TableWeeklySummary[[#This Row],[Ventas netas con costo registrado]],0)</f>
        <v>0</v>
      </c>
    </row>
    <row r="220" spans="2:38" x14ac:dyDescent="0.2">
      <c r="B220" s="16">
        <f>_xlfn.ISOWEEKNUM(TableWeeklySummary[[#This Row],[Hasta]])</f>
        <v>1</v>
      </c>
      <c r="C220" s="6">
        <f t="shared" si="5"/>
        <v>46017</v>
      </c>
      <c r="D220" s="6">
        <f>TableWeeklySummary[[#This Row],[Desde]]+7-1</f>
        <v>46023</v>
      </c>
      <c r="E220" s="11">
        <f>SUMIFS(TableDailySummary[Ventas netas totales],TableDailySummary[Fecha],"&gt;="&amp;TableWeeklySummary[[#This Row],[Desde]],TableDailySummary[Fecha],"&lt;="&amp;TableWeeklySummary[[#This Row],[Hasta]])</f>
        <v>0</v>
      </c>
      <c r="F220" s="11">
        <f>SUMIFS(TableDailySummary[Órdenes totales],TableDailySummary[Fecha],"&gt;="&amp;TableWeeklySummary[[#This Row],[Desde]],TableDailySummary[Fecha],"&lt;="&amp;TableWeeklySummary[[#This Row],[Hasta]])</f>
        <v>0</v>
      </c>
      <c r="G220" s="11">
        <f>IFERROR(TableWeeklySummary[[#This Row],[Ventas netas totales]]/TableWeeklySummary[[#This Row],[Órdenes totales]],0)</f>
        <v>0</v>
      </c>
      <c r="H22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5.7716436637390211E-3</v>
      </c>
      <c r="I220" s="11">
        <f>TableWeeklySummary[[#This Row],[Órden promedio totales]]*TableWeeklySummary[[#This Row],[CR totales]]</f>
        <v>0</v>
      </c>
      <c r="J220" s="11">
        <f>SUMIFS(TableDailySummary[Ventas primer cliente],TableDailySummary[Fecha],"&gt;="&amp;TableWeeklySummary[[#This Row],[Desde]],TableDailySummary[Fecha],"&lt;="&amp;TableWeeklySummary[[#This Row],[Hasta]])</f>
        <v>0</v>
      </c>
      <c r="K220" s="11">
        <f>SUMIFS(TableDailySummary[Órdenes primer cliente],TableDailySummary[Fecha],"&gt;="&amp;TableWeeklySummary[[#This Row],[Desde]],TableDailySummary[Fecha],"&lt;="&amp;TableWeeklySummary[[#This Row],[Hasta]])</f>
        <v>0</v>
      </c>
      <c r="L220" s="11">
        <f>SUMIFS(TableDailySummary[Online Store_net_sales],TableDailySummary[Fecha],"&gt;="&amp;TableWeeklySummary[[#This Row],[Desde]],TableDailySummary[Fecha],"&lt;="&amp;TableWeeklySummary[[#This Row],[Hasta]])</f>
        <v>0</v>
      </c>
      <c r="M220" s="11">
        <f>SUMIFS(TableDailySummary[Online Store_orders],TableDailySummary[Fecha],"&gt;="&amp;TableWeeklySummary[[#This Row],[Desde]],TableDailySummary[Fecha],"&lt;="&amp;TableWeeklySummary[[#This Row],[Hasta]])</f>
        <v>0</v>
      </c>
      <c r="N220" s="11">
        <f>SUMIFS(TableDailySummary[Tienda 81_net_sales],TableDailySummary[Fecha],"&gt;="&amp;TableWeeklySummary[[#This Row],[Desde]],TableDailySummary[Fecha],"&lt;="&amp;TableWeeklySummary[[#This Row],[Hasta]])</f>
        <v>0</v>
      </c>
      <c r="O220" s="11">
        <f>SUMIFS(TableDailySummary[Tienda 81_orders],TableDailySummary[Fecha],"&gt;="&amp;TableWeeklySummary[[#This Row],[Desde]],TableDailySummary[Fecha],"&lt;="&amp;TableWeeklySummary[[#This Row],[Hasta]])</f>
        <v>0</v>
      </c>
      <c r="P220" s="11">
        <f>SUMIFS(TableDailySummary[Rappi_net_sales],TableDailySummary[Fecha],"&gt;="&amp;TableWeeklySummary[[#This Row],[Desde]],TableDailySummary[Fecha],"&lt;="&amp;TableWeeklySummary[[#This Row],[Hasta]])</f>
        <v>0</v>
      </c>
      <c r="Q220" s="11">
        <f>SUMIFS(TableDailySummary[Rappi_orders],TableDailySummary[Fecha],"&gt;="&amp;TableWeeklySummary[[#This Row],[Desde]],TableDailySummary[Fecha],"&lt;="&amp;TableWeeklySummary[[#This Row],[Hasta]])</f>
        <v>0</v>
      </c>
      <c r="R22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0" s="11">
        <f>SUMIFS(TableDailySummary[Corporativo no tienda_orders],TableDailySummary[Fecha],"&gt;="&amp;TableWeeklySummary[[#This Row],[Desde]],TableDailySummary[Fecha],"&lt;="&amp;TableWeeklySummary[[#This Row],[Hasta]])</f>
        <v>0</v>
      </c>
      <c r="T220" s="11">
        <f>SUMIFS(TableDailySummary[Inversión google ads],TableDailySummary[Fecha],"&gt;="&amp;TableWeeklySummary[[#This Row],[Desde]],TableDailySummary[Fecha],"&lt;="&amp;TableWeeklySummary[[#This Row],[Hasta]])</f>
        <v>0</v>
      </c>
      <c r="U220" s="11">
        <f>SUMIFS(TableDailySummary[Ventas google ads],TableDailySummary[Fecha],"&gt;="&amp;TableWeeklySummary[[#This Row],[Desde]],TableDailySummary[Fecha],"&lt;="&amp;TableWeeklySummary[[#This Row],[Hasta]])</f>
        <v>0</v>
      </c>
      <c r="V220" s="11">
        <f>SUMIFS(TableDailySummary[Inversión meta ads],TableDailySummary[Fecha],"&gt;="&amp;TableWeeklySummary[[#This Row],[Desde]],TableDailySummary[Fecha],"&lt;="&amp;TableWeeklySummary[[#This Row],[Hasta]])</f>
        <v>0</v>
      </c>
      <c r="W220" s="11">
        <f>SUMIFS(TableDailySummary[Ventas meta ads],TableDailySummary[Fecha],"&gt;="&amp;TableWeeklySummary[[#This Row],[Desde]],TableDailySummary[Fecha],"&lt;="&amp;TableWeeklySummary[[#This Row],[Hasta]])</f>
        <v>0</v>
      </c>
      <c r="X220" s="11">
        <f>TableWeeklySummary[[#This Row],[Inversión google ads]]+TableWeeklySummary[[#This Row],[Inversión meta ads]]</f>
        <v>0</v>
      </c>
      <c r="Y220" s="11">
        <f>TableWeeklySummary[[#This Row],[Ventas google ads]]+TableWeeklySummary[[#This Row],[Ventas meta ads]]</f>
        <v>0</v>
      </c>
      <c r="Z220" s="14">
        <f>IFERROR(TableWeeklySummary[[#This Row],[Ventas publicidad]]/TableWeeklySummary[[#This Row],[Inversión publicidad]],0)</f>
        <v>0</v>
      </c>
      <c r="AA220" s="14">
        <f>IFERROR(TableWeeklySummary[[#This Row],[Ventas primer cliente]]/TableWeeklySummary[[#This Row],[Inversión publicidad]],0)</f>
        <v>0</v>
      </c>
      <c r="AB220" s="14"/>
      <c r="AC220" s="11"/>
      <c r="AI22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0" s="11">
        <f>SUMIFS(TableDailySummary[Costo de ventas registrado],TableDailySummary[Fecha],"&gt;="&amp;TableWeeklySummary[[#This Row],[Desde]],TableDailySummary[Fecha],"&lt;="&amp;TableWeeklySummary[[#This Row],[Hasta]])</f>
        <v>0</v>
      </c>
      <c r="AK220" s="11">
        <f>SUMIFS(TableDailySummary[Utilidad bruta],TableDailySummary[Fecha],"&gt;="&amp;TableWeeklySummary[[#This Row],[Desde]],TableDailySummary[Fecha],"&lt;="&amp;TableWeeklySummary[[#This Row],[Hasta]])</f>
        <v>0</v>
      </c>
      <c r="AL220" s="18">
        <f>IFERROR(TableWeeklySummary[[#This Row],[Utilidad bruta]]/TableWeeklySummary[[#This Row],[Ventas netas con costo registrado]],0)</f>
        <v>0</v>
      </c>
    </row>
    <row r="221" spans="2:38" x14ac:dyDescent="0.2">
      <c r="B221" s="16">
        <f>_xlfn.ISOWEEKNUM(TableWeeklySummary[[#This Row],[Hasta]])</f>
        <v>2</v>
      </c>
      <c r="C221" s="6">
        <f t="shared" si="5"/>
        <v>46024</v>
      </c>
      <c r="D221" s="6">
        <f>TableWeeklySummary[[#This Row],[Desde]]+7-1</f>
        <v>46030</v>
      </c>
      <c r="E221" s="11">
        <f>SUMIFS(TableDailySummary[Ventas netas totales],TableDailySummary[Fecha],"&gt;="&amp;TableWeeklySummary[[#This Row],[Desde]],TableDailySummary[Fecha],"&lt;="&amp;TableWeeklySummary[[#This Row],[Hasta]])</f>
        <v>0</v>
      </c>
      <c r="F221" s="11">
        <f>SUMIFS(TableDailySummary[Órdenes totales],TableDailySummary[Fecha],"&gt;="&amp;TableWeeklySummary[[#This Row],[Desde]],TableDailySummary[Fecha],"&lt;="&amp;TableWeeklySummary[[#This Row],[Hasta]])</f>
        <v>0</v>
      </c>
      <c r="G221" s="11">
        <f>IFERROR(TableWeeklySummary[[#This Row],[Ventas netas totales]]/TableWeeklySummary[[#This Row],[Órdenes totales]],0)</f>
        <v>0</v>
      </c>
      <c r="H22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7.5359671157798581E-3</v>
      </c>
      <c r="I221" s="11">
        <f>TableWeeklySummary[[#This Row],[Órden promedio totales]]*TableWeeklySummary[[#This Row],[CR totales]]</f>
        <v>0</v>
      </c>
      <c r="J221" s="11">
        <f>SUMIFS(TableDailySummary[Ventas primer cliente],TableDailySummary[Fecha],"&gt;="&amp;TableWeeklySummary[[#This Row],[Desde]],TableDailySummary[Fecha],"&lt;="&amp;TableWeeklySummary[[#This Row],[Hasta]])</f>
        <v>0</v>
      </c>
      <c r="K221" s="11">
        <f>SUMIFS(TableDailySummary[Órdenes primer cliente],TableDailySummary[Fecha],"&gt;="&amp;TableWeeklySummary[[#This Row],[Desde]],TableDailySummary[Fecha],"&lt;="&amp;TableWeeklySummary[[#This Row],[Hasta]])</f>
        <v>0</v>
      </c>
      <c r="L221" s="11">
        <f>SUMIFS(TableDailySummary[Online Store_net_sales],TableDailySummary[Fecha],"&gt;="&amp;TableWeeklySummary[[#This Row],[Desde]],TableDailySummary[Fecha],"&lt;="&amp;TableWeeklySummary[[#This Row],[Hasta]])</f>
        <v>0</v>
      </c>
      <c r="M221" s="11">
        <f>SUMIFS(TableDailySummary[Online Store_orders],TableDailySummary[Fecha],"&gt;="&amp;TableWeeklySummary[[#This Row],[Desde]],TableDailySummary[Fecha],"&lt;="&amp;TableWeeklySummary[[#This Row],[Hasta]])</f>
        <v>0</v>
      </c>
      <c r="N221" s="11">
        <f>SUMIFS(TableDailySummary[Tienda 81_net_sales],TableDailySummary[Fecha],"&gt;="&amp;TableWeeklySummary[[#This Row],[Desde]],TableDailySummary[Fecha],"&lt;="&amp;TableWeeklySummary[[#This Row],[Hasta]])</f>
        <v>0</v>
      </c>
      <c r="O221" s="11">
        <f>SUMIFS(TableDailySummary[Tienda 81_orders],TableDailySummary[Fecha],"&gt;="&amp;TableWeeklySummary[[#This Row],[Desde]],TableDailySummary[Fecha],"&lt;="&amp;TableWeeklySummary[[#This Row],[Hasta]])</f>
        <v>0</v>
      </c>
      <c r="P221" s="11">
        <f>SUMIFS(TableDailySummary[Rappi_net_sales],TableDailySummary[Fecha],"&gt;="&amp;TableWeeklySummary[[#This Row],[Desde]],TableDailySummary[Fecha],"&lt;="&amp;TableWeeklySummary[[#This Row],[Hasta]])</f>
        <v>0</v>
      </c>
      <c r="Q221" s="11">
        <f>SUMIFS(TableDailySummary[Rappi_orders],TableDailySummary[Fecha],"&gt;="&amp;TableWeeklySummary[[#This Row],[Desde]],TableDailySummary[Fecha],"&lt;="&amp;TableWeeklySummary[[#This Row],[Hasta]])</f>
        <v>0</v>
      </c>
      <c r="R22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1" s="11">
        <f>SUMIFS(TableDailySummary[Corporativo no tienda_orders],TableDailySummary[Fecha],"&gt;="&amp;TableWeeklySummary[[#This Row],[Desde]],TableDailySummary[Fecha],"&lt;="&amp;TableWeeklySummary[[#This Row],[Hasta]])</f>
        <v>0</v>
      </c>
      <c r="T221" s="11">
        <f>SUMIFS(TableDailySummary[Inversión google ads],TableDailySummary[Fecha],"&gt;="&amp;TableWeeklySummary[[#This Row],[Desde]],TableDailySummary[Fecha],"&lt;="&amp;TableWeeklySummary[[#This Row],[Hasta]])</f>
        <v>0</v>
      </c>
      <c r="U221" s="11">
        <f>SUMIFS(TableDailySummary[Ventas google ads],TableDailySummary[Fecha],"&gt;="&amp;TableWeeklySummary[[#This Row],[Desde]],TableDailySummary[Fecha],"&lt;="&amp;TableWeeklySummary[[#This Row],[Hasta]])</f>
        <v>0</v>
      </c>
      <c r="V221" s="11">
        <f>SUMIFS(TableDailySummary[Inversión meta ads],TableDailySummary[Fecha],"&gt;="&amp;TableWeeklySummary[[#This Row],[Desde]],TableDailySummary[Fecha],"&lt;="&amp;TableWeeklySummary[[#This Row],[Hasta]])</f>
        <v>0</v>
      </c>
      <c r="W221" s="11">
        <f>SUMIFS(TableDailySummary[Ventas meta ads],TableDailySummary[Fecha],"&gt;="&amp;TableWeeklySummary[[#This Row],[Desde]],TableDailySummary[Fecha],"&lt;="&amp;TableWeeklySummary[[#This Row],[Hasta]])</f>
        <v>0</v>
      </c>
      <c r="X221" s="11">
        <f>TableWeeklySummary[[#This Row],[Inversión google ads]]+TableWeeklySummary[[#This Row],[Inversión meta ads]]</f>
        <v>0</v>
      </c>
      <c r="Y221" s="11">
        <f>TableWeeklySummary[[#This Row],[Ventas google ads]]+TableWeeklySummary[[#This Row],[Ventas meta ads]]</f>
        <v>0</v>
      </c>
      <c r="Z221" s="14">
        <f>IFERROR(TableWeeklySummary[[#This Row],[Ventas publicidad]]/TableWeeklySummary[[#This Row],[Inversión publicidad]],0)</f>
        <v>0</v>
      </c>
      <c r="AA221" s="14">
        <f>IFERROR(TableWeeklySummary[[#This Row],[Ventas primer cliente]]/TableWeeklySummary[[#This Row],[Inversión publicidad]],0)</f>
        <v>0</v>
      </c>
      <c r="AB221" s="14"/>
      <c r="AC221" s="11"/>
      <c r="AI22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1" s="11">
        <f>SUMIFS(TableDailySummary[Costo de ventas registrado],TableDailySummary[Fecha],"&gt;="&amp;TableWeeklySummary[[#This Row],[Desde]],TableDailySummary[Fecha],"&lt;="&amp;TableWeeklySummary[[#This Row],[Hasta]])</f>
        <v>0</v>
      </c>
      <c r="AK221" s="11">
        <f>SUMIFS(TableDailySummary[Utilidad bruta],TableDailySummary[Fecha],"&gt;="&amp;TableWeeklySummary[[#This Row],[Desde]],TableDailySummary[Fecha],"&lt;="&amp;TableWeeklySummary[[#This Row],[Hasta]])</f>
        <v>0</v>
      </c>
      <c r="AL221" s="18">
        <f>IFERROR(TableWeeklySummary[[#This Row],[Utilidad bruta]]/TableWeeklySummary[[#This Row],[Ventas netas con costo registrado]],0)</f>
        <v>0</v>
      </c>
    </row>
    <row r="222" spans="2:38" x14ac:dyDescent="0.2">
      <c r="B222" s="16">
        <f>_xlfn.ISOWEEKNUM(TableWeeklySummary[[#This Row],[Hasta]])</f>
        <v>3</v>
      </c>
      <c r="C222" s="6">
        <f t="shared" si="5"/>
        <v>46031</v>
      </c>
      <c r="D222" s="6">
        <f>TableWeeklySummary[[#This Row],[Desde]]+7-1</f>
        <v>46037</v>
      </c>
      <c r="E222" s="11">
        <f>SUMIFS(TableDailySummary[Ventas netas totales],TableDailySummary[Fecha],"&gt;="&amp;TableWeeklySummary[[#This Row],[Desde]],TableDailySummary[Fecha],"&lt;="&amp;TableWeeklySummary[[#This Row],[Hasta]])</f>
        <v>0</v>
      </c>
      <c r="F222" s="11">
        <f>SUMIFS(TableDailySummary[Órdenes totales],TableDailySummary[Fecha],"&gt;="&amp;TableWeeklySummary[[#This Row],[Desde]],TableDailySummary[Fecha],"&lt;="&amp;TableWeeklySummary[[#This Row],[Hasta]])</f>
        <v>0</v>
      </c>
      <c r="G222" s="11">
        <f>IFERROR(TableWeeklySummary[[#This Row],[Ventas netas totales]]/TableWeeklySummary[[#This Row],[Órdenes totales]],0)</f>
        <v>0</v>
      </c>
      <c r="H22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4.8893463715903246E-3</v>
      </c>
      <c r="I222" s="11">
        <f>TableWeeklySummary[[#This Row],[Órden promedio totales]]*TableWeeklySummary[[#This Row],[CR totales]]</f>
        <v>0</v>
      </c>
      <c r="J222" s="11">
        <f>SUMIFS(TableDailySummary[Ventas primer cliente],TableDailySummary[Fecha],"&gt;="&amp;TableWeeklySummary[[#This Row],[Desde]],TableDailySummary[Fecha],"&lt;="&amp;TableWeeklySummary[[#This Row],[Hasta]])</f>
        <v>0</v>
      </c>
      <c r="K222" s="11">
        <f>SUMIFS(TableDailySummary[Órdenes primer cliente],TableDailySummary[Fecha],"&gt;="&amp;TableWeeklySummary[[#This Row],[Desde]],TableDailySummary[Fecha],"&lt;="&amp;TableWeeklySummary[[#This Row],[Hasta]])</f>
        <v>0</v>
      </c>
      <c r="L222" s="11">
        <f>SUMIFS(TableDailySummary[Online Store_net_sales],TableDailySummary[Fecha],"&gt;="&amp;TableWeeklySummary[[#This Row],[Desde]],TableDailySummary[Fecha],"&lt;="&amp;TableWeeklySummary[[#This Row],[Hasta]])</f>
        <v>0</v>
      </c>
      <c r="M222" s="11">
        <f>SUMIFS(TableDailySummary[Online Store_orders],TableDailySummary[Fecha],"&gt;="&amp;TableWeeklySummary[[#This Row],[Desde]],TableDailySummary[Fecha],"&lt;="&amp;TableWeeklySummary[[#This Row],[Hasta]])</f>
        <v>0</v>
      </c>
      <c r="N222" s="11">
        <f>SUMIFS(TableDailySummary[Tienda 81_net_sales],TableDailySummary[Fecha],"&gt;="&amp;TableWeeklySummary[[#This Row],[Desde]],TableDailySummary[Fecha],"&lt;="&amp;TableWeeklySummary[[#This Row],[Hasta]])</f>
        <v>0</v>
      </c>
      <c r="O222" s="11">
        <f>SUMIFS(TableDailySummary[Tienda 81_orders],TableDailySummary[Fecha],"&gt;="&amp;TableWeeklySummary[[#This Row],[Desde]],TableDailySummary[Fecha],"&lt;="&amp;TableWeeklySummary[[#This Row],[Hasta]])</f>
        <v>0</v>
      </c>
      <c r="P222" s="11">
        <f>SUMIFS(TableDailySummary[Rappi_net_sales],TableDailySummary[Fecha],"&gt;="&amp;TableWeeklySummary[[#This Row],[Desde]],TableDailySummary[Fecha],"&lt;="&amp;TableWeeklySummary[[#This Row],[Hasta]])</f>
        <v>0</v>
      </c>
      <c r="Q222" s="11">
        <f>SUMIFS(TableDailySummary[Rappi_orders],TableDailySummary[Fecha],"&gt;="&amp;TableWeeklySummary[[#This Row],[Desde]],TableDailySummary[Fecha],"&lt;="&amp;TableWeeklySummary[[#This Row],[Hasta]])</f>
        <v>0</v>
      </c>
      <c r="R22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2" s="11">
        <f>SUMIFS(TableDailySummary[Corporativo no tienda_orders],TableDailySummary[Fecha],"&gt;="&amp;TableWeeklySummary[[#This Row],[Desde]],TableDailySummary[Fecha],"&lt;="&amp;TableWeeklySummary[[#This Row],[Hasta]])</f>
        <v>0</v>
      </c>
      <c r="T222" s="11">
        <f>SUMIFS(TableDailySummary[Inversión google ads],TableDailySummary[Fecha],"&gt;="&amp;TableWeeklySummary[[#This Row],[Desde]],TableDailySummary[Fecha],"&lt;="&amp;TableWeeklySummary[[#This Row],[Hasta]])</f>
        <v>0</v>
      </c>
      <c r="U222" s="11">
        <f>SUMIFS(TableDailySummary[Ventas google ads],TableDailySummary[Fecha],"&gt;="&amp;TableWeeklySummary[[#This Row],[Desde]],TableDailySummary[Fecha],"&lt;="&amp;TableWeeklySummary[[#This Row],[Hasta]])</f>
        <v>0</v>
      </c>
      <c r="V222" s="11">
        <f>SUMIFS(TableDailySummary[Inversión meta ads],TableDailySummary[Fecha],"&gt;="&amp;TableWeeklySummary[[#This Row],[Desde]],TableDailySummary[Fecha],"&lt;="&amp;TableWeeklySummary[[#This Row],[Hasta]])</f>
        <v>0</v>
      </c>
      <c r="W222" s="11">
        <f>SUMIFS(TableDailySummary[Ventas meta ads],TableDailySummary[Fecha],"&gt;="&amp;TableWeeklySummary[[#This Row],[Desde]],TableDailySummary[Fecha],"&lt;="&amp;TableWeeklySummary[[#This Row],[Hasta]])</f>
        <v>0</v>
      </c>
      <c r="X222" s="11">
        <f>TableWeeklySummary[[#This Row],[Inversión google ads]]+TableWeeklySummary[[#This Row],[Inversión meta ads]]</f>
        <v>0</v>
      </c>
      <c r="Y222" s="11">
        <f>TableWeeklySummary[[#This Row],[Ventas google ads]]+TableWeeklySummary[[#This Row],[Ventas meta ads]]</f>
        <v>0</v>
      </c>
      <c r="Z222" s="14">
        <f>IFERROR(TableWeeklySummary[[#This Row],[Ventas publicidad]]/TableWeeklySummary[[#This Row],[Inversión publicidad]],0)</f>
        <v>0</v>
      </c>
      <c r="AA222" s="14">
        <f>IFERROR(TableWeeklySummary[[#This Row],[Ventas primer cliente]]/TableWeeklySummary[[#This Row],[Inversión publicidad]],0)</f>
        <v>0</v>
      </c>
      <c r="AB222" s="14"/>
      <c r="AC222" s="11"/>
      <c r="AI22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2" s="11">
        <f>SUMIFS(TableDailySummary[Costo de ventas registrado],TableDailySummary[Fecha],"&gt;="&amp;TableWeeklySummary[[#This Row],[Desde]],TableDailySummary[Fecha],"&lt;="&amp;TableWeeklySummary[[#This Row],[Hasta]])</f>
        <v>0</v>
      </c>
      <c r="AK222" s="11">
        <f>SUMIFS(TableDailySummary[Utilidad bruta],TableDailySummary[Fecha],"&gt;="&amp;TableWeeklySummary[[#This Row],[Desde]],TableDailySummary[Fecha],"&lt;="&amp;TableWeeklySummary[[#This Row],[Hasta]])</f>
        <v>0</v>
      </c>
      <c r="AL222" s="18">
        <f>IFERROR(TableWeeklySummary[[#This Row],[Utilidad bruta]]/TableWeeklySummary[[#This Row],[Ventas netas con costo registrado]],0)</f>
        <v>0</v>
      </c>
    </row>
    <row r="223" spans="2:38" x14ac:dyDescent="0.2">
      <c r="B223" s="16">
        <f>_xlfn.ISOWEEKNUM(TableWeeklySummary[[#This Row],[Hasta]])</f>
        <v>4</v>
      </c>
      <c r="C223" s="6">
        <f t="shared" si="5"/>
        <v>46038</v>
      </c>
      <c r="D223" s="6">
        <f>TableWeeklySummary[[#This Row],[Desde]]+7-1</f>
        <v>46044</v>
      </c>
      <c r="E223" s="11">
        <f>SUMIFS(TableDailySummary[Ventas netas totales],TableDailySummary[Fecha],"&gt;="&amp;TableWeeklySummary[[#This Row],[Desde]],TableDailySummary[Fecha],"&lt;="&amp;TableWeeklySummary[[#This Row],[Hasta]])</f>
        <v>0</v>
      </c>
      <c r="F223" s="11">
        <f>SUMIFS(TableDailySummary[Órdenes totales],TableDailySummary[Fecha],"&gt;="&amp;TableWeeklySummary[[#This Row],[Desde]],TableDailySummary[Fecha],"&lt;="&amp;TableWeeklySummary[[#This Row],[Hasta]])</f>
        <v>0</v>
      </c>
      <c r="G223" s="11">
        <f>IFERROR(TableWeeklySummary[[#This Row],[Ventas netas totales]]/TableWeeklySummary[[#This Row],[Órdenes totales]],0)</f>
        <v>0</v>
      </c>
      <c r="H22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8.6630089517759166E-3</v>
      </c>
      <c r="I223" s="11">
        <f>TableWeeklySummary[[#This Row],[Órden promedio totales]]*TableWeeklySummary[[#This Row],[CR totales]]</f>
        <v>0</v>
      </c>
      <c r="J223" s="11">
        <f>SUMIFS(TableDailySummary[Ventas primer cliente],TableDailySummary[Fecha],"&gt;="&amp;TableWeeklySummary[[#This Row],[Desde]],TableDailySummary[Fecha],"&lt;="&amp;TableWeeklySummary[[#This Row],[Hasta]])</f>
        <v>0</v>
      </c>
      <c r="K223" s="11">
        <f>SUMIFS(TableDailySummary[Órdenes primer cliente],TableDailySummary[Fecha],"&gt;="&amp;TableWeeklySummary[[#This Row],[Desde]],TableDailySummary[Fecha],"&lt;="&amp;TableWeeklySummary[[#This Row],[Hasta]])</f>
        <v>0</v>
      </c>
      <c r="L223" s="11">
        <f>SUMIFS(TableDailySummary[Online Store_net_sales],TableDailySummary[Fecha],"&gt;="&amp;TableWeeklySummary[[#This Row],[Desde]],TableDailySummary[Fecha],"&lt;="&amp;TableWeeklySummary[[#This Row],[Hasta]])</f>
        <v>0</v>
      </c>
      <c r="M223" s="11">
        <f>SUMIFS(TableDailySummary[Online Store_orders],TableDailySummary[Fecha],"&gt;="&amp;TableWeeklySummary[[#This Row],[Desde]],TableDailySummary[Fecha],"&lt;="&amp;TableWeeklySummary[[#This Row],[Hasta]])</f>
        <v>0</v>
      </c>
      <c r="N223" s="11">
        <f>SUMIFS(TableDailySummary[Tienda 81_net_sales],TableDailySummary[Fecha],"&gt;="&amp;TableWeeklySummary[[#This Row],[Desde]],TableDailySummary[Fecha],"&lt;="&amp;TableWeeklySummary[[#This Row],[Hasta]])</f>
        <v>0</v>
      </c>
      <c r="O223" s="11">
        <f>SUMIFS(TableDailySummary[Tienda 81_orders],TableDailySummary[Fecha],"&gt;="&amp;TableWeeklySummary[[#This Row],[Desde]],TableDailySummary[Fecha],"&lt;="&amp;TableWeeklySummary[[#This Row],[Hasta]])</f>
        <v>0</v>
      </c>
      <c r="P223" s="11">
        <f>SUMIFS(TableDailySummary[Rappi_net_sales],TableDailySummary[Fecha],"&gt;="&amp;TableWeeklySummary[[#This Row],[Desde]],TableDailySummary[Fecha],"&lt;="&amp;TableWeeklySummary[[#This Row],[Hasta]])</f>
        <v>0</v>
      </c>
      <c r="Q223" s="11">
        <f>SUMIFS(TableDailySummary[Rappi_orders],TableDailySummary[Fecha],"&gt;="&amp;TableWeeklySummary[[#This Row],[Desde]],TableDailySummary[Fecha],"&lt;="&amp;TableWeeklySummary[[#This Row],[Hasta]])</f>
        <v>0</v>
      </c>
      <c r="R22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3" s="11">
        <f>SUMIFS(TableDailySummary[Corporativo no tienda_orders],TableDailySummary[Fecha],"&gt;="&amp;TableWeeklySummary[[#This Row],[Desde]],TableDailySummary[Fecha],"&lt;="&amp;TableWeeklySummary[[#This Row],[Hasta]])</f>
        <v>0</v>
      </c>
      <c r="T223" s="11">
        <f>SUMIFS(TableDailySummary[Inversión google ads],TableDailySummary[Fecha],"&gt;="&amp;TableWeeklySummary[[#This Row],[Desde]],TableDailySummary[Fecha],"&lt;="&amp;TableWeeklySummary[[#This Row],[Hasta]])</f>
        <v>0</v>
      </c>
      <c r="U223" s="11">
        <f>SUMIFS(TableDailySummary[Ventas google ads],TableDailySummary[Fecha],"&gt;="&amp;TableWeeklySummary[[#This Row],[Desde]],TableDailySummary[Fecha],"&lt;="&amp;TableWeeklySummary[[#This Row],[Hasta]])</f>
        <v>0</v>
      </c>
      <c r="V223" s="11">
        <f>SUMIFS(TableDailySummary[Inversión meta ads],TableDailySummary[Fecha],"&gt;="&amp;TableWeeklySummary[[#This Row],[Desde]],TableDailySummary[Fecha],"&lt;="&amp;TableWeeklySummary[[#This Row],[Hasta]])</f>
        <v>0</v>
      </c>
      <c r="W223" s="11">
        <f>SUMIFS(TableDailySummary[Ventas meta ads],TableDailySummary[Fecha],"&gt;="&amp;TableWeeklySummary[[#This Row],[Desde]],TableDailySummary[Fecha],"&lt;="&amp;TableWeeklySummary[[#This Row],[Hasta]])</f>
        <v>0</v>
      </c>
      <c r="X223" s="11">
        <f>TableWeeklySummary[[#This Row],[Inversión google ads]]+TableWeeklySummary[[#This Row],[Inversión meta ads]]</f>
        <v>0</v>
      </c>
      <c r="Y223" s="11">
        <f>TableWeeklySummary[[#This Row],[Ventas google ads]]+TableWeeklySummary[[#This Row],[Ventas meta ads]]</f>
        <v>0</v>
      </c>
      <c r="Z223" s="14">
        <f>IFERROR(TableWeeklySummary[[#This Row],[Ventas publicidad]]/TableWeeklySummary[[#This Row],[Inversión publicidad]],0)</f>
        <v>0</v>
      </c>
      <c r="AA223" s="14">
        <f>IFERROR(TableWeeklySummary[[#This Row],[Ventas primer cliente]]/TableWeeklySummary[[#This Row],[Inversión publicidad]],0)</f>
        <v>0</v>
      </c>
      <c r="AB223" s="14"/>
      <c r="AC223" s="11"/>
      <c r="AI22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3" s="11">
        <f>SUMIFS(TableDailySummary[Costo de ventas registrado],TableDailySummary[Fecha],"&gt;="&amp;TableWeeklySummary[[#This Row],[Desde]],TableDailySummary[Fecha],"&lt;="&amp;TableWeeklySummary[[#This Row],[Hasta]])</f>
        <v>0</v>
      </c>
      <c r="AK223" s="11">
        <f>SUMIFS(TableDailySummary[Utilidad bruta],TableDailySummary[Fecha],"&gt;="&amp;TableWeeklySummary[[#This Row],[Desde]],TableDailySummary[Fecha],"&lt;="&amp;TableWeeklySummary[[#This Row],[Hasta]])</f>
        <v>0</v>
      </c>
      <c r="AL223" s="18">
        <f>IFERROR(TableWeeklySummary[[#This Row],[Utilidad bruta]]/TableWeeklySummary[[#This Row],[Ventas netas con costo registrado]],0)</f>
        <v>0</v>
      </c>
    </row>
    <row r="224" spans="2:38" x14ac:dyDescent="0.2">
      <c r="B224" s="16">
        <f>_xlfn.ISOWEEKNUM(TableWeeklySummary[[#This Row],[Hasta]])</f>
        <v>5</v>
      </c>
      <c r="C224" s="6">
        <f t="shared" si="5"/>
        <v>46045</v>
      </c>
      <c r="D224" s="6">
        <f>TableWeeklySummary[[#This Row],[Desde]]+7-1</f>
        <v>46051</v>
      </c>
      <c r="E224" s="11">
        <f>SUMIFS(TableDailySummary[Ventas netas totales],TableDailySummary[Fecha],"&gt;="&amp;TableWeeklySummary[[#This Row],[Desde]],TableDailySummary[Fecha],"&lt;="&amp;TableWeeklySummary[[#This Row],[Hasta]])</f>
        <v>0</v>
      </c>
      <c r="F224" s="11">
        <f>SUMIFS(TableDailySummary[Órdenes totales],TableDailySummary[Fecha],"&gt;="&amp;TableWeeklySummary[[#This Row],[Desde]],TableDailySummary[Fecha],"&lt;="&amp;TableWeeklySummary[[#This Row],[Hasta]])</f>
        <v>0</v>
      </c>
      <c r="G224" s="11">
        <f>IFERROR(TableWeeklySummary[[#This Row],[Ventas netas totales]]/TableWeeklySummary[[#This Row],[Órdenes totales]],0)</f>
        <v>0</v>
      </c>
      <c r="H22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8.1377151799687016E-3</v>
      </c>
      <c r="I224" s="11">
        <f>TableWeeklySummary[[#This Row],[Órden promedio totales]]*TableWeeklySummary[[#This Row],[CR totales]]</f>
        <v>0</v>
      </c>
      <c r="J224" s="11">
        <f>SUMIFS(TableDailySummary[Ventas primer cliente],TableDailySummary[Fecha],"&gt;="&amp;TableWeeklySummary[[#This Row],[Desde]],TableDailySummary[Fecha],"&lt;="&amp;TableWeeklySummary[[#This Row],[Hasta]])</f>
        <v>0</v>
      </c>
      <c r="K224" s="11">
        <f>SUMIFS(TableDailySummary[Órdenes primer cliente],TableDailySummary[Fecha],"&gt;="&amp;TableWeeklySummary[[#This Row],[Desde]],TableDailySummary[Fecha],"&lt;="&amp;TableWeeklySummary[[#This Row],[Hasta]])</f>
        <v>0</v>
      </c>
      <c r="L224" s="11">
        <f>SUMIFS(TableDailySummary[Online Store_net_sales],TableDailySummary[Fecha],"&gt;="&amp;TableWeeklySummary[[#This Row],[Desde]],TableDailySummary[Fecha],"&lt;="&amp;TableWeeklySummary[[#This Row],[Hasta]])</f>
        <v>0</v>
      </c>
      <c r="M224" s="11">
        <f>SUMIFS(TableDailySummary[Online Store_orders],TableDailySummary[Fecha],"&gt;="&amp;TableWeeklySummary[[#This Row],[Desde]],TableDailySummary[Fecha],"&lt;="&amp;TableWeeklySummary[[#This Row],[Hasta]])</f>
        <v>0</v>
      </c>
      <c r="N224" s="11">
        <f>SUMIFS(TableDailySummary[Tienda 81_net_sales],TableDailySummary[Fecha],"&gt;="&amp;TableWeeklySummary[[#This Row],[Desde]],TableDailySummary[Fecha],"&lt;="&amp;TableWeeklySummary[[#This Row],[Hasta]])</f>
        <v>0</v>
      </c>
      <c r="O224" s="11">
        <f>SUMIFS(TableDailySummary[Tienda 81_orders],TableDailySummary[Fecha],"&gt;="&amp;TableWeeklySummary[[#This Row],[Desde]],TableDailySummary[Fecha],"&lt;="&amp;TableWeeklySummary[[#This Row],[Hasta]])</f>
        <v>0</v>
      </c>
      <c r="P224" s="11">
        <f>SUMIFS(TableDailySummary[Rappi_net_sales],TableDailySummary[Fecha],"&gt;="&amp;TableWeeklySummary[[#This Row],[Desde]],TableDailySummary[Fecha],"&lt;="&amp;TableWeeklySummary[[#This Row],[Hasta]])</f>
        <v>0</v>
      </c>
      <c r="Q224" s="11">
        <f>SUMIFS(TableDailySummary[Rappi_orders],TableDailySummary[Fecha],"&gt;="&amp;TableWeeklySummary[[#This Row],[Desde]],TableDailySummary[Fecha],"&lt;="&amp;TableWeeklySummary[[#This Row],[Hasta]])</f>
        <v>0</v>
      </c>
      <c r="R22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4" s="11">
        <f>SUMIFS(TableDailySummary[Corporativo no tienda_orders],TableDailySummary[Fecha],"&gt;="&amp;TableWeeklySummary[[#This Row],[Desde]],TableDailySummary[Fecha],"&lt;="&amp;TableWeeklySummary[[#This Row],[Hasta]])</f>
        <v>0</v>
      </c>
      <c r="T224" s="11">
        <f>SUMIFS(TableDailySummary[Inversión google ads],TableDailySummary[Fecha],"&gt;="&amp;TableWeeklySummary[[#This Row],[Desde]],TableDailySummary[Fecha],"&lt;="&amp;TableWeeklySummary[[#This Row],[Hasta]])</f>
        <v>0</v>
      </c>
      <c r="U224" s="11">
        <f>SUMIFS(TableDailySummary[Ventas google ads],TableDailySummary[Fecha],"&gt;="&amp;TableWeeklySummary[[#This Row],[Desde]],TableDailySummary[Fecha],"&lt;="&amp;TableWeeklySummary[[#This Row],[Hasta]])</f>
        <v>0</v>
      </c>
      <c r="V224" s="11">
        <f>SUMIFS(TableDailySummary[Inversión meta ads],TableDailySummary[Fecha],"&gt;="&amp;TableWeeklySummary[[#This Row],[Desde]],TableDailySummary[Fecha],"&lt;="&amp;TableWeeklySummary[[#This Row],[Hasta]])</f>
        <v>0</v>
      </c>
      <c r="W224" s="11">
        <f>SUMIFS(TableDailySummary[Ventas meta ads],TableDailySummary[Fecha],"&gt;="&amp;TableWeeklySummary[[#This Row],[Desde]],TableDailySummary[Fecha],"&lt;="&amp;TableWeeklySummary[[#This Row],[Hasta]])</f>
        <v>0</v>
      </c>
      <c r="X224" s="11">
        <f>TableWeeklySummary[[#This Row],[Inversión google ads]]+TableWeeklySummary[[#This Row],[Inversión meta ads]]</f>
        <v>0</v>
      </c>
      <c r="Y224" s="11">
        <f>TableWeeklySummary[[#This Row],[Ventas google ads]]+TableWeeklySummary[[#This Row],[Ventas meta ads]]</f>
        <v>0</v>
      </c>
      <c r="Z224" s="14">
        <f>IFERROR(TableWeeklySummary[[#This Row],[Ventas publicidad]]/TableWeeklySummary[[#This Row],[Inversión publicidad]],0)</f>
        <v>0</v>
      </c>
      <c r="AA224" s="14">
        <f>IFERROR(TableWeeklySummary[[#This Row],[Ventas primer cliente]]/TableWeeklySummary[[#This Row],[Inversión publicidad]],0)</f>
        <v>0</v>
      </c>
      <c r="AB224" s="14"/>
      <c r="AC224" s="11"/>
      <c r="AI22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4" s="11">
        <f>SUMIFS(TableDailySummary[Costo de ventas registrado],TableDailySummary[Fecha],"&gt;="&amp;TableWeeklySummary[[#This Row],[Desde]],TableDailySummary[Fecha],"&lt;="&amp;TableWeeklySummary[[#This Row],[Hasta]])</f>
        <v>0</v>
      </c>
      <c r="AK224" s="11">
        <f>SUMIFS(TableDailySummary[Utilidad bruta],TableDailySummary[Fecha],"&gt;="&amp;TableWeeklySummary[[#This Row],[Desde]],TableDailySummary[Fecha],"&lt;="&amp;TableWeeklySummary[[#This Row],[Hasta]])</f>
        <v>0</v>
      </c>
      <c r="AL224" s="18">
        <f>IFERROR(TableWeeklySummary[[#This Row],[Utilidad bruta]]/TableWeeklySummary[[#This Row],[Ventas netas con costo registrado]],0)</f>
        <v>0</v>
      </c>
    </row>
    <row r="225" spans="2:38" x14ac:dyDescent="0.2">
      <c r="B225" s="16">
        <f>_xlfn.ISOWEEKNUM(TableWeeklySummary[[#This Row],[Hasta]])</f>
        <v>6</v>
      </c>
      <c r="C225" s="6">
        <f t="shared" si="5"/>
        <v>46052</v>
      </c>
      <c r="D225" s="6">
        <f>TableWeeklySummary[[#This Row],[Desde]]+7-1</f>
        <v>46058</v>
      </c>
      <c r="E225" s="11">
        <f>SUMIFS(TableDailySummary[Ventas netas totales],TableDailySummary[Fecha],"&gt;="&amp;TableWeeklySummary[[#This Row],[Desde]],TableDailySummary[Fecha],"&lt;="&amp;TableWeeklySummary[[#This Row],[Hasta]])</f>
        <v>0</v>
      </c>
      <c r="F225" s="11">
        <f>SUMIFS(TableDailySummary[Órdenes totales],TableDailySummary[Fecha],"&gt;="&amp;TableWeeklySummary[[#This Row],[Desde]],TableDailySummary[Fecha],"&lt;="&amp;TableWeeklySummary[[#This Row],[Hasta]])</f>
        <v>0</v>
      </c>
      <c r="G225" s="11">
        <f>IFERROR(TableWeeklySummary[[#This Row],[Ventas netas totales]]/TableWeeklySummary[[#This Row],[Órdenes totales]],0)</f>
        <v>0</v>
      </c>
      <c r="H22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9.3189964157706102E-3</v>
      </c>
      <c r="I225" s="11">
        <f>TableWeeklySummary[[#This Row],[Órden promedio totales]]*TableWeeklySummary[[#This Row],[CR totales]]</f>
        <v>0</v>
      </c>
      <c r="J225" s="11">
        <f>SUMIFS(TableDailySummary[Ventas primer cliente],TableDailySummary[Fecha],"&gt;="&amp;TableWeeklySummary[[#This Row],[Desde]],TableDailySummary[Fecha],"&lt;="&amp;TableWeeklySummary[[#This Row],[Hasta]])</f>
        <v>0</v>
      </c>
      <c r="K225" s="11">
        <f>SUMIFS(TableDailySummary[Órdenes primer cliente],TableDailySummary[Fecha],"&gt;="&amp;TableWeeklySummary[[#This Row],[Desde]],TableDailySummary[Fecha],"&lt;="&amp;TableWeeklySummary[[#This Row],[Hasta]])</f>
        <v>0</v>
      </c>
      <c r="L225" s="11">
        <f>SUMIFS(TableDailySummary[Online Store_net_sales],TableDailySummary[Fecha],"&gt;="&amp;TableWeeklySummary[[#This Row],[Desde]],TableDailySummary[Fecha],"&lt;="&amp;TableWeeklySummary[[#This Row],[Hasta]])</f>
        <v>0</v>
      </c>
      <c r="M225" s="11">
        <f>SUMIFS(TableDailySummary[Online Store_orders],TableDailySummary[Fecha],"&gt;="&amp;TableWeeklySummary[[#This Row],[Desde]],TableDailySummary[Fecha],"&lt;="&amp;TableWeeklySummary[[#This Row],[Hasta]])</f>
        <v>0</v>
      </c>
      <c r="N225" s="11">
        <f>SUMIFS(TableDailySummary[Tienda 81_net_sales],TableDailySummary[Fecha],"&gt;="&amp;TableWeeklySummary[[#This Row],[Desde]],TableDailySummary[Fecha],"&lt;="&amp;TableWeeklySummary[[#This Row],[Hasta]])</f>
        <v>0</v>
      </c>
      <c r="O225" s="11">
        <f>SUMIFS(TableDailySummary[Tienda 81_orders],TableDailySummary[Fecha],"&gt;="&amp;TableWeeklySummary[[#This Row],[Desde]],TableDailySummary[Fecha],"&lt;="&amp;TableWeeklySummary[[#This Row],[Hasta]])</f>
        <v>0</v>
      </c>
      <c r="P225" s="11">
        <f>SUMIFS(TableDailySummary[Rappi_net_sales],TableDailySummary[Fecha],"&gt;="&amp;TableWeeklySummary[[#This Row],[Desde]],TableDailySummary[Fecha],"&lt;="&amp;TableWeeklySummary[[#This Row],[Hasta]])</f>
        <v>0</v>
      </c>
      <c r="Q225" s="11">
        <f>SUMIFS(TableDailySummary[Rappi_orders],TableDailySummary[Fecha],"&gt;="&amp;TableWeeklySummary[[#This Row],[Desde]],TableDailySummary[Fecha],"&lt;="&amp;TableWeeklySummary[[#This Row],[Hasta]])</f>
        <v>0</v>
      </c>
      <c r="R22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5" s="11">
        <f>SUMIFS(TableDailySummary[Corporativo no tienda_orders],TableDailySummary[Fecha],"&gt;="&amp;TableWeeklySummary[[#This Row],[Desde]],TableDailySummary[Fecha],"&lt;="&amp;TableWeeklySummary[[#This Row],[Hasta]])</f>
        <v>0</v>
      </c>
      <c r="T225" s="11">
        <f>SUMIFS(TableDailySummary[Inversión google ads],TableDailySummary[Fecha],"&gt;="&amp;TableWeeklySummary[[#This Row],[Desde]],TableDailySummary[Fecha],"&lt;="&amp;TableWeeklySummary[[#This Row],[Hasta]])</f>
        <v>0</v>
      </c>
      <c r="U225" s="11">
        <f>SUMIFS(TableDailySummary[Ventas google ads],TableDailySummary[Fecha],"&gt;="&amp;TableWeeklySummary[[#This Row],[Desde]],TableDailySummary[Fecha],"&lt;="&amp;TableWeeklySummary[[#This Row],[Hasta]])</f>
        <v>0</v>
      </c>
      <c r="V225" s="11">
        <f>SUMIFS(TableDailySummary[Inversión meta ads],TableDailySummary[Fecha],"&gt;="&amp;TableWeeklySummary[[#This Row],[Desde]],TableDailySummary[Fecha],"&lt;="&amp;TableWeeklySummary[[#This Row],[Hasta]])</f>
        <v>0</v>
      </c>
      <c r="W225" s="11">
        <f>SUMIFS(TableDailySummary[Ventas meta ads],TableDailySummary[Fecha],"&gt;="&amp;TableWeeklySummary[[#This Row],[Desde]],TableDailySummary[Fecha],"&lt;="&amp;TableWeeklySummary[[#This Row],[Hasta]])</f>
        <v>0</v>
      </c>
      <c r="X225" s="11">
        <f>TableWeeklySummary[[#This Row],[Inversión google ads]]+TableWeeklySummary[[#This Row],[Inversión meta ads]]</f>
        <v>0</v>
      </c>
      <c r="Y225" s="11">
        <f>TableWeeklySummary[[#This Row],[Ventas google ads]]+TableWeeklySummary[[#This Row],[Ventas meta ads]]</f>
        <v>0</v>
      </c>
      <c r="Z225" s="14">
        <f>IFERROR(TableWeeklySummary[[#This Row],[Ventas publicidad]]/TableWeeklySummary[[#This Row],[Inversión publicidad]],0)</f>
        <v>0</v>
      </c>
      <c r="AA225" s="14">
        <f>IFERROR(TableWeeklySummary[[#This Row],[Ventas primer cliente]]/TableWeeklySummary[[#This Row],[Inversión publicidad]],0)</f>
        <v>0</v>
      </c>
      <c r="AB225" s="14"/>
      <c r="AC225" s="11"/>
      <c r="AI22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5" s="11">
        <f>SUMIFS(TableDailySummary[Costo de ventas registrado],TableDailySummary[Fecha],"&gt;="&amp;TableWeeklySummary[[#This Row],[Desde]],TableDailySummary[Fecha],"&lt;="&amp;TableWeeklySummary[[#This Row],[Hasta]])</f>
        <v>0</v>
      </c>
      <c r="AK225" s="11">
        <f>SUMIFS(TableDailySummary[Utilidad bruta],TableDailySummary[Fecha],"&gt;="&amp;TableWeeklySummary[[#This Row],[Desde]],TableDailySummary[Fecha],"&lt;="&amp;TableWeeklySummary[[#This Row],[Hasta]])</f>
        <v>0</v>
      </c>
      <c r="AL225" s="18">
        <f>IFERROR(TableWeeklySummary[[#This Row],[Utilidad bruta]]/TableWeeklySummary[[#This Row],[Ventas netas con costo registrado]],0)</f>
        <v>0</v>
      </c>
    </row>
    <row r="226" spans="2:38" x14ac:dyDescent="0.2">
      <c r="B226" s="16">
        <f>_xlfn.ISOWEEKNUM(TableWeeklySummary[[#This Row],[Hasta]])</f>
        <v>7</v>
      </c>
      <c r="C226" s="6">
        <f t="shared" si="5"/>
        <v>46059</v>
      </c>
      <c r="D226" s="6">
        <f>TableWeeklySummary[[#This Row],[Desde]]+7-1</f>
        <v>46065</v>
      </c>
      <c r="E226" s="11">
        <f>SUMIFS(TableDailySummary[Ventas netas totales],TableDailySummary[Fecha],"&gt;="&amp;TableWeeklySummary[[#This Row],[Desde]],TableDailySummary[Fecha],"&lt;="&amp;TableWeeklySummary[[#This Row],[Hasta]])</f>
        <v>0</v>
      </c>
      <c r="F226" s="11">
        <f>SUMIFS(TableDailySummary[Órdenes totales],TableDailySummary[Fecha],"&gt;="&amp;TableWeeklySummary[[#This Row],[Desde]],TableDailySummary[Fecha],"&lt;="&amp;TableWeeklySummary[[#This Row],[Hasta]])</f>
        <v>0</v>
      </c>
      <c r="G226" s="11">
        <f>IFERROR(TableWeeklySummary[[#This Row],[Ventas netas totales]]/TableWeeklySummary[[#This Row],[Órdenes totales]],0)</f>
        <v>0</v>
      </c>
      <c r="H22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1.9271948608137045E-2</v>
      </c>
      <c r="I226" s="11">
        <f>TableWeeklySummary[[#This Row],[Órden promedio totales]]*TableWeeklySummary[[#This Row],[CR totales]]</f>
        <v>0</v>
      </c>
      <c r="J226" s="11">
        <f>SUMIFS(TableDailySummary[Ventas primer cliente],TableDailySummary[Fecha],"&gt;="&amp;TableWeeklySummary[[#This Row],[Desde]],TableDailySummary[Fecha],"&lt;="&amp;TableWeeklySummary[[#This Row],[Hasta]])</f>
        <v>0</v>
      </c>
      <c r="K226" s="11">
        <f>SUMIFS(TableDailySummary[Órdenes primer cliente],TableDailySummary[Fecha],"&gt;="&amp;TableWeeklySummary[[#This Row],[Desde]],TableDailySummary[Fecha],"&lt;="&amp;TableWeeklySummary[[#This Row],[Hasta]])</f>
        <v>0</v>
      </c>
      <c r="L226" s="11">
        <f>SUMIFS(TableDailySummary[Online Store_net_sales],TableDailySummary[Fecha],"&gt;="&amp;TableWeeklySummary[[#This Row],[Desde]],TableDailySummary[Fecha],"&lt;="&amp;TableWeeklySummary[[#This Row],[Hasta]])</f>
        <v>0</v>
      </c>
      <c r="M226" s="11">
        <f>SUMIFS(TableDailySummary[Online Store_orders],TableDailySummary[Fecha],"&gt;="&amp;TableWeeklySummary[[#This Row],[Desde]],TableDailySummary[Fecha],"&lt;="&amp;TableWeeklySummary[[#This Row],[Hasta]])</f>
        <v>0</v>
      </c>
      <c r="N226" s="11">
        <f>SUMIFS(TableDailySummary[Tienda 81_net_sales],TableDailySummary[Fecha],"&gt;="&amp;TableWeeklySummary[[#This Row],[Desde]],TableDailySummary[Fecha],"&lt;="&amp;TableWeeklySummary[[#This Row],[Hasta]])</f>
        <v>0</v>
      </c>
      <c r="O226" s="11">
        <f>SUMIFS(TableDailySummary[Tienda 81_orders],TableDailySummary[Fecha],"&gt;="&amp;TableWeeklySummary[[#This Row],[Desde]],TableDailySummary[Fecha],"&lt;="&amp;TableWeeklySummary[[#This Row],[Hasta]])</f>
        <v>0</v>
      </c>
      <c r="P226" s="11">
        <f>SUMIFS(TableDailySummary[Rappi_net_sales],TableDailySummary[Fecha],"&gt;="&amp;TableWeeklySummary[[#This Row],[Desde]],TableDailySummary[Fecha],"&lt;="&amp;TableWeeklySummary[[#This Row],[Hasta]])</f>
        <v>0</v>
      </c>
      <c r="Q226" s="11">
        <f>SUMIFS(TableDailySummary[Rappi_orders],TableDailySummary[Fecha],"&gt;="&amp;TableWeeklySummary[[#This Row],[Desde]],TableDailySummary[Fecha],"&lt;="&amp;TableWeeklySummary[[#This Row],[Hasta]])</f>
        <v>0</v>
      </c>
      <c r="R22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6" s="11">
        <f>SUMIFS(TableDailySummary[Corporativo no tienda_orders],TableDailySummary[Fecha],"&gt;="&amp;TableWeeklySummary[[#This Row],[Desde]],TableDailySummary[Fecha],"&lt;="&amp;TableWeeklySummary[[#This Row],[Hasta]])</f>
        <v>0</v>
      </c>
      <c r="T226" s="11">
        <f>SUMIFS(TableDailySummary[Inversión google ads],TableDailySummary[Fecha],"&gt;="&amp;TableWeeklySummary[[#This Row],[Desde]],TableDailySummary[Fecha],"&lt;="&amp;TableWeeklySummary[[#This Row],[Hasta]])</f>
        <v>0</v>
      </c>
      <c r="U226" s="11">
        <f>SUMIFS(TableDailySummary[Ventas google ads],TableDailySummary[Fecha],"&gt;="&amp;TableWeeklySummary[[#This Row],[Desde]],TableDailySummary[Fecha],"&lt;="&amp;TableWeeklySummary[[#This Row],[Hasta]])</f>
        <v>0</v>
      </c>
      <c r="V226" s="11">
        <f>SUMIFS(TableDailySummary[Inversión meta ads],TableDailySummary[Fecha],"&gt;="&amp;TableWeeklySummary[[#This Row],[Desde]],TableDailySummary[Fecha],"&lt;="&amp;TableWeeklySummary[[#This Row],[Hasta]])</f>
        <v>0</v>
      </c>
      <c r="W226" s="11">
        <f>SUMIFS(TableDailySummary[Ventas meta ads],TableDailySummary[Fecha],"&gt;="&amp;TableWeeklySummary[[#This Row],[Desde]],TableDailySummary[Fecha],"&lt;="&amp;TableWeeklySummary[[#This Row],[Hasta]])</f>
        <v>0</v>
      </c>
      <c r="X226" s="11">
        <f>TableWeeklySummary[[#This Row],[Inversión google ads]]+TableWeeklySummary[[#This Row],[Inversión meta ads]]</f>
        <v>0</v>
      </c>
      <c r="Y226" s="11">
        <f>TableWeeklySummary[[#This Row],[Ventas google ads]]+TableWeeklySummary[[#This Row],[Ventas meta ads]]</f>
        <v>0</v>
      </c>
      <c r="Z226" s="14">
        <f>IFERROR(TableWeeklySummary[[#This Row],[Ventas publicidad]]/TableWeeklySummary[[#This Row],[Inversión publicidad]],0)</f>
        <v>0</v>
      </c>
      <c r="AA226" s="14">
        <f>IFERROR(TableWeeklySummary[[#This Row],[Ventas primer cliente]]/TableWeeklySummary[[#This Row],[Inversión publicidad]],0)</f>
        <v>0</v>
      </c>
      <c r="AB226" s="14"/>
      <c r="AC226" s="11"/>
      <c r="AI22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6" s="11">
        <f>SUMIFS(TableDailySummary[Costo de ventas registrado],TableDailySummary[Fecha],"&gt;="&amp;TableWeeklySummary[[#This Row],[Desde]],TableDailySummary[Fecha],"&lt;="&amp;TableWeeklySummary[[#This Row],[Hasta]])</f>
        <v>0</v>
      </c>
      <c r="AK226" s="11">
        <f>SUMIFS(TableDailySummary[Utilidad bruta],TableDailySummary[Fecha],"&gt;="&amp;TableWeeklySummary[[#This Row],[Desde]],TableDailySummary[Fecha],"&lt;="&amp;TableWeeklySummary[[#This Row],[Hasta]])</f>
        <v>0</v>
      </c>
      <c r="AL226" s="18">
        <f>IFERROR(TableWeeklySummary[[#This Row],[Utilidad bruta]]/TableWeeklySummary[[#This Row],[Ventas netas con costo registrado]],0)</f>
        <v>0</v>
      </c>
    </row>
    <row r="227" spans="2:38" x14ac:dyDescent="0.2">
      <c r="B227" s="16">
        <f>_xlfn.ISOWEEKNUM(TableWeeklySummary[[#This Row],[Hasta]])</f>
        <v>8</v>
      </c>
      <c r="C227" s="6">
        <f t="shared" si="5"/>
        <v>46066</v>
      </c>
      <c r="D227" s="6">
        <f>TableWeeklySummary[[#This Row],[Desde]]+7-1</f>
        <v>46072</v>
      </c>
      <c r="E227" s="11">
        <f>SUMIFS(TableDailySummary[Ventas netas totales],TableDailySummary[Fecha],"&gt;="&amp;TableWeeklySummary[[#This Row],[Desde]],TableDailySummary[Fecha],"&lt;="&amp;TableWeeklySummary[[#This Row],[Hasta]])</f>
        <v>0</v>
      </c>
      <c r="F227" s="11">
        <f>SUMIFS(TableDailySummary[Órdenes totales],TableDailySummary[Fecha],"&gt;="&amp;TableWeeklySummary[[#This Row],[Desde]],TableDailySummary[Fecha],"&lt;="&amp;TableWeeklySummary[[#This Row],[Hasta]])</f>
        <v>0</v>
      </c>
      <c r="G227" s="11">
        <f>IFERROR(TableWeeklySummary[[#This Row],[Ventas netas totales]]/TableWeeklySummary[[#This Row],[Órdenes totales]],0)</f>
        <v>0</v>
      </c>
      <c r="H22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2.0171149144254278E-2</v>
      </c>
      <c r="I227" s="11">
        <f>TableWeeklySummary[[#This Row],[Órden promedio totales]]*TableWeeklySummary[[#This Row],[CR totales]]</f>
        <v>0</v>
      </c>
      <c r="J227" s="11">
        <f>SUMIFS(TableDailySummary[Ventas primer cliente],TableDailySummary[Fecha],"&gt;="&amp;TableWeeklySummary[[#This Row],[Desde]],TableDailySummary[Fecha],"&lt;="&amp;TableWeeklySummary[[#This Row],[Hasta]])</f>
        <v>0</v>
      </c>
      <c r="K227" s="11">
        <f>SUMIFS(TableDailySummary[Órdenes primer cliente],TableDailySummary[Fecha],"&gt;="&amp;TableWeeklySummary[[#This Row],[Desde]],TableDailySummary[Fecha],"&lt;="&amp;TableWeeklySummary[[#This Row],[Hasta]])</f>
        <v>0</v>
      </c>
      <c r="L227" s="11">
        <f>SUMIFS(TableDailySummary[Online Store_net_sales],TableDailySummary[Fecha],"&gt;="&amp;TableWeeklySummary[[#This Row],[Desde]],TableDailySummary[Fecha],"&lt;="&amp;TableWeeklySummary[[#This Row],[Hasta]])</f>
        <v>0</v>
      </c>
      <c r="M227" s="11">
        <f>SUMIFS(TableDailySummary[Online Store_orders],TableDailySummary[Fecha],"&gt;="&amp;TableWeeklySummary[[#This Row],[Desde]],TableDailySummary[Fecha],"&lt;="&amp;TableWeeklySummary[[#This Row],[Hasta]])</f>
        <v>0</v>
      </c>
      <c r="N227" s="11">
        <f>SUMIFS(TableDailySummary[Tienda 81_net_sales],TableDailySummary[Fecha],"&gt;="&amp;TableWeeklySummary[[#This Row],[Desde]],TableDailySummary[Fecha],"&lt;="&amp;TableWeeklySummary[[#This Row],[Hasta]])</f>
        <v>0</v>
      </c>
      <c r="O227" s="11">
        <f>SUMIFS(TableDailySummary[Tienda 81_orders],TableDailySummary[Fecha],"&gt;="&amp;TableWeeklySummary[[#This Row],[Desde]],TableDailySummary[Fecha],"&lt;="&amp;TableWeeklySummary[[#This Row],[Hasta]])</f>
        <v>0</v>
      </c>
      <c r="P227" s="11">
        <f>SUMIFS(TableDailySummary[Rappi_net_sales],TableDailySummary[Fecha],"&gt;="&amp;TableWeeklySummary[[#This Row],[Desde]],TableDailySummary[Fecha],"&lt;="&amp;TableWeeklySummary[[#This Row],[Hasta]])</f>
        <v>0</v>
      </c>
      <c r="Q227" s="11">
        <f>SUMIFS(TableDailySummary[Rappi_orders],TableDailySummary[Fecha],"&gt;="&amp;TableWeeklySummary[[#This Row],[Desde]],TableDailySummary[Fecha],"&lt;="&amp;TableWeeklySummary[[#This Row],[Hasta]])</f>
        <v>0</v>
      </c>
      <c r="R22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7" s="11">
        <f>SUMIFS(TableDailySummary[Corporativo no tienda_orders],TableDailySummary[Fecha],"&gt;="&amp;TableWeeklySummary[[#This Row],[Desde]],TableDailySummary[Fecha],"&lt;="&amp;TableWeeklySummary[[#This Row],[Hasta]])</f>
        <v>0</v>
      </c>
      <c r="T227" s="11">
        <f>SUMIFS(TableDailySummary[Inversión google ads],TableDailySummary[Fecha],"&gt;="&amp;TableWeeklySummary[[#This Row],[Desde]],TableDailySummary[Fecha],"&lt;="&amp;TableWeeklySummary[[#This Row],[Hasta]])</f>
        <v>0</v>
      </c>
      <c r="U227" s="11">
        <f>SUMIFS(TableDailySummary[Ventas google ads],TableDailySummary[Fecha],"&gt;="&amp;TableWeeklySummary[[#This Row],[Desde]],TableDailySummary[Fecha],"&lt;="&amp;TableWeeklySummary[[#This Row],[Hasta]])</f>
        <v>0</v>
      </c>
      <c r="V227" s="11">
        <f>SUMIFS(TableDailySummary[Inversión meta ads],TableDailySummary[Fecha],"&gt;="&amp;TableWeeklySummary[[#This Row],[Desde]],TableDailySummary[Fecha],"&lt;="&amp;TableWeeklySummary[[#This Row],[Hasta]])</f>
        <v>0</v>
      </c>
      <c r="W227" s="11">
        <f>SUMIFS(TableDailySummary[Ventas meta ads],TableDailySummary[Fecha],"&gt;="&amp;TableWeeklySummary[[#This Row],[Desde]],TableDailySummary[Fecha],"&lt;="&amp;TableWeeklySummary[[#This Row],[Hasta]])</f>
        <v>0</v>
      </c>
      <c r="X227" s="11">
        <f>TableWeeklySummary[[#This Row],[Inversión google ads]]+TableWeeklySummary[[#This Row],[Inversión meta ads]]</f>
        <v>0</v>
      </c>
      <c r="Y227" s="11">
        <f>TableWeeklySummary[[#This Row],[Ventas google ads]]+TableWeeklySummary[[#This Row],[Ventas meta ads]]</f>
        <v>0</v>
      </c>
      <c r="Z227" s="14">
        <f>IFERROR(TableWeeklySummary[[#This Row],[Ventas publicidad]]/TableWeeklySummary[[#This Row],[Inversión publicidad]],0)</f>
        <v>0</v>
      </c>
      <c r="AA227" s="14">
        <f>IFERROR(TableWeeklySummary[[#This Row],[Ventas primer cliente]]/TableWeeklySummary[[#This Row],[Inversión publicidad]],0)</f>
        <v>0</v>
      </c>
      <c r="AB227" s="14"/>
      <c r="AC227" s="11"/>
      <c r="AI22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7" s="11">
        <f>SUMIFS(TableDailySummary[Costo de ventas registrado],TableDailySummary[Fecha],"&gt;="&amp;TableWeeklySummary[[#This Row],[Desde]],TableDailySummary[Fecha],"&lt;="&amp;TableWeeklySummary[[#This Row],[Hasta]])</f>
        <v>0</v>
      </c>
      <c r="AK227" s="11">
        <f>SUMIFS(TableDailySummary[Utilidad bruta],TableDailySummary[Fecha],"&gt;="&amp;TableWeeklySummary[[#This Row],[Desde]],TableDailySummary[Fecha],"&lt;="&amp;TableWeeklySummary[[#This Row],[Hasta]])</f>
        <v>0</v>
      </c>
      <c r="AL227" s="18">
        <f>IFERROR(TableWeeklySummary[[#This Row],[Utilidad bruta]]/TableWeeklySummary[[#This Row],[Ventas netas con costo registrado]],0)</f>
        <v>0</v>
      </c>
    </row>
    <row r="228" spans="2:38" x14ac:dyDescent="0.2">
      <c r="B228" s="16">
        <f>_xlfn.ISOWEEKNUM(TableWeeklySummary[[#This Row],[Hasta]])</f>
        <v>9</v>
      </c>
      <c r="C228" s="6">
        <f t="shared" si="5"/>
        <v>46073</v>
      </c>
      <c r="D228" s="6">
        <f>TableWeeklySummary[[#This Row],[Desde]]+7-1</f>
        <v>46079</v>
      </c>
      <c r="E228" s="11">
        <f>SUMIFS(TableDailySummary[Ventas netas totales],TableDailySummary[Fecha],"&gt;="&amp;TableWeeklySummary[[#This Row],[Desde]],TableDailySummary[Fecha],"&lt;="&amp;TableWeeklySummary[[#This Row],[Hasta]])</f>
        <v>0</v>
      </c>
      <c r="F228" s="11">
        <f>SUMIFS(TableDailySummary[Órdenes totales],TableDailySummary[Fecha],"&gt;="&amp;TableWeeklySummary[[#This Row],[Desde]],TableDailySummary[Fecha],"&lt;="&amp;TableWeeklySummary[[#This Row],[Hasta]])</f>
        <v>0</v>
      </c>
      <c r="G228" s="11">
        <f>IFERROR(TableWeeklySummary[[#This Row],[Ventas netas totales]]/TableWeeklySummary[[#This Row],[Órdenes totales]],0)</f>
        <v>0</v>
      </c>
      <c r="H22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1.6600790513833993E-2</v>
      </c>
      <c r="I228" s="11">
        <f>TableWeeklySummary[[#This Row],[Órden promedio totales]]*TableWeeklySummary[[#This Row],[CR totales]]</f>
        <v>0</v>
      </c>
      <c r="J228" s="11">
        <f>SUMIFS(TableDailySummary[Ventas primer cliente],TableDailySummary[Fecha],"&gt;="&amp;TableWeeklySummary[[#This Row],[Desde]],TableDailySummary[Fecha],"&lt;="&amp;TableWeeklySummary[[#This Row],[Hasta]])</f>
        <v>0</v>
      </c>
      <c r="K228" s="11">
        <f>SUMIFS(TableDailySummary[Órdenes primer cliente],TableDailySummary[Fecha],"&gt;="&amp;TableWeeklySummary[[#This Row],[Desde]],TableDailySummary[Fecha],"&lt;="&amp;TableWeeklySummary[[#This Row],[Hasta]])</f>
        <v>0</v>
      </c>
      <c r="L228" s="11">
        <f>SUMIFS(TableDailySummary[Online Store_net_sales],TableDailySummary[Fecha],"&gt;="&amp;TableWeeklySummary[[#This Row],[Desde]],TableDailySummary[Fecha],"&lt;="&amp;TableWeeklySummary[[#This Row],[Hasta]])</f>
        <v>0</v>
      </c>
      <c r="M228" s="11">
        <f>SUMIFS(TableDailySummary[Online Store_orders],TableDailySummary[Fecha],"&gt;="&amp;TableWeeklySummary[[#This Row],[Desde]],TableDailySummary[Fecha],"&lt;="&amp;TableWeeklySummary[[#This Row],[Hasta]])</f>
        <v>0</v>
      </c>
      <c r="N228" s="11">
        <f>SUMIFS(TableDailySummary[Tienda 81_net_sales],TableDailySummary[Fecha],"&gt;="&amp;TableWeeklySummary[[#This Row],[Desde]],TableDailySummary[Fecha],"&lt;="&amp;TableWeeklySummary[[#This Row],[Hasta]])</f>
        <v>0</v>
      </c>
      <c r="O228" s="11">
        <f>SUMIFS(TableDailySummary[Tienda 81_orders],TableDailySummary[Fecha],"&gt;="&amp;TableWeeklySummary[[#This Row],[Desde]],TableDailySummary[Fecha],"&lt;="&amp;TableWeeklySummary[[#This Row],[Hasta]])</f>
        <v>0</v>
      </c>
      <c r="P228" s="11">
        <f>SUMIFS(TableDailySummary[Rappi_net_sales],TableDailySummary[Fecha],"&gt;="&amp;TableWeeklySummary[[#This Row],[Desde]],TableDailySummary[Fecha],"&lt;="&amp;TableWeeklySummary[[#This Row],[Hasta]])</f>
        <v>0</v>
      </c>
      <c r="Q228" s="11">
        <f>SUMIFS(TableDailySummary[Rappi_orders],TableDailySummary[Fecha],"&gt;="&amp;TableWeeklySummary[[#This Row],[Desde]],TableDailySummary[Fecha],"&lt;="&amp;TableWeeklySummary[[#This Row],[Hasta]])</f>
        <v>0</v>
      </c>
      <c r="R22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8" s="11">
        <f>SUMIFS(TableDailySummary[Corporativo no tienda_orders],TableDailySummary[Fecha],"&gt;="&amp;TableWeeklySummary[[#This Row],[Desde]],TableDailySummary[Fecha],"&lt;="&amp;TableWeeklySummary[[#This Row],[Hasta]])</f>
        <v>0</v>
      </c>
      <c r="T228" s="11">
        <f>SUMIFS(TableDailySummary[Inversión google ads],TableDailySummary[Fecha],"&gt;="&amp;TableWeeklySummary[[#This Row],[Desde]],TableDailySummary[Fecha],"&lt;="&amp;TableWeeklySummary[[#This Row],[Hasta]])</f>
        <v>0</v>
      </c>
      <c r="U228" s="11">
        <f>SUMIFS(TableDailySummary[Ventas google ads],TableDailySummary[Fecha],"&gt;="&amp;TableWeeklySummary[[#This Row],[Desde]],TableDailySummary[Fecha],"&lt;="&amp;TableWeeklySummary[[#This Row],[Hasta]])</f>
        <v>0</v>
      </c>
      <c r="V228" s="11">
        <f>SUMIFS(TableDailySummary[Inversión meta ads],TableDailySummary[Fecha],"&gt;="&amp;TableWeeklySummary[[#This Row],[Desde]],TableDailySummary[Fecha],"&lt;="&amp;TableWeeklySummary[[#This Row],[Hasta]])</f>
        <v>0</v>
      </c>
      <c r="W228" s="11">
        <f>SUMIFS(TableDailySummary[Ventas meta ads],TableDailySummary[Fecha],"&gt;="&amp;TableWeeklySummary[[#This Row],[Desde]],TableDailySummary[Fecha],"&lt;="&amp;TableWeeklySummary[[#This Row],[Hasta]])</f>
        <v>0</v>
      </c>
      <c r="X228" s="11">
        <f>TableWeeklySummary[[#This Row],[Inversión google ads]]+TableWeeklySummary[[#This Row],[Inversión meta ads]]</f>
        <v>0</v>
      </c>
      <c r="Y228" s="11">
        <f>TableWeeklySummary[[#This Row],[Ventas google ads]]+TableWeeklySummary[[#This Row],[Ventas meta ads]]</f>
        <v>0</v>
      </c>
      <c r="Z228" s="14">
        <f>IFERROR(TableWeeklySummary[[#This Row],[Ventas publicidad]]/TableWeeklySummary[[#This Row],[Inversión publicidad]],0)</f>
        <v>0</v>
      </c>
      <c r="AA228" s="14">
        <f>IFERROR(TableWeeklySummary[[#This Row],[Ventas primer cliente]]/TableWeeklySummary[[#This Row],[Inversión publicidad]],0)</f>
        <v>0</v>
      </c>
      <c r="AB228" s="14"/>
      <c r="AC228" s="11"/>
      <c r="AI22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8" s="11">
        <f>SUMIFS(TableDailySummary[Costo de ventas registrado],TableDailySummary[Fecha],"&gt;="&amp;TableWeeklySummary[[#This Row],[Desde]],TableDailySummary[Fecha],"&lt;="&amp;TableWeeklySummary[[#This Row],[Hasta]])</f>
        <v>0</v>
      </c>
      <c r="AK228" s="11">
        <f>SUMIFS(TableDailySummary[Utilidad bruta],TableDailySummary[Fecha],"&gt;="&amp;TableWeeklySummary[[#This Row],[Desde]],TableDailySummary[Fecha],"&lt;="&amp;TableWeeklySummary[[#This Row],[Hasta]])</f>
        <v>0</v>
      </c>
      <c r="AL228" s="18">
        <f>IFERROR(TableWeeklySummary[[#This Row],[Utilidad bruta]]/TableWeeklySummary[[#This Row],[Ventas netas con costo registrado]],0)</f>
        <v>0</v>
      </c>
    </row>
    <row r="229" spans="2:38" x14ac:dyDescent="0.2">
      <c r="B229" s="16">
        <f>_xlfn.ISOWEEKNUM(TableWeeklySummary[[#This Row],[Hasta]])</f>
        <v>10</v>
      </c>
      <c r="C229" s="6">
        <f t="shared" si="5"/>
        <v>46080</v>
      </c>
      <c r="D229" s="6">
        <f>TableWeeklySummary[[#This Row],[Desde]]+7-1</f>
        <v>46086</v>
      </c>
      <c r="E229" s="11">
        <f>SUMIFS(TableDailySummary[Ventas netas totales],TableDailySummary[Fecha],"&gt;="&amp;TableWeeklySummary[[#This Row],[Desde]],TableDailySummary[Fecha],"&lt;="&amp;TableWeeklySummary[[#This Row],[Hasta]])</f>
        <v>0</v>
      </c>
      <c r="F229" s="11">
        <f>SUMIFS(TableDailySummary[Órdenes totales],TableDailySummary[Fecha],"&gt;="&amp;TableWeeklySummary[[#This Row],[Desde]],TableDailySummary[Fecha],"&lt;="&amp;TableWeeklySummary[[#This Row],[Hasta]])</f>
        <v>0</v>
      </c>
      <c r="G229" s="11">
        <f>IFERROR(TableWeeklySummary[[#This Row],[Ventas netas totales]]/TableWeeklySummary[[#This Row],[Órdenes totales]],0)</f>
        <v>0</v>
      </c>
      <c r="H22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8.7918321043675557E-3</v>
      </c>
      <c r="I229" s="11">
        <f>TableWeeklySummary[[#This Row],[Órden promedio totales]]*TableWeeklySummary[[#This Row],[CR totales]]</f>
        <v>0</v>
      </c>
      <c r="J229" s="11">
        <f>SUMIFS(TableDailySummary[Ventas primer cliente],TableDailySummary[Fecha],"&gt;="&amp;TableWeeklySummary[[#This Row],[Desde]],TableDailySummary[Fecha],"&lt;="&amp;TableWeeklySummary[[#This Row],[Hasta]])</f>
        <v>0</v>
      </c>
      <c r="K229" s="11">
        <f>SUMIFS(TableDailySummary[Órdenes primer cliente],TableDailySummary[Fecha],"&gt;="&amp;TableWeeklySummary[[#This Row],[Desde]],TableDailySummary[Fecha],"&lt;="&amp;TableWeeklySummary[[#This Row],[Hasta]])</f>
        <v>0</v>
      </c>
      <c r="L229" s="11">
        <f>SUMIFS(TableDailySummary[Online Store_net_sales],TableDailySummary[Fecha],"&gt;="&amp;TableWeeklySummary[[#This Row],[Desde]],TableDailySummary[Fecha],"&lt;="&amp;TableWeeklySummary[[#This Row],[Hasta]])</f>
        <v>0</v>
      </c>
      <c r="M229" s="11">
        <f>SUMIFS(TableDailySummary[Online Store_orders],TableDailySummary[Fecha],"&gt;="&amp;TableWeeklySummary[[#This Row],[Desde]],TableDailySummary[Fecha],"&lt;="&amp;TableWeeklySummary[[#This Row],[Hasta]])</f>
        <v>0</v>
      </c>
      <c r="N229" s="11">
        <f>SUMIFS(TableDailySummary[Tienda 81_net_sales],TableDailySummary[Fecha],"&gt;="&amp;TableWeeklySummary[[#This Row],[Desde]],TableDailySummary[Fecha],"&lt;="&amp;TableWeeklySummary[[#This Row],[Hasta]])</f>
        <v>0</v>
      </c>
      <c r="O229" s="11">
        <f>SUMIFS(TableDailySummary[Tienda 81_orders],TableDailySummary[Fecha],"&gt;="&amp;TableWeeklySummary[[#This Row],[Desde]],TableDailySummary[Fecha],"&lt;="&amp;TableWeeklySummary[[#This Row],[Hasta]])</f>
        <v>0</v>
      </c>
      <c r="P229" s="11">
        <f>SUMIFS(TableDailySummary[Rappi_net_sales],TableDailySummary[Fecha],"&gt;="&amp;TableWeeklySummary[[#This Row],[Desde]],TableDailySummary[Fecha],"&lt;="&amp;TableWeeklySummary[[#This Row],[Hasta]])</f>
        <v>0</v>
      </c>
      <c r="Q229" s="11">
        <f>SUMIFS(TableDailySummary[Rappi_orders],TableDailySummary[Fecha],"&gt;="&amp;TableWeeklySummary[[#This Row],[Desde]],TableDailySummary[Fecha],"&lt;="&amp;TableWeeklySummary[[#This Row],[Hasta]])</f>
        <v>0</v>
      </c>
      <c r="R22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29" s="11">
        <f>SUMIFS(TableDailySummary[Corporativo no tienda_orders],TableDailySummary[Fecha],"&gt;="&amp;TableWeeklySummary[[#This Row],[Desde]],TableDailySummary[Fecha],"&lt;="&amp;TableWeeklySummary[[#This Row],[Hasta]])</f>
        <v>0</v>
      </c>
      <c r="T229" s="11">
        <f>SUMIFS(TableDailySummary[Inversión google ads],TableDailySummary[Fecha],"&gt;="&amp;TableWeeklySummary[[#This Row],[Desde]],TableDailySummary[Fecha],"&lt;="&amp;TableWeeklySummary[[#This Row],[Hasta]])</f>
        <v>0</v>
      </c>
      <c r="U229" s="11">
        <f>SUMIFS(TableDailySummary[Ventas google ads],TableDailySummary[Fecha],"&gt;="&amp;TableWeeklySummary[[#This Row],[Desde]],TableDailySummary[Fecha],"&lt;="&amp;TableWeeklySummary[[#This Row],[Hasta]])</f>
        <v>0</v>
      </c>
      <c r="V229" s="11">
        <f>SUMIFS(TableDailySummary[Inversión meta ads],TableDailySummary[Fecha],"&gt;="&amp;TableWeeklySummary[[#This Row],[Desde]],TableDailySummary[Fecha],"&lt;="&amp;TableWeeklySummary[[#This Row],[Hasta]])</f>
        <v>0</v>
      </c>
      <c r="W229" s="11">
        <f>SUMIFS(TableDailySummary[Ventas meta ads],TableDailySummary[Fecha],"&gt;="&amp;TableWeeklySummary[[#This Row],[Desde]],TableDailySummary[Fecha],"&lt;="&amp;TableWeeklySummary[[#This Row],[Hasta]])</f>
        <v>0</v>
      </c>
      <c r="X229" s="11">
        <f>TableWeeklySummary[[#This Row],[Inversión google ads]]+TableWeeklySummary[[#This Row],[Inversión meta ads]]</f>
        <v>0</v>
      </c>
      <c r="Y229" s="11">
        <f>TableWeeklySummary[[#This Row],[Ventas google ads]]+TableWeeklySummary[[#This Row],[Ventas meta ads]]</f>
        <v>0</v>
      </c>
      <c r="Z229" s="14">
        <f>IFERROR(TableWeeklySummary[[#This Row],[Ventas publicidad]]/TableWeeklySummary[[#This Row],[Inversión publicidad]],0)</f>
        <v>0</v>
      </c>
      <c r="AA229" s="14">
        <f>IFERROR(TableWeeklySummary[[#This Row],[Ventas primer cliente]]/TableWeeklySummary[[#This Row],[Inversión publicidad]],0)</f>
        <v>0</v>
      </c>
      <c r="AB229" s="14"/>
      <c r="AC229" s="11"/>
      <c r="AI22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29" s="11">
        <f>SUMIFS(TableDailySummary[Costo de ventas registrado],TableDailySummary[Fecha],"&gt;="&amp;TableWeeklySummary[[#This Row],[Desde]],TableDailySummary[Fecha],"&lt;="&amp;TableWeeklySummary[[#This Row],[Hasta]])</f>
        <v>0</v>
      </c>
      <c r="AK229" s="11">
        <f>SUMIFS(TableDailySummary[Utilidad bruta],TableDailySummary[Fecha],"&gt;="&amp;TableWeeklySummary[[#This Row],[Desde]],TableDailySummary[Fecha],"&lt;="&amp;TableWeeklySummary[[#This Row],[Hasta]])</f>
        <v>0</v>
      </c>
      <c r="AL229" s="18">
        <f>IFERROR(TableWeeklySummary[[#This Row],[Utilidad bruta]]/TableWeeklySummary[[#This Row],[Ventas netas con costo registrado]],0)</f>
        <v>0</v>
      </c>
    </row>
    <row r="230" spans="2:38" x14ac:dyDescent="0.2">
      <c r="B230" s="16">
        <f>_xlfn.ISOWEEKNUM(TableWeeklySummary[[#This Row],[Hasta]])</f>
        <v>11</v>
      </c>
      <c r="C230" s="6">
        <f t="shared" si="5"/>
        <v>46087</v>
      </c>
      <c r="D230" s="6">
        <f>TableWeeklySummary[[#This Row],[Desde]]+7-1</f>
        <v>46093</v>
      </c>
      <c r="E230" s="11">
        <f>SUMIFS(TableDailySummary[Ventas netas totales],TableDailySummary[Fecha],"&gt;="&amp;TableWeeklySummary[[#This Row],[Desde]],TableDailySummary[Fecha],"&lt;="&amp;TableWeeklySummary[[#This Row],[Hasta]])</f>
        <v>0</v>
      </c>
      <c r="F230" s="11">
        <f>SUMIFS(TableDailySummary[Órdenes totales],TableDailySummary[Fecha],"&gt;="&amp;TableWeeklySummary[[#This Row],[Desde]],TableDailySummary[Fecha],"&lt;="&amp;TableWeeklySummary[[#This Row],[Hasta]])</f>
        <v>0</v>
      </c>
      <c r="G230" s="11">
        <f>IFERROR(TableWeeklySummary[[#This Row],[Ventas netas totales]]/TableWeeklySummary[[#This Row],[Órdenes totales]],0)</f>
        <v>0</v>
      </c>
      <c r="H23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7.3139974779319042E-3</v>
      </c>
      <c r="I230" s="11">
        <f>TableWeeklySummary[[#This Row],[Órden promedio totales]]*TableWeeklySummary[[#This Row],[CR totales]]</f>
        <v>0</v>
      </c>
      <c r="J230" s="11">
        <f>SUMIFS(TableDailySummary[Ventas primer cliente],TableDailySummary[Fecha],"&gt;="&amp;TableWeeklySummary[[#This Row],[Desde]],TableDailySummary[Fecha],"&lt;="&amp;TableWeeklySummary[[#This Row],[Hasta]])</f>
        <v>0</v>
      </c>
      <c r="K230" s="11">
        <f>SUMIFS(TableDailySummary[Órdenes primer cliente],TableDailySummary[Fecha],"&gt;="&amp;TableWeeklySummary[[#This Row],[Desde]],TableDailySummary[Fecha],"&lt;="&amp;TableWeeklySummary[[#This Row],[Hasta]])</f>
        <v>0</v>
      </c>
      <c r="L230" s="11">
        <f>SUMIFS(TableDailySummary[Online Store_net_sales],TableDailySummary[Fecha],"&gt;="&amp;TableWeeklySummary[[#This Row],[Desde]],TableDailySummary[Fecha],"&lt;="&amp;TableWeeklySummary[[#This Row],[Hasta]])</f>
        <v>0</v>
      </c>
      <c r="M230" s="11">
        <f>SUMIFS(TableDailySummary[Online Store_orders],TableDailySummary[Fecha],"&gt;="&amp;TableWeeklySummary[[#This Row],[Desde]],TableDailySummary[Fecha],"&lt;="&amp;TableWeeklySummary[[#This Row],[Hasta]])</f>
        <v>0</v>
      </c>
      <c r="N230" s="11">
        <f>SUMIFS(TableDailySummary[Tienda 81_net_sales],TableDailySummary[Fecha],"&gt;="&amp;TableWeeklySummary[[#This Row],[Desde]],TableDailySummary[Fecha],"&lt;="&amp;TableWeeklySummary[[#This Row],[Hasta]])</f>
        <v>0</v>
      </c>
      <c r="O230" s="11">
        <f>SUMIFS(TableDailySummary[Tienda 81_orders],TableDailySummary[Fecha],"&gt;="&amp;TableWeeklySummary[[#This Row],[Desde]],TableDailySummary[Fecha],"&lt;="&amp;TableWeeklySummary[[#This Row],[Hasta]])</f>
        <v>0</v>
      </c>
      <c r="P230" s="11">
        <f>SUMIFS(TableDailySummary[Rappi_net_sales],TableDailySummary[Fecha],"&gt;="&amp;TableWeeklySummary[[#This Row],[Desde]],TableDailySummary[Fecha],"&lt;="&amp;TableWeeklySummary[[#This Row],[Hasta]])</f>
        <v>0</v>
      </c>
      <c r="Q230" s="11">
        <f>SUMIFS(TableDailySummary[Rappi_orders],TableDailySummary[Fecha],"&gt;="&amp;TableWeeklySummary[[#This Row],[Desde]],TableDailySummary[Fecha],"&lt;="&amp;TableWeeklySummary[[#This Row],[Hasta]])</f>
        <v>0</v>
      </c>
      <c r="R23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0" s="11">
        <f>SUMIFS(TableDailySummary[Corporativo no tienda_orders],TableDailySummary[Fecha],"&gt;="&amp;TableWeeklySummary[[#This Row],[Desde]],TableDailySummary[Fecha],"&lt;="&amp;TableWeeklySummary[[#This Row],[Hasta]])</f>
        <v>0</v>
      </c>
      <c r="T230" s="11">
        <f>SUMIFS(TableDailySummary[Inversión google ads],TableDailySummary[Fecha],"&gt;="&amp;TableWeeklySummary[[#This Row],[Desde]],TableDailySummary[Fecha],"&lt;="&amp;TableWeeklySummary[[#This Row],[Hasta]])</f>
        <v>0</v>
      </c>
      <c r="U230" s="11">
        <f>SUMIFS(TableDailySummary[Ventas google ads],TableDailySummary[Fecha],"&gt;="&amp;TableWeeklySummary[[#This Row],[Desde]],TableDailySummary[Fecha],"&lt;="&amp;TableWeeklySummary[[#This Row],[Hasta]])</f>
        <v>0</v>
      </c>
      <c r="V230" s="11">
        <f>SUMIFS(TableDailySummary[Inversión meta ads],TableDailySummary[Fecha],"&gt;="&amp;TableWeeklySummary[[#This Row],[Desde]],TableDailySummary[Fecha],"&lt;="&amp;TableWeeklySummary[[#This Row],[Hasta]])</f>
        <v>0</v>
      </c>
      <c r="W230" s="11">
        <f>SUMIFS(TableDailySummary[Ventas meta ads],TableDailySummary[Fecha],"&gt;="&amp;TableWeeklySummary[[#This Row],[Desde]],TableDailySummary[Fecha],"&lt;="&amp;TableWeeklySummary[[#This Row],[Hasta]])</f>
        <v>0</v>
      </c>
      <c r="X230" s="11">
        <f>TableWeeklySummary[[#This Row],[Inversión google ads]]+TableWeeklySummary[[#This Row],[Inversión meta ads]]</f>
        <v>0</v>
      </c>
      <c r="Y230" s="11">
        <f>TableWeeklySummary[[#This Row],[Ventas google ads]]+TableWeeklySummary[[#This Row],[Ventas meta ads]]</f>
        <v>0</v>
      </c>
      <c r="Z230" s="14">
        <f>IFERROR(TableWeeklySummary[[#This Row],[Ventas publicidad]]/TableWeeklySummary[[#This Row],[Inversión publicidad]],0)</f>
        <v>0</v>
      </c>
      <c r="AA230" s="14">
        <f>IFERROR(TableWeeklySummary[[#This Row],[Ventas primer cliente]]/TableWeeklySummary[[#This Row],[Inversión publicidad]],0)</f>
        <v>0</v>
      </c>
      <c r="AB230" s="14"/>
      <c r="AC230" s="11"/>
      <c r="AI23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0" s="11">
        <f>SUMIFS(TableDailySummary[Costo de ventas registrado],TableDailySummary[Fecha],"&gt;="&amp;TableWeeklySummary[[#This Row],[Desde]],TableDailySummary[Fecha],"&lt;="&amp;TableWeeklySummary[[#This Row],[Hasta]])</f>
        <v>0</v>
      </c>
      <c r="AK230" s="11">
        <f>SUMIFS(TableDailySummary[Utilidad bruta],TableDailySummary[Fecha],"&gt;="&amp;TableWeeklySummary[[#This Row],[Desde]],TableDailySummary[Fecha],"&lt;="&amp;TableWeeklySummary[[#This Row],[Hasta]])</f>
        <v>0</v>
      </c>
      <c r="AL230" s="18">
        <f>IFERROR(TableWeeklySummary[[#This Row],[Utilidad bruta]]/TableWeeklySummary[[#This Row],[Ventas netas con costo registrado]],0)</f>
        <v>0</v>
      </c>
    </row>
    <row r="231" spans="2:38" x14ac:dyDescent="0.2">
      <c r="B231" s="16">
        <f>_xlfn.ISOWEEKNUM(TableWeeklySummary[[#This Row],[Hasta]])</f>
        <v>12</v>
      </c>
      <c r="C231" s="6">
        <f t="shared" si="5"/>
        <v>46094</v>
      </c>
      <c r="D231" s="6">
        <f>TableWeeklySummary[[#This Row],[Desde]]+7-1</f>
        <v>46100</v>
      </c>
      <c r="E231" s="11">
        <f>SUMIFS(TableDailySummary[Ventas netas totales],TableDailySummary[Fecha],"&gt;="&amp;TableWeeklySummary[[#This Row],[Desde]],TableDailySummary[Fecha],"&lt;="&amp;TableWeeklySummary[[#This Row],[Hasta]])</f>
        <v>0</v>
      </c>
      <c r="F231" s="11">
        <f>SUMIFS(TableDailySummary[Órdenes totales],TableDailySummary[Fecha],"&gt;="&amp;TableWeeklySummary[[#This Row],[Desde]],TableDailySummary[Fecha],"&lt;="&amp;TableWeeklySummary[[#This Row],[Hasta]])</f>
        <v>0</v>
      </c>
      <c r="G231" s="11">
        <f>IFERROR(TableWeeklySummary[[#This Row],[Ventas netas totales]]/TableWeeklySummary[[#This Row],[Órdenes totales]],0)</f>
        <v>0</v>
      </c>
      <c r="H23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8.9659294680215183E-3</v>
      </c>
      <c r="I231" s="11">
        <f>TableWeeklySummary[[#This Row],[Órden promedio totales]]*TableWeeklySummary[[#This Row],[CR totales]]</f>
        <v>0</v>
      </c>
      <c r="J231" s="11">
        <f>SUMIFS(TableDailySummary[Ventas primer cliente],TableDailySummary[Fecha],"&gt;="&amp;TableWeeklySummary[[#This Row],[Desde]],TableDailySummary[Fecha],"&lt;="&amp;TableWeeklySummary[[#This Row],[Hasta]])</f>
        <v>0</v>
      </c>
      <c r="K231" s="11">
        <f>SUMIFS(TableDailySummary[Órdenes primer cliente],TableDailySummary[Fecha],"&gt;="&amp;TableWeeklySummary[[#This Row],[Desde]],TableDailySummary[Fecha],"&lt;="&amp;TableWeeklySummary[[#This Row],[Hasta]])</f>
        <v>0</v>
      </c>
      <c r="L231" s="11">
        <f>SUMIFS(TableDailySummary[Online Store_net_sales],TableDailySummary[Fecha],"&gt;="&amp;TableWeeklySummary[[#This Row],[Desde]],TableDailySummary[Fecha],"&lt;="&amp;TableWeeklySummary[[#This Row],[Hasta]])</f>
        <v>0</v>
      </c>
      <c r="M231" s="11">
        <f>SUMIFS(TableDailySummary[Online Store_orders],TableDailySummary[Fecha],"&gt;="&amp;TableWeeklySummary[[#This Row],[Desde]],TableDailySummary[Fecha],"&lt;="&amp;TableWeeklySummary[[#This Row],[Hasta]])</f>
        <v>0</v>
      </c>
      <c r="N231" s="11">
        <f>SUMIFS(TableDailySummary[Tienda 81_net_sales],TableDailySummary[Fecha],"&gt;="&amp;TableWeeklySummary[[#This Row],[Desde]],TableDailySummary[Fecha],"&lt;="&amp;TableWeeklySummary[[#This Row],[Hasta]])</f>
        <v>0</v>
      </c>
      <c r="O231" s="11">
        <f>SUMIFS(TableDailySummary[Tienda 81_orders],TableDailySummary[Fecha],"&gt;="&amp;TableWeeklySummary[[#This Row],[Desde]],TableDailySummary[Fecha],"&lt;="&amp;TableWeeklySummary[[#This Row],[Hasta]])</f>
        <v>0</v>
      </c>
      <c r="P231" s="11">
        <f>SUMIFS(TableDailySummary[Rappi_net_sales],TableDailySummary[Fecha],"&gt;="&amp;TableWeeklySummary[[#This Row],[Desde]],TableDailySummary[Fecha],"&lt;="&amp;TableWeeklySummary[[#This Row],[Hasta]])</f>
        <v>0</v>
      </c>
      <c r="Q231" s="11">
        <f>SUMIFS(TableDailySummary[Rappi_orders],TableDailySummary[Fecha],"&gt;="&amp;TableWeeklySummary[[#This Row],[Desde]],TableDailySummary[Fecha],"&lt;="&amp;TableWeeklySummary[[#This Row],[Hasta]])</f>
        <v>0</v>
      </c>
      <c r="R23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1" s="11">
        <f>SUMIFS(TableDailySummary[Corporativo no tienda_orders],TableDailySummary[Fecha],"&gt;="&amp;TableWeeklySummary[[#This Row],[Desde]],TableDailySummary[Fecha],"&lt;="&amp;TableWeeklySummary[[#This Row],[Hasta]])</f>
        <v>0</v>
      </c>
      <c r="T231" s="11">
        <f>SUMIFS(TableDailySummary[Inversión google ads],TableDailySummary[Fecha],"&gt;="&amp;TableWeeklySummary[[#This Row],[Desde]],TableDailySummary[Fecha],"&lt;="&amp;TableWeeklySummary[[#This Row],[Hasta]])</f>
        <v>0</v>
      </c>
      <c r="U231" s="11">
        <f>SUMIFS(TableDailySummary[Ventas google ads],TableDailySummary[Fecha],"&gt;="&amp;TableWeeklySummary[[#This Row],[Desde]],TableDailySummary[Fecha],"&lt;="&amp;TableWeeklySummary[[#This Row],[Hasta]])</f>
        <v>0</v>
      </c>
      <c r="V231" s="11">
        <f>SUMIFS(TableDailySummary[Inversión meta ads],TableDailySummary[Fecha],"&gt;="&amp;TableWeeklySummary[[#This Row],[Desde]],TableDailySummary[Fecha],"&lt;="&amp;TableWeeklySummary[[#This Row],[Hasta]])</f>
        <v>0</v>
      </c>
      <c r="W231" s="11">
        <f>SUMIFS(TableDailySummary[Ventas meta ads],TableDailySummary[Fecha],"&gt;="&amp;TableWeeklySummary[[#This Row],[Desde]],TableDailySummary[Fecha],"&lt;="&amp;TableWeeklySummary[[#This Row],[Hasta]])</f>
        <v>0</v>
      </c>
      <c r="X231" s="11">
        <f>TableWeeklySummary[[#This Row],[Inversión google ads]]+TableWeeklySummary[[#This Row],[Inversión meta ads]]</f>
        <v>0</v>
      </c>
      <c r="Y231" s="11">
        <f>TableWeeklySummary[[#This Row],[Ventas google ads]]+TableWeeklySummary[[#This Row],[Ventas meta ads]]</f>
        <v>0</v>
      </c>
      <c r="Z231" s="14">
        <f>IFERROR(TableWeeklySummary[[#This Row],[Ventas publicidad]]/TableWeeklySummary[[#This Row],[Inversión publicidad]],0)</f>
        <v>0</v>
      </c>
      <c r="AA231" s="14">
        <f>IFERROR(TableWeeklySummary[[#This Row],[Ventas primer cliente]]/TableWeeklySummary[[#This Row],[Inversión publicidad]],0)</f>
        <v>0</v>
      </c>
      <c r="AB231" s="14"/>
      <c r="AC231" s="11"/>
      <c r="AI23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1" s="11">
        <f>SUMIFS(TableDailySummary[Costo de ventas registrado],TableDailySummary[Fecha],"&gt;="&amp;TableWeeklySummary[[#This Row],[Desde]],TableDailySummary[Fecha],"&lt;="&amp;TableWeeklySummary[[#This Row],[Hasta]])</f>
        <v>0</v>
      </c>
      <c r="AK231" s="11">
        <f>SUMIFS(TableDailySummary[Utilidad bruta],TableDailySummary[Fecha],"&gt;="&amp;TableWeeklySummary[[#This Row],[Desde]],TableDailySummary[Fecha],"&lt;="&amp;TableWeeklySummary[[#This Row],[Hasta]])</f>
        <v>0</v>
      </c>
      <c r="AL231" s="18">
        <f>IFERROR(TableWeeklySummary[[#This Row],[Utilidad bruta]]/TableWeeklySummary[[#This Row],[Ventas netas con costo registrado]],0)</f>
        <v>0</v>
      </c>
    </row>
    <row r="232" spans="2:38" x14ac:dyDescent="0.2">
      <c r="B232" s="16">
        <f>_xlfn.ISOWEEKNUM(TableWeeklySummary[[#This Row],[Hasta]])</f>
        <v>13</v>
      </c>
      <c r="C232" s="6">
        <f t="shared" si="5"/>
        <v>46101</v>
      </c>
      <c r="D232" s="6">
        <f>TableWeeklySummary[[#This Row],[Desde]]+7-1</f>
        <v>46107</v>
      </c>
      <c r="E232" s="11">
        <f>SUMIFS(TableDailySummary[Ventas netas totales],TableDailySummary[Fecha],"&gt;="&amp;TableWeeklySummary[[#This Row],[Desde]],TableDailySummary[Fecha],"&lt;="&amp;TableWeeklySummary[[#This Row],[Hasta]])</f>
        <v>0</v>
      </c>
      <c r="F232" s="11">
        <f>SUMIFS(TableDailySummary[Órdenes totales],TableDailySummary[Fecha],"&gt;="&amp;TableWeeklySummary[[#This Row],[Desde]],TableDailySummary[Fecha],"&lt;="&amp;TableWeeklySummary[[#This Row],[Hasta]])</f>
        <v>0</v>
      </c>
      <c r="G232" s="11">
        <f>IFERROR(TableWeeklySummary[[#This Row],[Ventas netas totales]]/TableWeeklySummary[[#This Row],[Órdenes totales]],0)</f>
        <v>0</v>
      </c>
      <c r="H23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3.7066454858353192E-3</v>
      </c>
      <c r="I232" s="11">
        <f>TableWeeklySummary[[#This Row],[Órden promedio totales]]*TableWeeklySummary[[#This Row],[CR totales]]</f>
        <v>0</v>
      </c>
      <c r="J232" s="11">
        <f>SUMIFS(TableDailySummary[Ventas primer cliente],TableDailySummary[Fecha],"&gt;="&amp;TableWeeklySummary[[#This Row],[Desde]],TableDailySummary[Fecha],"&lt;="&amp;TableWeeklySummary[[#This Row],[Hasta]])</f>
        <v>0</v>
      </c>
      <c r="K232" s="11">
        <f>SUMIFS(TableDailySummary[Órdenes primer cliente],TableDailySummary[Fecha],"&gt;="&amp;TableWeeklySummary[[#This Row],[Desde]],TableDailySummary[Fecha],"&lt;="&amp;TableWeeklySummary[[#This Row],[Hasta]])</f>
        <v>0</v>
      </c>
      <c r="L232" s="11">
        <f>SUMIFS(TableDailySummary[Online Store_net_sales],TableDailySummary[Fecha],"&gt;="&amp;TableWeeklySummary[[#This Row],[Desde]],TableDailySummary[Fecha],"&lt;="&amp;TableWeeklySummary[[#This Row],[Hasta]])</f>
        <v>0</v>
      </c>
      <c r="M232" s="11">
        <f>SUMIFS(TableDailySummary[Online Store_orders],TableDailySummary[Fecha],"&gt;="&amp;TableWeeklySummary[[#This Row],[Desde]],TableDailySummary[Fecha],"&lt;="&amp;TableWeeklySummary[[#This Row],[Hasta]])</f>
        <v>0</v>
      </c>
      <c r="N232" s="11">
        <f>SUMIFS(TableDailySummary[Tienda 81_net_sales],TableDailySummary[Fecha],"&gt;="&amp;TableWeeklySummary[[#This Row],[Desde]],TableDailySummary[Fecha],"&lt;="&amp;TableWeeklySummary[[#This Row],[Hasta]])</f>
        <v>0</v>
      </c>
      <c r="O232" s="11">
        <f>SUMIFS(TableDailySummary[Tienda 81_orders],TableDailySummary[Fecha],"&gt;="&amp;TableWeeklySummary[[#This Row],[Desde]],TableDailySummary[Fecha],"&lt;="&amp;TableWeeklySummary[[#This Row],[Hasta]])</f>
        <v>0</v>
      </c>
      <c r="P232" s="11">
        <f>SUMIFS(TableDailySummary[Rappi_net_sales],TableDailySummary[Fecha],"&gt;="&amp;TableWeeklySummary[[#This Row],[Desde]],TableDailySummary[Fecha],"&lt;="&amp;TableWeeklySummary[[#This Row],[Hasta]])</f>
        <v>0</v>
      </c>
      <c r="Q232" s="11">
        <f>SUMIFS(TableDailySummary[Rappi_orders],TableDailySummary[Fecha],"&gt;="&amp;TableWeeklySummary[[#This Row],[Desde]],TableDailySummary[Fecha],"&lt;="&amp;TableWeeklySummary[[#This Row],[Hasta]])</f>
        <v>0</v>
      </c>
      <c r="R23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2" s="11">
        <f>SUMIFS(TableDailySummary[Corporativo no tienda_orders],TableDailySummary[Fecha],"&gt;="&amp;TableWeeklySummary[[#This Row],[Desde]],TableDailySummary[Fecha],"&lt;="&amp;TableWeeklySummary[[#This Row],[Hasta]])</f>
        <v>0</v>
      </c>
      <c r="T232" s="11">
        <f>SUMIFS(TableDailySummary[Inversión google ads],TableDailySummary[Fecha],"&gt;="&amp;TableWeeklySummary[[#This Row],[Desde]],TableDailySummary[Fecha],"&lt;="&amp;TableWeeklySummary[[#This Row],[Hasta]])</f>
        <v>0</v>
      </c>
      <c r="U232" s="11">
        <f>SUMIFS(TableDailySummary[Ventas google ads],TableDailySummary[Fecha],"&gt;="&amp;TableWeeklySummary[[#This Row],[Desde]],TableDailySummary[Fecha],"&lt;="&amp;TableWeeklySummary[[#This Row],[Hasta]])</f>
        <v>0</v>
      </c>
      <c r="V232" s="11">
        <f>SUMIFS(TableDailySummary[Inversión meta ads],TableDailySummary[Fecha],"&gt;="&amp;TableWeeklySummary[[#This Row],[Desde]],TableDailySummary[Fecha],"&lt;="&amp;TableWeeklySummary[[#This Row],[Hasta]])</f>
        <v>0</v>
      </c>
      <c r="W232" s="11">
        <f>SUMIFS(TableDailySummary[Ventas meta ads],TableDailySummary[Fecha],"&gt;="&amp;TableWeeklySummary[[#This Row],[Desde]],TableDailySummary[Fecha],"&lt;="&amp;TableWeeklySummary[[#This Row],[Hasta]])</f>
        <v>0</v>
      </c>
      <c r="X232" s="11">
        <f>TableWeeklySummary[[#This Row],[Inversión google ads]]+TableWeeklySummary[[#This Row],[Inversión meta ads]]</f>
        <v>0</v>
      </c>
      <c r="Y232" s="11">
        <f>TableWeeklySummary[[#This Row],[Ventas google ads]]+TableWeeklySummary[[#This Row],[Ventas meta ads]]</f>
        <v>0</v>
      </c>
      <c r="Z232" s="14">
        <f>IFERROR(TableWeeklySummary[[#This Row],[Ventas publicidad]]/TableWeeklySummary[[#This Row],[Inversión publicidad]],0)</f>
        <v>0</v>
      </c>
      <c r="AA232" s="14">
        <f>IFERROR(TableWeeklySummary[[#This Row],[Ventas primer cliente]]/TableWeeklySummary[[#This Row],[Inversión publicidad]],0)</f>
        <v>0</v>
      </c>
      <c r="AB232" s="14"/>
      <c r="AC232" s="11"/>
      <c r="AI23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2" s="11">
        <f>SUMIFS(TableDailySummary[Costo de ventas registrado],TableDailySummary[Fecha],"&gt;="&amp;TableWeeklySummary[[#This Row],[Desde]],TableDailySummary[Fecha],"&lt;="&amp;TableWeeklySummary[[#This Row],[Hasta]])</f>
        <v>0</v>
      </c>
      <c r="AK232" s="11">
        <f>SUMIFS(TableDailySummary[Utilidad bruta],TableDailySummary[Fecha],"&gt;="&amp;TableWeeklySummary[[#This Row],[Desde]],TableDailySummary[Fecha],"&lt;="&amp;TableWeeklySummary[[#This Row],[Hasta]])</f>
        <v>0</v>
      </c>
      <c r="AL232" s="18">
        <f>IFERROR(TableWeeklySummary[[#This Row],[Utilidad bruta]]/TableWeeklySummary[[#This Row],[Ventas netas con costo registrado]],0)</f>
        <v>0</v>
      </c>
    </row>
    <row r="233" spans="2:38" x14ac:dyDescent="0.2">
      <c r="B233" s="16">
        <f>_xlfn.ISOWEEKNUM(TableWeeklySummary[[#This Row],[Hasta]])</f>
        <v>14</v>
      </c>
      <c r="C233" s="6">
        <f t="shared" si="5"/>
        <v>46108</v>
      </c>
      <c r="D233" s="6">
        <f>TableWeeklySummary[[#This Row],[Desde]]+7-1</f>
        <v>46114</v>
      </c>
      <c r="E233" s="11">
        <f>SUMIFS(TableDailySummary[Ventas netas totales],TableDailySummary[Fecha],"&gt;="&amp;TableWeeklySummary[[#This Row],[Desde]],TableDailySummary[Fecha],"&lt;="&amp;TableWeeklySummary[[#This Row],[Hasta]])</f>
        <v>0</v>
      </c>
      <c r="F233" s="11">
        <f>SUMIFS(TableDailySummary[Órdenes totales],TableDailySummary[Fecha],"&gt;="&amp;TableWeeklySummary[[#This Row],[Desde]],TableDailySummary[Fecha],"&lt;="&amp;TableWeeklySummary[[#This Row],[Hasta]])</f>
        <v>0</v>
      </c>
      <c r="G233" s="11">
        <f>IFERROR(TableWeeklySummary[[#This Row],[Ventas netas totales]]/TableWeeklySummary[[#This Row],[Órdenes totales]],0)</f>
        <v>0</v>
      </c>
      <c r="H23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5.597014925373134E-3</v>
      </c>
      <c r="I233" s="11">
        <f>TableWeeklySummary[[#This Row],[Órden promedio totales]]*TableWeeklySummary[[#This Row],[CR totales]]</f>
        <v>0</v>
      </c>
      <c r="J233" s="11">
        <f>SUMIFS(TableDailySummary[Ventas primer cliente],TableDailySummary[Fecha],"&gt;="&amp;TableWeeklySummary[[#This Row],[Desde]],TableDailySummary[Fecha],"&lt;="&amp;TableWeeklySummary[[#This Row],[Hasta]])</f>
        <v>0</v>
      </c>
      <c r="K233" s="11">
        <f>SUMIFS(TableDailySummary[Órdenes primer cliente],TableDailySummary[Fecha],"&gt;="&amp;TableWeeklySummary[[#This Row],[Desde]],TableDailySummary[Fecha],"&lt;="&amp;TableWeeklySummary[[#This Row],[Hasta]])</f>
        <v>0</v>
      </c>
      <c r="L233" s="11">
        <f>SUMIFS(TableDailySummary[Online Store_net_sales],TableDailySummary[Fecha],"&gt;="&amp;TableWeeklySummary[[#This Row],[Desde]],TableDailySummary[Fecha],"&lt;="&amp;TableWeeklySummary[[#This Row],[Hasta]])</f>
        <v>0</v>
      </c>
      <c r="M233" s="11">
        <f>SUMIFS(TableDailySummary[Online Store_orders],TableDailySummary[Fecha],"&gt;="&amp;TableWeeklySummary[[#This Row],[Desde]],TableDailySummary[Fecha],"&lt;="&amp;TableWeeklySummary[[#This Row],[Hasta]])</f>
        <v>0</v>
      </c>
      <c r="N233" s="11">
        <f>SUMIFS(TableDailySummary[Tienda 81_net_sales],TableDailySummary[Fecha],"&gt;="&amp;TableWeeklySummary[[#This Row],[Desde]],TableDailySummary[Fecha],"&lt;="&amp;TableWeeklySummary[[#This Row],[Hasta]])</f>
        <v>0</v>
      </c>
      <c r="O233" s="11">
        <f>SUMIFS(TableDailySummary[Tienda 81_orders],TableDailySummary[Fecha],"&gt;="&amp;TableWeeklySummary[[#This Row],[Desde]],TableDailySummary[Fecha],"&lt;="&amp;TableWeeklySummary[[#This Row],[Hasta]])</f>
        <v>0</v>
      </c>
      <c r="P233" s="11">
        <f>SUMIFS(TableDailySummary[Rappi_net_sales],TableDailySummary[Fecha],"&gt;="&amp;TableWeeklySummary[[#This Row],[Desde]],TableDailySummary[Fecha],"&lt;="&amp;TableWeeklySummary[[#This Row],[Hasta]])</f>
        <v>0</v>
      </c>
      <c r="Q233" s="11">
        <f>SUMIFS(TableDailySummary[Rappi_orders],TableDailySummary[Fecha],"&gt;="&amp;TableWeeklySummary[[#This Row],[Desde]],TableDailySummary[Fecha],"&lt;="&amp;TableWeeklySummary[[#This Row],[Hasta]])</f>
        <v>0</v>
      </c>
      <c r="R23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3" s="11">
        <f>SUMIFS(TableDailySummary[Corporativo no tienda_orders],TableDailySummary[Fecha],"&gt;="&amp;TableWeeklySummary[[#This Row],[Desde]],TableDailySummary[Fecha],"&lt;="&amp;TableWeeklySummary[[#This Row],[Hasta]])</f>
        <v>0</v>
      </c>
      <c r="T233" s="11">
        <f>SUMIFS(TableDailySummary[Inversión google ads],TableDailySummary[Fecha],"&gt;="&amp;TableWeeklySummary[[#This Row],[Desde]],TableDailySummary[Fecha],"&lt;="&amp;TableWeeklySummary[[#This Row],[Hasta]])</f>
        <v>0</v>
      </c>
      <c r="U233" s="11">
        <f>SUMIFS(TableDailySummary[Ventas google ads],TableDailySummary[Fecha],"&gt;="&amp;TableWeeklySummary[[#This Row],[Desde]],TableDailySummary[Fecha],"&lt;="&amp;TableWeeklySummary[[#This Row],[Hasta]])</f>
        <v>0</v>
      </c>
      <c r="V233" s="11">
        <f>SUMIFS(TableDailySummary[Inversión meta ads],TableDailySummary[Fecha],"&gt;="&amp;TableWeeklySummary[[#This Row],[Desde]],TableDailySummary[Fecha],"&lt;="&amp;TableWeeklySummary[[#This Row],[Hasta]])</f>
        <v>0</v>
      </c>
      <c r="W233" s="11">
        <f>SUMIFS(TableDailySummary[Ventas meta ads],TableDailySummary[Fecha],"&gt;="&amp;TableWeeklySummary[[#This Row],[Desde]],TableDailySummary[Fecha],"&lt;="&amp;TableWeeklySummary[[#This Row],[Hasta]])</f>
        <v>0</v>
      </c>
      <c r="X233" s="11">
        <f>TableWeeklySummary[[#This Row],[Inversión google ads]]+TableWeeklySummary[[#This Row],[Inversión meta ads]]</f>
        <v>0</v>
      </c>
      <c r="Y233" s="11">
        <f>TableWeeklySummary[[#This Row],[Ventas google ads]]+TableWeeklySummary[[#This Row],[Ventas meta ads]]</f>
        <v>0</v>
      </c>
      <c r="Z233" s="14">
        <f>IFERROR(TableWeeklySummary[[#This Row],[Ventas publicidad]]/TableWeeklySummary[[#This Row],[Inversión publicidad]],0)</f>
        <v>0</v>
      </c>
      <c r="AA233" s="14">
        <f>IFERROR(TableWeeklySummary[[#This Row],[Ventas primer cliente]]/TableWeeklySummary[[#This Row],[Inversión publicidad]],0)</f>
        <v>0</v>
      </c>
      <c r="AB233" s="14"/>
      <c r="AC233" s="11"/>
      <c r="AI23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3" s="11">
        <f>SUMIFS(TableDailySummary[Costo de ventas registrado],TableDailySummary[Fecha],"&gt;="&amp;TableWeeklySummary[[#This Row],[Desde]],TableDailySummary[Fecha],"&lt;="&amp;TableWeeklySummary[[#This Row],[Hasta]])</f>
        <v>0</v>
      </c>
      <c r="AK233" s="11">
        <f>SUMIFS(TableDailySummary[Utilidad bruta],TableDailySummary[Fecha],"&gt;="&amp;TableWeeklySummary[[#This Row],[Desde]],TableDailySummary[Fecha],"&lt;="&amp;TableWeeklySummary[[#This Row],[Hasta]])</f>
        <v>0</v>
      </c>
      <c r="AL233" s="18">
        <f>IFERROR(TableWeeklySummary[[#This Row],[Utilidad bruta]]/TableWeeklySummary[[#This Row],[Ventas netas con costo registrado]],0)</f>
        <v>0</v>
      </c>
    </row>
    <row r="234" spans="2:38" x14ac:dyDescent="0.2">
      <c r="B234" s="16">
        <f>_xlfn.ISOWEEKNUM(TableWeeklySummary[[#This Row],[Hasta]])</f>
        <v>15</v>
      </c>
      <c r="C234" s="6">
        <f t="shared" si="5"/>
        <v>46115</v>
      </c>
      <c r="D234" s="6">
        <f>TableWeeklySummary[[#This Row],[Desde]]+7-1</f>
        <v>46121</v>
      </c>
      <c r="E234" s="11">
        <f>SUMIFS(TableDailySummary[Ventas netas totales],TableDailySummary[Fecha],"&gt;="&amp;TableWeeklySummary[[#This Row],[Desde]],TableDailySummary[Fecha],"&lt;="&amp;TableWeeklySummary[[#This Row],[Hasta]])</f>
        <v>0</v>
      </c>
      <c r="F234" s="11">
        <f>SUMIFS(TableDailySummary[Órdenes totales],TableDailySummary[Fecha],"&gt;="&amp;TableWeeklySummary[[#This Row],[Desde]],TableDailySummary[Fecha],"&lt;="&amp;TableWeeklySummary[[#This Row],[Hasta]])</f>
        <v>0</v>
      </c>
      <c r="G234" s="11">
        <f>IFERROR(TableWeeklySummary[[#This Row],[Ventas netas totales]]/TableWeeklySummary[[#This Row],[Órdenes totales]],0)</f>
        <v>0</v>
      </c>
      <c r="H23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6.4935064935064939E-3</v>
      </c>
      <c r="I234" s="11">
        <f>TableWeeklySummary[[#This Row],[Órden promedio totales]]*TableWeeklySummary[[#This Row],[CR totales]]</f>
        <v>0</v>
      </c>
      <c r="J234" s="11">
        <f>SUMIFS(TableDailySummary[Ventas primer cliente],TableDailySummary[Fecha],"&gt;="&amp;TableWeeklySummary[[#This Row],[Desde]],TableDailySummary[Fecha],"&lt;="&amp;TableWeeklySummary[[#This Row],[Hasta]])</f>
        <v>0</v>
      </c>
      <c r="K234" s="11">
        <f>SUMIFS(TableDailySummary[Órdenes primer cliente],TableDailySummary[Fecha],"&gt;="&amp;TableWeeklySummary[[#This Row],[Desde]],TableDailySummary[Fecha],"&lt;="&amp;TableWeeklySummary[[#This Row],[Hasta]])</f>
        <v>0</v>
      </c>
      <c r="L234" s="11">
        <f>SUMIFS(TableDailySummary[Online Store_net_sales],TableDailySummary[Fecha],"&gt;="&amp;TableWeeklySummary[[#This Row],[Desde]],TableDailySummary[Fecha],"&lt;="&amp;TableWeeklySummary[[#This Row],[Hasta]])</f>
        <v>0</v>
      </c>
      <c r="M234" s="11">
        <f>SUMIFS(TableDailySummary[Online Store_orders],TableDailySummary[Fecha],"&gt;="&amp;TableWeeklySummary[[#This Row],[Desde]],TableDailySummary[Fecha],"&lt;="&amp;TableWeeklySummary[[#This Row],[Hasta]])</f>
        <v>0</v>
      </c>
      <c r="N234" s="11">
        <f>SUMIFS(TableDailySummary[Tienda 81_net_sales],TableDailySummary[Fecha],"&gt;="&amp;TableWeeklySummary[[#This Row],[Desde]],TableDailySummary[Fecha],"&lt;="&amp;TableWeeklySummary[[#This Row],[Hasta]])</f>
        <v>0</v>
      </c>
      <c r="O234" s="11">
        <f>SUMIFS(TableDailySummary[Tienda 81_orders],TableDailySummary[Fecha],"&gt;="&amp;TableWeeklySummary[[#This Row],[Desde]],TableDailySummary[Fecha],"&lt;="&amp;TableWeeklySummary[[#This Row],[Hasta]])</f>
        <v>0</v>
      </c>
      <c r="P234" s="11">
        <f>SUMIFS(TableDailySummary[Rappi_net_sales],TableDailySummary[Fecha],"&gt;="&amp;TableWeeklySummary[[#This Row],[Desde]],TableDailySummary[Fecha],"&lt;="&amp;TableWeeklySummary[[#This Row],[Hasta]])</f>
        <v>0</v>
      </c>
      <c r="Q234" s="11">
        <f>SUMIFS(TableDailySummary[Rappi_orders],TableDailySummary[Fecha],"&gt;="&amp;TableWeeklySummary[[#This Row],[Desde]],TableDailySummary[Fecha],"&lt;="&amp;TableWeeklySummary[[#This Row],[Hasta]])</f>
        <v>0</v>
      </c>
      <c r="R23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4" s="11">
        <f>SUMIFS(TableDailySummary[Corporativo no tienda_orders],TableDailySummary[Fecha],"&gt;="&amp;TableWeeklySummary[[#This Row],[Desde]],TableDailySummary[Fecha],"&lt;="&amp;TableWeeklySummary[[#This Row],[Hasta]])</f>
        <v>0</v>
      </c>
      <c r="T234" s="11">
        <f>SUMIFS(TableDailySummary[Inversión google ads],TableDailySummary[Fecha],"&gt;="&amp;TableWeeklySummary[[#This Row],[Desde]],TableDailySummary[Fecha],"&lt;="&amp;TableWeeklySummary[[#This Row],[Hasta]])</f>
        <v>0</v>
      </c>
      <c r="U234" s="11">
        <f>SUMIFS(TableDailySummary[Ventas google ads],TableDailySummary[Fecha],"&gt;="&amp;TableWeeklySummary[[#This Row],[Desde]],TableDailySummary[Fecha],"&lt;="&amp;TableWeeklySummary[[#This Row],[Hasta]])</f>
        <v>0</v>
      </c>
      <c r="V234" s="11">
        <f>SUMIFS(TableDailySummary[Inversión meta ads],TableDailySummary[Fecha],"&gt;="&amp;TableWeeklySummary[[#This Row],[Desde]],TableDailySummary[Fecha],"&lt;="&amp;TableWeeklySummary[[#This Row],[Hasta]])</f>
        <v>0</v>
      </c>
      <c r="W234" s="11">
        <f>SUMIFS(TableDailySummary[Ventas meta ads],TableDailySummary[Fecha],"&gt;="&amp;TableWeeklySummary[[#This Row],[Desde]],TableDailySummary[Fecha],"&lt;="&amp;TableWeeklySummary[[#This Row],[Hasta]])</f>
        <v>0</v>
      </c>
      <c r="X234" s="11">
        <f>TableWeeklySummary[[#This Row],[Inversión google ads]]+TableWeeklySummary[[#This Row],[Inversión meta ads]]</f>
        <v>0</v>
      </c>
      <c r="Y234" s="11">
        <f>TableWeeklySummary[[#This Row],[Ventas google ads]]+TableWeeklySummary[[#This Row],[Ventas meta ads]]</f>
        <v>0</v>
      </c>
      <c r="Z234" s="14">
        <f>IFERROR(TableWeeklySummary[[#This Row],[Ventas publicidad]]/TableWeeklySummary[[#This Row],[Inversión publicidad]],0)</f>
        <v>0</v>
      </c>
      <c r="AA234" s="14">
        <f>IFERROR(TableWeeklySummary[[#This Row],[Ventas primer cliente]]/TableWeeklySummary[[#This Row],[Inversión publicidad]],0)</f>
        <v>0</v>
      </c>
      <c r="AB234" s="14"/>
      <c r="AC234" s="11"/>
      <c r="AI23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4" s="11">
        <f>SUMIFS(TableDailySummary[Costo de ventas registrado],TableDailySummary[Fecha],"&gt;="&amp;TableWeeklySummary[[#This Row],[Desde]],TableDailySummary[Fecha],"&lt;="&amp;TableWeeklySummary[[#This Row],[Hasta]])</f>
        <v>0</v>
      </c>
      <c r="AK234" s="11">
        <f>SUMIFS(TableDailySummary[Utilidad bruta],TableDailySummary[Fecha],"&gt;="&amp;TableWeeklySummary[[#This Row],[Desde]],TableDailySummary[Fecha],"&lt;="&amp;TableWeeklySummary[[#This Row],[Hasta]])</f>
        <v>0</v>
      </c>
      <c r="AL234" s="18">
        <f>IFERROR(TableWeeklySummary[[#This Row],[Utilidad bruta]]/TableWeeklySummary[[#This Row],[Ventas netas con costo registrado]],0)</f>
        <v>0</v>
      </c>
    </row>
    <row r="235" spans="2:38" x14ac:dyDescent="0.2">
      <c r="B235" s="16">
        <f>_xlfn.ISOWEEKNUM(TableWeeklySummary[[#This Row],[Hasta]])</f>
        <v>16</v>
      </c>
      <c r="C235" s="6">
        <f t="shared" si="5"/>
        <v>46122</v>
      </c>
      <c r="D235" s="6">
        <f>TableWeeklySummary[[#This Row],[Desde]]+7-1</f>
        <v>46128</v>
      </c>
      <c r="E235" s="11">
        <f>SUMIFS(TableDailySummary[Ventas netas totales],TableDailySummary[Fecha],"&gt;="&amp;TableWeeklySummary[[#This Row],[Desde]],TableDailySummary[Fecha],"&lt;="&amp;TableWeeklySummary[[#This Row],[Hasta]])</f>
        <v>0</v>
      </c>
      <c r="F235" s="11">
        <f>SUMIFS(TableDailySummary[Órdenes totales],TableDailySummary[Fecha],"&gt;="&amp;TableWeeklySummary[[#This Row],[Desde]],TableDailySummary[Fecha],"&lt;="&amp;TableWeeklySummary[[#This Row],[Hasta]])</f>
        <v>0</v>
      </c>
      <c r="G235" s="11">
        <f>IFERROR(TableWeeklySummary[[#This Row],[Ventas netas totales]]/TableWeeklySummary[[#This Row],[Órdenes totales]],0)</f>
        <v>0</v>
      </c>
      <c r="H23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7.4866310160427805E-3</v>
      </c>
      <c r="I235" s="11">
        <f>TableWeeklySummary[[#This Row],[Órden promedio totales]]*TableWeeklySummary[[#This Row],[CR totales]]</f>
        <v>0</v>
      </c>
      <c r="J235" s="11">
        <f>SUMIFS(TableDailySummary[Ventas primer cliente],TableDailySummary[Fecha],"&gt;="&amp;TableWeeklySummary[[#This Row],[Desde]],TableDailySummary[Fecha],"&lt;="&amp;TableWeeklySummary[[#This Row],[Hasta]])</f>
        <v>0</v>
      </c>
      <c r="K235" s="11">
        <f>SUMIFS(TableDailySummary[Órdenes primer cliente],TableDailySummary[Fecha],"&gt;="&amp;TableWeeklySummary[[#This Row],[Desde]],TableDailySummary[Fecha],"&lt;="&amp;TableWeeklySummary[[#This Row],[Hasta]])</f>
        <v>0</v>
      </c>
      <c r="L235" s="11">
        <f>SUMIFS(TableDailySummary[Online Store_net_sales],TableDailySummary[Fecha],"&gt;="&amp;TableWeeklySummary[[#This Row],[Desde]],TableDailySummary[Fecha],"&lt;="&amp;TableWeeklySummary[[#This Row],[Hasta]])</f>
        <v>0</v>
      </c>
      <c r="M235" s="11">
        <f>SUMIFS(TableDailySummary[Online Store_orders],TableDailySummary[Fecha],"&gt;="&amp;TableWeeklySummary[[#This Row],[Desde]],TableDailySummary[Fecha],"&lt;="&amp;TableWeeklySummary[[#This Row],[Hasta]])</f>
        <v>0</v>
      </c>
      <c r="N235" s="11">
        <f>SUMIFS(TableDailySummary[Tienda 81_net_sales],TableDailySummary[Fecha],"&gt;="&amp;TableWeeklySummary[[#This Row],[Desde]],TableDailySummary[Fecha],"&lt;="&amp;TableWeeklySummary[[#This Row],[Hasta]])</f>
        <v>0</v>
      </c>
      <c r="O235" s="11">
        <f>SUMIFS(TableDailySummary[Tienda 81_orders],TableDailySummary[Fecha],"&gt;="&amp;TableWeeklySummary[[#This Row],[Desde]],TableDailySummary[Fecha],"&lt;="&amp;TableWeeklySummary[[#This Row],[Hasta]])</f>
        <v>0</v>
      </c>
      <c r="P235" s="11">
        <f>SUMIFS(TableDailySummary[Rappi_net_sales],TableDailySummary[Fecha],"&gt;="&amp;TableWeeklySummary[[#This Row],[Desde]],TableDailySummary[Fecha],"&lt;="&amp;TableWeeklySummary[[#This Row],[Hasta]])</f>
        <v>0</v>
      </c>
      <c r="Q235" s="11">
        <f>SUMIFS(TableDailySummary[Rappi_orders],TableDailySummary[Fecha],"&gt;="&amp;TableWeeklySummary[[#This Row],[Desde]],TableDailySummary[Fecha],"&lt;="&amp;TableWeeklySummary[[#This Row],[Hasta]])</f>
        <v>0</v>
      </c>
      <c r="R23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5" s="11">
        <f>SUMIFS(TableDailySummary[Corporativo no tienda_orders],TableDailySummary[Fecha],"&gt;="&amp;TableWeeklySummary[[#This Row],[Desde]],TableDailySummary[Fecha],"&lt;="&amp;TableWeeklySummary[[#This Row],[Hasta]])</f>
        <v>0</v>
      </c>
      <c r="T235" s="11">
        <f>SUMIFS(TableDailySummary[Inversión google ads],TableDailySummary[Fecha],"&gt;="&amp;TableWeeklySummary[[#This Row],[Desde]],TableDailySummary[Fecha],"&lt;="&amp;TableWeeklySummary[[#This Row],[Hasta]])</f>
        <v>0</v>
      </c>
      <c r="U235" s="11">
        <f>SUMIFS(TableDailySummary[Ventas google ads],TableDailySummary[Fecha],"&gt;="&amp;TableWeeklySummary[[#This Row],[Desde]],TableDailySummary[Fecha],"&lt;="&amp;TableWeeklySummary[[#This Row],[Hasta]])</f>
        <v>0</v>
      </c>
      <c r="V235" s="11">
        <f>SUMIFS(TableDailySummary[Inversión meta ads],TableDailySummary[Fecha],"&gt;="&amp;TableWeeklySummary[[#This Row],[Desde]],TableDailySummary[Fecha],"&lt;="&amp;TableWeeklySummary[[#This Row],[Hasta]])</f>
        <v>0</v>
      </c>
      <c r="W235" s="11">
        <f>SUMIFS(TableDailySummary[Ventas meta ads],TableDailySummary[Fecha],"&gt;="&amp;TableWeeklySummary[[#This Row],[Desde]],TableDailySummary[Fecha],"&lt;="&amp;TableWeeklySummary[[#This Row],[Hasta]])</f>
        <v>0</v>
      </c>
      <c r="X235" s="11">
        <f>TableWeeklySummary[[#This Row],[Inversión google ads]]+TableWeeklySummary[[#This Row],[Inversión meta ads]]</f>
        <v>0</v>
      </c>
      <c r="Y235" s="11">
        <f>TableWeeklySummary[[#This Row],[Ventas google ads]]+TableWeeklySummary[[#This Row],[Ventas meta ads]]</f>
        <v>0</v>
      </c>
      <c r="Z235" s="14">
        <f>IFERROR(TableWeeklySummary[[#This Row],[Ventas publicidad]]/TableWeeklySummary[[#This Row],[Inversión publicidad]],0)</f>
        <v>0</v>
      </c>
      <c r="AA235" s="14">
        <f>IFERROR(TableWeeklySummary[[#This Row],[Ventas primer cliente]]/TableWeeklySummary[[#This Row],[Inversión publicidad]],0)</f>
        <v>0</v>
      </c>
      <c r="AB235" s="14"/>
      <c r="AC235" s="11"/>
      <c r="AI23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5" s="11">
        <f>SUMIFS(TableDailySummary[Costo de ventas registrado],TableDailySummary[Fecha],"&gt;="&amp;TableWeeklySummary[[#This Row],[Desde]],TableDailySummary[Fecha],"&lt;="&amp;TableWeeklySummary[[#This Row],[Hasta]])</f>
        <v>0</v>
      </c>
      <c r="AK235" s="11">
        <f>SUMIFS(TableDailySummary[Utilidad bruta],TableDailySummary[Fecha],"&gt;="&amp;TableWeeklySummary[[#This Row],[Desde]],TableDailySummary[Fecha],"&lt;="&amp;TableWeeklySummary[[#This Row],[Hasta]])</f>
        <v>0</v>
      </c>
      <c r="AL235" s="18">
        <f>IFERROR(TableWeeklySummary[[#This Row],[Utilidad bruta]]/TableWeeklySummary[[#This Row],[Ventas netas con costo registrado]],0)</f>
        <v>0</v>
      </c>
    </row>
    <row r="236" spans="2:38" x14ac:dyDescent="0.2">
      <c r="B236" s="16">
        <f>_xlfn.ISOWEEKNUM(TableWeeklySummary[[#This Row],[Hasta]])</f>
        <v>17</v>
      </c>
      <c r="C236" s="6">
        <f t="shared" si="5"/>
        <v>46129</v>
      </c>
      <c r="D236" s="6">
        <f>TableWeeklySummary[[#This Row],[Desde]]+7-1</f>
        <v>46135</v>
      </c>
      <c r="E236" s="11">
        <f>SUMIFS(TableDailySummary[Ventas netas totales],TableDailySummary[Fecha],"&gt;="&amp;TableWeeklySummary[[#This Row],[Desde]],TableDailySummary[Fecha],"&lt;="&amp;TableWeeklySummary[[#This Row],[Hasta]])</f>
        <v>0</v>
      </c>
      <c r="F236" s="11">
        <f>SUMIFS(TableDailySummary[Órdenes totales],TableDailySummary[Fecha],"&gt;="&amp;TableWeeklySummary[[#This Row],[Desde]],TableDailySummary[Fecha],"&lt;="&amp;TableWeeklySummary[[#This Row],[Hasta]])</f>
        <v>0</v>
      </c>
      <c r="G236" s="11">
        <f>IFERROR(TableWeeklySummary[[#This Row],[Ventas netas totales]]/TableWeeklySummary[[#This Row],[Órdenes totales]],0)</f>
        <v>0</v>
      </c>
      <c r="H23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7.7272727272727276E-3</v>
      </c>
      <c r="I236" s="11">
        <f>TableWeeklySummary[[#This Row],[Órden promedio totales]]*TableWeeklySummary[[#This Row],[CR totales]]</f>
        <v>0</v>
      </c>
      <c r="J236" s="11">
        <f>SUMIFS(TableDailySummary[Ventas primer cliente],TableDailySummary[Fecha],"&gt;="&amp;TableWeeklySummary[[#This Row],[Desde]],TableDailySummary[Fecha],"&lt;="&amp;TableWeeklySummary[[#This Row],[Hasta]])</f>
        <v>0</v>
      </c>
      <c r="K236" s="11">
        <f>SUMIFS(TableDailySummary[Órdenes primer cliente],TableDailySummary[Fecha],"&gt;="&amp;TableWeeklySummary[[#This Row],[Desde]],TableDailySummary[Fecha],"&lt;="&amp;TableWeeklySummary[[#This Row],[Hasta]])</f>
        <v>0</v>
      </c>
      <c r="L236" s="11">
        <f>SUMIFS(TableDailySummary[Online Store_net_sales],TableDailySummary[Fecha],"&gt;="&amp;TableWeeklySummary[[#This Row],[Desde]],TableDailySummary[Fecha],"&lt;="&amp;TableWeeklySummary[[#This Row],[Hasta]])</f>
        <v>0</v>
      </c>
      <c r="M236" s="11">
        <f>SUMIFS(TableDailySummary[Online Store_orders],TableDailySummary[Fecha],"&gt;="&amp;TableWeeklySummary[[#This Row],[Desde]],TableDailySummary[Fecha],"&lt;="&amp;TableWeeklySummary[[#This Row],[Hasta]])</f>
        <v>0</v>
      </c>
      <c r="N236" s="11">
        <f>SUMIFS(TableDailySummary[Tienda 81_net_sales],TableDailySummary[Fecha],"&gt;="&amp;TableWeeklySummary[[#This Row],[Desde]],TableDailySummary[Fecha],"&lt;="&amp;TableWeeklySummary[[#This Row],[Hasta]])</f>
        <v>0</v>
      </c>
      <c r="O236" s="11">
        <f>SUMIFS(TableDailySummary[Tienda 81_orders],TableDailySummary[Fecha],"&gt;="&amp;TableWeeklySummary[[#This Row],[Desde]],TableDailySummary[Fecha],"&lt;="&amp;TableWeeklySummary[[#This Row],[Hasta]])</f>
        <v>0</v>
      </c>
      <c r="P236" s="11">
        <f>SUMIFS(TableDailySummary[Rappi_net_sales],TableDailySummary[Fecha],"&gt;="&amp;TableWeeklySummary[[#This Row],[Desde]],TableDailySummary[Fecha],"&lt;="&amp;TableWeeklySummary[[#This Row],[Hasta]])</f>
        <v>0</v>
      </c>
      <c r="Q236" s="11">
        <f>SUMIFS(TableDailySummary[Rappi_orders],TableDailySummary[Fecha],"&gt;="&amp;TableWeeklySummary[[#This Row],[Desde]],TableDailySummary[Fecha],"&lt;="&amp;TableWeeklySummary[[#This Row],[Hasta]])</f>
        <v>0</v>
      </c>
      <c r="R23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6" s="11">
        <f>SUMIFS(TableDailySummary[Corporativo no tienda_orders],TableDailySummary[Fecha],"&gt;="&amp;TableWeeklySummary[[#This Row],[Desde]],TableDailySummary[Fecha],"&lt;="&amp;TableWeeklySummary[[#This Row],[Hasta]])</f>
        <v>0</v>
      </c>
      <c r="T236" s="11">
        <f>SUMIFS(TableDailySummary[Inversión google ads],TableDailySummary[Fecha],"&gt;="&amp;TableWeeklySummary[[#This Row],[Desde]],TableDailySummary[Fecha],"&lt;="&amp;TableWeeklySummary[[#This Row],[Hasta]])</f>
        <v>0</v>
      </c>
      <c r="U236" s="11">
        <f>SUMIFS(TableDailySummary[Ventas google ads],TableDailySummary[Fecha],"&gt;="&amp;TableWeeklySummary[[#This Row],[Desde]],TableDailySummary[Fecha],"&lt;="&amp;TableWeeklySummary[[#This Row],[Hasta]])</f>
        <v>0</v>
      </c>
      <c r="V236" s="11">
        <f>SUMIFS(TableDailySummary[Inversión meta ads],TableDailySummary[Fecha],"&gt;="&amp;TableWeeklySummary[[#This Row],[Desde]],TableDailySummary[Fecha],"&lt;="&amp;TableWeeklySummary[[#This Row],[Hasta]])</f>
        <v>0</v>
      </c>
      <c r="W236" s="11">
        <f>SUMIFS(TableDailySummary[Ventas meta ads],TableDailySummary[Fecha],"&gt;="&amp;TableWeeklySummary[[#This Row],[Desde]],TableDailySummary[Fecha],"&lt;="&amp;TableWeeklySummary[[#This Row],[Hasta]])</f>
        <v>0</v>
      </c>
      <c r="X236" s="11">
        <f>TableWeeklySummary[[#This Row],[Inversión google ads]]+TableWeeklySummary[[#This Row],[Inversión meta ads]]</f>
        <v>0</v>
      </c>
      <c r="Y236" s="11">
        <f>TableWeeklySummary[[#This Row],[Ventas google ads]]+TableWeeklySummary[[#This Row],[Ventas meta ads]]</f>
        <v>0</v>
      </c>
      <c r="Z236" s="14">
        <f>IFERROR(TableWeeklySummary[[#This Row],[Ventas publicidad]]/TableWeeklySummary[[#This Row],[Inversión publicidad]],0)</f>
        <v>0</v>
      </c>
      <c r="AA236" s="14">
        <f>IFERROR(TableWeeklySummary[[#This Row],[Ventas primer cliente]]/TableWeeklySummary[[#This Row],[Inversión publicidad]],0)</f>
        <v>0</v>
      </c>
      <c r="AB236" s="14"/>
      <c r="AC236" s="11"/>
      <c r="AI23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6" s="11">
        <f>SUMIFS(TableDailySummary[Costo de ventas registrado],TableDailySummary[Fecha],"&gt;="&amp;TableWeeklySummary[[#This Row],[Desde]],TableDailySummary[Fecha],"&lt;="&amp;TableWeeklySummary[[#This Row],[Hasta]])</f>
        <v>0</v>
      </c>
      <c r="AK236" s="11">
        <f>SUMIFS(TableDailySummary[Utilidad bruta],TableDailySummary[Fecha],"&gt;="&amp;TableWeeklySummary[[#This Row],[Desde]],TableDailySummary[Fecha],"&lt;="&amp;TableWeeklySummary[[#This Row],[Hasta]])</f>
        <v>0</v>
      </c>
      <c r="AL236" s="18">
        <f>IFERROR(TableWeeklySummary[[#This Row],[Utilidad bruta]]/TableWeeklySummary[[#This Row],[Ventas netas con costo registrado]],0)</f>
        <v>0</v>
      </c>
    </row>
    <row r="237" spans="2:38" x14ac:dyDescent="0.2">
      <c r="B237" s="16">
        <f>_xlfn.ISOWEEKNUM(TableWeeklySummary[[#This Row],[Hasta]])</f>
        <v>18</v>
      </c>
      <c r="C237" s="6">
        <f t="shared" si="5"/>
        <v>46136</v>
      </c>
      <c r="D237" s="6">
        <f>TableWeeklySummary[[#This Row],[Desde]]+7-1</f>
        <v>46142</v>
      </c>
      <c r="E237" s="11">
        <f>SUMIFS(TableDailySummary[Ventas netas totales],TableDailySummary[Fecha],"&gt;="&amp;TableWeeklySummary[[#This Row],[Desde]],TableDailySummary[Fecha],"&lt;="&amp;TableWeeklySummary[[#This Row],[Hasta]])</f>
        <v>0</v>
      </c>
      <c r="F237" s="11">
        <f>SUMIFS(TableDailySummary[Órdenes totales],TableDailySummary[Fecha],"&gt;="&amp;TableWeeklySummary[[#This Row],[Desde]],TableDailySummary[Fecha],"&lt;="&amp;TableWeeklySummary[[#This Row],[Hasta]])</f>
        <v>0</v>
      </c>
      <c r="G237" s="11">
        <f>IFERROR(TableWeeklySummary[[#This Row],[Ventas netas totales]]/TableWeeklySummary[[#This Row],[Órdenes totales]],0)</f>
        <v>0</v>
      </c>
      <c r="H23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1.0774606872451952E-2</v>
      </c>
      <c r="I237" s="11">
        <f>TableWeeklySummary[[#This Row],[Órden promedio totales]]*TableWeeklySummary[[#This Row],[CR totales]]</f>
        <v>0</v>
      </c>
      <c r="J237" s="11">
        <f>SUMIFS(TableDailySummary[Ventas primer cliente],TableDailySummary[Fecha],"&gt;="&amp;TableWeeklySummary[[#This Row],[Desde]],TableDailySummary[Fecha],"&lt;="&amp;TableWeeklySummary[[#This Row],[Hasta]])</f>
        <v>0</v>
      </c>
      <c r="K237" s="11">
        <f>SUMIFS(TableDailySummary[Órdenes primer cliente],TableDailySummary[Fecha],"&gt;="&amp;TableWeeklySummary[[#This Row],[Desde]],TableDailySummary[Fecha],"&lt;="&amp;TableWeeklySummary[[#This Row],[Hasta]])</f>
        <v>0</v>
      </c>
      <c r="L237" s="11">
        <f>SUMIFS(TableDailySummary[Online Store_net_sales],TableDailySummary[Fecha],"&gt;="&amp;TableWeeklySummary[[#This Row],[Desde]],TableDailySummary[Fecha],"&lt;="&amp;TableWeeklySummary[[#This Row],[Hasta]])</f>
        <v>0</v>
      </c>
      <c r="M237" s="11">
        <f>SUMIFS(TableDailySummary[Online Store_orders],TableDailySummary[Fecha],"&gt;="&amp;TableWeeklySummary[[#This Row],[Desde]],TableDailySummary[Fecha],"&lt;="&amp;TableWeeklySummary[[#This Row],[Hasta]])</f>
        <v>0</v>
      </c>
      <c r="N237" s="11">
        <f>SUMIFS(TableDailySummary[Tienda 81_net_sales],TableDailySummary[Fecha],"&gt;="&amp;TableWeeklySummary[[#This Row],[Desde]],TableDailySummary[Fecha],"&lt;="&amp;TableWeeklySummary[[#This Row],[Hasta]])</f>
        <v>0</v>
      </c>
      <c r="O237" s="11">
        <f>SUMIFS(TableDailySummary[Tienda 81_orders],TableDailySummary[Fecha],"&gt;="&amp;TableWeeklySummary[[#This Row],[Desde]],TableDailySummary[Fecha],"&lt;="&amp;TableWeeklySummary[[#This Row],[Hasta]])</f>
        <v>0</v>
      </c>
      <c r="P237" s="11">
        <f>SUMIFS(TableDailySummary[Rappi_net_sales],TableDailySummary[Fecha],"&gt;="&amp;TableWeeklySummary[[#This Row],[Desde]],TableDailySummary[Fecha],"&lt;="&amp;TableWeeklySummary[[#This Row],[Hasta]])</f>
        <v>0</v>
      </c>
      <c r="Q237" s="11">
        <f>SUMIFS(TableDailySummary[Rappi_orders],TableDailySummary[Fecha],"&gt;="&amp;TableWeeklySummary[[#This Row],[Desde]],TableDailySummary[Fecha],"&lt;="&amp;TableWeeklySummary[[#This Row],[Hasta]])</f>
        <v>0</v>
      </c>
      <c r="R23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7" s="11">
        <f>SUMIFS(TableDailySummary[Corporativo no tienda_orders],TableDailySummary[Fecha],"&gt;="&amp;TableWeeklySummary[[#This Row],[Desde]],TableDailySummary[Fecha],"&lt;="&amp;TableWeeklySummary[[#This Row],[Hasta]])</f>
        <v>0</v>
      </c>
      <c r="T237" s="11">
        <f>SUMIFS(TableDailySummary[Inversión google ads],TableDailySummary[Fecha],"&gt;="&amp;TableWeeklySummary[[#This Row],[Desde]],TableDailySummary[Fecha],"&lt;="&amp;TableWeeklySummary[[#This Row],[Hasta]])</f>
        <v>0</v>
      </c>
      <c r="U237" s="11">
        <f>SUMIFS(TableDailySummary[Ventas google ads],TableDailySummary[Fecha],"&gt;="&amp;TableWeeklySummary[[#This Row],[Desde]],TableDailySummary[Fecha],"&lt;="&amp;TableWeeklySummary[[#This Row],[Hasta]])</f>
        <v>0</v>
      </c>
      <c r="V237" s="11">
        <f>SUMIFS(TableDailySummary[Inversión meta ads],TableDailySummary[Fecha],"&gt;="&amp;TableWeeklySummary[[#This Row],[Desde]],TableDailySummary[Fecha],"&lt;="&amp;TableWeeklySummary[[#This Row],[Hasta]])</f>
        <v>0</v>
      </c>
      <c r="W237" s="11">
        <f>SUMIFS(TableDailySummary[Ventas meta ads],TableDailySummary[Fecha],"&gt;="&amp;TableWeeklySummary[[#This Row],[Desde]],TableDailySummary[Fecha],"&lt;="&amp;TableWeeklySummary[[#This Row],[Hasta]])</f>
        <v>0</v>
      </c>
      <c r="X237" s="11">
        <f>TableWeeklySummary[[#This Row],[Inversión google ads]]+TableWeeklySummary[[#This Row],[Inversión meta ads]]</f>
        <v>0</v>
      </c>
      <c r="Y237" s="11">
        <f>TableWeeklySummary[[#This Row],[Ventas google ads]]+TableWeeklySummary[[#This Row],[Ventas meta ads]]</f>
        <v>0</v>
      </c>
      <c r="Z237" s="14">
        <f>IFERROR(TableWeeklySummary[[#This Row],[Ventas publicidad]]/TableWeeklySummary[[#This Row],[Inversión publicidad]],0)</f>
        <v>0</v>
      </c>
      <c r="AA237" s="14">
        <f>IFERROR(TableWeeklySummary[[#This Row],[Ventas primer cliente]]/TableWeeklySummary[[#This Row],[Inversión publicidad]],0)</f>
        <v>0</v>
      </c>
      <c r="AB237" s="14"/>
      <c r="AC237" s="11"/>
      <c r="AI23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7" s="11">
        <f>SUMIFS(TableDailySummary[Costo de ventas registrado],TableDailySummary[Fecha],"&gt;="&amp;TableWeeklySummary[[#This Row],[Desde]],TableDailySummary[Fecha],"&lt;="&amp;TableWeeklySummary[[#This Row],[Hasta]])</f>
        <v>0</v>
      </c>
      <c r="AK237" s="11">
        <f>SUMIFS(TableDailySummary[Utilidad bruta],TableDailySummary[Fecha],"&gt;="&amp;TableWeeklySummary[[#This Row],[Desde]],TableDailySummary[Fecha],"&lt;="&amp;TableWeeklySummary[[#This Row],[Hasta]])</f>
        <v>0</v>
      </c>
      <c r="AL237" s="18">
        <f>IFERROR(TableWeeklySummary[[#This Row],[Utilidad bruta]]/TableWeeklySummary[[#This Row],[Ventas netas con costo registrado]],0)</f>
        <v>0</v>
      </c>
    </row>
    <row r="238" spans="2:38" x14ac:dyDescent="0.2">
      <c r="B238" s="16">
        <f>_xlfn.ISOWEEKNUM(TableWeeklySummary[[#This Row],[Hasta]])</f>
        <v>19</v>
      </c>
      <c r="C238" s="6">
        <f t="shared" si="5"/>
        <v>46143</v>
      </c>
      <c r="D238" s="6">
        <f>TableWeeklySummary[[#This Row],[Desde]]+7-1</f>
        <v>46149</v>
      </c>
      <c r="E238" s="11">
        <f>SUMIFS(TableDailySummary[Ventas netas totales],TableDailySummary[Fecha],"&gt;="&amp;TableWeeklySummary[[#This Row],[Desde]],TableDailySummary[Fecha],"&lt;="&amp;TableWeeklySummary[[#This Row],[Hasta]])</f>
        <v>0</v>
      </c>
      <c r="F238" s="11">
        <f>SUMIFS(TableDailySummary[Órdenes totales],TableDailySummary[Fecha],"&gt;="&amp;TableWeeklySummary[[#This Row],[Desde]],TableDailySummary[Fecha],"&lt;="&amp;TableWeeklySummary[[#This Row],[Hasta]])</f>
        <v>0</v>
      </c>
      <c r="G238" s="11">
        <f>IFERROR(TableWeeklySummary[[#This Row],[Ventas netas totales]]/TableWeeklySummary[[#This Row],[Órdenes totales]],0)</f>
        <v>0</v>
      </c>
      <c r="H23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38" s="11">
        <f>TableWeeklySummary[[#This Row],[Órden promedio totales]]*TableWeeklySummary[[#This Row],[CR totales]]</f>
        <v>0</v>
      </c>
      <c r="J238" s="11">
        <f>SUMIFS(TableDailySummary[Ventas primer cliente],TableDailySummary[Fecha],"&gt;="&amp;TableWeeklySummary[[#This Row],[Desde]],TableDailySummary[Fecha],"&lt;="&amp;TableWeeklySummary[[#This Row],[Hasta]])</f>
        <v>0</v>
      </c>
      <c r="K238" s="11">
        <f>SUMIFS(TableDailySummary[Órdenes primer cliente],TableDailySummary[Fecha],"&gt;="&amp;TableWeeklySummary[[#This Row],[Desde]],TableDailySummary[Fecha],"&lt;="&amp;TableWeeklySummary[[#This Row],[Hasta]])</f>
        <v>0</v>
      </c>
      <c r="L238" s="11">
        <f>SUMIFS(TableDailySummary[Online Store_net_sales],TableDailySummary[Fecha],"&gt;="&amp;TableWeeklySummary[[#This Row],[Desde]],TableDailySummary[Fecha],"&lt;="&amp;TableWeeklySummary[[#This Row],[Hasta]])</f>
        <v>0</v>
      </c>
      <c r="M238" s="11">
        <f>SUMIFS(TableDailySummary[Online Store_orders],TableDailySummary[Fecha],"&gt;="&amp;TableWeeklySummary[[#This Row],[Desde]],TableDailySummary[Fecha],"&lt;="&amp;TableWeeklySummary[[#This Row],[Hasta]])</f>
        <v>0</v>
      </c>
      <c r="N238" s="11">
        <f>SUMIFS(TableDailySummary[Tienda 81_net_sales],TableDailySummary[Fecha],"&gt;="&amp;TableWeeklySummary[[#This Row],[Desde]],TableDailySummary[Fecha],"&lt;="&amp;TableWeeklySummary[[#This Row],[Hasta]])</f>
        <v>0</v>
      </c>
      <c r="O238" s="11">
        <f>SUMIFS(TableDailySummary[Tienda 81_orders],TableDailySummary[Fecha],"&gt;="&amp;TableWeeklySummary[[#This Row],[Desde]],TableDailySummary[Fecha],"&lt;="&amp;TableWeeklySummary[[#This Row],[Hasta]])</f>
        <v>0</v>
      </c>
      <c r="P238" s="11">
        <f>SUMIFS(TableDailySummary[Rappi_net_sales],TableDailySummary[Fecha],"&gt;="&amp;TableWeeklySummary[[#This Row],[Desde]],TableDailySummary[Fecha],"&lt;="&amp;TableWeeklySummary[[#This Row],[Hasta]])</f>
        <v>0</v>
      </c>
      <c r="Q238" s="11">
        <f>SUMIFS(TableDailySummary[Rappi_orders],TableDailySummary[Fecha],"&gt;="&amp;TableWeeklySummary[[#This Row],[Desde]],TableDailySummary[Fecha],"&lt;="&amp;TableWeeklySummary[[#This Row],[Hasta]])</f>
        <v>0</v>
      </c>
      <c r="R23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8" s="11">
        <f>SUMIFS(TableDailySummary[Corporativo no tienda_orders],TableDailySummary[Fecha],"&gt;="&amp;TableWeeklySummary[[#This Row],[Desde]],TableDailySummary[Fecha],"&lt;="&amp;TableWeeklySummary[[#This Row],[Hasta]])</f>
        <v>0</v>
      </c>
      <c r="T238" s="11">
        <f>SUMIFS(TableDailySummary[Inversión google ads],TableDailySummary[Fecha],"&gt;="&amp;TableWeeklySummary[[#This Row],[Desde]],TableDailySummary[Fecha],"&lt;="&amp;TableWeeklySummary[[#This Row],[Hasta]])</f>
        <v>0</v>
      </c>
      <c r="U238" s="11">
        <f>SUMIFS(TableDailySummary[Ventas google ads],TableDailySummary[Fecha],"&gt;="&amp;TableWeeklySummary[[#This Row],[Desde]],TableDailySummary[Fecha],"&lt;="&amp;TableWeeklySummary[[#This Row],[Hasta]])</f>
        <v>0</v>
      </c>
      <c r="V238" s="11">
        <f>SUMIFS(TableDailySummary[Inversión meta ads],TableDailySummary[Fecha],"&gt;="&amp;TableWeeklySummary[[#This Row],[Desde]],TableDailySummary[Fecha],"&lt;="&amp;TableWeeklySummary[[#This Row],[Hasta]])</f>
        <v>0</v>
      </c>
      <c r="W238" s="11">
        <f>SUMIFS(TableDailySummary[Ventas meta ads],TableDailySummary[Fecha],"&gt;="&amp;TableWeeklySummary[[#This Row],[Desde]],TableDailySummary[Fecha],"&lt;="&amp;TableWeeklySummary[[#This Row],[Hasta]])</f>
        <v>0</v>
      </c>
      <c r="X238" s="11">
        <f>TableWeeklySummary[[#This Row],[Inversión google ads]]+TableWeeklySummary[[#This Row],[Inversión meta ads]]</f>
        <v>0</v>
      </c>
      <c r="Y238" s="11">
        <f>TableWeeklySummary[[#This Row],[Ventas google ads]]+TableWeeklySummary[[#This Row],[Ventas meta ads]]</f>
        <v>0</v>
      </c>
      <c r="Z238" s="14">
        <f>IFERROR(TableWeeklySummary[[#This Row],[Ventas publicidad]]/TableWeeklySummary[[#This Row],[Inversión publicidad]],0)</f>
        <v>0</v>
      </c>
      <c r="AA238" s="14">
        <f>IFERROR(TableWeeklySummary[[#This Row],[Ventas primer cliente]]/TableWeeklySummary[[#This Row],[Inversión publicidad]],0)</f>
        <v>0</v>
      </c>
      <c r="AB238" s="14"/>
      <c r="AC238" s="11"/>
      <c r="AI23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8" s="11">
        <f>SUMIFS(TableDailySummary[Costo de ventas registrado],TableDailySummary[Fecha],"&gt;="&amp;TableWeeklySummary[[#This Row],[Desde]],TableDailySummary[Fecha],"&lt;="&amp;TableWeeklySummary[[#This Row],[Hasta]])</f>
        <v>0</v>
      </c>
      <c r="AK238" s="11">
        <f>SUMIFS(TableDailySummary[Utilidad bruta],TableDailySummary[Fecha],"&gt;="&amp;TableWeeklySummary[[#This Row],[Desde]],TableDailySummary[Fecha],"&lt;="&amp;TableWeeklySummary[[#This Row],[Hasta]])</f>
        <v>0</v>
      </c>
      <c r="AL238" s="18">
        <f>IFERROR(TableWeeklySummary[[#This Row],[Utilidad bruta]]/TableWeeklySummary[[#This Row],[Ventas netas con costo registrado]],0)</f>
        <v>0</v>
      </c>
    </row>
    <row r="239" spans="2:38" x14ac:dyDescent="0.2">
      <c r="B239" s="16">
        <f>_xlfn.ISOWEEKNUM(TableWeeklySummary[[#This Row],[Hasta]])</f>
        <v>20</v>
      </c>
      <c r="C239" s="6">
        <f t="shared" si="5"/>
        <v>46150</v>
      </c>
      <c r="D239" s="6">
        <f>TableWeeklySummary[[#This Row],[Desde]]+7-1</f>
        <v>46156</v>
      </c>
      <c r="E239" s="11">
        <f>SUMIFS(TableDailySummary[Ventas netas totales],TableDailySummary[Fecha],"&gt;="&amp;TableWeeklySummary[[#This Row],[Desde]],TableDailySummary[Fecha],"&lt;="&amp;TableWeeklySummary[[#This Row],[Hasta]])</f>
        <v>0</v>
      </c>
      <c r="F239" s="11">
        <f>SUMIFS(TableDailySummary[Órdenes totales],TableDailySummary[Fecha],"&gt;="&amp;TableWeeklySummary[[#This Row],[Desde]],TableDailySummary[Fecha],"&lt;="&amp;TableWeeklySummary[[#This Row],[Hasta]])</f>
        <v>0</v>
      </c>
      <c r="G239" s="11">
        <f>IFERROR(TableWeeklySummary[[#This Row],[Ventas netas totales]]/TableWeeklySummary[[#This Row],[Órdenes totales]],0)</f>
        <v>0</v>
      </c>
      <c r="H23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39" s="11">
        <f>TableWeeklySummary[[#This Row],[Órden promedio totales]]*TableWeeklySummary[[#This Row],[CR totales]]</f>
        <v>0</v>
      </c>
      <c r="J239" s="11">
        <f>SUMIFS(TableDailySummary[Ventas primer cliente],TableDailySummary[Fecha],"&gt;="&amp;TableWeeklySummary[[#This Row],[Desde]],TableDailySummary[Fecha],"&lt;="&amp;TableWeeklySummary[[#This Row],[Hasta]])</f>
        <v>0</v>
      </c>
      <c r="K239" s="11">
        <f>SUMIFS(TableDailySummary[Órdenes primer cliente],TableDailySummary[Fecha],"&gt;="&amp;TableWeeklySummary[[#This Row],[Desde]],TableDailySummary[Fecha],"&lt;="&amp;TableWeeklySummary[[#This Row],[Hasta]])</f>
        <v>0</v>
      </c>
      <c r="L239" s="11">
        <f>SUMIFS(TableDailySummary[Online Store_net_sales],TableDailySummary[Fecha],"&gt;="&amp;TableWeeklySummary[[#This Row],[Desde]],TableDailySummary[Fecha],"&lt;="&amp;TableWeeklySummary[[#This Row],[Hasta]])</f>
        <v>0</v>
      </c>
      <c r="M239" s="11">
        <f>SUMIFS(TableDailySummary[Online Store_orders],TableDailySummary[Fecha],"&gt;="&amp;TableWeeklySummary[[#This Row],[Desde]],TableDailySummary[Fecha],"&lt;="&amp;TableWeeklySummary[[#This Row],[Hasta]])</f>
        <v>0</v>
      </c>
      <c r="N239" s="11">
        <f>SUMIFS(TableDailySummary[Tienda 81_net_sales],TableDailySummary[Fecha],"&gt;="&amp;TableWeeklySummary[[#This Row],[Desde]],TableDailySummary[Fecha],"&lt;="&amp;TableWeeklySummary[[#This Row],[Hasta]])</f>
        <v>0</v>
      </c>
      <c r="O239" s="11">
        <f>SUMIFS(TableDailySummary[Tienda 81_orders],TableDailySummary[Fecha],"&gt;="&amp;TableWeeklySummary[[#This Row],[Desde]],TableDailySummary[Fecha],"&lt;="&amp;TableWeeklySummary[[#This Row],[Hasta]])</f>
        <v>0</v>
      </c>
      <c r="P239" s="11">
        <f>SUMIFS(TableDailySummary[Rappi_net_sales],TableDailySummary[Fecha],"&gt;="&amp;TableWeeklySummary[[#This Row],[Desde]],TableDailySummary[Fecha],"&lt;="&amp;TableWeeklySummary[[#This Row],[Hasta]])</f>
        <v>0</v>
      </c>
      <c r="Q239" s="11">
        <f>SUMIFS(TableDailySummary[Rappi_orders],TableDailySummary[Fecha],"&gt;="&amp;TableWeeklySummary[[#This Row],[Desde]],TableDailySummary[Fecha],"&lt;="&amp;TableWeeklySummary[[#This Row],[Hasta]])</f>
        <v>0</v>
      </c>
      <c r="R23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39" s="11">
        <f>SUMIFS(TableDailySummary[Corporativo no tienda_orders],TableDailySummary[Fecha],"&gt;="&amp;TableWeeklySummary[[#This Row],[Desde]],TableDailySummary[Fecha],"&lt;="&amp;TableWeeklySummary[[#This Row],[Hasta]])</f>
        <v>0</v>
      </c>
      <c r="T239" s="11">
        <f>SUMIFS(TableDailySummary[Inversión google ads],TableDailySummary[Fecha],"&gt;="&amp;TableWeeklySummary[[#This Row],[Desde]],TableDailySummary[Fecha],"&lt;="&amp;TableWeeklySummary[[#This Row],[Hasta]])</f>
        <v>0</v>
      </c>
      <c r="U239" s="11">
        <f>SUMIFS(TableDailySummary[Ventas google ads],TableDailySummary[Fecha],"&gt;="&amp;TableWeeklySummary[[#This Row],[Desde]],TableDailySummary[Fecha],"&lt;="&amp;TableWeeklySummary[[#This Row],[Hasta]])</f>
        <v>0</v>
      </c>
      <c r="V239" s="11">
        <f>SUMIFS(TableDailySummary[Inversión meta ads],TableDailySummary[Fecha],"&gt;="&amp;TableWeeklySummary[[#This Row],[Desde]],TableDailySummary[Fecha],"&lt;="&amp;TableWeeklySummary[[#This Row],[Hasta]])</f>
        <v>0</v>
      </c>
      <c r="W239" s="11">
        <f>SUMIFS(TableDailySummary[Ventas meta ads],TableDailySummary[Fecha],"&gt;="&amp;TableWeeklySummary[[#This Row],[Desde]],TableDailySummary[Fecha],"&lt;="&amp;TableWeeklySummary[[#This Row],[Hasta]])</f>
        <v>0</v>
      </c>
      <c r="X239" s="11">
        <f>TableWeeklySummary[[#This Row],[Inversión google ads]]+TableWeeklySummary[[#This Row],[Inversión meta ads]]</f>
        <v>0</v>
      </c>
      <c r="Y239" s="11">
        <f>TableWeeklySummary[[#This Row],[Ventas google ads]]+TableWeeklySummary[[#This Row],[Ventas meta ads]]</f>
        <v>0</v>
      </c>
      <c r="Z239" s="14">
        <f>IFERROR(TableWeeklySummary[[#This Row],[Ventas publicidad]]/TableWeeklySummary[[#This Row],[Inversión publicidad]],0)</f>
        <v>0</v>
      </c>
      <c r="AA239" s="14">
        <f>IFERROR(TableWeeklySummary[[#This Row],[Ventas primer cliente]]/TableWeeklySummary[[#This Row],[Inversión publicidad]],0)</f>
        <v>0</v>
      </c>
      <c r="AB239" s="14"/>
      <c r="AC239" s="11"/>
      <c r="AI23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39" s="11">
        <f>SUMIFS(TableDailySummary[Costo de ventas registrado],TableDailySummary[Fecha],"&gt;="&amp;TableWeeklySummary[[#This Row],[Desde]],TableDailySummary[Fecha],"&lt;="&amp;TableWeeklySummary[[#This Row],[Hasta]])</f>
        <v>0</v>
      </c>
      <c r="AK239" s="11">
        <f>SUMIFS(TableDailySummary[Utilidad bruta],TableDailySummary[Fecha],"&gt;="&amp;TableWeeklySummary[[#This Row],[Desde]],TableDailySummary[Fecha],"&lt;="&amp;TableWeeklySummary[[#This Row],[Hasta]])</f>
        <v>0</v>
      </c>
      <c r="AL239" s="18">
        <f>IFERROR(TableWeeklySummary[[#This Row],[Utilidad bruta]]/TableWeeklySummary[[#This Row],[Ventas netas con costo registrado]],0)</f>
        <v>0</v>
      </c>
    </row>
    <row r="240" spans="2:38" x14ac:dyDescent="0.2">
      <c r="B240" s="16">
        <f>_xlfn.ISOWEEKNUM(TableWeeklySummary[[#This Row],[Hasta]])</f>
        <v>21</v>
      </c>
      <c r="C240" s="6">
        <f t="shared" si="5"/>
        <v>46157</v>
      </c>
      <c r="D240" s="6">
        <f>TableWeeklySummary[[#This Row],[Desde]]+7-1</f>
        <v>46163</v>
      </c>
      <c r="E240" s="11">
        <f>SUMIFS(TableDailySummary[Ventas netas totales],TableDailySummary[Fecha],"&gt;="&amp;TableWeeklySummary[[#This Row],[Desde]],TableDailySummary[Fecha],"&lt;="&amp;TableWeeklySummary[[#This Row],[Hasta]])</f>
        <v>0</v>
      </c>
      <c r="F240" s="11">
        <f>SUMIFS(TableDailySummary[Órdenes totales],TableDailySummary[Fecha],"&gt;="&amp;TableWeeklySummary[[#This Row],[Desde]],TableDailySummary[Fecha],"&lt;="&amp;TableWeeklySummary[[#This Row],[Hasta]])</f>
        <v>0</v>
      </c>
      <c r="G240" s="11">
        <f>IFERROR(TableWeeklySummary[[#This Row],[Ventas netas totales]]/TableWeeklySummary[[#This Row],[Órdenes totales]],0)</f>
        <v>0</v>
      </c>
      <c r="H24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0" s="11">
        <f>TableWeeklySummary[[#This Row],[Órden promedio totales]]*TableWeeklySummary[[#This Row],[CR totales]]</f>
        <v>0</v>
      </c>
      <c r="J240" s="11">
        <f>SUMIFS(TableDailySummary[Ventas primer cliente],TableDailySummary[Fecha],"&gt;="&amp;TableWeeklySummary[[#This Row],[Desde]],TableDailySummary[Fecha],"&lt;="&amp;TableWeeklySummary[[#This Row],[Hasta]])</f>
        <v>0</v>
      </c>
      <c r="K240" s="11">
        <f>SUMIFS(TableDailySummary[Órdenes primer cliente],TableDailySummary[Fecha],"&gt;="&amp;TableWeeklySummary[[#This Row],[Desde]],TableDailySummary[Fecha],"&lt;="&amp;TableWeeklySummary[[#This Row],[Hasta]])</f>
        <v>0</v>
      </c>
      <c r="L240" s="11">
        <f>SUMIFS(TableDailySummary[Online Store_net_sales],TableDailySummary[Fecha],"&gt;="&amp;TableWeeklySummary[[#This Row],[Desde]],TableDailySummary[Fecha],"&lt;="&amp;TableWeeklySummary[[#This Row],[Hasta]])</f>
        <v>0</v>
      </c>
      <c r="M240" s="11">
        <f>SUMIFS(TableDailySummary[Online Store_orders],TableDailySummary[Fecha],"&gt;="&amp;TableWeeklySummary[[#This Row],[Desde]],TableDailySummary[Fecha],"&lt;="&amp;TableWeeklySummary[[#This Row],[Hasta]])</f>
        <v>0</v>
      </c>
      <c r="N240" s="11">
        <f>SUMIFS(TableDailySummary[Tienda 81_net_sales],TableDailySummary[Fecha],"&gt;="&amp;TableWeeklySummary[[#This Row],[Desde]],TableDailySummary[Fecha],"&lt;="&amp;TableWeeklySummary[[#This Row],[Hasta]])</f>
        <v>0</v>
      </c>
      <c r="O240" s="11">
        <f>SUMIFS(TableDailySummary[Tienda 81_orders],TableDailySummary[Fecha],"&gt;="&amp;TableWeeklySummary[[#This Row],[Desde]],TableDailySummary[Fecha],"&lt;="&amp;TableWeeklySummary[[#This Row],[Hasta]])</f>
        <v>0</v>
      </c>
      <c r="P240" s="11">
        <f>SUMIFS(TableDailySummary[Rappi_net_sales],TableDailySummary[Fecha],"&gt;="&amp;TableWeeklySummary[[#This Row],[Desde]],TableDailySummary[Fecha],"&lt;="&amp;TableWeeklySummary[[#This Row],[Hasta]])</f>
        <v>0</v>
      </c>
      <c r="Q240" s="11">
        <f>SUMIFS(TableDailySummary[Rappi_orders],TableDailySummary[Fecha],"&gt;="&amp;TableWeeklySummary[[#This Row],[Desde]],TableDailySummary[Fecha],"&lt;="&amp;TableWeeklySummary[[#This Row],[Hasta]])</f>
        <v>0</v>
      </c>
      <c r="R24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0" s="11">
        <f>SUMIFS(TableDailySummary[Corporativo no tienda_orders],TableDailySummary[Fecha],"&gt;="&amp;TableWeeklySummary[[#This Row],[Desde]],TableDailySummary[Fecha],"&lt;="&amp;TableWeeklySummary[[#This Row],[Hasta]])</f>
        <v>0</v>
      </c>
      <c r="T240" s="11">
        <f>SUMIFS(TableDailySummary[Inversión google ads],TableDailySummary[Fecha],"&gt;="&amp;TableWeeklySummary[[#This Row],[Desde]],TableDailySummary[Fecha],"&lt;="&amp;TableWeeklySummary[[#This Row],[Hasta]])</f>
        <v>0</v>
      </c>
      <c r="U240" s="11">
        <f>SUMIFS(TableDailySummary[Ventas google ads],TableDailySummary[Fecha],"&gt;="&amp;TableWeeklySummary[[#This Row],[Desde]],TableDailySummary[Fecha],"&lt;="&amp;TableWeeklySummary[[#This Row],[Hasta]])</f>
        <v>0</v>
      </c>
      <c r="V240" s="11">
        <f>SUMIFS(TableDailySummary[Inversión meta ads],TableDailySummary[Fecha],"&gt;="&amp;TableWeeklySummary[[#This Row],[Desde]],TableDailySummary[Fecha],"&lt;="&amp;TableWeeklySummary[[#This Row],[Hasta]])</f>
        <v>0</v>
      </c>
      <c r="W240" s="11">
        <f>SUMIFS(TableDailySummary[Ventas meta ads],TableDailySummary[Fecha],"&gt;="&amp;TableWeeklySummary[[#This Row],[Desde]],TableDailySummary[Fecha],"&lt;="&amp;TableWeeklySummary[[#This Row],[Hasta]])</f>
        <v>0</v>
      </c>
      <c r="X240" s="11">
        <f>TableWeeklySummary[[#This Row],[Inversión google ads]]+TableWeeklySummary[[#This Row],[Inversión meta ads]]</f>
        <v>0</v>
      </c>
      <c r="Y240" s="11">
        <f>TableWeeklySummary[[#This Row],[Ventas google ads]]+TableWeeklySummary[[#This Row],[Ventas meta ads]]</f>
        <v>0</v>
      </c>
      <c r="Z240" s="14">
        <f>IFERROR(TableWeeklySummary[[#This Row],[Ventas publicidad]]/TableWeeklySummary[[#This Row],[Inversión publicidad]],0)</f>
        <v>0</v>
      </c>
      <c r="AA240" s="14">
        <f>IFERROR(TableWeeklySummary[[#This Row],[Ventas primer cliente]]/TableWeeklySummary[[#This Row],[Inversión publicidad]],0)</f>
        <v>0</v>
      </c>
      <c r="AB240" s="14"/>
      <c r="AC240" s="11"/>
      <c r="AI24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0" s="11">
        <f>SUMIFS(TableDailySummary[Costo de ventas registrado],TableDailySummary[Fecha],"&gt;="&amp;TableWeeklySummary[[#This Row],[Desde]],TableDailySummary[Fecha],"&lt;="&amp;TableWeeklySummary[[#This Row],[Hasta]])</f>
        <v>0</v>
      </c>
      <c r="AK240" s="11">
        <f>SUMIFS(TableDailySummary[Utilidad bruta],TableDailySummary[Fecha],"&gt;="&amp;TableWeeklySummary[[#This Row],[Desde]],TableDailySummary[Fecha],"&lt;="&amp;TableWeeklySummary[[#This Row],[Hasta]])</f>
        <v>0</v>
      </c>
      <c r="AL240" s="18">
        <f>IFERROR(TableWeeklySummary[[#This Row],[Utilidad bruta]]/TableWeeklySummary[[#This Row],[Ventas netas con costo registrado]],0)</f>
        <v>0</v>
      </c>
    </row>
    <row r="241" spans="2:38" x14ac:dyDescent="0.2">
      <c r="B241" s="16">
        <f>_xlfn.ISOWEEKNUM(TableWeeklySummary[[#This Row],[Hasta]])</f>
        <v>22</v>
      </c>
      <c r="C241" s="6">
        <f t="shared" si="5"/>
        <v>46164</v>
      </c>
      <c r="D241" s="6">
        <f>TableWeeklySummary[[#This Row],[Desde]]+7-1</f>
        <v>46170</v>
      </c>
      <c r="E241" s="11">
        <f>SUMIFS(TableDailySummary[Ventas netas totales],TableDailySummary[Fecha],"&gt;="&amp;TableWeeklySummary[[#This Row],[Desde]],TableDailySummary[Fecha],"&lt;="&amp;TableWeeklySummary[[#This Row],[Hasta]])</f>
        <v>0</v>
      </c>
      <c r="F241" s="11">
        <f>SUMIFS(TableDailySummary[Órdenes totales],TableDailySummary[Fecha],"&gt;="&amp;TableWeeklySummary[[#This Row],[Desde]],TableDailySummary[Fecha],"&lt;="&amp;TableWeeklySummary[[#This Row],[Hasta]])</f>
        <v>0</v>
      </c>
      <c r="G241" s="11">
        <f>IFERROR(TableWeeklySummary[[#This Row],[Ventas netas totales]]/TableWeeklySummary[[#This Row],[Órdenes totales]],0)</f>
        <v>0</v>
      </c>
      <c r="H24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1" s="11">
        <f>TableWeeklySummary[[#This Row],[Órden promedio totales]]*TableWeeklySummary[[#This Row],[CR totales]]</f>
        <v>0</v>
      </c>
      <c r="J241" s="11">
        <f>SUMIFS(TableDailySummary[Ventas primer cliente],TableDailySummary[Fecha],"&gt;="&amp;TableWeeklySummary[[#This Row],[Desde]],TableDailySummary[Fecha],"&lt;="&amp;TableWeeklySummary[[#This Row],[Hasta]])</f>
        <v>0</v>
      </c>
      <c r="K241" s="11">
        <f>SUMIFS(TableDailySummary[Órdenes primer cliente],TableDailySummary[Fecha],"&gt;="&amp;TableWeeklySummary[[#This Row],[Desde]],TableDailySummary[Fecha],"&lt;="&amp;TableWeeklySummary[[#This Row],[Hasta]])</f>
        <v>0</v>
      </c>
      <c r="L241" s="11">
        <f>SUMIFS(TableDailySummary[Online Store_net_sales],TableDailySummary[Fecha],"&gt;="&amp;TableWeeklySummary[[#This Row],[Desde]],TableDailySummary[Fecha],"&lt;="&amp;TableWeeklySummary[[#This Row],[Hasta]])</f>
        <v>0</v>
      </c>
      <c r="M241" s="11">
        <f>SUMIFS(TableDailySummary[Online Store_orders],TableDailySummary[Fecha],"&gt;="&amp;TableWeeklySummary[[#This Row],[Desde]],TableDailySummary[Fecha],"&lt;="&amp;TableWeeklySummary[[#This Row],[Hasta]])</f>
        <v>0</v>
      </c>
      <c r="N241" s="11">
        <f>SUMIFS(TableDailySummary[Tienda 81_net_sales],TableDailySummary[Fecha],"&gt;="&amp;TableWeeklySummary[[#This Row],[Desde]],TableDailySummary[Fecha],"&lt;="&amp;TableWeeklySummary[[#This Row],[Hasta]])</f>
        <v>0</v>
      </c>
      <c r="O241" s="11">
        <f>SUMIFS(TableDailySummary[Tienda 81_orders],TableDailySummary[Fecha],"&gt;="&amp;TableWeeklySummary[[#This Row],[Desde]],TableDailySummary[Fecha],"&lt;="&amp;TableWeeklySummary[[#This Row],[Hasta]])</f>
        <v>0</v>
      </c>
      <c r="P241" s="11">
        <f>SUMIFS(TableDailySummary[Rappi_net_sales],TableDailySummary[Fecha],"&gt;="&amp;TableWeeklySummary[[#This Row],[Desde]],TableDailySummary[Fecha],"&lt;="&amp;TableWeeklySummary[[#This Row],[Hasta]])</f>
        <v>0</v>
      </c>
      <c r="Q241" s="11">
        <f>SUMIFS(TableDailySummary[Rappi_orders],TableDailySummary[Fecha],"&gt;="&amp;TableWeeklySummary[[#This Row],[Desde]],TableDailySummary[Fecha],"&lt;="&amp;TableWeeklySummary[[#This Row],[Hasta]])</f>
        <v>0</v>
      </c>
      <c r="R24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1" s="11">
        <f>SUMIFS(TableDailySummary[Corporativo no tienda_orders],TableDailySummary[Fecha],"&gt;="&amp;TableWeeklySummary[[#This Row],[Desde]],TableDailySummary[Fecha],"&lt;="&amp;TableWeeklySummary[[#This Row],[Hasta]])</f>
        <v>0</v>
      </c>
      <c r="T241" s="11">
        <f>SUMIFS(TableDailySummary[Inversión google ads],TableDailySummary[Fecha],"&gt;="&amp;TableWeeklySummary[[#This Row],[Desde]],TableDailySummary[Fecha],"&lt;="&amp;TableWeeklySummary[[#This Row],[Hasta]])</f>
        <v>0</v>
      </c>
      <c r="U241" s="11">
        <f>SUMIFS(TableDailySummary[Ventas google ads],TableDailySummary[Fecha],"&gt;="&amp;TableWeeklySummary[[#This Row],[Desde]],TableDailySummary[Fecha],"&lt;="&amp;TableWeeklySummary[[#This Row],[Hasta]])</f>
        <v>0</v>
      </c>
      <c r="V241" s="11">
        <f>SUMIFS(TableDailySummary[Inversión meta ads],TableDailySummary[Fecha],"&gt;="&amp;TableWeeklySummary[[#This Row],[Desde]],TableDailySummary[Fecha],"&lt;="&amp;TableWeeklySummary[[#This Row],[Hasta]])</f>
        <v>0</v>
      </c>
      <c r="W241" s="11">
        <f>SUMIFS(TableDailySummary[Ventas meta ads],TableDailySummary[Fecha],"&gt;="&amp;TableWeeklySummary[[#This Row],[Desde]],TableDailySummary[Fecha],"&lt;="&amp;TableWeeklySummary[[#This Row],[Hasta]])</f>
        <v>0</v>
      </c>
      <c r="X241" s="11">
        <f>TableWeeklySummary[[#This Row],[Inversión google ads]]+TableWeeklySummary[[#This Row],[Inversión meta ads]]</f>
        <v>0</v>
      </c>
      <c r="Y241" s="11">
        <f>TableWeeklySummary[[#This Row],[Ventas google ads]]+TableWeeklySummary[[#This Row],[Ventas meta ads]]</f>
        <v>0</v>
      </c>
      <c r="Z241" s="14">
        <f>IFERROR(TableWeeklySummary[[#This Row],[Ventas publicidad]]/TableWeeklySummary[[#This Row],[Inversión publicidad]],0)</f>
        <v>0</v>
      </c>
      <c r="AA241" s="14">
        <f>IFERROR(TableWeeklySummary[[#This Row],[Ventas primer cliente]]/TableWeeklySummary[[#This Row],[Inversión publicidad]],0)</f>
        <v>0</v>
      </c>
      <c r="AB241" s="14"/>
      <c r="AC241" s="11"/>
      <c r="AI24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1" s="11">
        <f>SUMIFS(TableDailySummary[Costo de ventas registrado],TableDailySummary[Fecha],"&gt;="&amp;TableWeeklySummary[[#This Row],[Desde]],TableDailySummary[Fecha],"&lt;="&amp;TableWeeklySummary[[#This Row],[Hasta]])</f>
        <v>0</v>
      </c>
      <c r="AK241" s="11">
        <f>SUMIFS(TableDailySummary[Utilidad bruta],TableDailySummary[Fecha],"&gt;="&amp;TableWeeklySummary[[#This Row],[Desde]],TableDailySummary[Fecha],"&lt;="&amp;TableWeeklySummary[[#This Row],[Hasta]])</f>
        <v>0</v>
      </c>
      <c r="AL241" s="18">
        <f>IFERROR(TableWeeklySummary[[#This Row],[Utilidad bruta]]/TableWeeklySummary[[#This Row],[Ventas netas con costo registrado]],0)</f>
        <v>0</v>
      </c>
    </row>
    <row r="242" spans="2:38" x14ac:dyDescent="0.2">
      <c r="B242" s="16">
        <f>_xlfn.ISOWEEKNUM(TableWeeklySummary[[#This Row],[Hasta]])</f>
        <v>23</v>
      </c>
      <c r="C242" s="6">
        <f t="shared" si="5"/>
        <v>46171</v>
      </c>
      <c r="D242" s="6">
        <f>TableWeeklySummary[[#This Row],[Desde]]+7-1</f>
        <v>46177</v>
      </c>
      <c r="E242" s="11">
        <f>SUMIFS(TableDailySummary[Ventas netas totales],TableDailySummary[Fecha],"&gt;="&amp;TableWeeklySummary[[#This Row],[Desde]],TableDailySummary[Fecha],"&lt;="&amp;TableWeeklySummary[[#This Row],[Hasta]])</f>
        <v>0</v>
      </c>
      <c r="F242" s="11">
        <f>SUMIFS(TableDailySummary[Órdenes totales],TableDailySummary[Fecha],"&gt;="&amp;TableWeeklySummary[[#This Row],[Desde]],TableDailySummary[Fecha],"&lt;="&amp;TableWeeklySummary[[#This Row],[Hasta]])</f>
        <v>0</v>
      </c>
      <c r="G242" s="11">
        <f>IFERROR(TableWeeklySummary[[#This Row],[Ventas netas totales]]/TableWeeklySummary[[#This Row],[Órdenes totales]],0)</f>
        <v>0</v>
      </c>
      <c r="H24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2" s="11">
        <f>TableWeeklySummary[[#This Row],[Órden promedio totales]]*TableWeeklySummary[[#This Row],[CR totales]]</f>
        <v>0</v>
      </c>
      <c r="J242" s="11">
        <f>SUMIFS(TableDailySummary[Ventas primer cliente],TableDailySummary[Fecha],"&gt;="&amp;TableWeeklySummary[[#This Row],[Desde]],TableDailySummary[Fecha],"&lt;="&amp;TableWeeklySummary[[#This Row],[Hasta]])</f>
        <v>0</v>
      </c>
      <c r="K242" s="11">
        <f>SUMIFS(TableDailySummary[Órdenes primer cliente],TableDailySummary[Fecha],"&gt;="&amp;TableWeeklySummary[[#This Row],[Desde]],TableDailySummary[Fecha],"&lt;="&amp;TableWeeklySummary[[#This Row],[Hasta]])</f>
        <v>0</v>
      </c>
      <c r="L242" s="11">
        <f>SUMIFS(TableDailySummary[Online Store_net_sales],TableDailySummary[Fecha],"&gt;="&amp;TableWeeklySummary[[#This Row],[Desde]],TableDailySummary[Fecha],"&lt;="&amp;TableWeeklySummary[[#This Row],[Hasta]])</f>
        <v>0</v>
      </c>
      <c r="M242" s="11">
        <f>SUMIFS(TableDailySummary[Online Store_orders],TableDailySummary[Fecha],"&gt;="&amp;TableWeeklySummary[[#This Row],[Desde]],TableDailySummary[Fecha],"&lt;="&amp;TableWeeklySummary[[#This Row],[Hasta]])</f>
        <v>0</v>
      </c>
      <c r="N242" s="11">
        <f>SUMIFS(TableDailySummary[Tienda 81_net_sales],TableDailySummary[Fecha],"&gt;="&amp;TableWeeklySummary[[#This Row],[Desde]],TableDailySummary[Fecha],"&lt;="&amp;TableWeeklySummary[[#This Row],[Hasta]])</f>
        <v>0</v>
      </c>
      <c r="O242" s="11">
        <f>SUMIFS(TableDailySummary[Tienda 81_orders],TableDailySummary[Fecha],"&gt;="&amp;TableWeeklySummary[[#This Row],[Desde]],TableDailySummary[Fecha],"&lt;="&amp;TableWeeklySummary[[#This Row],[Hasta]])</f>
        <v>0</v>
      </c>
      <c r="P242" s="11">
        <f>SUMIFS(TableDailySummary[Rappi_net_sales],TableDailySummary[Fecha],"&gt;="&amp;TableWeeklySummary[[#This Row],[Desde]],TableDailySummary[Fecha],"&lt;="&amp;TableWeeklySummary[[#This Row],[Hasta]])</f>
        <v>0</v>
      </c>
      <c r="Q242" s="11">
        <f>SUMIFS(TableDailySummary[Rappi_orders],TableDailySummary[Fecha],"&gt;="&amp;TableWeeklySummary[[#This Row],[Desde]],TableDailySummary[Fecha],"&lt;="&amp;TableWeeklySummary[[#This Row],[Hasta]])</f>
        <v>0</v>
      </c>
      <c r="R24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2" s="11">
        <f>SUMIFS(TableDailySummary[Corporativo no tienda_orders],TableDailySummary[Fecha],"&gt;="&amp;TableWeeklySummary[[#This Row],[Desde]],TableDailySummary[Fecha],"&lt;="&amp;TableWeeklySummary[[#This Row],[Hasta]])</f>
        <v>0</v>
      </c>
      <c r="T242" s="11">
        <f>SUMIFS(TableDailySummary[Inversión google ads],TableDailySummary[Fecha],"&gt;="&amp;TableWeeklySummary[[#This Row],[Desde]],TableDailySummary[Fecha],"&lt;="&amp;TableWeeklySummary[[#This Row],[Hasta]])</f>
        <v>0</v>
      </c>
      <c r="U242" s="11">
        <f>SUMIFS(TableDailySummary[Ventas google ads],TableDailySummary[Fecha],"&gt;="&amp;TableWeeklySummary[[#This Row],[Desde]],TableDailySummary[Fecha],"&lt;="&amp;TableWeeklySummary[[#This Row],[Hasta]])</f>
        <v>0</v>
      </c>
      <c r="V242" s="11">
        <f>SUMIFS(TableDailySummary[Inversión meta ads],TableDailySummary[Fecha],"&gt;="&amp;TableWeeklySummary[[#This Row],[Desde]],TableDailySummary[Fecha],"&lt;="&amp;TableWeeklySummary[[#This Row],[Hasta]])</f>
        <v>0</v>
      </c>
      <c r="W242" s="11">
        <f>SUMIFS(TableDailySummary[Ventas meta ads],TableDailySummary[Fecha],"&gt;="&amp;TableWeeklySummary[[#This Row],[Desde]],TableDailySummary[Fecha],"&lt;="&amp;TableWeeklySummary[[#This Row],[Hasta]])</f>
        <v>0</v>
      </c>
      <c r="X242" s="11">
        <f>TableWeeklySummary[[#This Row],[Inversión google ads]]+TableWeeklySummary[[#This Row],[Inversión meta ads]]</f>
        <v>0</v>
      </c>
      <c r="Y242" s="11">
        <f>TableWeeklySummary[[#This Row],[Ventas google ads]]+TableWeeklySummary[[#This Row],[Ventas meta ads]]</f>
        <v>0</v>
      </c>
      <c r="Z242" s="14">
        <f>IFERROR(TableWeeklySummary[[#This Row],[Ventas publicidad]]/TableWeeklySummary[[#This Row],[Inversión publicidad]],0)</f>
        <v>0</v>
      </c>
      <c r="AA242" s="14">
        <f>IFERROR(TableWeeklySummary[[#This Row],[Ventas primer cliente]]/TableWeeklySummary[[#This Row],[Inversión publicidad]],0)</f>
        <v>0</v>
      </c>
      <c r="AB242" s="14"/>
      <c r="AC242" s="11"/>
      <c r="AI24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2" s="11">
        <f>SUMIFS(TableDailySummary[Costo de ventas registrado],TableDailySummary[Fecha],"&gt;="&amp;TableWeeklySummary[[#This Row],[Desde]],TableDailySummary[Fecha],"&lt;="&amp;TableWeeklySummary[[#This Row],[Hasta]])</f>
        <v>0</v>
      </c>
      <c r="AK242" s="11">
        <f>SUMIFS(TableDailySummary[Utilidad bruta],TableDailySummary[Fecha],"&gt;="&amp;TableWeeklySummary[[#This Row],[Desde]],TableDailySummary[Fecha],"&lt;="&amp;TableWeeklySummary[[#This Row],[Hasta]])</f>
        <v>0</v>
      </c>
      <c r="AL242" s="18">
        <f>IFERROR(TableWeeklySummary[[#This Row],[Utilidad bruta]]/TableWeeklySummary[[#This Row],[Ventas netas con costo registrado]],0)</f>
        <v>0</v>
      </c>
    </row>
    <row r="243" spans="2:38" x14ac:dyDescent="0.2">
      <c r="B243" s="16">
        <f>_xlfn.ISOWEEKNUM(TableWeeklySummary[[#This Row],[Hasta]])</f>
        <v>24</v>
      </c>
      <c r="C243" s="6">
        <f t="shared" si="5"/>
        <v>46178</v>
      </c>
      <c r="D243" s="6">
        <f>TableWeeklySummary[[#This Row],[Desde]]+7-1</f>
        <v>46184</v>
      </c>
      <c r="E243" s="11">
        <f>SUMIFS(TableDailySummary[Ventas netas totales],TableDailySummary[Fecha],"&gt;="&amp;TableWeeklySummary[[#This Row],[Desde]],TableDailySummary[Fecha],"&lt;="&amp;TableWeeklySummary[[#This Row],[Hasta]])</f>
        <v>0</v>
      </c>
      <c r="F243" s="11">
        <f>SUMIFS(TableDailySummary[Órdenes totales],TableDailySummary[Fecha],"&gt;="&amp;TableWeeklySummary[[#This Row],[Desde]],TableDailySummary[Fecha],"&lt;="&amp;TableWeeklySummary[[#This Row],[Hasta]])</f>
        <v>0</v>
      </c>
      <c r="G243" s="11">
        <f>IFERROR(TableWeeklySummary[[#This Row],[Ventas netas totales]]/TableWeeklySummary[[#This Row],[Órdenes totales]],0)</f>
        <v>0</v>
      </c>
      <c r="H24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3" s="11">
        <f>TableWeeklySummary[[#This Row],[Órden promedio totales]]*TableWeeklySummary[[#This Row],[CR totales]]</f>
        <v>0</v>
      </c>
      <c r="J243" s="11">
        <f>SUMIFS(TableDailySummary[Ventas primer cliente],TableDailySummary[Fecha],"&gt;="&amp;TableWeeklySummary[[#This Row],[Desde]],TableDailySummary[Fecha],"&lt;="&amp;TableWeeklySummary[[#This Row],[Hasta]])</f>
        <v>0</v>
      </c>
      <c r="K243" s="11">
        <f>SUMIFS(TableDailySummary[Órdenes primer cliente],TableDailySummary[Fecha],"&gt;="&amp;TableWeeklySummary[[#This Row],[Desde]],TableDailySummary[Fecha],"&lt;="&amp;TableWeeklySummary[[#This Row],[Hasta]])</f>
        <v>0</v>
      </c>
      <c r="L243" s="11">
        <f>SUMIFS(TableDailySummary[Online Store_net_sales],TableDailySummary[Fecha],"&gt;="&amp;TableWeeklySummary[[#This Row],[Desde]],TableDailySummary[Fecha],"&lt;="&amp;TableWeeklySummary[[#This Row],[Hasta]])</f>
        <v>0</v>
      </c>
      <c r="M243" s="11">
        <f>SUMIFS(TableDailySummary[Online Store_orders],TableDailySummary[Fecha],"&gt;="&amp;TableWeeklySummary[[#This Row],[Desde]],TableDailySummary[Fecha],"&lt;="&amp;TableWeeklySummary[[#This Row],[Hasta]])</f>
        <v>0</v>
      </c>
      <c r="N243" s="11">
        <f>SUMIFS(TableDailySummary[Tienda 81_net_sales],TableDailySummary[Fecha],"&gt;="&amp;TableWeeklySummary[[#This Row],[Desde]],TableDailySummary[Fecha],"&lt;="&amp;TableWeeklySummary[[#This Row],[Hasta]])</f>
        <v>0</v>
      </c>
      <c r="O243" s="11">
        <f>SUMIFS(TableDailySummary[Tienda 81_orders],TableDailySummary[Fecha],"&gt;="&amp;TableWeeklySummary[[#This Row],[Desde]],TableDailySummary[Fecha],"&lt;="&amp;TableWeeklySummary[[#This Row],[Hasta]])</f>
        <v>0</v>
      </c>
      <c r="P243" s="11">
        <f>SUMIFS(TableDailySummary[Rappi_net_sales],TableDailySummary[Fecha],"&gt;="&amp;TableWeeklySummary[[#This Row],[Desde]],TableDailySummary[Fecha],"&lt;="&amp;TableWeeklySummary[[#This Row],[Hasta]])</f>
        <v>0</v>
      </c>
      <c r="Q243" s="11">
        <f>SUMIFS(TableDailySummary[Rappi_orders],TableDailySummary[Fecha],"&gt;="&amp;TableWeeklySummary[[#This Row],[Desde]],TableDailySummary[Fecha],"&lt;="&amp;TableWeeklySummary[[#This Row],[Hasta]])</f>
        <v>0</v>
      </c>
      <c r="R24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3" s="11">
        <f>SUMIFS(TableDailySummary[Corporativo no tienda_orders],TableDailySummary[Fecha],"&gt;="&amp;TableWeeklySummary[[#This Row],[Desde]],TableDailySummary[Fecha],"&lt;="&amp;TableWeeklySummary[[#This Row],[Hasta]])</f>
        <v>0</v>
      </c>
      <c r="T243" s="11">
        <f>SUMIFS(TableDailySummary[Inversión google ads],TableDailySummary[Fecha],"&gt;="&amp;TableWeeklySummary[[#This Row],[Desde]],TableDailySummary[Fecha],"&lt;="&amp;TableWeeklySummary[[#This Row],[Hasta]])</f>
        <v>0</v>
      </c>
      <c r="U243" s="11">
        <f>SUMIFS(TableDailySummary[Ventas google ads],TableDailySummary[Fecha],"&gt;="&amp;TableWeeklySummary[[#This Row],[Desde]],TableDailySummary[Fecha],"&lt;="&amp;TableWeeklySummary[[#This Row],[Hasta]])</f>
        <v>0</v>
      </c>
      <c r="V243" s="11">
        <f>SUMIFS(TableDailySummary[Inversión meta ads],TableDailySummary[Fecha],"&gt;="&amp;TableWeeklySummary[[#This Row],[Desde]],TableDailySummary[Fecha],"&lt;="&amp;TableWeeklySummary[[#This Row],[Hasta]])</f>
        <v>0</v>
      </c>
      <c r="W243" s="11">
        <f>SUMIFS(TableDailySummary[Ventas meta ads],TableDailySummary[Fecha],"&gt;="&amp;TableWeeklySummary[[#This Row],[Desde]],TableDailySummary[Fecha],"&lt;="&amp;TableWeeklySummary[[#This Row],[Hasta]])</f>
        <v>0</v>
      </c>
      <c r="X243" s="11">
        <f>TableWeeklySummary[[#This Row],[Inversión google ads]]+TableWeeklySummary[[#This Row],[Inversión meta ads]]</f>
        <v>0</v>
      </c>
      <c r="Y243" s="11">
        <f>TableWeeklySummary[[#This Row],[Ventas google ads]]+TableWeeklySummary[[#This Row],[Ventas meta ads]]</f>
        <v>0</v>
      </c>
      <c r="Z243" s="14">
        <f>IFERROR(TableWeeklySummary[[#This Row],[Ventas publicidad]]/TableWeeklySummary[[#This Row],[Inversión publicidad]],0)</f>
        <v>0</v>
      </c>
      <c r="AA243" s="14">
        <f>IFERROR(TableWeeklySummary[[#This Row],[Ventas primer cliente]]/TableWeeklySummary[[#This Row],[Inversión publicidad]],0)</f>
        <v>0</v>
      </c>
      <c r="AB243" s="14"/>
      <c r="AC243" s="11"/>
      <c r="AI24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3" s="11">
        <f>SUMIFS(TableDailySummary[Costo de ventas registrado],TableDailySummary[Fecha],"&gt;="&amp;TableWeeklySummary[[#This Row],[Desde]],TableDailySummary[Fecha],"&lt;="&amp;TableWeeklySummary[[#This Row],[Hasta]])</f>
        <v>0</v>
      </c>
      <c r="AK243" s="11">
        <f>SUMIFS(TableDailySummary[Utilidad bruta],TableDailySummary[Fecha],"&gt;="&amp;TableWeeklySummary[[#This Row],[Desde]],TableDailySummary[Fecha],"&lt;="&amp;TableWeeklySummary[[#This Row],[Hasta]])</f>
        <v>0</v>
      </c>
      <c r="AL243" s="18">
        <f>IFERROR(TableWeeklySummary[[#This Row],[Utilidad bruta]]/TableWeeklySummary[[#This Row],[Ventas netas con costo registrado]],0)</f>
        <v>0</v>
      </c>
    </row>
    <row r="244" spans="2:38" x14ac:dyDescent="0.2">
      <c r="B244" s="16">
        <f>_xlfn.ISOWEEKNUM(TableWeeklySummary[[#This Row],[Hasta]])</f>
        <v>25</v>
      </c>
      <c r="C244" s="6">
        <f t="shared" si="5"/>
        <v>46185</v>
      </c>
      <c r="D244" s="6">
        <f>TableWeeklySummary[[#This Row],[Desde]]+7-1</f>
        <v>46191</v>
      </c>
      <c r="E244" s="11">
        <f>SUMIFS(TableDailySummary[Ventas netas totales],TableDailySummary[Fecha],"&gt;="&amp;TableWeeklySummary[[#This Row],[Desde]],TableDailySummary[Fecha],"&lt;="&amp;TableWeeklySummary[[#This Row],[Hasta]])</f>
        <v>0</v>
      </c>
      <c r="F244" s="11">
        <f>SUMIFS(TableDailySummary[Órdenes totales],TableDailySummary[Fecha],"&gt;="&amp;TableWeeklySummary[[#This Row],[Desde]],TableDailySummary[Fecha],"&lt;="&amp;TableWeeklySummary[[#This Row],[Hasta]])</f>
        <v>0</v>
      </c>
      <c r="G244" s="11">
        <f>IFERROR(TableWeeklySummary[[#This Row],[Ventas netas totales]]/TableWeeklySummary[[#This Row],[Órdenes totales]],0)</f>
        <v>0</v>
      </c>
      <c r="H24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4" s="11">
        <f>TableWeeklySummary[[#This Row],[Órden promedio totales]]*TableWeeklySummary[[#This Row],[CR totales]]</f>
        <v>0</v>
      </c>
      <c r="J244" s="11">
        <f>SUMIFS(TableDailySummary[Ventas primer cliente],TableDailySummary[Fecha],"&gt;="&amp;TableWeeklySummary[[#This Row],[Desde]],TableDailySummary[Fecha],"&lt;="&amp;TableWeeklySummary[[#This Row],[Hasta]])</f>
        <v>0</v>
      </c>
      <c r="K244" s="11">
        <f>SUMIFS(TableDailySummary[Órdenes primer cliente],TableDailySummary[Fecha],"&gt;="&amp;TableWeeklySummary[[#This Row],[Desde]],TableDailySummary[Fecha],"&lt;="&amp;TableWeeklySummary[[#This Row],[Hasta]])</f>
        <v>0</v>
      </c>
      <c r="L244" s="11">
        <f>SUMIFS(TableDailySummary[Online Store_net_sales],TableDailySummary[Fecha],"&gt;="&amp;TableWeeklySummary[[#This Row],[Desde]],TableDailySummary[Fecha],"&lt;="&amp;TableWeeklySummary[[#This Row],[Hasta]])</f>
        <v>0</v>
      </c>
      <c r="M244" s="11">
        <f>SUMIFS(TableDailySummary[Online Store_orders],TableDailySummary[Fecha],"&gt;="&amp;TableWeeklySummary[[#This Row],[Desde]],TableDailySummary[Fecha],"&lt;="&amp;TableWeeklySummary[[#This Row],[Hasta]])</f>
        <v>0</v>
      </c>
      <c r="N244" s="11">
        <f>SUMIFS(TableDailySummary[Tienda 81_net_sales],TableDailySummary[Fecha],"&gt;="&amp;TableWeeklySummary[[#This Row],[Desde]],TableDailySummary[Fecha],"&lt;="&amp;TableWeeklySummary[[#This Row],[Hasta]])</f>
        <v>0</v>
      </c>
      <c r="O244" s="11">
        <f>SUMIFS(TableDailySummary[Tienda 81_orders],TableDailySummary[Fecha],"&gt;="&amp;TableWeeklySummary[[#This Row],[Desde]],TableDailySummary[Fecha],"&lt;="&amp;TableWeeklySummary[[#This Row],[Hasta]])</f>
        <v>0</v>
      </c>
      <c r="P244" s="11">
        <f>SUMIFS(TableDailySummary[Rappi_net_sales],TableDailySummary[Fecha],"&gt;="&amp;TableWeeklySummary[[#This Row],[Desde]],TableDailySummary[Fecha],"&lt;="&amp;TableWeeklySummary[[#This Row],[Hasta]])</f>
        <v>0</v>
      </c>
      <c r="Q244" s="11">
        <f>SUMIFS(TableDailySummary[Rappi_orders],TableDailySummary[Fecha],"&gt;="&amp;TableWeeklySummary[[#This Row],[Desde]],TableDailySummary[Fecha],"&lt;="&amp;TableWeeklySummary[[#This Row],[Hasta]])</f>
        <v>0</v>
      </c>
      <c r="R24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4" s="11">
        <f>SUMIFS(TableDailySummary[Corporativo no tienda_orders],TableDailySummary[Fecha],"&gt;="&amp;TableWeeklySummary[[#This Row],[Desde]],TableDailySummary[Fecha],"&lt;="&amp;TableWeeklySummary[[#This Row],[Hasta]])</f>
        <v>0</v>
      </c>
      <c r="T244" s="11">
        <f>SUMIFS(TableDailySummary[Inversión google ads],TableDailySummary[Fecha],"&gt;="&amp;TableWeeklySummary[[#This Row],[Desde]],TableDailySummary[Fecha],"&lt;="&amp;TableWeeklySummary[[#This Row],[Hasta]])</f>
        <v>0</v>
      </c>
      <c r="U244" s="11">
        <f>SUMIFS(TableDailySummary[Ventas google ads],TableDailySummary[Fecha],"&gt;="&amp;TableWeeklySummary[[#This Row],[Desde]],TableDailySummary[Fecha],"&lt;="&amp;TableWeeklySummary[[#This Row],[Hasta]])</f>
        <v>0</v>
      </c>
      <c r="V244" s="11">
        <f>SUMIFS(TableDailySummary[Inversión meta ads],TableDailySummary[Fecha],"&gt;="&amp;TableWeeklySummary[[#This Row],[Desde]],TableDailySummary[Fecha],"&lt;="&amp;TableWeeklySummary[[#This Row],[Hasta]])</f>
        <v>0</v>
      </c>
      <c r="W244" s="11">
        <f>SUMIFS(TableDailySummary[Ventas meta ads],TableDailySummary[Fecha],"&gt;="&amp;TableWeeklySummary[[#This Row],[Desde]],TableDailySummary[Fecha],"&lt;="&amp;TableWeeklySummary[[#This Row],[Hasta]])</f>
        <v>0</v>
      </c>
      <c r="X244" s="11">
        <f>TableWeeklySummary[[#This Row],[Inversión google ads]]+TableWeeklySummary[[#This Row],[Inversión meta ads]]</f>
        <v>0</v>
      </c>
      <c r="Y244" s="11">
        <f>TableWeeklySummary[[#This Row],[Ventas google ads]]+TableWeeklySummary[[#This Row],[Ventas meta ads]]</f>
        <v>0</v>
      </c>
      <c r="Z244" s="14">
        <f>IFERROR(TableWeeklySummary[[#This Row],[Ventas publicidad]]/TableWeeklySummary[[#This Row],[Inversión publicidad]],0)</f>
        <v>0</v>
      </c>
      <c r="AA244" s="14">
        <f>IFERROR(TableWeeklySummary[[#This Row],[Ventas primer cliente]]/TableWeeklySummary[[#This Row],[Inversión publicidad]],0)</f>
        <v>0</v>
      </c>
      <c r="AB244" s="14"/>
      <c r="AC244" s="11"/>
      <c r="AI24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4" s="11">
        <f>SUMIFS(TableDailySummary[Costo de ventas registrado],TableDailySummary[Fecha],"&gt;="&amp;TableWeeklySummary[[#This Row],[Desde]],TableDailySummary[Fecha],"&lt;="&amp;TableWeeklySummary[[#This Row],[Hasta]])</f>
        <v>0</v>
      </c>
      <c r="AK244" s="11">
        <f>SUMIFS(TableDailySummary[Utilidad bruta],TableDailySummary[Fecha],"&gt;="&amp;TableWeeklySummary[[#This Row],[Desde]],TableDailySummary[Fecha],"&lt;="&amp;TableWeeklySummary[[#This Row],[Hasta]])</f>
        <v>0</v>
      </c>
      <c r="AL244" s="18">
        <f>IFERROR(TableWeeklySummary[[#This Row],[Utilidad bruta]]/TableWeeklySummary[[#This Row],[Ventas netas con costo registrado]],0)</f>
        <v>0</v>
      </c>
    </row>
    <row r="245" spans="2:38" x14ac:dyDescent="0.2">
      <c r="B245" s="16">
        <f>_xlfn.ISOWEEKNUM(TableWeeklySummary[[#This Row],[Hasta]])</f>
        <v>26</v>
      </c>
      <c r="C245" s="6">
        <f t="shared" si="5"/>
        <v>46192</v>
      </c>
      <c r="D245" s="6">
        <f>TableWeeklySummary[[#This Row],[Desde]]+7-1</f>
        <v>46198</v>
      </c>
      <c r="E245" s="11">
        <f>SUMIFS(TableDailySummary[Ventas netas totales],TableDailySummary[Fecha],"&gt;="&amp;TableWeeklySummary[[#This Row],[Desde]],TableDailySummary[Fecha],"&lt;="&amp;TableWeeklySummary[[#This Row],[Hasta]])</f>
        <v>0</v>
      </c>
      <c r="F245" s="11">
        <f>SUMIFS(TableDailySummary[Órdenes totales],TableDailySummary[Fecha],"&gt;="&amp;TableWeeklySummary[[#This Row],[Desde]],TableDailySummary[Fecha],"&lt;="&amp;TableWeeklySummary[[#This Row],[Hasta]])</f>
        <v>0</v>
      </c>
      <c r="G245" s="11">
        <f>IFERROR(TableWeeklySummary[[#This Row],[Ventas netas totales]]/TableWeeklySummary[[#This Row],[Órdenes totales]],0)</f>
        <v>0</v>
      </c>
      <c r="H24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5" s="11">
        <f>TableWeeklySummary[[#This Row],[Órden promedio totales]]*TableWeeklySummary[[#This Row],[CR totales]]</f>
        <v>0</v>
      </c>
      <c r="J245" s="11">
        <f>SUMIFS(TableDailySummary[Ventas primer cliente],TableDailySummary[Fecha],"&gt;="&amp;TableWeeklySummary[[#This Row],[Desde]],TableDailySummary[Fecha],"&lt;="&amp;TableWeeklySummary[[#This Row],[Hasta]])</f>
        <v>0</v>
      </c>
      <c r="K245" s="11">
        <f>SUMIFS(TableDailySummary[Órdenes primer cliente],TableDailySummary[Fecha],"&gt;="&amp;TableWeeklySummary[[#This Row],[Desde]],TableDailySummary[Fecha],"&lt;="&amp;TableWeeklySummary[[#This Row],[Hasta]])</f>
        <v>0</v>
      </c>
      <c r="L245" s="11">
        <f>SUMIFS(TableDailySummary[Online Store_net_sales],TableDailySummary[Fecha],"&gt;="&amp;TableWeeklySummary[[#This Row],[Desde]],TableDailySummary[Fecha],"&lt;="&amp;TableWeeklySummary[[#This Row],[Hasta]])</f>
        <v>0</v>
      </c>
      <c r="M245" s="11">
        <f>SUMIFS(TableDailySummary[Online Store_orders],TableDailySummary[Fecha],"&gt;="&amp;TableWeeklySummary[[#This Row],[Desde]],TableDailySummary[Fecha],"&lt;="&amp;TableWeeklySummary[[#This Row],[Hasta]])</f>
        <v>0</v>
      </c>
      <c r="N245" s="11">
        <f>SUMIFS(TableDailySummary[Tienda 81_net_sales],TableDailySummary[Fecha],"&gt;="&amp;TableWeeklySummary[[#This Row],[Desde]],TableDailySummary[Fecha],"&lt;="&amp;TableWeeklySummary[[#This Row],[Hasta]])</f>
        <v>0</v>
      </c>
      <c r="O245" s="11">
        <f>SUMIFS(TableDailySummary[Tienda 81_orders],TableDailySummary[Fecha],"&gt;="&amp;TableWeeklySummary[[#This Row],[Desde]],TableDailySummary[Fecha],"&lt;="&amp;TableWeeklySummary[[#This Row],[Hasta]])</f>
        <v>0</v>
      </c>
      <c r="P245" s="11">
        <f>SUMIFS(TableDailySummary[Rappi_net_sales],TableDailySummary[Fecha],"&gt;="&amp;TableWeeklySummary[[#This Row],[Desde]],TableDailySummary[Fecha],"&lt;="&amp;TableWeeklySummary[[#This Row],[Hasta]])</f>
        <v>0</v>
      </c>
      <c r="Q245" s="11">
        <f>SUMIFS(TableDailySummary[Rappi_orders],TableDailySummary[Fecha],"&gt;="&amp;TableWeeklySummary[[#This Row],[Desde]],TableDailySummary[Fecha],"&lt;="&amp;TableWeeklySummary[[#This Row],[Hasta]])</f>
        <v>0</v>
      </c>
      <c r="R24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5" s="11">
        <f>SUMIFS(TableDailySummary[Corporativo no tienda_orders],TableDailySummary[Fecha],"&gt;="&amp;TableWeeklySummary[[#This Row],[Desde]],TableDailySummary[Fecha],"&lt;="&amp;TableWeeklySummary[[#This Row],[Hasta]])</f>
        <v>0</v>
      </c>
      <c r="T245" s="11">
        <f>SUMIFS(TableDailySummary[Inversión google ads],TableDailySummary[Fecha],"&gt;="&amp;TableWeeklySummary[[#This Row],[Desde]],TableDailySummary[Fecha],"&lt;="&amp;TableWeeklySummary[[#This Row],[Hasta]])</f>
        <v>0</v>
      </c>
      <c r="U245" s="11">
        <f>SUMIFS(TableDailySummary[Ventas google ads],TableDailySummary[Fecha],"&gt;="&amp;TableWeeklySummary[[#This Row],[Desde]],TableDailySummary[Fecha],"&lt;="&amp;TableWeeklySummary[[#This Row],[Hasta]])</f>
        <v>0</v>
      </c>
      <c r="V245" s="11">
        <f>SUMIFS(TableDailySummary[Inversión meta ads],TableDailySummary[Fecha],"&gt;="&amp;TableWeeklySummary[[#This Row],[Desde]],TableDailySummary[Fecha],"&lt;="&amp;TableWeeklySummary[[#This Row],[Hasta]])</f>
        <v>0</v>
      </c>
      <c r="W245" s="11">
        <f>SUMIFS(TableDailySummary[Ventas meta ads],TableDailySummary[Fecha],"&gt;="&amp;TableWeeklySummary[[#This Row],[Desde]],TableDailySummary[Fecha],"&lt;="&amp;TableWeeklySummary[[#This Row],[Hasta]])</f>
        <v>0</v>
      </c>
      <c r="X245" s="11">
        <f>TableWeeklySummary[[#This Row],[Inversión google ads]]+TableWeeklySummary[[#This Row],[Inversión meta ads]]</f>
        <v>0</v>
      </c>
      <c r="Y245" s="11">
        <f>TableWeeklySummary[[#This Row],[Ventas google ads]]+TableWeeklySummary[[#This Row],[Ventas meta ads]]</f>
        <v>0</v>
      </c>
      <c r="Z245" s="14">
        <f>IFERROR(TableWeeklySummary[[#This Row],[Ventas publicidad]]/TableWeeklySummary[[#This Row],[Inversión publicidad]],0)</f>
        <v>0</v>
      </c>
      <c r="AA245" s="14">
        <f>IFERROR(TableWeeklySummary[[#This Row],[Ventas primer cliente]]/TableWeeklySummary[[#This Row],[Inversión publicidad]],0)</f>
        <v>0</v>
      </c>
      <c r="AB245" s="14"/>
      <c r="AC245" s="11"/>
      <c r="AI24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5" s="11">
        <f>SUMIFS(TableDailySummary[Costo de ventas registrado],TableDailySummary[Fecha],"&gt;="&amp;TableWeeklySummary[[#This Row],[Desde]],TableDailySummary[Fecha],"&lt;="&amp;TableWeeklySummary[[#This Row],[Hasta]])</f>
        <v>0</v>
      </c>
      <c r="AK245" s="11">
        <f>SUMIFS(TableDailySummary[Utilidad bruta],TableDailySummary[Fecha],"&gt;="&amp;TableWeeklySummary[[#This Row],[Desde]],TableDailySummary[Fecha],"&lt;="&amp;TableWeeklySummary[[#This Row],[Hasta]])</f>
        <v>0</v>
      </c>
      <c r="AL245" s="18">
        <f>IFERROR(TableWeeklySummary[[#This Row],[Utilidad bruta]]/TableWeeklySummary[[#This Row],[Ventas netas con costo registrado]],0)</f>
        <v>0</v>
      </c>
    </row>
    <row r="246" spans="2:38" x14ac:dyDescent="0.2">
      <c r="B246" s="16">
        <f>_xlfn.ISOWEEKNUM(TableWeeklySummary[[#This Row],[Hasta]])</f>
        <v>27</v>
      </c>
      <c r="C246" s="6">
        <f t="shared" si="5"/>
        <v>46199</v>
      </c>
      <c r="D246" s="6">
        <f>TableWeeklySummary[[#This Row],[Desde]]+7-1</f>
        <v>46205</v>
      </c>
      <c r="E246" s="11">
        <f>SUMIFS(TableDailySummary[Ventas netas totales],TableDailySummary[Fecha],"&gt;="&amp;TableWeeklySummary[[#This Row],[Desde]],TableDailySummary[Fecha],"&lt;="&amp;TableWeeklySummary[[#This Row],[Hasta]])</f>
        <v>0</v>
      </c>
      <c r="F246" s="11">
        <f>SUMIFS(TableDailySummary[Órdenes totales],TableDailySummary[Fecha],"&gt;="&amp;TableWeeklySummary[[#This Row],[Desde]],TableDailySummary[Fecha],"&lt;="&amp;TableWeeklySummary[[#This Row],[Hasta]])</f>
        <v>0</v>
      </c>
      <c r="G246" s="11">
        <f>IFERROR(TableWeeklySummary[[#This Row],[Ventas netas totales]]/TableWeeklySummary[[#This Row],[Órdenes totales]],0)</f>
        <v>0</v>
      </c>
      <c r="H24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6" s="11">
        <f>TableWeeklySummary[[#This Row],[Órden promedio totales]]*TableWeeklySummary[[#This Row],[CR totales]]</f>
        <v>0</v>
      </c>
      <c r="J246" s="11">
        <f>SUMIFS(TableDailySummary[Ventas primer cliente],TableDailySummary[Fecha],"&gt;="&amp;TableWeeklySummary[[#This Row],[Desde]],TableDailySummary[Fecha],"&lt;="&amp;TableWeeklySummary[[#This Row],[Hasta]])</f>
        <v>0</v>
      </c>
      <c r="K246" s="11">
        <f>SUMIFS(TableDailySummary[Órdenes primer cliente],TableDailySummary[Fecha],"&gt;="&amp;TableWeeklySummary[[#This Row],[Desde]],TableDailySummary[Fecha],"&lt;="&amp;TableWeeklySummary[[#This Row],[Hasta]])</f>
        <v>0</v>
      </c>
      <c r="L246" s="11">
        <f>SUMIFS(TableDailySummary[Online Store_net_sales],TableDailySummary[Fecha],"&gt;="&amp;TableWeeklySummary[[#This Row],[Desde]],TableDailySummary[Fecha],"&lt;="&amp;TableWeeklySummary[[#This Row],[Hasta]])</f>
        <v>0</v>
      </c>
      <c r="M246" s="11">
        <f>SUMIFS(TableDailySummary[Online Store_orders],TableDailySummary[Fecha],"&gt;="&amp;TableWeeklySummary[[#This Row],[Desde]],TableDailySummary[Fecha],"&lt;="&amp;TableWeeklySummary[[#This Row],[Hasta]])</f>
        <v>0</v>
      </c>
      <c r="N246" s="11">
        <f>SUMIFS(TableDailySummary[Tienda 81_net_sales],TableDailySummary[Fecha],"&gt;="&amp;TableWeeklySummary[[#This Row],[Desde]],TableDailySummary[Fecha],"&lt;="&amp;TableWeeklySummary[[#This Row],[Hasta]])</f>
        <v>0</v>
      </c>
      <c r="O246" s="11">
        <f>SUMIFS(TableDailySummary[Tienda 81_orders],TableDailySummary[Fecha],"&gt;="&amp;TableWeeklySummary[[#This Row],[Desde]],TableDailySummary[Fecha],"&lt;="&amp;TableWeeklySummary[[#This Row],[Hasta]])</f>
        <v>0</v>
      </c>
      <c r="P246" s="11">
        <f>SUMIFS(TableDailySummary[Rappi_net_sales],TableDailySummary[Fecha],"&gt;="&amp;TableWeeklySummary[[#This Row],[Desde]],TableDailySummary[Fecha],"&lt;="&amp;TableWeeklySummary[[#This Row],[Hasta]])</f>
        <v>0</v>
      </c>
      <c r="Q246" s="11">
        <f>SUMIFS(TableDailySummary[Rappi_orders],TableDailySummary[Fecha],"&gt;="&amp;TableWeeklySummary[[#This Row],[Desde]],TableDailySummary[Fecha],"&lt;="&amp;TableWeeklySummary[[#This Row],[Hasta]])</f>
        <v>0</v>
      </c>
      <c r="R24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6" s="11">
        <f>SUMIFS(TableDailySummary[Corporativo no tienda_orders],TableDailySummary[Fecha],"&gt;="&amp;TableWeeklySummary[[#This Row],[Desde]],TableDailySummary[Fecha],"&lt;="&amp;TableWeeklySummary[[#This Row],[Hasta]])</f>
        <v>0</v>
      </c>
      <c r="T246" s="11">
        <f>SUMIFS(TableDailySummary[Inversión google ads],TableDailySummary[Fecha],"&gt;="&amp;TableWeeklySummary[[#This Row],[Desde]],TableDailySummary[Fecha],"&lt;="&amp;TableWeeklySummary[[#This Row],[Hasta]])</f>
        <v>0</v>
      </c>
      <c r="U246" s="11">
        <f>SUMIFS(TableDailySummary[Ventas google ads],TableDailySummary[Fecha],"&gt;="&amp;TableWeeklySummary[[#This Row],[Desde]],TableDailySummary[Fecha],"&lt;="&amp;TableWeeklySummary[[#This Row],[Hasta]])</f>
        <v>0</v>
      </c>
      <c r="V246" s="11">
        <f>SUMIFS(TableDailySummary[Inversión meta ads],TableDailySummary[Fecha],"&gt;="&amp;TableWeeklySummary[[#This Row],[Desde]],TableDailySummary[Fecha],"&lt;="&amp;TableWeeklySummary[[#This Row],[Hasta]])</f>
        <v>0</v>
      </c>
      <c r="W246" s="11">
        <f>SUMIFS(TableDailySummary[Ventas meta ads],TableDailySummary[Fecha],"&gt;="&amp;TableWeeklySummary[[#This Row],[Desde]],TableDailySummary[Fecha],"&lt;="&amp;TableWeeklySummary[[#This Row],[Hasta]])</f>
        <v>0</v>
      </c>
      <c r="X246" s="11">
        <f>TableWeeklySummary[[#This Row],[Inversión google ads]]+TableWeeklySummary[[#This Row],[Inversión meta ads]]</f>
        <v>0</v>
      </c>
      <c r="Y246" s="11">
        <f>TableWeeklySummary[[#This Row],[Ventas google ads]]+TableWeeklySummary[[#This Row],[Ventas meta ads]]</f>
        <v>0</v>
      </c>
      <c r="Z246" s="14">
        <f>IFERROR(TableWeeklySummary[[#This Row],[Ventas publicidad]]/TableWeeklySummary[[#This Row],[Inversión publicidad]],0)</f>
        <v>0</v>
      </c>
      <c r="AA246" s="14">
        <f>IFERROR(TableWeeklySummary[[#This Row],[Ventas primer cliente]]/TableWeeklySummary[[#This Row],[Inversión publicidad]],0)</f>
        <v>0</v>
      </c>
      <c r="AB246" s="14"/>
      <c r="AC246" s="11"/>
      <c r="AI24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6" s="11">
        <f>SUMIFS(TableDailySummary[Costo de ventas registrado],TableDailySummary[Fecha],"&gt;="&amp;TableWeeklySummary[[#This Row],[Desde]],TableDailySummary[Fecha],"&lt;="&amp;TableWeeklySummary[[#This Row],[Hasta]])</f>
        <v>0</v>
      </c>
      <c r="AK246" s="11">
        <f>SUMIFS(TableDailySummary[Utilidad bruta],TableDailySummary[Fecha],"&gt;="&amp;TableWeeklySummary[[#This Row],[Desde]],TableDailySummary[Fecha],"&lt;="&amp;TableWeeklySummary[[#This Row],[Hasta]])</f>
        <v>0</v>
      </c>
      <c r="AL246" s="18">
        <f>IFERROR(TableWeeklySummary[[#This Row],[Utilidad bruta]]/TableWeeklySummary[[#This Row],[Ventas netas con costo registrado]],0)</f>
        <v>0</v>
      </c>
    </row>
    <row r="247" spans="2:38" x14ac:dyDescent="0.2">
      <c r="B247" s="16">
        <f>_xlfn.ISOWEEKNUM(TableWeeklySummary[[#This Row],[Hasta]])</f>
        <v>28</v>
      </c>
      <c r="C247" s="6">
        <f t="shared" si="5"/>
        <v>46206</v>
      </c>
      <c r="D247" s="6">
        <f>TableWeeklySummary[[#This Row],[Desde]]+7-1</f>
        <v>46212</v>
      </c>
      <c r="E247" s="11">
        <f>SUMIFS(TableDailySummary[Ventas netas totales],TableDailySummary[Fecha],"&gt;="&amp;TableWeeklySummary[[#This Row],[Desde]],TableDailySummary[Fecha],"&lt;="&amp;TableWeeklySummary[[#This Row],[Hasta]])</f>
        <v>0</v>
      </c>
      <c r="F247" s="11">
        <f>SUMIFS(TableDailySummary[Órdenes totales],TableDailySummary[Fecha],"&gt;="&amp;TableWeeklySummary[[#This Row],[Desde]],TableDailySummary[Fecha],"&lt;="&amp;TableWeeklySummary[[#This Row],[Hasta]])</f>
        <v>0</v>
      </c>
      <c r="G247" s="11">
        <f>IFERROR(TableWeeklySummary[[#This Row],[Ventas netas totales]]/TableWeeklySummary[[#This Row],[Órdenes totales]],0)</f>
        <v>0</v>
      </c>
      <c r="H24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7" s="11">
        <f>TableWeeklySummary[[#This Row],[Órden promedio totales]]*TableWeeklySummary[[#This Row],[CR totales]]</f>
        <v>0</v>
      </c>
      <c r="J247" s="11">
        <f>SUMIFS(TableDailySummary[Ventas primer cliente],TableDailySummary[Fecha],"&gt;="&amp;TableWeeklySummary[[#This Row],[Desde]],TableDailySummary[Fecha],"&lt;="&amp;TableWeeklySummary[[#This Row],[Hasta]])</f>
        <v>0</v>
      </c>
      <c r="K247" s="11">
        <f>SUMIFS(TableDailySummary[Órdenes primer cliente],TableDailySummary[Fecha],"&gt;="&amp;TableWeeklySummary[[#This Row],[Desde]],TableDailySummary[Fecha],"&lt;="&amp;TableWeeklySummary[[#This Row],[Hasta]])</f>
        <v>0</v>
      </c>
      <c r="L247" s="11">
        <f>SUMIFS(TableDailySummary[Online Store_net_sales],TableDailySummary[Fecha],"&gt;="&amp;TableWeeklySummary[[#This Row],[Desde]],TableDailySummary[Fecha],"&lt;="&amp;TableWeeklySummary[[#This Row],[Hasta]])</f>
        <v>0</v>
      </c>
      <c r="M247" s="11">
        <f>SUMIFS(TableDailySummary[Online Store_orders],TableDailySummary[Fecha],"&gt;="&amp;TableWeeklySummary[[#This Row],[Desde]],TableDailySummary[Fecha],"&lt;="&amp;TableWeeklySummary[[#This Row],[Hasta]])</f>
        <v>0</v>
      </c>
      <c r="N247" s="11">
        <f>SUMIFS(TableDailySummary[Tienda 81_net_sales],TableDailySummary[Fecha],"&gt;="&amp;TableWeeklySummary[[#This Row],[Desde]],TableDailySummary[Fecha],"&lt;="&amp;TableWeeklySummary[[#This Row],[Hasta]])</f>
        <v>0</v>
      </c>
      <c r="O247" s="11">
        <f>SUMIFS(TableDailySummary[Tienda 81_orders],TableDailySummary[Fecha],"&gt;="&amp;TableWeeklySummary[[#This Row],[Desde]],TableDailySummary[Fecha],"&lt;="&amp;TableWeeklySummary[[#This Row],[Hasta]])</f>
        <v>0</v>
      </c>
      <c r="P247" s="11">
        <f>SUMIFS(TableDailySummary[Rappi_net_sales],TableDailySummary[Fecha],"&gt;="&amp;TableWeeklySummary[[#This Row],[Desde]],TableDailySummary[Fecha],"&lt;="&amp;TableWeeklySummary[[#This Row],[Hasta]])</f>
        <v>0</v>
      </c>
      <c r="Q247" s="11">
        <f>SUMIFS(TableDailySummary[Rappi_orders],TableDailySummary[Fecha],"&gt;="&amp;TableWeeklySummary[[#This Row],[Desde]],TableDailySummary[Fecha],"&lt;="&amp;TableWeeklySummary[[#This Row],[Hasta]])</f>
        <v>0</v>
      </c>
      <c r="R24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7" s="11">
        <f>SUMIFS(TableDailySummary[Corporativo no tienda_orders],TableDailySummary[Fecha],"&gt;="&amp;TableWeeklySummary[[#This Row],[Desde]],TableDailySummary[Fecha],"&lt;="&amp;TableWeeklySummary[[#This Row],[Hasta]])</f>
        <v>0</v>
      </c>
      <c r="T247" s="11">
        <f>SUMIFS(TableDailySummary[Inversión google ads],TableDailySummary[Fecha],"&gt;="&amp;TableWeeklySummary[[#This Row],[Desde]],TableDailySummary[Fecha],"&lt;="&amp;TableWeeklySummary[[#This Row],[Hasta]])</f>
        <v>0</v>
      </c>
      <c r="U247" s="11">
        <f>SUMIFS(TableDailySummary[Ventas google ads],TableDailySummary[Fecha],"&gt;="&amp;TableWeeklySummary[[#This Row],[Desde]],TableDailySummary[Fecha],"&lt;="&amp;TableWeeklySummary[[#This Row],[Hasta]])</f>
        <v>0</v>
      </c>
      <c r="V247" s="11">
        <f>SUMIFS(TableDailySummary[Inversión meta ads],TableDailySummary[Fecha],"&gt;="&amp;TableWeeklySummary[[#This Row],[Desde]],TableDailySummary[Fecha],"&lt;="&amp;TableWeeklySummary[[#This Row],[Hasta]])</f>
        <v>0</v>
      </c>
      <c r="W247" s="11">
        <f>SUMIFS(TableDailySummary[Ventas meta ads],TableDailySummary[Fecha],"&gt;="&amp;TableWeeklySummary[[#This Row],[Desde]],TableDailySummary[Fecha],"&lt;="&amp;TableWeeklySummary[[#This Row],[Hasta]])</f>
        <v>0</v>
      </c>
      <c r="X247" s="11">
        <f>TableWeeklySummary[[#This Row],[Inversión google ads]]+TableWeeklySummary[[#This Row],[Inversión meta ads]]</f>
        <v>0</v>
      </c>
      <c r="Y247" s="11">
        <f>TableWeeklySummary[[#This Row],[Ventas google ads]]+TableWeeklySummary[[#This Row],[Ventas meta ads]]</f>
        <v>0</v>
      </c>
      <c r="Z247" s="14">
        <f>IFERROR(TableWeeklySummary[[#This Row],[Ventas publicidad]]/TableWeeklySummary[[#This Row],[Inversión publicidad]],0)</f>
        <v>0</v>
      </c>
      <c r="AA247" s="14">
        <f>IFERROR(TableWeeklySummary[[#This Row],[Ventas primer cliente]]/TableWeeklySummary[[#This Row],[Inversión publicidad]],0)</f>
        <v>0</v>
      </c>
      <c r="AB247" s="14"/>
      <c r="AC247" s="11"/>
      <c r="AI24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7" s="11">
        <f>SUMIFS(TableDailySummary[Costo de ventas registrado],TableDailySummary[Fecha],"&gt;="&amp;TableWeeklySummary[[#This Row],[Desde]],TableDailySummary[Fecha],"&lt;="&amp;TableWeeklySummary[[#This Row],[Hasta]])</f>
        <v>0</v>
      </c>
      <c r="AK247" s="11">
        <f>SUMIFS(TableDailySummary[Utilidad bruta],TableDailySummary[Fecha],"&gt;="&amp;TableWeeklySummary[[#This Row],[Desde]],TableDailySummary[Fecha],"&lt;="&amp;TableWeeklySummary[[#This Row],[Hasta]])</f>
        <v>0</v>
      </c>
      <c r="AL247" s="18">
        <f>IFERROR(TableWeeklySummary[[#This Row],[Utilidad bruta]]/TableWeeklySummary[[#This Row],[Ventas netas con costo registrado]],0)</f>
        <v>0</v>
      </c>
    </row>
    <row r="248" spans="2:38" x14ac:dyDescent="0.2">
      <c r="B248" s="16">
        <f>_xlfn.ISOWEEKNUM(TableWeeklySummary[[#This Row],[Hasta]])</f>
        <v>29</v>
      </c>
      <c r="C248" s="6">
        <f t="shared" si="5"/>
        <v>46213</v>
      </c>
      <c r="D248" s="6">
        <f>TableWeeklySummary[[#This Row],[Desde]]+7-1</f>
        <v>46219</v>
      </c>
      <c r="E248" s="11">
        <f>SUMIFS(TableDailySummary[Ventas netas totales],TableDailySummary[Fecha],"&gt;="&amp;TableWeeklySummary[[#This Row],[Desde]],TableDailySummary[Fecha],"&lt;="&amp;TableWeeklySummary[[#This Row],[Hasta]])</f>
        <v>0</v>
      </c>
      <c r="F248" s="11">
        <f>SUMIFS(TableDailySummary[Órdenes totales],TableDailySummary[Fecha],"&gt;="&amp;TableWeeklySummary[[#This Row],[Desde]],TableDailySummary[Fecha],"&lt;="&amp;TableWeeklySummary[[#This Row],[Hasta]])</f>
        <v>0</v>
      </c>
      <c r="G248" s="11">
        <f>IFERROR(TableWeeklySummary[[#This Row],[Ventas netas totales]]/TableWeeklySummary[[#This Row],[Órdenes totales]],0)</f>
        <v>0</v>
      </c>
      <c r="H24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8" s="11">
        <f>TableWeeklySummary[[#This Row],[Órden promedio totales]]*TableWeeklySummary[[#This Row],[CR totales]]</f>
        <v>0</v>
      </c>
      <c r="J248" s="11">
        <f>SUMIFS(TableDailySummary[Ventas primer cliente],TableDailySummary[Fecha],"&gt;="&amp;TableWeeklySummary[[#This Row],[Desde]],TableDailySummary[Fecha],"&lt;="&amp;TableWeeklySummary[[#This Row],[Hasta]])</f>
        <v>0</v>
      </c>
      <c r="K248" s="11">
        <f>SUMIFS(TableDailySummary[Órdenes primer cliente],TableDailySummary[Fecha],"&gt;="&amp;TableWeeklySummary[[#This Row],[Desde]],TableDailySummary[Fecha],"&lt;="&amp;TableWeeklySummary[[#This Row],[Hasta]])</f>
        <v>0</v>
      </c>
      <c r="L248" s="11">
        <f>SUMIFS(TableDailySummary[Online Store_net_sales],TableDailySummary[Fecha],"&gt;="&amp;TableWeeklySummary[[#This Row],[Desde]],TableDailySummary[Fecha],"&lt;="&amp;TableWeeklySummary[[#This Row],[Hasta]])</f>
        <v>0</v>
      </c>
      <c r="M248" s="11">
        <f>SUMIFS(TableDailySummary[Online Store_orders],TableDailySummary[Fecha],"&gt;="&amp;TableWeeklySummary[[#This Row],[Desde]],TableDailySummary[Fecha],"&lt;="&amp;TableWeeklySummary[[#This Row],[Hasta]])</f>
        <v>0</v>
      </c>
      <c r="N248" s="11">
        <f>SUMIFS(TableDailySummary[Tienda 81_net_sales],TableDailySummary[Fecha],"&gt;="&amp;TableWeeklySummary[[#This Row],[Desde]],TableDailySummary[Fecha],"&lt;="&amp;TableWeeklySummary[[#This Row],[Hasta]])</f>
        <v>0</v>
      </c>
      <c r="O248" s="11">
        <f>SUMIFS(TableDailySummary[Tienda 81_orders],TableDailySummary[Fecha],"&gt;="&amp;TableWeeklySummary[[#This Row],[Desde]],TableDailySummary[Fecha],"&lt;="&amp;TableWeeklySummary[[#This Row],[Hasta]])</f>
        <v>0</v>
      </c>
      <c r="P248" s="11">
        <f>SUMIFS(TableDailySummary[Rappi_net_sales],TableDailySummary[Fecha],"&gt;="&amp;TableWeeklySummary[[#This Row],[Desde]],TableDailySummary[Fecha],"&lt;="&amp;TableWeeklySummary[[#This Row],[Hasta]])</f>
        <v>0</v>
      </c>
      <c r="Q248" s="11">
        <f>SUMIFS(TableDailySummary[Rappi_orders],TableDailySummary[Fecha],"&gt;="&amp;TableWeeklySummary[[#This Row],[Desde]],TableDailySummary[Fecha],"&lt;="&amp;TableWeeklySummary[[#This Row],[Hasta]])</f>
        <v>0</v>
      </c>
      <c r="R24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8" s="11">
        <f>SUMIFS(TableDailySummary[Corporativo no tienda_orders],TableDailySummary[Fecha],"&gt;="&amp;TableWeeklySummary[[#This Row],[Desde]],TableDailySummary[Fecha],"&lt;="&amp;TableWeeklySummary[[#This Row],[Hasta]])</f>
        <v>0</v>
      </c>
      <c r="T248" s="11">
        <f>SUMIFS(TableDailySummary[Inversión google ads],TableDailySummary[Fecha],"&gt;="&amp;TableWeeklySummary[[#This Row],[Desde]],TableDailySummary[Fecha],"&lt;="&amp;TableWeeklySummary[[#This Row],[Hasta]])</f>
        <v>0</v>
      </c>
      <c r="U248" s="11">
        <f>SUMIFS(TableDailySummary[Ventas google ads],TableDailySummary[Fecha],"&gt;="&amp;TableWeeklySummary[[#This Row],[Desde]],TableDailySummary[Fecha],"&lt;="&amp;TableWeeklySummary[[#This Row],[Hasta]])</f>
        <v>0</v>
      </c>
      <c r="V248" s="11">
        <f>SUMIFS(TableDailySummary[Inversión meta ads],TableDailySummary[Fecha],"&gt;="&amp;TableWeeklySummary[[#This Row],[Desde]],TableDailySummary[Fecha],"&lt;="&amp;TableWeeklySummary[[#This Row],[Hasta]])</f>
        <v>0</v>
      </c>
      <c r="W248" s="11">
        <f>SUMIFS(TableDailySummary[Ventas meta ads],TableDailySummary[Fecha],"&gt;="&amp;TableWeeklySummary[[#This Row],[Desde]],TableDailySummary[Fecha],"&lt;="&amp;TableWeeklySummary[[#This Row],[Hasta]])</f>
        <v>0</v>
      </c>
      <c r="X248" s="11">
        <f>TableWeeklySummary[[#This Row],[Inversión google ads]]+TableWeeklySummary[[#This Row],[Inversión meta ads]]</f>
        <v>0</v>
      </c>
      <c r="Y248" s="11">
        <f>TableWeeklySummary[[#This Row],[Ventas google ads]]+TableWeeklySummary[[#This Row],[Ventas meta ads]]</f>
        <v>0</v>
      </c>
      <c r="Z248" s="14">
        <f>IFERROR(TableWeeklySummary[[#This Row],[Ventas publicidad]]/TableWeeklySummary[[#This Row],[Inversión publicidad]],0)</f>
        <v>0</v>
      </c>
      <c r="AA248" s="14">
        <f>IFERROR(TableWeeklySummary[[#This Row],[Ventas primer cliente]]/TableWeeklySummary[[#This Row],[Inversión publicidad]],0)</f>
        <v>0</v>
      </c>
      <c r="AB248" s="14"/>
      <c r="AC248" s="11"/>
      <c r="AI24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8" s="11">
        <f>SUMIFS(TableDailySummary[Costo de ventas registrado],TableDailySummary[Fecha],"&gt;="&amp;TableWeeklySummary[[#This Row],[Desde]],TableDailySummary[Fecha],"&lt;="&amp;TableWeeklySummary[[#This Row],[Hasta]])</f>
        <v>0</v>
      </c>
      <c r="AK248" s="11">
        <f>SUMIFS(TableDailySummary[Utilidad bruta],TableDailySummary[Fecha],"&gt;="&amp;TableWeeklySummary[[#This Row],[Desde]],TableDailySummary[Fecha],"&lt;="&amp;TableWeeklySummary[[#This Row],[Hasta]])</f>
        <v>0</v>
      </c>
      <c r="AL248" s="18">
        <f>IFERROR(TableWeeklySummary[[#This Row],[Utilidad bruta]]/TableWeeklySummary[[#This Row],[Ventas netas con costo registrado]],0)</f>
        <v>0</v>
      </c>
    </row>
    <row r="249" spans="2:38" x14ac:dyDescent="0.2">
      <c r="B249" s="16">
        <f>_xlfn.ISOWEEKNUM(TableWeeklySummary[[#This Row],[Hasta]])</f>
        <v>30</v>
      </c>
      <c r="C249" s="6">
        <f t="shared" si="5"/>
        <v>46220</v>
      </c>
      <c r="D249" s="6">
        <f>TableWeeklySummary[[#This Row],[Desde]]+7-1</f>
        <v>46226</v>
      </c>
      <c r="E249" s="11">
        <f>SUMIFS(TableDailySummary[Ventas netas totales],TableDailySummary[Fecha],"&gt;="&amp;TableWeeklySummary[[#This Row],[Desde]],TableDailySummary[Fecha],"&lt;="&amp;TableWeeklySummary[[#This Row],[Hasta]])</f>
        <v>0</v>
      </c>
      <c r="F249" s="11">
        <f>SUMIFS(TableDailySummary[Órdenes totales],TableDailySummary[Fecha],"&gt;="&amp;TableWeeklySummary[[#This Row],[Desde]],TableDailySummary[Fecha],"&lt;="&amp;TableWeeklySummary[[#This Row],[Hasta]])</f>
        <v>0</v>
      </c>
      <c r="G249" s="11">
        <f>IFERROR(TableWeeklySummary[[#This Row],[Ventas netas totales]]/TableWeeklySummary[[#This Row],[Órdenes totales]],0)</f>
        <v>0</v>
      </c>
      <c r="H24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49" s="11">
        <f>TableWeeklySummary[[#This Row],[Órden promedio totales]]*TableWeeklySummary[[#This Row],[CR totales]]</f>
        <v>0</v>
      </c>
      <c r="J249" s="11">
        <f>SUMIFS(TableDailySummary[Ventas primer cliente],TableDailySummary[Fecha],"&gt;="&amp;TableWeeklySummary[[#This Row],[Desde]],TableDailySummary[Fecha],"&lt;="&amp;TableWeeklySummary[[#This Row],[Hasta]])</f>
        <v>0</v>
      </c>
      <c r="K249" s="11">
        <f>SUMIFS(TableDailySummary[Órdenes primer cliente],TableDailySummary[Fecha],"&gt;="&amp;TableWeeklySummary[[#This Row],[Desde]],TableDailySummary[Fecha],"&lt;="&amp;TableWeeklySummary[[#This Row],[Hasta]])</f>
        <v>0</v>
      </c>
      <c r="L249" s="11">
        <f>SUMIFS(TableDailySummary[Online Store_net_sales],TableDailySummary[Fecha],"&gt;="&amp;TableWeeklySummary[[#This Row],[Desde]],TableDailySummary[Fecha],"&lt;="&amp;TableWeeklySummary[[#This Row],[Hasta]])</f>
        <v>0</v>
      </c>
      <c r="M249" s="11">
        <f>SUMIFS(TableDailySummary[Online Store_orders],TableDailySummary[Fecha],"&gt;="&amp;TableWeeklySummary[[#This Row],[Desde]],TableDailySummary[Fecha],"&lt;="&amp;TableWeeklySummary[[#This Row],[Hasta]])</f>
        <v>0</v>
      </c>
      <c r="N249" s="11">
        <f>SUMIFS(TableDailySummary[Tienda 81_net_sales],TableDailySummary[Fecha],"&gt;="&amp;TableWeeklySummary[[#This Row],[Desde]],TableDailySummary[Fecha],"&lt;="&amp;TableWeeklySummary[[#This Row],[Hasta]])</f>
        <v>0</v>
      </c>
      <c r="O249" s="11">
        <f>SUMIFS(TableDailySummary[Tienda 81_orders],TableDailySummary[Fecha],"&gt;="&amp;TableWeeklySummary[[#This Row],[Desde]],TableDailySummary[Fecha],"&lt;="&amp;TableWeeklySummary[[#This Row],[Hasta]])</f>
        <v>0</v>
      </c>
      <c r="P249" s="11">
        <f>SUMIFS(TableDailySummary[Rappi_net_sales],TableDailySummary[Fecha],"&gt;="&amp;TableWeeklySummary[[#This Row],[Desde]],TableDailySummary[Fecha],"&lt;="&amp;TableWeeklySummary[[#This Row],[Hasta]])</f>
        <v>0</v>
      </c>
      <c r="Q249" s="11">
        <f>SUMIFS(TableDailySummary[Rappi_orders],TableDailySummary[Fecha],"&gt;="&amp;TableWeeklySummary[[#This Row],[Desde]],TableDailySummary[Fecha],"&lt;="&amp;TableWeeklySummary[[#This Row],[Hasta]])</f>
        <v>0</v>
      </c>
      <c r="R24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49" s="11">
        <f>SUMIFS(TableDailySummary[Corporativo no tienda_orders],TableDailySummary[Fecha],"&gt;="&amp;TableWeeklySummary[[#This Row],[Desde]],TableDailySummary[Fecha],"&lt;="&amp;TableWeeklySummary[[#This Row],[Hasta]])</f>
        <v>0</v>
      </c>
      <c r="T249" s="11">
        <f>SUMIFS(TableDailySummary[Inversión google ads],TableDailySummary[Fecha],"&gt;="&amp;TableWeeklySummary[[#This Row],[Desde]],TableDailySummary[Fecha],"&lt;="&amp;TableWeeklySummary[[#This Row],[Hasta]])</f>
        <v>0</v>
      </c>
      <c r="U249" s="11">
        <f>SUMIFS(TableDailySummary[Ventas google ads],TableDailySummary[Fecha],"&gt;="&amp;TableWeeklySummary[[#This Row],[Desde]],TableDailySummary[Fecha],"&lt;="&amp;TableWeeklySummary[[#This Row],[Hasta]])</f>
        <v>0</v>
      </c>
      <c r="V249" s="11">
        <f>SUMIFS(TableDailySummary[Inversión meta ads],TableDailySummary[Fecha],"&gt;="&amp;TableWeeklySummary[[#This Row],[Desde]],TableDailySummary[Fecha],"&lt;="&amp;TableWeeklySummary[[#This Row],[Hasta]])</f>
        <v>0</v>
      </c>
      <c r="W249" s="11">
        <f>SUMIFS(TableDailySummary[Ventas meta ads],TableDailySummary[Fecha],"&gt;="&amp;TableWeeklySummary[[#This Row],[Desde]],TableDailySummary[Fecha],"&lt;="&amp;TableWeeklySummary[[#This Row],[Hasta]])</f>
        <v>0</v>
      </c>
      <c r="X249" s="11">
        <f>TableWeeklySummary[[#This Row],[Inversión google ads]]+TableWeeklySummary[[#This Row],[Inversión meta ads]]</f>
        <v>0</v>
      </c>
      <c r="Y249" s="11">
        <f>TableWeeklySummary[[#This Row],[Ventas google ads]]+TableWeeklySummary[[#This Row],[Ventas meta ads]]</f>
        <v>0</v>
      </c>
      <c r="Z249" s="14">
        <f>IFERROR(TableWeeklySummary[[#This Row],[Ventas publicidad]]/TableWeeklySummary[[#This Row],[Inversión publicidad]],0)</f>
        <v>0</v>
      </c>
      <c r="AA249" s="14">
        <f>IFERROR(TableWeeklySummary[[#This Row],[Ventas primer cliente]]/TableWeeklySummary[[#This Row],[Inversión publicidad]],0)</f>
        <v>0</v>
      </c>
      <c r="AB249" s="14"/>
      <c r="AC249" s="11"/>
      <c r="AI24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49" s="11">
        <f>SUMIFS(TableDailySummary[Costo de ventas registrado],TableDailySummary[Fecha],"&gt;="&amp;TableWeeklySummary[[#This Row],[Desde]],TableDailySummary[Fecha],"&lt;="&amp;TableWeeklySummary[[#This Row],[Hasta]])</f>
        <v>0</v>
      </c>
      <c r="AK249" s="11">
        <f>SUMIFS(TableDailySummary[Utilidad bruta],TableDailySummary[Fecha],"&gt;="&amp;TableWeeklySummary[[#This Row],[Desde]],TableDailySummary[Fecha],"&lt;="&amp;TableWeeklySummary[[#This Row],[Hasta]])</f>
        <v>0</v>
      </c>
      <c r="AL249" s="18">
        <f>IFERROR(TableWeeklySummary[[#This Row],[Utilidad bruta]]/TableWeeklySummary[[#This Row],[Ventas netas con costo registrado]],0)</f>
        <v>0</v>
      </c>
    </row>
    <row r="250" spans="2:38" x14ac:dyDescent="0.2">
      <c r="B250" s="16">
        <f>_xlfn.ISOWEEKNUM(TableWeeklySummary[[#This Row],[Hasta]])</f>
        <v>31</v>
      </c>
      <c r="C250" s="6">
        <f t="shared" si="5"/>
        <v>46227</v>
      </c>
      <c r="D250" s="6">
        <f>TableWeeklySummary[[#This Row],[Desde]]+7-1</f>
        <v>46233</v>
      </c>
      <c r="E250" s="11">
        <f>SUMIFS(TableDailySummary[Ventas netas totales],TableDailySummary[Fecha],"&gt;="&amp;TableWeeklySummary[[#This Row],[Desde]],TableDailySummary[Fecha],"&lt;="&amp;TableWeeklySummary[[#This Row],[Hasta]])</f>
        <v>0</v>
      </c>
      <c r="F250" s="11">
        <f>SUMIFS(TableDailySummary[Órdenes totales],TableDailySummary[Fecha],"&gt;="&amp;TableWeeklySummary[[#This Row],[Desde]],TableDailySummary[Fecha],"&lt;="&amp;TableWeeklySummary[[#This Row],[Hasta]])</f>
        <v>0</v>
      </c>
      <c r="G250" s="11">
        <f>IFERROR(TableWeeklySummary[[#This Row],[Ventas netas totales]]/TableWeeklySummary[[#This Row],[Órdenes totales]],0)</f>
        <v>0</v>
      </c>
      <c r="H25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0" s="11">
        <f>TableWeeklySummary[[#This Row],[Órden promedio totales]]*TableWeeklySummary[[#This Row],[CR totales]]</f>
        <v>0</v>
      </c>
      <c r="J250" s="11">
        <f>SUMIFS(TableDailySummary[Ventas primer cliente],TableDailySummary[Fecha],"&gt;="&amp;TableWeeklySummary[[#This Row],[Desde]],TableDailySummary[Fecha],"&lt;="&amp;TableWeeklySummary[[#This Row],[Hasta]])</f>
        <v>0</v>
      </c>
      <c r="K250" s="11">
        <f>SUMIFS(TableDailySummary[Órdenes primer cliente],TableDailySummary[Fecha],"&gt;="&amp;TableWeeklySummary[[#This Row],[Desde]],TableDailySummary[Fecha],"&lt;="&amp;TableWeeklySummary[[#This Row],[Hasta]])</f>
        <v>0</v>
      </c>
      <c r="L250" s="11">
        <f>SUMIFS(TableDailySummary[Online Store_net_sales],TableDailySummary[Fecha],"&gt;="&amp;TableWeeklySummary[[#This Row],[Desde]],TableDailySummary[Fecha],"&lt;="&amp;TableWeeklySummary[[#This Row],[Hasta]])</f>
        <v>0</v>
      </c>
      <c r="M250" s="11">
        <f>SUMIFS(TableDailySummary[Online Store_orders],TableDailySummary[Fecha],"&gt;="&amp;TableWeeklySummary[[#This Row],[Desde]],TableDailySummary[Fecha],"&lt;="&amp;TableWeeklySummary[[#This Row],[Hasta]])</f>
        <v>0</v>
      </c>
      <c r="N250" s="11">
        <f>SUMIFS(TableDailySummary[Tienda 81_net_sales],TableDailySummary[Fecha],"&gt;="&amp;TableWeeklySummary[[#This Row],[Desde]],TableDailySummary[Fecha],"&lt;="&amp;TableWeeklySummary[[#This Row],[Hasta]])</f>
        <v>0</v>
      </c>
      <c r="O250" s="11">
        <f>SUMIFS(TableDailySummary[Tienda 81_orders],TableDailySummary[Fecha],"&gt;="&amp;TableWeeklySummary[[#This Row],[Desde]],TableDailySummary[Fecha],"&lt;="&amp;TableWeeklySummary[[#This Row],[Hasta]])</f>
        <v>0</v>
      </c>
      <c r="P250" s="11">
        <f>SUMIFS(TableDailySummary[Rappi_net_sales],TableDailySummary[Fecha],"&gt;="&amp;TableWeeklySummary[[#This Row],[Desde]],TableDailySummary[Fecha],"&lt;="&amp;TableWeeklySummary[[#This Row],[Hasta]])</f>
        <v>0</v>
      </c>
      <c r="Q250" s="11">
        <f>SUMIFS(TableDailySummary[Rappi_orders],TableDailySummary[Fecha],"&gt;="&amp;TableWeeklySummary[[#This Row],[Desde]],TableDailySummary[Fecha],"&lt;="&amp;TableWeeklySummary[[#This Row],[Hasta]])</f>
        <v>0</v>
      </c>
      <c r="R25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0" s="11">
        <f>SUMIFS(TableDailySummary[Corporativo no tienda_orders],TableDailySummary[Fecha],"&gt;="&amp;TableWeeklySummary[[#This Row],[Desde]],TableDailySummary[Fecha],"&lt;="&amp;TableWeeklySummary[[#This Row],[Hasta]])</f>
        <v>0</v>
      </c>
      <c r="T250" s="11">
        <f>SUMIFS(TableDailySummary[Inversión google ads],TableDailySummary[Fecha],"&gt;="&amp;TableWeeklySummary[[#This Row],[Desde]],TableDailySummary[Fecha],"&lt;="&amp;TableWeeklySummary[[#This Row],[Hasta]])</f>
        <v>0</v>
      </c>
      <c r="U250" s="11">
        <f>SUMIFS(TableDailySummary[Ventas google ads],TableDailySummary[Fecha],"&gt;="&amp;TableWeeklySummary[[#This Row],[Desde]],TableDailySummary[Fecha],"&lt;="&amp;TableWeeklySummary[[#This Row],[Hasta]])</f>
        <v>0</v>
      </c>
      <c r="V250" s="11">
        <f>SUMIFS(TableDailySummary[Inversión meta ads],TableDailySummary[Fecha],"&gt;="&amp;TableWeeklySummary[[#This Row],[Desde]],TableDailySummary[Fecha],"&lt;="&amp;TableWeeklySummary[[#This Row],[Hasta]])</f>
        <v>0</v>
      </c>
      <c r="W250" s="11">
        <f>SUMIFS(TableDailySummary[Ventas meta ads],TableDailySummary[Fecha],"&gt;="&amp;TableWeeklySummary[[#This Row],[Desde]],TableDailySummary[Fecha],"&lt;="&amp;TableWeeklySummary[[#This Row],[Hasta]])</f>
        <v>0</v>
      </c>
      <c r="X250" s="11">
        <f>TableWeeklySummary[[#This Row],[Inversión google ads]]+TableWeeklySummary[[#This Row],[Inversión meta ads]]</f>
        <v>0</v>
      </c>
      <c r="Y250" s="11">
        <f>TableWeeklySummary[[#This Row],[Ventas google ads]]+TableWeeklySummary[[#This Row],[Ventas meta ads]]</f>
        <v>0</v>
      </c>
      <c r="Z250" s="14">
        <f>IFERROR(TableWeeklySummary[[#This Row],[Ventas publicidad]]/TableWeeklySummary[[#This Row],[Inversión publicidad]],0)</f>
        <v>0</v>
      </c>
      <c r="AA250" s="14">
        <f>IFERROR(TableWeeklySummary[[#This Row],[Ventas primer cliente]]/TableWeeklySummary[[#This Row],[Inversión publicidad]],0)</f>
        <v>0</v>
      </c>
      <c r="AB250" s="14"/>
      <c r="AC250" s="11"/>
      <c r="AI25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0" s="11">
        <f>SUMIFS(TableDailySummary[Costo de ventas registrado],TableDailySummary[Fecha],"&gt;="&amp;TableWeeklySummary[[#This Row],[Desde]],TableDailySummary[Fecha],"&lt;="&amp;TableWeeklySummary[[#This Row],[Hasta]])</f>
        <v>0</v>
      </c>
      <c r="AK250" s="11">
        <f>SUMIFS(TableDailySummary[Utilidad bruta],TableDailySummary[Fecha],"&gt;="&amp;TableWeeklySummary[[#This Row],[Desde]],TableDailySummary[Fecha],"&lt;="&amp;TableWeeklySummary[[#This Row],[Hasta]])</f>
        <v>0</v>
      </c>
      <c r="AL250" s="18">
        <f>IFERROR(TableWeeklySummary[[#This Row],[Utilidad bruta]]/TableWeeklySummary[[#This Row],[Ventas netas con costo registrado]],0)</f>
        <v>0</v>
      </c>
    </row>
    <row r="251" spans="2:38" x14ac:dyDescent="0.2">
      <c r="B251" s="16">
        <f>_xlfn.ISOWEEKNUM(TableWeeklySummary[[#This Row],[Hasta]])</f>
        <v>32</v>
      </c>
      <c r="C251" s="6">
        <f t="shared" si="5"/>
        <v>46234</v>
      </c>
      <c r="D251" s="6">
        <f>TableWeeklySummary[[#This Row],[Desde]]+7-1</f>
        <v>46240</v>
      </c>
      <c r="E251" s="11">
        <f>SUMIFS(TableDailySummary[Ventas netas totales],TableDailySummary[Fecha],"&gt;="&amp;TableWeeklySummary[[#This Row],[Desde]],TableDailySummary[Fecha],"&lt;="&amp;TableWeeklySummary[[#This Row],[Hasta]])</f>
        <v>0</v>
      </c>
      <c r="F251" s="11">
        <f>SUMIFS(TableDailySummary[Órdenes totales],TableDailySummary[Fecha],"&gt;="&amp;TableWeeklySummary[[#This Row],[Desde]],TableDailySummary[Fecha],"&lt;="&amp;TableWeeklySummary[[#This Row],[Hasta]])</f>
        <v>0</v>
      </c>
      <c r="G251" s="11">
        <f>IFERROR(TableWeeklySummary[[#This Row],[Ventas netas totales]]/TableWeeklySummary[[#This Row],[Órdenes totales]],0)</f>
        <v>0</v>
      </c>
      <c r="H25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1" s="11">
        <f>TableWeeklySummary[[#This Row],[Órden promedio totales]]*TableWeeklySummary[[#This Row],[CR totales]]</f>
        <v>0</v>
      </c>
      <c r="J251" s="11">
        <f>SUMIFS(TableDailySummary[Ventas primer cliente],TableDailySummary[Fecha],"&gt;="&amp;TableWeeklySummary[[#This Row],[Desde]],TableDailySummary[Fecha],"&lt;="&amp;TableWeeklySummary[[#This Row],[Hasta]])</f>
        <v>0</v>
      </c>
      <c r="K251" s="11">
        <f>SUMIFS(TableDailySummary[Órdenes primer cliente],TableDailySummary[Fecha],"&gt;="&amp;TableWeeklySummary[[#This Row],[Desde]],TableDailySummary[Fecha],"&lt;="&amp;TableWeeklySummary[[#This Row],[Hasta]])</f>
        <v>0</v>
      </c>
      <c r="L251" s="11">
        <f>SUMIFS(TableDailySummary[Online Store_net_sales],TableDailySummary[Fecha],"&gt;="&amp;TableWeeklySummary[[#This Row],[Desde]],TableDailySummary[Fecha],"&lt;="&amp;TableWeeklySummary[[#This Row],[Hasta]])</f>
        <v>0</v>
      </c>
      <c r="M251" s="11">
        <f>SUMIFS(TableDailySummary[Online Store_orders],TableDailySummary[Fecha],"&gt;="&amp;TableWeeklySummary[[#This Row],[Desde]],TableDailySummary[Fecha],"&lt;="&amp;TableWeeklySummary[[#This Row],[Hasta]])</f>
        <v>0</v>
      </c>
      <c r="N251" s="11">
        <f>SUMIFS(TableDailySummary[Tienda 81_net_sales],TableDailySummary[Fecha],"&gt;="&amp;TableWeeklySummary[[#This Row],[Desde]],TableDailySummary[Fecha],"&lt;="&amp;TableWeeklySummary[[#This Row],[Hasta]])</f>
        <v>0</v>
      </c>
      <c r="O251" s="11">
        <f>SUMIFS(TableDailySummary[Tienda 81_orders],TableDailySummary[Fecha],"&gt;="&amp;TableWeeklySummary[[#This Row],[Desde]],TableDailySummary[Fecha],"&lt;="&amp;TableWeeklySummary[[#This Row],[Hasta]])</f>
        <v>0</v>
      </c>
      <c r="P251" s="11">
        <f>SUMIFS(TableDailySummary[Rappi_net_sales],TableDailySummary[Fecha],"&gt;="&amp;TableWeeklySummary[[#This Row],[Desde]],TableDailySummary[Fecha],"&lt;="&amp;TableWeeklySummary[[#This Row],[Hasta]])</f>
        <v>0</v>
      </c>
      <c r="Q251" s="11">
        <f>SUMIFS(TableDailySummary[Rappi_orders],TableDailySummary[Fecha],"&gt;="&amp;TableWeeklySummary[[#This Row],[Desde]],TableDailySummary[Fecha],"&lt;="&amp;TableWeeklySummary[[#This Row],[Hasta]])</f>
        <v>0</v>
      </c>
      <c r="R25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1" s="11">
        <f>SUMIFS(TableDailySummary[Corporativo no tienda_orders],TableDailySummary[Fecha],"&gt;="&amp;TableWeeklySummary[[#This Row],[Desde]],TableDailySummary[Fecha],"&lt;="&amp;TableWeeklySummary[[#This Row],[Hasta]])</f>
        <v>0</v>
      </c>
      <c r="T251" s="11">
        <f>SUMIFS(TableDailySummary[Inversión google ads],TableDailySummary[Fecha],"&gt;="&amp;TableWeeklySummary[[#This Row],[Desde]],TableDailySummary[Fecha],"&lt;="&amp;TableWeeklySummary[[#This Row],[Hasta]])</f>
        <v>0</v>
      </c>
      <c r="U251" s="11">
        <f>SUMIFS(TableDailySummary[Ventas google ads],TableDailySummary[Fecha],"&gt;="&amp;TableWeeklySummary[[#This Row],[Desde]],TableDailySummary[Fecha],"&lt;="&amp;TableWeeklySummary[[#This Row],[Hasta]])</f>
        <v>0</v>
      </c>
      <c r="V251" s="11">
        <f>SUMIFS(TableDailySummary[Inversión meta ads],TableDailySummary[Fecha],"&gt;="&amp;TableWeeklySummary[[#This Row],[Desde]],TableDailySummary[Fecha],"&lt;="&amp;TableWeeklySummary[[#This Row],[Hasta]])</f>
        <v>0</v>
      </c>
      <c r="W251" s="11">
        <f>SUMIFS(TableDailySummary[Ventas meta ads],TableDailySummary[Fecha],"&gt;="&amp;TableWeeklySummary[[#This Row],[Desde]],TableDailySummary[Fecha],"&lt;="&amp;TableWeeklySummary[[#This Row],[Hasta]])</f>
        <v>0</v>
      </c>
      <c r="X251" s="11">
        <f>TableWeeklySummary[[#This Row],[Inversión google ads]]+TableWeeklySummary[[#This Row],[Inversión meta ads]]</f>
        <v>0</v>
      </c>
      <c r="Y251" s="11">
        <f>TableWeeklySummary[[#This Row],[Ventas google ads]]+TableWeeklySummary[[#This Row],[Ventas meta ads]]</f>
        <v>0</v>
      </c>
      <c r="Z251" s="14">
        <f>IFERROR(TableWeeklySummary[[#This Row],[Ventas publicidad]]/TableWeeklySummary[[#This Row],[Inversión publicidad]],0)</f>
        <v>0</v>
      </c>
      <c r="AA251" s="14">
        <f>IFERROR(TableWeeklySummary[[#This Row],[Ventas primer cliente]]/TableWeeklySummary[[#This Row],[Inversión publicidad]],0)</f>
        <v>0</v>
      </c>
      <c r="AB251" s="14"/>
      <c r="AC251" s="11"/>
      <c r="AI25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1" s="11">
        <f>SUMIFS(TableDailySummary[Costo de ventas registrado],TableDailySummary[Fecha],"&gt;="&amp;TableWeeklySummary[[#This Row],[Desde]],TableDailySummary[Fecha],"&lt;="&amp;TableWeeklySummary[[#This Row],[Hasta]])</f>
        <v>0</v>
      </c>
      <c r="AK251" s="11">
        <f>SUMIFS(TableDailySummary[Utilidad bruta],TableDailySummary[Fecha],"&gt;="&amp;TableWeeklySummary[[#This Row],[Desde]],TableDailySummary[Fecha],"&lt;="&amp;TableWeeklySummary[[#This Row],[Hasta]])</f>
        <v>0</v>
      </c>
      <c r="AL251" s="18">
        <f>IFERROR(TableWeeklySummary[[#This Row],[Utilidad bruta]]/TableWeeklySummary[[#This Row],[Ventas netas con costo registrado]],0)</f>
        <v>0</v>
      </c>
    </row>
    <row r="252" spans="2:38" x14ac:dyDescent="0.2">
      <c r="B252" s="16">
        <f>_xlfn.ISOWEEKNUM(TableWeeklySummary[[#This Row],[Hasta]])</f>
        <v>33</v>
      </c>
      <c r="C252" s="6">
        <f t="shared" si="5"/>
        <v>46241</v>
      </c>
      <c r="D252" s="6">
        <f>TableWeeklySummary[[#This Row],[Desde]]+7-1</f>
        <v>46247</v>
      </c>
      <c r="E252" s="11">
        <f>SUMIFS(TableDailySummary[Ventas netas totales],TableDailySummary[Fecha],"&gt;="&amp;TableWeeklySummary[[#This Row],[Desde]],TableDailySummary[Fecha],"&lt;="&amp;TableWeeklySummary[[#This Row],[Hasta]])</f>
        <v>0</v>
      </c>
      <c r="F252" s="11">
        <f>SUMIFS(TableDailySummary[Órdenes totales],TableDailySummary[Fecha],"&gt;="&amp;TableWeeklySummary[[#This Row],[Desde]],TableDailySummary[Fecha],"&lt;="&amp;TableWeeklySummary[[#This Row],[Hasta]])</f>
        <v>0</v>
      </c>
      <c r="G252" s="11">
        <f>IFERROR(TableWeeklySummary[[#This Row],[Ventas netas totales]]/TableWeeklySummary[[#This Row],[Órdenes totales]],0)</f>
        <v>0</v>
      </c>
      <c r="H25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2" s="11">
        <f>TableWeeklySummary[[#This Row],[Órden promedio totales]]*TableWeeklySummary[[#This Row],[CR totales]]</f>
        <v>0</v>
      </c>
      <c r="J252" s="11">
        <f>SUMIFS(TableDailySummary[Ventas primer cliente],TableDailySummary[Fecha],"&gt;="&amp;TableWeeklySummary[[#This Row],[Desde]],TableDailySummary[Fecha],"&lt;="&amp;TableWeeklySummary[[#This Row],[Hasta]])</f>
        <v>0</v>
      </c>
      <c r="K252" s="11">
        <f>SUMIFS(TableDailySummary[Órdenes primer cliente],TableDailySummary[Fecha],"&gt;="&amp;TableWeeklySummary[[#This Row],[Desde]],TableDailySummary[Fecha],"&lt;="&amp;TableWeeklySummary[[#This Row],[Hasta]])</f>
        <v>0</v>
      </c>
      <c r="L252" s="11">
        <f>SUMIFS(TableDailySummary[Online Store_net_sales],TableDailySummary[Fecha],"&gt;="&amp;TableWeeklySummary[[#This Row],[Desde]],TableDailySummary[Fecha],"&lt;="&amp;TableWeeklySummary[[#This Row],[Hasta]])</f>
        <v>0</v>
      </c>
      <c r="M252" s="11">
        <f>SUMIFS(TableDailySummary[Online Store_orders],TableDailySummary[Fecha],"&gt;="&amp;TableWeeklySummary[[#This Row],[Desde]],TableDailySummary[Fecha],"&lt;="&amp;TableWeeklySummary[[#This Row],[Hasta]])</f>
        <v>0</v>
      </c>
      <c r="N252" s="11">
        <f>SUMIFS(TableDailySummary[Tienda 81_net_sales],TableDailySummary[Fecha],"&gt;="&amp;TableWeeklySummary[[#This Row],[Desde]],TableDailySummary[Fecha],"&lt;="&amp;TableWeeklySummary[[#This Row],[Hasta]])</f>
        <v>0</v>
      </c>
      <c r="O252" s="11">
        <f>SUMIFS(TableDailySummary[Tienda 81_orders],TableDailySummary[Fecha],"&gt;="&amp;TableWeeklySummary[[#This Row],[Desde]],TableDailySummary[Fecha],"&lt;="&amp;TableWeeklySummary[[#This Row],[Hasta]])</f>
        <v>0</v>
      </c>
      <c r="P252" s="11">
        <f>SUMIFS(TableDailySummary[Rappi_net_sales],TableDailySummary[Fecha],"&gt;="&amp;TableWeeklySummary[[#This Row],[Desde]],TableDailySummary[Fecha],"&lt;="&amp;TableWeeklySummary[[#This Row],[Hasta]])</f>
        <v>0</v>
      </c>
      <c r="Q252" s="11">
        <f>SUMIFS(TableDailySummary[Rappi_orders],TableDailySummary[Fecha],"&gt;="&amp;TableWeeklySummary[[#This Row],[Desde]],TableDailySummary[Fecha],"&lt;="&amp;TableWeeklySummary[[#This Row],[Hasta]])</f>
        <v>0</v>
      </c>
      <c r="R25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2" s="11">
        <f>SUMIFS(TableDailySummary[Corporativo no tienda_orders],TableDailySummary[Fecha],"&gt;="&amp;TableWeeklySummary[[#This Row],[Desde]],TableDailySummary[Fecha],"&lt;="&amp;TableWeeklySummary[[#This Row],[Hasta]])</f>
        <v>0</v>
      </c>
      <c r="T252" s="11">
        <f>SUMIFS(TableDailySummary[Inversión google ads],TableDailySummary[Fecha],"&gt;="&amp;TableWeeklySummary[[#This Row],[Desde]],TableDailySummary[Fecha],"&lt;="&amp;TableWeeklySummary[[#This Row],[Hasta]])</f>
        <v>0</v>
      </c>
      <c r="U252" s="11">
        <f>SUMIFS(TableDailySummary[Ventas google ads],TableDailySummary[Fecha],"&gt;="&amp;TableWeeklySummary[[#This Row],[Desde]],TableDailySummary[Fecha],"&lt;="&amp;TableWeeklySummary[[#This Row],[Hasta]])</f>
        <v>0</v>
      </c>
      <c r="V252" s="11">
        <f>SUMIFS(TableDailySummary[Inversión meta ads],TableDailySummary[Fecha],"&gt;="&amp;TableWeeklySummary[[#This Row],[Desde]],TableDailySummary[Fecha],"&lt;="&amp;TableWeeklySummary[[#This Row],[Hasta]])</f>
        <v>0</v>
      </c>
      <c r="W252" s="11">
        <f>SUMIFS(TableDailySummary[Ventas meta ads],TableDailySummary[Fecha],"&gt;="&amp;TableWeeklySummary[[#This Row],[Desde]],TableDailySummary[Fecha],"&lt;="&amp;TableWeeklySummary[[#This Row],[Hasta]])</f>
        <v>0</v>
      </c>
      <c r="X252" s="11">
        <f>TableWeeklySummary[[#This Row],[Inversión google ads]]+TableWeeklySummary[[#This Row],[Inversión meta ads]]</f>
        <v>0</v>
      </c>
      <c r="Y252" s="11">
        <f>TableWeeklySummary[[#This Row],[Ventas google ads]]+TableWeeklySummary[[#This Row],[Ventas meta ads]]</f>
        <v>0</v>
      </c>
      <c r="Z252" s="14">
        <f>IFERROR(TableWeeklySummary[[#This Row],[Ventas publicidad]]/TableWeeklySummary[[#This Row],[Inversión publicidad]],0)</f>
        <v>0</v>
      </c>
      <c r="AA252" s="14">
        <f>IFERROR(TableWeeklySummary[[#This Row],[Ventas primer cliente]]/TableWeeklySummary[[#This Row],[Inversión publicidad]],0)</f>
        <v>0</v>
      </c>
      <c r="AB252" s="14"/>
      <c r="AC252" s="11"/>
      <c r="AI25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2" s="11">
        <f>SUMIFS(TableDailySummary[Costo de ventas registrado],TableDailySummary[Fecha],"&gt;="&amp;TableWeeklySummary[[#This Row],[Desde]],TableDailySummary[Fecha],"&lt;="&amp;TableWeeklySummary[[#This Row],[Hasta]])</f>
        <v>0</v>
      </c>
      <c r="AK252" s="11">
        <f>SUMIFS(TableDailySummary[Utilidad bruta],TableDailySummary[Fecha],"&gt;="&amp;TableWeeklySummary[[#This Row],[Desde]],TableDailySummary[Fecha],"&lt;="&amp;TableWeeklySummary[[#This Row],[Hasta]])</f>
        <v>0</v>
      </c>
      <c r="AL252" s="18">
        <f>IFERROR(TableWeeklySummary[[#This Row],[Utilidad bruta]]/TableWeeklySummary[[#This Row],[Ventas netas con costo registrado]],0)</f>
        <v>0</v>
      </c>
    </row>
    <row r="253" spans="2:38" x14ac:dyDescent="0.2">
      <c r="B253" s="16">
        <f>_xlfn.ISOWEEKNUM(TableWeeklySummary[[#This Row],[Hasta]])</f>
        <v>34</v>
      </c>
      <c r="C253" s="6">
        <f t="shared" si="5"/>
        <v>46248</v>
      </c>
      <c r="D253" s="6">
        <f>TableWeeklySummary[[#This Row],[Desde]]+7-1</f>
        <v>46254</v>
      </c>
      <c r="E253" s="11">
        <f>SUMIFS(TableDailySummary[Ventas netas totales],TableDailySummary[Fecha],"&gt;="&amp;TableWeeklySummary[[#This Row],[Desde]],TableDailySummary[Fecha],"&lt;="&amp;TableWeeklySummary[[#This Row],[Hasta]])</f>
        <v>0</v>
      </c>
      <c r="F253" s="11">
        <f>SUMIFS(TableDailySummary[Órdenes totales],TableDailySummary[Fecha],"&gt;="&amp;TableWeeklySummary[[#This Row],[Desde]],TableDailySummary[Fecha],"&lt;="&amp;TableWeeklySummary[[#This Row],[Hasta]])</f>
        <v>0</v>
      </c>
      <c r="G253" s="11">
        <f>IFERROR(TableWeeklySummary[[#This Row],[Ventas netas totales]]/TableWeeklySummary[[#This Row],[Órdenes totales]],0)</f>
        <v>0</v>
      </c>
      <c r="H25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3" s="11">
        <f>TableWeeklySummary[[#This Row],[Órden promedio totales]]*TableWeeklySummary[[#This Row],[CR totales]]</f>
        <v>0</v>
      </c>
      <c r="J253" s="11">
        <f>SUMIFS(TableDailySummary[Ventas primer cliente],TableDailySummary[Fecha],"&gt;="&amp;TableWeeklySummary[[#This Row],[Desde]],TableDailySummary[Fecha],"&lt;="&amp;TableWeeklySummary[[#This Row],[Hasta]])</f>
        <v>0</v>
      </c>
      <c r="K253" s="11">
        <f>SUMIFS(TableDailySummary[Órdenes primer cliente],TableDailySummary[Fecha],"&gt;="&amp;TableWeeklySummary[[#This Row],[Desde]],TableDailySummary[Fecha],"&lt;="&amp;TableWeeklySummary[[#This Row],[Hasta]])</f>
        <v>0</v>
      </c>
      <c r="L253" s="11">
        <f>SUMIFS(TableDailySummary[Online Store_net_sales],TableDailySummary[Fecha],"&gt;="&amp;TableWeeklySummary[[#This Row],[Desde]],TableDailySummary[Fecha],"&lt;="&amp;TableWeeklySummary[[#This Row],[Hasta]])</f>
        <v>0</v>
      </c>
      <c r="M253" s="11">
        <f>SUMIFS(TableDailySummary[Online Store_orders],TableDailySummary[Fecha],"&gt;="&amp;TableWeeklySummary[[#This Row],[Desde]],TableDailySummary[Fecha],"&lt;="&amp;TableWeeklySummary[[#This Row],[Hasta]])</f>
        <v>0</v>
      </c>
      <c r="N253" s="11">
        <f>SUMIFS(TableDailySummary[Tienda 81_net_sales],TableDailySummary[Fecha],"&gt;="&amp;TableWeeklySummary[[#This Row],[Desde]],TableDailySummary[Fecha],"&lt;="&amp;TableWeeklySummary[[#This Row],[Hasta]])</f>
        <v>0</v>
      </c>
      <c r="O253" s="11">
        <f>SUMIFS(TableDailySummary[Tienda 81_orders],TableDailySummary[Fecha],"&gt;="&amp;TableWeeklySummary[[#This Row],[Desde]],TableDailySummary[Fecha],"&lt;="&amp;TableWeeklySummary[[#This Row],[Hasta]])</f>
        <v>0</v>
      </c>
      <c r="P253" s="11">
        <f>SUMIFS(TableDailySummary[Rappi_net_sales],TableDailySummary[Fecha],"&gt;="&amp;TableWeeklySummary[[#This Row],[Desde]],TableDailySummary[Fecha],"&lt;="&amp;TableWeeklySummary[[#This Row],[Hasta]])</f>
        <v>0</v>
      </c>
      <c r="Q253" s="11">
        <f>SUMIFS(TableDailySummary[Rappi_orders],TableDailySummary[Fecha],"&gt;="&amp;TableWeeklySummary[[#This Row],[Desde]],TableDailySummary[Fecha],"&lt;="&amp;TableWeeklySummary[[#This Row],[Hasta]])</f>
        <v>0</v>
      </c>
      <c r="R25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3" s="11">
        <f>SUMIFS(TableDailySummary[Corporativo no tienda_orders],TableDailySummary[Fecha],"&gt;="&amp;TableWeeklySummary[[#This Row],[Desde]],TableDailySummary[Fecha],"&lt;="&amp;TableWeeklySummary[[#This Row],[Hasta]])</f>
        <v>0</v>
      </c>
      <c r="T253" s="11">
        <f>SUMIFS(TableDailySummary[Inversión google ads],TableDailySummary[Fecha],"&gt;="&amp;TableWeeklySummary[[#This Row],[Desde]],TableDailySummary[Fecha],"&lt;="&amp;TableWeeklySummary[[#This Row],[Hasta]])</f>
        <v>0</v>
      </c>
      <c r="U253" s="11">
        <f>SUMIFS(TableDailySummary[Ventas google ads],TableDailySummary[Fecha],"&gt;="&amp;TableWeeklySummary[[#This Row],[Desde]],TableDailySummary[Fecha],"&lt;="&amp;TableWeeklySummary[[#This Row],[Hasta]])</f>
        <v>0</v>
      </c>
      <c r="V253" s="11">
        <f>SUMIFS(TableDailySummary[Inversión meta ads],TableDailySummary[Fecha],"&gt;="&amp;TableWeeklySummary[[#This Row],[Desde]],TableDailySummary[Fecha],"&lt;="&amp;TableWeeklySummary[[#This Row],[Hasta]])</f>
        <v>0</v>
      </c>
      <c r="W253" s="11">
        <f>SUMIFS(TableDailySummary[Ventas meta ads],TableDailySummary[Fecha],"&gt;="&amp;TableWeeklySummary[[#This Row],[Desde]],TableDailySummary[Fecha],"&lt;="&amp;TableWeeklySummary[[#This Row],[Hasta]])</f>
        <v>0</v>
      </c>
      <c r="X253" s="11">
        <f>TableWeeklySummary[[#This Row],[Inversión google ads]]+TableWeeklySummary[[#This Row],[Inversión meta ads]]</f>
        <v>0</v>
      </c>
      <c r="Y253" s="11">
        <f>TableWeeklySummary[[#This Row],[Ventas google ads]]+TableWeeklySummary[[#This Row],[Ventas meta ads]]</f>
        <v>0</v>
      </c>
      <c r="Z253" s="14">
        <f>IFERROR(TableWeeklySummary[[#This Row],[Ventas publicidad]]/TableWeeklySummary[[#This Row],[Inversión publicidad]],0)</f>
        <v>0</v>
      </c>
      <c r="AA253" s="14">
        <f>IFERROR(TableWeeklySummary[[#This Row],[Ventas primer cliente]]/TableWeeklySummary[[#This Row],[Inversión publicidad]],0)</f>
        <v>0</v>
      </c>
      <c r="AB253" s="14"/>
      <c r="AC253" s="11"/>
      <c r="AI25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3" s="11">
        <f>SUMIFS(TableDailySummary[Costo de ventas registrado],TableDailySummary[Fecha],"&gt;="&amp;TableWeeklySummary[[#This Row],[Desde]],TableDailySummary[Fecha],"&lt;="&amp;TableWeeklySummary[[#This Row],[Hasta]])</f>
        <v>0</v>
      </c>
      <c r="AK253" s="11">
        <f>SUMIFS(TableDailySummary[Utilidad bruta],TableDailySummary[Fecha],"&gt;="&amp;TableWeeklySummary[[#This Row],[Desde]],TableDailySummary[Fecha],"&lt;="&amp;TableWeeklySummary[[#This Row],[Hasta]])</f>
        <v>0</v>
      </c>
      <c r="AL253" s="18">
        <f>IFERROR(TableWeeklySummary[[#This Row],[Utilidad bruta]]/TableWeeklySummary[[#This Row],[Ventas netas con costo registrado]],0)</f>
        <v>0</v>
      </c>
    </row>
    <row r="254" spans="2:38" x14ac:dyDescent="0.2">
      <c r="B254" s="16">
        <f>_xlfn.ISOWEEKNUM(TableWeeklySummary[[#This Row],[Hasta]])</f>
        <v>35</v>
      </c>
      <c r="C254" s="6">
        <f t="shared" si="5"/>
        <v>46255</v>
      </c>
      <c r="D254" s="6">
        <f>TableWeeklySummary[[#This Row],[Desde]]+7-1</f>
        <v>46261</v>
      </c>
      <c r="E254" s="11">
        <f>SUMIFS(TableDailySummary[Ventas netas totales],TableDailySummary[Fecha],"&gt;="&amp;TableWeeklySummary[[#This Row],[Desde]],TableDailySummary[Fecha],"&lt;="&amp;TableWeeklySummary[[#This Row],[Hasta]])</f>
        <v>0</v>
      </c>
      <c r="F254" s="11">
        <f>SUMIFS(TableDailySummary[Órdenes totales],TableDailySummary[Fecha],"&gt;="&amp;TableWeeklySummary[[#This Row],[Desde]],TableDailySummary[Fecha],"&lt;="&amp;TableWeeklySummary[[#This Row],[Hasta]])</f>
        <v>0</v>
      </c>
      <c r="G254" s="11">
        <f>IFERROR(TableWeeklySummary[[#This Row],[Ventas netas totales]]/TableWeeklySummary[[#This Row],[Órdenes totales]],0)</f>
        <v>0</v>
      </c>
      <c r="H25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4" s="11">
        <f>TableWeeklySummary[[#This Row],[Órden promedio totales]]*TableWeeklySummary[[#This Row],[CR totales]]</f>
        <v>0</v>
      </c>
      <c r="J254" s="11">
        <f>SUMIFS(TableDailySummary[Ventas primer cliente],TableDailySummary[Fecha],"&gt;="&amp;TableWeeklySummary[[#This Row],[Desde]],TableDailySummary[Fecha],"&lt;="&amp;TableWeeklySummary[[#This Row],[Hasta]])</f>
        <v>0</v>
      </c>
      <c r="K254" s="11">
        <f>SUMIFS(TableDailySummary[Órdenes primer cliente],TableDailySummary[Fecha],"&gt;="&amp;TableWeeklySummary[[#This Row],[Desde]],TableDailySummary[Fecha],"&lt;="&amp;TableWeeklySummary[[#This Row],[Hasta]])</f>
        <v>0</v>
      </c>
      <c r="L254" s="11">
        <f>SUMIFS(TableDailySummary[Online Store_net_sales],TableDailySummary[Fecha],"&gt;="&amp;TableWeeklySummary[[#This Row],[Desde]],TableDailySummary[Fecha],"&lt;="&amp;TableWeeklySummary[[#This Row],[Hasta]])</f>
        <v>0</v>
      </c>
      <c r="M254" s="11">
        <f>SUMIFS(TableDailySummary[Online Store_orders],TableDailySummary[Fecha],"&gt;="&amp;TableWeeklySummary[[#This Row],[Desde]],TableDailySummary[Fecha],"&lt;="&amp;TableWeeklySummary[[#This Row],[Hasta]])</f>
        <v>0</v>
      </c>
      <c r="N254" s="11">
        <f>SUMIFS(TableDailySummary[Tienda 81_net_sales],TableDailySummary[Fecha],"&gt;="&amp;TableWeeklySummary[[#This Row],[Desde]],TableDailySummary[Fecha],"&lt;="&amp;TableWeeklySummary[[#This Row],[Hasta]])</f>
        <v>0</v>
      </c>
      <c r="O254" s="11">
        <f>SUMIFS(TableDailySummary[Tienda 81_orders],TableDailySummary[Fecha],"&gt;="&amp;TableWeeklySummary[[#This Row],[Desde]],TableDailySummary[Fecha],"&lt;="&amp;TableWeeklySummary[[#This Row],[Hasta]])</f>
        <v>0</v>
      </c>
      <c r="P254" s="11">
        <f>SUMIFS(TableDailySummary[Rappi_net_sales],TableDailySummary[Fecha],"&gt;="&amp;TableWeeklySummary[[#This Row],[Desde]],TableDailySummary[Fecha],"&lt;="&amp;TableWeeklySummary[[#This Row],[Hasta]])</f>
        <v>0</v>
      </c>
      <c r="Q254" s="11">
        <f>SUMIFS(TableDailySummary[Rappi_orders],TableDailySummary[Fecha],"&gt;="&amp;TableWeeklySummary[[#This Row],[Desde]],TableDailySummary[Fecha],"&lt;="&amp;TableWeeklySummary[[#This Row],[Hasta]])</f>
        <v>0</v>
      </c>
      <c r="R25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4" s="11">
        <f>SUMIFS(TableDailySummary[Corporativo no tienda_orders],TableDailySummary[Fecha],"&gt;="&amp;TableWeeklySummary[[#This Row],[Desde]],TableDailySummary[Fecha],"&lt;="&amp;TableWeeklySummary[[#This Row],[Hasta]])</f>
        <v>0</v>
      </c>
      <c r="T254" s="11">
        <f>SUMIFS(TableDailySummary[Inversión google ads],TableDailySummary[Fecha],"&gt;="&amp;TableWeeklySummary[[#This Row],[Desde]],TableDailySummary[Fecha],"&lt;="&amp;TableWeeklySummary[[#This Row],[Hasta]])</f>
        <v>0</v>
      </c>
      <c r="U254" s="11">
        <f>SUMIFS(TableDailySummary[Ventas google ads],TableDailySummary[Fecha],"&gt;="&amp;TableWeeklySummary[[#This Row],[Desde]],TableDailySummary[Fecha],"&lt;="&amp;TableWeeklySummary[[#This Row],[Hasta]])</f>
        <v>0</v>
      </c>
      <c r="V254" s="11">
        <f>SUMIFS(TableDailySummary[Inversión meta ads],TableDailySummary[Fecha],"&gt;="&amp;TableWeeklySummary[[#This Row],[Desde]],TableDailySummary[Fecha],"&lt;="&amp;TableWeeklySummary[[#This Row],[Hasta]])</f>
        <v>0</v>
      </c>
      <c r="W254" s="11">
        <f>SUMIFS(TableDailySummary[Ventas meta ads],TableDailySummary[Fecha],"&gt;="&amp;TableWeeklySummary[[#This Row],[Desde]],TableDailySummary[Fecha],"&lt;="&amp;TableWeeklySummary[[#This Row],[Hasta]])</f>
        <v>0</v>
      </c>
      <c r="X254" s="11">
        <f>TableWeeklySummary[[#This Row],[Inversión google ads]]+TableWeeklySummary[[#This Row],[Inversión meta ads]]</f>
        <v>0</v>
      </c>
      <c r="Y254" s="11">
        <f>TableWeeklySummary[[#This Row],[Ventas google ads]]+TableWeeklySummary[[#This Row],[Ventas meta ads]]</f>
        <v>0</v>
      </c>
      <c r="Z254" s="14">
        <f>IFERROR(TableWeeklySummary[[#This Row],[Ventas publicidad]]/TableWeeklySummary[[#This Row],[Inversión publicidad]],0)</f>
        <v>0</v>
      </c>
      <c r="AA254" s="14">
        <f>IFERROR(TableWeeklySummary[[#This Row],[Ventas primer cliente]]/TableWeeklySummary[[#This Row],[Inversión publicidad]],0)</f>
        <v>0</v>
      </c>
      <c r="AB254" s="14"/>
      <c r="AC254" s="11"/>
      <c r="AI25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4" s="11">
        <f>SUMIFS(TableDailySummary[Costo de ventas registrado],TableDailySummary[Fecha],"&gt;="&amp;TableWeeklySummary[[#This Row],[Desde]],TableDailySummary[Fecha],"&lt;="&amp;TableWeeklySummary[[#This Row],[Hasta]])</f>
        <v>0</v>
      </c>
      <c r="AK254" s="11">
        <f>SUMIFS(TableDailySummary[Utilidad bruta],TableDailySummary[Fecha],"&gt;="&amp;TableWeeklySummary[[#This Row],[Desde]],TableDailySummary[Fecha],"&lt;="&amp;TableWeeklySummary[[#This Row],[Hasta]])</f>
        <v>0</v>
      </c>
      <c r="AL254" s="18">
        <f>IFERROR(TableWeeklySummary[[#This Row],[Utilidad bruta]]/TableWeeklySummary[[#This Row],[Ventas netas con costo registrado]],0)</f>
        <v>0</v>
      </c>
    </row>
    <row r="255" spans="2:38" x14ac:dyDescent="0.2">
      <c r="B255" s="16">
        <f>_xlfn.ISOWEEKNUM(TableWeeklySummary[[#This Row],[Hasta]])</f>
        <v>36</v>
      </c>
      <c r="C255" s="6">
        <f t="shared" si="5"/>
        <v>46262</v>
      </c>
      <c r="D255" s="6">
        <f>TableWeeklySummary[[#This Row],[Desde]]+7-1</f>
        <v>46268</v>
      </c>
      <c r="E255" s="11">
        <f>SUMIFS(TableDailySummary[Ventas netas totales],TableDailySummary[Fecha],"&gt;="&amp;TableWeeklySummary[[#This Row],[Desde]],TableDailySummary[Fecha],"&lt;="&amp;TableWeeklySummary[[#This Row],[Hasta]])</f>
        <v>0</v>
      </c>
      <c r="F255" s="11">
        <f>SUMIFS(TableDailySummary[Órdenes totales],TableDailySummary[Fecha],"&gt;="&amp;TableWeeklySummary[[#This Row],[Desde]],TableDailySummary[Fecha],"&lt;="&amp;TableWeeklySummary[[#This Row],[Hasta]])</f>
        <v>0</v>
      </c>
      <c r="G255" s="11">
        <f>IFERROR(TableWeeklySummary[[#This Row],[Ventas netas totales]]/TableWeeklySummary[[#This Row],[Órdenes totales]],0)</f>
        <v>0</v>
      </c>
      <c r="H25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5" s="11">
        <f>TableWeeklySummary[[#This Row],[Órden promedio totales]]*TableWeeklySummary[[#This Row],[CR totales]]</f>
        <v>0</v>
      </c>
      <c r="J255" s="11">
        <f>SUMIFS(TableDailySummary[Ventas primer cliente],TableDailySummary[Fecha],"&gt;="&amp;TableWeeklySummary[[#This Row],[Desde]],TableDailySummary[Fecha],"&lt;="&amp;TableWeeklySummary[[#This Row],[Hasta]])</f>
        <v>0</v>
      </c>
      <c r="K255" s="11">
        <f>SUMIFS(TableDailySummary[Órdenes primer cliente],TableDailySummary[Fecha],"&gt;="&amp;TableWeeklySummary[[#This Row],[Desde]],TableDailySummary[Fecha],"&lt;="&amp;TableWeeklySummary[[#This Row],[Hasta]])</f>
        <v>0</v>
      </c>
      <c r="L255" s="11">
        <f>SUMIFS(TableDailySummary[Online Store_net_sales],TableDailySummary[Fecha],"&gt;="&amp;TableWeeklySummary[[#This Row],[Desde]],TableDailySummary[Fecha],"&lt;="&amp;TableWeeklySummary[[#This Row],[Hasta]])</f>
        <v>0</v>
      </c>
      <c r="M255" s="11">
        <f>SUMIFS(TableDailySummary[Online Store_orders],TableDailySummary[Fecha],"&gt;="&amp;TableWeeklySummary[[#This Row],[Desde]],TableDailySummary[Fecha],"&lt;="&amp;TableWeeklySummary[[#This Row],[Hasta]])</f>
        <v>0</v>
      </c>
      <c r="N255" s="11">
        <f>SUMIFS(TableDailySummary[Tienda 81_net_sales],TableDailySummary[Fecha],"&gt;="&amp;TableWeeklySummary[[#This Row],[Desde]],TableDailySummary[Fecha],"&lt;="&amp;TableWeeklySummary[[#This Row],[Hasta]])</f>
        <v>0</v>
      </c>
      <c r="O255" s="11">
        <f>SUMIFS(TableDailySummary[Tienda 81_orders],TableDailySummary[Fecha],"&gt;="&amp;TableWeeklySummary[[#This Row],[Desde]],TableDailySummary[Fecha],"&lt;="&amp;TableWeeklySummary[[#This Row],[Hasta]])</f>
        <v>0</v>
      </c>
      <c r="P255" s="11">
        <f>SUMIFS(TableDailySummary[Rappi_net_sales],TableDailySummary[Fecha],"&gt;="&amp;TableWeeklySummary[[#This Row],[Desde]],TableDailySummary[Fecha],"&lt;="&amp;TableWeeklySummary[[#This Row],[Hasta]])</f>
        <v>0</v>
      </c>
      <c r="Q255" s="11">
        <f>SUMIFS(TableDailySummary[Rappi_orders],TableDailySummary[Fecha],"&gt;="&amp;TableWeeklySummary[[#This Row],[Desde]],TableDailySummary[Fecha],"&lt;="&amp;TableWeeklySummary[[#This Row],[Hasta]])</f>
        <v>0</v>
      </c>
      <c r="R25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5" s="11">
        <f>SUMIFS(TableDailySummary[Corporativo no tienda_orders],TableDailySummary[Fecha],"&gt;="&amp;TableWeeklySummary[[#This Row],[Desde]],TableDailySummary[Fecha],"&lt;="&amp;TableWeeklySummary[[#This Row],[Hasta]])</f>
        <v>0</v>
      </c>
      <c r="T255" s="11">
        <f>SUMIFS(TableDailySummary[Inversión google ads],TableDailySummary[Fecha],"&gt;="&amp;TableWeeklySummary[[#This Row],[Desde]],TableDailySummary[Fecha],"&lt;="&amp;TableWeeklySummary[[#This Row],[Hasta]])</f>
        <v>0</v>
      </c>
      <c r="U255" s="11">
        <f>SUMIFS(TableDailySummary[Ventas google ads],TableDailySummary[Fecha],"&gt;="&amp;TableWeeklySummary[[#This Row],[Desde]],TableDailySummary[Fecha],"&lt;="&amp;TableWeeklySummary[[#This Row],[Hasta]])</f>
        <v>0</v>
      </c>
      <c r="V255" s="11">
        <f>SUMIFS(TableDailySummary[Inversión meta ads],TableDailySummary[Fecha],"&gt;="&amp;TableWeeklySummary[[#This Row],[Desde]],TableDailySummary[Fecha],"&lt;="&amp;TableWeeklySummary[[#This Row],[Hasta]])</f>
        <v>0</v>
      </c>
      <c r="W255" s="11">
        <f>SUMIFS(TableDailySummary[Ventas meta ads],TableDailySummary[Fecha],"&gt;="&amp;TableWeeklySummary[[#This Row],[Desde]],TableDailySummary[Fecha],"&lt;="&amp;TableWeeklySummary[[#This Row],[Hasta]])</f>
        <v>0</v>
      </c>
      <c r="X255" s="11">
        <f>TableWeeklySummary[[#This Row],[Inversión google ads]]+TableWeeklySummary[[#This Row],[Inversión meta ads]]</f>
        <v>0</v>
      </c>
      <c r="Y255" s="11">
        <f>TableWeeklySummary[[#This Row],[Ventas google ads]]+TableWeeklySummary[[#This Row],[Ventas meta ads]]</f>
        <v>0</v>
      </c>
      <c r="Z255" s="14">
        <f>IFERROR(TableWeeklySummary[[#This Row],[Ventas publicidad]]/TableWeeklySummary[[#This Row],[Inversión publicidad]],0)</f>
        <v>0</v>
      </c>
      <c r="AA255" s="14">
        <f>IFERROR(TableWeeklySummary[[#This Row],[Ventas primer cliente]]/TableWeeklySummary[[#This Row],[Inversión publicidad]],0)</f>
        <v>0</v>
      </c>
      <c r="AB255" s="14"/>
      <c r="AC255" s="11"/>
      <c r="AI25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5" s="11">
        <f>SUMIFS(TableDailySummary[Costo de ventas registrado],TableDailySummary[Fecha],"&gt;="&amp;TableWeeklySummary[[#This Row],[Desde]],TableDailySummary[Fecha],"&lt;="&amp;TableWeeklySummary[[#This Row],[Hasta]])</f>
        <v>0</v>
      </c>
      <c r="AK255" s="11">
        <f>SUMIFS(TableDailySummary[Utilidad bruta],TableDailySummary[Fecha],"&gt;="&amp;TableWeeklySummary[[#This Row],[Desde]],TableDailySummary[Fecha],"&lt;="&amp;TableWeeklySummary[[#This Row],[Hasta]])</f>
        <v>0</v>
      </c>
      <c r="AL255" s="18">
        <f>IFERROR(TableWeeklySummary[[#This Row],[Utilidad bruta]]/TableWeeklySummary[[#This Row],[Ventas netas con costo registrado]],0)</f>
        <v>0</v>
      </c>
    </row>
    <row r="256" spans="2:38" x14ac:dyDescent="0.2">
      <c r="B256" s="16">
        <f>_xlfn.ISOWEEKNUM(TableWeeklySummary[[#This Row],[Hasta]])</f>
        <v>37</v>
      </c>
      <c r="C256" s="6">
        <f t="shared" ref="C256:C319" si="6">_xlfn.LET(
    _xlpm.fechaini, ParamFechaInicioReporte,
    _xlpm.start_friday, IF(WEEKDAY(_xlpm.fechaini, 1) = 6, _xlpm.fechaini, _xlpm.fechaini - MOD(WEEKDAY(_xlpm.fechaini, 1) + 1, 7)),
    IF(ROW()=8, _xlpm.start_friday, C255 + 7)
)</f>
        <v>46269</v>
      </c>
      <c r="D256" s="6">
        <f>TableWeeklySummary[[#This Row],[Desde]]+7-1</f>
        <v>46275</v>
      </c>
      <c r="E256" s="11">
        <f>SUMIFS(TableDailySummary[Ventas netas totales],TableDailySummary[Fecha],"&gt;="&amp;TableWeeklySummary[[#This Row],[Desde]],TableDailySummary[Fecha],"&lt;="&amp;TableWeeklySummary[[#This Row],[Hasta]])</f>
        <v>0</v>
      </c>
      <c r="F256" s="11">
        <f>SUMIFS(TableDailySummary[Órdenes totales],TableDailySummary[Fecha],"&gt;="&amp;TableWeeklySummary[[#This Row],[Desde]],TableDailySummary[Fecha],"&lt;="&amp;TableWeeklySummary[[#This Row],[Hasta]])</f>
        <v>0</v>
      </c>
      <c r="G256" s="11">
        <f>IFERROR(TableWeeklySummary[[#This Row],[Ventas netas totales]]/TableWeeklySummary[[#This Row],[Órdenes totales]],0)</f>
        <v>0</v>
      </c>
      <c r="H25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6" s="11">
        <f>TableWeeklySummary[[#This Row],[Órden promedio totales]]*TableWeeklySummary[[#This Row],[CR totales]]</f>
        <v>0</v>
      </c>
      <c r="J256" s="11">
        <f>SUMIFS(TableDailySummary[Ventas primer cliente],TableDailySummary[Fecha],"&gt;="&amp;TableWeeklySummary[[#This Row],[Desde]],TableDailySummary[Fecha],"&lt;="&amp;TableWeeklySummary[[#This Row],[Hasta]])</f>
        <v>0</v>
      </c>
      <c r="K256" s="11">
        <f>SUMIFS(TableDailySummary[Órdenes primer cliente],TableDailySummary[Fecha],"&gt;="&amp;TableWeeklySummary[[#This Row],[Desde]],TableDailySummary[Fecha],"&lt;="&amp;TableWeeklySummary[[#This Row],[Hasta]])</f>
        <v>0</v>
      </c>
      <c r="L256" s="11">
        <f>SUMIFS(TableDailySummary[Online Store_net_sales],TableDailySummary[Fecha],"&gt;="&amp;TableWeeklySummary[[#This Row],[Desde]],TableDailySummary[Fecha],"&lt;="&amp;TableWeeklySummary[[#This Row],[Hasta]])</f>
        <v>0</v>
      </c>
      <c r="M256" s="11">
        <f>SUMIFS(TableDailySummary[Online Store_orders],TableDailySummary[Fecha],"&gt;="&amp;TableWeeklySummary[[#This Row],[Desde]],TableDailySummary[Fecha],"&lt;="&amp;TableWeeklySummary[[#This Row],[Hasta]])</f>
        <v>0</v>
      </c>
      <c r="N256" s="11">
        <f>SUMIFS(TableDailySummary[Tienda 81_net_sales],TableDailySummary[Fecha],"&gt;="&amp;TableWeeklySummary[[#This Row],[Desde]],TableDailySummary[Fecha],"&lt;="&amp;TableWeeklySummary[[#This Row],[Hasta]])</f>
        <v>0</v>
      </c>
      <c r="O256" s="11">
        <f>SUMIFS(TableDailySummary[Tienda 81_orders],TableDailySummary[Fecha],"&gt;="&amp;TableWeeklySummary[[#This Row],[Desde]],TableDailySummary[Fecha],"&lt;="&amp;TableWeeklySummary[[#This Row],[Hasta]])</f>
        <v>0</v>
      </c>
      <c r="P256" s="11">
        <f>SUMIFS(TableDailySummary[Rappi_net_sales],TableDailySummary[Fecha],"&gt;="&amp;TableWeeklySummary[[#This Row],[Desde]],TableDailySummary[Fecha],"&lt;="&amp;TableWeeklySummary[[#This Row],[Hasta]])</f>
        <v>0</v>
      </c>
      <c r="Q256" s="11">
        <f>SUMIFS(TableDailySummary[Rappi_orders],TableDailySummary[Fecha],"&gt;="&amp;TableWeeklySummary[[#This Row],[Desde]],TableDailySummary[Fecha],"&lt;="&amp;TableWeeklySummary[[#This Row],[Hasta]])</f>
        <v>0</v>
      </c>
      <c r="R25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6" s="11">
        <f>SUMIFS(TableDailySummary[Corporativo no tienda_orders],TableDailySummary[Fecha],"&gt;="&amp;TableWeeklySummary[[#This Row],[Desde]],TableDailySummary[Fecha],"&lt;="&amp;TableWeeklySummary[[#This Row],[Hasta]])</f>
        <v>0</v>
      </c>
      <c r="T256" s="11">
        <f>SUMIFS(TableDailySummary[Inversión google ads],TableDailySummary[Fecha],"&gt;="&amp;TableWeeklySummary[[#This Row],[Desde]],TableDailySummary[Fecha],"&lt;="&amp;TableWeeklySummary[[#This Row],[Hasta]])</f>
        <v>0</v>
      </c>
      <c r="U256" s="11">
        <f>SUMIFS(TableDailySummary[Ventas google ads],TableDailySummary[Fecha],"&gt;="&amp;TableWeeklySummary[[#This Row],[Desde]],TableDailySummary[Fecha],"&lt;="&amp;TableWeeklySummary[[#This Row],[Hasta]])</f>
        <v>0</v>
      </c>
      <c r="V256" s="11">
        <f>SUMIFS(TableDailySummary[Inversión meta ads],TableDailySummary[Fecha],"&gt;="&amp;TableWeeklySummary[[#This Row],[Desde]],TableDailySummary[Fecha],"&lt;="&amp;TableWeeklySummary[[#This Row],[Hasta]])</f>
        <v>0</v>
      </c>
      <c r="W256" s="11">
        <f>SUMIFS(TableDailySummary[Ventas meta ads],TableDailySummary[Fecha],"&gt;="&amp;TableWeeklySummary[[#This Row],[Desde]],TableDailySummary[Fecha],"&lt;="&amp;TableWeeklySummary[[#This Row],[Hasta]])</f>
        <v>0</v>
      </c>
      <c r="X256" s="11">
        <f>TableWeeklySummary[[#This Row],[Inversión google ads]]+TableWeeklySummary[[#This Row],[Inversión meta ads]]</f>
        <v>0</v>
      </c>
      <c r="Y256" s="11">
        <f>TableWeeklySummary[[#This Row],[Ventas google ads]]+TableWeeklySummary[[#This Row],[Ventas meta ads]]</f>
        <v>0</v>
      </c>
      <c r="Z256" s="14">
        <f>IFERROR(TableWeeklySummary[[#This Row],[Ventas publicidad]]/TableWeeklySummary[[#This Row],[Inversión publicidad]],0)</f>
        <v>0</v>
      </c>
      <c r="AA256" s="14">
        <f>IFERROR(TableWeeklySummary[[#This Row],[Ventas primer cliente]]/TableWeeklySummary[[#This Row],[Inversión publicidad]],0)</f>
        <v>0</v>
      </c>
      <c r="AB256" s="14"/>
      <c r="AC256" s="11"/>
      <c r="AI25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6" s="11">
        <f>SUMIFS(TableDailySummary[Costo de ventas registrado],TableDailySummary[Fecha],"&gt;="&amp;TableWeeklySummary[[#This Row],[Desde]],TableDailySummary[Fecha],"&lt;="&amp;TableWeeklySummary[[#This Row],[Hasta]])</f>
        <v>0</v>
      </c>
      <c r="AK256" s="11">
        <f>SUMIFS(TableDailySummary[Utilidad bruta],TableDailySummary[Fecha],"&gt;="&amp;TableWeeklySummary[[#This Row],[Desde]],TableDailySummary[Fecha],"&lt;="&amp;TableWeeklySummary[[#This Row],[Hasta]])</f>
        <v>0</v>
      </c>
      <c r="AL256" s="18">
        <f>IFERROR(TableWeeklySummary[[#This Row],[Utilidad bruta]]/TableWeeklySummary[[#This Row],[Ventas netas con costo registrado]],0)</f>
        <v>0</v>
      </c>
    </row>
    <row r="257" spans="2:38" x14ac:dyDescent="0.2">
      <c r="B257" s="16">
        <f>_xlfn.ISOWEEKNUM(TableWeeklySummary[[#This Row],[Hasta]])</f>
        <v>38</v>
      </c>
      <c r="C257" s="6">
        <f t="shared" si="6"/>
        <v>46276</v>
      </c>
      <c r="D257" s="6">
        <f>TableWeeklySummary[[#This Row],[Desde]]+7-1</f>
        <v>46282</v>
      </c>
      <c r="E257" s="11">
        <f>SUMIFS(TableDailySummary[Ventas netas totales],TableDailySummary[Fecha],"&gt;="&amp;TableWeeklySummary[[#This Row],[Desde]],TableDailySummary[Fecha],"&lt;="&amp;TableWeeklySummary[[#This Row],[Hasta]])</f>
        <v>0</v>
      </c>
      <c r="F257" s="11">
        <f>SUMIFS(TableDailySummary[Órdenes totales],TableDailySummary[Fecha],"&gt;="&amp;TableWeeklySummary[[#This Row],[Desde]],TableDailySummary[Fecha],"&lt;="&amp;TableWeeklySummary[[#This Row],[Hasta]])</f>
        <v>0</v>
      </c>
      <c r="G257" s="11">
        <f>IFERROR(TableWeeklySummary[[#This Row],[Ventas netas totales]]/TableWeeklySummary[[#This Row],[Órdenes totales]],0)</f>
        <v>0</v>
      </c>
      <c r="H25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7" s="11">
        <f>TableWeeklySummary[[#This Row],[Órden promedio totales]]*TableWeeklySummary[[#This Row],[CR totales]]</f>
        <v>0</v>
      </c>
      <c r="J257" s="11">
        <f>SUMIFS(TableDailySummary[Ventas primer cliente],TableDailySummary[Fecha],"&gt;="&amp;TableWeeklySummary[[#This Row],[Desde]],TableDailySummary[Fecha],"&lt;="&amp;TableWeeklySummary[[#This Row],[Hasta]])</f>
        <v>0</v>
      </c>
      <c r="K257" s="11">
        <f>SUMIFS(TableDailySummary[Órdenes primer cliente],TableDailySummary[Fecha],"&gt;="&amp;TableWeeklySummary[[#This Row],[Desde]],TableDailySummary[Fecha],"&lt;="&amp;TableWeeklySummary[[#This Row],[Hasta]])</f>
        <v>0</v>
      </c>
      <c r="L257" s="11">
        <f>SUMIFS(TableDailySummary[Online Store_net_sales],TableDailySummary[Fecha],"&gt;="&amp;TableWeeklySummary[[#This Row],[Desde]],TableDailySummary[Fecha],"&lt;="&amp;TableWeeklySummary[[#This Row],[Hasta]])</f>
        <v>0</v>
      </c>
      <c r="M257" s="11">
        <f>SUMIFS(TableDailySummary[Online Store_orders],TableDailySummary[Fecha],"&gt;="&amp;TableWeeklySummary[[#This Row],[Desde]],TableDailySummary[Fecha],"&lt;="&amp;TableWeeklySummary[[#This Row],[Hasta]])</f>
        <v>0</v>
      </c>
      <c r="N257" s="11">
        <f>SUMIFS(TableDailySummary[Tienda 81_net_sales],TableDailySummary[Fecha],"&gt;="&amp;TableWeeklySummary[[#This Row],[Desde]],TableDailySummary[Fecha],"&lt;="&amp;TableWeeklySummary[[#This Row],[Hasta]])</f>
        <v>0</v>
      </c>
      <c r="O257" s="11">
        <f>SUMIFS(TableDailySummary[Tienda 81_orders],TableDailySummary[Fecha],"&gt;="&amp;TableWeeklySummary[[#This Row],[Desde]],TableDailySummary[Fecha],"&lt;="&amp;TableWeeklySummary[[#This Row],[Hasta]])</f>
        <v>0</v>
      </c>
      <c r="P257" s="11">
        <f>SUMIFS(TableDailySummary[Rappi_net_sales],TableDailySummary[Fecha],"&gt;="&amp;TableWeeklySummary[[#This Row],[Desde]],TableDailySummary[Fecha],"&lt;="&amp;TableWeeklySummary[[#This Row],[Hasta]])</f>
        <v>0</v>
      </c>
      <c r="Q257" s="11">
        <f>SUMIFS(TableDailySummary[Rappi_orders],TableDailySummary[Fecha],"&gt;="&amp;TableWeeklySummary[[#This Row],[Desde]],TableDailySummary[Fecha],"&lt;="&amp;TableWeeklySummary[[#This Row],[Hasta]])</f>
        <v>0</v>
      </c>
      <c r="R25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7" s="11">
        <f>SUMIFS(TableDailySummary[Corporativo no tienda_orders],TableDailySummary[Fecha],"&gt;="&amp;TableWeeklySummary[[#This Row],[Desde]],TableDailySummary[Fecha],"&lt;="&amp;TableWeeklySummary[[#This Row],[Hasta]])</f>
        <v>0</v>
      </c>
      <c r="T257" s="11">
        <f>SUMIFS(TableDailySummary[Inversión google ads],TableDailySummary[Fecha],"&gt;="&amp;TableWeeklySummary[[#This Row],[Desde]],TableDailySummary[Fecha],"&lt;="&amp;TableWeeklySummary[[#This Row],[Hasta]])</f>
        <v>0</v>
      </c>
      <c r="U257" s="11">
        <f>SUMIFS(TableDailySummary[Ventas google ads],TableDailySummary[Fecha],"&gt;="&amp;TableWeeklySummary[[#This Row],[Desde]],TableDailySummary[Fecha],"&lt;="&amp;TableWeeklySummary[[#This Row],[Hasta]])</f>
        <v>0</v>
      </c>
      <c r="V257" s="11">
        <f>SUMIFS(TableDailySummary[Inversión meta ads],TableDailySummary[Fecha],"&gt;="&amp;TableWeeklySummary[[#This Row],[Desde]],TableDailySummary[Fecha],"&lt;="&amp;TableWeeklySummary[[#This Row],[Hasta]])</f>
        <v>0</v>
      </c>
      <c r="W257" s="11">
        <f>SUMIFS(TableDailySummary[Ventas meta ads],TableDailySummary[Fecha],"&gt;="&amp;TableWeeklySummary[[#This Row],[Desde]],TableDailySummary[Fecha],"&lt;="&amp;TableWeeklySummary[[#This Row],[Hasta]])</f>
        <v>0</v>
      </c>
      <c r="X257" s="11">
        <f>TableWeeklySummary[[#This Row],[Inversión google ads]]+TableWeeklySummary[[#This Row],[Inversión meta ads]]</f>
        <v>0</v>
      </c>
      <c r="Y257" s="11">
        <f>TableWeeklySummary[[#This Row],[Ventas google ads]]+TableWeeklySummary[[#This Row],[Ventas meta ads]]</f>
        <v>0</v>
      </c>
      <c r="Z257" s="14">
        <f>IFERROR(TableWeeklySummary[[#This Row],[Ventas publicidad]]/TableWeeklySummary[[#This Row],[Inversión publicidad]],0)</f>
        <v>0</v>
      </c>
      <c r="AA257" s="14">
        <f>IFERROR(TableWeeklySummary[[#This Row],[Ventas primer cliente]]/TableWeeklySummary[[#This Row],[Inversión publicidad]],0)</f>
        <v>0</v>
      </c>
      <c r="AB257" s="14"/>
      <c r="AC257" s="11"/>
      <c r="AI25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7" s="11">
        <f>SUMIFS(TableDailySummary[Costo de ventas registrado],TableDailySummary[Fecha],"&gt;="&amp;TableWeeklySummary[[#This Row],[Desde]],TableDailySummary[Fecha],"&lt;="&amp;TableWeeklySummary[[#This Row],[Hasta]])</f>
        <v>0</v>
      </c>
      <c r="AK257" s="11">
        <f>SUMIFS(TableDailySummary[Utilidad bruta],TableDailySummary[Fecha],"&gt;="&amp;TableWeeklySummary[[#This Row],[Desde]],TableDailySummary[Fecha],"&lt;="&amp;TableWeeklySummary[[#This Row],[Hasta]])</f>
        <v>0</v>
      </c>
      <c r="AL257" s="18">
        <f>IFERROR(TableWeeklySummary[[#This Row],[Utilidad bruta]]/TableWeeklySummary[[#This Row],[Ventas netas con costo registrado]],0)</f>
        <v>0</v>
      </c>
    </row>
    <row r="258" spans="2:38" x14ac:dyDescent="0.2">
      <c r="B258" s="16">
        <f>_xlfn.ISOWEEKNUM(TableWeeklySummary[[#This Row],[Hasta]])</f>
        <v>39</v>
      </c>
      <c r="C258" s="6">
        <f t="shared" si="6"/>
        <v>46283</v>
      </c>
      <c r="D258" s="6">
        <f>TableWeeklySummary[[#This Row],[Desde]]+7-1</f>
        <v>46289</v>
      </c>
      <c r="E258" s="11">
        <f>SUMIFS(TableDailySummary[Ventas netas totales],TableDailySummary[Fecha],"&gt;="&amp;TableWeeklySummary[[#This Row],[Desde]],TableDailySummary[Fecha],"&lt;="&amp;TableWeeklySummary[[#This Row],[Hasta]])</f>
        <v>0</v>
      </c>
      <c r="F258" s="11">
        <f>SUMIFS(TableDailySummary[Órdenes totales],TableDailySummary[Fecha],"&gt;="&amp;TableWeeklySummary[[#This Row],[Desde]],TableDailySummary[Fecha],"&lt;="&amp;TableWeeklySummary[[#This Row],[Hasta]])</f>
        <v>0</v>
      </c>
      <c r="G258" s="11">
        <f>IFERROR(TableWeeklySummary[[#This Row],[Ventas netas totales]]/TableWeeklySummary[[#This Row],[Órdenes totales]],0)</f>
        <v>0</v>
      </c>
      <c r="H25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8" s="11">
        <f>TableWeeklySummary[[#This Row],[Órden promedio totales]]*TableWeeklySummary[[#This Row],[CR totales]]</f>
        <v>0</v>
      </c>
      <c r="J258" s="11">
        <f>SUMIFS(TableDailySummary[Ventas primer cliente],TableDailySummary[Fecha],"&gt;="&amp;TableWeeklySummary[[#This Row],[Desde]],TableDailySummary[Fecha],"&lt;="&amp;TableWeeklySummary[[#This Row],[Hasta]])</f>
        <v>0</v>
      </c>
      <c r="K258" s="11">
        <f>SUMIFS(TableDailySummary[Órdenes primer cliente],TableDailySummary[Fecha],"&gt;="&amp;TableWeeklySummary[[#This Row],[Desde]],TableDailySummary[Fecha],"&lt;="&amp;TableWeeklySummary[[#This Row],[Hasta]])</f>
        <v>0</v>
      </c>
      <c r="L258" s="11">
        <f>SUMIFS(TableDailySummary[Online Store_net_sales],TableDailySummary[Fecha],"&gt;="&amp;TableWeeklySummary[[#This Row],[Desde]],TableDailySummary[Fecha],"&lt;="&amp;TableWeeklySummary[[#This Row],[Hasta]])</f>
        <v>0</v>
      </c>
      <c r="M258" s="11">
        <f>SUMIFS(TableDailySummary[Online Store_orders],TableDailySummary[Fecha],"&gt;="&amp;TableWeeklySummary[[#This Row],[Desde]],TableDailySummary[Fecha],"&lt;="&amp;TableWeeklySummary[[#This Row],[Hasta]])</f>
        <v>0</v>
      </c>
      <c r="N258" s="11">
        <f>SUMIFS(TableDailySummary[Tienda 81_net_sales],TableDailySummary[Fecha],"&gt;="&amp;TableWeeklySummary[[#This Row],[Desde]],TableDailySummary[Fecha],"&lt;="&amp;TableWeeklySummary[[#This Row],[Hasta]])</f>
        <v>0</v>
      </c>
      <c r="O258" s="11">
        <f>SUMIFS(TableDailySummary[Tienda 81_orders],TableDailySummary[Fecha],"&gt;="&amp;TableWeeklySummary[[#This Row],[Desde]],TableDailySummary[Fecha],"&lt;="&amp;TableWeeklySummary[[#This Row],[Hasta]])</f>
        <v>0</v>
      </c>
      <c r="P258" s="11">
        <f>SUMIFS(TableDailySummary[Rappi_net_sales],TableDailySummary[Fecha],"&gt;="&amp;TableWeeklySummary[[#This Row],[Desde]],TableDailySummary[Fecha],"&lt;="&amp;TableWeeklySummary[[#This Row],[Hasta]])</f>
        <v>0</v>
      </c>
      <c r="Q258" s="11">
        <f>SUMIFS(TableDailySummary[Rappi_orders],TableDailySummary[Fecha],"&gt;="&amp;TableWeeklySummary[[#This Row],[Desde]],TableDailySummary[Fecha],"&lt;="&amp;TableWeeklySummary[[#This Row],[Hasta]])</f>
        <v>0</v>
      </c>
      <c r="R25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8" s="11">
        <f>SUMIFS(TableDailySummary[Corporativo no tienda_orders],TableDailySummary[Fecha],"&gt;="&amp;TableWeeklySummary[[#This Row],[Desde]],TableDailySummary[Fecha],"&lt;="&amp;TableWeeklySummary[[#This Row],[Hasta]])</f>
        <v>0</v>
      </c>
      <c r="T258" s="11">
        <f>SUMIFS(TableDailySummary[Inversión google ads],TableDailySummary[Fecha],"&gt;="&amp;TableWeeklySummary[[#This Row],[Desde]],TableDailySummary[Fecha],"&lt;="&amp;TableWeeklySummary[[#This Row],[Hasta]])</f>
        <v>0</v>
      </c>
      <c r="U258" s="11">
        <f>SUMIFS(TableDailySummary[Ventas google ads],TableDailySummary[Fecha],"&gt;="&amp;TableWeeklySummary[[#This Row],[Desde]],TableDailySummary[Fecha],"&lt;="&amp;TableWeeklySummary[[#This Row],[Hasta]])</f>
        <v>0</v>
      </c>
      <c r="V258" s="11">
        <f>SUMIFS(TableDailySummary[Inversión meta ads],TableDailySummary[Fecha],"&gt;="&amp;TableWeeklySummary[[#This Row],[Desde]],TableDailySummary[Fecha],"&lt;="&amp;TableWeeklySummary[[#This Row],[Hasta]])</f>
        <v>0</v>
      </c>
      <c r="W258" s="11">
        <f>SUMIFS(TableDailySummary[Ventas meta ads],TableDailySummary[Fecha],"&gt;="&amp;TableWeeklySummary[[#This Row],[Desde]],TableDailySummary[Fecha],"&lt;="&amp;TableWeeklySummary[[#This Row],[Hasta]])</f>
        <v>0</v>
      </c>
      <c r="X258" s="11">
        <f>TableWeeklySummary[[#This Row],[Inversión google ads]]+TableWeeklySummary[[#This Row],[Inversión meta ads]]</f>
        <v>0</v>
      </c>
      <c r="Y258" s="11">
        <f>TableWeeklySummary[[#This Row],[Ventas google ads]]+TableWeeklySummary[[#This Row],[Ventas meta ads]]</f>
        <v>0</v>
      </c>
      <c r="Z258" s="14">
        <f>IFERROR(TableWeeklySummary[[#This Row],[Ventas publicidad]]/TableWeeklySummary[[#This Row],[Inversión publicidad]],0)</f>
        <v>0</v>
      </c>
      <c r="AA258" s="14">
        <f>IFERROR(TableWeeklySummary[[#This Row],[Ventas primer cliente]]/TableWeeklySummary[[#This Row],[Inversión publicidad]],0)</f>
        <v>0</v>
      </c>
      <c r="AB258" s="14"/>
      <c r="AC258" s="11"/>
      <c r="AI25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8" s="11">
        <f>SUMIFS(TableDailySummary[Costo de ventas registrado],TableDailySummary[Fecha],"&gt;="&amp;TableWeeklySummary[[#This Row],[Desde]],TableDailySummary[Fecha],"&lt;="&amp;TableWeeklySummary[[#This Row],[Hasta]])</f>
        <v>0</v>
      </c>
      <c r="AK258" s="11">
        <f>SUMIFS(TableDailySummary[Utilidad bruta],TableDailySummary[Fecha],"&gt;="&amp;TableWeeklySummary[[#This Row],[Desde]],TableDailySummary[Fecha],"&lt;="&amp;TableWeeklySummary[[#This Row],[Hasta]])</f>
        <v>0</v>
      </c>
      <c r="AL258" s="18">
        <f>IFERROR(TableWeeklySummary[[#This Row],[Utilidad bruta]]/TableWeeklySummary[[#This Row],[Ventas netas con costo registrado]],0)</f>
        <v>0</v>
      </c>
    </row>
    <row r="259" spans="2:38" x14ac:dyDescent="0.2">
      <c r="B259" s="16">
        <f>_xlfn.ISOWEEKNUM(TableWeeklySummary[[#This Row],[Hasta]])</f>
        <v>40</v>
      </c>
      <c r="C259" s="6">
        <f t="shared" si="6"/>
        <v>46290</v>
      </c>
      <c r="D259" s="6">
        <f>TableWeeklySummary[[#This Row],[Desde]]+7-1</f>
        <v>46296</v>
      </c>
      <c r="E259" s="11">
        <f>SUMIFS(TableDailySummary[Ventas netas totales],TableDailySummary[Fecha],"&gt;="&amp;TableWeeklySummary[[#This Row],[Desde]],TableDailySummary[Fecha],"&lt;="&amp;TableWeeklySummary[[#This Row],[Hasta]])</f>
        <v>0</v>
      </c>
      <c r="F259" s="11">
        <f>SUMIFS(TableDailySummary[Órdenes totales],TableDailySummary[Fecha],"&gt;="&amp;TableWeeklySummary[[#This Row],[Desde]],TableDailySummary[Fecha],"&lt;="&amp;TableWeeklySummary[[#This Row],[Hasta]])</f>
        <v>0</v>
      </c>
      <c r="G259" s="11">
        <f>IFERROR(TableWeeklySummary[[#This Row],[Ventas netas totales]]/TableWeeklySummary[[#This Row],[Órdenes totales]],0)</f>
        <v>0</v>
      </c>
      <c r="H25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59" s="11">
        <f>TableWeeklySummary[[#This Row],[Órden promedio totales]]*TableWeeklySummary[[#This Row],[CR totales]]</f>
        <v>0</v>
      </c>
      <c r="J259" s="11">
        <f>SUMIFS(TableDailySummary[Ventas primer cliente],TableDailySummary[Fecha],"&gt;="&amp;TableWeeklySummary[[#This Row],[Desde]],TableDailySummary[Fecha],"&lt;="&amp;TableWeeklySummary[[#This Row],[Hasta]])</f>
        <v>0</v>
      </c>
      <c r="K259" s="11">
        <f>SUMIFS(TableDailySummary[Órdenes primer cliente],TableDailySummary[Fecha],"&gt;="&amp;TableWeeklySummary[[#This Row],[Desde]],TableDailySummary[Fecha],"&lt;="&amp;TableWeeklySummary[[#This Row],[Hasta]])</f>
        <v>0</v>
      </c>
      <c r="L259" s="11">
        <f>SUMIFS(TableDailySummary[Online Store_net_sales],TableDailySummary[Fecha],"&gt;="&amp;TableWeeklySummary[[#This Row],[Desde]],TableDailySummary[Fecha],"&lt;="&amp;TableWeeklySummary[[#This Row],[Hasta]])</f>
        <v>0</v>
      </c>
      <c r="M259" s="11">
        <f>SUMIFS(TableDailySummary[Online Store_orders],TableDailySummary[Fecha],"&gt;="&amp;TableWeeklySummary[[#This Row],[Desde]],TableDailySummary[Fecha],"&lt;="&amp;TableWeeklySummary[[#This Row],[Hasta]])</f>
        <v>0</v>
      </c>
      <c r="N259" s="11">
        <f>SUMIFS(TableDailySummary[Tienda 81_net_sales],TableDailySummary[Fecha],"&gt;="&amp;TableWeeklySummary[[#This Row],[Desde]],TableDailySummary[Fecha],"&lt;="&amp;TableWeeklySummary[[#This Row],[Hasta]])</f>
        <v>0</v>
      </c>
      <c r="O259" s="11">
        <f>SUMIFS(TableDailySummary[Tienda 81_orders],TableDailySummary[Fecha],"&gt;="&amp;TableWeeklySummary[[#This Row],[Desde]],TableDailySummary[Fecha],"&lt;="&amp;TableWeeklySummary[[#This Row],[Hasta]])</f>
        <v>0</v>
      </c>
      <c r="P259" s="11">
        <f>SUMIFS(TableDailySummary[Rappi_net_sales],TableDailySummary[Fecha],"&gt;="&amp;TableWeeklySummary[[#This Row],[Desde]],TableDailySummary[Fecha],"&lt;="&amp;TableWeeklySummary[[#This Row],[Hasta]])</f>
        <v>0</v>
      </c>
      <c r="Q259" s="11">
        <f>SUMIFS(TableDailySummary[Rappi_orders],TableDailySummary[Fecha],"&gt;="&amp;TableWeeklySummary[[#This Row],[Desde]],TableDailySummary[Fecha],"&lt;="&amp;TableWeeklySummary[[#This Row],[Hasta]])</f>
        <v>0</v>
      </c>
      <c r="R25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59" s="11">
        <f>SUMIFS(TableDailySummary[Corporativo no tienda_orders],TableDailySummary[Fecha],"&gt;="&amp;TableWeeklySummary[[#This Row],[Desde]],TableDailySummary[Fecha],"&lt;="&amp;TableWeeklySummary[[#This Row],[Hasta]])</f>
        <v>0</v>
      </c>
      <c r="T259" s="11">
        <f>SUMIFS(TableDailySummary[Inversión google ads],TableDailySummary[Fecha],"&gt;="&amp;TableWeeklySummary[[#This Row],[Desde]],TableDailySummary[Fecha],"&lt;="&amp;TableWeeklySummary[[#This Row],[Hasta]])</f>
        <v>0</v>
      </c>
      <c r="U259" s="11">
        <f>SUMIFS(TableDailySummary[Ventas google ads],TableDailySummary[Fecha],"&gt;="&amp;TableWeeklySummary[[#This Row],[Desde]],TableDailySummary[Fecha],"&lt;="&amp;TableWeeklySummary[[#This Row],[Hasta]])</f>
        <v>0</v>
      </c>
      <c r="V259" s="11">
        <f>SUMIFS(TableDailySummary[Inversión meta ads],TableDailySummary[Fecha],"&gt;="&amp;TableWeeklySummary[[#This Row],[Desde]],TableDailySummary[Fecha],"&lt;="&amp;TableWeeklySummary[[#This Row],[Hasta]])</f>
        <v>0</v>
      </c>
      <c r="W259" s="11">
        <f>SUMIFS(TableDailySummary[Ventas meta ads],TableDailySummary[Fecha],"&gt;="&amp;TableWeeklySummary[[#This Row],[Desde]],TableDailySummary[Fecha],"&lt;="&amp;TableWeeklySummary[[#This Row],[Hasta]])</f>
        <v>0</v>
      </c>
      <c r="X259" s="11">
        <f>TableWeeklySummary[[#This Row],[Inversión google ads]]+TableWeeklySummary[[#This Row],[Inversión meta ads]]</f>
        <v>0</v>
      </c>
      <c r="Y259" s="11">
        <f>TableWeeklySummary[[#This Row],[Ventas google ads]]+TableWeeklySummary[[#This Row],[Ventas meta ads]]</f>
        <v>0</v>
      </c>
      <c r="Z259" s="14">
        <f>IFERROR(TableWeeklySummary[[#This Row],[Ventas publicidad]]/TableWeeklySummary[[#This Row],[Inversión publicidad]],0)</f>
        <v>0</v>
      </c>
      <c r="AA259" s="14">
        <f>IFERROR(TableWeeklySummary[[#This Row],[Ventas primer cliente]]/TableWeeklySummary[[#This Row],[Inversión publicidad]],0)</f>
        <v>0</v>
      </c>
      <c r="AB259" s="14"/>
      <c r="AC259" s="11"/>
      <c r="AI25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59" s="11">
        <f>SUMIFS(TableDailySummary[Costo de ventas registrado],TableDailySummary[Fecha],"&gt;="&amp;TableWeeklySummary[[#This Row],[Desde]],TableDailySummary[Fecha],"&lt;="&amp;TableWeeklySummary[[#This Row],[Hasta]])</f>
        <v>0</v>
      </c>
      <c r="AK259" s="11">
        <f>SUMIFS(TableDailySummary[Utilidad bruta],TableDailySummary[Fecha],"&gt;="&amp;TableWeeklySummary[[#This Row],[Desde]],TableDailySummary[Fecha],"&lt;="&amp;TableWeeklySummary[[#This Row],[Hasta]])</f>
        <v>0</v>
      </c>
      <c r="AL259" s="18">
        <f>IFERROR(TableWeeklySummary[[#This Row],[Utilidad bruta]]/TableWeeklySummary[[#This Row],[Ventas netas con costo registrado]],0)</f>
        <v>0</v>
      </c>
    </row>
    <row r="260" spans="2:38" x14ac:dyDescent="0.2">
      <c r="B260" s="16">
        <f>_xlfn.ISOWEEKNUM(TableWeeklySummary[[#This Row],[Hasta]])</f>
        <v>41</v>
      </c>
      <c r="C260" s="6">
        <f t="shared" si="6"/>
        <v>46297</v>
      </c>
      <c r="D260" s="6">
        <f>TableWeeklySummary[[#This Row],[Desde]]+7-1</f>
        <v>46303</v>
      </c>
      <c r="E260" s="11">
        <f>SUMIFS(TableDailySummary[Ventas netas totales],TableDailySummary[Fecha],"&gt;="&amp;TableWeeklySummary[[#This Row],[Desde]],TableDailySummary[Fecha],"&lt;="&amp;TableWeeklySummary[[#This Row],[Hasta]])</f>
        <v>0</v>
      </c>
      <c r="F260" s="11">
        <f>SUMIFS(TableDailySummary[Órdenes totales],TableDailySummary[Fecha],"&gt;="&amp;TableWeeklySummary[[#This Row],[Desde]],TableDailySummary[Fecha],"&lt;="&amp;TableWeeklySummary[[#This Row],[Hasta]])</f>
        <v>0</v>
      </c>
      <c r="G260" s="11">
        <f>IFERROR(TableWeeklySummary[[#This Row],[Ventas netas totales]]/TableWeeklySummary[[#This Row],[Órdenes totales]],0)</f>
        <v>0</v>
      </c>
      <c r="H26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0" s="11">
        <f>TableWeeklySummary[[#This Row],[Órden promedio totales]]*TableWeeklySummary[[#This Row],[CR totales]]</f>
        <v>0</v>
      </c>
      <c r="J260" s="11">
        <f>SUMIFS(TableDailySummary[Ventas primer cliente],TableDailySummary[Fecha],"&gt;="&amp;TableWeeklySummary[[#This Row],[Desde]],TableDailySummary[Fecha],"&lt;="&amp;TableWeeklySummary[[#This Row],[Hasta]])</f>
        <v>0</v>
      </c>
      <c r="K260" s="11">
        <f>SUMIFS(TableDailySummary[Órdenes primer cliente],TableDailySummary[Fecha],"&gt;="&amp;TableWeeklySummary[[#This Row],[Desde]],TableDailySummary[Fecha],"&lt;="&amp;TableWeeklySummary[[#This Row],[Hasta]])</f>
        <v>0</v>
      </c>
      <c r="L260" s="11">
        <f>SUMIFS(TableDailySummary[Online Store_net_sales],TableDailySummary[Fecha],"&gt;="&amp;TableWeeklySummary[[#This Row],[Desde]],TableDailySummary[Fecha],"&lt;="&amp;TableWeeklySummary[[#This Row],[Hasta]])</f>
        <v>0</v>
      </c>
      <c r="M260" s="11">
        <f>SUMIFS(TableDailySummary[Online Store_orders],TableDailySummary[Fecha],"&gt;="&amp;TableWeeklySummary[[#This Row],[Desde]],TableDailySummary[Fecha],"&lt;="&amp;TableWeeklySummary[[#This Row],[Hasta]])</f>
        <v>0</v>
      </c>
      <c r="N260" s="11">
        <f>SUMIFS(TableDailySummary[Tienda 81_net_sales],TableDailySummary[Fecha],"&gt;="&amp;TableWeeklySummary[[#This Row],[Desde]],TableDailySummary[Fecha],"&lt;="&amp;TableWeeklySummary[[#This Row],[Hasta]])</f>
        <v>0</v>
      </c>
      <c r="O260" s="11">
        <f>SUMIFS(TableDailySummary[Tienda 81_orders],TableDailySummary[Fecha],"&gt;="&amp;TableWeeklySummary[[#This Row],[Desde]],TableDailySummary[Fecha],"&lt;="&amp;TableWeeklySummary[[#This Row],[Hasta]])</f>
        <v>0</v>
      </c>
      <c r="P260" s="11">
        <f>SUMIFS(TableDailySummary[Rappi_net_sales],TableDailySummary[Fecha],"&gt;="&amp;TableWeeklySummary[[#This Row],[Desde]],TableDailySummary[Fecha],"&lt;="&amp;TableWeeklySummary[[#This Row],[Hasta]])</f>
        <v>0</v>
      </c>
      <c r="Q260" s="11">
        <f>SUMIFS(TableDailySummary[Rappi_orders],TableDailySummary[Fecha],"&gt;="&amp;TableWeeklySummary[[#This Row],[Desde]],TableDailySummary[Fecha],"&lt;="&amp;TableWeeklySummary[[#This Row],[Hasta]])</f>
        <v>0</v>
      </c>
      <c r="R26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0" s="11">
        <f>SUMIFS(TableDailySummary[Corporativo no tienda_orders],TableDailySummary[Fecha],"&gt;="&amp;TableWeeklySummary[[#This Row],[Desde]],TableDailySummary[Fecha],"&lt;="&amp;TableWeeklySummary[[#This Row],[Hasta]])</f>
        <v>0</v>
      </c>
      <c r="T260" s="11">
        <f>SUMIFS(TableDailySummary[Inversión google ads],TableDailySummary[Fecha],"&gt;="&amp;TableWeeklySummary[[#This Row],[Desde]],TableDailySummary[Fecha],"&lt;="&amp;TableWeeklySummary[[#This Row],[Hasta]])</f>
        <v>0</v>
      </c>
      <c r="U260" s="11">
        <f>SUMIFS(TableDailySummary[Ventas google ads],TableDailySummary[Fecha],"&gt;="&amp;TableWeeklySummary[[#This Row],[Desde]],TableDailySummary[Fecha],"&lt;="&amp;TableWeeklySummary[[#This Row],[Hasta]])</f>
        <v>0</v>
      </c>
      <c r="V260" s="11">
        <f>SUMIFS(TableDailySummary[Inversión meta ads],TableDailySummary[Fecha],"&gt;="&amp;TableWeeklySummary[[#This Row],[Desde]],TableDailySummary[Fecha],"&lt;="&amp;TableWeeklySummary[[#This Row],[Hasta]])</f>
        <v>0</v>
      </c>
      <c r="W260" s="11">
        <f>SUMIFS(TableDailySummary[Ventas meta ads],TableDailySummary[Fecha],"&gt;="&amp;TableWeeklySummary[[#This Row],[Desde]],TableDailySummary[Fecha],"&lt;="&amp;TableWeeklySummary[[#This Row],[Hasta]])</f>
        <v>0</v>
      </c>
      <c r="X260" s="11">
        <f>TableWeeklySummary[[#This Row],[Inversión google ads]]+TableWeeklySummary[[#This Row],[Inversión meta ads]]</f>
        <v>0</v>
      </c>
      <c r="Y260" s="11">
        <f>TableWeeklySummary[[#This Row],[Ventas google ads]]+TableWeeklySummary[[#This Row],[Ventas meta ads]]</f>
        <v>0</v>
      </c>
      <c r="Z260" s="14">
        <f>IFERROR(TableWeeklySummary[[#This Row],[Ventas publicidad]]/TableWeeklySummary[[#This Row],[Inversión publicidad]],0)</f>
        <v>0</v>
      </c>
      <c r="AA260" s="14">
        <f>IFERROR(TableWeeklySummary[[#This Row],[Ventas primer cliente]]/TableWeeklySummary[[#This Row],[Inversión publicidad]],0)</f>
        <v>0</v>
      </c>
      <c r="AB260" s="14"/>
      <c r="AC260" s="11"/>
      <c r="AI26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0" s="11">
        <f>SUMIFS(TableDailySummary[Costo de ventas registrado],TableDailySummary[Fecha],"&gt;="&amp;TableWeeklySummary[[#This Row],[Desde]],TableDailySummary[Fecha],"&lt;="&amp;TableWeeklySummary[[#This Row],[Hasta]])</f>
        <v>0</v>
      </c>
      <c r="AK260" s="11">
        <f>SUMIFS(TableDailySummary[Utilidad bruta],TableDailySummary[Fecha],"&gt;="&amp;TableWeeklySummary[[#This Row],[Desde]],TableDailySummary[Fecha],"&lt;="&amp;TableWeeklySummary[[#This Row],[Hasta]])</f>
        <v>0</v>
      </c>
      <c r="AL260" s="18">
        <f>IFERROR(TableWeeklySummary[[#This Row],[Utilidad bruta]]/TableWeeklySummary[[#This Row],[Ventas netas con costo registrado]],0)</f>
        <v>0</v>
      </c>
    </row>
    <row r="261" spans="2:38" x14ac:dyDescent="0.2">
      <c r="B261" s="16">
        <f>_xlfn.ISOWEEKNUM(TableWeeklySummary[[#This Row],[Hasta]])</f>
        <v>42</v>
      </c>
      <c r="C261" s="6">
        <f t="shared" si="6"/>
        <v>46304</v>
      </c>
      <c r="D261" s="6">
        <f>TableWeeklySummary[[#This Row],[Desde]]+7-1</f>
        <v>46310</v>
      </c>
      <c r="E261" s="11">
        <f>SUMIFS(TableDailySummary[Ventas netas totales],TableDailySummary[Fecha],"&gt;="&amp;TableWeeklySummary[[#This Row],[Desde]],TableDailySummary[Fecha],"&lt;="&amp;TableWeeklySummary[[#This Row],[Hasta]])</f>
        <v>0</v>
      </c>
      <c r="F261" s="11">
        <f>SUMIFS(TableDailySummary[Órdenes totales],TableDailySummary[Fecha],"&gt;="&amp;TableWeeklySummary[[#This Row],[Desde]],TableDailySummary[Fecha],"&lt;="&amp;TableWeeklySummary[[#This Row],[Hasta]])</f>
        <v>0</v>
      </c>
      <c r="G261" s="11">
        <f>IFERROR(TableWeeklySummary[[#This Row],[Ventas netas totales]]/TableWeeklySummary[[#This Row],[Órdenes totales]],0)</f>
        <v>0</v>
      </c>
      <c r="H26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1" s="11">
        <f>TableWeeklySummary[[#This Row],[Órden promedio totales]]*TableWeeklySummary[[#This Row],[CR totales]]</f>
        <v>0</v>
      </c>
      <c r="J261" s="11">
        <f>SUMIFS(TableDailySummary[Ventas primer cliente],TableDailySummary[Fecha],"&gt;="&amp;TableWeeklySummary[[#This Row],[Desde]],TableDailySummary[Fecha],"&lt;="&amp;TableWeeklySummary[[#This Row],[Hasta]])</f>
        <v>0</v>
      </c>
      <c r="K261" s="11">
        <f>SUMIFS(TableDailySummary[Órdenes primer cliente],TableDailySummary[Fecha],"&gt;="&amp;TableWeeklySummary[[#This Row],[Desde]],TableDailySummary[Fecha],"&lt;="&amp;TableWeeklySummary[[#This Row],[Hasta]])</f>
        <v>0</v>
      </c>
      <c r="L261" s="11">
        <f>SUMIFS(TableDailySummary[Online Store_net_sales],TableDailySummary[Fecha],"&gt;="&amp;TableWeeklySummary[[#This Row],[Desde]],TableDailySummary[Fecha],"&lt;="&amp;TableWeeklySummary[[#This Row],[Hasta]])</f>
        <v>0</v>
      </c>
      <c r="M261" s="11">
        <f>SUMIFS(TableDailySummary[Online Store_orders],TableDailySummary[Fecha],"&gt;="&amp;TableWeeklySummary[[#This Row],[Desde]],TableDailySummary[Fecha],"&lt;="&amp;TableWeeklySummary[[#This Row],[Hasta]])</f>
        <v>0</v>
      </c>
      <c r="N261" s="11">
        <f>SUMIFS(TableDailySummary[Tienda 81_net_sales],TableDailySummary[Fecha],"&gt;="&amp;TableWeeklySummary[[#This Row],[Desde]],TableDailySummary[Fecha],"&lt;="&amp;TableWeeklySummary[[#This Row],[Hasta]])</f>
        <v>0</v>
      </c>
      <c r="O261" s="11">
        <f>SUMIFS(TableDailySummary[Tienda 81_orders],TableDailySummary[Fecha],"&gt;="&amp;TableWeeklySummary[[#This Row],[Desde]],TableDailySummary[Fecha],"&lt;="&amp;TableWeeklySummary[[#This Row],[Hasta]])</f>
        <v>0</v>
      </c>
      <c r="P261" s="11">
        <f>SUMIFS(TableDailySummary[Rappi_net_sales],TableDailySummary[Fecha],"&gt;="&amp;TableWeeklySummary[[#This Row],[Desde]],TableDailySummary[Fecha],"&lt;="&amp;TableWeeklySummary[[#This Row],[Hasta]])</f>
        <v>0</v>
      </c>
      <c r="Q261" s="11">
        <f>SUMIFS(TableDailySummary[Rappi_orders],TableDailySummary[Fecha],"&gt;="&amp;TableWeeklySummary[[#This Row],[Desde]],TableDailySummary[Fecha],"&lt;="&amp;TableWeeklySummary[[#This Row],[Hasta]])</f>
        <v>0</v>
      </c>
      <c r="R26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1" s="11">
        <f>SUMIFS(TableDailySummary[Corporativo no tienda_orders],TableDailySummary[Fecha],"&gt;="&amp;TableWeeklySummary[[#This Row],[Desde]],TableDailySummary[Fecha],"&lt;="&amp;TableWeeklySummary[[#This Row],[Hasta]])</f>
        <v>0</v>
      </c>
      <c r="T261" s="11">
        <f>SUMIFS(TableDailySummary[Inversión google ads],TableDailySummary[Fecha],"&gt;="&amp;TableWeeklySummary[[#This Row],[Desde]],TableDailySummary[Fecha],"&lt;="&amp;TableWeeklySummary[[#This Row],[Hasta]])</f>
        <v>0</v>
      </c>
      <c r="U261" s="11">
        <f>SUMIFS(TableDailySummary[Ventas google ads],TableDailySummary[Fecha],"&gt;="&amp;TableWeeklySummary[[#This Row],[Desde]],TableDailySummary[Fecha],"&lt;="&amp;TableWeeklySummary[[#This Row],[Hasta]])</f>
        <v>0</v>
      </c>
      <c r="V261" s="11">
        <f>SUMIFS(TableDailySummary[Inversión meta ads],TableDailySummary[Fecha],"&gt;="&amp;TableWeeklySummary[[#This Row],[Desde]],TableDailySummary[Fecha],"&lt;="&amp;TableWeeklySummary[[#This Row],[Hasta]])</f>
        <v>0</v>
      </c>
      <c r="W261" s="11">
        <f>SUMIFS(TableDailySummary[Ventas meta ads],TableDailySummary[Fecha],"&gt;="&amp;TableWeeklySummary[[#This Row],[Desde]],TableDailySummary[Fecha],"&lt;="&amp;TableWeeklySummary[[#This Row],[Hasta]])</f>
        <v>0</v>
      </c>
      <c r="X261" s="11">
        <f>TableWeeklySummary[[#This Row],[Inversión google ads]]+TableWeeklySummary[[#This Row],[Inversión meta ads]]</f>
        <v>0</v>
      </c>
      <c r="Y261" s="11">
        <f>TableWeeklySummary[[#This Row],[Ventas google ads]]+TableWeeklySummary[[#This Row],[Ventas meta ads]]</f>
        <v>0</v>
      </c>
      <c r="Z261" s="14">
        <f>IFERROR(TableWeeklySummary[[#This Row],[Ventas publicidad]]/TableWeeklySummary[[#This Row],[Inversión publicidad]],0)</f>
        <v>0</v>
      </c>
      <c r="AA261" s="14">
        <f>IFERROR(TableWeeklySummary[[#This Row],[Ventas primer cliente]]/TableWeeklySummary[[#This Row],[Inversión publicidad]],0)</f>
        <v>0</v>
      </c>
      <c r="AB261" s="14"/>
      <c r="AC261" s="11"/>
      <c r="AI26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1" s="11">
        <f>SUMIFS(TableDailySummary[Costo de ventas registrado],TableDailySummary[Fecha],"&gt;="&amp;TableWeeklySummary[[#This Row],[Desde]],TableDailySummary[Fecha],"&lt;="&amp;TableWeeklySummary[[#This Row],[Hasta]])</f>
        <v>0</v>
      </c>
      <c r="AK261" s="11">
        <f>SUMIFS(TableDailySummary[Utilidad bruta],TableDailySummary[Fecha],"&gt;="&amp;TableWeeklySummary[[#This Row],[Desde]],TableDailySummary[Fecha],"&lt;="&amp;TableWeeklySummary[[#This Row],[Hasta]])</f>
        <v>0</v>
      </c>
      <c r="AL261" s="18">
        <f>IFERROR(TableWeeklySummary[[#This Row],[Utilidad bruta]]/TableWeeklySummary[[#This Row],[Ventas netas con costo registrado]],0)</f>
        <v>0</v>
      </c>
    </row>
    <row r="262" spans="2:38" x14ac:dyDescent="0.2">
      <c r="B262" s="16">
        <f>_xlfn.ISOWEEKNUM(TableWeeklySummary[[#This Row],[Hasta]])</f>
        <v>43</v>
      </c>
      <c r="C262" s="6">
        <f t="shared" si="6"/>
        <v>46311</v>
      </c>
      <c r="D262" s="6">
        <f>TableWeeklySummary[[#This Row],[Desde]]+7-1</f>
        <v>46317</v>
      </c>
      <c r="E262" s="11">
        <f>SUMIFS(TableDailySummary[Ventas netas totales],TableDailySummary[Fecha],"&gt;="&amp;TableWeeklySummary[[#This Row],[Desde]],TableDailySummary[Fecha],"&lt;="&amp;TableWeeklySummary[[#This Row],[Hasta]])</f>
        <v>0</v>
      </c>
      <c r="F262" s="11">
        <f>SUMIFS(TableDailySummary[Órdenes totales],TableDailySummary[Fecha],"&gt;="&amp;TableWeeklySummary[[#This Row],[Desde]],TableDailySummary[Fecha],"&lt;="&amp;TableWeeklySummary[[#This Row],[Hasta]])</f>
        <v>0</v>
      </c>
      <c r="G262" s="11">
        <f>IFERROR(TableWeeklySummary[[#This Row],[Ventas netas totales]]/TableWeeklySummary[[#This Row],[Órdenes totales]],0)</f>
        <v>0</v>
      </c>
      <c r="H26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2" s="11">
        <f>TableWeeklySummary[[#This Row],[Órden promedio totales]]*TableWeeklySummary[[#This Row],[CR totales]]</f>
        <v>0</v>
      </c>
      <c r="J262" s="11">
        <f>SUMIFS(TableDailySummary[Ventas primer cliente],TableDailySummary[Fecha],"&gt;="&amp;TableWeeklySummary[[#This Row],[Desde]],TableDailySummary[Fecha],"&lt;="&amp;TableWeeklySummary[[#This Row],[Hasta]])</f>
        <v>0</v>
      </c>
      <c r="K262" s="11">
        <f>SUMIFS(TableDailySummary[Órdenes primer cliente],TableDailySummary[Fecha],"&gt;="&amp;TableWeeklySummary[[#This Row],[Desde]],TableDailySummary[Fecha],"&lt;="&amp;TableWeeklySummary[[#This Row],[Hasta]])</f>
        <v>0</v>
      </c>
      <c r="L262" s="11">
        <f>SUMIFS(TableDailySummary[Online Store_net_sales],TableDailySummary[Fecha],"&gt;="&amp;TableWeeklySummary[[#This Row],[Desde]],TableDailySummary[Fecha],"&lt;="&amp;TableWeeklySummary[[#This Row],[Hasta]])</f>
        <v>0</v>
      </c>
      <c r="M262" s="11">
        <f>SUMIFS(TableDailySummary[Online Store_orders],TableDailySummary[Fecha],"&gt;="&amp;TableWeeklySummary[[#This Row],[Desde]],TableDailySummary[Fecha],"&lt;="&amp;TableWeeklySummary[[#This Row],[Hasta]])</f>
        <v>0</v>
      </c>
      <c r="N262" s="11">
        <f>SUMIFS(TableDailySummary[Tienda 81_net_sales],TableDailySummary[Fecha],"&gt;="&amp;TableWeeklySummary[[#This Row],[Desde]],TableDailySummary[Fecha],"&lt;="&amp;TableWeeklySummary[[#This Row],[Hasta]])</f>
        <v>0</v>
      </c>
      <c r="O262" s="11">
        <f>SUMIFS(TableDailySummary[Tienda 81_orders],TableDailySummary[Fecha],"&gt;="&amp;TableWeeklySummary[[#This Row],[Desde]],TableDailySummary[Fecha],"&lt;="&amp;TableWeeklySummary[[#This Row],[Hasta]])</f>
        <v>0</v>
      </c>
      <c r="P262" s="11">
        <f>SUMIFS(TableDailySummary[Rappi_net_sales],TableDailySummary[Fecha],"&gt;="&amp;TableWeeklySummary[[#This Row],[Desde]],TableDailySummary[Fecha],"&lt;="&amp;TableWeeklySummary[[#This Row],[Hasta]])</f>
        <v>0</v>
      </c>
      <c r="Q262" s="11">
        <f>SUMIFS(TableDailySummary[Rappi_orders],TableDailySummary[Fecha],"&gt;="&amp;TableWeeklySummary[[#This Row],[Desde]],TableDailySummary[Fecha],"&lt;="&amp;TableWeeklySummary[[#This Row],[Hasta]])</f>
        <v>0</v>
      </c>
      <c r="R26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2" s="11">
        <f>SUMIFS(TableDailySummary[Corporativo no tienda_orders],TableDailySummary[Fecha],"&gt;="&amp;TableWeeklySummary[[#This Row],[Desde]],TableDailySummary[Fecha],"&lt;="&amp;TableWeeklySummary[[#This Row],[Hasta]])</f>
        <v>0</v>
      </c>
      <c r="T262" s="11">
        <f>SUMIFS(TableDailySummary[Inversión google ads],TableDailySummary[Fecha],"&gt;="&amp;TableWeeklySummary[[#This Row],[Desde]],TableDailySummary[Fecha],"&lt;="&amp;TableWeeklySummary[[#This Row],[Hasta]])</f>
        <v>0</v>
      </c>
      <c r="U262" s="11">
        <f>SUMIFS(TableDailySummary[Ventas google ads],TableDailySummary[Fecha],"&gt;="&amp;TableWeeklySummary[[#This Row],[Desde]],TableDailySummary[Fecha],"&lt;="&amp;TableWeeklySummary[[#This Row],[Hasta]])</f>
        <v>0</v>
      </c>
      <c r="V262" s="11">
        <f>SUMIFS(TableDailySummary[Inversión meta ads],TableDailySummary[Fecha],"&gt;="&amp;TableWeeklySummary[[#This Row],[Desde]],TableDailySummary[Fecha],"&lt;="&amp;TableWeeklySummary[[#This Row],[Hasta]])</f>
        <v>0</v>
      </c>
      <c r="W262" s="11">
        <f>SUMIFS(TableDailySummary[Ventas meta ads],TableDailySummary[Fecha],"&gt;="&amp;TableWeeklySummary[[#This Row],[Desde]],TableDailySummary[Fecha],"&lt;="&amp;TableWeeklySummary[[#This Row],[Hasta]])</f>
        <v>0</v>
      </c>
      <c r="X262" s="11">
        <f>TableWeeklySummary[[#This Row],[Inversión google ads]]+TableWeeklySummary[[#This Row],[Inversión meta ads]]</f>
        <v>0</v>
      </c>
      <c r="Y262" s="11">
        <f>TableWeeklySummary[[#This Row],[Ventas google ads]]+TableWeeklySummary[[#This Row],[Ventas meta ads]]</f>
        <v>0</v>
      </c>
      <c r="Z262" s="14">
        <f>IFERROR(TableWeeklySummary[[#This Row],[Ventas publicidad]]/TableWeeklySummary[[#This Row],[Inversión publicidad]],0)</f>
        <v>0</v>
      </c>
      <c r="AA262" s="14">
        <f>IFERROR(TableWeeklySummary[[#This Row],[Ventas primer cliente]]/TableWeeklySummary[[#This Row],[Inversión publicidad]],0)</f>
        <v>0</v>
      </c>
      <c r="AB262" s="14"/>
      <c r="AC262" s="11"/>
      <c r="AI26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2" s="11">
        <f>SUMIFS(TableDailySummary[Costo de ventas registrado],TableDailySummary[Fecha],"&gt;="&amp;TableWeeklySummary[[#This Row],[Desde]],TableDailySummary[Fecha],"&lt;="&amp;TableWeeklySummary[[#This Row],[Hasta]])</f>
        <v>0</v>
      </c>
      <c r="AK262" s="11">
        <f>SUMIFS(TableDailySummary[Utilidad bruta],TableDailySummary[Fecha],"&gt;="&amp;TableWeeklySummary[[#This Row],[Desde]],TableDailySummary[Fecha],"&lt;="&amp;TableWeeklySummary[[#This Row],[Hasta]])</f>
        <v>0</v>
      </c>
      <c r="AL262" s="18">
        <f>IFERROR(TableWeeklySummary[[#This Row],[Utilidad bruta]]/TableWeeklySummary[[#This Row],[Ventas netas con costo registrado]],0)</f>
        <v>0</v>
      </c>
    </row>
    <row r="263" spans="2:38" x14ac:dyDescent="0.2">
      <c r="B263" s="16">
        <f>_xlfn.ISOWEEKNUM(TableWeeklySummary[[#This Row],[Hasta]])</f>
        <v>44</v>
      </c>
      <c r="C263" s="6">
        <f t="shared" si="6"/>
        <v>46318</v>
      </c>
      <c r="D263" s="6">
        <f>TableWeeklySummary[[#This Row],[Desde]]+7-1</f>
        <v>46324</v>
      </c>
      <c r="E263" s="11">
        <f>SUMIFS(TableDailySummary[Ventas netas totales],TableDailySummary[Fecha],"&gt;="&amp;TableWeeklySummary[[#This Row],[Desde]],TableDailySummary[Fecha],"&lt;="&amp;TableWeeklySummary[[#This Row],[Hasta]])</f>
        <v>0</v>
      </c>
      <c r="F263" s="11">
        <f>SUMIFS(TableDailySummary[Órdenes totales],TableDailySummary[Fecha],"&gt;="&amp;TableWeeklySummary[[#This Row],[Desde]],TableDailySummary[Fecha],"&lt;="&amp;TableWeeklySummary[[#This Row],[Hasta]])</f>
        <v>0</v>
      </c>
      <c r="G263" s="11">
        <f>IFERROR(TableWeeklySummary[[#This Row],[Ventas netas totales]]/TableWeeklySummary[[#This Row],[Órdenes totales]],0)</f>
        <v>0</v>
      </c>
      <c r="H26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3" s="11">
        <f>TableWeeklySummary[[#This Row],[Órden promedio totales]]*TableWeeklySummary[[#This Row],[CR totales]]</f>
        <v>0</v>
      </c>
      <c r="J263" s="11">
        <f>SUMIFS(TableDailySummary[Ventas primer cliente],TableDailySummary[Fecha],"&gt;="&amp;TableWeeklySummary[[#This Row],[Desde]],TableDailySummary[Fecha],"&lt;="&amp;TableWeeklySummary[[#This Row],[Hasta]])</f>
        <v>0</v>
      </c>
      <c r="K263" s="11">
        <f>SUMIFS(TableDailySummary[Órdenes primer cliente],TableDailySummary[Fecha],"&gt;="&amp;TableWeeklySummary[[#This Row],[Desde]],TableDailySummary[Fecha],"&lt;="&amp;TableWeeklySummary[[#This Row],[Hasta]])</f>
        <v>0</v>
      </c>
      <c r="L263" s="11">
        <f>SUMIFS(TableDailySummary[Online Store_net_sales],TableDailySummary[Fecha],"&gt;="&amp;TableWeeklySummary[[#This Row],[Desde]],TableDailySummary[Fecha],"&lt;="&amp;TableWeeklySummary[[#This Row],[Hasta]])</f>
        <v>0</v>
      </c>
      <c r="M263" s="11">
        <f>SUMIFS(TableDailySummary[Online Store_orders],TableDailySummary[Fecha],"&gt;="&amp;TableWeeklySummary[[#This Row],[Desde]],TableDailySummary[Fecha],"&lt;="&amp;TableWeeklySummary[[#This Row],[Hasta]])</f>
        <v>0</v>
      </c>
      <c r="N263" s="11">
        <f>SUMIFS(TableDailySummary[Tienda 81_net_sales],TableDailySummary[Fecha],"&gt;="&amp;TableWeeklySummary[[#This Row],[Desde]],TableDailySummary[Fecha],"&lt;="&amp;TableWeeklySummary[[#This Row],[Hasta]])</f>
        <v>0</v>
      </c>
      <c r="O263" s="11">
        <f>SUMIFS(TableDailySummary[Tienda 81_orders],TableDailySummary[Fecha],"&gt;="&amp;TableWeeklySummary[[#This Row],[Desde]],TableDailySummary[Fecha],"&lt;="&amp;TableWeeklySummary[[#This Row],[Hasta]])</f>
        <v>0</v>
      </c>
      <c r="P263" s="11">
        <f>SUMIFS(TableDailySummary[Rappi_net_sales],TableDailySummary[Fecha],"&gt;="&amp;TableWeeklySummary[[#This Row],[Desde]],TableDailySummary[Fecha],"&lt;="&amp;TableWeeklySummary[[#This Row],[Hasta]])</f>
        <v>0</v>
      </c>
      <c r="Q263" s="11">
        <f>SUMIFS(TableDailySummary[Rappi_orders],TableDailySummary[Fecha],"&gt;="&amp;TableWeeklySummary[[#This Row],[Desde]],TableDailySummary[Fecha],"&lt;="&amp;TableWeeklySummary[[#This Row],[Hasta]])</f>
        <v>0</v>
      </c>
      <c r="R26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3" s="11">
        <f>SUMIFS(TableDailySummary[Corporativo no tienda_orders],TableDailySummary[Fecha],"&gt;="&amp;TableWeeklySummary[[#This Row],[Desde]],TableDailySummary[Fecha],"&lt;="&amp;TableWeeklySummary[[#This Row],[Hasta]])</f>
        <v>0</v>
      </c>
      <c r="T263" s="11">
        <f>SUMIFS(TableDailySummary[Inversión google ads],TableDailySummary[Fecha],"&gt;="&amp;TableWeeklySummary[[#This Row],[Desde]],TableDailySummary[Fecha],"&lt;="&amp;TableWeeklySummary[[#This Row],[Hasta]])</f>
        <v>0</v>
      </c>
      <c r="U263" s="11">
        <f>SUMIFS(TableDailySummary[Ventas google ads],TableDailySummary[Fecha],"&gt;="&amp;TableWeeklySummary[[#This Row],[Desde]],TableDailySummary[Fecha],"&lt;="&amp;TableWeeklySummary[[#This Row],[Hasta]])</f>
        <v>0</v>
      </c>
      <c r="V263" s="11">
        <f>SUMIFS(TableDailySummary[Inversión meta ads],TableDailySummary[Fecha],"&gt;="&amp;TableWeeklySummary[[#This Row],[Desde]],TableDailySummary[Fecha],"&lt;="&amp;TableWeeklySummary[[#This Row],[Hasta]])</f>
        <v>0</v>
      </c>
      <c r="W263" s="11">
        <f>SUMIFS(TableDailySummary[Ventas meta ads],TableDailySummary[Fecha],"&gt;="&amp;TableWeeklySummary[[#This Row],[Desde]],TableDailySummary[Fecha],"&lt;="&amp;TableWeeklySummary[[#This Row],[Hasta]])</f>
        <v>0</v>
      </c>
      <c r="X263" s="11">
        <f>TableWeeklySummary[[#This Row],[Inversión google ads]]+TableWeeklySummary[[#This Row],[Inversión meta ads]]</f>
        <v>0</v>
      </c>
      <c r="Y263" s="11">
        <f>TableWeeklySummary[[#This Row],[Ventas google ads]]+TableWeeklySummary[[#This Row],[Ventas meta ads]]</f>
        <v>0</v>
      </c>
      <c r="Z263" s="14">
        <f>IFERROR(TableWeeklySummary[[#This Row],[Ventas publicidad]]/TableWeeklySummary[[#This Row],[Inversión publicidad]],0)</f>
        <v>0</v>
      </c>
      <c r="AA263" s="14">
        <f>IFERROR(TableWeeklySummary[[#This Row],[Ventas primer cliente]]/TableWeeklySummary[[#This Row],[Inversión publicidad]],0)</f>
        <v>0</v>
      </c>
      <c r="AB263" s="14"/>
      <c r="AC263" s="11"/>
      <c r="AI26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3" s="11">
        <f>SUMIFS(TableDailySummary[Costo de ventas registrado],TableDailySummary[Fecha],"&gt;="&amp;TableWeeklySummary[[#This Row],[Desde]],TableDailySummary[Fecha],"&lt;="&amp;TableWeeklySummary[[#This Row],[Hasta]])</f>
        <v>0</v>
      </c>
      <c r="AK263" s="11">
        <f>SUMIFS(TableDailySummary[Utilidad bruta],TableDailySummary[Fecha],"&gt;="&amp;TableWeeklySummary[[#This Row],[Desde]],TableDailySummary[Fecha],"&lt;="&amp;TableWeeklySummary[[#This Row],[Hasta]])</f>
        <v>0</v>
      </c>
      <c r="AL263" s="18">
        <f>IFERROR(TableWeeklySummary[[#This Row],[Utilidad bruta]]/TableWeeklySummary[[#This Row],[Ventas netas con costo registrado]],0)</f>
        <v>0</v>
      </c>
    </row>
    <row r="264" spans="2:38" x14ac:dyDescent="0.2">
      <c r="B264" s="16">
        <f>_xlfn.ISOWEEKNUM(TableWeeklySummary[[#This Row],[Hasta]])</f>
        <v>45</v>
      </c>
      <c r="C264" s="6">
        <f t="shared" si="6"/>
        <v>46325</v>
      </c>
      <c r="D264" s="6">
        <f>TableWeeklySummary[[#This Row],[Desde]]+7-1</f>
        <v>46331</v>
      </c>
      <c r="E264" s="11">
        <f>SUMIFS(TableDailySummary[Ventas netas totales],TableDailySummary[Fecha],"&gt;="&amp;TableWeeklySummary[[#This Row],[Desde]],TableDailySummary[Fecha],"&lt;="&amp;TableWeeklySummary[[#This Row],[Hasta]])</f>
        <v>0</v>
      </c>
      <c r="F264" s="11">
        <f>SUMIFS(TableDailySummary[Órdenes totales],TableDailySummary[Fecha],"&gt;="&amp;TableWeeklySummary[[#This Row],[Desde]],TableDailySummary[Fecha],"&lt;="&amp;TableWeeklySummary[[#This Row],[Hasta]])</f>
        <v>0</v>
      </c>
      <c r="G264" s="11">
        <f>IFERROR(TableWeeklySummary[[#This Row],[Ventas netas totales]]/TableWeeklySummary[[#This Row],[Órdenes totales]],0)</f>
        <v>0</v>
      </c>
      <c r="H26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4" s="11">
        <f>TableWeeklySummary[[#This Row],[Órden promedio totales]]*TableWeeklySummary[[#This Row],[CR totales]]</f>
        <v>0</v>
      </c>
      <c r="J264" s="11">
        <f>SUMIFS(TableDailySummary[Ventas primer cliente],TableDailySummary[Fecha],"&gt;="&amp;TableWeeklySummary[[#This Row],[Desde]],TableDailySummary[Fecha],"&lt;="&amp;TableWeeklySummary[[#This Row],[Hasta]])</f>
        <v>0</v>
      </c>
      <c r="K264" s="11">
        <f>SUMIFS(TableDailySummary[Órdenes primer cliente],TableDailySummary[Fecha],"&gt;="&amp;TableWeeklySummary[[#This Row],[Desde]],TableDailySummary[Fecha],"&lt;="&amp;TableWeeklySummary[[#This Row],[Hasta]])</f>
        <v>0</v>
      </c>
      <c r="L264" s="11">
        <f>SUMIFS(TableDailySummary[Online Store_net_sales],TableDailySummary[Fecha],"&gt;="&amp;TableWeeklySummary[[#This Row],[Desde]],TableDailySummary[Fecha],"&lt;="&amp;TableWeeklySummary[[#This Row],[Hasta]])</f>
        <v>0</v>
      </c>
      <c r="M264" s="11">
        <f>SUMIFS(TableDailySummary[Online Store_orders],TableDailySummary[Fecha],"&gt;="&amp;TableWeeklySummary[[#This Row],[Desde]],TableDailySummary[Fecha],"&lt;="&amp;TableWeeklySummary[[#This Row],[Hasta]])</f>
        <v>0</v>
      </c>
      <c r="N264" s="11">
        <f>SUMIFS(TableDailySummary[Tienda 81_net_sales],TableDailySummary[Fecha],"&gt;="&amp;TableWeeklySummary[[#This Row],[Desde]],TableDailySummary[Fecha],"&lt;="&amp;TableWeeklySummary[[#This Row],[Hasta]])</f>
        <v>0</v>
      </c>
      <c r="O264" s="11">
        <f>SUMIFS(TableDailySummary[Tienda 81_orders],TableDailySummary[Fecha],"&gt;="&amp;TableWeeklySummary[[#This Row],[Desde]],TableDailySummary[Fecha],"&lt;="&amp;TableWeeklySummary[[#This Row],[Hasta]])</f>
        <v>0</v>
      </c>
      <c r="P264" s="11">
        <f>SUMIFS(TableDailySummary[Rappi_net_sales],TableDailySummary[Fecha],"&gt;="&amp;TableWeeklySummary[[#This Row],[Desde]],TableDailySummary[Fecha],"&lt;="&amp;TableWeeklySummary[[#This Row],[Hasta]])</f>
        <v>0</v>
      </c>
      <c r="Q264" s="11">
        <f>SUMIFS(TableDailySummary[Rappi_orders],TableDailySummary[Fecha],"&gt;="&amp;TableWeeklySummary[[#This Row],[Desde]],TableDailySummary[Fecha],"&lt;="&amp;TableWeeklySummary[[#This Row],[Hasta]])</f>
        <v>0</v>
      </c>
      <c r="R26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4" s="11">
        <f>SUMIFS(TableDailySummary[Corporativo no tienda_orders],TableDailySummary[Fecha],"&gt;="&amp;TableWeeklySummary[[#This Row],[Desde]],TableDailySummary[Fecha],"&lt;="&amp;TableWeeklySummary[[#This Row],[Hasta]])</f>
        <v>0</v>
      </c>
      <c r="T264" s="11">
        <f>SUMIFS(TableDailySummary[Inversión google ads],TableDailySummary[Fecha],"&gt;="&amp;TableWeeklySummary[[#This Row],[Desde]],TableDailySummary[Fecha],"&lt;="&amp;TableWeeklySummary[[#This Row],[Hasta]])</f>
        <v>0</v>
      </c>
      <c r="U264" s="11">
        <f>SUMIFS(TableDailySummary[Ventas google ads],TableDailySummary[Fecha],"&gt;="&amp;TableWeeklySummary[[#This Row],[Desde]],TableDailySummary[Fecha],"&lt;="&amp;TableWeeklySummary[[#This Row],[Hasta]])</f>
        <v>0</v>
      </c>
      <c r="V264" s="11">
        <f>SUMIFS(TableDailySummary[Inversión meta ads],TableDailySummary[Fecha],"&gt;="&amp;TableWeeklySummary[[#This Row],[Desde]],TableDailySummary[Fecha],"&lt;="&amp;TableWeeklySummary[[#This Row],[Hasta]])</f>
        <v>0</v>
      </c>
      <c r="W264" s="11">
        <f>SUMIFS(TableDailySummary[Ventas meta ads],TableDailySummary[Fecha],"&gt;="&amp;TableWeeklySummary[[#This Row],[Desde]],TableDailySummary[Fecha],"&lt;="&amp;TableWeeklySummary[[#This Row],[Hasta]])</f>
        <v>0</v>
      </c>
      <c r="X264" s="11">
        <f>TableWeeklySummary[[#This Row],[Inversión google ads]]+TableWeeklySummary[[#This Row],[Inversión meta ads]]</f>
        <v>0</v>
      </c>
      <c r="Y264" s="11">
        <f>TableWeeklySummary[[#This Row],[Ventas google ads]]+TableWeeklySummary[[#This Row],[Ventas meta ads]]</f>
        <v>0</v>
      </c>
      <c r="Z264" s="14">
        <f>IFERROR(TableWeeklySummary[[#This Row],[Ventas publicidad]]/TableWeeklySummary[[#This Row],[Inversión publicidad]],0)</f>
        <v>0</v>
      </c>
      <c r="AA264" s="14">
        <f>IFERROR(TableWeeklySummary[[#This Row],[Ventas primer cliente]]/TableWeeklySummary[[#This Row],[Inversión publicidad]],0)</f>
        <v>0</v>
      </c>
      <c r="AB264" s="14"/>
      <c r="AC264" s="11"/>
      <c r="AI26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4" s="11">
        <f>SUMIFS(TableDailySummary[Costo de ventas registrado],TableDailySummary[Fecha],"&gt;="&amp;TableWeeklySummary[[#This Row],[Desde]],TableDailySummary[Fecha],"&lt;="&amp;TableWeeklySummary[[#This Row],[Hasta]])</f>
        <v>0</v>
      </c>
      <c r="AK264" s="11">
        <f>SUMIFS(TableDailySummary[Utilidad bruta],TableDailySummary[Fecha],"&gt;="&amp;TableWeeklySummary[[#This Row],[Desde]],TableDailySummary[Fecha],"&lt;="&amp;TableWeeklySummary[[#This Row],[Hasta]])</f>
        <v>0</v>
      </c>
      <c r="AL264" s="18">
        <f>IFERROR(TableWeeklySummary[[#This Row],[Utilidad bruta]]/TableWeeklySummary[[#This Row],[Ventas netas con costo registrado]],0)</f>
        <v>0</v>
      </c>
    </row>
    <row r="265" spans="2:38" x14ac:dyDescent="0.2">
      <c r="B265" s="16">
        <f>_xlfn.ISOWEEKNUM(TableWeeklySummary[[#This Row],[Hasta]])</f>
        <v>46</v>
      </c>
      <c r="C265" s="6">
        <f t="shared" si="6"/>
        <v>46332</v>
      </c>
      <c r="D265" s="6">
        <f>TableWeeklySummary[[#This Row],[Desde]]+7-1</f>
        <v>46338</v>
      </c>
      <c r="E265" s="11">
        <f>SUMIFS(TableDailySummary[Ventas netas totales],TableDailySummary[Fecha],"&gt;="&amp;TableWeeklySummary[[#This Row],[Desde]],TableDailySummary[Fecha],"&lt;="&amp;TableWeeklySummary[[#This Row],[Hasta]])</f>
        <v>0</v>
      </c>
      <c r="F265" s="11">
        <f>SUMIFS(TableDailySummary[Órdenes totales],TableDailySummary[Fecha],"&gt;="&amp;TableWeeklySummary[[#This Row],[Desde]],TableDailySummary[Fecha],"&lt;="&amp;TableWeeklySummary[[#This Row],[Hasta]])</f>
        <v>0</v>
      </c>
      <c r="G265" s="11">
        <f>IFERROR(TableWeeklySummary[[#This Row],[Ventas netas totales]]/TableWeeklySummary[[#This Row],[Órdenes totales]],0)</f>
        <v>0</v>
      </c>
      <c r="H26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5" s="11">
        <f>TableWeeklySummary[[#This Row],[Órden promedio totales]]*TableWeeklySummary[[#This Row],[CR totales]]</f>
        <v>0</v>
      </c>
      <c r="J265" s="11">
        <f>SUMIFS(TableDailySummary[Ventas primer cliente],TableDailySummary[Fecha],"&gt;="&amp;TableWeeklySummary[[#This Row],[Desde]],TableDailySummary[Fecha],"&lt;="&amp;TableWeeklySummary[[#This Row],[Hasta]])</f>
        <v>0</v>
      </c>
      <c r="K265" s="11">
        <f>SUMIFS(TableDailySummary[Órdenes primer cliente],TableDailySummary[Fecha],"&gt;="&amp;TableWeeklySummary[[#This Row],[Desde]],TableDailySummary[Fecha],"&lt;="&amp;TableWeeklySummary[[#This Row],[Hasta]])</f>
        <v>0</v>
      </c>
      <c r="L265" s="11">
        <f>SUMIFS(TableDailySummary[Online Store_net_sales],TableDailySummary[Fecha],"&gt;="&amp;TableWeeklySummary[[#This Row],[Desde]],TableDailySummary[Fecha],"&lt;="&amp;TableWeeklySummary[[#This Row],[Hasta]])</f>
        <v>0</v>
      </c>
      <c r="M265" s="11">
        <f>SUMIFS(TableDailySummary[Online Store_orders],TableDailySummary[Fecha],"&gt;="&amp;TableWeeklySummary[[#This Row],[Desde]],TableDailySummary[Fecha],"&lt;="&amp;TableWeeklySummary[[#This Row],[Hasta]])</f>
        <v>0</v>
      </c>
      <c r="N265" s="11">
        <f>SUMIFS(TableDailySummary[Tienda 81_net_sales],TableDailySummary[Fecha],"&gt;="&amp;TableWeeklySummary[[#This Row],[Desde]],TableDailySummary[Fecha],"&lt;="&amp;TableWeeklySummary[[#This Row],[Hasta]])</f>
        <v>0</v>
      </c>
      <c r="O265" s="11">
        <f>SUMIFS(TableDailySummary[Tienda 81_orders],TableDailySummary[Fecha],"&gt;="&amp;TableWeeklySummary[[#This Row],[Desde]],TableDailySummary[Fecha],"&lt;="&amp;TableWeeklySummary[[#This Row],[Hasta]])</f>
        <v>0</v>
      </c>
      <c r="P265" s="11">
        <f>SUMIFS(TableDailySummary[Rappi_net_sales],TableDailySummary[Fecha],"&gt;="&amp;TableWeeklySummary[[#This Row],[Desde]],TableDailySummary[Fecha],"&lt;="&amp;TableWeeklySummary[[#This Row],[Hasta]])</f>
        <v>0</v>
      </c>
      <c r="Q265" s="11">
        <f>SUMIFS(TableDailySummary[Rappi_orders],TableDailySummary[Fecha],"&gt;="&amp;TableWeeklySummary[[#This Row],[Desde]],TableDailySummary[Fecha],"&lt;="&amp;TableWeeklySummary[[#This Row],[Hasta]])</f>
        <v>0</v>
      </c>
      <c r="R26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5" s="11">
        <f>SUMIFS(TableDailySummary[Corporativo no tienda_orders],TableDailySummary[Fecha],"&gt;="&amp;TableWeeklySummary[[#This Row],[Desde]],TableDailySummary[Fecha],"&lt;="&amp;TableWeeklySummary[[#This Row],[Hasta]])</f>
        <v>0</v>
      </c>
      <c r="T265" s="11">
        <f>SUMIFS(TableDailySummary[Inversión google ads],TableDailySummary[Fecha],"&gt;="&amp;TableWeeklySummary[[#This Row],[Desde]],TableDailySummary[Fecha],"&lt;="&amp;TableWeeklySummary[[#This Row],[Hasta]])</f>
        <v>0</v>
      </c>
      <c r="U265" s="11">
        <f>SUMIFS(TableDailySummary[Ventas google ads],TableDailySummary[Fecha],"&gt;="&amp;TableWeeklySummary[[#This Row],[Desde]],TableDailySummary[Fecha],"&lt;="&amp;TableWeeklySummary[[#This Row],[Hasta]])</f>
        <v>0</v>
      </c>
      <c r="V265" s="11">
        <f>SUMIFS(TableDailySummary[Inversión meta ads],TableDailySummary[Fecha],"&gt;="&amp;TableWeeklySummary[[#This Row],[Desde]],TableDailySummary[Fecha],"&lt;="&amp;TableWeeklySummary[[#This Row],[Hasta]])</f>
        <v>0</v>
      </c>
      <c r="W265" s="11">
        <f>SUMIFS(TableDailySummary[Ventas meta ads],TableDailySummary[Fecha],"&gt;="&amp;TableWeeklySummary[[#This Row],[Desde]],TableDailySummary[Fecha],"&lt;="&amp;TableWeeklySummary[[#This Row],[Hasta]])</f>
        <v>0</v>
      </c>
      <c r="X265" s="11">
        <f>TableWeeklySummary[[#This Row],[Inversión google ads]]+TableWeeklySummary[[#This Row],[Inversión meta ads]]</f>
        <v>0</v>
      </c>
      <c r="Y265" s="11">
        <f>TableWeeklySummary[[#This Row],[Ventas google ads]]+TableWeeklySummary[[#This Row],[Ventas meta ads]]</f>
        <v>0</v>
      </c>
      <c r="Z265" s="14">
        <f>IFERROR(TableWeeklySummary[[#This Row],[Ventas publicidad]]/TableWeeklySummary[[#This Row],[Inversión publicidad]],0)</f>
        <v>0</v>
      </c>
      <c r="AA265" s="14">
        <f>IFERROR(TableWeeklySummary[[#This Row],[Ventas primer cliente]]/TableWeeklySummary[[#This Row],[Inversión publicidad]],0)</f>
        <v>0</v>
      </c>
      <c r="AB265" s="14"/>
      <c r="AC265" s="11"/>
      <c r="AI26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5" s="11">
        <f>SUMIFS(TableDailySummary[Costo de ventas registrado],TableDailySummary[Fecha],"&gt;="&amp;TableWeeklySummary[[#This Row],[Desde]],TableDailySummary[Fecha],"&lt;="&amp;TableWeeklySummary[[#This Row],[Hasta]])</f>
        <v>0</v>
      </c>
      <c r="AK265" s="11">
        <f>SUMIFS(TableDailySummary[Utilidad bruta],TableDailySummary[Fecha],"&gt;="&amp;TableWeeklySummary[[#This Row],[Desde]],TableDailySummary[Fecha],"&lt;="&amp;TableWeeklySummary[[#This Row],[Hasta]])</f>
        <v>0</v>
      </c>
      <c r="AL265" s="18">
        <f>IFERROR(TableWeeklySummary[[#This Row],[Utilidad bruta]]/TableWeeklySummary[[#This Row],[Ventas netas con costo registrado]],0)</f>
        <v>0</v>
      </c>
    </row>
    <row r="266" spans="2:38" x14ac:dyDescent="0.2">
      <c r="B266" s="16">
        <f>_xlfn.ISOWEEKNUM(TableWeeklySummary[[#This Row],[Hasta]])</f>
        <v>47</v>
      </c>
      <c r="C266" s="6">
        <f t="shared" si="6"/>
        <v>46339</v>
      </c>
      <c r="D266" s="6">
        <f>TableWeeklySummary[[#This Row],[Desde]]+7-1</f>
        <v>46345</v>
      </c>
      <c r="E266" s="11">
        <f>SUMIFS(TableDailySummary[Ventas netas totales],TableDailySummary[Fecha],"&gt;="&amp;TableWeeklySummary[[#This Row],[Desde]],TableDailySummary[Fecha],"&lt;="&amp;TableWeeklySummary[[#This Row],[Hasta]])</f>
        <v>0</v>
      </c>
      <c r="F266" s="11">
        <f>SUMIFS(TableDailySummary[Órdenes totales],TableDailySummary[Fecha],"&gt;="&amp;TableWeeklySummary[[#This Row],[Desde]],TableDailySummary[Fecha],"&lt;="&amp;TableWeeklySummary[[#This Row],[Hasta]])</f>
        <v>0</v>
      </c>
      <c r="G266" s="11">
        <f>IFERROR(TableWeeklySummary[[#This Row],[Ventas netas totales]]/TableWeeklySummary[[#This Row],[Órdenes totales]],0)</f>
        <v>0</v>
      </c>
      <c r="H26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6" s="11">
        <f>TableWeeklySummary[[#This Row],[Órden promedio totales]]*TableWeeklySummary[[#This Row],[CR totales]]</f>
        <v>0</v>
      </c>
      <c r="J266" s="11">
        <f>SUMIFS(TableDailySummary[Ventas primer cliente],TableDailySummary[Fecha],"&gt;="&amp;TableWeeklySummary[[#This Row],[Desde]],TableDailySummary[Fecha],"&lt;="&amp;TableWeeklySummary[[#This Row],[Hasta]])</f>
        <v>0</v>
      </c>
      <c r="K266" s="11">
        <f>SUMIFS(TableDailySummary[Órdenes primer cliente],TableDailySummary[Fecha],"&gt;="&amp;TableWeeklySummary[[#This Row],[Desde]],TableDailySummary[Fecha],"&lt;="&amp;TableWeeklySummary[[#This Row],[Hasta]])</f>
        <v>0</v>
      </c>
      <c r="L266" s="11">
        <f>SUMIFS(TableDailySummary[Online Store_net_sales],TableDailySummary[Fecha],"&gt;="&amp;TableWeeklySummary[[#This Row],[Desde]],TableDailySummary[Fecha],"&lt;="&amp;TableWeeklySummary[[#This Row],[Hasta]])</f>
        <v>0</v>
      </c>
      <c r="M266" s="11">
        <f>SUMIFS(TableDailySummary[Online Store_orders],TableDailySummary[Fecha],"&gt;="&amp;TableWeeklySummary[[#This Row],[Desde]],TableDailySummary[Fecha],"&lt;="&amp;TableWeeklySummary[[#This Row],[Hasta]])</f>
        <v>0</v>
      </c>
      <c r="N266" s="11">
        <f>SUMIFS(TableDailySummary[Tienda 81_net_sales],TableDailySummary[Fecha],"&gt;="&amp;TableWeeklySummary[[#This Row],[Desde]],TableDailySummary[Fecha],"&lt;="&amp;TableWeeklySummary[[#This Row],[Hasta]])</f>
        <v>0</v>
      </c>
      <c r="O266" s="11">
        <f>SUMIFS(TableDailySummary[Tienda 81_orders],TableDailySummary[Fecha],"&gt;="&amp;TableWeeklySummary[[#This Row],[Desde]],TableDailySummary[Fecha],"&lt;="&amp;TableWeeklySummary[[#This Row],[Hasta]])</f>
        <v>0</v>
      </c>
      <c r="P266" s="11">
        <f>SUMIFS(TableDailySummary[Rappi_net_sales],TableDailySummary[Fecha],"&gt;="&amp;TableWeeklySummary[[#This Row],[Desde]],TableDailySummary[Fecha],"&lt;="&amp;TableWeeklySummary[[#This Row],[Hasta]])</f>
        <v>0</v>
      </c>
      <c r="Q266" s="11">
        <f>SUMIFS(TableDailySummary[Rappi_orders],TableDailySummary[Fecha],"&gt;="&amp;TableWeeklySummary[[#This Row],[Desde]],TableDailySummary[Fecha],"&lt;="&amp;TableWeeklySummary[[#This Row],[Hasta]])</f>
        <v>0</v>
      </c>
      <c r="R26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6" s="11">
        <f>SUMIFS(TableDailySummary[Corporativo no tienda_orders],TableDailySummary[Fecha],"&gt;="&amp;TableWeeklySummary[[#This Row],[Desde]],TableDailySummary[Fecha],"&lt;="&amp;TableWeeklySummary[[#This Row],[Hasta]])</f>
        <v>0</v>
      </c>
      <c r="T266" s="11">
        <f>SUMIFS(TableDailySummary[Inversión google ads],TableDailySummary[Fecha],"&gt;="&amp;TableWeeklySummary[[#This Row],[Desde]],TableDailySummary[Fecha],"&lt;="&amp;TableWeeklySummary[[#This Row],[Hasta]])</f>
        <v>0</v>
      </c>
      <c r="U266" s="11">
        <f>SUMIFS(TableDailySummary[Ventas google ads],TableDailySummary[Fecha],"&gt;="&amp;TableWeeklySummary[[#This Row],[Desde]],TableDailySummary[Fecha],"&lt;="&amp;TableWeeklySummary[[#This Row],[Hasta]])</f>
        <v>0</v>
      </c>
      <c r="V266" s="11">
        <f>SUMIFS(TableDailySummary[Inversión meta ads],TableDailySummary[Fecha],"&gt;="&amp;TableWeeklySummary[[#This Row],[Desde]],TableDailySummary[Fecha],"&lt;="&amp;TableWeeklySummary[[#This Row],[Hasta]])</f>
        <v>0</v>
      </c>
      <c r="W266" s="11">
        <f>SUMIFS(TableDailySummary[Ventas meta ads],TableDailySummary[Fecha],"&gt;="&amp;TableWeeklySummary[[#This Row],[Desde]],TableDailySummary[Fecha],"&lt;="&amp;TableWeeklySummary[[#This Row],[Hasta]])</f>
        <v>0</v>
      </c>
      <c r="X266" s="11">
        <f>TableWeeklySummary[[#This Row],[Inversión google ads]]+TableWeeklySummary[[#This Row],[Inversión meta ads]]</f>
        <v>0</v>
      </c>
      <c r="Y266" s="11">
        <f>TableWeeklySummary[[#This Row],[Ventas google ads]]+TableWeeklySummary[[#This Row],[Ventas meta ads]]</f>
        <v>0</v>
      </c>
      <c r="Z266" s="14">
        <f>IFERROR(TableWeeklySummary[[#This Row],[Ventas publicidad]]/TableWeeklySummary[[#This Row],[Inversión publicidad]],0)</f>
        <v>0</v>
      </c>
      <c r="AA266" s="14">
        <f>IFERROR(TableWeeklySummary[[#This Row],[Ventas primer cliente]]/TableWeeklySummary[[#This Row],[Inversión publicidad]],0)</f>
        <v>0</v>
      </c>
      <c r="AB266" s="14"/>
      <c r="AC266" s="11"/>
      <c r="AI26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6" s="11">
        <f>SUMIFS(TableDailySummary[Costo de ventas registrado],TableDailySummary[Fecha],"&gt;="&amp;TableWeeklySummary[[#This Row],[Desde]],TableDailySummary[Fecha],"&lt;="&amp;TableWeeklySummary[[#This Row],[Hasta]])</f>
        <v>0</v>
      </c>
      <c r="AK266" s="11">
        <f>SUMIFS(TableDailySummary[Utilidad bruta],TableDailySummary[Fecha],"&gt;="&amp;TableWeeklySummary[[#This Row],[Desde]],TableDailySummary[Fecha],"&lt;="&amp;TableWeeklySummary[[#This Row],[Hasta]])</f>
        <v>0</v>
      </c>
      <c r="AL266" s="18">
        <f>IFERROR(TableWeeklySummary[[#This Row],[Utilidad bruta]]/TableWeeklySummary[[#This Row],[Ventas netas con costo registrado]],0)</f>
        <v>0</v>
      </c>
    </row>
    <row r="267" spans="2:38" x14ac:dyDescent="0.2">
      <c r="B267" s="16">
        <f>_xlfn.ISOWEEKNUM(TableWeeklySummary[[#This Row],[Hasta]])</f>
        <v>48</v>
      </c>
      <c r="C267" s="6">
        <f t="shared" si="6"/>
        <v>46346</v>
      </c>
      <c r="D267" s="6">
        <f>TableWeeklySummary[[#This Row],[Desde]]+7-1</f>
        <v>46352</v>
      </c>
      <c r="E267" s="11">
        <f>SUMIFS(TableDailySummary[Ventas netas totales],TableDailySummary[Fecha],"&gt;="&amp;TableWeeklySummary[[#This Row],[Desde]],TableDailySummary[Fecha],"&lt;="&amp;TableWeeklySummary[[#This Row],[Hasta]])</f>
        <v>0</v>
      </c>
      <c r="F267" s="11">
        <f>SUMIFS(TableDailySummary[Órdenes totales],TableDailySummary[Fecha],"&gt;="&amp;TableWeeklySummary[[#This Row],[Desde]],TableDailySummary[Fecha],"&lt;="&amp;TableWeeklySummary[[#This Row],[Hasta]])</f>
        <v>0</v>
      </c>
      <c r="G267" s="11">
        <f>IFERROR(TableWeeklySummary[[#This Row],[Ventas netas totales]]/TableWeeklySummary[[#This Row],[Órdenes totales]],0)</f>
        <v>0</v>
      </c>
      <c r="H26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7" s="11">
        <f>TableWeeklySummary[[#This Row],[Órden promedio totales]]*TableWeeklySummary[[#This Row],[CR totales]]</f>
        <v>0</v>
      </c>
      <c r="J267" s="11">
        <f>SUMIFS(TableDailySummary[Ventas primer cliente],TableDailySummary[Fecha],"&gt;="&amp;TableWeeklySummary[[#This Row],[Desde]],TableDailySummary[Fecha],"&lt;="&amp;TableWeeklySummary[[#This Row],[Hasta]])</f>
        <v>0</v>
      </c>
      <c r="K267" s="11">
        <f>SUMIFS(TableDailySummary[Órdenes primer cliente],TableDailySummary[Fecha],"&gt;="&amp;TableWeeklySummary[[#This Row],[Desde]],TableDailySummary[Fecha],"&lt;="&amp;TableWeeklySummary[[#This Row],[Hasta]])</f>
        <v>0</v>
      </c>
      <c r="L267" s="11">
        <f>SUMIFS(TableDailySummary[Online Store_net_sales],TableDailySummary[Fecha],"&gt;="&amp;TableWeeklySummary[[#This Row],[Desde]],TableDailySummary[Fecha],"&lt;="&amp;TableWeeklySummary[[#This Row],[Hasta]])</f>
        <v>0</v>
      </c>
      <c r="M267" s="11">
        <f>SUMIFS(TableDailySummary[Online Store_orders],TableDailySummary[Fecha],"&gt;="&amp;TableWeeklySummary[[#This Row],[Desde]],TableDailySummary[Fecha],"&lt;="&amp;TableWeeklySummary[[#This Row],[Hasta]])</f>
        <v>0</v>
      </c>
      <c r="N267" s="11">
        <f>SUMIFS(TableDailySummary[Tienda 81_net_sales],TableDailySummary[Fecha],"&gt;="&amp;TableWeeklySummary[[#This Row],[Desde]],TableDailySummary[Fecha],"&lt;="&amp;TableWeeklySummary[[#This Row],[Hasta]])</f>
        <v>0</v>
      </c>
      <c r="O267" s="11">
        <f>SUMIFS(TableDailySummary[Tienda 81_orders],TableDailySummary[Fecha],"&gt;="&amp;TableWeeklySummary[[#This Row],[Desde]],TableDailySummary[Fecha],"&lt;="&amp;TableWeeklySummary[[#This Row],[Hasta]])</f>
        <v>0</v>
      </c>
      <c r="P267" s="11">
        <f>SUMIFS(TableDailySummary[Rappi_net_sales],TableDailySummary[Fecha],"&gt;="&amp;TableWeeklySummary[[#This Row],[Desde]],TableDailySummary[Fecha],"&lt;="&amp;TableWeeklySummary[[#This Row],[Hasta]])</f>
        <v>0</v>
      </c>
      <c r="Q267" s="11">
        <f>SUMIFS(TableDailySummary[Rappi_orders],TableDailySummary[Fecha],"&gt;="&amp;TableWeeklySummary[[#This Row],[Desde]],TableDailySummary[Fecha],"&lt;="&amp;TableWeeklySummary[[#This Row],[Hasta]])</f>
        <v>0</v>
      </c>
      <c r="R26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7" s="11">
        <f>SUMIFS(TableDailySummary[Corporativo no tienda_orders],TableDailySummary[Fecha],"&gt;="&amp;TableWeeklySummary[[#This Row],[Desde]],TableDailySummary[Fecha],"&lt;="&amp;TableWeeklySummary[[#This Row],[Hasta]])</f>
        <v>0</v>
      </c>
      <c r="T267" s="11">
        <f>SUMIFS(TableDailySummary[Inversión google ads],TableDailySummary[Fecha],"&gt;="&amp;TableWeeklySummary[[#This Row],[Desde]],TableDailySummary[Fecha],"&lt;="&amp;TableWeeklySummary[[#This Row],[Hasta]])</f>
        <v>0</v>
      </c>
      <c r="U267" s="11">
        <f>SUMIFS(TableDailySummary[Ventas google ads],TableDailySummary[Fecha],"&gt;="&amp;TableWeeklySummary[[#This Row],[Desde]],TableDailySummary[Fecha],"&lt;="&amp;TableWeeklySummary[[#This Row],[Hasta]])</f>
        <v>0</v>
      </c>
      <c r="V267" s="11">
        <f>SUMIFS(TableDailySummary[Inversión meta ads],TableDailySummary[Fecha],"&gt;="&amp;TableWeeklySummary[[#This Row],[Desde]],TableDailySummary[Fecha],"&lt;="&amp;TableWeeklySummary[[#This Row],[Hasta]])</f>
        <v>0</v>
      </c>
      <c r="W267" s="11">
        <f>SUMIFS(TableDailySummary[Ventas meta ads],TableDailySummary[Fecha],"&gt;="&amp;TableWeeklySummary[[#This Row],[Desde]],TableDailySummary[Fecha],"&lt;="&amp;TableWeeklySummary[[#This Row],[Hasta]])</f>
        <v>0</v>
      </c>
      <c r="X267" s="11">
        <f>TableWeeklySummary[[#This Row],[Inversión google ads]]+TableWeeklySummary[[#This Row],[Inversión meta ads]]</f>
        <v>0</v>
      </c>
      <c r="Y267" s="11">
        <f>TableWeeklySummary[[#This Row],[Ventas google ads]]+TableWeeklySummary[[#This Row],[Ventas meta ads]]</f>
        <v>0</v>
      </c>
      <c r="Z267" s="14">
        <f>IFERROR(TableWeeklySummary[[#This Row],[Ventas publicidad]]/TableWeeklySummary[[#This Row],[Inversión publicidad]],0)</f>
        <v>0</v>
      </c>
      <c r="AA267" s="14">
        <f>IFERROR(TableWeeklySummary[[#This Row],[Ventas primer cliente]]/TableWeeklySummary[[#This Row],[Inversión publicidad]],0)</f>
        <v>0</v>
      </c>
      <c r="AB267" s="14"/>
      <c r="AC267" s="11"/>
      <c r="AI26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7" s="11">
        <f>SUMIFS(TableDailySummary[Costo de ventas registrado],TableDailySummary[Fecha],"&gt;="&amp;TableWeeklySummary[[#This Row],[Desde]],TableDailySummary[Fecha],"&lt;="&amp;TableWeeklySummary[[#This Row],[Hasta]])</f>
        <v>0</v>
      </c>
      <c r="AK267" s="11">
        <f>SUMIFS(TableDailySummary[Utilidad bruta],TableDailySummary[Fecha],"&gt;="&amp;TableWeeklySummary[[#This Row],[Desde]],TableDailySummary[Fecha],"&lt;="&amp;TableWeeklySummary[[#This Row],[Hasta]])</f>
        <v>0</v>
      </c>
      <c r="AL267" s="18">
        <f>IFERROR(TableWeeklySummary[[#This Row],[Utilidad bruta]]/TableWeeklySummary[[#This Row],[Ventas netas con costo registrado]],0)</f>
        <v>0</v>
      </c>
    </row>
    <row r="268" spans="2:38" x14ac:dyDescent="0.2">
      <c r="B268" s="16">
        <f>_xlfn.ISOWEEKNUM(TableWeeklySummary[[#This Row],[Hasta]])</f>
        <v>49</v>
      </c>
      <c r="C268" s="6">
        <f t="shared" si="6"/>
        <v>46353</v>
      </c>
      <c r="D268" s="6">
        <f>TableWeeklySummary[[#This Row],[Desde]]+7-1</f>
        <v>46359</v>
      </c>
      <c r="E268" s="11">
        <f>SUMIFS(TableDailySummary[Ventas netas totales],TableDailySummary[Fecha],"&gt;="&amp;TableWeeklySummary[[#This Row],[Desde]],TableDailySummary[Fecha],"&lt;="&amp;TableWeeklySummary[[#This Row],[Hasta]])</f>
        <v>0</v>
      </c>
      <c r="F268" s="11">
        <f>SUMIFS(TableDailySummary[Órdenes totales],TableDailySummary[Fecha],"&gt;="&amp;TableWeeklySummary[[#This Row],[Desde]],TableDailySummary[Fecha],"&lt;="&amp;TableWeeklySummary[[#This Row],[Hasta]])</f>
        <v>0</v>
      </c>
      <c r="G268" s="11">
        <f>IFERROR(TableWeeklySummary[[#This Row],[Ventas netas totales]]/TableWeeklySummary[[#This Row],[Órdenes totales]],0)</f>
        <v>0</v>
      </c>
      <c r="H26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8" s="11">
        <f>TableWeeklySummary[[#This Row],[Órden promedio totales]]*TableWeeklySummary[[#This Row],[CR totales]]</f>
        <v>0</v>
      </c>
      <c r="J268" s="11">
        <f>SUMIFS(TableDailySummary[Ventas primer cliente],TableDailySummary[Fecha],"&gt;="&amp;TableWeeklySummary[[#This Row],[Desde]],TableDailySummary[Fecha],"&lt;="&amp;TableWeeklySummary[[#This Row],[Hasta]])</f>
        <v>0</v>
      </c>
      <c r="K268" s="11">
        <f>SUMIFS(TableDailySummary[Órdenes primer cliente],TableDailySummary[Fecha],"&gt;="&amp;TableWeeklySummary[[#This Row],[Desde]],TableDailySummary[Fecha],"&lt;="&amp;TableWeeklySummary[[#This Row],[Hasta]])</f>
        <v>0</v>
      </c>
      <c r="L268" s="11">
        <f>SUMIFS(TableDailySummary[Online Store_net_sales],TableDailySummary[Fecha],"&gt;="&amp;TableWeeklySummary[[#This Row],[Desde]],TableDailySummary[Fecha],"&lt;="&amp;TableWeeklySummary[[#This Row],[Hasta]])</f>
        <v>0</v>
      </c>
      <c r="M268" s="11">
        <f>SUMIFS(TableDailySummary[Online Store_orders],TableDailySummary[Fecha],"&gt;="&amp;TableWeeklySummary[[#This Row],[Desde]],TableDailySummary[Fecha],"&lt;="&amp;TableWeeklySummary[[#This Row],[Hasta]])</f>
        <v>0</v>
      </c>
      <c r="N268" s="11">
        <f>SUMIFS(TableDailySummary[Tienda 81_net_sales],TableDailySummary[Fecha],"&gt;="&amp;TableWeeklySummary[[#This Row],[Desde]],TableDailySummary[Fecha],"&lt;="&amp;TableWeeklySummary[[#This Row],[Hasta]])</f>
        <v>0</v>
      </c>
      <c r="O268" s="11">
        <f>SUMIFS(TableDailySummary[Tienda 81_orders],TableDailySummary[Fecha],"&gt;="&amp;TableWeeklySummary[[#This Row],[Desde]],TableDailySummary[Fecha],"&lt;="&amp;TableWeeklySummary[[#This Row],[Hasta]])</f>
        <v>0</v>
      </c>
      <c r="P268" s="11">
        <f>SUMIFS(TableDailySummary[Rappi_net_sales],TableDailySummary[Fecha],"&gt;="&amp;TableWeeklySummary[[#This Row],[Desde]],TableDailySummary[Fecha],"&lt;="&amp;TableWeeklySummary[[#This Row],[Hasta]])</f>
        <v>0</v>
      </c>
      <c r="Q268" s="11">
        <f>SUMIFS(TableDailySummary[Rappi_orders],TableDailySummary[Fecha],"&gt;="&amp;TableWeeklySummary[[#This Row],[Desde]],TableDailySummary[Fecha],"&lt;="&amp;TableWeeklySummary[[#This Row],[Hasta]])</f>
        <v>0</v>
      </c>
      <c r="R26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8" s="11">
        <f>SUMIFS(TableDailySummary[Corporativo no tienda_orders],TableDailySummary[Fecha],"&gt;="&amp;TableWeeklySummary[[#This Row],[Desde]],TableDailySummary[Fecha],"&lt;="&amp;TableWeeklySummary[[#This Row],[Hasta]])</f>
        <v>0</v>
      </c>
      <c r="T268" s="11">
        <f>SUMIFS(TableDailySummary[Inversión google ads],TableDailySummary[Fecha],"&gt;="&amp;TableWeeklySummary[[#This Row],[Desde]],TableDailySummary[Fecha],"&lt;="&amp;TableWeeklySummary[[#This Row],[Hasta]])</f>
        <v>0</v>
      </c>
      <c r="U268" s="11">
        <f>SUMIFS(TableDailySummary[Ventas google ads],TableDailySummary[Fecha],"&gt;="&amp;TableWeeklySummary[[#This Row],[Desde]],TableDailySummary[Fecha],"&lt;="&amp;TableWeeklySummary[[#This Row],[Hasta]])</f>
        <v>0</v>
      </c>
      <c r="V268" s="11">
        <f>SUMIFS(TableDailySummary[Inversión meta ads],TableDailySummary[Fecha],"&gt;="&amp;TableWeeklySummary[[#This Row],[Desde]],TableDailySummary[Fecha],"&lt;="&amp;TableWeeklySummary[[#This Row],[Hasta]])</f>
        <v>0</v>
      </c>
      <c r="W268" s="11">
        <f>SUMIFS(TableDailySummary[Ventas meta ads],TableDailySummary[Fecha],"&gt;="&amp;TableWeeklySummary[[#This Row],[Desde]],TableDailySummary[Fecha],"&lt;="&amp;TableWeeklySummary[[#This Row],[Hasta]])</f>
        <v>0</v>
      </c>
      <c r="X268" s="11">
        <f>TableWeeklySummary[[#This Row],[Inversión google ads]]+TableWeeklySummary[[#This Row],[Inversión meta ads]]</f>
        <v>0</v>
      </c>
      <c r="Y268" s="11">
        <f>TableWeeklySummary[[#This Row],[Ventas google ads]]+TableWeeklySummary[[#This Row],[Ventas meta ads]]</f>
        <v>0</v>
      </c>
      <c r="Z268" s="14">
        <f>IFERROR(TableWeeklySummary[[#This Row],[Ventas publicidad]]/TableWeeklySummary[[#This Row],[Inversión publicidad]],0)</f>
        <v>0</v>
      </c>
      <c r="AA268" s="14">
        <f>IFERROR(TableWeeklySummary[[#This Row],[Ventas primer cliente]]/TableWeeklySummary[[#This Row],[Inversión publicidad]],0)</f>
        <v>0</v>
      </c>
      <c r="AB268" s="14"/>
      <c r="AC268" s="11"/>
      <c r="AI26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8" s="11">
        <f>SUMIFS(TableDailySummary[Costo de ventas registrado],TableDailySummary[Fecha],"&gt;="&amp;TableWeeklySummary[[#This Row],[Desde]],TableDailySummary[Fecha],"&lt;="&amp;TableWeeklySummary[[#This Row],[Hasta]])</f>
        <v>0</v>
      </c>
      <c r="AK268" s="11">
        <f>SUMIFS(TableDailySummary[Utilidad bruta],TableDailySummary[Fecha],"&gt;="&amp;TableWeeklySummary[[#This Row],[Desde]],TableDailySummary[Fecha],"&lt;="&amp;TableWeeklySummary[[#This Row],[Hasta]])</f>
        <v>0</v>
      </c>
      <c r="AL268" s="18">
        <f>IFERROR(TableWeeklySummary[[#This Row],[Utilidad bruta]]/TableWeeklySummary[[#This Row],[Ventas netas con costo registrado]],0)</f>
        <v>0</v>
      </c>
    </row>
    <row r="269" spans="2:38" x14ac:dyDescent="0.2">
      <c r="B269" s="16">
        <f>_xlfn.ISOWEEKNUM(TableWeeklySummary[[#This Row],[Hasta]])</f>
        <v>50</v>
      </c>
      <c r="C269" s="6">
        <f t="shared" si="6"/>
        <v>46360</v>
      </c>
      <c r="D269" s="6">
        <f>TableWeeklySummary[[#This Row],[Desde]]+7-1</f>
        <v>46366</v>
      </c>
      <c r="E269" s="11">
        <f>SUMIFS(TableDailySummary[Ventas netas totales],TableDailySummary[Fecha],"&gt;="&amp;TableWeeklySummary[[#This Row],[Desde]],TableDailySummary[Fecha],"&lt;="&amp;TableWeeklySummary[[#This Row],[Hasta]])</f>
        <v>0</v>
      </c>
      <c r="F269" s="11">
        <f>SUMIFS(TableDailySummary[Órdenes totales],TableDailySummary[Fecha],"&gt;="&amp;TableWeeklySummary[[#This Row],[Desde]],TableDailySummary[Fecha],"&lt;="&amp;TableWeeklySummary[[#This Row],[Hasta]])</f>
        <v>0</v>
      </c>
      <c r="G269" s="11">
        <f>IFERROR(TableWeeklySummary[[#This Row],[Ventas netas totales]]/TableWeeklySummary[[#This Row],[Órdenes totales]],0)</f>
        <v>0</v>
      </c>
      <c r="H26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69" s="11">
        <f>TableWeeklySummary[[#This Row],[Órden promedio totales]]*TableWeeklySummary[[#This Row],[CR totales]]</f>
        <v>0</v>
      </c>
      <c r="J269" s="11">
        <f>SUMIFS(TableDailySummary[Ventas primer cliente],TableDailySummary[Fecha],"&gt;="&amp;TableWeeklySummary[[#This Row],[Desde]],TableDailySummary[Fecha],"&lt;="&amp;TableWeeklySummary[[#This Row],[Hasta]])</f>
        <v>0</v>
      </c>
      <c r="K269" s="11">
        <f>SUMIFS(TableDailySummary[Órdenes primer cliente],TableDailySummary[Fecha],"&gt;="&amp;TableWeeklySummary[[#This Row],[Desde]],TableDailySummary[Fecha],"&lt;="&amp;TableWeeklySummary[[#This Row],[Hasta]])</f>
        <v>0</v>
      </c>
      <c r="L269" s="11">
        <f>SUMIFS(TableDailySummary[Online Store_net_sales],TableDailySummary[Fecha],"&gt;="&amp;TableWeeklySummary[[#This Row],[Desde]],TableDailySummary[Fecha],"&lt;="&amp;TableWeeklySummary[[#This Row],[Hasta]])</f>
        <v>0</v>
      </c>
      <c r="M269" s="11">
        <f>SUMIFS(TableDailySummary[Online Store_orders],TableDailySummary[Fecha],"&gt;="&amp;TableWeeklySummary[[#This Row],[Desde]],TableDailySummary[Fecha],"&lt;="&amp;TableWeeklySummary[[#This Row],[Hasta]])</f>
        <v>0</v>
      </c>
      <c r="N269" s="11">
        <f>SUMIFS(TableDailySummary[Tienda 81_net_sales],TableDailySummary[Fecha],"&gt;="&amp;TableWeeklySummary[[#This Row],[Desde]],TableDailySummary[Fecha],"&lt;="&amp;TableWeeklySummary[[#This Row],[Hasta]])</f>
        <v>0</v>
      </c>
      <c r="O269" s="11">
        <f>SUMIFS(TableDailySummary[Tienda 81_orders],TableDailySummary[Fecha],"&gt;="&amp;TableWeeklySummary[[#This Row],[Desde]],TableDailySummary[Fecha],"&lt;="&amp;TableWeeklySummary[[#This Row],[Hasta]])</f>
        <v>0</v>
      </c>
      <c r="P269" s="11">
        <f>SUMIFS(TableDailySummary[Rappi_net_sales],TableDailySummary[Fecha],"&gt;="&amp;TableWeeklySummary[[#This Row],[Desde]],TableDailySummary[Fecha],"&lt;="&amp;TableWeeklySummary[[#This Row],[Hasta]])</f>
        <v>0</v>
      </c>
      <c r="Q269" s="11">
        <f>SUMIFS(TableDailySummary[Rappi_orders],TableDailySummary[Fecha],"&gt;="&amp;TableWeeklySummary[[#This Row],[Desde]],TableDailySummary[Fecha],"&lt;="&amp;TableWeeklySummary[[#This Row],[Hasta]])</f>
        <v>0</v>
      </c>
      <c r="R26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69" s="11">
        <f>SUMIFS(TableDailySummary[Corporativo no tienda_orders],TableDailySummary[Fecha],"&gt;="&amp;TableWeeklySummary[[#This Row],[Desde]],TableDailySummary[Fecha],"&lt;="&amp;TableWeeklySummary[[#This Row],[Hasta]])</f>
        <v>0</v>
      </c>
      <c r="T269" s="11">
        <f>SUMIFS(TableDailySummary[Inversión google ads],TableDailySummary[Fecha],"&gt;="&amp;TableWeeklySummary[[#This Row],[Desde]],TableDailySummary[Fecha],"&lt;="&amp;TableWeeklySummary[[#This Row],[Hasta]])</f>
        <v>0</v>
      </c>
      <c r="U269" s="11">
        <f>SUMIFS(TableDailySummary[Ventas google ads],TableDailySummary[Fecha],"&gt;="&amp;TableWeeklySummary[[#This Row],[Desde]],TableDailySummary[Fecha],"&lt;="&amp;TableWeeklySummary[[#This Row],[Hasta]])</f>
        <v>0</v>
      </c>
      <c r="V269" s="11">
        <f>SUMIFS(TableDailySummary[Inversión meta ads],TableDailySummary[Fecha],"&gt;="&amp;TableWeeklySummary[[#This Row],[Desde]],TableDailySummary[Fecha],"&lt;="&amp;TableWeeklySummary[[#This Row],[Hasta]])</f>
        <v>0</v>
      </c>
      <c r="W269" s="11">
        <f>SUMIFS(TableDailySummary[Ventas meta ads],TableDailySummary[Fecha],"&gt;="&amp;TableWeeklySummary[[#This Row],[Desde]],TableDailySummary[Fecha],"&lt;="&amp;TableWeeklySummary[[#This Row],[Hasta]])</f>
        <v>0</v>
      </c>
      <c r="X269" s="11">
        <f>TableWeeklySummary[[#This Row],[Inversión google ads]]+TableWeeklySummary[[#This Row],[Inversión meta ads]]</f>
        <v>0</v>
      </c>
      <c r="Y269" s="11">
        <f>TableWeeklySummary[[#This Row],[Ventas google ads]]+TableWeeklySummary[[#This Row],[Ventas meta ads]]</f>
        <v>0</v>
      </c>
      <c r="Z269" s="14">
        <f>IFERROR(TableWeeklySummary[[#This Row],[Ventas publicidad]]/TableWeeklySummary[[#This Row],[Inversión publicidad]],0)</f>
        <v>0</v>
      </c>
      <c r="AA269" s="14">
        <f>IFERROR(TableWeeklySummary[[#This Row],[Ventas primer cliente]]/TableWeeklySummary[[#This Row],[Inversión publicidad]],0)</f>
        <v>0</v>
      </c>
      <c r="AB269" s="14"/>
      <c r="AC269" s="11"/>
      <c r="AI26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69" s="11">
        <f>SUMIFS(TableDailySummary[Costo de ventas registrado],TableDailySummary[Fecha],"&gt;="&amp;TableWeeklySummary[[#This Row],[Desde]],TableDailySummary[Fecha],"&lt;="&amp;TableWeeklySummary[[#This Row],[Hasta]])</f>
        <v>0</v>
      </c>
      <c r="AK269" s="11">
        <f>SUMIFS(TableDailySummary[Utilidad bruta],TableDailySummary[Fecha],"&gt;="&amp;TableWeeklySummary[[#This Row],[Desde]],TableDailySummary[Fecha],"&lt;="&amp;TableWeeklySummary[[#This Row],[Hasta]])</f>
        <v>0</v>
      </c>
      <c r="AL269" s="18">
        <f>IFERROR(TableWeeklySummary[[#This Row],[Utilidad bruta]]/TableWeeklySummary[[#This Row],[Ventas netas con costo registrado]],0)</f>
        <v>0</v>
      </c>
    </row>
    <row r="270" spans="2:38" x14ac:dyDescent="0.2">
      <c r="B270" s="16">
        <f>_xlfn.ISOWEEKNUM(TableWeeklySummary[[#This Row],[Hasta]])</f>
        <v>51</v>
      </c>
      <c r="C270" s="6">
        <f t="shared" si="6"/>
        <v>46367</v>
      </c>
      <c r="D270" s="6">
        <f>TableWeeklySummary[[#This Row],[Desde]]+7-1</f>
        <v>46373</v>
      </c>
      <c r="E270" s="11">
        <f>SUMIFS(TableDailySummary[Ventas netas totales],TableDailySummary[Fecha],"&gt;="&amp;TableWeeklySummary[[#This Row],[Desde]],TableDailySummary[Fecha],"&lt;="&amp;TableWeeklySummary[[#This Row],[Hasta]])</f>
        <v>0</v>
      </c>
      <c r="F270" s="11">
        <f>SUMIFS(TableDailySummary[Órdenes totales],TableDailySummary[Fecha],"&gt;="&amp;TableWeeklySummary[[#This Row],[Desde]],TableDailySummary[Fecha],"&lt;="&amp;TableWeeklySummary[[#This Row],[Hasta]])</f>
        <v>0</v>
      </c>
      <c r="G270" s="11">
        <f>IFERROR(TableWeeklySummary[[#This Row],[Ventas netas totales]]/TableWeeklySummary[[#This Row],[Órdenes totales]],0)</f>
        <v>0</v>
      </c>
      <c r="H27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0" s="11">
        <f>TableWeeklySummary[[#This Row],[Órden promedio totales]]*TableWeeklySummary[[#This Row],[CR totales]]</f>
        <v>0</v>
      </c>
      <c r="J270" s="11">
        <f>SUMIFS(TableDailySummary[Ventas primer cliente],TableDailySummary[Fecha],"&gt;="&amp;TableWeeklySummary[[#This Row],[Desde]],TableDailySummary[Fecha],"&lt;="&amp;TableWeeklySummary[[#This Row],[Hasta]])</f>
        <v>0</v>
      </c>
      <c r="K270" s="11">
        <f>SUMIFS(TableDailySummary[Órdenes primer cliente],TableDailySummary[Fecha],"&gt;="&amp;TableWeeklySummary[[#This Row],[Desde]],TableDailySummary[Fecha],"&lt;="&amp;TableWeeklySummary[[#This Row],[Hasta]])</f>
        <v>0</v>
      </c>
      <c r="L270" s="11">
        <f>SUMIFS(TableDailySummary[Online Store_net_sales],TableDailySummary[Fecha],"&gt;="&amp;TableWeeklySummary[[#This Row],[Desde]],TableDailySummary[Fecha],"&lt;="&amp;TableWeeklySummary[[#This Row],[Hasta]])</f>
        <v>0</v>
      </c>
      <c r="M270" s="11">
        <f>SUMIFS(TableDailySummary[Online Store_orders],TableDailySummary[Fecha],"&gt;="&amp;TableWeeklySummary[[#This Row],[Desde]],TableDailySummary[Fecha],"&lt;="&amp;TableWeeklySummary[[#This Row],[Hasta]])</f>
        <v>0</v>
      </c>
      <c r="N270" s="11">
        <f>SUMIFS(TableDailySummary[Tienda 81_net_sales],TableDailySummary[Fecha],"&gt;="&amp;TableWeeklySummary[[#This Row],[Desde]],TableDailySummary[Fecha],"&lt;="&amp;TableWeeklySummary[[#This Row],[Hasta]])</f>
        <v>0</v>
      </c>
      <c r="O270" s="11">
        <f>SUMIFS(TableDailySummary[Tienda 81_orders],TableDailySummary[Fecha],"&gt;="&amp;TableWeeklySummary[[#This Row],[Desde]],TableDailySummary[Fecha],"&lt;="&amp;TableWeeklySummary[[#This Row],[Hasta]])</f>
        <v>0</v>
      </c>
      <c r="P270" s="11">
        <f>SUMIFS(TableDailySummary[Rappi_net_sales],TableDailySummary[Fecha],"&gt;="&amp;TableWeeklySummary[[#This Row],[Desde]],TableDailySummary[Fecha],"&lt;="&amp;TableWeeklySummary[[#This Row],[Hasta]])</f>
        <v>0</v>
      </c>
      <c r="Q270" s="11">
        <f>SUMIFS(TableDailySummary[Rappi_orders],TableDailySummary[Fecha],"&gt;="&amp;TableWeeklySummary[[#This Row],[Desde]],TableDailySummary[Fecha],"&lt;="&amp;TableWeeklySummary[[#This Row],[Hasta]])</f>
        <v>0</v>
      </c>
      <c r="R27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0" s="11">
        <f>SUMIFS(TableDailySummary[Corporativo no tienda_orders],TableDailySummary[Fecha],"&gt;="&amp;TableWeeklySummary[[#This Row],[Desde]],TableDailySummary[Fecha],"&lt;="&amp;TableWeeklySummary[[#This Row],[Hasta]])</f>
        <v>0</v>
      </c>
      <c r="T270" s="11">
        <f>SUMIFS(TableDailySummary[Inversión google ads],TableDailySummary[Fecha],"&gt;="&amp;TableWeeklySummary[[#This Row],[Desde]],TableDailySummary[Fecha],"&lt;="&amp;TableWeeklySummary[[#This Row],[Hasta]])</f>
        <v>0</v>
      </c>
      <c r="U270" s="11">
        <f>SUMIFS(TableDailySummary[Ventas google ads],TableDailySummary[Fecha],"&gt;="&amp;TableWeeklySummary[[#This Row],[Desde]],TableDailySummary[Fecha],"&lt;="&amp;TableWeeklySummary[[#This Row],[Hasta]])</f>
        <v>0</v>
      </c>
      <c r="V270" s="11">
        <f>SUMIFS(TableDailySummary[Inversión meta ads],TableDailySummary[Fecha],"&gt;="&amp;TableWeeklySummary[[#This Row],[Desde]],TableDailySummary[Fecha],"&lt;="&amp;TableWeeklySummary[[#This Row],[Hasta]])</f>
        <v>0</v>
      </c>
      <c r="W270" s="11">
        <f>SUMIFS(TableDailySummary[Ventas meta ads],TableDailySummary[Fecha],"&gt;="&amp;TableWeeklySummary[[#This Row],[Desde]],TableDailySummary[Fecha],"&lt;="&amp;TableWeeklySummary[[#This Row],[Hasta]])</f>
        <v>0</v>
      </c>
      <c r="X270" s="11">
        <f>TableWeeklySummary[[#This Row],[Inversión google ads]]+TableWeeklySummary[[#This Row],[Inversión meta ads]]</f>
        <v>0</v>
      </c>
      <c r="Y270" s="11">
        <f>TableWeeklySummary[[#This Row],[Ventas google ads]]+TableWeeklySummary[[#This Row],[Ventas meta ads]]</f>
        <v>0</v>
      </c>
      <c r="Z270" s="14">
        <f>IFERROR(TableWeeklySummary[[#This Row],[Ventas publicidad]]/TableWeeklySummary[[#This Row],[Inversión publicidad]],0)</f>
        <v>0</v>
      </c>
      <c r="AA270" s="14">
        <f>IFERROR(TableWeeklySummary[[#This Row],[Ventas primer cliente]]/TableWeeklySummary[[#This Row],[Inversión publicidad]],0)</f>
        <v>0</v>
      </c>
      <c r="AB270" s="14"/>
      <c r="AC270" s="11"/>
      <c r="AI27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0" s="11">
        <f>SUMIFS(TableDailySummary[Costo de ventas registrado],TableDailySummary[Fecha],"&gt;="&amp;TableWeeklySummary[[#This Row],[Desde]],TableDailySummary[Fecha],"&lt;="&amp;TableWeeklySummary[[#This Row],[Hasta]])</f>
        <v>0</v>
      </c>
      <c r="AK270" s="11">
        <f>SUMIFS(TableDailySummary[Utilidad bruta],TableDailySummary[Fecha],"&gt;="&amp;TableWeeklySummary[[#This Row],[Desde]],TableDailySummary[Fecha],"&lt;="&amp;TableWeeklySummary[[#This Row],[Hasta]])</f>
        <v>0</v>
      </c>
      <c r="AL270" s="18">
        <f>IFERROR(TableWeeklySummary[[#This Row],[Utilidad bruta]]/TableWeeklySummary[[#This Row],[Ventas netas con costo registrado]],0)</f>
        <v>0</v>
      </c>
    </row>
    <row r="271" spans="2:38" x14ac:dyDescent="0.2">
      <c r="B271" s="16">
        <f>_xlfn.ISOWEEKNUM(TableWeeklySummary[[#This Row],[Hasta]])</f>
        <v>52</v>
      </c>
      <c r="C271" s="6">
        <f t="shared" si="6"/>
        <v>46374</v>
      </c>
      <c r="D271" s="6">
        <f>TableWeeklySummary[[#This Row],[Desde]]+7-1</f>
        <v>46380</v>
      </c>
      <c r="E271" s="11">
        <f>SUMIFS(TableDailySummary[Ventas netas totales],TableDailySummary[Fecha],"&gt;="&amp;TableWeeklySummary[[#This Row],[Desde]],TableDailySummary[Fecha],"&lt;="&amp;TableWeeklySummary[[#This Row],[Hasta]])</f>
        <v>0</v>
      </c>
      <c r="F271" s="11">
        <f>SUMIFS(TableDailySummary[Órdenes totales],TableDailySummary[Fecha],"&gt;="&amp;TableWeeklySummary[[#This Row],[Desde]],TableDailySummary[Fecha],"&lt;="&amp;TableWeeklySummary[[#This Row],[Hasta]])</f>
        <v>0</v>
      </c>
      <c r="G271" s="11">
        <f>IFERROR(TableWeeklySummary[[#This Row],[Ventas netas totales]]/TableWeeklySummary[[#This Row],[Órdenes totales]],0)</f>
        <v>0</v>
      </c>
      <c r="H27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1" s="11">
        <f>TableWeeklySummary[[#This Row],[Órden promedio totales]]*TableWeeklySummary[[#This Row],[CR totales]]</f>
        <v>0</v>
      </c>
      <c r="J271" s="11">
        <f>SUMIFS(TableDailySummary[Ventas primer cliente],TableDailySummary[Fecha],"&gt;="&amp;TableWeeklySummary[[#This Row],[Desde]],TableDailySummary[Fecha],"&lt;="&amp;TableWeeklySummary[[#This Row],[Hasta]])</f>
        <v>0</v>
      </c>
      <c r="K271" s="11">
        <f>SUMIFS(TableDailySummary[Órdenes primer cliente],TableDailySummary[Fecha],"&gt;="&amp;TableWeeklySummary[[#This Row],[Desde]],TableDailySummary[Fecha],"&lt;="&amp;TableWeeklySummary[[#This Row],[Hasta]])</f>
        <v>0</v>
      </c>
      <c r="L271" s="11">
        <f>SUMIFS(TableDailySummary[Online Store_net_sales],TableDailySummary[Fecha],"&gt;="&amp;TableWeeklySummary[[#This Row],[Desde]],TableDailySummary[Fecha],"&lt;="&amp;TableWeeklySummary[[#This Row],[Hasta]])</f>
        <v>0</v>
      </c>
      <c r="M271" s="11">
        <f>SUMIFS(TableDailySummary[Online Store_orders],TableDailySummary[Fecha],"&gt;="&amp;TableWeeklySummary[[#This Row],[Desde]],TableDailySummary[Fecha],"&lt;="&amp;TableWeeklySummary[[#This Row],[Hasta]])</f>
        <v>0</v>
      </c>
      <c r="N271" s="11">
        <f>SUMIFS(TableDailySummary[Tienda 81_net_sales],TableDailySummary[Fecha],"&gt;="&amp;TableWeeklySummary[[#This Row],[Desde]],TableDailySummary[Fecha],"&lt;="&amp;TableWeeklySummary[[#This Row],[Hasta]])</f>
        <v>0</v>
      </c>
      <c r="O271" s="11">
        <f>SUMIFS(TableDailySummary[Tienda 81_orders],TableDailySummary[Fecha],"&gt;="&amp;TableWeeklySummary[[#This Row],[Desde]],TableDailySummary[Fecha],"&lt;="&amp;TableWeeklySummary[[#This Row],[Hasta]])</f>
        <v>0</v>
      </c>
      <c r="P271" s="11">
        <f>SUMIFS(TableDailySummary[Rappi_net_sales],TableDailySummary[Fecha],"&gt;="&amp;TableWeeklySummary[[#This Row],[Desde]],TableDailySummary[Fecha],"&lt;="&amp;TableWeeklySummary[[#This Row],[Hasta]])</f>
        <v>0</v>
      </c>
      <c r="Q271" s="11">
        <f>SUMIFS(TableDailySummary[Rappi_orders],TableDailySummary[Fecha],"&gt;="&amp;TableWeeklySummary[[#This Row],[Desde]],TableDailySummary[Fecha],"&lt;="&amp;TableWeeklySummary[[#This Row],[Hasta]])</f>
        <v>0</v>
      </c>
      <c r="R27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1" s="11">
        <f>SUMIFS(TableDailySummary[Corporativo no tienda_orders],TableDailySummary[Fecha],"&gt;="&amp;TableWeeklySummary[[#This Row],[Desde]],TableDailySummary[Fecha],"&lt;="&amp;TableWeeklySummary[[#This Row],[Hasta]])</f>
        <v>0</v>
      </c>
      <c r="T271" s="11">
        <f>SUMIFS(TableDailySummary[Inversión google ads],TableDailySummary[Fecha],"&gt;="&amp;TableWeeklySummary[[#This Row],[Desde]],TableDailySummary[Fecha],"&lt;="&amp;TableWeeklySummary[[#This Row],[Hasta]])</f>
        <v>0</v>
      </c>
      <c r="U271" s="11">
        <f>SUMIFS(TableDailySummary[Ventas google ads],TableDailySummary[Fecha],"&gt;="&amp;TableWeeklySummary[[#This Row],[Desde]],TableDailySummary[Fecha],"&lt;="&amp;TableWeeklySummary[[#This Row],[Hasta]])</f>
        <v>0</v>
      </c>
      <c r="V271" s="11">
        <f>SUMIFS(TableDailySummary[Inversión meta ads],TableDailySummary[Fecha],"&gt;="&amp;TableWeeklySummary[[#This Row],[Desde]],TableDailySummary[Fecha],"&lt;="&amp;TableWeeklySummary[[#This Row],[Hasta]])</f>
        <v>0</v>
      </c>
      <c r="W271" s="11">
        <f>SUMIFS(TableDailySummary[Ventas meta ads],TableDailySummary[Fecha],"&gt;="&amp;TableWeeklySummary[[#This Row],[Desde]],TableDailySummary[Fecha],"&lt;="&amp;TableWeeklySummary[[#This Row],[Hasta]])</f>
        <v>0</v>
      </c>
      <c r="X271" s="11">
        <f>TableWeeklySummary[[#This Row],[Inversión google ads]]+TableWeeklySummary[[#This Row],[Inversión meta ads]]</f>
        <v>0</v>
      </c>
      <c r="Y271" s="11">
        <f>TableWeeklySummary[[#This Row],[Ventas google ads]]+TableWeeklySummary[[#This Row],[Ventas meta ads]]</f>
        <v>0</v>
      </c>
      <c r="Z271" s="14">
        <f>IFERROR(TableWeeklySummary[[#This Row],[Ventas publicidad]]/TableWeeklySummary[[#This Row],[Inversión publicidad]],0)</f>
        <v>0</v>
      </c>
      <c r="AA271" s="14">
        <f>IFERROR(TableWeeklySummary[[#This Row],[Ventas primer cliente]]/TableWeeklySummary[[#This Row],[Inversión publicidad]],0)</f>
        <v>0</v>
      </c>
      <c r="AB271" s="14"/>
      <c r="AC271" s="11"/>
      <c r="AI27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1" s="11">
        <f>SUMIFS(TableDailySummary[Costo de ventas registrado],TableDailySummary[Fecha],"&gt;="&amp;TableWeeklySummary[[#This Row],[Desde]],TableDailySummary[Fecha],"&lt;="&amp;TableWeeklySummary[[#This Row],[Hasta]])</f>
        <v>0</v>
      </c>
      <c r="AK271" s="11">
        <f>SUMIFS(TableDailySummary[Utilidad bruta],TableDailySummary[Fecha],"&gt;="&amp;TableWeeklySummary[[#This Row],[Desde]],TableDailySummary[Fecha],"&lt;="&amp;TableWeeklySummary[[#This Row],[Hasta]])</f>
        <v>0</v>
      </c>
      <c r="AL271" s="18">
        <f>IFERROR(TableWeeklySummary[[#This Row],[Utilidad bruta]]/TableWeeklySummary[[#This Row],[Ventas netas con costo registrado]],0)</f>
        <v>0</v>
      </c>
    </row>
    <row r="272" spans="2:38" x14ac:dyDescent="0.2">
      <c r="B272" s="16">
        <f>_xlfn.ISOWEEKNUM(TableWeeklySummary[[#This Row],[Hasta]])</f>
        <v>53</v>
      </c>
      <c r="C272" s="6">
        <f t="shared" si="6"/>
        <v>46381</v>
      </c>
      <c r="D272" s="6">
        <f>TableWeeklySummary[[#This Row],[Desde]]+7-1</f>
        <v>46387</v>
      </c>
      <c r="E272" s="11">
        <f>SUMIFS(TableDailySummary[Ventas netas totales],TableDailySummary[Fecha],"&gt;="&amp;TableWeeklySummary[[#This Row],[Desde]],TableDailySummary[Fecha],"&lt;="&amp;TableWeeklySummary[[#This Row],[Hasta]])</f>
        <v>0</v>
      </c>
      <c r="F272" s="11">
        <f>SUMIFS(TableDailySummary[Órdenes totales],TableDailySummary[Fecha],"&gt;="&amp;TableWeeklySummary[[#This Row],[Desde]],TableDailySummary[Fecha],"&lt;="&amp;TableWeeklySummary[[#This Row],[Hasta]])</f>
        <v>0</v>
      </c>
      <c r="G272" s="11">
        <f>IFERROR(TableWeeklySummary[[#This Row],[Ventas netas totales]]/TableWeeklySummary[[#This Row],[Órdenes totales]],0)</f>
        <v>0</v>
      </c>
      <c r="H27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2" s="11">
        <f>TableWeeklySummary[[#This Row],[Órden promedio totales]]*TableWeeklySummary[[#This Row],[CR totales]]</f>
        <v>0</v>
      </c>
      <c r="J272" s="11">
        <f>SUMIFS(TableDailySummary[Ventas primer cliente],TableDailySummary[Fecha],"&gt;="&amp;TableWeeklySummary[[#This Row],[Desde]],TableDailySummary[Fecha],"&lt;="&amp;TableWeeklySummary[[#This Row],[Hasta]])</f>
        <v>0</v>
      </c>
      <c r="K272" s="11">
        <f>SUMIFS(TableDailySummary[Órdenes primer cliente],TableDailySummary[Fecha],"&gt;="&amp;TableWeeklySummary[[#This Row],[Desde]],TableDailySummary[Fecha],"&lt;="&amp;TableWeeklySummary[[#This Row],[Hasta]])</f>
        <v>0</v>
      </c>
      <c r="L272" s="11">
        <f>SUMIFS(TableDailySummary[Online Store_net_sales],TableDailySummary[Fecha],"&gt;="&amp;TableWeeklySummary[[#This Row],[Desde]],TableDailySummary[Fecha],"&lt;="&amp;TableWeeklySummary[[#This Row],[Hasta]])</f>
        <v>0</v>
      </c>
      <c r="M272" s="11">
        <f>SUMIFS(TableDailySummary[Online Store_orders],TableDailySummary[Fecha],"&gt;="&amp;TableWeeklySummary[[#This Row],[Desde]],TableDailySummary[Fecha],"&lt;="&amp;TableWeeklySummary[[#This Row],[Hasta]])</f>
        <v>0</v>
      </c>
      <c r="N272" s="11">
        <f>SUMIFS(TableDailySummary[Tienda 81_net_sales],TableDailySummary[Fecha],"&gt;="&amp;TableWeeklySummary[[#This Row],[Desde]],TableDailySummary[Fecha],"&lt;="&amp;TableWeeklySummary[[#This Row],[Hasta]])</f>
        <v>0</v>
      </c>
      <c r="O272" s="11">
        <f>SUMIFS(TableDailySummary[Tienda 81_orders],TableDailySummary[Fecha],"&gt;="&amp;TableWeeklySummary[[#This Row],[Desde]],TableDailySummary[Fecha],"&lt;="&amp;TableWeeklySummary[[#This Row],[Hasta]])</f>
        <v>0</v>
      </c>
      <c r="P272" s="11">
        <f>SUMIFS(TableDailySummary[Rappi_net_sales],TableDailySummary[Fecha],"&gt;="&amp;TableWeeklySummary[[#This Row],[Desde]],TableDailySummary[Fecha],"&lt;="&amp;TableWeeklySummary[[#This Row],[Hasta]])</f>
        <v>0</v>
      </c>
      <c r="Q272" s="11">
        <f>SUMIFS(TableDailySummary[Rappi_orders],TableDailySummary[Fecha],"&gt;="&amp;TableWeeklySummary[[#This Row],[Desde]],TableDailySummary[Fecha],"&lt;="&amp;TableWeeklySummary[[#This Row],[Hasta]])</f>
        <v>0</v>
      </c>
      <c r="R27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2" s="11">
        <f>SUMIFS(TableDailySummary[Corporativo no tienda_orders],TableDailySummary[Fecha],"&gt;="&amp;TableWeeklySummary[[#This Row],[Desde]],TableDailySummary[Fecha],"&lt;="&amp;TableWeeklySummary[[#This Row],[Hasta]])</f>
        <v>0</v>
      </c>
      <c r="T272" s="11">
        <f>SUMIFS(TableDailySummary[Inversión google ads],TableDailySummary[Fecha],"&gt;="&amp;TableWeeklySummary[[#This Row],[Desde]],TableDailySummary[Fecha],"&lt;="&amp;TableWeeklySummary[[#This Row],[Hasta]])</f>
        <v>0</v>
      </c>
      <c r="U272" s="11">
        <f>SUMIFS(TableDailySummary[Ventas google ads],TableDailySummary[Fecha],"&gt;="&amp;TableWeeklySummary[[#This Row],[Desde]],TableDailySummary[Fecha],"&lt;="&amp;TableWeeklySummary[[#This Row],[Hasta]])</f>
        <v>0</v>
      </c>
      <c r="V272" s="11">
        <f>SUMIFS(TableDailySummary[Inversión meta ads],TableDailySummary[Fecha],"&gt;="&amp;TableWeeklySummary[[#This Row],[Desde]],TableDailySummary[Fecha],"&lt;="&amp;TableWeeklySummary[[#This Row],[Hasta]])</f>
        <v>0</v>
      </c>
      <c r="W272" s="11">
        <f>SUMIFS(TableDailySummary[Ventas meta ads],TableDailySummary[Fecha],"&gt;="&amp;TableWeeklySummary[[#This Row],[Desde]],TableDailySummary[Fecha],"&lt;="&amp;TableWeeklySummary[[#This Row],[Hasta]])</f>
        <v>0</v>
      </c>
      <c r="X272" s="11">
        <f>TableWeeklySummary[[#This Row],[Inversión google ads]]+TableWeeklySummary[[#This Row],[Inversión meta ads]]</f>
        <v>0</v>
      </c>
      <c r="Y272" s="11">
        <f>TableWeeklySummary[[#This Row],[Ventas google ads]]+TableWeeklySummary[[#This Row],[Ventas meta ads]]</f>
        <v>0</v>
      </c>
      <c r="Z272" s="14">
        <f>IFERROR(TableWeeklySummary[[#This Row],[Ventas publicidad]]/TableWeeklySummary[[#This Row],[Inversión publicidad]],0)</f>
        <v>0</v>
      </c>
      <c r="AA272" s="14">
        <f>IFERROR(TableWeeklySummary[[#This Row],[Ventas primer cliente]]/TableWeeklySummary[[#This Row],[Inversión publicidad]],0)</f>
        <v>0</v>
      </c>
      <c r="AB272" s="14"/>
      <c r="AC272" s="11"/>
      <c r="AI27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2" s="11">
        <f>SUMIFS(TableDailySummary[Costo de ventas registrado],TableDailySummary[Fecha],"&gt;="&amp;TableWeeklySummary[[#This Row],[Desde]],TableDailySummary[Fecha],"&lt;="&amp;TableWeeklySummary[[#This Row],[Hasta]])</f>
        <v>0</v>
      </c>
      <c r="AK272" s="11">
        <f>SUMIFS(TableDailySummary[Utilidad bruta],TableDailySummary[Fecha],"&gt;="&amp;TableWeeklySummary[[#This Row],[Desde]],TableDailySummary[Fecha],"&lt;="&amp;TableWeeklySummary[[#This Row],[Hasta]])</f>
        <v>0</v>
      </c>
      <c r="AL272" s="18">
        <f>IFERROR(TableWeeklySummary[[#This Row],[Utilidad bruta]]/TableWeeklySummary[[#This Row],[Ventas netas con costo registrado]],0)</f>
        <v>0</v>
      </c>
    </row>
    <row r="273" spans="2:38" x14ac:dyDescent="0.2">
      <c r="B273" s="16">
        <f>_xlfn.ISOWEEKNUM(TableWeeklySummary[[#This Row],[Hasta]])</f>
        <v>1</v>
      </c>
      <c r="C273" s="6">
        <f t="shared" si="6"/>
        <v>46388</v>
      </c>
      <c r="D273" s="6">
        <f>TableWeeklySummary[[#This Row],[Desde]]+7-1</f>
        <v>46394</v>
      </c>
      <c r="E273" s="11">
        <f>SUMIFS(TableDailySummary[Ventas netas totales],TableDailySummary[Fecha],"&gt;="&amp;TableWeeklySummary[[#This Row],[Desde]],TableDailySummary[Fecha],"&lt;="&amp;TableWeeklySummary[[#This Row],[Hasta]])</f>
        <v>0</v>
      </c>
      <c r="F273" s="11">
        <f>SUMIFS(TableDailySummary[Órdenes totales],TableDailySummary[Fecha],"&gt;="&amp;TableWeeklySummary[[#This Row],[Desde]],TableDailySummary[Fecha],"&lt;="&amp;TableWeeklySummary[[#This Row],[Hasta]])</f>
        <v>0</v>
      </c>
      <c r="G273" s="11">
        <f>IFERROR(TableWeeklySummary[[#This Row],[Ventas netas totales]]/TableWeeklySummary[[#This Row],[Órdenes totales]],0)</f>
        <v>0</v>
      </c>
      <c r="H27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3" s="11">
        <f>TableWeeklySummary[[#This Row],[Órden promedio totales]]*TableWeeklySummary[[#This Row],[CR totales]]</f>
        <v>0</v>
      </c>
      <c r="J273" s="11">
        <f>SUMIFS(TableDailySummary[Ventas primer cliente],TableDailySummary[Fecha],"&gt;="&amp;TableWeeklySummary[[#This Row],[Desde]],TableDailySummary[Fecha],"&lt;="&amp;TableWeeklySummary[[#This Row],[Hasta]])</f>
        <v>0</v>
      </c>
      <c r="K273" s="11">
        <f>SUMIFS(TableDailySummary[Órdenes primer cliente],TableDailySummary[Fecha],"&gt;="&amp;TableWeeklySummary[[#This Row],[Desde]],TableDailySummary[Fecha],"&lt;="&amp;TableWeeklySummary[[#This Row],[Hasta]])</f>
        <v>0</v>
      </c>
      <c r="L273" s="11">
        <f>SUMIFS(TableDailySummary[Online Store_net_sales],TableDailySummary[Fecha],"&gt;="&amp;TableWeeklySummary[[#This Row],[Desde]],TableDailySummary[Fecha],"&lt;="&amp;TableWeeklySummary[[#This Row],[Hasta]])</f>
        <v>0</v>
      </c>
      <c r="M273" s="11">
        <f>SUMIFS(TableDailySummary[Online Store_orders],TableDailySummary[Fecha],"&gt;="&amp;TableWeeklySummary[[#This Row],[Desde]],TableDailySummary[Fecha],"&lt;="&amp;TableWeeklySummary[[#This Row],[Hasta]])</f>
        <v>0</v>
      </c>
      <c r="N273" s="11">
        <f>SUMIFS(TableDailySummary[Tienda 81_net_sales],TableDailySummary[Fecha],"&gt;="&amp;TableWeeklySummary[[#This Row],[Desde]],TableDailySummary[Fecha],"&lt;="&amp;TableWeeklySummary[[#This Row],[Hasta]])</f>
        <v>0</v>
      </c>
      <c r="O273" s="11">
        <f>SUMIFS(TableDailySummary[Tienda 81_orders],TableDailySummary[Fecha],"&gt;="&amp;TableWeeklySummary[[#This Row],[Desde]],TableDailySummary[Fecha],"&lt;="&amp;TableWeeklySummary[[#This Row],[Hasta]])</f>
        <v>0</v>
      </c>
      <c r="P273" s="11">
        <f>SUMIFS(TableDailySummary[Rappi_net_sales],TableDailySummary[Fecha],"&gt;="&amp;TableWeeklySummary[[#This Row],[Desde]],TableDailySummary[Fecha],"&lt;="&amp;TableWeeklySummary[[#This Row],[Hasta]])</f>
        <v>0</v>
      </c>
      <c r="Q273" s="11">
        <f>SUMIFS(TableDailySummary[Rappi_orders],TableDailySummary[Fecha],"&gt;="&amp;TableWeeklySummary[[#This Row],[Desde]],TableDailySummary[Fecha],"&lt;="&amp;TableWeeklySummary[[#This Row],[Hasta]])</f>
        <v>0</v>
      </c>
      <c r="R27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3" s="11">
        <f>SUMIFS(TableDailySummary[Corporativo no tienda_orders],TableDailySummary[Fecha],"&gt;="&amp;TableWeeklySummary[[#This Row],[Desde]],TableDailySummary[Fecha],"&lt;="&amp;TableWeeklySummary[[#This Row],[Hasta]])</f>
        <v>0</v>
      </c>
      <c r="T273" s="11">
        <f>SUMIFS(TableDailySummary[Inversión google ads],TableDailySummary[Fecha],"&gt;="&amp;TableWeeklySummary[[#This Row],[Desde]],TableDailySummary[Fecha],"&lt;="&amp;TableWeeklySummary[[#This Row],[Hasta]])</f>
        <v>0</v>
      </c>
      <c r="U273" s="11">
        <f>SUMIFS(TableDailySummary[Ventas google ads],TableDailySummary[Fecha],"&gt;="&amp;TableWeeklySummary[[#This Row],[Desde]],TableDailySummary[Fecha],"&lt;="&amp;TableWeeklySummary[[#This Row],[Hasta]])</f>
        <v>0</v>
      </c>
      <c r="V273" s="11">
        <f>SUMIFS(TableDailySummary[Inversión meta ads],TableDailySummary[Fecha],"&gt;="&amp;TableWeeklySummary[[#This Row],[Desde]],TableDailySummary[Fecha],"&lt;="&amp;TableWeeklySummary[[#This Row],[Hasta]])</f>
        <v>0</v>
      </c>
      <c r="W273" s="11">
        <f>SUMIFS(TableDailySummary[Ventas meta ads],TableDailySummary[Fecha],"&gt;="&amp;TableWeeklySummary[[#This Row],[Desde]],TableDailySummary[Fecha],"&lt;="&amp;TableWeeklySummary[[#This Row],[Hasta]])</f>
        <v>0</v>
      </c>
      <c r="X273" s="11">
        <f>TableWeeklySummary[[#This Row],[Inversión google ads]]+TableWeeklySummary[[#This Row],[Inversión meta ads]]</f>
        <v>0</v>
      </c>
      <c r="Y273" s="11">
        <f>TableWeeklySummary[[#This Row],[Ventas google ads]]+TableWeeklySummary[[#This Row],[Ventas meta ads]]</f>
        <v>0</v>
      </c>
      <c r="Z273" s="14">
        <f>IFERROR(TableWeeklySummary[[#This Row],[Ventas publicidad]]/TableWeeklySummary[[#This Row],[Inversión publicidad]],0)</f>
        <v>0</v>
      </c>
      <c r="AA273" s="14">
        <f>IFERROR(TableWeeklySummary[[#This Row],[Ventas primer cliente]]/TableWeeklySummary[[#This Row],[Inversión publicidad]],0)</f>
        <v>0</v>
      </c>
      <c r="AB273" s="14"/>
      <c r="AC273" s="11"/>
      <c r="AI27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3" s="11">
        <f>SUMIFS(TableDailySummary[Costo de ventas registrado],TableDailySummary[Fecha],"&gt;="&amp;TableWeeklySummary[[#This Row],[Desde]],TableDailySummary[Fecha],"&lt;="&amp;TableWeeklySummary[[#This Row],[Hasta]])</f>
        <v>0</v>
      </c>
      <c r="AK273" s="11">
        <f>SUMIFS(TableDailySummary[Utilidad bruta],TableDailySummary[Fecha],"&gt;="&amp;TableWeeklySummary[[#This Row],[Desde]],TableDailySummary[Fecha],"&lt;="&amp;TableWeeklySummary[[#This Row],[Hasta]])</f>
        <v>0</v>
      </c>
      <c r="AL273" s="18">
        <f>IFERROR(TableWeeklySummary[[#This Row],[Utilidad bruta]]/TableWeeklySummary[[#This Row],[Ventas netas con costo registrado]],0)</f>
        <v>0</v>
      </c>
    </row>
    <row r="274" spans="2:38" x14ac:dyDescent="0.2">
      <c r="B274" s="16">
        <f>_xlfn.ISOWEEKNUM(TableWeeklySummary[[#This Row],[Hasta]])</f>
        <v>2</v>
      </c>
      <c r="C274" s="6">
        <f t="shared" si="6"/>
        <v>46395</v>
      </c>
      <c r="D274" s="6">
        <f>TableWeeklySummary[[#This Row],[Desde]]+7-1</f>
        <v>46401</v>
      </c>
      <c r="E274" s="11">
        <f>SUMIFS(TableDailySummary[Ventas netas totales],TableDailySummary[Fecha],"&gt;="&amp;TableWeeklySummary[[#This Row],[Desde]],TableDailySummary[Fecha],"&lt;="&amp;TableWeeklySummary[[#This Row],[Hasta]])</f>
        <v>0</v>
      </c>
      <c r="F274" s="11">
        <f>SUMIFS(TableDailySummary[Órdenes totales],TableDailySummary[Fecha],"&gt;="&amp;TableWeeklySummary[[#This Row],[Desde]],TableDailySummary[Fecha],"&lt;="&amp;TableWeeklySummary[[#This Row],[Hasta]])</f>
        <v>0</v>
      </c>
      <c r="G274" s="11">
        <f>IFERROR(TableWeeklySummary[[#This Row],[Ventas netas totales]]/TableWeeklySummary[[#This Row],[Órdenes totales]],0)</f>
        <v>0</v>
      </c>
      <c r="H27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4" s="11">
        <f>TableWeeklySummary[[#This Row],[Órden promedio totales]]*TableWeeklySummary[[#This Row],[CR totales]]</f>
        <v>0</v>
      </c>
      <c r="J274" s="11">
        <f>SUMIFS(TableDailySummary[Ventas primer cliente],TableDailySummary[Fecha],"&gt;="&amp;TableWeeklySummary[[#This Row],[Desde]],TableDailySummary[Fecha],"&lt;="&amp;TableWeeklySummary[[#This Row],[Hasta]])</f>
        <v>0</v>
      </c>
      <c r="K274" s="11">
        <f>SUMIFS(TableDailySummary[Órdenes primer cliente],TableDailySummary[Fecha],"&gt;="&amp;TableWeeklySummary[[#This Row],[Desde]],TableDailySummary[Fecha],"&lt;="&amp;TableWeeklySummary[[#This Row],[Hasta]])</f>
        <v>0</v>
      </c>
      <c r="L274" s="11">
        <f>SUMIFS(TableDailySummary[Online Store_net_sales],TableDailySummary[Fecha],"&gt;="&amp;TableWeeklySummary[[#This Row],[Desde]],TableDailySummary[Fecha],"&lt;="&amp;TableWeeklySummary[[#This Row],[Hasta]])</f>
        <v>0</v>
      </c>
      <c r="M274" s="11">
        <f>SUMIFS(TableDailySummary[Online Store_orders],TableDailySummary[Fecha],"&gt;="&amp;TableWeeklySummary[[#This Row],[Desde]],TableDailySummary[Fecha],"&lt;="&amp;TableWeeklySummary[[#This Row],[Hasta]])</f>
        <v>0</v>
      </c>
      <c r="N274" s="11">
        <f>SUMIFS(TableDailySummary[Tienda 81_net_sales],TableDailySummary[Fecha],"&gt;="&amp;TableWeeklySummary[[#This Row],[Desde]],TableDailySummary[Fecha],"&lt;="&amp;TableWeeklySummary[[#This Row],[Hasta]])</f>
        <v>0</v>
      </c>
      <c r="O274" s="11">
        <f>SUMIFS(TableDailySummary[Tienda 81_orders],TableDailySummary[Fecha],"&gt;="&amp;TableWeeklySummary[[#This Row],[Desde]],TableDailySummary[Fecha],"&lt;="&amp;TableWeeklySummary[[#This Row],[Hasta]])</f>
        <v>0</v>
      </c>
      <c r="P274" s="11">
        <f>SUMIFS(TableDailySummary[Rappi_net_sales],TableDailySummary[Fecha],"&gt;="&amp;TableWeeklySummary[[#This Row],[Desde]],TableDailySummary[Fecha],"&lt;="&amp;TableWeeklySummary[[#This Row],[Hasta]])</f>
        <v>0</v>
      </c>
      <c r="Q274" s="11">
        <f>SUMIFS(TableDailySummary[Rappi_orders],TableDailySummary[Fecha],"&gt;="&amp;TableWeeklySummary[[#This Row],[Desde]],TableDailySummary[Fecha],"&lt;="&amp;TableWeeklySummary[[#This Row],[Hasta]])</f>
        <v>0</v>
      </c>
      <c r="R27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4" s="11">
        <f>SUMIFS(TableDailySummary[Corporativo no tienda_orders],TableDailySummary[Fecha],"&gt;="&amp;TableWeeklySummary[[#This Row],[Desde]],TableDailySummary[Fecha],"&lt;="&amp;TableWeeklySummary[[#This Row],[Hasta]])</f>
        <v>0</v>
      </c>
      <c r="T274" s="11">
        <f>SUMIFS(TableDailySummary[Inversión google ads],TableDailySummary[Fecha],"&gt;="&amp;TableWeeklySummary[[#This Row],[Desde]],TableDailySummary[Fecha],"&lt;="&amp;TableWeeklySummary[[#This Row],[Hasta]])</f>
        <v>0</v>
      </c>
      <c r="U274" s="11">
        <f>SUMIFS(TableDailySummary[Ventas google ads],TableDailySummary[Fecha],"&gt;="&amp;TableWeeklySummary[[#This Row],[Desde]],TableDailySummary[Fecha],"&lt;="&amp;TableWeeklySummary[[#This Row],[Hasta]])</f>
        <v>0</v>
      </c>
      <c r="V274" s="11">
        <f>SUMIFS(TableDailySummary[Inversión meta ads],TableDailySummary[Fecha],"&gt;="&amp;TableWeeklySummary[[#This Row],[Desde]],TableDailySummary[Fecha],"&lt;="&amp;TableWeeklySummary[[#This Row],[Hasta]])</f>
        <v>0</v>
      </c>
      <c r="W274" s="11">
        <f>SUMIFS(TableDailySummary[Ventas meta ads],TableDailySummary[Fecha],"&gt;="&amp;TableWeeklySummary[[#This Row],[Desde]],TableDailySummary[Fecha],"&lt;="&amp;TableWeeklySummary[[#This Row],[Hasta]])</f>
        <v>0</v>
      </c>
      <c r="X274" s="11">
        <f>TableWeeklySummary[[#This Row],[Inversión google ads]]+TableWeeklySummary[[#This Row],[Inversión meta ads]]</f>
        <v>0</v>
      </c>
      <c r="Y274" s="11">
        <f>TableWeeklySummary[[#This Row],[Ventas google ads]]+TableWeeklySummary[[#This Row],[Ventas meta ads]]</f>
        <v>0</v>
      </c>
      <c r="Z274" s="14">
        <f>IFERROR(TableWeeklySummary[[#This Row],[Ventas publicidad]]/TableWeeklySummary[[#This Row],[Inversión publicidad]],0)</f>
        <v>0</v>
      </c>
      <c r="AA274" s="14">
        <f>IFERROR(TableWeeklySummary[[#This Row],[Ventas primer cliente]]/TableWeeklySummary[[#This Row],[Inversión publicidad]],0)</f>
        <v>0</v>
      </c>
      <c r="AB274" s="14"/>
      <c r="AC274" s="11"/>
      <c r="AI27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4" s="11">
        <f>SUMIFS(TableDailySummary[Costo de ventas registrado],TableDailySummary[Fecha],"&gt;="&amp;TableWeeklySummary[[#This Row],[Desde]],TableDailySummary[Fecha],"&lt;="&amp;TableWeeklySummary[[#This Row],[Hasta]])</f>
        <v>0</v>
      </c>
      <c r="AK274" s="11">
        <f>SUMIFS(TableDailySummary[Utilidad bruta],TableDailySummary[Fecha],"&gt;="&amp;TableWeeklySummary[[#This Row],[Desde]],TableDailySummary[Fecha],"&lt;="&amp;TableWeeklySummary[[#This Row],[Hasta]])</f>
        <v>0</v>
      </c>
      <c r="AL274" s="18">
        <f>IFERROR(TableWeeklySummary[[#This Row],[Utilidad bruta]]/TableWeeklySummary[[#This Row],[Ventas netas con costo registrado]],0)</f>
        <v>0</v>
      </c>
    </row>
    <row r="275" spans="2:38" x14ac:dyDescent="0.2">
      <c r="B275" s="16">
        <f>_xlfn.ISOWEEKNUM(TableWeeklySummary[[#This Row],[Hasta]])</f>
        <v>3</v>
      </c>
      <c r="C275" s="6">
        <f t="shared" si="6"/>
        <v>46402</v>
      </c>
      <c r="D275" s="6">
        <f>TableWeeklySummary[[#This Row],[Desde]]+7-1</f>
        <v>46408</v>
      </c>
      <c r="E275" s="11">
        <f>SUMIFS(TableDailySummary[Ventas netas totales],TableDailySummary[Fecha],"&gt;="&amp;TableWeeklySummary[[#This Row],[Desde]],TableDailySummary[Fecha],"&lt;="&amp;TableWeeklySummary[[#This Row],[Hasta]])</f>
        <v>0</v>
      </c>
      <c r="F275" s="11">
        <f>SUMIFS(TableDailySummary[Órdenes totales],TableDailySummary[Fecha],"&gt;="&amp;TableWeeklySummary[[#This Row],[Desde]],TableDailySummary[Fecha],"&lt;="&amp;TableWeeklySummary[[#This Row],[Hasta]])</f>
        <v>0</v>
      </c>
      <c r="G275" s="11">
        <f>IFERROR(TableWeeklySummary[[#This Row],[Ventas netas totales]]/TableWeeklySummary[[#This Row],[Órdenes totales]],0)</f>
        <v>0</v>
      </c>
      <c r="H27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5" s="11">
        <f>TableWeeklySummary[[#This Row],[Órden promedio totales]]*TableWeeklySummary[[#This Row],[CR totales]]</f>
        <v>0</v>
      </c>
      <c r="J275" s="11">
        <f>SUMIFS(TableDailySummary[Ventas primer cliente],TableDailySummary[Fecha],"&gt;="&amp;TableWeeklySummary[[#This Row],[Desde]],TableDailySummary[Fecha],"&lt;="&amp;TableWeeklySummary[[#This Row],[Hasta]])</f>
        <v>0</v>
      </c>
      <c r="K275" s="11">
        <f>SUMIFS(TableDailySummary[Órdenes primer cliente],TableDailySummary[Fecha],"&gt;="&amp;TableWeeklySummary[[#This Row],[Desde]],TableDailySummary[Fecha],"&lt;="&amp;TableWeeklySummary[[#This Row],[Hasta]])</f>
        <v>0</v>
      </c>
      <c r="L275" s="11">
        <f>SUMIFS(TableDailySummary[Online Store_net_sales],TableDailySummary[Fecha],"&gt;="&amp;TableWeeklySummary[[#This Row],[Desde]],TableDailySummary[Fecha],"&lt;="&amp;TableWeeklySummary[[#This Row],[Hasta]])</f>
        <v>0</v>
      </c>
      <c r="M275" s="11">
        <f>SUMIFS(TableDailySummary[Online Store_orders],TableDailySummary[Fecha],"&gt;="&amp;TableWeeklySummary[[#This Row],[Desde]],TableDailySummary[Fecha],"&lt;="&amp;TableWeeklySummary[[#This Row],[Hasta]])</f>
        <v>0</v>
      </c>
      <c r="N275" s="11">
        <f>SUMIFS(TableDailySummary[Tienda 81_net_sales],TableDailySummary[Fecha],"&gt;="&amp;TableWeeklySummary[[#This Row],[Desde]],TableDailySummary[Fecha],"&lt;="&amp;TableWeeklySummary[[#This Row],[Hasta]])</f>
        <v>0</v>
      </c>
      <c r="O275" s="11">
        <f>SUMIFS(TableDailySummary[Tienda 81_orders],TableDailySummary[Fecha],"&gt;="&amp;TableWeeklySummary[[#This Row],[Desde]],TableDailySummary[Fecha],"&lt;="&amp;TableWeeklySummary[[#This Row],[Hasta]])</f>
        <v>0</v>
      </c>
      <c r="P275" s="11">
        <f>SUMIFS(TableDailySummary[Rappi_net_sales],TableDailySummary[Fecha],"&gt;="&amp;TableWeeklySummary[[#This Row],[Desde]],TableDailySummary[Fecha],"&lt;="&amp;TableWeeklySummary[[#This Row],[Hasta]])</f>
        <v>0</v>
      </c>
      <c r="Q275" s="11">
        <f>SUMIFS(TableDailySummary[Rappi_orders],TableDailySummary[Fecha],"&gt;="&amp;TableWeeklySummary[[#This Row],[Desde]],TableDailySummary[Fecha],"&lt;="&amp;TableWeeklySummary[[#This Row],[Hasta]])</f>
        <v>0</v>
      </c>
      <c r="R27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5" s="11">
        <f>SUMIFS(TableDailySummary[Corporativo no tienda_orders],TableDailySummary[Fecha],"&gt;="&amp;TableWeeklySummary[[#This Row],[Desde]],TableDailySummary[Fecha],"&lt;="&amp;TableWeeklySummary[[#This Row],[Hasta]])</f>
        <v>0</v>
      </c>
      <c r="T275" s="11">
        <f>SUMIFS(TableDailySummary[Inversión google ads],TableDailySummary[Fecha],"&gt;="&amp;TableWeeklySummary[[#This Row],[Desde]],TableDailySummary[Fecha],"&lt;="&amp;TableWeeklySummary[[#This Row],[Hasta]])</f>
        <v>0</v>
      </c>
      <c r="U275" s="11">
        <f>SUMIFS(TableDailySummary[Ventas google ads],TableDailySummary[Fecha],"&gt;="&amp;TableWeeklySummary[[#This Row],[Desde]],TableDailySummary[Fecha],"&lt;="&amp;TableWeeklySummary[[#This Row],[Hasta]])</f>
        <v>0</v>
      </c>
      <c r="V275" s="11">
        <f>SUMIFS(TableDailySummary[Inversión meta ads],TableDailySummary[Fecha],"&gt;="&amp;TableWeeklySummary[[#This Row],[Desde]],TableDailySummary[Fecha],"&lt;="&amp;TableWeeklySummary[[#This Row],[Hasta]])</f>
        <v>0</v>
      </c>
      <c r="W275" s="11">
        <f>SUMIFS(TableDailySummary[Ventas meta ads],TableDailySummary[Fecha],"&gt;="&amp;TableWeeklySummary[[#This Row],[Desde]],TableDailySummary[Fecha],"&lt;="&amp;TableWeeklySummary[[#This Row],[Hasta]])</f>
        <v>0</v>
      </c>
      <c r="X275" s="11">
        <f>TableWeeklySummary[[#This Row],[Inversión google ads]]+TableWeeklySummary[[#This Row],[Inversión meta ads]]</f>
        <v>0</v>
      </c>
      <c r="Y275" s="11">
        <f>TableWeeklySummary[[#This Row],[Ventas google ads]]+TableWeeklySummary[[#This Row],[Ventas meta ads]]</f>
        <v>0</v>
      </c>
      <c r="Z275" s="14">
        <f>IFERROR(TableWeeklySummary[[#This Row],[Ventas publicidad]]/TableWeeklySummary[[#This Row],[Inversión publicidad]],0)</f>
        <v>0</v>
      </c>
      <c r="AA275" s="14">
        <f>IFERROR(TableWeeklySummary[[#This Row],[Ventas primer cliente]]/TableWeeklySummary[[#This Row],[Inversión publicidad]],0)</f>
        <v>0</v>
      </c>
      <c r="AB275" s="14"/>
      <c r="AC275" s="11"/>
      <c r="AI27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5" s="11">
        <f>SUMIFS(TableDailySummary[Costo de ventas registrado],TableDailySummary[Fecha],"&gt;="&amp;TableWeeklySummary[[#This Row],[Desde]],TableDailySummary[Fecha],"&lt;="&amp;TableWeeklySummary[[#This Row],[Hasta]])</f>
        <v>0</v>
      </c>
      <c r="AK275" s="11">
        <f>SUMIFS(TableDailySummary[Utilidad bruta],TableDailySummary[Fecha],"&gt;="&amp;TableWeeklySummary[[#This Row],[Desde]],TableDailySummary[Fecha],"&lt;="&amp;TableWeeklySummary[[#This Row],[Hasta]])</f>
        <v>0</v>
      </c>
      <c r="AL275" s="18">
        <f>IFERROR(TableWeeklySummary[[#This Row],[Utilidad bruta]]/TableWeeklySummary[[#This Row],[Ventas netas con costo registrado]],0)</f>
        <v>0</v>
      </c>
    </row>
    <row r="276" spans="2:38" x14ac:dyDescent="0.2">
      <c r="B276" s="16">
        <f>_xlfn.ISOWEEKNUM(TableWeeklySummary[[#This Row],[Hasta]])</f>
        <v>4</v>
      </c>
      <c r="C276" s="6">
        <f t="shared" si="6"/>
        <v>46409</v>
      </c>
      <c r="D276" s="6">
        <f>TableWeeklySummary[[#This Row],[Desde]]+7-1</f>
        <v>46415</v>
      </c>
      <c r="E276" s="11">
        <f>SUMIFS(TableDailySummary[Ventas netas totales],TableDailySummary[Fecha],"&gt;="&amp;TableWeeklySummary[[#This Row],[Desde]],TableDailySummary[Fecha],"&lt;="&amp;TableWeeklySummary[[#This Row],[Hasta]])</f>
        <v>0</v>
      </c>
      <c r="F276" s="11">
        <f>SUMIFS(TableDailySummary[Órdenes totales],TableDailySummary[Fecha],"&gt;="&amp;TableWeeklySummary[[#This Row],[Desde]],TableDailySummary[Fecha],"&lt;="&amp;TableWeeklySummary[[#This Row],[Hasta]])</f>
        <v>0</v>
      </c>
      <c r="G276" s="11">
        <f>IFERROR(TableWeeklySummary[[#This Row],[Ventas netas totales]]/TableWeeklySummary[[#This Row],[Órdenes totales]],0)</f>
        <v>0</v>
      </c>
      <c r="H27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6" s="11">
        <f>TableWeeklySummary[[#This Row],[Órden promedio totales]]*TableWeeklySummary[[#This Row],[CR totales]]</f>
        <v>0</v>
      </c>
      <c r="J276" s="11">
        <f>SUMIFS(TableDailySummary[Ventas primer cliente],TableDailySummary[Fecha],"&gt;="&amp;TableWeeklySummary[[#This Row],[Desde]],TableDailySummary[Fecha],"&lt;="&amp;TableWeeklySummary[[#This Row],[Hasta]])</f>
        <v>0</v>
      </c>
      <c r="K276" s="11">
        <f>SUMIFS(TableDailySummary[Órdenes primer cliente],TableDailySummary[Fecha],"&gt;="&amp;TableWeeklySummary[[#This Row],[Desde]],TableDailySummary[Fecha],"&lt;="&amp;TableWeeklySummary[[#This Row],[Hasta]])</f>
        <v>0</v>
      </c>
      <c r="L276" s="11">
        <f>SUMIFS(TableDailySummary[Online Store_net_sales],TableDailySummary[Fecha],"&gt;="&amp;TableWeeklySummary[[#This Row],[Desde]],TableDailySummary[Fecha],"&lt;="&amp;TableWeeklySummary[[#This Row],[Hasta]])</f>
        <v>0</v>
      </c>
      <c r="M276" s="11">
        <f>SUMIFS(TableDailySummary[Online Store_orders],TableDailySummary[Fecha],"&gt;="&amp;TableWeeklySummary[[#This Row],[Desde]],TableDailySummary[Fecha],"&lt;="&amp;TableWeeklySummary[[#This Row],[Hasta]])</f>
        <v>0</v>
      </c>
      <c r="N276" s="11">
        <f>SUMIFS(TableDailySummary[Tienda 81_net_sales],TableDailySummary[Fecha],"&gt;="&amp;TableWeeklySummary[[#This Row],[Desde]],TableDailySummary[Fecha],"&lt;="&amp;TableWeeklySummary[[#This Row],[Hasta]])</f>
        <v>0</v>
      </c>
      <c r="O276" s="11">
        <f>SUMIFS(TableDailySummary[Tienda 81_orders],TableDailySummary[Fecha],"&gt;="&amp;TableWeeklySummary[[#This Row],[Desde]],TableDailySummary[Fecha],"&lt;="&amp;TableWeeklySummary[[#This Row],[Hasta]])</f>
        <v>0</v>
      </c>
      <c r="P276" s="11">
        <f>SUMIFS(TableDailySummary[Rappi_net_sales],TableDailySummary[Fecha],"&gt;="&amp;TableWeeklySummary[[#This Row],[Desde]],TableDailySummary[Fecha],"&lt;="&amp;TableWeeklySummary[[#This Row],[Hasta]])</f>
        <v>0</v>
      </c>
      <c r="Q276" s="11">
        <f>SUMIFS(TableDailySummary[Rappi_orders],TableDailySummary[Fecha],"&gt;="&amp;TableWeeklySummary[[#This Row],[Desde]],TableDailySummary[Fecha],"&lt;="&amp;TableWeeklySummary[[#This Row],[Hasta]])</f>
        <v>0</v>
      </c>
      <c r="R27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6" s="11">
        <f>SUMIFS(TableDailySummary[Corporativo no tienda_orders],TableDailySummary[Fecha],"&gt;="&amp;TableWeeklySummary[[#This Row],[Desde]],TableDailySummary[Fecha],"&lt;="&amp;TableWeeklySummary[[#This Row],[Hasta]])</f>
        <v>0</v>
      </c>
      <c r="T276" s="11">
        <f>SUMIFS(TableDailySummary[Inversión google ads],TableDailySummary[Fecha],"&gt;="&amp;TableWeeklySummary[[#This Row],[Desde]],TableDailySummary[Fecha],"&lt;="&amp;TableWeeklySummary[[#This Row],[Hasta]])</f>
        <v>0</v>
      </c>
      <c r="U276" s="11">
        <f>SUMIFS(TableDailySummary[Ventas google ads],TableDailySummary[Fecha],"&gt;="&amp;TableWeeklySummary[[#This Row],[Desde]],TableDailySummary[Fecha],"&lt;="&amp;TableWeeklySummary[[#This Row],[Hasta]])</f>
        <v>0</v>
      </c>
      <c r="V276" s="11">
        <f>SUMIFS(TableDailySummary[Inversión meta ads],TableDailySummary[Fecha],"&gt;="&amp;TableWeeklySummary[[#This Row],[Desde]],TableDailySummary[Fecha],"&lt;="&amp;TableWeeklySummary[[#This Row],[Hasta]])</f>
        <v>0</v>
      </c>
      <c r="W276" s="11">
        <f>SUMIFS(TableDailySummary[Ventas meta ads],TableDailySummary[Fecha],"&gt;="&amp;TableWeeklySummary[[#This Row],[Desde]],TableDailySummary[Fecha],"&lt;="&amp;TableWeeklySummary[[#This Row],[Hasta]])</f>
        <v>0</v>
      </c>
      <c r="X276" s="11">
        <f>TableWeeklySummary[[#This Row],[Inversión google ads]]+TableWeeklySummary[[#This Row],[Inversión meta ads]]</f>
        <v>0</v>
      </c>
      <c r="Y276" s="11">
        <f>TableWeeklySummary[[#This Row],[Ventas google ads]]+TableWeeklySummary[[#This Row],[Ventas meta ads]]</f>
        <v>0</v>
      </c>
      <c r="Z276" s="14">
        <f>IFERROR(TableWeeklySummary[[#This Row],[Ventas publicidad]]/TableWeeklySummary[[#This Row],[Inversión publicidad]],0)</f>
        <v>0</v>
      </c>
      <c r="AA276" s="14">
        <f>IFERROR(TableWeeklySummary[[#This Row],[Ventas primer cliente]]/TableWeeklySummary[[#This Row],[Inversión publicidad]],0)</f>
        <v>0</v>
      </c>
      <c r="AB276" s="14"/>
      <c r="AC276" s="11"/>
      <c r="AI27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6" s="11">
        <f>SUMIFS(TableDailySummary[Costo de ventas registrado],TableDailySummary[Fecha],"&gt;="&amp;TableWeeklySummary[[#This Row],[Desde]],TableDailySummary[Fecha],"&lt;="&amp;TableWeeklySummary[[#This Row],[Hasta]])</f>
        <v>0</v>
      </c>
      <c r="AK276" s="11">
        <f>SUMIFS(TableDailySummary[Utilidad bruta],TableDailySummary[Fecha],"&gt;="&amp;TableWeeklySummary[[#This Row],[Desde]],TableDailySummary[Fecha],"&lt;="&amp;TableWeeklySummary[[#This Row],[Hasta]])</f>
        <v>0</v>
      </c>
      <c r="AL276" s="18">
        <f>IFERROR(TableWeeklySummary[[#This Row],[Utilidad bruta]]/TableWeeklySummary[[#This Row],[Ventas netas con costo registrado]],0)</f>
        <v>0</v>
      </c>
    </row>
    <row r="277" spans="2:38" x14ac:dyDescent="0.2">
      <c r="B277" s="16">
        <f>_xlfn.ISOWEEKNUM(TableWeeklySummary[[#This Row],[Hasta]])</f>
        <v>5</v>
      </c>
      <c r="C277" s="6">
        <f t="shared" si="6"/>
        <v>46416</v>
      </c>
      <c r="D277" s="6">
        <f>TableWeeklySummary[[#This Row],[Desde]]+7-1</f>
        <v>46422</v>
      </c>
      <c r="E277" s="11">
        <f>SUMIFS(TableDailySummary[Ventas netas totales],TableDailySummary[Fecha],"&gt;="&amp;TableWeeklySummary[[#This Row],[Desde]],TableDailySummary[Fecha],"&lt;="&amp;TableWeeklySummary[[#This Row],[Hasta]])</f>
        <v>0</v>
      </c>
      <c r="F277" s="11">
        <f>SUMIFS(TableDailySummary[Órdenes totales],TableDailySummary[Fecha],"&gt;="&amp;TableWeeklySummary[[#This Row],[Desde]],TableDailySummary[Fecha],"&lt;="&amp;TableWeeklySummary[[#This Row],[Hasta]])</f>
        <v>0</v>
      </c>
      <c r="G277" s="11">
        <f>IFERROR(TableWeeklySummary[[#This Row],[Ventas netas totales]]/TableWeeklySummary[[#This Row],[Órdenes totales]],0)</f>
        <v>0</v>
      </c>
      <c r="H27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7" s="11">
        <f>TableWeeklySummary[[#This Row],[Órden promedio totales]]*TableWeeklySummary[[#This Row],[CR totales]]</f>
        <v>0</v>
      </c>
      <c r="J277" s="11">
        <f>SUMIFS(TableDailySummary[Ventas primer cliente],TableDailySummary[Fecha],"&gt;="&amp;TableWeeklySummary[[#This Row],[Desde]],TableDailySummary[Fecha],"&lt;="&amp;TableWeeklySummary[[#This Row],[Hasta]])</f>
        <v>0</v>
      </c>
      <c r="K277" s="11">
        <f>SUMIFS(TableDailySummary[Órdenes primer cliente],TableDailySummary[Fecha],"&gt;="&amp;TableWeeklySummary[[#This Row],[Desde]],TableDailySummary[Fecha],"&lt;="&amp;TableWeeklySummary[[#This Row],[Hasta]])</f>
        <v>0</v>
      </c>
      <c r="L277" s="11">
        <f>SUMIFS(TableDailySummary[Online Store_net_sales],TableDailySummary[Fecha],"&gt;="&amp;TableWeeklySummary[[#This Row],[Desde]],TableDailySummary[Fecha],"&lt;="&amp;TableWeeklySummary[[#This Row],[Hasta]])</f>
        <v>0</v>
      </c>
      <c r="M277" s="11">
        <f>SUMIFS(TableDailySummary[Online Store_orders],TableDailySummary[Fecha],"&gt;="&amp;TableWeeklySummary[[#This Row],[Desde]],TableDailySummary[Fecha],"&lt;="&amp;TableWeeklySummary[[#This Row],[Hasta]])</f>
        <v>0</v>
      </c>
      <c r="N277" s="11">
        <f>SUMIFS(TableDailySummary[Tienda 81_net_sales],TableDailySummary[Fecha],"&gt;="&amp;TableWeeklySummary[[#This Row],[Desde]],TableDailySummary[Fecha],"&lt;="&amp;TableWeeklySummary[[#This Row],[Hasta]])</f>
        <v>0</v>
      </c>
      <c r="O277" s="11">
        <f>SUMIFS(TableDailySummary[Tienda 81_orders],TableDailySummary[Fecha],"&gt;="&amp;TableWeeklySummary[[#This Row],[Desde]],TableDailySummary[Fecha],"&lt;="&amp;TableWeeklySummary[[#This Row],[Hasta]])</f>
        <v>0</v>
      </c>
      <c r="P277" s="11">
        <f>SUMIFS(TableDailySummary[Rappi_net_sales],TableDailySummary[Fecha],"&gt;="&amp;TableWeeklySummary[[#This Row],[Desde]],TableDailySummary[Fecha],"&lt;="&amp;TableWeeklySummary[[#This Row],[Hasta]])</f>
        <v>0</v>
      </c>
      <c r="Q277" s="11">
        <f>SUMIFS(TableDailySummary[Rappi_orders],TableDailySummary[Fecha],"&gt;="&amp;TableWeeklySummary[[#This Row],[Desde]],TableDailySummary[Fecha],"&lt;="&amp;TableWeeklySummary[[#This Row],[Hasta]])</f>
        <v>0</v>
      </c>
      <c r="R27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7" s="11">
        <f>SUMIFS(TableDailySummary[Corporativo no tienda_orders],TableDailySummary[Fecha],"&gt;="&amp;TableWeeklySummary[[#This Row],[Desde]],TableDailySummary[Fecha],"&lt;="&amp;TableWeeklySummary[[#This Row],[Hasta]])</f>
        <v>0</v>
      </c>
      <c r="T277" s="11">
        <f>SUMIFS(TableDailySummary[Inversión google ads],TableDailySummary[Fecha],"&gt;="&amp;TableWeeklySummary[[#This Row],[Desde]],TableDailySummary[Fecha],"&lt;="&amp;TableWeeklySummary[[#This Row],[Hasta]])</f>
        <v>0</v>
      </c>
      <c r="U277" s="11">
        <f>SUMIFS(TableDailySummary[Ventas google ads],TableDailySummary[Fecha],"&gt;="&amp;TableWeeklySummary[[#This Row],[Desde]],TableDailySummary[Fecha],"&lt;="&amp;TableWeeklySummary[[#This Row],[Hasta]])</f>
        <v>0</v>
      </c>
      <c r="V277" s="11">
        <f>SUMIFS(TableDailySummary[Inversión meta ads],TableDailySummary[Fecha],"&gt;="&amp;TableWeeklySummary[[#This Row],[Desde]],TableDailySummary[Fecha],"&lt;="&amp;TableWeeklySummary[[#This Row],[Hasta]])</f>
        <v>0</v>
      </c>
      <c r="W277" s="11">
        <f>SUMIFS(TableDailySummary[Ventas meta ads],TableDailySummary[Fecha],"&gt;="&amp;TableWeeklySummary[[#This Row],[Desde]],TableDailySummary[Fecha],"&lt;="&amp;TableWeeklySummary[[#This Row],[Hasta]])</f>
        <v>0</v>
      </c>
      <c r="X277" s="11">
        <f>TableWeeklySummary[[#This Row],[Inversión google ads]]+TableWeeklySummary[[#This Row],[Inversión meta ads]]</f>
        <v>0</v>
      </c>
      <c r="Y277" s="11">
        <f>TableWeeklySummary[[#This Row],[Ventas google ads]]+TableWeeklySummary[[#This Row],[Ventas meta ads]]</f>
        <v>0</v>
      </c>
      <c r="Z277" s="14">
        <f>IFERROR(TableWeeklySummary[[#This Row],[Ventas publicidad]]/TableWeeklySummary[[#This Row],[Inversión publicidad]],0)</f>
        <v>0</v>
      </c>
      <c r="AA277" s="14">
        <f>IFERROR(TableWeeklySummary[[#This Row],[Ventas primer cliente]]/TableWeeklySummary[[#This Row],[Inversión publicidad]],0)</f>
        <v>0</v>
      </c>
      <c r="AB277" s="14"/>
      <c r="AC277" s="11"/>
      <c r="AI27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7" s="11">
        <f>SUMIFS(TableDailySummary[Costo de ventas registrado],TableDailySummary[Fecha],"&gt;="&amp;TableWeeklySummary[[#This Row],[Desde]],TableDailySummary[Fecha],"&lt;="&amp;TableWeeklySummary[[#This Row],[Hasta]])</f>
        <v>0</v>
      </c>
      <c r="AK277" s="11">
        <f>SUMIFS(TableDailySummary[Utilidad bruta],TableDailySummary[Fecha],"&gt;="&amp;TableWeeklySummary[[#This Row],[Desde]],TableDailySummary[Fecha],"&lt;="&amp;TableWeeklySummary[[#This Row],[Hasta]])</f>
        <v>0</v>
      </c>
      <c r="AL277" s="18">
        <f>IFERROR(TableWeeklySummary[[#This Row],[Utilidad bruta]]/TableWeeklySummary[[#This Row],[Ventas netas con costo registrado]],0)</f>
        <v>0</v>
      </c>
    </row>
    <row r="278" spans="2:38" x14ac:dyDescent="0.2">
      <c r="B278" s="16">
        <f>_xlfn.ISOWEEKNUM(TableWeeklySummary[[#This Row],[Hasta]])</f>
        <v>6</v>
      </c>
      <c r="C278" s="6">
        <f t="shared" si="6"/>
        <v>46423</v>
      </c>
      <c r="D278" s="6">
        <f>TableWeeklySummary[[#This Row],[Desde]]+7-1</f>
        <v>46429</v>
      </c>
      <c r="E278" s="11">
        <f>SUMIFS(TableDailySummary[Ventas netas totales],TableDailySummary[Fecha],"&gt;="&amp;TableWeeklySummary[[#This Row],[Desde]],TableDailySummary[Fecha],"&lt;="&amp;TableWeeklySummary[[#This Row],[Hasta]])</f>
        <v>0</v>
      </c>
      <c r="F278" s="11">
        <f>SUMIFS(TableDailySummary[Órdenes totales],TableDailySummary[Fecha],"&gt;="&amp;TableWeeklySummary[[#This Row],[Desde]],TableDailySummary[Fecha],"&lt;="&amp;TableWeeklySummary[[#This Row],[Hasta]])</f>
        <v>0</v>
      </c>
      <c r="G278" s="11">
        <f>IFERROR(TableWeeklySummary[[#This Row],[Ventas netas totales]]/TableWeeklySummary[[#This Row],[Órdenes totales]],0)</f>
        <v>0</v>
      </c>
      <c r="H27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8" s="11">
        <f>TableWeeklySummary[[#This Row],[Órden promedio totales]]*TableWeeklySummary[[#This Row],[CR totales]]</f>
        <v>0</v>
      </c>
      <c r="J278" s="11">
        <f>SUMIFS(TableDailySummary[Ventas primer cliente],TableDailySummary[Fecha],"&gt;="&amp;TableWeeklySummary[[#This Row],[Desde]],TableDailySummary[Fecha],"&lt;="&amp;TableWeeklySummary[[#This Row],[Hasta]])</f>
        <v>0</v>
      </c>
      <c r="K278" s="11">
        <f>SUMIFS(TableDailySummary[Órdenes primer cliente],TableDailySummary[Fecha],"&gt;="&amp;TableWeeklySummary[[#This Row],[Desde]],TableDailySummary[Fecha],"&lt;="&amp;TableWeeklySummary[[#This Row],[Hasta]])</f>
        <v>0</v>
      </c>
      <c r="L278" s="11">
        <f>SUMIFS(TableDailySummary[Online Store_net_sales],TableDailySummary[Fecha],"&gt;="&amp;TableWeeklySummary[[#This Row],[Desde]],TableDailySummary[Fecha],"&lt;="&amp;TableWeeklySummary[[#This Row],[Hasta]])</f>
        <v>0</v>
      </c>
      <c r="M278" s="11">
        <f>SUMIFS(TableDailySummary[Online Store_orders],TableDailySummary[Fecha],"&gt;="&amp;TableWeeklySummary[[#This Row],[Desde]],TableDailySummary[Fecha],"&lt;="&amp;TableWeeklySummary[[#This Row],[Hasta]])</f>
        <v>0</v>
      </c>
      <c r="N278" s="11">
        <f>SUMIFS(TableDailySummary[Tienda 81_net_sales],TableDailySummary[Fecha],"&gt;="&amp;TableWeeklySummary[[#This Row],[Desde]],TableDailySummary[Fecha],"&lt;="&amp;TableWeeklySummary[[#This Row],[Hasta]])</f>
        <v>0</v>
      </c>
      <c r="O278" s="11">
        <f>SUMIFS(TableDailySummary[Tienda 81_orders],TableDailySummary[Fecha],"&gt;="&amp;TableWeeklySummary[[#This Row],[Desde]],TableDailySummary[Fecha],"&lt;="&amp;TableWeeklySummary[[#This Row],[Hasta]])</f>
        <v>0</v>
      </c>
      <c r="P278" s="11">
        <f>SUMIFS(TableDailySummary[Rappi_net_sales],TableDailySummary[Fecha],"&gt;="&amp;TableWeeklySummary[[#This Row],[Desde]],TableDailySummary[Fecha],"&lt;="&amp;TableWeeklySummary[[#This Row],[Hasta]])</f>
        <v>0</v>
      </c>
      <c r="Q278" s="11">
        <f>SUMIFS(TableDailySummary[Rappi_orders],TableDailySummary[Fecha],"&gt;="&amp;TableWeeklySummary[[#This Row],[Desde]],TableDailySummary[Fecha],"&lt;="&amp;TableWeeklySummary[[#This Row],[Hasta]])</f>
        <v>0</v>
      </c>
      <c r="R27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8" s="11">
        <f>SUMIFS(TableDailySummary[Corporativo no tienda_orders],TableDailySummary[Fecha],"&gt;="&amp;TableWeeklySummary[[#This Row],[Desde]],TableDailySummary[Fecha],"&lt;="&amp;TableWeeklySummary[[#This Row],[Hasta]])</f>
        <v>0</v>
      </c>
      <c r="T278" s="11">
        <f>SUMIFS(TableDailySummary[Inversión google ads],TableDailySummary[Fecha],"&gt;="&amp;TableWeeklySummary[[#This Row],[Desde]],TableDailySummary[Fecha],"&lt;="&amp;TableWeeklySummary[[#This Row],[Hasta]])</f>
        <v>0</v>
      </c>
      <c r="U278" s="11">
        <f>SUMIFS(TableDailySummary[Ventas google ads],TableDailySummary[Fecha],"&gt;="&amp;TableWeeklySummary[[#This Row],[Desde]],TableDailySummary[Fecha],"&lt;="&amp;TableWeeklySummary[[#This Row],[Hasta]])</f>
        <v>0</v>
      </c>
      <c r="V278" s="11">
        <f>SUMIFS(TableDailySummary[Inversión meta ads],TableDailySummary[Fecha],"&gt;="&amp;TableWeeklySummary[[#This Row],[Desde]],TableDailySummary[Fecha],"&lt;="&amp;TableWeeklySummary[[#This Row],[Hasta]])</f>
        <v>0</v>
      </c>
      <c r="W278" s="11">
        <f>SUMIFS(TableDailySummary[Ventas meta ads],TableDailySummary[Fecha],"&gt;="&amp;TableWeeklySummary[[#This Row],[Desde]],TableDailySummary[Fecha],"&lt;="&amp;TableWeeklySummary[[#This Row],[Hasta]])</f>
        <v>0</v>
      </c>
      <c r="X278" s="11">
        <f>TableWeeklySummary[[#This Row],[Inversión google ads]]+TableWeeklySummary[[#This Row],[Inversión meta ads]]</f>
        <v>0</v>
      </c>
      <c r="Y278" s="11">
        <f>TableWeeklySummary[[#This Row],[Ventas google ads]]+TableWeeklySummary[[#This Row],[Ventas meta ads]]</f>
        <v>0</v>
      </c>
      <c r="Z278" s="14">
        <f>IFERROR(TableWeeklySummary[[#This Row],[Ventas publicidad]]/TableWeeklySummary[[#This Row],[Inversión publicidad]],0)</f>
        <v>0</v>
      </c>
      <c r="AA278" s="14">
        <f>IFERROR(TableWeeklySummary[[#This Row],[Ventas primer cliente]]/TableWeeklySummary[[#This Row],[Inversión publicidad]],0)</f>
        <v>0</v>
      </c>
      <c r="AB278" s="14"/>
      <c r="AC278" s="11"/>
      <c r="AI27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8" s="11">
        <f>SUMIFS(TableDailySummary[Costo de ventas registrado],TableDailySummary[Fecha],"&gt;="&amp;TableWeeklySummary[[#This Row],[Desde]],TableDailySummary[Fecha],"&lt;="&amp;TableWeeklySummary[[#This Row],[Hasta]])</f>
        <v>0</v>
      </c>
      <c r="AK278" s="11">
        <f>SUMIFS(TableDailySummary[Utilidad bruta],TableDailySummary[Fecha],"&gt;="&amp;TableWeeklySummary[[#This Row],[Desde]],TableDailySummary[Fecha],"&lt;="&amp;TableWeeklySummary[[#This Row],[Hasta]])</f>
        <v>0</v>
      </c>
      <c r="AL278" s="18">
        <f>IFERROR(TableWeeklySummary[[#This Row],[Utilidad bruta]]/TableWeeklySummary[[#This Row],[Ventas netas con costo registrado]],0)</f>
        <v>0</v>
      </c>
    </row>
    <row r="279" spans="2:38" x14ac:dyDescent="0.2">
      <c r="B279" s="16">
        <f>_xlfn.ISOWEEKNUM(TableWeeklySummary[[#This Row],[Hasta]])</f>
        <v>7</v>
      </c>
      <c r="C279" s="6">
        <f t="shared" si="6"/>
        <v>46430</v>
      </c>
      <c r="D279" s="6">
        <f>TableWeeklySummary[[#This Row],[Desde]]+7-1</f>
        <v>46436</v>
      </c>
      <c r="E279" s="11">
        <f>SUMIFS(TableDailySummary[Ventas netas totales],TableDailySummary[Fecha],"&gt;="&amp;TableWeeklySummary[[#This Row],[Desde]],TableDailySummary[Fecha],"&lt;="&amp;TableWeeklySummary[[#This Row],[Hasta]])</f>
        <v>0</v>
      </c>
      <c r="F279" s="11">
        <f>SUMIFS(TableDailySummary[Órdenes totales],TableDailySummary[Fecha],"&gt;="&amp;TableWeeklySummary[[#This Row],[Desde]],TableDailySummary[Fecha],"&lt;="&amp;TableWeeklySummary[[#This Row],[Hasta]])</f>
        <v>0</v>
      </c>
      <c r="G279" s="11">
        <f>IFERROR(TableWeeklySummary[[#This Row],[Ventas netas totales]]/TableWeeklySummary[[#This Row],[Órdenes totales]],0)</f>
        <v>0</v>
      </c>
      <c r="H27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79" s="11">
        <f>TableWeeklySummary[[#This Row],[Órden promedio totales]]*TableWeeklySummary[[#This Row],[CR totales]]</f>
        <v>0</v>
      </c>
      <c r="J279" s="11">
        <f>SUMIFS(TableDailySummary[Ventas primer cliente],TableDailySummary[Fecha],"&gt;="&amp;TableWeeklySummary[[#This Row],[Desde]],TableDailySummary[Fecha],"&lt;="&amp;TableWeeklySummary[[#This Row],[Hasta]])</f>
        <v>0</v>
      </c>
      <c r="K279" s="11">
        <f>SUMIFS(TableDailySummary[Órdenes primer cliente],TableDailySummary[Fecha],"&gt;="&amp;TableWeeklySummary[[#This Row],[Desde]],TableDailySummary[Fecha],"&lt;="&amp;TableWeeklySummary[[#This Row],[Hasta]])</f>
        <v>0</v>
      </c>
      <c r="L279" s="11">
        <f>SUMIFS(TableDailySummary[Online Store_net_sales],TableDailySummary[Fecha],"&gt;="&amp;TableWeeklySummary[[#This Row],[Desde]],TableDailySummary[Fecha],"&lt;="&amp;TableWeeklySummary[[#This Row],[Hasta]])</f>
        <v>0</v>
      </c>
      <c r="M279" s="11">
        <f>SUMIFS(TableDailySummary[Online Store_orders],TableDailySummary[Fecha],"&gt;="&amp;TableWeeklySummary[[#This Row],[Desde]],TableDailySummary[Fecha],"&lt;="&amp;TableWeeklySummary[[#This Row],[Hasta]])</f>
        <v>0</v>
      </c>
      <c r="N279" s="11">
        <f>SUMIFS(TableDailySummary[Tienda 81_net_sales],TableDailySummary[Fecha],"&gt;="&amp;TableWeeklySummary[[#This Row],[Desde]],TableDailySummary[Fecha],"&lt;="&amp;TableWeeklySummary[[#This Row],[Hasta]])</f>
        <v>0</v>
      </c>
      <c r="O279" s="11">
        <f>SUMIFS(TableDailySummary[Tienda 81_orders],TableDailySummary[Fecha],"&gt;="&amp;TableWeeklySummary[[#This Row],[Desde]],TableDailySummary[Fecha],"&lt;="&amp;TableWeeklySummary[[#This Row],[Hasta]])</f>
        <v>0</v>
      </c>
      <c r="P279" s="11">
        <f>SUMIFS(TableDailySummary[Rappi_net_sales],TableDailySummary[Fecha],"&gt;="&amp;TableWeeklySummary[[#This Row],[Desde]],TableDailySummary[Fecha],"&lt;="&amp;TableWeeklySummary[[#This Row],[Hasta]])</f>
        <v>0</v>
      </c>
      <c r="Q279" s="11">
        <f>SUMIFS(TableDailySummary[Rappi_orders],TableDailySummary[Fecha],"&gt;="&amp;TableWeeklySummary[[#This Row],[Desde]],TableDailySummary[Fecha],"&lt;="&amp;TableWeeklySummary[[#This Row],[Hasta]])</f>
        <v>0</v>
      </c>
      <c r="R27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79" s="11">
        <f>SUMIFS(TableDailySummary[Corporativo no tienda_orders],TableDailySummary[Fecha],"&gt;="&amp;TableWeeklySummary[[#This Row],[Desde]],TableDailySummary[Fecha],"&lt;="&amp;TableWeeklySummary[[#This Row],[Hasta]])</f>
        <v>0</v>
      </c>
      <c r="T279" s="11">
        <f>SUMIFS(TableDailySummary[Inversión google ads],TableDailySummary[Fecha],"&gt;="&amp;TableWeeklySummary[[#This Row],[Desde]],TableDailySummary[Fecha],"&lt;="&amp;TableWeeklySummary[[#This Row],[Hasta]])</f>
        <v>0</v>
      </c>
      <c r="U279" s="11">
        <f>SUMIFS(TableDailySummary[Ventas google ads],TableDailySummary[Fecha],"&gt;="&amp;TableWeeklySummary[[#This Row],[Desde]],TableDailySummary[Fecha],"&lt;="&amp;TableWeeklySummary[[#This Row],[Hasta]])</f>
        <v>0</v>
      </c>
      <c r="V279" s="11">
        <f>SUMIFS(TableDailySummary[Inversión meta ads],TableDailySummary[Fecha],"&gt;="&amp;TableWeeklySummary[[#This Row],[Desde]],TableDailySummary[Fecha],"&lt;="&amp;TableWeeklySummary[[#This Row],[Hasta]])</f>
        <v>0</v>
      </c>
      <c r="W279" s="11">
        <f>SUMIFS(TableDailySummary[Ventas meta ads],TableDailySummary[Fecha],"&gt;="&amp;TableWeeklySummary[[#This Row],[Desde]],TableDailySummary[Fecha],"&lt;="&amp;TableWeeklySummary[[#This Row],[Hasta]])</f>
        <v>0</v>
      </c>
      <c r="X279" s="11">
        <f>TableWeeklySummary[[#This Row],[Inversión google ads]]+TableWeeklySummary[[#This Row],[Inversión meta ads]]</f>
        <v>0</v>
      </c>
      <c r="Y279" s="11">
        <f>TableWeeklySummary[[#This Row],[Ventas google ads]]+TableWeeklySummary[[#This Row],[Ventas meta ads]]</f>
        <v>0</v>
      </c>
      <c r="Z279" s="14">
        <f>IFERROR(TableWeeklySummary[[#This Row],[Ventas publicidad]]/TableWeeklySummary[[#This Row],[Inversión publicidad]],0)</f>
        <v>0</v>
      </c>
      <c r="AA279" s="14">
        <f>IFERROR(TableWeeklySummary[[#This Row],[Ventas primer cliente]]/TableWeeklySummary[[#This Row],[Inversión publicidad]],0)</f>
        <v>0</v>
      </c>
      <c r="AB279" s="14"/>
      <c r="AC279" s="11"/>
      <c r="AI27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79" s="11">
        <f>SUMIFS(TableDailySummary[Costo de ventas registrado],TableDailySummary[Fecha],"&gt;="&amp;TableWeeklySummary[[#This Row],[Desde]],TableDailySummary[Fecha],"&lt;="&amp;TableWeeklySummary[[#This Row],[Hasta]])</f>
        <v>0</v>
      </c>
      <c r="AK279" s="11">
        <f>SUMIFS(TableDailySummary[Utilidad bruta],TableDailySummary[Fecha],"&gt;="&amp;TableWeeklySummary[[#This Row],[Desde]],TableDailySummary[Fecha],"&lt;="&amp;TableWeeklySummary[[#This Row],[Hasta]])</f>
        <v>0</v>
      </c>
      <c r="AL279" s="18">
        <f>IFERROR(TableWeeklySummary[[#This Row],[Utilidad bruta]]/TableWeeklySummary[[#This Row],[Ventas netas con costo registrado]],0)</f>
        <v>0</v>
      </c>
    </row>
    <row r="280" spans="2:38" x14ac:dyDescent="0.2">
      <c r="B280" s="16">
        <f>_xlfn.ISOWEEKNUM(TableWeeklySummary[[#This Row],[Hasta]])</f>
        <v>8</v>
      </c>
      <c r="C280" s="6">
        <f t="shared" si="6"/>
        <v>46437</v>
      </c>
      <c r="D280" s="6">
        <f>TableWeeklySummary[[#This Row],[Desde]]+7-1</f>
        <v>46443</v>
      </c>
      <c r="E280" s="11">
        <f>SUMIFS(TableDailySummary[Ventas netas totales],TableDailySummary[Fecha],"&gt;="&amp;TableWeeklySummary[[#This Row],[Desde]],TableDailySummary[Fecha],"&lt;="&amp;TableWeeklySummary[[#This Row],[Hasta]])</f>
        <v>0</v>
      </c>
      <c r="F280" s="11">
        <f>SUMIFS(TableDailySummary[Órdenes totales],TableDailySummary[Fecha],"&gt;="&amp;TableWeeklySummary[[#This Row],[Desde]],TableDailySummary[Fecha],"&lt;="&amp;TableWeeklySummary[[#This Row],[Hasta]])</f>
        <v>0</v>
      </c>
      <c r="G280" s="11">
        <f>IFERROR(TableWeeklySummary[[#This Row],[Ventas netas totales]]/TableWeeklySummary[[#This Row],[Órdenes totales]],0)</f>
        <v>0</v>
      </c>
      <c r="H28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0" s="11">
        <f>TableWeeklySummary[[#This Row],[Órden promedio totales]]*TableWeeklySummary[[#This Row],[CR totales]]</f>
        <v>0</v>
      </c>
      <c r="J280" s="11">
        <f>SUMIFS(TableDailySummary[Ventas primer cliente],TableDailySummary[Fecha],"&gt;="&amp;TableWeeklySummary[[#This Row],[Desde]],TableDailySummary[Fecha],"&lt;="&amp;TableWeeklySummary[[#This Row],[Hasta]])</f>
        <v>0</v>
      </c>
      <c r="K280" s="11">
        <f>SUMIFS(TableDailySummary[Órdenes primer cliente],TableDailySummary[Fecha],"&gt;="&amp;TableWeeklySummary[[#This Row],[Desde]],TableDailySummary[Fecha],"&lt;="&amp;TableWeeklySummary[[#This Row],[Hasta]])</f>
        <v>0</v>
      </c>
      <c r="L280" s="11">
        <f>SUMIFS(TableDailySummary[Online Store_net_sales],TableDailySummary[Fecha],"&gt;="&amp;TableWeeklySummary[[#This Row],[Desde]],TableDailySummary[Fecha],"&lt;="&amp;TableWeeklySummary[[#This Row],[Hasta]])</f>
        <v>0</v>
      </c>
      <c r="M280" s="11">
        <f>SUMIFS(TableDailySummary[Online Store_orders],TableDailySummary[Fecha],"&gt;="&amp;TableWeeklySummary[[#This Row],[Desde]],TableDailySummary[Fecha],"&lt;="&amp;TableWeeklySummary[[#This Row],[Hasta]])</f>
        <v>0</v>
      </c>
      <c r="N280" s="11">
        <f>SUMIFS(TableDailySummary[Tienda 81_net_sales],TableDailySummary[Fecha],"&gt;="&amp;TableWeeklySummary[[#This Row],[Desde]],TableDailySummary[Fecha],"&lt;="&amp;TableWeeklySummary[[#This Row],[Hasta]])</f>
        <v>0</v>
      </c>
      <c r="O280" s="11">
        <f>SUMIFS(TableDailySummary[Tienda 81_orders],TableDailySummary[Fecha],"&gt;="&amp;TableWeeklySummary[[#This Row],[Desde]],TableDailySummary[Fecha],"&lt;="&amp;TableWeeklySummary[[#This Row],[Hasta]])</f>
        <v>0</v>
      </c>
      <c r="P280" s="11">
        <f>SUMIFS(TableDailySummary[Rappi_net_sales],TableDailySummary[Fecha],"&gt;="&amp;TableWeeklySummary[[#This Row],[Desde]],TableDailySummary[Fecha],"&lt;="&amp;TableWeeklySummary[[#This Row],[Hasta]])</f>
        <v>0</v>
      </c>
      <c r="Q280" s="11">
        <f>SUMIFS(TableDailySummary[Rappi_orders],TableDailySummary[Fecha],"&gt;="&amp;TableWeeklySummary[[#This Row],[Desde]],TableDailySummary[Fecha],"&lt;="&amp;TableWeeklySummary[[#This Row],[Hasta]])</f>
        <v>0</v>
      </c>
      <c r="R28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0" s="11">
        <f>SUMIFS(TableDailySummary[Corporativo no tienda_orders],TableDailySummary[Fecha],"&gt;="&amp;TableWeeklySummary[[#This Row],[Desde]],TableDailySummary[Fecha],"&lt;="&amp;TableWeeklySummary[[#This Row],[Hasta]])</f>
        <v>0</v>
      </c>
      <c r="T280" s="11">
        <f>SUMIFS(TableDailySummary[Inversión google ads],TableDailySummary[Fecha],"&gt;="&amp;TableWeeklySummary[[#This Row],[Desde]],TableDailySummary[Fecha],"&lt;="&amp;TableWeeklySummary[[#This Row],[Hasta]])</f>
        <v>0</v>
      </c>
      <c r="U280" s="11">
        <f>SUMIFS(TableDailySummary[Ventas google ads],TableDailySummary[Fecha],"&gt;="&amp;TableWeeklySummary[[#This Row],[Desde]],TableDailySummary[Fecha],"&lt;="&amp;TableWeeklySummary[[#This Row],[Hasta]])</f>
        <v>0</v>
      </c>
      <c r="V280" s="11">
        <f>SUMIFS(TableDailySummary[Inversión meta ads],TableDailySummary[Fecha],"&gt;="&amp;TableWeeklySummary[[#This Row],[Desde]],TableDailySummary[Fecha],"&lt;="&amp;TableWeeklySummary[[#This Row],[Hasta]])</f>
        <v>0</v>
      </c>
      <c r="W280" s="11">
        <f>SUMIFS(TableDailySummary[Ventas meta ads],TableDailySummary[Fecha],"&gt;="&amp;TableWeeklySummary[[#This Row],[Desde]],TableDailySummary[Fecha],"&lt;="&amp;TableWeeklySummary[[#This Row],[Hasta]])</f>
        <v>0</v>
      </c>
      <c r="X280" s="11">
        <f>TableWeeklySummary[[#This Row],[Inversión google ads]]+TableWeeklySummary[[#This Row],[Inversión meta ads]]</f>
        <v>0</v>
      </c>
      <c r="Y280" s="11">
        <f>TableWeeklySummary[[#This Row],[Ventas google ads]]+TableWeeklySummary[[#This Row],[Ventas meta ads]]</f>
        <v>0</v>
      </c>
      <c r="Z280" s="14">
        <f>IFERROR(TableWeeklySummary[[#This Row],[Ventas publicidad]]/TableWeeklySummary[[#This Row],[Inversión publicidad]],0)</f>
        <v>0</v>
      </c>
      <c r="AA280" s="14">
        <f>IFERROR(TableWeeklySummary[[#This Row],[Ventas primer cliente]]/TableWeeklySummary[[#This Row],[Inversión publicidad]],0)</f>
        <v>0</v>
      </c>
      <c r="AB280" s="14"/>
      <c r="AC280" s="11"/>
      <c r="AI28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0" s="11">
        <f>SUMIFS(TableDailySummary[Costo de ventas registrado],TableDailySummary[Fecha],"&gt;="&amp;TableWeeklySummary[[#This Row],[Desde]],TableDailySummary[Fecha],"&lt;="&amp;TableWeeklySummary[[#This Row],[Hasta]])</f>
        <v>0</v>
      </c>
      <c r="AK280" s="11">
        <f>SUMIFS(TableDailySummary[Utilidad bruta],TableDailySummary[Fecha],"&gt;="&amp;TableWeeklySummary[[#This Row],[Desde]],TableDailySummary[Fecha],"&lt;="&amp;TableWeeklySummary[[#This Row],[Hasta]])</f>
        <v>0</v>
      </c>
      <c r="AL280" s="18">
        <f>IFERROR(TableWeeklySummary[[#This Row],[Utilidad bruta]]/TableWeeklySummary[[#This Row],[Ventas netas con costo registrado]],0)</f>
        <v>0</v>
      </c>
    </row>
    <row r="281" spans="2:38" x14ac:dyDescent="0.2">
      <c r="B281" s="16">
        <f>_xlfn.ISOWEEKNUM(TableWeeklySummary[[#This Row],[Hasta]])</f>
        <v>9</v>
      </c>
      <c r="C281" s="6">
        <f t="shared" si="6"/>
        <v>46444</v>
      </c>
      <c r="D281" s="6">
        <f>TableWeeklySummary[[#This Row],[Desde]]+7-1</f>
        <v>46450</v>
      </c>
      <c r="E281" s="11">
        <f>SUMIFS(TableDailySummary[Ventas netas totales],TableDailySummary[Fecha],"&gt;="&amp;TableWeeklySummary[[#This Row],[Desde]],TableDailySummary[Fecha],"&lt;="&amp;TableWeeklySummary[[#This Row],[Hasta]])</f>
        <v>0</v>
      </c>
      <c r="F281" s="11">
        <f>SUMIFS(TableDailySummary[Órdenes totales],TableDailySummary[Fecha],"&gt;="&amp;TableWeeklySummary[[#This Row],[Desde]],TableDailySummary[Fecha],"&lt;="&amp;TableWeeklySummary[[#This Row],[Hasta]])</f>
        <v>0</v>
      </c>
      <c r="G281" s="11">
        <f>IFERROR(TableWeeklySummary[[#This Row],[Ventas netas totales]]/TableWeeklySummary[[#This Row],[Órdenes totales]],0)</f>
        <v>0</v>
      </c>
      <c r="H28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1" s="11">
        <f>TableWeeklySummary[[#This Row],[Órden promedio totales]]*TableWeeklySummary[[#This Row],[CR totales]]</f>
        <v>0</v>
      </c>
      <c r="J281" s="11">
        <f>SUMIFS(TableDailySummary[Ventas primer cliente],TableDailySummary[Fecha],"&gt;="&amp;TableWeeklySummary[[#This Row],[Desde]],TableDailySummary[Fecha],"&lt;="&amp;TableWeeklySummary[[#This Row],[Hasta]])</f>
        <v>0</v>
      </c>
      <c r="K281" s="11">
        <f>SUMIFS(TableDailySummary[Órdenes primer cliente],TableDailySummary[Fecha],"&gt;="&amp;TableWeeklySummary[[#This Row],[Desde]],TableDailySummary[Fecha],"&lt;="&amp;TableWeeklySummary[[#This Row],[Hasta]])</f>
        <v>0</v>
      </c>
      <c r="L281" s="11">
        <f>SUMIFS(TableDailySummary[Online Store_net_sales],TableDailySummary[Fecha],"&gt;="&amp;TableWeeklySummary[[#This Row],[Desde]],TableDailySummary[Fecha],"&lt;="&amp;TableWeeklySummary[[#This Row],[Hasta]])</f>
        <v>0</v>
      </c>
      <c r="M281" s="11">
        <f>SUMIFS(TableDailySummary[Online Store_orders],TableDailySummary[Fecha],"&gt;="&amp;TableWeeklySummary[[#This Row],[Desde]],TableDailySummary[Fecha],"&lt;="&amp;TableWeeklySummary[[#This Row],[Hasta]])</f>
        <v>0</v>
      </c>
      <c r="N281" s="11">
        <f>SUMIFS(TableDailySummary[Tienda 81_net_sales],TableDailySummary[Fecha],"&gt;="&amp;TableWeeklySummary[[#This Row],[Desde]],TableDailySummary[Fecha],"&lt;="&amp;TableWeeklySummary[[#This Row],[Hasta]])</f>
        <v>0</v>
      </c>
      <c r="O281" s="11">
        <f>SUMIFS(TableDailySummary[Tienda 81_orders],TableDailySummary[Fecha],"&gt;="&amp;TableWeeklySummary[[#This Row],[Desde]],TableDailySummary[Fecha],"&lt;="&amp;TableWeeklySummary[[#This Row],[Hasta]])</f>
        <v>0</v>
      </c>
      <c r="P281" s="11">
        <f>SUMIFS(TableDailySummary[Rappi_net_sales],TableDailySummary[Fecha],"&gt;="&amp;TableWeeklySummary[[#This Row],[Desde]],TableDailySummary[Fecha],"&lt;="&amp;TableWeeklySummary[[#This Row],[Hasta]])</f>
        <v>0</v>
      </c>
      <c r="Q281" s="11">
        <f>SUMIFS(TableDailySummary[Rappi_orders],TableDailySummary[Fecha],"&gt;="&amp;TableWeeklySummary[[#This Row],[Desde]],TableDailySummary[Fecha],"&lt;="&amp;TableWeeklySummary[[#This Row],[Hasta]])</f>
        <v>0</v>
      </c>
      <c r="R28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1" s="11">
        <f>SUMIFS(TableDailySummary[Corporativo no tienda_orders],TableDailySummary[Fecha],"&gt;="&amp;TableWeeklySummary[[#This Row],[Desde]],TableDailySummary[Fecha],"&lt;="&amp;TableWeeklySummary[[#This Row],[Hasta]])</f>
        <v>0</v>
      </c>
      <c r="T281" s="11">
        <f>SUMIFS(TableDailySummary[Inversión google ads],TableDailySummary[Fecha],"&gt;="&amp;TableWeeklySummary[[#This Row],[Desde]],TableDailySummary[Fecha],"&lt;="&amp;TableWeeklySummary[[#This Row],[Hasta]])</f>
        <v>0</v>
      </c>
      <c r="U281" s="11">
        <f>SUMIFS(TableDailySummary[Ventas google ads],TableDailySummary[Fecha],"&gt;="&amp;TableWeeklySummary[[#This Row],[Desde]],TableDailySummary[Fecha],"&lt;="&amp;TableWeeklySummary[[#This Row],[Hasta]])</f>
        <v>0</v>
      </c>
      <c r="V281" s="11">
        <f>SUMIFS(TableDailySummary[Inversión meta ads],TableDailySummary[Fecha],"&gt;="&amp;TableWeeklySummary[[#This Row],[Desde]],TableDailySummary[Fecha],"&lt;="&amp;TableWeeklySummary[[#This Row],[Hasta]])</f>
        <v>0</v>
      </c>
      <c r="W281" s="11">
        <f>SUMIFS(TableDailySummary[Ventas meta ads],TableDailySummary[Fecha],"&gt;="&amp;TableWeeklySummary[[#This Row],[Desde]],TableDailySummary[Fecha],"&lt;="&amp;TableWeeklySummary[[#This Row],[Hasta]])</f>
        <v>0</v>
      </c>
      <c r="X281" s="11">
        <f>TableWeeklySummary[[#This Row],[Inversión google ads]]+TableWeeklySummary[[#This Row],[Inversión meta ads]]</f>
        <v>0</v>
      </c>
      <c r="Y281" s="11">
        <f>TableWeeklySummary[[#This Row],[Ventas google ads]]+TableWeeklySummary[[#This Row],[Ventas meta ads]]</f>
        <v>0</v>
      </c>
      <c r="Z281" s="14">
        <f>IFERROR(TableWeeklySummary[[#This Row],[Ventas publicidad]]/TableWeeklySummary[[#This Row],[Inversión publicidad]],0)</f>
        <v>0</v>
      </c>
      <c r="AA281" s="14">
        <f>IFERROR(TableWeeklySummary[[#This Row],[Ventas primer cliente]]/TableWeeklySummary[[#This Row],[Inversión publicidad]],0)</f>
        <v>0</v>
      </c>
      <c r="AB281" s="14"/>
      <c r="AC281" s="11"/>
      <c r="AI28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1" s="11">
        <f>SUMIFS(TableDailySummary[Costo de ventas registrado],TableDailySummary[Fecha],"&gt;="&amp;TableWeeklySummary[[#This Row],[Desde]],TableDailySummary[Fecha],"&lt;="&amp;TableWeeklySummary[[#This Row],[Hasta]])</f>
        <v>0</v>
      </c>
      <c r="AK281" s="11">
        <f>SUMIFS(TableDailySummary[Utilidad bruta],TableDailySummary[Fecha],"&gt;="&amp;TableWeeklySummary[[#This Row],[Desde]],TableDailySummary[Fecha],"&lt;="&amp;TableWeeklySummary[[#This Row],[Hasta]])</f>
        <v>0</v>
      </c>
      <c r="AL281" s="18">
        <f>IFERROR(TableWeeklySummary[[#This Row],[Utilidad bruta]]/TableWeeklySummary[[#This Row],[Ventas netas con costo registrado]],0)</f>
        <v>0</v>
      </c>
    </row>
    <row r="282" spans="2:38" x14ac:dyDescent="0.2">
      <c r="B282" s="16">
        <f>_xlfn.ISOWEEKNUM(TableWeeklySummary[[#This Row],[Hasta]])</f>
        <v>10</v>
      </c>
      <c r="C282" s="6">
        <f t="shared" si="6"/>
        <v>46451</v>
      </c>
      <c r="D282" s="6">
        <f>TableWeeklySummary[[#This Row],[Desde]]+7-1</f>
        <v>46457</v>
      </c>
      <c r="E282" s="11">
        <f>SUMIFS(TableDailySummary[Ventas netas totales],TableDailySummary[Fecha],"&gt;="&amp;TableWeeklySummary[[#This Row],[Desde]],TableDailySummary[Fecha],"&lt;="&amp;TableWeeklySummary[[#This Row],[Hasta]])</f>
        <v>0</v>
      </c>
      <c r="F282" s="11">
        <f>SUMIFS(TableDailySummary[Órdenes totales],TableDailySummary[Fecha],"&gt;="&amp;TableWeeklySummary[[#This Row],[Desde]],TableDailySummary[Fecha],"&lt;="&amp;TableWeeklySummary[[#This Row],[Hasta]])</f>
        <v>0</v>
      </c>
      <c r="G282" s="11">
        <f>IFERROR(TableWeeklySummary[[#This Row],[Ventas netas totales]]/TableWeeklySummary[[#This Row],[Órdenes totales]],0)</f>
        <v>0</v>
      </c>
      <c r="H28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2" s="11">
        <f>TableWeeklySummary[[#This Row],[Órden promedio totales]]*TableWeeklySummary[[#This Row],[CR totales]]</f>
        <v>0</v>
      </c>
      <c r="J282" s="11">
        <f>SUMIFS(TableDailySummary[Ventas primer cliente],TableDailySummary[Fecha],"&gt;="&amp;TableWeeklySummary[[#This Row],[Desde]],TableDailySummary[Fecha],"&lt;="&amp;TableWeeklySummary[[#This Row],[Hasta]])</f>
        <v>0</v>
      </c>
      <c r="K282" s="11">
        <f>SUMIFS(TableDailySummary[Órdenes primer cliente],TableDailySummary[Fecha],"&gt;="&amp;TableWeeklySummary[[#This Row],[Desde]],TableDailySummary[Fecha],"&lt;="&amp;TableWeeklySummary[[#This Row],[Hasta]])</f>
        <v>0</v>
      </c>
      <c r="L282" s="11">
        <f>SUMIFS(TableDailySummary[Online Store_net_sales],TableDailySummary[Fecha],"&gt;="&amp;TableWeeklySummary[[#This Row],[Desde]],TableDailySummary[Fecha],"&lt;="&amp;TableWeeklySummary[[#This Row],[Hasta]])</f>
        <v>0</v>
      </c>
      <c r="M282" s="11">
        <f>SUMIFS(TableDailySummary[Online Store_orders],TableDailySummary[Fecha],"&gt;="&amp;TableWeeklySummary[[#This Row],[Desde]],TableDailySummary[Fecha],"&lt;="&amp;TableWeeklySummary[[#This Row],[Hasta]])</f>
        <v>0</v>
      </c>
      <c r="N282" s="11">
        <f>SUMIFS(TableDailySummary[Tienda 81_net_sales],TableDailySummary[Fecha],"&gt;="&amp;TableWeeklySummary[[#This Row],[Desde]],TableDailySummary[Fecha],"&lt;="&amp;TableWeeklySummary[[#This Row],[Hasta]])</f>
        <v>0</v>
      </c>
      <c r="O282" s="11">
        <f>SUMIFS(TableDailySummary[Tienda 81_orders],TableDailySummary[Fecha],"&gt;="&amp;TableWeeklySummary[[#This Row],[Desde]],TableDailySummary[Fecha],"&lt;="&amp;TableWeeklySummary[[#This Row],[Hasta]])</f>
        <v>0</v>
      </c>
      <c r="P282" s="11">
        <f>SUMIFS(TableDailySummary[Rappi_net_sales],TableDailySummary[Fecha],"&gt;="&amp;TableWeeklySummary[[#This Row],[Desde]],TableDailySummary[Fecha],"&lt;="&amp;TableWeeklySummary[[#This Row],[Hasta]])</f>
        <v>0</v>
      </c>
      <c r="Q282" s="11">
        <f>SUMIFS(TableDailySummary[Rappi_orders],TableDailySummary[Fecha],"&gt;="&amp;TableWeeklySummary[[#This Row],[Desde]],TableDailySummary[Fecha],"&lt;="&amp;TableWeeklySummary[[#This Row],[Hasta]])</f>
        <v>0</v>
      </c>
      <c r="R28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2" s="11">
        <f>SUMIFS(TableDailySummary[Corporativo no tienda_orders],TableDailySummary[Fecha],"&gt;="&amp;TableWeeklySummary[[#This Row],[Desde]],TableDailySummary[Fecha],"&lt;="&amp;TableWeeklySummary[[#This Row],[Hasta]])</f>
        <v>0</v>
      </c>
      <c r="T282" s="11">
        <f>SUMIFS(TableDailySummary[Inversión google ads],TableDailySummary[Fecha],"&gt;="&amp;TableWeeklySummary[[#This Row],[Desde]],TableDailySummary[Fecha],"&lt;="&amp;TableWeeklySummary[[#This Row],[Hasta]])</f>
        <v>0</v>
      </c>
      <c r="U282" s="11">
        <f>SUMIFS(TableDailySummary[Ventas google ads],TableDailySummary[Fecha],"&gt;="&amp;TableWeeklySummary[[#This Row],[Desde]],TableDailySummary[Fecha],"&lt;="&amp;TableWeeklySummary[[#This Row],[Hasta]])</f>
        <v>0</v>
      </c>
      <c r="V282" s="11">
        <f>SUMIFS(TableDailySummary[Inversión meta ads],TableDailySummary[Fecha],"&gt;="&amp;TableWeeklySummary[[#This Row],[Desde]],TableDailySummary[Fecha],"&lt;="&amp;TableWeeklySummary[[#This Row],[Hasta]])</f>
        <v>0</v>
      </c>
      <c r="W282" s="11">
        <f>SUMIFS(TableDailySummary[Ventas meta ads],TableDailySummary[Fecha],"&gt;="&amp;TableWeeklySummary[[#This Row],[Desde]],TableDailySummary[Fecha],"&lt;="&amp;TableWeeklySummary[[#This Row],[Hasta]])</f>
        <v>0</v>
      </c>
      <c r="X282" s="11">
        <f>TableWeeklySummary[[#This Row],[Inversión google ads]]+TableWeeklySummary[[#This Row],[Inversión meta ads]]</f>
        <v>0</v>
      </c>
      <c r="Y282" s="11">
        <f>TableWeeklySummary[[#This Row],[Ventas google ads]]+TableWeeklySummary[[#This Row],[Ventas meta ads]]</f>
        <v>0</v>
      </c>
      <c r="Z282" s="14">
        <f>IFERROR(TableWeeklySummary[[#This Row],[Ventas publicidad]]/TableWeeklySummary[[#This Row],[Inversión publicidad]],0)</f>
        <v>0</v>
      </c>
      <c r="AA282" s="14">
        <f>IFERROR(TableWeeklySummary[[#This Row],[Ventas primer cliente]]/TableWeeklySummary[[#This Row],[Inversión publicidad]],0)</f>
        <v>0</v>
      </c>
      <c r="AB282" s="14"/>
      <c r="AC282" s="11"/>
      <c r="AI28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2" s="11">
        <f>SUMIFS(TableDailySummary[Costo de ventas registrado],TableDailySummary[Fecha],"&gt;="&amp;TableWeeklySummary[[#This Row],[Desde]],TableDailySummary[Fecha],"&lt;="&amp;TableWeeklySummary[[#This Row],[Hasta]])</f>
        <v>0</v>
      </c>
      <c r="AK282" s="11">
        <f>SUMIFS(TableDailySummary[Utilidad bruta],TableDailySummary[Fecha],"&gt;="&amp;TableWeeklySummary[[#This Row],[Desde]],TableDailySummary[Fecha],"&lt;="&amp;TableWeeklySummary[[#This Row],[Hasta]])</f>
        <v>0</v>
      </c>
      <c r="AL282" s="18">
        <f>IFERROR(TableWeeklySummary[[#This Row],[Utilidad bruta]]/TableWeeklySummary[[#This Row],[Ventas netas con costo registrado]],0)</f>
        <v>0</v>
      </c>
    </row>
    <row r="283" spans="2:38" x14ac:dyDescent="0.2">
      <c r="B283" s="16">
        <f>_xlfn.ISOWEEKNUM(TableWeeklySummary[[#This Row],[Hasta]])</f>
        <v>11</v>
      </c>
      <c r="C283" s="6">
        <f t="shared" si="6"/>
        <v>46458</v>
      </c>
      <c r="D283" s="6">
        <f>TableWeeklySummary[[#This Row],[Desde]]+7-1</f>
        <v>46464</v>
      </c>
      <c r="E283" s="11">
        <f>SUMIFS(TableDailySummary[Ventas netas totales],TableDailySummary[Fecha],"&gt;="&amp;TableWeeklySummary[[#This Row],[Desde]],TableDailySummary[Fecha],"&lt;="&amp;TableWeeklySummary[[#This Row],[Hasta]])</f>
        <v>0</v>
      </c>
      <c r="F283" s="11">
        <f>SUMIFS(TableDailySummary[Órdenes totales],TableDailySummary[Fecha],"&gt;="&amp;TableWeeklySummary[[#This Row],[Desde]],TableDailySummary[Fecha],"&lt;="&amp;TableWeeklySummary[[#This Row],[Hasta]])</f>
        <v>0</v>
      </c>
      <c r="G283" s="11">
        <f>IFERROR(TableWeeklySummary[[#This Row],[Ventas netas totales]]/TableWeeklySummary[[#This Row],[Órdenes totales]],0)</f>
        <v>0</v>
      </c>
      <c r="H28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3" s="11">
        <f>TableWeeklySummary[[#This Row],[Órden promedio totales]]*TableWeeklySummary[[#This Row],[CR totales]]</f>
        <v>0</v>
      </c>
      <c r="J283" s="11">
        <f>SUMIFS(TableDailySummary[Ventas primer cliente],TableDailySummary[Fecha],"&gt;="&amp;TableWeeklySummary[[#This Row],[Desde]],TableDailySummary[Fecha],"&lt;="&amp;TableWeeklySummary[[#This Row],[Hasta]])</f>
        <v>0</v>
      </c>
      <c r="K283" s="11">
        <f>SUMIFS(TableDailySummary[Órdenes primer cliente],TableDailySummary[Fecha],"&gt;="&amp;TableWeeklySummary[[#This Row],[Desde]],TableDailySummary[Fecha],"&lt;="&amp;TableWeeklySummary[[#This Row],[Hasta]])</f>
        <v>0</v>
      </c>
      <c r="L283" s="11">
        <f>SUMIFS(TableDailySummary[Online Store_net_sales],TableDailySummary[Fecha],"&gt;="&amp;TableWeeklySummary[[#This Row],[Desde]],TableDailySummary[Fecha],"&lt;="&amp;TableWeeklySummary[[#This Row],[Hasta]])</f>
        <v>0</v>
      </c>
      <c r="M283" s="11">
        <f>SUMIFS(TableDailySummary[Online Store_orders],TableDailySummary[Fecha],"&gt;="&amp;TableWeeklySummary[[#This Row],[Desde]],TableDailySummary[Fecha],"&lt;="&amp;TableWeeklySummary[[#This Row],[Hasta]])</f>
        <v>0</v>
      </c>
      <c r="N283" s="11">
        <f>SUMIFS(TableDailySummary[Tienda 81_net_sales],TableDailySummary[Fecha],"&gt;="&amp;TableWeeklySummary[[#This Row],[Desde]],TableDailySummary[Fecha],"&lt;="&amp;TableWeeklySummary[[#This Row],[Hasta]])</f>
        <v>0</v>
      </c>
      <c r="O283" s="11">
        <f>SUMIFS(TableDailySummary[Tienda 81_orders],TableDailySummary[Fecha],"&gt;="&amp;TableWeeklySummary[[#This Row],[Desde]],TableDailySummary[Fecha],"&lt;="&amp;TableWeeklySummary[[#This Row],[Hasta]])</f>
        <v>0</v>
      </c>
      <c r="P283" s="11">
        <f>SUMIFS(TableDailySummary[Rappi_net_sales],TableDailySummary[Fecha],"&gt;="&amp;TableWeeklySummary[[#This Row],[Desde]],TableDailySummary[Fecha],"&lt;="&amp;TableWeeklySummary[[#This Row],[Hasta]])</f>
        <v>0</v>
      </c>
      <c r="Q283" s="11">
        <f>SUMIFS(TableDailySummary[Rappi_orders],TableDailySummary[Fecha],"&gt;="&amp;TableWeeklySummary[[#This Row],[Desde]],TableDailySummary[Fecha],"&lt;="&amp;TableWeeklySummary[[#This Row],[Hasta]])</f>
        <v>0</v>
      </c>
      <c r="R28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3" s="11">
        <f>SUMIFS(TableDailySummary[Corporativo no tienda_orders],TableDailySummary[Fecha],"&gt;="&amp;TableWeeklySummary[[#This Row],[Desde]],TableDailySummary[Fecha],"&lt;="&amp;TableWeeklySummary[[#This Row],[Hasta]])</f>
        <v>0</v>
      </c>
      <c r="T283" s="11">
        <f>SUMIFS(TableDailySummary[Inversión google ads],TableDailySummary[Fecha],"&gt;="&amp;TableWeeklySummary[[#This Row],[Desde]],TableDailySummary[Fecha],"&lt;="&amp;TableWeeklySummary[[#This Row],[Hasta]])</f>
        <v>0</v>
      </c>
      <c r="U283" s="11">
        <f>SUMIFS(TableDailySummary[Ventas google ads],TableDailySummary[Fecha],"&gt;="&amp;TableWeeklySummary[[#This Row],[Desde]],TableDailySummary[Fecha],"&lt;="&amp;TableWeeklySummary[[#This Row],[Hasta]])</f>
        <v>0</v>
      </c>
      <c r="V283" s="11">
        <f>SUMIFS(TableDailySummary[Inversión meta ads],TableDailySummary[Fecha],"&gt;="&amp;TableWeeklySummary[[#This Row],[Desde]],TableDailySummary[Fecha],"&lt;="&amp;TableWeeklySummary[[#This Row],[Hasta]])</f>
        <v>0</v>
      </c>
      <c r="W283" s="11">
        <f>SUMIFS(TableDailySummary[Ventas meta ads],TableDailySummary[Fecha],"&gt;="&amp;TableWeeklySummary[[#This Row],[Desde]],TableDailySummary[Fecha],"&lt;="&amp;TableWeeklySummary[[#This Row],[Hasta]])</f>
        <v>0</v>
      </c>
      <c r="X283" s="11">
        <f>TableWeeklySummary[[#This Row],[Inversión google ads]]+TableWeeklySummary[[#This Row],[Inversión meta ads]]</f>
        <v>0</v>
      </c>
      <c r="Y283" s="11">
        <f>TableWeeklySummary[[#This Row],[Ventas google ads]]+TableWeeklySummary[[#This Row],[Ventas meta ads]]</f>
        <v>0</v>
      </c>
      <c r="Z283" s="14">
        <f>IFERROR(TableWeeklySummary[[#This Row],[Ventas publicidad]]/TableWeeklySummary[[#This Row],[Inversión publicidad]],0)</f>
        <v>0</v>
      </c>
      <c r="AA283" s="14">
        <f>IFERROR(TableWeeklySummary[[#This Row],[Ventas primer cliente]]/TableWeeklySummary[[#This Row],[Inversión publicidad]],0)</f>
        <v>0</v>
      </c>
      <c r="AB283" s="14"/>
      <c r="AC283" s="11"/>
      <c r="AI28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3" s="11">
        <f>SUMIFS(TableDailySummary[Costo de ventas registrado],TableDailySummary[Fecha],"&gt;="&amp;TableWeeklySummary[[#This Row],[Desde]],TableDailySummary[Fecha],"&lt;="&amp;TableWeeklySummary[[#This Row],[Hasta]])</f>
        <v>0</v>
      </c>
      <c r="AK283" s="11">
        <f>SUMIFS(TableDailySummary[Utilidad bruta],TableDailySummary[Fecha],"&gt;="&amp;TableWeeklySummary[[#This Row],[Desde]],TableDailySummary[Fecha],"&lt;="&amp;TableWeeklySummary[[#This Row],[Hasta]])</f>
        <v>0</v>
      </c>
      <c r="AL283" s="18">
        <f>IFERROR(TableWeeklySummary[[#This Row],[Utilidad bruta]]/TableWeeklySummary[[#This Row],[Ventas netas con costo registrado]],0)</f>
        <v>0</v>
      </c>
    </row>
    <row r="284" spans="2:38" x14ac:dyDescent="0.2">
      <c r="B284" s="16">
        <f>_xlfn.ISOWEEKNUM(TableWeeklySummary[[#This Row],[Hasta]])</f>
        <v>12</v>
      </c>
      <c r="C284" s="6">
        <f t="shared" si="6"/>
        <v>46465</v>
      </c>
      <c r="D284" s="6">
        <f>TableWeeklySummary[[#This Row],[Desde]]+7-1</f>
        <v>46471</v>
      </c>
      <c r="E284" s="11">
        <f>SUMIFS(TableDailySummary[Ventas netas totales],TableDailySummary[Fecha],"&gt;="&amp;TableWeeklySummary[[#This Row],[Desde]],TableDailySummary[Fecha],"&lt;="&amp;TableWeeklySummary[[#This Row],[Hasta]])</f>
        <v>0</v>
      </c>
      <c r="F284" s="11">
        <f>SUMIFS(TableDailySummary[Órdenes totales],TableDailySummary[Fecha],"&gt;="&amp;TableWeeklySummary[[#This Row],[Desde]],TableDailySummary[Fecha],"&lt;="&amp;TableWeeklySummary[[#This Row],[Hasta]])</f>
        <v>0</v>
      </c>
      <c r="G284" s="11">
        <f>IFERROR(TableWeeklySummary[[#This Row],[Ventas netas totales]]/TableWeeklySummary[[#This Row],[Órdenes totales]],0)</f>
        <v>0</v>
      </c>
      <c r="H28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4" s="11">
        <f>TableWeeklySummary[[#This Row],[Órden promedio totales]]*TableWeeklySummary[[#This Row],[CR totales]]</f>
        <v>0</v>
      </c>
      <c r="J284" s="11">
        <f>SUMIFS(TableDailySummary[Ventas primer cliente],TableDailySummary[Fecha],"&gt;="&amp;TableWeeklySummary[[#This Row],[Desde]],TableDailySummary[Fecha],"&lt;="&amp;TableWeeklySummary[[#This Row],[Hasta]])</f>
        <v>0</v>
      </c>
      <c r="K284" s="11">
        <f>SUMIFS(TableDailySummary[Órdenes primer cliente],TableDailySummary[Fecha],"&gt;="&amp;TableWeeklySummary[[#This Row],[Desde]],TableDailySummary[Fecha],"&lt;="&amp;TableWeeklySummary[[#This Row],[Hasta]])</f>
        <v>0</v>
      </c>
      <c r="L284" s="11">
        <f>SUMIFS(TableDailySummary[Online Store_net_sales],TableDailySummary[Fecha],"&gt;="&amp;TableWeeklySummary[[#This Row],[Desde]],TableDailySummary[Fecha],"&lt;="&amp;TableWeeklySummary[[#This Row],[Hasta]])</f>
        <v>0</v>
      </c>
      <c r="M284" s="11">
        <f>SUMIFS(TableDailySummary[Online Store_orders],TableDailySummary[Fecha],"&gt;="&amp;TableWeeklySummary[[#This Row],[Desde]],TableDailySummary[Fecha],"&lt;="&amp;TableWeeklySummary[[#This Row],[Hasta]])</f>
        <v>0</v>
      </c>
      <c r="N284" s="11">
        <f>SUMIFS(TableDailySummary[Tienda 81_net_sales],TableDailySummary[Fecha],"&gt;="&amp;TableWeeklySummary[[#This Row],[Desde]],TableDailySummary[Fecha],"&lt;="&amp;TableWeeklySummary[[#This Row],[Hasta]])</f>
        <v>0</v>
      </c>
      <c r="O284" s="11">
        <f>SUMIFS(TableDailySummary[Tienda 81_orders],TableDailySummary[Fecha],"&gt;="&amp;TableWeeklySummary[[#This Row],[Desde]],TableDailySummary[Fecha],"&lt;="&amp;TableWeeklySummary[[#This Row],[Hasta]])</f>
        <v>0</v>
      </c>
      <c r="P284" s="11">
        <f>SUMIFS(TableDailySummary[Rappi_net_sales],TableDailySummary[Fecha],"&gt;="&amp;TableWeeklySummary[[#This Row],[Desde]],TableDailySummary[Fecha],"&lt;="&amp;TableWeeklySummary[[#This Row],[Hasta]])</f>
        <v>0</v>
      </c>
      <c r="Q284" s="11">
        <f>SUMIFS(TableDailySummary[Rappi_orders],TableDailySummary[Fecha],"&gt;="&amp;TableWeeklySummary[[#This Row],[Desde]],TableDailySummary[Fecha],"&lt;="&amp;TableWeeklySummary[[#This Row],[Hasta]])</f>
        <v>0</v>
      </c>
      <c r="R28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4" s="11">
        <f>SUMIFS(TableDailySummary[Corporativo no tienda_orders],TableDailySummary[Fecha],"&gt;="&amp;TableWeeklySummary[[#This Row],[Desde]],TableDailySummary[Fecha],"&lt;="&amp;TableWeeklySummary[[#This Row],[Hasta]])</f>
        <v>0</v>
      </c>
      <c r="T284" s="11">
        <f>SUMIFS(TableDailySummary[Inversión google ads],TableDailySummary[Fecha],"&gt;="&amp;TableWeeklySummary[[#This Row],[Desde]],TableDailySummary[Fecha],"&lt;="&amp;TableWeeklySummary[[#This Row],[Hasta]])</f>
        <v>0</v>
      </c>
      <c r="U284" s="11">
        <f>SUMIFS(TableDailySummary[Ventas google ads],TableDailySummary[Fecha],"&gt;="&amp;TableWeeklySummary[[#This Row],[Desde]],TableDailySummary[Fecha],"&lt;="&amp;TableWeeklySummary[[#This Row],[Hasta]])</f>
        <v>0</v>
      </c>
      <c r="V284" s="11">
        <f>SUMIFS(TableDailySummary[Inversión meta ads],TableDailySummary[Fecha],"&gt;="&amp;TableWeeklySummary[[#This Row],[Desde]],TableDailySummary[Fecha],"&lt;="&amp;TableWeeklySummary[[#This Row],[Hasta]])</f>
        <v>0</v>
      </c>
      <c r="W284" s="11">
        <f>SUMIFS(TableDailySummary[Ventas meta ads],TableDailySummary[Fecha],"&gt;="&amp;TableWeeklySummary[[#This Row],[Desde]],TableDailySummary[Fecha],"&lt;="&amp;TableWeeklySummary[[#This Row],[Hasta]])</f>
        <v>0</v>
      </c>
      <c r="X284" s="11">
        <f>TableWeeklySummary[[#This Row],[Inversión google ads]]+TableWeeklySummary[[#This Row],[Inversión meta ads]]</f>
        <v>0</v>
      </c>
      <c r="Y284" s="11">
        <f>TableWeeklySummary[[#This Row],[Ventas google ads]]+TableWeeklySummary[[#This Row],[Ventas meta ads]]</f>
        <v>0</v>
      </c>
      <c r="Z284" s="14">
        <f>IFERROR(TableWeeklySummary[[#This Row],[Ventas publicidad]]/TableWeeklySummary[[#This Row],[Inversión publicidad]],0)</f>
        <v>0</v>
      </c>
      <c r="AA284" s="14">
        <f>IFERROR(TableWeeklySummary[[#This Row],[Ventas primer cliente]]/TableWeeklySummary[[#This Row],[Inversión publicidad]],0)</f>
        <v>0</v>
      </c>
      <c r="AB284" s="14"/>
      <c r="AC284" s="11"/>
      <c r="AI28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4" s="11">
        <f>SUMIFS(TableDailySummary[Costo de ventas registrado],TableDailySummary[Fecha],"&gt;="&amp;TableWeeklySummary[[#This Row],[Desde]],TableDailySummary[Fecha],"&lt;="&amp;TableWeeklySummary[[#This Row],[Hasta]])</f>
        <v>0</v>
      </c>
      <c r="AK284" s="11">
        <f>SUMIFS(TableDailySummary[Utilidad bruta],TableDailySummary[Fecha],"&gt;="&amp;TableWeeklySummary[[#This Row],[Desde]],TableDailySummary[Fecha],"&lt;="&amp;TableWeeklySummary[[#This Row],[Hasta]])</f>
        <v>0</v>
      </c>
      <c r="AL284" s="18">
        <f>IFERROR(TableWeeklySummary[[#This Row],[Utilidad bruta]]/TableWeeklySummary[[#This Row],[Ventas netas con costo registrado]],0)</f>
        <v>0</v>
      </c>
    </row>
    <row r="285" spans="2:38" x14ac:dyDescent="0.2">
      <c r="B285" s="16">
        <f>_xlfn.ISOWEEKNUM(TableWeeklySummary[[#This Row],[Hasta]])</f>
        <v>13</v>
      </c>
      <c r="C285" s="6">
        <f t="shared" si="6"/>
        <v>46472</v>
      </c>
      <c r="D285" s="6">
        <f>TableWeeklySummary[[#This Row],[Desde]]+7-1</f>
        <v>46478</v>
      </c>
      <c r="E285" s="11">
        <f>SUMIFS(TableDailySummary[Ventas netas totales],TableDailySummary[Fecha],"&gt;="&amp;TableWeeklySummary[[#This Row],[Desde]],TableDailySummary[Fecha],"&lt;="&amp;TableWeeklySummary[[#This Row],[Hasta]])</f>
        <v>0</v>
      </c>
      <c r="F285" s="11">
        <f>SUMIFS(TableDailySummary[Órdenes totales],TableDailySummary[Fecha],"&gt;="&amp;TableWeeklySummary[[#This Row],[Desde]],TableDailySummary[Fecha],"&lt;="&amp;TableWeeklySummary[[#This Row],[Hasta]])</f>
        <v>0</v>
      </c>
      <c r="G285" s="11">
        <f>IFERROR(TableWeeklySummary[[#This Row],[Ventas netas totales]]/TableWeeklySummary[[#This Row],[Órdenes totales]],0)</f>
        <v>0</v>
      </c>
      <c r="H28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5" s="11">
        <f>TableWeeklySummary[[#This Row],[Órden promedio totales]]*TableWeeklySummary[[#This Row],[CR totales]]</f>
        <v>0</v>
      </c>
      <c r="J285" s="11">
        <f>SUMIFS(TableDailySummary[Ventas primer cliente],TableDailySummary[Fecha],"&gt;="&amp;TableWeeklySummary[[#This Row],[Desde]],TableDailySummary[Fecha],"&lt;="&amp;TableWeeklySummary[[#This Row],[Hasta]])</f>
        <v>0</v>
      </c>
      <c r="K285" s="11">
        <f>SUMIFS(TableDailySummary[Órdenes primer cliente],TableDailySummary[Fecha],"&gt;="&amp;TableWeeklySummary[[#This Row],[Desde]],TableDailySummary[Fecha],"&lt;="&amp;TableWeeklySummary[[#This Row],[Hasta]])</f>
        <v>0</v>
      </c>
      <c r="L285" s="11">
        <f>SUMIFS(TableDailySummary[Online Store_net_sales],TableDailySummary[Fecha],"&gt;="&amp;TableWeeklySummary[[#This Row],[Desde]],TableDailySummary[Fecha],"&lt;="&amp;TableWeeklySummary[[#This Row],[Hasta]])</f>
        <v>0</v>
      </c>
      <c r="M285" s="11">
        <f>SUMIFS(TableDailySummary[Online Store_orders],TableDailySummary[Fecha],"&gt;="&amp;TableWeeklySummary[[#This Row],[Desde]],TableDailySummary[Fecha],"&lt;="&amp;TableWeeklySummary[[#This Row],[Hasta]])</f>
        <v>0</v>
      </c>
      <c r="N285" s="11">
        <f>SUMIFS(TableDailySummary[Tienda 81_net_sales],TableDailySummary[Fecha],"&gt;="&amp;TableWeeklySummary[[#This Row],[Desde]],TableDailySummary[Fecha],"&lt;="&amp;TableWeeklySummary[[#This Row],[Hasta]])</f>
        <v>0</v>
      </c>
      <c r="O285" s="11">
        <f>SUMIFS(TableDailySummary[Tienda 81_orders],TableDailySummary[Fecha],"&gt;="&amp;TableWeeklySummary[[#This Row],[Desde]],TableDailySummary[Fecha],"&lt;="&amp;TableWeeklySummary[[#This Row],[Hasta]])</f>
        <v>0</v>
      </c>
      <c r="P285" s="11">
        <f>SUMIFS(TableDailySummary[Rappi_net_sales],TableDailySummary[Fecha],"&gt;="&amp;TableWeeklySummary[[#This Row],[Desde]],TableDailySummary[Fecha],"&lt;="&amp;TableWeeklySummary[[#This Row],[Hasta]])</f>
        <v>0</v>
      </c>
      <c r="Q285" s="11">
        <f>SUMIFS(TableDailySummary[Rappi_orders],TableDailySummary[Fecha],"&gt;="&amp;TableWeeklySummary[[#This Row],[Desde]],TableDailySummary[Fecha],"&lt;="&amp;TableWeeklySummary[[#This Row],[Hasta]])</f>
        <v>0</v>
      </c>
      <c r="R28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5" s="11">
        <f>SUMIFS(TableDailySummary[Corporativo no tienda_orders],TableDailySummary[Fecha],"&gt;="&amp;TableWeeklySummary[[#This Row],[Desde]],TableDailySummary[Fecha],"&lt;="&amp;TableWeeklySummary[[#This Row],[Hasta]])</f>
        <v>0</v>
      </c>
      <c r="T285" s="11">
        <f>SUMIFS(TableDailySummary[Inversión google ads],TableDailySummary[Fecha],"&gt;="&amp;TableWeeklySummary[[#This Row],[Desde]],TableDailySummary[Fecha],"&lt;="&amp;TableWeeklySummary[[#This Row],[Hasta]])</f>
        <v>0</v>
      </c>
      <c r="U285" s="11">
        <f>SUMIFS(TableDailySummary[Ventas google ads],TableDailySummary[Fecha],"&gt;="&amp;TableWeeklySummary[[#This Row],[Desde]],TableDailySummary[Fecha],"&lt;="&amp;TableWeeklySummary[[#This Row],[Hasta]])</f>
        <v>0</v>
      </c>
      <c r="V285" s="11">
        <f>SUMIFS(TableDailySummary[Inversión meta ads],TableDailySummary[Fecha],"&gt;="&amp;TableWeeklySummary[[#This Row],[Desde]],TableDailySummary[Fecha],"&lt;="&amp;TableWeeklySummary[[#This Row],[Hasta]])</f>
        <v>0</v>
      </c>
      <c r="W285" s="11">
        <f>SUMIFS(TableDailySummary[Ventas meta ads],TableDailySummary[Fecha],"&gt;="&amp;TableWeeklySummary[[#This Row],[Desde]],TableDailySummary[Fecha],"&lt;="&amp;TableWeeklySummary[[#This Row],[Hasta]])</f>
        <v>0</v>
      </c>
      <c r="X285" s="11">
        <f>TableWeeklySummary[[#This Row],[Inversión google ads]]+TableWeeklySummary[[#This Row],[Inversión meta ads]]</f>
        <v>0</v>
      </c>
      <c r="Y285" s="11">
        <f>TableWeeklySummary[[#This Row],[Ventas google ads]]+TableWeeklySummary[[#This Row],[Ventas meta ads]]</f>
        <v>0</v>
      </c>
      <c r="Z285" s="14">
        <f>IFERROR(TableWeeklySummary[[#This Row],[Ventas publicidad]]/TableWeeklySummary[[#This Row],[Inversión publicidad]],0)</f>
        <v>0</v>
      </c>
      <c r="AA285" s="14">
        <f>IFERROR(TableWeeklySummary[[#This Row],[Ventas primer cliente]]/TableWeeklySummary[[#This Row],[Inversión publicidad]],0)</f>
        <v>0</v>
      </c>
      <c r="AB285" s="14"/>
      <c r="AC285" s="11"/>
      <c r="AI28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5" s="11">
        <f>SUMIFS(TableDailySummary[Costo de ventas registrado],TableDailySummary[Fecha],"&gt;="&amp;TableWeeklySummary[[#This Row],[Desde]],TableDailySummary[Fecha],"&lt;="&amp;TableWeeklySummary[[#This Row],[Hasta]])</f>
        <v>0</v>
      </c>
      <c r="AK285" s="11">
        <f>SUMIFS(TableDailySummary[Utilidad bruta],TableDailySummary[Fecha],"&gt;="&amp;TableWeeklySummary[[#This Row],[Desde]],TableDailySummary[Fecha],"&lt;="&amp;TableWeeklySummary[[#This Row],[Hasta]])</f>
        <v>0</v>
      </c>
      <c r="AL285" s="18">
        <f>IFERROR(TableWeeklySummary[[#This Row],[Utilidad bruta]]/TableWeeklySummary[[#This Row],[Ventas netas con costo registrado]],0)</f>
        <v>0</v>
      </c>
    </row>
    <row r="286" spans="2:38" x14ac:dyDescent="0.2">
      <c r="B286" s="16">
        <f>_xlfn.ISOWEEKNUM(TableWeeklySummary[[#This Row],[Hasta]])</f>
        <v>14</v>
      </c>
      <c r="C286" s="6">
        <f t="shared" si="6"/>
        <v>46479</v>
      </c>
      <c r="D286" s="6">
        <f>TableWeeklySummary[[#This Row],[Desde]]+7-1</f>
        <v>46485</v>
      </c>
      <c r="E286" s="11">
        <f>SUMIFS(TableDailySummary[Ventas netas totales],TableDailySummary[Fecha],"&gt;="&amp;TableWeeklySummary[[#This Row],[Desde]],TableDailySummary[Fecha],"&lt;="&amp;TableWeeklySummary[[#This Row],[Hasta]])</f>
        <v>0</v>
      </c>
      <c r="F286" s="11">
        <f>SUMIFS(TableDailySummary[Órdenes totales],TableDailySummary[Fecha],"&gt;="&amp;TableWeeklySummary[[#This Row],[Desde]],TableDailySummary[Fecha],"&lt;="&amp;TableWeeklySummary[[#This Row],[Hasta]])</f>
        <v>0</v>
      </c>
      <c r="G286" s="11">
        <f>IFERROR(TableWeeklySummary[[#This Row],[Ventas netas totales]]/TableWeeklySummary[[#This Row],[Órdenes totales]],0)</f>
        <v>0</v>
      </c>
      <c r="H28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6" s="11">
        <f>TableWeeklySummary[[#This Row],[Órden promedio totales]]*TableWeeklySummary[[#This Row],[CR totales]]</f>
        <v>0</v>
      </c>
      <c r="J286" s="11">
        <f>SUMIFS(TableDailySummary[Ventas primer cliente],TableDailySummary[Fecha],"&gt;="&amp;TableWeeklySummary[[#This Row],[Desde]],TableDailySummary[Fecha],"&lt;="&amp;TableWeeklySummary[[#This Row],[Hasta]])</f>
        <v>0</v>
      </c>
      <c r="K286" s="11">
        <f>SUMIFS(TableDailySummary[Órdenes primer cliente],TableDailySummary[Fecha],"&gt;="&amp;TableWeeklySummary[[#This Row],[Desde]],TableDailySummary[Fecha],"&lt;="&amp;TableWeeklySummary[[#This Row],[Hasta]])</f>
        <v>0</v>
      </c>
      <c r="L286" s="11">
        <f>SUMIFS(TableDailySummary[Online Store_net_sales],TableDailySummary[Fecha],"&gt;="&amp;TableWeeklySummary[[#This Row],[Desde]],TableDailySummary[Fecha],"&lt;="&amp;TableWeeklySummary[[#This Row],[Hasta]])</f>
        <v>0</v>
      </c>
      <c r="M286" s="11">
        <f>SUMIFS(TableDailySummary[Online Store_orders],TableDailySummary[Fecha],"&gt;="&amp;TableWeeklySummary[[#This Row],[Desde]],TableDailySummary[Fecha],"&lt;="&amp;TableWeeklySummary[[#This Row],[Hasta]])</f>
        <v>0</v>
      </c>
      <c r="N286" s="11">
        <f>SUMIFS(TableDailySummary[Tienda 81_net_sales],TableDailySummary[Fecha],"&gt;="&amp;TableWeeklySummary[[#This Row],[Desde]],TableDailySummary[Fecha],"&lt;="&amp;TableWeeklySummary[[#This Row],[Hasta]])</f>
        <v>0</v>
      </c>
      <c r="O286" s="11">
        <f>SUMIFS(TableDailySummary[Tienda 81_orders],TableDailySummary[Fecha],"&gt;="&amp;TableWeeklySummary[[#This Row],[Desde]],TableDailySummary[Fecha],"&lt;="&amp;TableWeeklySummary[[#This Row],[Hasta]])</f>
        <v>0</v>
      </c>
      <c r="P286" s="11">
        <f>SUMIFS(TableDailySummary[Rappi_net_sales],TableDailySummary[Fecha],"&gt;="&amp;TableWeeklySummary[[#This Row],[Desde]],TableDailySummary[Fecha],"&lt;="&amp;TableWeeklySummary[[#This Row],[Hasta]])</f>
        <v>0</v>
      </c>
      <c r="Q286" s="11">
        <f>SUMIFS(TableDailySummary[Rappi_orders],TableDailySummary[Fecha],"&gt;="&amp;TableWeeklySummary[[#This Row],[Desde]],TableDailySummary[Fecha],"&lt;="&amp;TableWeeklySummary[[#This Row],[Hasta]])</f>
        <v>0</v>
      </c>
      <c r="R28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6" s="11">
        <f>SUMIFS(TableDailySummary[Corporativo no tienda_orders],TableDailySummary[Fecha],"&gt;="&amp;TableWeeklySummary[[#This Row],[Desde]],TableDailySummary[Fecha],"&lt;="&amp;TableWeeklySummary[[#This Row],[Hasta]])</f>
        <v>0</v>
      </c>
      <c r="T286" s="11">
        <f>SUMIFS(TableDailySummary[Inversión google ads],TableDailySummary[Fecha],"&gt;="&amp;TableWeeklySummary[[#This Row],[Desde]],TableDailySummary[Fecha],"&lt;="&amp;TableWeeklySummary[[#This Row],[Hasta]])</f>
        <v>0</v>
      </c>
      <c r="U286" s="11">
        <f>SUMIFS(TableDailySummary[Ventas google ads],TableDailySummary[Fecha],"&gt;="&amp;TableWeeklySummary[[#This Row],[Desde]],TableDailySummary[Fecha],"&lt;="&amp;TableWeeklySummary[[#This Row],[Hasta]])</f>
        <v>0</v>
      </c>
      <c r="V286" s="11">
        <f>SUMIFS(TableDailySummary[Inversión meta ads],TableDailySummary[Fecha],"&gt;="&amp;TableWeeklySummary[[#This Row],[Desde]],TableDailySummary[Fecha],"&lt;="&amp;TableWeeklySummary[[#This Row],[Hasta]])</f>
        <v>0</v>
      </c>
      <c r="W286" s="11">
        <f>SUMIFS(TableDailySummary[Ventas meta ads],TableDailySummary[Fecha],"&gt;="&amp;TableWeeklySummary[[#This Row],[Desde]],TableDailySummary[Fecha],"&lt;="&amp;TableWeeklySummary[[#This Row],[Hasta]])</f>
        <v>0</v>
      </c>
      <c r="X286" s="11">
        <f>TableWeeklySummary[[#This Row],[Inversión google ads]]+TableWeeklySummary[[#This Row],[Inversión meta ads]]</f>
        <v>0</v>
      </c>
      <c r="Y286" s="11">
        <f>TableWeeklySummary[[#This Row],[Ventas google ads]]+TableWeeklySummary[[#This Row],[Ventas meta ads]]</f>
        <v>0</v>
      </c>
      <c r="Z286" s="14">
        <f>IFERROR(TableWeeklySummary[[#This Row],[Ventas publicidad]]/TableWeeklySummary[[#This Row],[Inversión publicidad]],0)</f>
        <v>0</v>
      </c>
      <c r="AA286" s="14">
        <f>IFERROR(TableWeeklySummary[[#This Row],[Ventas primer cliente]]/TableWeeklySummary[[#This Row],[Inversión publicidad]],0)</f>
        <v>0</v>
      </c>
      <c r="AB286" s="14"/>
      <c r="AC286" s="11"/>
      <c r="AI28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6" s="11">
        <f>SUMIFS(TableDailySummary[Costo de ventas registrado],TableDailySummary[Fecha],"&gt;="&amp;TableWeeklySummary[[#This Row],[Desde]],TableDailySummary[Fecha],"&lt;="&amp;TableWeeklySummary[[#This Row],[Hasta]])</f>
        <v>0</v>
      </c>
      <c r="AK286" s="11">
        <f>SUMIFS(TableDailySummary[Utilidad bruta],TableDailySummary[Fecha],"&gt;="&amp;TableWeeklySummary[[#This Row],[Desde]],TableDailySummary[Fecha],"&lt;="&amp;TableWeeklySummary[[#This Row],[Hasta]])</f>
        <v>0</v>
      </c>
      <c r="AL286" s="18">
        <f>IFERROR(TableWeeklySummary[[#This Row],[Utilidad bruta]]/TableWeeklySummary[[#This Row],[Ventas netas con costo registrado]],0)</f>
        <v>0</v>
      </c>
    </row>
    <row r="287" spans="2:38" x14ac:dyDescent="0.2">
      <c r="B287" s="16">
        <f>_xlfn.ISOWEEKNUM(TableWeeklySummary[[#This Row],[Hasta]])</f>
        <v>15</v>
      </c>
      <c r="C287" s="6">
        <f t="shared" si="6"/>
        <v>46486</v>
      </c>
      <c r="D287" s="6">
        <f>TableWeeklySummary[[#This Row],[Desde]]+7-1</f>
        <v>46492</v>
      </c>
      <c r="E287" s="11">
        <f>SUMIFS(TableDailySummary[Ventas netas totales],TableDailySummary[Fecha],"&gt;="&amp;TableWeeklySummary[[#This Row],[Desde]],TableDailySummary[Fecha],"&lt;="&amp;TableWeeklySummary[[#This Row],[Hasta]])</f>
        <v>0</v>
      </c>
      <c r="F287" s="11">
        <f>SUMIFS(TableDailySummary[Órdenes totales],TableDailySummary[Fecha],"&gt;="&amp;TableWeeklySummary[[#This Row],[Desde]],TableDailySummary[Fecha],"&lt;="&amp;TableWeeklySummary[[#This Row],[Hasta]])</f>
        <v>0</v>
      </c>
      <c r="G287" s="11">
        <f>IFERROR(TableWeeklySummary[[#This Row],[Ventas netas totales]]/TableWeeklySummary[[#This Row],[Órdenes totales]],0)</f>
        <v>0</v>
      </c>
      <c r="H28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7" s="11">
        <f>TableWeeklySummary[[#This Row],[Órden promedio totales]]*TableWeeklySummary[[#This Row],[CR totales]]</f>
        <v>0</v>
      </c>
      <c r="J287" s="11">
        <f>SUMIFS(TableDailySummary[Ventas primer cliente],TableDailySummary[Fecha],"&gt;="&amp;TableWeeklySummary[[#This Row],[Desde]],TableDailySummary[Fecha],"&lt;="&amp;TableWeeklySummary[[#This Row],[Hasta]])</f>
        <v>0</v>
      </c>
      <c r="K287" s="11">
        <f>SUMIFS(TableDailySummary[Órdenes primer cliente],TableDailySummary[Fecha],"&gt;="&amp;TableWeeklySummary[[#This Row],[Desde]],TableDailySummary[Fecha],"&lt;="&amp;TableWeeklySummary[[#This Row],[Hasta]])</f>
        <v>0</v>
      </c>
      <c r="L287" s="11">
        <f>SUMIFS(TableDailySummary[Online Store_net_sales],TableDailySummary[Fecha],"&gt;="&amp;TableWeeklySummary[[#This Row],[Desde]],TableDailySummary[Fecha],"&lt;="&amp;TableWeeklySummary[[#This Row],[Hasta]])</f>
        <v>0</v>
      </c>
      <c r="M287" s="11">
        <f>SUMIFS(TableDailySummary[Online Store_orders],TableDailySummary[Fecha],"&gt;="&amp;TableWeeklySummary[[#This Row],[Desde]],TableDailySummary[Fecha],"&lt;="&amp;TableWeeklySummary[[#This Row],[Hasta]])</f>
        <v>0</v>
      </c>
      <c r="N287" s="11">
        <f>SUMIFS(TableDailySummary[Tienda 81_net_sales],TableDailySummary[Fecha],"&gt;="&amp;TableWeeklySummary[[#This Row],[Desde]],TableDailySummary[Fecha],"&lt;="&amp;TableWeeklySummary[[#This Row],[Hasta]])</f>
        <v>0</v>
      </c>
      <c r="O287" s="11">
        <f>SUMIFS(TableDailySummary[Tienda 81_orders],TableDailySummary[Fecha],"&gt;="&amp;TableWeeklySummary[[#This Row],[Desde]],TableDailySummary[Fecha],"&lt;="&amp;TableWeeklySummary[[#This Row],[Hasta]])</f>
        <v>0</v>
      </c>
      <c r="P287" s="11">
        <f>SUMIFS(TableDailySummary[Rappi_net_sales],TableDailySummary[Fecha],"&gt;="&amp;TableWeeklySummary[[#This Row],[Desde]],TableDailySummary[Fecha],"&lt;="&amp;TableWeeklySummary[[#This Row],[Hasta]])</f>
        <v>0</v>
      </c>
      <c r="Q287" s="11">
        <f>SUMIFS(TableDailySummary[Rappi_orders],TableDailySummary[Fecha],"&gt;="&amp;TableWeeklySummary[[#This Row],[Desde]],TableDailySummary[Fecha],"&lt;="&amp;TableWeeklySummary[[#This Row],[Hasta]])</f>
        <v>0</v>
      </c>
      <c r="R28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7" s="11">
        <f>SUMIFS(TableDailySummary[Corporativo no tienda_orders],TableDailySummary[Fecha],"&gt;="&amp;TableWeeklySummary[[#This Row],[Desde]],TableDailySummary[Fecha],"&lt;="&amp;TableWeeklySummary[[#This Row],[Hasta]])</f>
        <v>0</v>
      </c>
      <c r="T287" s="11">
        <f>SUMIFS(TableDailySummary[Inversión google ads],TableDailySummary[Fecha],"&gt;="&amp;TableWeeklySummary[[#This Row],[Desde]],TableDailySummary[Fecha],"&lt;="&amp;TableWeeklySummary[[#This Row],[Hasta]])</f>
        <v>0</v>
      </c>
      <c r="U287" s="11">
        <f>SUMIFS(TableDailySummary[Ventas google ads],TableDailySummary[Fecha],"&gt;="&amp;TableWeeklySummary[[#This Row],[Desde]],TableDailySummary[Fecha],"&lt;="&amp;TableWeeklySummary[[#This Row],[Hasta]])</f>
        <v>0</v>
      </c>
      <c r="V287" s="11">
        <f>SUMIFS(TableDailySummary[Inversión meta ads],TableDailySummary[Fecha],"&gt;="&amp;TableWeeklySummary[[#This Row],[Desde]],TableDailySummary[Fecha],"&lt;="&amp;TableWeeklySummary[[#This Row],[Hasta]])</f>
        <v>0</v>
      </c>
      <c r="W287" s="11">
        <f>SUMIFS(TableDailySummary[Ventas meta ads],TableDailySummary[Fecha],"&gt;="&amp;TableWeeklySummary[[#This Row],[Desde]],TableDailySummary[Fecha],"&lt;="&amp;TableWeeklySummary[[#This Row],[Hasta]])</f>
        <v>0</v>
      </c>
      <c r="X287" s="11">
        <f>TableWeeklySummary[[#This Row],[Inversión google ads]]+TableWeeklySummary[[#This Row],[Inversión meta ads]]</f>
        <v>0</v>
      </c>
      <c r="Y287" s="11">
        <f>TableWeeklySummary[[#This Row],[Ventas google ads]]+TableWeeklySummary[[#This Row],[Ventas meta ads]]</f>
        <v>0</v>
      </c>
      <c r="Z287" s="14">
        <f>IFERROR(TableWeeklySummary[[#This Row],[Ventas publicidad]]/TableWeeklySummary[[#This Row],[Inversión publicidad]],0)</f>
        <v>0</v>
      </c>
      <c r="AA287" s="14">
        <f>IFERROR(TableWeeklySummary[[#This Row],[Ventas primer cliente]]/TableWeeklySummary[[#This Row],[Inversión publicidad]],0)</f>
        <v>0</v>
      </c>
      <c r="AB287" s="14"/>
      <c r="AC287" s="11"/>
      <c r="AI28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7" s="11">
        <f>SUMIFS(TableDailySummary[Costo de ventas registrado],TableDailySummary[Fecha],"&gt;="&amp;TableWeeklySummary[[#This Row],[Desde]],TableDailySummary[Fecha],"&lt;="&amp;TableWeeklySummary[[#This Row],[Hasta]])</f>
        <v>0</v>
      </c>
      <c r="AK287" s="11">
        <f>SUMIFS(TableDailySummary[Utilidad bruta],TableDailySummary[Fecha],"&gt;="&amp;TableWeeklySummary[[#This Row],[Desde]],TableDailySummary[Fecha],"&lt;="&amp;TableWeeklySummary[[#This Row],[Hasta]])</f>
        <v>0</v>
      </c>
      <c r="AL287" s="18">
        <f>IFERROR(TableWeeklySummary[[#This Row],[Utilidad bruta]]/TableWeeklySummary[[#This Row],[Ventas netas con costo registrado]],0)</f>
        <v>0</v>
      </c>
    </row>
    <row r="288" spans="2:38" x14ac:dyDescent="0.2">
      <c r="B288" s="16">
        <f>_xlfn.ISOWEEKNUM(TableWeeklySummary[[#This Row],[Hasta]])</f>
        <v>16</v>
      </c>
      <c r="C288" s="6">
        <f t="shared" si="6"/>
        <v>46493</v>
      </c>
      <c r="D288" s="6">
        <f>TableWeeklySummary[[#This Row],[Desde]]+7-1</f>
        <v>46499</v>
      </c>
      <c r="E288" s="11">
        <f>SUMIFS(TableDailySummary[Ventas netas totales],TableDailySummary[Fecha],"&gt;="&amp;TableWeeklySummary[[#This Row],[Desde]],TableDailySummary[Fecha],"&lt;="&amp;TableWeeklySummary[[#This Row],[Hasta]])</f>
        <v>0</v>
      </c>
      <c r="F288" s="11">
        <f>SUMIFS(TableDailySummary[Órdenes totales],TableDailySummary[Fecha],"&gt;="&amp;TableWeeklySummary[[#This Row],[Desde]],TableDailySummary[Fecha],"&lt;="&amp;TableWeeklySummary[[#This Row],[Hasta]])</f>
        <v>0</v>
      </c>
      <c r="G288" s="11">
        <f>IFERROR(TableWeeklySummary[[#This Row],[Ventas netas totales]]/TableWeeklySummary[[#This Row],[Órdenes totales]],0)</f>
        <v>0</v>
      </c>
      <c r="H28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8" s="11">
        <f>TableWeeklySummary[[#This Row],[Órden promedio totales]]*TableWeeklySummary[[#This Row],[CR totales]]</f>
        <v>0</v>
      </c>
      <c r="J288" s="11">
        <f>SUMIFS(TableDailySummary[Ventas primer cliente],TableDailySummary[Fecha],"&gt;="&amp;TableWeeklySummary[[#This Row],[Desde]],TableDailySummary[Fecha],"&lt;="&amp;TableWeeklySummary[[#This Row],[Hasta]])</f>
        <v>0</v>
      </c>
      <c r="K288" s="11">
        <f>SUMIFS(TableDailySummary[Órdenes primer cliente],TableDailySummary[Fecha],"&gt;="&amp;TableWeeklySummary[[#This Row],[Desde]],TableDailySummary[Fecha],"&lt;="&amp;TableWeeklySummary[[#This Row],[Hasta]])</f>
        <v>0</v>
      </c>
      <c r="L288" s="11">
        <f>SUMIFS(TableDailySummary[Online Store_net_sales],TableDailySummary[Fecha],"&gt;="&amp;TableWeeklySummary[[#This Row],[Desde]],TableDailySummary[Fecha],"&lt;="&amp;TableWeeklySummary[[#This Row],[Hasta]])</f>
        <v>0</v>
      </c>
      <c r="M288" s="11">
        <f>SUMIFS(TableDailySummary[Online Store_orders],TableDailySummary[Fecha],"&gt;="&amp;TableWeeklySummary[[#This Row],[Desde]],TableDailySummary[Fecha],"&lt;="&amp;TableWeeklySummary[[#This Row],[Hasta]])</f>
        <v>0</v>
      </c>
      <c r="N288" s="11">
        <f>SUMIFS(TableDailySummary[Tienda 81_net_sales],TableDailySummary[Fecha],"&gt;="&amp;TableWeeklySummary[[#This Row],[Desde]],TableDailySummary[Fecha],"&lt;="&amp;TableWeeklySummary[[#This Row],[Hasta]])</f>
        <v>0</v>
      </c>
      <c r="O288" s="11">
        <f>SUMIFS(TableDailySummary[Tienda 81_orders],TableDailySummary[Fecha],"&gt;="&amp;TableWeeklySummary[[#This Row],[Desde]],TableDailySummary[Fecha],"&lt;="&amp;TableWeeklySummary[[#This Row],[Hasta]])</f>
        <v>0</v>
      </c>
      <c r="P288" s="11">
        <f>SUMIFS(TableDailySummary[Rappi_net_sales],TableDailySummary[Fecha],"&gt;="&amp;TableWeeklySummary[[#This Row],[Desde]],TableDailySummary[Fecha],"&lt;="&amp;TableWeeklySummary[[#This Row],[Hasta]])</f>
        <v>0</v>
      </c>
      <c r="Q288" s="11">
        <f>SUMIFS(TableDailySummary[Rappi_orders],TableDailySummary[Fecha],"&gt;="&amp;TableWeeklySummary[[#This Row],[Desde]],TableDailySummary[Fecha],"&lt;="&amp;TableWeeklySummary[[#This Row],[Hasta]])</f>
        <v>0</v>
      </c>
      <c r="R28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8" s="11">
        <f>SUMIFS(TableDailySummary[Corporativo no tienda_orders],TableDailySummary[Fecha],"&gt;="&amp;TableWeeklySummary[[#This Row],[Desde]],TableDailySummary[Fecha],"&lt;="&amp;TableWeeklySummary[[#This Row],[Hasta]])</f>
        <v>0</v>
      </c>
      <c r="T288" s="11">
        <f>SUMIFS(TableDailySummary[Inversión google ads],TableDailySummary[Fecha],"&gt;="&amp;TableWeeklySummary[[#This Row],[Desde]],TableDailySummary[Fecha],"&lt;="&amp;TableWeeklySummary[[#This Row],[Hasta]])</f>
        <v>0</v>
      </c>
      <c r="U288" s="11">
        <f>SUMIFS(TableDailySummary[Ventas google ads],TableDailySummary[Fecha],"&gt;="&amp;TableWeeklySummary[[#This Row],[Desde]],TableDailySummary[Fecha],"&lt;="&amp;TableWeeklySummary[[#This Row],[Hasta]])</f>
        <v>0</v>
      </c>
      <c r="V288" s="11">
        <f>SUMIFS(TableDailySummary[Inversión meta ads],TableDailySummary[Fecha],"&gt;="&amp;TableWeeklySummary[[#This Row],[Desde]],TableDailySummary[Fecha],"&lt;="&amp;TableWeeklySummary[[#This Row],[Hasta]])</f>
        <v>0</v>
      </c>
      <c r="W288" s="11">
        <f>SUMIFS(TableDailySummary[Ventas meta ads],TableDailySummary[Fecha],"&gt;="&amp;TableWeeklySummary[[#This Row],[Desde]],TableDailySummary[Fecha],"&lt;="&amp;TableWeeklySummary[[#This Row],[Hasta]])</f>
        <v>0</v>
      </c>
      <c r="X288" s="11">
        <f>TableWeeklySummary[[#This Row],[Inversión google ads]]+TableWeeklySummary[[#This Row],[Inversión meta ads]]</f>
        <v>0</v>
      </c>
      <c r="Y288" s="11">
        <f>TableWeeklySummary[[#This Row],[Ventas google ads]]+TableWeeklySummary[[#This Row],[Ventas meta ads]]</f>
        <v>0</v>
      </c>
      <c r="Z288" s="14">
        <f>IFERROR(TableWeeklySummary[[#This Row],[Ventas publicidad]]/TableWeeklySummary[[#This Row],[Inversión publicidad]],0)</f>
        <v>0</v>
      </c>
      <c r="AA288" s="14">
        <f>IFERROR(TableWeeklySummary[[#This Row],[Ventas primer cliente]]/TableWeeklySummary[[#This Row],[Inversión publicidad]],0)</f>
        <v>0</v>
      </c>
      <c r="AB288" s="14"/>
      <c r="AC288" s="11"/>
      <c r="AI28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8" s="11">
        <f>SUMIFS(TableDailySummary[Costo de ventas registrado],TableDailySummary[Fecha],"&gt;="&amp;TableWeeklySummary[[#This Row],[Desde]],TableDailySummary[Fecha],"&lt;="&amp;TableWeeklySummary[[#This Row],[Hasta]])</f>
        <v>0</v>
      </c>
      <c r="AK288" s="11">
        <f>SUMIFS(TableDailySummary[Utilidad bruta],TableDailySummary[Fecha],"&gt;="&amp;TableWeeklySummary[[#This Row],[Desde]],TableDailySummary[Fecha],"&lt;="&amp;TableWeeklySummary[[#This Row],[Hasta]])</f>
        <v>0</v>
      </c>
      <c r="AL288" s="18">
        <f>IFERROR(TableWeeklySummary[[#This Row],[Utilidad bruta]]/TableWeeklySummary[[#This Row],[Ventas netas con costo registrado]],0)</f>
        <v>0</v>
      </c>
    </row>
    <row r="289" spans="2:38" x14ac:dyDescent="0.2">
      <c r="B289" s="16">
        <f>_xlfn.ISOWEEKNUM(TableWeeklySummary[[#This Row],[Hasta]])</f>
        <v>17</v>
      </c>
      <c r="C289" s="6">
        <f t="shared" si="6"/>
        <v>46500</v>
      </c>
      <c r="D289" s="6">
        <f>TableWeeklySummary[[#This Row],[Desde]]+7-1</f>
        <v>46506</v>
      </c>
      <c r="E289" s="11">
        <f>SUMIFS(TableDailySummary[Ventas netas totales],TableDailySummary[Fecha],"&gt;="&amp;TableWeeklySummary[[#This Row],[Desde]],TableDailySummary[Fecha],"&lt;="&amp;TableWeeklySummary[[#This Row],[Hasta]])</f>
        <v>0</v>
      </c>
      <c r="F289" s="11">
        <f>SUMIFS(TableDailySummary[Órdenes totales],TableDailySummary[Fecha],"&gt;="&amp;TableWeeklySummary[[#This Row],[Desde]],TableDailySummary[Fecha],"&lt;="&amp;TableWeeklySummary[[#This Row],[Hasta]])</f>
        <v>0</v>
      </c>
      <c r="G289" s="11">
        <f>IFERROR(TableWeeklySummary[[#This Row],[Ventas netas totales]]/TableWeeklySummary[[#This Row],[Órdenes totales]],0)</f>
        <v>0</v>
      </c>
      <c r="H28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89" s="11">
        <f>TableWeeklySummary[[#This Row],[Órden promedio totales]]*TableWeeklySummary[[#This Row],[CR totales]]</f>
        <v>0</v>
      </c>
      <c r="J289" s="11">
        <f>SUMIFS(TableDailySummary[Ventas primer cliente],TableDailySummary[Fecha],"&gt;="&amp;TableWeeklySummary[[#This Row],[Desde]],TableDailySummary[Fecha],"&lt;="&amp;TableWeeklySummary[[#This Row],[Hasta]])</f>
        <v>0</v>
      </c>
      <c r="K289" s="11">
        <f>SUMIFS(TableDailySummary[Órdenes primer cliente],TableDailySummary[Fecha],"&gt;="&amp;TableWeeklySummary[[#This Row],[Desde]],TableDailySummary[Fecha],"&lt;="&amp;TableWeeklySummary[[#This Row],[Hasta]])</f>
        <v>0</v>
      </c>
      <c r="L289" s="11">
        <f>SUMIFS(TableDailySummary[Online Store_net_sales],TableDailySummary[Fecha],"&gt;="&amp;TableWeeklySummary[[#This Row],[Desde]],TableDailySummary[Fecha],"&lt;="&amp;TableWeeklySummary[[#This Row],[Hasta]])</f>
        <v>0</v>
      </c>
      <c r="M289" s="11">
        <f>SUMIFS(TableDailySummary[Online Store_orders],TableDailySummary[Fecha],"&gt;="&amp;TableWeeklySummary[[#This Row],[Desde]],TableDailySummary[Fecha],"&lt;="&amp;TableWeeklySummary[[#This Row],[Hasta]])</f>
        <v>0</v>
      </c>
      <c r="N289" s="11">
        <f>SUMIFS(TableDailySummary[Tienda 81_net_sales],TableDailySummary[Fecha],"&gt;="&amp;TableWeeklySummary[[#This Row],[Desde]],TableDailySummary[Fecha],"&lt;="&amp;TableWeeklySummary[[#This Row],[Hasta]])</f>
        <v>0</v>
      </c>
      <c r="O289" s="11">
        <f>SUMIFS(TableDailySummary[Tienda 81_orders],TableDailySummary[Fecha],"&gt;="&amp;TableWeeklySummary[[#This Row],[Desde]],TableDailySummary[Fecha],"&lt;="&amp;TableWeeklySummary[[#This Row],[Hasta]])</f>
        <v>0</v>
      </c>
      <c r="P289" s="11">
        <f>SUMIFS(TableDailySummary[Rappi_net_sales],TableDailySummary[Fecha],"&gt;="&amp;TableWeeklySummary[[#This Row],[Desde]],TableDailySummary[Fecha],"&lt;="&amp;TableWeeklySummary[[#This Row],[Hasta]])</f>
        <v>0</v>
      </c>
      <c r="Q289" s="11">
        <f>SUMIFS(TableDailySummary[Rappi_orders],TableDailySummary[Fecha],"&gt;="&amp;TableWeeklySummary[[#This Row],[Desde]],TableDailySummary[Fecha],"&lt;="&amp;TableWeeklySummary[[#This Row],[Hasta]])</f>
        <v>0</v>
      </c>
      <c r="R28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89" s="11">
        <f>SUMIFS(TableDailySummary[Corporativo no tienda_orders],TableDailySummary[Fecha],"&gt;="&amp;TableWeeklySummary[[#This Row],[Desde]],TableDailySummary[Fecha],"&lt;="&amp;TableWeeklySummary[[#This Row],[Hasta]])</f>
        <v>0</v>
      </c>
      <c r="T289" s="11">
        <f>SUMIFS(TableDailySummary[Inversión google ads],TableDailySummary[Fecha],"&gt;="&amp;TableWeeklySummary[[#This Row],[Desde]],TableDailySummary[Fecha],"&lt;="&amp;TableWeeklySummary[[#This Row],[Hasta]])</f>
        <v>0</v>
      </c>
      <c r="U289" s="11">
        <f>SUMIFS(TableDailySummary[Ventas google ads],TableDailySummary[Fecha],"&gt;="&amp;TableWeeklySummary[[#This Row],[Desde]],TableDailySummary[Fecha],"&lt;="&amp;TableWeeklySummary[[#This Row],[Hasta]])</f>
        <v>0</v>
      </c>
      <c r="V289" s="11">
        <f>SUMIFS(TableDailySummary[Inversión meta ads],TableDailySummary[Fecha],"&gt;="&amp;TableWeeklySummary[[#This Row],[Desde]],TableDailySummary[Fecha],"&lt;="&amp;TableWeeklySummary[[#This Row],[Hasta]])</f>
        <v>0</v>
      </c>
      <c r="W289" s="11">
        <f>SUMIFS(TableDailySummary[Ventas meta ads],TableDailySummary[Fecha],"&gt;="&amp;TableWeeklySummary[[#This Row],[Desde]],TableDailySummary[Fecha],"&lt;="&amp;TableWeeklySummary[[#This Row],[Hasta]])</f>
        <v>0</v>
      </c>
      <c r="X289" s="11">
        <f>TableWeeklySummary[[#This Row],[Inversión google ads]]+TableWeeklySummary[[#This Row],[Inversión meta ads]]</f>
        <v>0</v>
      </c>
      <c r="Y289" s="11">
        <f>TableWeeklySummary[[#This Row],[Ventas google ads]]+TableWeeklySummary[[#This Row],[Ventas meta ads]]</f>
        <v>0</v>
      </c>
      <c r="Z289" s="14">
        <f>IFERROR(TableWeeklySummary[[#This Row],[Ventas publicidad]]/TableWeeklySummary[[#This Row],[Inversión publicidad]],0)</f>
        <v>0</v>
      </c>
      <c r="AA289" s="14">
        <f>IFERROR(TableWeeklySummary[[#This Row],[Ventas primer cliente]]/TableWeeklySummary[[#This Row],[Inversión publicidad]],0)</f>
        <v>0</v>
      </c>
      <c r="AB289" s="14"/>
      <c r="AC289" s="11"/>
      <c r="AI28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89" s="11">
        <f>SUMIFS(TableDailySummary[Costo de ventas registrado],TableDailySummary[Fecha],"&gt;="&amp;TableWeeklySummary[[#This Row],[Desde]],TableDailySummary[Fecha],"&lt;="&amp;TableWeeklySummary[[#This Row],[Hasta]])</f>
        <v>0</v>
      </c>
      <c r="AK289" s="11">
        <f>SUMIFS(TableDailySummary[Utilidad bruta],TableDailySummary[Fecha],"&gt;="&amp;TableWeeklySummary[[#This Row],[Desde]],TableDailySummary[Fecha],"&lt;="&amp;TableWeeklySummary[[#This Row],[Hasta]])</f>
        <v>0</v>
      </c>
      <c r="AL289" s="18">
        <f>IFERROR(TableWeeklySummary[[#This Row],[Utilidad bruta]]/TableWeeklySummary[[#This Row],[Ventas netas con costo registrado]],0)</f>
        <v>0</v>
      </c>
    </row>
    <row r="290" spans="2:38" x14ac:dyDescent="0.2">
      <c r="B290" s="16">
        <f>_xlfn.ISOWEEKNUM(TableWeeklySummary[[#This Row],[Hasta]])</f>
        <v>18</v>
      </c>
      <c r="C290" s="6">
        <f t="shared" si="6"/>
        <v>46507</v>
      </c>
      <c r="D290" s="6">
        <f>TableWeeklySummary[[#This Row],[Desde]]+7-1</f>
        <v>46513</v>
      </c>
      <c r="E290" s="11">
        <f>SUMIFS(TableDailySummary[Ventas netas totales],TableDailySummary[Fecha],"&gt;="&amp;TableWeeklySummary[[#This Row],[Desde]],TableDailySummary[Fecha],"&lt;="&amp;TableWeeklySummary[[#This Row],[Hasta]])</f>
        <v>0</v>
      </c>
      <c r="F290" s="11">
        <f>SUMIFS(TableDailySummary[Órdenes totales],TableDailySummary[Fecha],"&gt;="&amp;TableWeeklySummary[[#This Row],[Desde]],TableDailySummary[Fecha],"&lt;="&amp;TableWeeklySummary[[#This Row],[Hasta]])</f>
        <v>0</v>
      </c>
      <c r="G290" s="11">
        <f>IFERROR(TableWeeklySummary[[#This Row],[Ventas netas totales]]/TableWeeklySummary[[#This Row],[Órdenes totales]],0)</f>
        <v>0</v>
      </c>
      <c r="H29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0" s="11">
        <f>TableWeeklySummary[[#This Row],[Órden promedio totales]]*TableWeeklySummary[[#This Row],[CR totales]]</f>
        <v>0</v>
      </c>
      <c r="J290" s="11">
        <f>SUMIFS(TableDailySummary[Ventas primer cliente],TableDailySummary[Fecha],"&gt;="&amp;TableWeeklySummary[[#This Row],[Desde]],TableDailySummary[Fecha],"&lt;="&amp;TableWeeklySummary[[#This Row],[Hasta]])</f>
        <v>0</v>
      </c>
      <c r="K290" s="11">
        <f>SUMIFS(TableDailySummary[Órdenes primer cliente],TableDailySummary[Fecha],"&gt;="&amp;TableWeeklySummary[[#This Row],[Desde]],TableDailySummary[Fecha],"&lt;="&amp;TableWeeklySummary[[#This Row],[Hasta]])</f>
        <v>0</v>
      </c>
      <c r="L290" s="11">
        <f>SUMIFS(TableDailySummary[Online Store_net_sales],TableDailySummary[Fecha],"&gt;="&amp;TableWeeklySummary[[#This Row],[Desde]],TableDailySummary[Fecha],"&lt;="&amp;TableWeeklySummary[[#This Row],[Hasta]])</f>
        <v>0</v>
      </c>
      <c r="M290" s="11">
        <f>SUMIFS(TableDailySummary[Online Store_orders],TableDailySummary[Fecha],"&gt;="&amp;TableWeeklySummary[[#This Row],[Desde]],TableDailySummary[Fecha],"&lt;="&amp;TableWeeklySummary[[#This Row],[Hasta]])</f>
        <v>0</v>
      </c>
      <c r="N290" s="11">
        <f>SUMIFS(TableDailySummary[Tienda 81_net_sales],TableDailySummary[Fecha],"&gt;="&amp;TableWeeklySummary[[#This Row],[Desde]],TableDailySummary[Fecha],"&lt;="&amp;TableWeeklySummary[[#This Row],[Hasta]])</f>
        <v>0</v>
      </c>
      <c r="O290" s="11">
        <f>SUMIFS(TableDailySummary[Tienda 81_orders],TableDailySummary[Fecha],"&gt;="&amp;TableWeeklySummary[[#This Row],[Desde]],TableDailySummary[Fecha],"&lt;="&amp;TableWeeklySummary[[#This Row],[Hasta]])</f>
        <v>0</v>
      </c>
      <c r="P290" s="11">
        <f>SUMIFS(TableDailySummary[Rappi_net_sales],TableDailySummary[Fecha],"&gt;="&amp;TableWeeklySummary[[#This Row],[Desde]],TableDailySummary[Fecha],"&lt;="&amp;TableWeeklySummary[[#This Row],[Hasta]])</f>
        <v>0</v>
      </c>
      <c r="Q290" s="11">
        <f>SUMIFS(TableDailySummary[Rappi_orders],TableDailySummary[Fecha],"&gt;="&amp;TableWeeklySummary[[#This Row],[Desde]],TableDailySummary[Fecha],"&lt;="&amp;TableWeeklySummary[[#This Row],[Hasta]])</f>
        <v>0</v>
      </c>
      <c r="R29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0" s="11">
        <f>SUMIFS(TableDailySummary[Corporativo no tienda_orders],TableDailySummary[Fecha],"&gt;="&amp;TableWeeklySummary[[#This Row],[Desde]],TableDailySummary[Fecha],"&lt;="&amp;TableWeeklySummary[[#This Row],[Hasta]])</f>
        <v>0</v>
      </c>
      <c r="T290" s="11">
        <f>SUMIFS(TableDailySummary[Inversión google ads],TableDailySummary[Fecha],"&gt;="&amp;TableWeeklySummary[[#This Row],[Desde]],TableDailySummary[Fecha],"&lt;="&amp;TableWeeklySummary[[#This Row],[Hasta]])</f>
        <v>0</v>
      </c>
      <c r="U290" s="11">
        <f>SUMIFS(TableDailySummary[Ventas google ads],TableDailySummary[Fecha],"&gt;="&amp;TableWeeklySummary[[#This Row],[Desde]],TableDailySummary[Fecha],"&lt;="&amp;TableWeeklySummary[[#This Row],[Hasta]])</f>
        <v>0</v>
      </c>
      <c r="V290" s="11">
        <f>SUMIFS(TableDailySummary[Inversión meta ads],TableDailySummary[Fecha],"&gt;="&amp;TableWeeklySummary[[#This Row],[Desde]],TableDailySummary[Fecha],"&lt;="&amp;TableWeeklySummary[[#This Row],[Hasta]])</f>
        <v>0</v>
      </c>
      <c r="W290" s="11">
        <f>SUMIFS(TableDailySummary[Ventas meta ads],TableDailySummary[Fecha],"&gt;="&amp;TableWeeklySummary[[#This Row],[Desde]],TableDailySummary[Fecha],"&lt;="&amp;TableWeeklySummary[[#This Row],[Hasta]])</f>
        <v>0</v>
      </c>
      <c r="X290" s="11">
        <f>TableWeeklySummary[[#This Row],[Inversión google ads]]+TableWeeklySummary[[#This Row],[Inversión meta ads]]</f>
        <v>0</v>
      </c>
      <c r="Y290" s="11">
        <f>TableWeeklySummary[[#This Row],[Ventas google ads]]+TableWeeklySummary[[#This Row],[Ventas meta ads]]</f>
        <v>0</v>
      </c>
      <c r="Z290" s="14">
        <f>IFERROR(TableWeeklySummary[[#This Row],[Ventas publicidad]]/TableWeeklySummary[[#This Row],[Inversión publicidad]],0)</f>
        <v>0</v>
      </c>
      <c r="AA290" s="14">
        <f>IFERROR(TableWeeklySummary[[#This Row],[Ventas primer cliente]]/TableWeeklySummary[[#This Row],[Inversión publicidad]],0)</f>
        <v>0</v>
      </c>
      <c r="AB290" s="14"/>
      <c r="AC290" s="11"/>
      <c r="AI29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0" s="11">
        <f>SUMIFS(TableDailySummary[Costo de ventas registrado],TableDailySummary[Fecha],"&gt;="&amp;TableWeeklySummary[[#This Row],[Desde]],TableDailySummary[Fecha],"&lt;="&amp;TableWeeklySummary[[#This Row],[Hasta]])</f>
        <v>0</v>
      </c>
      <c r="AK290" s="11">
        <f>SUMIFS(TableDailySummary[Utilidad bruta],TableDailySummary[Fecha],"&gt;="&amp;TableWeeklySummary[[#This Row],[Desde]],TableDailySummary[Fecha],"&lt;="&amp;TableWeeklySummary[[#This Row],[Hasta]])</f>
        <v>0</v>
      </c>
      <c r="AL290" s="18">
        <f>IFERROR(TableWeeklySummary[[#This Row],[Utilidad bruta]]/TableWeeklySummary[[#This Row],[Ventas netas con costo registrado]],0)</f>
        <v>0</v>
      </c>
    </row>
    <row r="291" spans="2:38" x14ac:dyDescent="0.2">
      <c r="B291" s="16">
        <f>_xlfn.ISOWEEKNUM(TableWeeklySummary[[#This Row],[Hasta]])</f>
        <v>19</v>
      </c>
      <c r="C291" s="6">
        <f t="shared" si="6"/>
        <v>46514</v>
      </c>
      <c r="D291" s="6">
        <f>TableWeeklySummary[[#This Row],[Desde]]+7-1</f>
        <v>46520</v>
      </c>
      <c r="E291" s="11">
        <f>SUMIFS(TableDailySummary[Ventas netas totales],TableDailySummary[Fecha],"&gt;="&amp;TableWeeklySummary[[#This Row],[Desde]],TableDailySummary[Fecha],"&lt;="&amp;TableWeeklySummary[[#This Row],[Hasta]])</f>
        <v>0</v>
      </c>
      <c r="F291" s="11">
        <f>SUMIFS(TableDailySummary[Órdenes totales],TableDailySummary[Fecha],"&gt;="&amp;TableWeeklySummary[[#This Row],[Desde]],TableDailySummary[Fecha],"&lt;="&amp;TableWeeklySummary[[#This Row],[Hasta]])</f>
        <v>0</v>
      </c>
      <c r="G291" s="11">
        <f>IFERROR(TableWeeklySummary[[#This Row],[Ventas netas totales]]/TableWeeklySummary[[#This Row],[Órdenes totales]],0)</f>
        <v>0</v>
      </c>
      <c r="H29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1" s="11">
        <f>TableWeeklySummary[[#This Row],[Órden promedio totales]]*TableWeeklySummary[[#This Row],[CR totales]]</f>
        <v>0</v>
      </c>
      <c r="J291" s="11">
        <f>SUMIFS(TableDailySummary[Ventas primer cliente],TableDailySummary[Fecha],"&gt;="&amp;TableWeeklySummary[[#This Row],[Desde]],TableDailySummary[Fecha],"&lt;="&amp;TableWeeklySummary[[#This Row],[Hasta]])</f>
        <v>0</v>
      </c>
      <c r="K291" s="11">
        <f>SUMIFS(TableDailySummary[Órdenes primer cliente],TableDailySummary[Fecha],"&gt;="&amp;TableWeeklySummary[[#This Row],[Desde]],TableDailySummary[Fecha],"&lt;="&amp;TableWeeklySummary[[#This Row],[Hasta]])</f>
        <v>0</v>
      </c>
      <c r="L291" s="11">
        <f>SUMIFS(TableDailySummary[Online Store_net_sales],TableDailySummary[Fecha],"&gt;="&amp;TableWeeklySummary[[#This Row],[Desde]],TableDailySummary[Fecha],"&lt;="&amp;TableWeeklySummary[[#This Row],[Hasta]])</f>
        <v>0</v>
      </c>
      <c r="M291" s="11">
        <f>SUMIFS(TableDailySummary[Online Store_orders],TableDailySummary[Fecha],"&gt;="&amp;TableWeeklySummary[[#This Row],[Desde]],TableDailySummary[Fecha],"&lt;="&amp;TableWeeklySummary[[#This Row],[Hasta]])</f>
        <v>0</v>
      </c>
      <c r="N291" s="11">
        <f>SUMIFS(TableDailySummary[Tienda 81_net_sales],TableDailySummary[Fecha],"&gt;="&amp;TableWeeklySummary[[#This Row],[Desde]],TableDailySummary[Fecha],"&lt;="&amp;TableWeeklySummary[[#This Row],[Hasta]])</f>
        <v>0</v>
      </c>
      <c r="O291" s="11">
        <f>SUMIFS(TableDailySummary[Tienda 81_orders],TableDailySummary[Fecha],"&gt;="&amp;TableWeeklySummary[[#This Row],[Desde]],TableDailySummary[Fecha],"&lt;="&amp;TableWeeklySummary[[#This Row],[Hasta]])</f>
        <v>0</v>
      </c>
      <c r="P291" s="11">
        <f>SUMIFS(TableDailySummary[Rappi_net_sales],TableDailySummary[Fecha],"&gt;="&amp;TableWeeklySummary[[#This Row],[Desde]],TableDailySummary[Fecha],"&lt;="&amp;TableWeeklySummary[[#This Row],[Hasta]])</f>
        <v>0</v>
      </c>
      <c r="Q291" s="11">
        <f>SUMIFS(TableDailySummary[Rappi_orders],TableDailySummary[Fecha],"&gt;="&amp;TableWeeklySummary[[#This Row],[Desde]],TableDailySummary[Fecha],"&lt;="&amp;TableWeeklySummary[[#This Row],[Hasta]])</f>
        <v>0</v>
      </c>
      <c r="R29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1" s="11">
        <f>SUMIFS(TableDailySummary[Corporativo no tienda_orders],TableDailySummary[Fecha],"&gt;="&amp;TableWeeklySummary[[#This Row],[Desde]],TableDailySummary[Fecha],"&lt;="&amp;TableWeeklySummary[[#This Row],[Hasta]])</f>
        <v>0</v>
      </c>
      <c r="T291" s="11">
        <f>SUMIFS(TableDailySummary[Inversión google ads],TableDailySummary[Fecha],"&gt;="&amp;TableWeeklySummary[[#This Row],[Desde]],TableDailySummary[Fecha],"&lt;="&amp;TableWeeklySummary[[#This Row],[Hasta]])</f>
        <v>0</v>
      </c>
      <c r="U291" s="11">
        <f>SUMIFS(TableDailySummary[Ventas google ads],TableDailySummary[Fecha],"&gt;="&amp;TableWeeklySummary[[#This Row],[Desde]],TableDailySummary[Fecha],"&lt;="&amp;TableWeeklySummary[[#This Row],[Hasta]])</f>
        <v>0</v>
      </c>
      <c r="V291" s="11">
        <f>SUMIFS(TableDailySummary[Inversión meta ads],TableDailySummary[Fecha],"&gt;="&amp;TableWeeklySummary[[#This Row],[Desde]],TableDailySummary[Fecha],"&lt;="&amp;TableWeeklySummary[[#This Row],[Hasta]])</f>
        <v>0</v>
      </c>
      <c r="W291" s="11">
        <f>SUMIFS(TableDailySummary[Ventas meta ads],TableDailySummary[Fecha],"&gt;="&amp;TableWeeklySummary[[#This Row],[Desde]],TableDailySummary[Fecha],"&lt;="&amp;TableWeeklySummary[[#This Row],[Hasta]])</f>
        <v>0</v>
      </c>
      <c r="X291" s="11">
        <f>TableWeeklySummary[[#This Row],[Inversión google ads]]+TableWeeklySummary[[#This Row],[Inversión meta ads]]</f>
        <v>0</v>
      </c>
      <c r="Y291" s="11">
        <f>TableWeeklySummary[[#This Row],[Ventas google ads]]+TableWeeklySummary[[#This Row],[Ventas meta ads]]</f>
        <v>0</v>
      </c>
      <c r="Z291" s="14">
        <f>IFERROR(TableWeeklySummary[[#This Row],[Ventas publicidad]]/TableWeeklySummary[[#This Row],[Inversión publicidad]],0)</f>
        <v>0</v>
      </c>
      <c r="AA291" s="14">
        <f>IFERROR(TableWeeklySummary[[#This Row],[Ventas primer cliente]]/TableWeeklySummary[[#This Row],[Inversión publicidad]],0)</f>
        <v>0</v>
      </c>
      <c r="AB291" s="14"/>
      <c r="AC291" s="11"/>
      <c r="AI29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1" s="11">
        <f>SUMIFS(TableDailySummary[Costo de ventas registrado],TableDailySummary[Fecha],"&gt;="&amp;TableWeeklySummary[[#This Row],[Desde]],TableDailySummary[Fecha],"&lt;="&amp;TableWeeklySummary[[#This Row],[Hasta]])</f>
        <v>0</v>
      </c>
      <c r="AK291" s="11">
        <f>SUMIFS(TableDailySummary[Utilidad bruta],TableDailySummary[Fecha],"&gt;="&amp;TableWeeklySummary[[#This Row],[Desde]],TableDailySummary[Fecha],"&lt;="&amp;TableWeeklySummary[[#This Row],[Hasta]])</f>
        <v>0</v>
      </c>
      <c r="AL291" s="18">
        <f>IFERROR(TableWeeklySummary[[#This Row],[Utilidad bruta]]/TableWeeklySummary[[#This Row],[Ventas netas con costo registrado]],0)</f>
        <v>0</v>
      </c>
    </row>
    <row r="292" spans="2:38" x14ac:dyDescent="0.2">
      <c r="B292" s="16">
        <f>_xlfn.ISOWEEKNUM(TableWeeklySummary[[#This Row],[Hasta]])</f>
        <v>20</v>
      </c>
      <c r="C292" s="6">
        <f t="shared" si="6"/>
        <v>46521</v>
      </c>
      <c r="D292" s="6">
        <f>TableWeeklySummary[[#This Row],[Desde]]+7-1</f>
        <v>46527</v>
      </c>
      <c r="E292" s="11">
        <f>SUMIFS(TableDailySummary[Ventas netas totales],TableDailySummary[Fecha],"&gt;="&amp;TableWeeklySummary[[#This Row],[Desde]],TableDailySummary[Fecha],"&lt;="&amp;TableWeeklySummary[[#This Row],[Hasta]])</f>
        <v>0</v>
      </c>
      <c r="F292" s="11">
        <f>SUMIFS(TableDailySummary[Órdenes totales],TableDailySummary[Fecha],"&gt;="&amp;TableWeeklySummary[[#This Row],[Desde]],TableDailySummary[Fecha],"&lt;="&amp;TableWeeklySummary[[#This Row],[Hasta]])</f>
        <v>0</v>
      </c>
      <c r="G292" s="11">
        <f>IFERROR(TableWeeklySummary[[#This Row],[Ventas netas totales]]/TableWeeklySummary[[#This Row],[Órdenes totales]],0)</f>
        <v>0</v>
      </c>
      <c r="H29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2" s="11">
        <f>TableWeeklySummary[[#This Row],[Órden promedio totales]]*TableWeeklySummary[[#This Row],[CR totales]]</f>
        <v>0</v>
      </c>
      <c r="J292" s="11">
        <f>SUMIFS(TableDailySummary[Ventas primer cliente],TableDailySummary[Fecha],"&gt;="&amp;TableWeeklySummary[[#This Row],[Desde]],TableDailySummary[Fecha],"&lt;="&amp;TableWeeklySummary[[#This Row],[Hasta]])</f>
        <v>0</v>
      </c>
      <c r="K292" s="11">
        <f>SUMIFS(TableDailySummary[Órdenes primer cliente],TableDailySummary[Fecha],"&gt;="&amp;TableWeeklySummary[[#This Row],[Desde]],TableDailySummary[Fecha],"&lt;="&amp;TableWeeklySummary[[#This Row],[Hasta]])</f>
        <v>0</v>
      </c>
      <c r="L292" s="11">
        <f>SUMIFS(TableDailySummary[Online Store_net_sales],TableDailySummary[Fecha],"&gt;="&amp;TableWeeklySummary[[#This Row],[Desde]],TableDailySummary[Fecha],"&lt;="&amp;TableWeeklySummary[[#This Row],[Hasta]])</f>
        <v>0</v>
      </c>
      <c r="M292" s="11">
        <f>SUMIFS(TableDailySummary[Online Store_orders],TableDailySummary[Fecha],"&gt;="&amp;TableWeeklySummary[[#This Row],[Desde]],TableDailySummary[Fecha],"&lt;="&amp;TableWeeklySummary[[#This Row],[Hasta]])</f>
        <v>0</v>
      </c>
      <c r="N292" s="11">
        <f>SUMIFS(TableDailySummary[Tienda 81_net_sales],TableDailySummary[Fecha],"&gt;="&amp;TableWeeklySummary[[#This Row],[Desde]],TableDailySummary[Fecha],"&lt;="&amp;TableWeeklySummary[[#This Row],[Hasta]])</f>
        <v>0</v>
      </c>
      <c r="O292" s="11">
        <f>SUMIFS(TableDailySummary[Tienda 81_orders],TableDailySummary[Fecha],"&gt;="&amp;TableWeeklySummary[[#This Row],[Desde]],TableDailySummary[Fecha],"&lt;="&amp;TableWeeklySummary[[#This Row],[Hasta]])</f>
        <v>0</v>
      </c>
      <c r="P292" s="11">
        <f>SUMIFS(TableDailySummary[Rappi_net_sales],TableDailySummary[Fecha],"&gt;="&amp;TableWeeklySummary[[#This Row],[Desde]],TableDailySummary[Fecha],"&lt;="&amp;TableWeeklySummary[[#This Row],[Hasta]])</f>
        <v>0</v>
      </c>
      <c r="Q292" s="11">
        <f>SUMIFS(TableDailySummary[Rappi_orders],TableDailySummary[Fecha],"&gt;="&amp;TableWeeklySummary[[#This Row],[Desde]],TableDailySummary[Fecha],"&lt;="&amp;TableWeeklySummary[[#This Row],[Hasta]])</f>
        <v>0</v>
      </c>
      <c r="R29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2" s="11">
        <f>SUMIFS(TableDailySummary[Corporativo no tienda_orders],TableDailySummary[Fecha],"&gt;="&amp;TableWeeklySummary[[#This Row],[Desde]],TableDailySummary[Fecha],"&lt;="&amp;TableWeeklySummary[[#This Row],[Hasta]])</f>
        <v>0</v>
      </c>
      <c r="T292" s="11">
        <f>SUMIFS(TableDailySummary[Inversión google ads],TableDailySummary[Fecha],"&gt;="&amp;TableWeeklySummary[[#This Row],[Desde]],TableDailySummary[Fecha],"&lt;="&amp;TableWeeklySummary[[#This Row],[Hasta]])</f>
        <v>0</v>
      </c>
      <c r="U292" s="11">
        <f>SUMIFS(TableDailySummary[Ventas google ads],TableDailySummary[Fecha],"&gt;="&amp;TableWeeklySummary[[#This Row],[Desde]],TableDailySummary[Fecha],"&lt;="&amp;TableWeeklySummary[[#This Row],[Hasta]])</f>
        <v>0</v>
      </c>
      <c r="V292" s="11">
        <f>SUMIFS(TableDailySummary[Inversión meta ads],TableDailySummary[Fecha],"&gt;="&amp;TableWeeklySummary[[#This Row],[Desde]],TableDailySummary[Fecha],"&lt;="&amp;TableWeeklySummary[[#This Row],[Hasta]])</f>
        <v>0</v>
      </c>
      <c r="W292" s="11">
        <f>SUMIFS(TableDailySummary[Ventas meta ads],TableDailySummary[Fecha],"&gt;="&amp;TableWeeklySummary[[#This Row],[Desde]],TableDailySummary[Fecha],"&lt;="&amp;TableWeeklySummary[[#This Row],[Hasta]])</f>
        <v>0</v>
      </c>
      <c r="X292" s="11">
        <f>TableWeeklySummary[[#This Row],[Inversión google ads]]+TableWeeklySummary[[#This Row],[Inversión meta ads]]</f>
        <v>0</v>
      </c>
      <c r="Y292" s="11">
        <f>TableWeeklySummary[[#This Row],[Ventas google ads]]+TableWeeklySummary[[#This Row],[Ventas meta ads]]</f>
        <v>0</v>
      </c>
      <c r="Z292" s="14">
        <f>IFERROR(TableWeeklySummary[[#This Row],[Ventas publicidad]]/TableWeeklySummary[[#This Row],[Inversión publicidad]],0)</f>
        <v>0</v>
      </c>
      <c r="AA292" s="14">
        <f>IFERROR(TableWeeklySummary[[#This Row],[Ventas primer cliente]]/TableWeeklySummary[[#This Row],[Inversión publicidad]],0)</f>
        <v>0</v>
      </c>
      <c r="AB292" s="14"/>
      <c r="AC292" s="11"/>
      <c r="AI29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2" s="11">
        <f>SUMIFS(TableDailySummary[Costo de ventas registrado],TableDailySummary[Fecha],"&gt;="&amp;TableWeeklySummary[[#This Row],[Desde]],TableDailySummary[Fecha],"&lt;="&amp;TableWeeklySummary[[#This Row],[Hasta]])</f>
        <v>0</v>
      </c>
      <c r="AK292" s="11">
        <f>SUMIFS(TableDailySummary[Utilidad bruta],TableDailySummary[Fecha],"&gt;="&amp;TableWeeklySummary[[#This Row],[Desde]],TableDailySummary[Fecha],"&lt;="&amp;TableWeeklySummary[[#This Row],[Hasta]])</f>
        <v>0</v>
      </c>
      <c r="AL292" s="18">
        <f>IFERROR(TableWeeklySummary[[#This Row],[Utilidad bruta]]/TableWeeklySummary[[#This Row],[Ventas netas con costo registrado]],0)</f>
        <v>0</v>
      </c>
    </row>
    <row r="293" spans="2:38" x14ac:dyDescent="0.2">
      <c r="B293" s="16">
        <f>_xlfn.ISOWEEKNUM(TableWeeklySummary[[#This Row],[Hasta]])</f>
        <v>21</v>
      </c>
      <c r="C293" s="6">
        <f t="shared" si="6"/>
        <v>46528</v>
      </c>
      <c r="D293" s="6">
        <f>TableWeeklySummary[[#This Row],[Desde]]+7-1</f>
        <v>46534</v>
      </c>
      <c r="E293" s="11">
        <f>SUMIFS(TableDailySummary[Ventas netas totales],TableDailySummary[Fecha],"&gt;="&amp;TableWeeklySummary[[#This Row],[Desde]],TableDailySummary[Fecha],"&lt;="&amp;TableWeeklySummary[[#This Row],[Hasta]])</f>
        <v>0</v>
      </c>
      <c r="F293" s="11">
        <f>SUMIFS(TableDailySummary[Órdenes totales],TableDailySummary[Fecha],"&gt;="&amp;TableWeeklySummary[[#This Row],[Desde]],TableDailySummary[Fecha],"&lt;="&amp;TableWeeklySummary[[#This Row],[Hasta]])</f>
        <v>0</v>
      </c>
      <c r="G293" s="11">
        <f>IFERROR(TableWeeklySummary[[#This Row],[Ventas netas totales]]/TableWeeklySummary[[#This Row],[Órdenes totales]],0)</f>
        <v>0</v>
      </c>
      <c r="H29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3" s="11">
        <f>TableWeeklySummary[[#This Row],[Órden promedio totales]]*TableWeeklySummary[[#This Row],[CR totales]]</f>
        <v>0</v>
      </c>
      <c r="J293" s="11">
        <f>SUMIFS(TableDailySummary[Ventas primer cliente],TableDailySummary[Fecha],"&gt;="&amp;TableWeeklySummary[[#This Row],[Desde]],TableDailySummary[Fecha],"&lt;="&amp;TableWeeklySummary[[#This Row],[Hasta]])</f>
        <v>0</v>
      </c>
      <c r="K293" s="11">
        <f>SUMIFS(TableDailySummary[Órdenes primer cliente],TableDailySummary[Fecha],"&gt;="&amp;TableWeeklySummary[[#This Row],[Desde]],TableDailySummary[Fecha],"&lt;="&amp;TableWeeklySummary[[#This Row],[Hasta]])</f>
        <v>0</v>
      </c>
      <c r="L293" s="11">
        <f>SUMIFS(TableDailySummary[Online Store_net_sales],TableDailySummary[Fecha],"&gt;="&amp;TableWeeklySummary[[#This Row],[Desde]],TableDailySummary[Fecha],"&lt;="&amp;TableWeeklySummary[[#This Row],[Hasta]])</f>
        <v>0</v>
      </c>
      <c r="M293" s="11">
        <f>SUMIFS(TableDailySummary[Online Store_orders],TableDailySummary[Fecha],"&gt;="&amp;TableWeeklySummary[[#This Row],[Desde]],TableDailySummary[Fecha],"&lt;="&amp;TableWeeklySummary[[#This Row],[Hasta]])</f>
        <v>0</v>
      </c>
      <c r="N293" s="11">
        <f>SUMIFS(TableDailySummary[Tienda 81_net_sales],TableDailySummary[Fecha],"&gt;="&amp;TableWeeklySummary[[#This Row],[Desde]],TableDailySummary[Fecha],"&lt;="&amp;TableWeeklySummary[[#This Row],[Hasta]])</f>
        <v>0</v>
      </c>
      <c r="O293" s="11">
        <f>SUMIFS(TableDailySummary[Tienda 81_orders],TableDailySummary[Fecha],"&gt;="&amp;TableWeeklySummary[[#This Row],[Desde]],TableDailySummary[Fecha],"&lt;="&amp;TableWeeklySummary[[#This Row],[Hasta]])</f>
        <v>0</v>
      </c>
      <c r="P293" s="11">
        <f>SUMIFS(TableDailySummary[Rappi_net_sales],TableDailySummary[Fecha],"&gt;="&amp;TableWeeklySummary[[#This Row],[Desde]],TableDailySummary[Fecha],"&lt;="&amp;TableWeeklySummary[[#This Row],[Hasta]])</f>
        <v>0</v>
      </c>
      <c r="Q293" s="11">
        <f>SUMIFS(TableDailySummary[Rappi_orders],TableDailySummary[Fecha],"&gt;="&amp;TableWeeklySummary[[#This Row],[Desde]],TableDailySummary[Fecha],"&lt;="&amp;TableWeeklySummary[[#This Row],[Hasta]])</f>
        <v>0</v>
      </c>
      <c r="R29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3" s="11">
        <f>SUMIFS(TableDailySummary[Corporativo no tienda_orders],TableDailySummary[Fecha],"&gt;="&amp;TableWeeklySummary[[#This Row],[Desde]],TableDailySummary[Fecha],"&lt;="&amp;TableWeeklySummary[[#This Row],[Hasta]])</f>
        <v>0</v>
      </c>
      <c r="T293" s="11">
        <f>SUMIFS(TableDailySummary[Inversión google ads],TableDailySummary[Fecha],"&gt;="&amp;TableWeeklySummary[[#This Row],[Desde]],TableDailySummary[Fecha],"&lt;="&amp;TableWeeklySummary[[#This Row],[Hasta]])</f>
        <v>0</v>
      </c>
      <c r="U293" s="11">
        <f>SUMIFS(TableDailySummary[Ventas google ads],TableDailySummary[Fecha],"&gt;="&amp;TableWeeklySummary[[#This Row],[Desde]],TableDailySummary[Fecha],"&lt;="&amp;TableWeeklySummary[[#This Row],[Hasta]])</f>
        <v>0</v>
      </c>
      <c r="V293" s="11">
        <f>SUMIFS(TableDailySummary[Inversión meta ads],TableDailySummary[Fecha],"&gt;="&amp;TableWeeklySummary[[#This Row],[Desde]],TableDailySummary[Fecha],"&lt;="&amp;TableWeeklySummary[[#This Row],[Hasta]])</f>
        <v>0</v>
      </c>
      <c r="W293" s="11">
        <f>SUMIFS(TableDailySummary[Ventas meta ads],TableDailySummary[Fecha],"&gt;="&amp;TableWeeklySummary[[#This Row],[Desde]],TableDailySummary[Fecha],"&lt;="&amp;TableWeeklySummary[[#This Row],[Hasta]])</f>
        <v>0</v>
      </c>
      <c r="X293" s="11">
        <f>TableWeeklySummary[[#This Row],[Inversión google ads]]+TableWeeklySummary[[#This Row],[Inversión meta ads]]</f>
        <v>0</v>
      </c>
      <c r="Y293" s="11">
        <f>TableWeeklySummary[[#This Row],[Ventas google ads]]+TableWeeklySummary[[#This Row],[Ventas meta ads]]</f>
        <v>0</v>
      </c>
      <c r="Z293" s="14">
        <f>IFERROR(TableWeeklySummary[[#This Row],[Ventas publicidad]]/TableWeeklySummary[[#This Row],[Inversión publicidad]],0)</f>
        <v>0</v>
      </c>
      <c r="AA293" s="14">
        <f>IFERROR(TableWeeklySummary[[#This Row],[Ventas primer cliente]]/TableWeeklySummary[[#This Row],[Inversión publicidad]],0)</f>
        <v>0</v>
      </c>
      <c r="AB293" s="14"/>
      <c r="AC293" s="11"/>
      <c r="AI29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3" s="11">
        <f>SUMIFS(TableDailySummary[Costo de ventas registrado],TableDailySummary[Fecha],"&gt;="&amp;TableWeeklySummary[[#This Row],[Desde]],TableDailySummary[Fecha],"&lt;="&amp;TableWeeklySummary[[#This Row],[Hasta]])</f>
        <v>0</v>
      </c>
      <c r="AK293" s="11">
        <f>SUMIFS(TableDailySummary[Utilidad bruta],TableDailySummary[Fecha],"&gt;="&amp;TableWeeklySummary[[#This Row],[Desde]],TableDailySummary[Fecha],"&lt;="&amp;TableWeeklySummary[[#This Row],[Hasta]])</f>
        <v>0</v>
      </c>
      <c r="AL293" s="18">
        <f>IFERROR(TableWeeklySummary[[#This Row],[Utilidad bruta]]/TableWeeklySummary[[#This Row],[Ventas netas con costo registrado]],0)</f>
        <v>0</v>
      </c>
    </row>
    <row r="294" spans="2:38" x14ac:dyDescent="0.2">
      <c r="B294" s="16">
        <f>_xlfn.ISOWEEKNUM(TableWeeklySummary[[#This Row],[Hasta]])</f>
        <v>22</v>
      </c>
      <c r="C294" s="6">
        <f t="shared" si="6"/>
        <v>46535</v>
      </c>
      <c r="D294" s="6">
        <f>TableWeeklySummary[[#This Row],[Desde]]+7-1</f>
        <v>46541</v>
      </c>
      <c r="E294" s="11">
        <f>SUMIFS(TableDailySummary[Ventas netas totales],TableDailySummary[Fecha],"&gt;="&amp;TableWeeklySummary[[#This Row],[Desde]],TableDailySummary[Fecha],"&lt;="&amp;TableWeeklySummary[[#This Row],[Hasta]])</f>
        <v>0</v>
      </c>
      <c r="F294" s="11">
        <f>SUMIFS(TableDailySummary[Órdenes totales],TableDailySummary[Fecha],"&gt;="&amp;TableWeeklySummary[[#This Row],[Desde]],TableDailySummary[Fecha],"&lt;="&amp;TableWeeklySummary[[#This Row],[Hasta]])</f>
        <v>0</v>
      </c>
      <c r="G294" s="11">
        <f>IFERROR(TableWeeklySummary[[#This Row],[Ventas netas totales]]/TableWeeklySummary[[#This Row],[Órdenes totales]],0)</f>
        <v>0</v>
      </c>
      <c r="H29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4" s="11">
        <f>TableWeeklySummary[[#This Row],[Órden promedio totales]]*TableWeeklySummary[[#This Row],[CR totales]]</f>
        <v>0</v>
      </c>
      <c r="J294" s="11">
        <f>SUMIFS(TableDailySummary[Ventas primer cliente],TableDailySummary[Fecha],"&gt;="&amp;TableWeeklySummary[[#This Row],[Desde]],TableDailySummary[Fecha],"&lt;="&amp;TableWeeklySummary[[#This Row],[Hasta]])</f>
        <v>0</v>
      </c>
      <c r="K294" s="11">
        <f>SUMIFS(TableDailySummary[Órdenes primer cliente],TableDailySummary[Fecha],"&gt;="&amp;TableWeeklySummary[[#This Row],[Desde]],TableDailySummary[Fecha],"&lt;="&amp;TableWeeklySummary[[#This Row],[Hasta]])</f>
        <v>0</v>
      </c>
      <c r="L294" s="11">
        <f>SUMIFS(TableDailySummary[Online Store_net_sales],TableDailySummary[Fecha],"&gt;="&amp;TableWeeklySummary[[#This Row],[Desde]],TableDailySummary[Fecha],"&lt;="&amp;TableWeeklySummary[[#This Row],[Hasta]])</f>
        <v>0</v>
      </c>
      <c r="M294" s="11">
        <f>SUMIFS(TableDailySummary[Online Store_orders],TableDailySummary[Fecha],"&gt;="&amp;TableWeeklySummary[[#This Row],[Desde]],TableDailySummary[Fecha],"&lt;="&amp;TableWeeklySummary[[#This Row],[Hasta]])</f>
        <v>0</v>
      </c>
      <c r="N294" s="11">
        <f>SUMIFS(TableDailySummary[Tienda 81_net_sales],TableDailySummary[Fecha],"&gt;="&amp;TableWeeklySummary[[#This Row],[Desde]],TableDailySummary[Fecha],"&lt;="&amp;TableWeeklySummary[[#This Row],[Hasta]])</f>
        <v>0</v>
      </c>
      <c r="O294" s="11">
        <f>SUMIFS(TableDailySummary[Tienda 81_orders],TableDailySummary[Fecha],"&gt;="&amp;TableWeeklySummary[[#This Row],[Desde]],TableDailySummary[Fecha],"&lt;="&amp;TableWeeklySummary[[#This Row],[Hasta]])</f>
        <v>0</v>
      </c>
      <c r="P294" s="11">
        <f>SUMIFS(TableDailySummary[Rappi_net_sales],TableDailySummary[Fecha],"&gt;="&amp;TableWeeklySummary[[#This Row],[Desde]],TableDailySummary[Fecha],"&lt;="&amp;TableWeeklySummary[[#This Row],[Hasta]])</f>
        <v>0</v>
      </c>
      <c r="Q294" s="11">
        <f>SUMIFS(TableDailySummary[Rappi_orders],TableDailySummary[Fecha],"&gt;="&amp;TableWeeklySummary[[#This Row],[Desde]],TableDailySummary[Fecha],"&lt;="&amp;TableWeeklySummary[[#This Row],[Hasta]])</f>
        <v>0</v>
      </c>
      <c r="R29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4" s="11">
        <f>SUMIFS(TableDailySummary[Corporativo no tienda_orders],TableDailySummary[Fecha],"&gt;="&amp;TableWeeklySummary[[#This Row],[Desde]],TableDailySummary[Fecha],"&lt;="&amp;TableWeeklySummary[[#This Row],[Hasta]])</f>
        <v>0</v>
      </c>
      <c r="T294" s="11">
        <f>SUMIFS(TableDailySummary[Inversión google ads],TableDailySummary[Fecha],"&gt;="&amp;TableWeeklySummary[[#This Row],[Desde]],TableDailySummary[Fecha],"&lt;="&amp;TableWeeklySummary[[#This Row],[Hasta]])</f>
        <v>0</v>
      </c>
      <c r="U294" s="11">
        <f>SUMIFS(TableDailySummary[Ventas google ads],TableDailySummary[Fecha],"&gt;="&amp;TableWeeklySummary[[#This Row],[Desde]],TableDailySummary[Fecha],"&lt;="&amp;TableWeeklySummary[[#This Row],[Hasta]])</f>
        <v>0</v>
      </c>
      <c r="V294" s="11">
        <f>SUMIFS(TableDailySummary[Inversión meta ads],TableDailySummary[Fecha],"&gt;="&amp;TableWeeklySummary[[#This Row],[Desde]],TableDailySummary[Fecha],"&lt;="&amp;TableWeeklySummary[[#This Row],[Hasta]])</f>
        <v>0</v>
      </c>
      <c r="W294" s="11">
        <f>SUMIFS(TableDailySummary[Ventas meta ads],TableDailySummary[Fecha],"&gt;="&amp;TableWeeklySummary[[#This Row],[Desde]],TableDailySummary[Fecha],"&lt;="&amp;TableWeeklySummary[[#This Row],[Hasta]])</f>
        <v>0</v>
      </c>
      <c r="X294" s="11">
        <f>TableWeeklySummary[[#This Row],[Inversión google ads]]+TableWeeklySummary[[#This Row],[Inversión meta ads]]</f>
        <v>0</v>
      </c>
      <c r="Y294" s="11">
        <f>TableWeeklySummary[[#This Row],[Ventas google ads]]+TableWeeklySummary[[#This Row],[Ventas meta ads]]</f>
        <v>0</v>
      </c>
      <c r="Z294" s="14">
        <f>IFERROR(TableWeeklySummary[[#This Row],[Ventas publicidad]]/TableWeeklySummary[[#This Row],[Inversión publicidad]],0)</f>
        <v>0</v>
      </c>
      <c r="AA294" s="14">
        <f>IFERROR(TableWeeklySummary[[#This Row],[Ventas primer cliente]]/TableWeeklySummary[[#This Row],[Inversión publicidad]],0)</f>
        <v>0</v>
      </c>
      <c r="AB294" s="14"/>
      <c r="AC294" s="11"/>
      <c r="AI29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4" s="11">
        <f>SUMIFS(TableDailySummary[Costo de ventas registrado],TableDailySummary[Fecha],"&gt;="&amp;TableWeeklySummary[[#This Row],[Desde]],TableDailySummary[Fecha],"&lt;="&amp;TableWeeklySummary[[#This Row],[Hasta]])</f>
        <v>0</v>
      </c>
      <c r="AK294" s="11">
        <f>SUMIFS(TableDailySummary[Utilidad bruta],TableDailySummary[Fecha],"&gt;="&amp;TableWeeklySummary[[#This Row],[Desde]],TableDailySummary[Fecha],"&lt;="&amp;TableWeeklySummary[[#This Row],[Hasta]])</f>
        <v>0</v>
      </c>
      <c r="AL294" s="18">
        <f>IFERROR(TableWeeklySummary[[#This Row],[Utilidad bruta]]/TableWeeklySummary[[#This Row],[Ventas netas con costo registrado]],0)</f>
        <v>0</v>
      </c>
    </row>
    <row r="295" spans="2:38" x14ac:dyDescent="0.2">
      <c r="B295" s="16">
        <f>_xlfn.ISOWEEKNUM(TableWeeklySummary[[#This Row],[Hasta]])</f>
        <v>23</v>
      </c>
      <c r="C295" s="6">
        <f t="shared" si="6"/>
        <v>46542</v>
      </c>
      <c r="D295" s="6">
        <f>TableWeeklySummary[[#This Row],[Desde]]+7-1</f>
        <v>46548</v>
      </c>
      <c r="E295" s="11">
        <f>SUMIFS(TableDailySummary[Ventas netas totales],TableDailySummary[Fecha],"&gt;="&amp;TableWeeklySummary[[#This Row],[Desde]],TableDailySummary[Fecha],"&lt;="&amp;TableWeeklySummary[[#This Row],[Hasta]])</f>
        <v>0</v>
      </c>
      <c r="F295" s="11">
        <f>SUMIFS(TableDailySummary[Órdenes totales],TableDailySummary[Fecha],"&gt;="&amp;TableWeeklySummary[[#This Row],[Desde]],TableDailySummary[Fecha],"&lt;="&amp;TableWeeklySummary[[#This Row],[Hasta]])</f>
        <v>0</v>
      </c>
      <c r="G295" s="11">
        <f>IFERROR(TableWeeklySummary[[#This Row],[Ventas netas totales]]/TableWeeklySummary[[#This Row],[Órdenes totales]],0)</f>
        <v>0</v>
      </c>
      <c r="H29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5" s="11">
        <f>TableWeeklySummary[[#This Row],[Órden promedio totales]]*TableWeeklySummary[[#This Row],[CR totales]]</f>
        <v>0</v>
      </c>
      <c r="J295" s="11">
        <f>SUMIFS(TableDailySummary[Ventas primer cliente],TableDailySummary[Fecha],"&gt;="&amp;TableWeeklySummary[[#This Row],[Desde]],TableDailySummary[Fecha],"&lt;="&amp;TableWeeklySummary[[#This Row],[Hasta]])</f>
        <v>0</v>
      </c>
      <c r="K295" s="11">
        <f>SUMIFS(TableDailySummary[Órdenes primer cliente],TableDailySummary[Fecha],"&gt;="&amp;TableWeeklySummary[[#This Row],[Desde]],TableDailySummary[Fecha],"&lt;="&amp;TableWeeklySummary[[#This Row],[Hasta]])</f>
        <v>0</v>
      </c>
      <c r="L295" s="11">
        <f>SUMIFS(TableDailySummary[Online Store_net_sales],TableDailySummary[Fecha],"&gt;="&amp;TableWeeklySummary[[#This Row],[Desde]],TableDailySummary[Fecha],"&lt;="&amp;TableWeeklySummary[[#This Row],[Hasta]])</f>
        <v>0</v>
      </c>
      <c r="M295" s="11">
        <f>SUMIFS(TableDailySummary[Online Store_orders],TableDailySummary[Fecha],"&gt;="&amp;TableWeeklySummary[[#This Row],[Desde]],TableDailySummary[Fecha],"&lt;="&amp;TableWeeklySummary[[#This Row],[Hasta]])</f>
        <v>0</v>
      </c>
      <c r="N295" s="11">
        <f>SUMIFS(TableDailySummary[Tienda 81_net_sales],TableDailySummary[Fecha],"&gt;="&amp;TableWeeklySummary[[#This Row],[Desde]],TableDailySummary[Fecha],"&lt;="&amp;TableWeeklySummary[[#This Row],[Hasta]])</f>
        <v>0</v>
      </c>
      <c r="O295" s="11">
        <f>SUMIFS(TableDailySummary[Tienda 81_orders],TableDailySummary[Fecha],"&gt;="&amp;TableWeeklySummary[[#This Row],[Desde]],TableDailySummary[Fecha],"&lt;="&amp;TableWeeklySummary[[#This Row],[Hasta]])</f>
        <v>0</v>
      </c>
      <c r="P295" s="11">
        <f>SUMIFS(TableDailySummary[Rappi_net_sales],TableDailySummary[Fecha],"&gt;="&amp;TableWeeklySummary[[#This Row],[Desde]],TableDailySummary[Fecha],"&lt;="&amp;TableWeeklySummary[[#This Row],[Hasta]])</f>
        <v>0</v>
      </c>
      <c r="Q295" s="11">
        <f>SUMIFS(TableDailySummary[Rappi_orders],TableDailySummary[Fecha],"&gt;="&amp;TableWeeklySummary[[#This Row],[Desde]],TableDailySummary[Fecha],"&lt;="&amp;TableWeeklySummary[[#This Row],[Hasta]])</f>
        <v>0</v>
      </c>
      <c r="R29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5" s="11">
        <f>SUMIFS(TableDailySummary[Corporativo no tienda_orders],TableDailySummary[Fecha],"&gt;="&amp;TableWeeklySummary[[#This Row],[Desde]],TableDailySummary[Fecha],"&lt;="&amp;TableWeeklySummary[[#This Row],[Hasta]])</f>
        <v>0</v>
      </c>
      <c r="T295" s="11">
        <f>SUMIFS(TableDailySummary[Inversión google ads],TableDailySummary[Fecha],"&gt;="&amp;TableWeeklySummary[[#This Row],[Desde]],TableDailySummary[Fecha],"&lt;="&amp;TableWeeklySummary[[#This Row],[Hasta]])</f>
        <v>0</v>
      </c>
      <c r="U295" s="11">
        <f>SUMIFS(TableDailySummary[Ventas google ads],TableDailySummary[Fecha],"&gt;="&amp;TableWeeklySummary[[#This Row],[Desde]],TableDailySummary[Fecha],"&lt;="&amp;TableWeeklySummary[[#This Row],[Hasta]])</f>
        <v>0</v>
      </c>
      <c r="V295" s="11">
        <f>SUMIFS(TableDailySummary[Inversión meta ads],TableDailySummary[Fecha],"&gt;="&amp;TableWeeklySummary[[#This Row],[Desde]],TableDailySummary[Fecha],"&lt;="&amp;TableWeeklySummary[[#This Row],[Hasta]])</f>
        <v>0</v>
      </c>
      <c r="W295" s="11">
        <f>SUMIFS(TableDailySummary[Ventas meta ads],TableDailySummary[Fecha],"&gt;="&amp;TableWeeklySummary[[#This Row],[Desde]],TableDailySummary[Fecha],"&lt;="&amp;TableWeeklySummary[[#This Row],[Hasta]])</f>
        <v>0</v>
      </c>
      <c r="X295" s="11">
        <f>TableWeeklySummary[[#This Row],[Inversión google ads]]+TableWeeklySummary[[#This Row],[Inversión meta ads]]</f>
        <v>0</v>
      </c>
      <c r="Y295" s="11">
        <f>TableWeeklySummary[[#This Row],[Ventas google ads]]+TableWeeklySummary[[#This Row],[Ventas meta ads]]</f>
        <v>0</v>
      </c>
      <c r="Z295" s="14">
        <f>IFERROR(TableWeeklySummary[[#This Row],[Ventas publicidad]]/TableWeeklySummary[[#This Row],[Inversión publicidad]],0)</f>
        <v>0</v>
      </c>
      <c r="AA295" s="14">
        <f>IFERROR(TableWeeklySummary[[#This Row],[Ventas primer cliente]]/TableWeeklySummary[[#This Row],[Inversión publicidad]],0)</f>
        <v>0</v>
      </c>
      <c r="AB295" s="14"/>
      <c r="AC295" s="11"/>
      <c r="AI29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5" s="11">
        <f>SUMIFS(TableDailySummary[Costo de ventas registrado],TableDailySummary[Fecha],"&gt;="&amp;TableWeeklySummary[[#This Row],[Desde]],TableDailySummary[Fecha],"&lt;="&amp;TableWeeklySummary[[#This Row],[Hasta]])</f>
        <v>0</v>
      </c>
      <c r="AK295" s="11">
        <f>SUMIFS(TableDailySummary[Utilidad bruta],TableDailySummary[Fecha],"&gt;="&amp;TableWeeklySummary[[#This Row],[Desde]],TableDailySummary[Fecha],"&lt;="&amp;TableWeeklySummary[[#This Row],[Hasta]])</f>
        <v>0</v>
      </c>
      <c r="AL295" s="18">
        <f>IFERROR(TableWeeklySummary[[#This Row],[Utilidad bruta]]/TableWeeklySummary[[#This Row],[Ventas netas con costo registrado]],0)</f>
        <v>0</v>
      </c>
    </row>
    <row r="296" spans="2:38" x14ac:dyDescent="0.2">
      <c r="B296" s="16">
        <f>_xlfn.ISOWEEKNUM(TableWeeklySummary[[#This Row],[Hasta]])</f>
        <v>24</v>
      </c>
      <c r="C296" s="6">
        <f t="shared" si="6"/>
        <v>46549</v>
      </c>
      <c r="D296" s="6">
        <f>TableWeeklySummary[[#This Row],[Desde]]+7-1</f>
        <v>46555</v>
      </c>
      <c r="E296" s="11">
        <f>SUMIFS(TableDailySummary[Ventas netas totales],TableDailySummary[Fecha],"&gt;="&amp;TableWeeklySummary[[#This Row],[Desde]],TableDailySummary[Fecha],"&lt;="&amp;TableWeeklySummary[[#This Row],[Hasta]])</f>
        <v>0</v>
      </c>
      <c r="F296" s="11">
        <f>SUMIFS(TableDailySummary[Órdenes totales],TableDailySummary[Fecha],"&gt;="&amp;TableWeeklySummary[[#This Row],[Desde]],TableDailySummary[Fecha],"&lt;="&amp;TableWeeklySummary[[#This Row],[Hasta]])</f>
        <v>0</v>
      </c>
      <c r="G296" s="11">
        <f>IFERROR(TableWeeklySummary[[#This Row],[Ventas netas totales]]/TableWeeklySummary[[#This Row],[Órdenes totales]],0)</f>
        <v>0</v>
      </c>
      <c r="H29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6" s="11">
        <f>TableWeeklySummary[[#This Row],[Órden promedio totales]]*TableWeeklySummary[[#This Row],[CR totales]]</f>
        <v>0</v>
      </c>
      <c r="J296" s="11">
        <f>SUMIFS(TableDailySummary[Ventas primer cliente],TableDailySummary[Fecha],"&gt;="&amp;TableWeeklySummary[[#This Row],[Desde]],TableDailySummary[Fecha],"&lt;="&amp;TableWeeklySummary[[#This Row],[Hasta]])</f>
        <v>0</v>
      </c>
      <c r="K296" s="11">
        <f>SUMIFS(TableDailySummary[Órdenes primer cliente],TableDailySummary[Fecha],"&gt;="&amp;TableWeeklySummary[[#This Row],[Desde]],TableDailySummary[Fecha],"&lt;="&amp;TableWeeklySummary[[#This Row],[Hasta]])</f>
        <v>0</v>
      </c>
      <c r="L296" s="11">
        <f>SUMIFS(TableDailySummary[Online Store_net_sales],TableDailySummary[Fecha],"&gt;="&amp;TableWeeklySummary[[#This Row],[Desde]],TableDailySummary[Fecha],"&lt;="&amp;TableWeeklySummary[[#This Row],[Hasta]])</f>
        <v>0</v>
      </c>
      <c r="M296" s="11">
        <f>SUMIFS(TableDailySummary[Online Store_orders],TableDailySummary[Fecha],"&gt;="&amp;TableWeeklySummary[[#This Row],[Desde]],TableDailySummary[Fecha],"&lt;="&amp;TableWeeklySummary[[#This Row],[Hasta]])</f>
        <v>0</v>
      </c>
      <c r="N296" s="11">
        <f>SUMIFS(TableDailySummary[Tienda 81_net_sales],TableDailySummary[Fecha],"&gt;="&amp;TableWeeklySummary[[#This Row],[Desde]],TableDailySummary[Fecha],"&lt;="&amp;TableWeeklySummary[[#This Row],[Hasta]])</f>
        <v>0</v>
      </c>
      <c r="O296" s="11">
        <f>SUMIFS(TableDailySummary[Tienda 81_orders],TableDailySummary[Fecha],"&gt;="&amp;TableWeeklySummary[[#This Row],[Desde]],TableDailySummary[Fecha],"&lt;="&amp;TableWeeklySummary[[#This Row],[Hasta]])</f>
        <v>0</v>
      </c>
      <c r="P296" s="11">
        <f>SUMIFS(TableDailySummary[Rappi_net_sales],TableDailySummary[Fecha],"&gt;="&amp;TableWeeklySummary[[#This Row],[Desde]],TableDailySummary[Fecha],"&lt;="&amp;TableWeeklySummary[[#This Row],[Hasta]])</f>
        <v>0</v>
      </c>
      <c r="Q296" s="11">
        <f>SUMIFS(TableDailySummary[Rappi_orders],TableDailySummary[Fecha],"&gt;="&amp;TableWeeklySummary[[#This Row],[Desde]],TableDailySummary[Fecha],"&lt;="&amp;TableWeeklySummary[[#This Row],[Hasta]])</f>
        <v>0</v>
      </c>
      <c r="R29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6" s="11">
        <f>SUMIFS(TableDailySummary[Corporativo no tienda_orders],TableDailySummary[Fecha],"&gt;="&amp;TableWeeklySummary[[#This Row],[Desde]],TableDailySummary[Fecha],"&lt;="&amp;TableWeeklySummary[[#This Row],[Hasta]])</f>
        <v>0</v>
      </c>
      <c r="T296" s="11">
        <f>SUMIFS(TableDailySummary[Inversión google ads],TableDailySummary[Fecha],"&gt;="&amp;TableWeeklySummary[[#This Row],[Desde]],TableDailySummary[Fecha],"&lt;="&amp;TableWeeklySummary[[#This Row],[Hasta]])</f>
        <v>0</v>
      </c>
      <c r="U296" s="11">
        <f>SUMIFS(TableDailySummary[Ventas google ads],TableDailySummary[Fecha],"&gt;="&amp;TableWeeklySummary[[#This Row],[Desde]],TableDailySummary[Fecha],"&lt;="&amp;TableWeeklySummary[[#This Row],[Hasta]])</f>
        <v>0</v>
      </c>
      <c r="V296" s="11">
        <f>SUMIFS(TableDailySummary[Inversión meta ads],TableDailySummary[Fecha],"&gt;="&amp;TableWeeklySummary[[#This Row],[Desde]],TableDailySummary[Fecha],"&lt;="&amp;TableWeeklySummary[[#This Row],[Hasta]])</f>
        <v>0</v>
      </c>
      <c r="W296" s="11">
        <f>SUMIFS(TableDailySummary[Ventas meta ads],TableDailySummary[Fecha],"&gt;="&amp;TableWeeklySummary[[#This Row],[Desde]],TableDailySummary[Fecha],"&lt;="&amp;TableWeeklySummary[[#This Row],[Hasta]])</f>
        <v>0</v>
      </c>
      <c r="X296" s="11">
        <f>TableWeeklySummary[[#This Row],[Inversión google ads]]+TableWeeklySummary[[#This Row],[Inversión meta ads]]</f>
        <v>0</v>
      </c>
      <c r="Y296" s="11">
        <f>TableWeeklySummary[[#This Row],[Ventas google ads]]+TableWeeklySummary[[#This Row],[Ventas meta ads]]</f>
        <v>0</v>
      </c>
      <c r="Z296" s="14">
        <f>IFERROR(TableWeeklySummary[[#This Row],[Ventas publicidad]]/TableWeeklySummary[[#This Row],[Inversión publicidad]],0)</f>
        <v>0</v>
      </c>
      <c r="AA296" s="14">
        <f>IFERROR(TableWeeklySummary[[#This Row],[Ventas primer cliente]]/TableWeeklySummary[[#This Row],[Inversión publicidad]],0)</f>
        <v>0</v>
      </c>
      <c r="AB296" s="14"/>
      <c r="AC296" s="11"/>
      <c r="AI29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6" s="11">
        <f>SUMIFS(TableDailySummary[Costo de ventas registrado],TableDailySummary[Fecha],"&gt;="&amp;TableWeeklySummary[[#This Row],[Desde]],TableDailySummary[Fecha],"&lt;="&amp;TableWeeklySummary[[#This Row],[Hasta]])</f>
        <v>0</v>
      </c>
      <c r="AK296" s="11">
        <f>SUMIFS(TableDailySummary[Utilidad bruta],TableDailySummary[Fecha],"&gt;="&amp;TableWeeklySummary[[#This Row],[Desde]],TableDailySummary[Fecha],"&lt;="&amp;TableWeeklySummary[[#This Row],[Hasta]])</f>
        <v>0</v>
      </c>
      <c r="AL296" s="18">
        <f>IFERROR(TableWeeklySummary[[#This Row],[Utilidad bruta]]/TableWeeklySummary[[#This Row],[Ventas netas con costo registrado]],0)</f>
        <v>0</v>
      </c>
    </row>
    <row r="297" spans="2:38" x14ac:dyDescent="0.2">
      <c r="B297" s="16">
        <f>_xlfn.ISOWEEKNUM(TableWeeklySummary[[#This Row],[Hasta]])</f>
        <v>25</v>
      </c>
      <c r="C297" s="6">
        <f t="shared" si="6"/>
        <v>46556</v>
      </c>
      <c r="D297" s="6">
        <f>TableWeeklySummary[[#This Row],[Desde]]+7-1</f>
        <v>46562</v>
      </c>
      <c r="E297" s="11">
        <f>SUMIFS(TableDailySummary[Ventas netas totales],TableDailySummary[Fecha],"&gt;="&amp;TableWeeklySummary[[#This Row],[Desde]],TableDailySummary[Fecha],"&lt;="&amp;TableWeeklySummary[[#This Row],[Hasta]])</f>
        <v>0</v>
      </c>
      <c r="F297" s="11">
        <f>SUMIFS(TableDailySummary[Órdenes totales],TableDailySummary[Fecha],"&gt;="&amp;TableWeeklySummary[[#This Row],[Desde]],TableDailySummary[Fecha],"&lt;="&amp;TableWeeklySummary[[#This Row],[Hasta]])</f>
        <v>0</v>
      </c>
      <c r="G297" s="11">
        <f>IFERROR(TableWeeklySummary[[#This Row],[Ventas netas totales]]/TableWeeklySummary[[#This Row],[Órdenes totales]],0)</f>
        <v>0</v>
      </c>
      <c r="H29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7" s="11">
        <f>TableWeeklySummary[[#This Row],[Órden promedio totales]]*TableWeeklySummary[[#This Row],[CR totales]]</f>
        <v>0</v>
      </c>
      <c r="J297" s="11">
        <f>SUMIFS(TableDailySummary[Ventas primer cliente],TableDailySummary[Fecha],"&gt;="&amp;TableWeeklySummary[[#This Row],[Desde]],TableDailySummary[Fecha],"&lt;="&amp;TableWeeklySummary[[#This Row],[Hasta]])</f>
        <v>0</v>
      </c>
      <c r="K297" s="11">
        <f>SUMIFS(TableDailySummary[Órdenes primer cliente],TableDailySummary[Fecha],"&gt;="&amp;TableWeeklySummary[[#This Row],[Desde]],TableDailySummary[Fecha],"&lt;="&amp;TableWeeklySummary[[#This Row],[Hasta]])</f>
        <v>0</v>
      </c>
      <c r="L297" s="11">
        <f>SUMIFS(TableDailySummary[Online Store_net_sales],TableDailySummary[Fecha],"&gt;="&amp;TableWeeklySummary[[#This Row],[Desde]],TableDailySummary[Fecha],"&lt;="&amp;TableWeeklySummary[[#This Row],[Hasta]])</f>
        <v>0</v>
      </c>
      <c r="M297" s="11">
        <f>SUMIFS(TableDailySummary[Online Store_orders],TableDailySummary[Fecha],"&gt;="&amp;TableWeeklySummary[[#This Row],[Desde]],TableDailySummary[Fecha],"&lt;="&amp;TableWeeklySummary[[#This Row],[Hasta]])</f>
        <v>0</v>
      </c>
      <c r="N297" s="11">
        <f>SUMIFS(TableDailySummary[Tienda 81_net_sales],TableDailySummary[Fecha],"&gt;="&amp;TableWeeklySummary[[#This Row],[Desde]],TableDailySummary[Fecha],"&lt;="&amp;TableWeeklySummary[[#This Row],[Hasta]])</f>
        <v>0</v>
      </c>
      <c r="O297" s="11">
        <f>SUMIFS(TableDailySummary[Tienda 81_orders],TableDailySummary[Fecha],"&gt;="&amp;TableWeeklySummary[[#This Row],[Desde]],TableDailySummary[Fecha],"&lt;="&amp;TableWeeklySummary[[#This Row],[Hasta]])</f>
        <v>0</v>
      </c>
      <c r="P297" s="11">
        <f>SUMIFS(TableDailySummary[Rappi_net_sales],TableDailySummary[Fecha],"&gt;="&amp;TableWeeklySummary[[#This Row],[Desde]],TableDailySummary[Fecha],"&lt;="&amp;TableWeeklySummary[[#This Row],[Hasta]])</f>
        <v>0</v>
      </c>
      <c r="Q297" s="11">
        <f>SUMIFS(TableDailySummary[Rappi_orders],TableDailySummary[Fecha],"&gt;="&amp;TableWeeklySummary[[#This Row],[Desde]],TableDailySummary[Fecha],"&lt;="&amp;TableWeeklySummary[[#This Row],[Hasta]])</f>
        <v>0</v>
      </c>
      <c r="R29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7" s="11">
        <f>SUMIFS(TableDailySummary[Corporativo no tienda_orders],TableDailySummary[Fecha],"&gt;="&amp;TableWeeklySummary[[#This Row],[Desde]],TableDailySummary[Fecha],"&lt;="&amp;TableWeeklySummary[[#This Row],[Hasta]])</f>
        <v>0</v>
      </c>
      <c r="T297" s="11">
        <f>SUMIFS(TableDailySummary[Inversión google ads],TableDailySummary[Fecha],"&gt;="&amp;TableWeeklySummary[[#This Row],[Desde]],TableDailySummary[Fecha],"&lt;="&amp;TableWeeklySummary[[#This Row],[Hasta]])</f>
        <v>0</v>
      </c>
      <c r="U297" s="11">
        <f>SUMIFS(TableDailySummary[Ventas google ads],TableDailySummary[Fecha],"&gt;="&amp;TableWeeklySummary[[#This Row],[Desde]],TableDailySummary[Fecha],"&lt;="&amp;TableWeeklySummary[[#This Row],[Hasta]])</f>
        <v>0</v>
      </c>
      <c r="V297" s="11">
        <f>SUMIFS(TableDailySummary[Inversión meta ads],TableDailySummary[Fecha],"&gt;="&amp;TableWeeklySummary[[#This Row],[Desde]],TableDailySummary[Fecha],"&lt;="&amp;TableWeeklySummary[[#This Row],[Hasta]])</f>
        <v>0</v>
      </c>
      <c r="W297" s="11">
        <f>SUMIFS(TableDailySummary[Ventas meta ads],TableDailySummary[Fecha],"&gt;="&amp;TableWeeklySummary[[#This Row],[Desde]],TableDailySummary[Fecha],"&lt;="&amp;TableWeeklySummary[[#This Row],[Hasta]])</f>
        <v>0</v>
      </c>
      <c r="X297" s="11">
        <f>TableWeeklySummary[[#This Row],[Inversión google ads]]+TableWeeklySummary[[#This Row],[Inversión meta ads]]</f>
        <v>0</v>
      </c>
      <c r="Y297" s="11">
        <f>TableWeeklySummary[[#This Row],[Ventas google ads]]+TableWeeklySummary[[#This Row],[Ventas meta ads]]</f>
        <v>0</v>
      </c>
      <c r="Z297" s="14">
        <f>IFERROR(TableWeeklySummary[[#This Row],[Ventas publicidad]]/TableWeeklySummary[[#This Row],[Inversión publicidad]],0)</f>
        <v>0</v>
      </c>
      <c r="AA297" s="14">
        <f>IFERROR(TableWeeklySummary[[#This Row],[Ventas primer cliente]]/TableWeeklySummary[[#This Row],[Inversión publicidad]],0)</f>
        <v>0</v>
      </c>
      <c r="AB297" s="14"/>
      <c r="AC297" s="11"/>
      <c r="AI29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7" s="11">
        <f>SUMIFS(TableDailySummary[Costo de ventas registrado],TableDailySummary[Fecha],"&gt;="&amp;TableWeeklySummary[[#This Row],[Desde]],TableDailySummary[Fecha],"&lt;="&amp;TableWeeklySummary[[#This Row],[Hasta]])</f>
        <v>0</v>
      </c>
      <c r="AK297" s="11">
        <f>SUMIFS(TableDailySummary[Utilidad bruta],TableDailySummary[Fecha],"&gt;="&amp;TableWeeklySummary[[#This Row],[Desde]],TableDailySummary[Fecha],"&lt;="&amp;TableWeeklySummary[[#This Row],[Hasta]])</f>
        <v>0</v>
      </c>
      <c r="AL297" s="18">
        <f>IFERROR(TableWeeklySummary[[#This Row],[Utilidad bruta]]/TableWeeklySummary[[#This Row],[Ventas netas con costo registrado]],0)</f>
        <v>0</v>
      </c>
    </row>
    <row r="298" spans="2:38" x14ac:dyDescent="0.2">
      <c r="B298" s="16">
        <f>_xlfn.ISOWEEKNUM(TableWeeklySummary[[#This Row],[Hasta]])</f>
        <v>26</v>
      </c>
      <c r="C298" s="6">
        <f t="shared" si="6"/>
        <v>46563</v>
      </c>
      <c r="D298" s="6">
        <f>TableWeeklySummary[[#This Row],[Desde]]+7-1</f>
        <v>46569</v>
      </c>
      <c r="E298" s="11">
        <f>SUMIFS(TableDailySummary[Ventas netas totales],TableDailySummary[Fecha],"&gt;="&amp;TableWeeklySummary[[#This Row],[Desde]],TableDailySummary[Fecha],"&lt;="&amp;TableWeeklySummary[[#This Row],[Hasta]])</f>
        <v>0</v>
      </c>
      <c r="F298" s="11">
        <f>SUMIFS(TableDailySummary[Órdenes totales],TableDailySummary[Fecha],"&gt;="&amp;TableWeeklySummary[[#This Row],[Desde]],TableDailySummary[Fecha],"&lt;="&amp;TableWeeklySummary[[#This Row],[Hasta]])</f>
        <v>0</v>
      </c>
      <c r="G298" s="11">
        <f>IFERROR(TableWeeklySummary[[#This Row],[Ventas netas totales]]/TableWeeklySummary[[#This Row],[Órdenes totales]],0)</f>
        <v>0</v>
      </c>
      <c r="H29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8" s="11">
        <f>TableWeeklySummary[[#This Row],[Órden promedio totales]]*TableWeeklySummary[[#This Row],[CR totales]]</f>
        <v>0</v>
      </c>
      <c r="J298" s="11">
        <f>SUMIFS(TableDailySummary[Ventas primer cliente],TableDailySummary[Fecha],"&gt;="&amp;TableWeeklySummary[[#This Row],[Desde]],TableDailySummary[Fecha],"&lt;="&amp;TableWeeklySummary[[#This Row],[Hasta]])</f>
        <v>0</v>
      </c>
      <c r="K298" s="11">
        <f>SUMIFS(TableDailySummary[Órdenes primer cliente],TableDailySummary[Fecha],"&gt;="&amp;TableWeeklySummary[[#This Row],[Desde]],TableDailySummary[Fecha],"&lt;="&amp;TableWeeklySummary[[#This Row],[Hasta]])</f>
        <v>0</v>
      </c>
      <c r="L298" s="11">
        <f>SUMIFS(TableDailySummary[Online Store_net_sales],TableDailySummary[Fecha],"&gt;="&amp;TableWeeklySummary[[#This Row],[Desde]],TableDailySummary[Fecha],"&lt;="&amp;TableWeeklySummary[[#This Row],[Hasta]])</f>
        <v>0</v>
      </c>
      <c r="M298" s="11">
        <f>SUMIFS(TableDailySummary[Online Store_orders],TableDailySummary[Fecha],"&gt;="&amp;TableWeeklySummary[[#This Row],[Desde]],TableDailySummary[Fecha],"&lt;="&amp;TableWeeklySummary[[#This Row],[Hasta]])</f>
        <v>0</v>
      </c>
      <c r="N298" s="11">
        <f>SUMIFS(TableDailySummary[Tienda 81_net_sales],TableDailySummary[Fecha],"&gt;="&amp;TableWeeklySummary[[#This Row],[Desde]],TableDailySummary[Fecha],"&lt;="&amp;TableWeeklySummary[[#This Row],[Hasta]])</f>
        <v>0</v>
      </c>
      <c r="O298" s="11">
        <f>SUMIFS(TableDailySummary[Tienda 81_orders],TableDailySummary[Fecha],"&gt;="&amp;TableWeeklySummary[[#This Row],[Desde]],TableDailySummary[Fecha],"&lt;="&amp;TableWeeklySummary[[#This Row],[Hasta]])</f>
        <v>0</v>
      </c>
      <c r="P298" s="11">
        <f>SUMIFS(TableDailySummary[Rappi_net_sales],TableDailySummary[Fecha],"&gt;="&amp;TableWeeklySummary[[#This Row],[Desde]],TableDailySummary[Fecha],"&lt;="&amp;TableWeeklySummary[[#This Row],[Hasta]])</f>
        <v>0</v>
      </c>
      <c r="Q298" s="11">
        <f>SUMIFS(TableDailySummary[Rappi_orders],TableDailySummary[Fecha],"&gt;="&amp;TableWeeklySummary[[#This Row],[Desde]],TableDailySummary[Fecha],"&lt;="&amp;TableWeeklySummary[[#This Row],[Hasta]])</f>
        <v>0</v>
      </c>
      <c r="R29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8" s="11">
        <f>SUMIFS(TableDailySummary[Corporativo no tienda_orders],TableDailySummary[Fecha],"&gt;="&amp;TableWeeklySummary[[#This Row],[Desde]],TableDailySummary[Fecha],"&lt;="&amp;TableWeeklySummary[[#This Row],[Hasta]])</f>
        <v>0</v>
      </c>
      <c r="T298" s="11">
        <f>SUMIFS(TableDailySummary[Inversión google ads],TableDailySummary[Fecha],"&gt;="&amp;TableWeeklySummary[[#This Row],[Desde]],TableDailySummary[Fecha],"&lt;="&amp;TableWeeklySummary[[#This Row],[Hasta]])</f>
        <v>0</v>
      </c>
      <c r="U298" s="11">
        <f>SUMIFS(TableDailySummary[Ventas google ads],TableDailySummary[Fecha],"&gt;="&amp;TableWeeklySummary[[#This Row],[Desde]],TableDailySummary[Fecha],"&lt;="&amp;TableWeeklySummary[[#This Row],[Hasta]])</f>
        <v>0</v>
      </c>
      <c r="V298" s="11">
        <f>SUMIFS(TableDailySummary[Inversión meta ads],TableDailySummary[Fecha],"&gt;="&amp;TableWeeklySummary[[#This Row],[Desde]],TableDailySummary[Fecha],"&lt;="&amp;TableWeeklySummary[[#This Row],[Hasta]])</f>
        <v>0</v>
      </c>
      <c r="W298" s="11">
        <f>SUMIFS(TableDailySummary[Ventas meta ads],TableDailySummary[Fecha],"&gt;="&amp;TableWeeklySummary[[#This Row],[Desde]],TableDailySummary[Fecha],"&lt;="&amp;TableWeeklySummary[[#This Row],[Hasta]])</f>
        <v>0</v>
      </c>
      <c r="X298" s="11">
        <f>TableWeeklySummary[[#This Row],[Inversión google ads]]+TableWeeklySummary[[#This Row],[Inversión meta ads]]</f>
        <v>0</v>
      </c>
      <c r="Y298" s="11">
        <f>TableWeeklySummary[[#This Row],[Ventas google ads]]+TableWeeklySummary[[#This Row],[Ventas meta ads]]</f>
        <v>0</v>
      </c>
      <c r="Z298" s="14">
        <f>IFERROR(TableWeeklySummary[[#This Row],[Ventas publicidad]]/TableWeeklySummary[[#This Row],[Inversión publicidad]],0)</f>
        <v>0</v>
      </c>
      <c r="AA298" s="14">
        <f>IFERROR(TableWeeklySummary[[#This Row],[Ventas primer cliente]]/TableWeeklySummary[[#This Row],[Inversión publicidad]],0)</f>
        <v>0</v>
      </c>
      <c r="AB298" s="14"/>
      <c r="AC298" s="11"/>
      <c r="AI29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8" s="11">
        <f>SUMIFS(TableDailySummary[Costo de ventas registrado],TableDailySummary[Fecha],"&gt;="&amp;TableWeeklySummary[[#This Row],[Desde]],TableDailySummary[Fecha],"&lt;="&amp;TableWeeklySummary[[#This Row],[Hasta]])</f>
        <v>0</v>
      </c>
      <c r="AK298" s="11">
        <f>SUMIFS(TableDailySummary[Utilidad bruta],TableDailySummary[Fecha],"&gt;="&amp;TableWeeklySummary[[#This Row],[Desde]],TableDailySummary[Fecha],"&lt;="&amp;TableWeeklySummary[[#This Row],[Hasta]])</f>
        <v>0</v>
      </c>
      <c r="AL298" s="18">
        <f>IFERROR(TableWeeklySummary[[#This Row],[Utilidad bruta]]/TableWeeklySummary[[#This Row],[Ventas netas con costo registrado]],0)</f>
        <v>0</v>
      </c>
    </row>
    <row r="299" spans="2:38" x14ac:dyDescent="0.2">
      <c r="B299" s="16">
        <f>_xlfn.ISOWEEKNUM(TableWeeklySummary[[#This Row],[Hasta]])</f>
        <v>27</v>
      </c>
      <c r="C299" s="6">
        <f t="shared" si="6"/>
        <v>46570</v>
      </c>
      <c r="D299" s="6">
        <f>TableWeeklySummary[[#This Row],[Desde]]+7-1</f>
        <v>46576</v>
      </c>
      <c r="E299" s="11">
        <f>SUMIFS(TableDailySummary[Ventas netas totales],TableDailySummary[Fecha],"&gt;="&amp;TableWeeklySummary[[#This Row],[Desde]],TableDailySummary[Fecha],"&lt;="&amp;TableWeeklySummary[[#This Row],[Hasta]])</f>
        <v>0</v>
      </c>
      <c r="F299" s="11">
        <f>SUMIFS(TableDailySummary[Órdenes totales],TableDailySummary[Fecha],"&gt;="&amp;TableWeeklySummary[[#This Row],[Desde]],TableDailySummary[Fecha],"&lt;="&amp;TableWeeklySummary[[#This Row],[Hasta]])</f>
        <v>0</v>
      </c>
      <c r="G299" s="11">
        <f>IFERROR(TableWeeklySummary[[#This Row],[Ventas netas totales]]/TableWeeklySummary[[#This Row],[Órdenes totales]],0)</f>
        <v>0</v>
      </c>
      <c r="H29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299" s="11">
        <f>TableWeeklySummary[[#This Row],[Órden promedio totales]]*TableWeeklySummary[[#This Row],[CR totales]]</f>
        <v>0</v>
      </c>
      <c r="J299" s="11">
        <f>SUMIFS(TableDailySummary[Ventas primer cliente],TableDailySummary[Fecha],"&gt;="&amp;TableWeeklySummary[[#This Row],[Desde]],TableDailySummary[Fecha],"&lt;="&amp;TableWeeklySummary[[#This Row],[Hasta]])</f>
        <v>0</v>
      </c>
      <c r="K299" s="11">
        <f>SUMIFS(TableDailySummary[Órdenes primer cliente],TableDailySummary[Fecha],"&gt;="&amp;TableWeeklySummary[[#This Row],[Desde]],TableDailySummary[Fecha],"&lt;="&amp;TableWeeklySummary[[#This Row],[Hasta]])</f>
        <v>0</v>
      </c>
      <c r="L299" s="11">
        <f>SUMIFS(TableDailySummary[Online Store_net_sales],TableDailySummary[Fecha],"&gt;="&amp;TableWeeklySummary[[#This Row],[Desde]],TableDailySummary[Fecha],"&lt;="&amp;TableWeeklySummary[[#This Row],[Hasta]])</f>
        <v>0</v>
      </c>
      <c r="M299" s="11">
        <f>SUMIFS(TableDailySummary[Online Store_orders],TableDailySummary[Fecha],"&gt;="&amp;TableWeeklySummary[[#This Row],[Desde]],TableDailySummary[Fecha],"&lt;="&amp;TableWeeklySummary[[#This Row],[Hasta]])</f>
        <v>0</v>
      </c>
      <c r="N299" s="11">
        <f>SUMIFS(TableDailySummary[Tienda 81_net_sales],TableDailySummary[Fecha],"&gt;="&amp;TableWeeklySummary[[#This Row],[Desde]],TableDailySummary[Fecha],"&lt;="&amp;TableWeeklySummary[[#This Row],[Hasta]])</f>
        <v>0</v>
      </c>
      <c r="O299" s="11">
        <f>SUMIFS(TableDailySummary[Tienda 81_orders],TableDailySummary[Fecha],"&gt;="&amp;TableWeeklySummary[[#This Row],[Desde]],TableDailySummary[Fecha],"&lt;="&amp;TableWeeklySummary[[#This Row],[Hasta]])</f>
        <v>0</v>
      </c>
      <c r="P299" s="11">
        <f>SUMIFS(TableDailySummary[Rappi_net_sales],TableDailySummary[Fecha],"&gt;="&amp;TableWeeklySummary[[#This Row],[Desde]],TableDailySummary[Fecha],"&lt;="&amp;TableWeeklySummary[[#This Row],[Hasta]])</f>
        <v>0</v>
      </c>
      <c r="Q299" s="11">
        <f>SUMIFS(TableDailySummary[Rappi_orders],TableDailySummary[Fecha],"&gt;="&amp;TableWeeklySummary[[#This Row],[Desde]],TableDailySummary[Fecha],"&lt;="&amp;TableWeeklySummary[[#This Row],[Hasta]])</f>
        <v>0</v>
      </c>
      <c r="R29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299" s="11">
        <f>SUMIFS(TableDailySummary[Corporativo no tienda_orders],TableDailySummary[Fecha],"&gt;="&amp;TableWeeklySummary[[#This Row],[Desde]],TableDailySummary[Fecha],"&lt;="&amp;TableWeeklySummary[[#This Row],[Hasta]])</f>
        <v>0</v>
      </c>
      <c r="T299" s="11">
        <f>SUMIFS(TableDailySummary[Inversión google ads],TableDailySummary[Fecha],"&gt;="&amp;TableWeeklySummary[[#This Row],[Desde]],TableDailySummary[Fecha],"&lt;="&amp;TableWeeklySummary[[#This Row],[Hasta]])</f>
        <v>0</v>
      </c>
      <c r="U299" s="11">
        <f>SUMIFS(TableDailySummary[Ventas google ads],TableDailySummary[Fecha],"&gt;="&amp;TableWeeklySummary[[#This Row],[Desde]],TableDailySummary[Fecha],"&lt;="&amp;TableWeeklySummary[[#This Row],[Hasta]])</f>
        <v>0</v>
      </c>
      <c r="V299" s="11">
        <f>SUMIFS(TableDailySummary[Inversión meta ads],TableDailySummary[Fecha],"&gt;="&amp;TableWeeklySummary[[#This Row],[Desde]],TableDailySummary[Fecha],"&lt;="&amp;TableWeeklySummary[[#This Row],[Hasta]])</f>
        <v>0</v>
      </c>
      <c r="W299" s="11">
        <f>SUMIFS(TableDailySummary[Ventas meta ads],TableDailySummary[Fecha],"&gt;="&amp;TableWeeklySummary[[#This Row],[Desde]],TableDailySummary[Fecha],"&lt;="&amp;TableWeeklySummary[[#This Row],[Hasta]])</f>
        <v>0</v>
      </c>
      <c r="X299" s="11">
        <f>TableWeeklySummary[[#This Row],[Inversión google ads]]+TableWeeklySummary[[#This Row],[Inversión meta ads]]</f>
        <v>0</v>
      </c>
      <c r="Y299" s="11">
        <f>TableWeeklySummary[[#This Row],[Ventas google ads]]+TableWeeklySummary[[#This Row],[Ventas meta ads]]</f>
        <v>0</v>
      </c>
      <c r="Z299" s="14">
        <f>IFERROR(TableWeeklySummary[[#This Row],[Ventas publicidad]]/TableWeeklySummary[[#This Row],[Inversión publicidad]],0)</f>
        <v>0</v>
      </c>
      <c r="AA299" s="14">
        <f>IFERROR(TableWeeklySummary[[#This Row],[Ventas primer cliente]]/TableWeeklySummary[[#This Row],[Inversión publicidad]],0)</f>
        <v>0</v>
      </c>
      <c r="AB299" s="14"/>
      <c r="AC299" s="11"/>
      <c r="AI29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299" s="11">
        <f>SUMIFS(TableDailySummary[Costo de ventas registrado],TableDailySummary[Fecha],"&gt;="&amp;TableWeeklySummary[[#This Row],[Desde]],TableDailySummary[Fecha],"&lt;="&amp;TableWeeklySummary[[#This Row],[Hasta]])</f>
        <v>0</v>
      </c>
      <c r="AK299" s="11">
        <f>SUMIFS(TableDailySummary[Utilidad bruta],TableDailySummary[Fecha],"&gt;="&amp;TableWeeklySummary[[#This Row],[Desde]],TableDailySummary[Fecha],"&lt;="&amp;TableWeeklySummary[[#This Row],[Hasta]])</f>
        <v>0</v>
      </c>
      <c r="AL299" s="18">
        <f>IFERROR(TableWeeklySummary[[#This Row],[Utilidad bruta]]/TableWeeklySummary[[#This Row],[Ventas netas con costo registrado]],0)</f>
        <v>0</v>
      </c>
    </row>
    <row r="300" spans="2:38" x14ac:dyDescent="0.2">
      <c r="B300" s="16">
        <f>_xlfn.ISOWEEKNUM(TableWeeklySummary[[#This Row],[Hasta]])</f>
        <v>28</v>
      </c>
      <c r="C300" s="6">
        <f t="shared" si="6"/>
        <v>46577</v>
      </c>
      <c r="D300" s="6">
        <f>TableWeeklySummary[[#This Row],[Desde]]+7-1</f>
        <v>46583</v>
      </c>
      <c r="E300" s="11">
        <f>SUMIFS(TableDailySummary[Ventas netas totales],TableDailySummary[Fecha],"&gt;="&amp;TableWeeklySummary[[#This Row],[Desde]],TableDailySummary[Fecha],"&lt;="&amp;TableWeeklySummary[[#This Row],[Hasta]])</f>
        <v>0</v>
      </c>
      <c r="F300" s="11">
        <f>SUMIFS(TableDailySummary[Órdenes totales],TableDailySummary[Fecha],"&gt;="&amp;TableWeeklySummary[[#This Row],[Desde]],TableDailySummary[Fecha],"&lt;="&amp;TableWeeklySummary[[#This Row],[Hasta]])</f>
        <v>0</v>
      </c>
      <c r="G300" s="11">
        <f>IFERROR(TableWeeklySummary[[#This Row],[Ventas netas totales]]/TableWeeklySummary[[#This Row],[Órdenes totales]],0)</f>
        <v>0</v>
      </c>
      <c r="H30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0" s="11">
        <f>TableWeeklySummary[[#This Row],[Órden promedio totales]]*TableWeeklySummary[[#This Row],[CR totales]]</f>
        <v>0</v>
      </c>
      <c r="J300" s="11">
        <f>SUMIFS(TableDailySummary[Ventas primer cliente],TableDailySummary[Fecha],"&gt;="&amp;TableWeeklySummary[[#This Row],[Desde]],TableDailySummary[Fecha],"&lt;="&amp;TableWeeklySummary[[#This Row],[Hasta]])</f>
        <v>0</v>
      </c>
      <c r="K300" s="11">
        <f>SUMIFS(TableDailySummary[Órdenes primer cliente],TableDailySummary[Fecha],"&gt;="&amp;TableWeeklySummary[[#This Row],[Desde]],TableDailySummary[Fecha],"&lt;="&amp;TableWeeklySummary[[#This Row],[Hasta]])</f>
        <v>0</v>
      </c>
      <c r="L300" s="11">
        <f>SUMIFS(TableDailySummary[Online Store_net_sales],TableDailySummary[Fecha],"&gt;="&amp;TableWeeklySummary[[#This Row],[Desde]],TableDailySummary[Fecha],"&lt;="&amp;TableWeeklySummary[[#This Row],[Hasta]])</f>
        <v>0</v>
      </c>
      <c r="M300" s="11">
        <f>SUMIFS(TableDailySummary[Online Store_orders],TableDailySummary[Fecha],"&gt;="&amp;TableWeeklySummary[[#This Row],[Desde]],TableDailySummary[Fecha],"&lt;="&amp;TableWeeklySummary[[#This Row],[Hasta]])</f>
        <v>0</v>
      </c>
      <c r="N300" s="11">
        <f>SUMIFS(TableDailySummary[Tienda 81_net_sales],TableDailySummary[Fecha],"&gt;="&amp;TableWeeklySummary[[#This Row],[Desde]],TableDailySummary[Fecha],"&lt;="&amp;TableWeeklySummary[[#This Row],[Hasta]])</f>
        <v>0</v>
      </c>
      <c r="O300" s="11">
        <f>SUMIFS(TableDailySummary[Tienda 81_orders],TableDailySummary[Fecha],"&gt;="&amp;TableWeeklySummary[[#This Row],[Desde]],TableDailySummary[Fecha],"&lt;="&amp;TableWeeklySummary[[#This Row],[Hasta]])</f>
        <v>0</v>
      </c>
      <c r="P300" s="11">
        <f>SUMIFS(TableDailySummary[Rappi_net_sales],TableDailySummary[Fecha],"&gt;="&amp;TableWeeklySummary[[#This Row],[Desde]],TableDailySummary[Fecha],"&lt;="&amp;TableWeeklySummary[[#This Row],[Hasta]])</f>
        <v>0</v>
      </c>
      <c r="Q300" s="11">
        <f>SUMIFS(TableDailySummary[Rappi_orders],TableDailySummary[Fecha],"&gt;="&amp;TableWeeklySummary[[#This Row],[Desde]],TableDailySummary[Fecha],"&lt;="&amp;TableWeeklySummary[[#This Row],[Hasta]])</f>
        <v>0</v>
      </c>
      <c r="R30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0" s="11">
        <f>SUMIFS(TableDailySummary[Corporativo no tienda_orders],TableDailySummary[Fecha],"&gt;="&amp;TableWeeklySummary[[#This Row],[Desde]],TableDailySummary[Fecha],"&lt;="&amp;TableWeeklySummary[[#This Row],[Hasta]])</f>
        <v>0</v>
      </c>
      <c r="T300" s="11">
        <f>SUMIFS(TableDailySummary[Inversión google ads],TableDailySummary[Fecha],"&gt;="&amp;TableWeeklySummary[[#This Row],[Desde]],TableDailySummary[Fecha],"&lt;="&amp;TableWeeklySummary[[#This Row],[Hasta]])</f>
        <v>0</v>
      </c>
      <c r="U300" s="11">
        <f>SUMIFS(TableDailySummary[Ventas google ads],TableDailySummary[Fecha],"&gt;="&amp;TableWeeklySummary[[#This Row],[Desde]],TableDailySummary[Fecha],"&lt;="&amp;TableWeeklySummary[[#This Row],[Hasta]])</f>
        <v>0</v>
      </c>
      <c r="V300" s="11">
        <f>SUMIFS(TableDailySummary[Inversión meta ads],TableDailySummary[Fecha],"&gt;="&amp;TableWeeklySummary[[#This Row],[Desde]],TableDailySummary[Fecha],"&lt;="&amp;TableWeeklySummary[[#This Row],[Hasta]])</f>
        <v>0</v>
      </c>
      <c r="W300" s="11">
        <f>SUMIFS(TableDailySummary[Ventas meta ads],TableDailySummary[Fecha],"&gt;="&amp;TableWeeklySummary[[#This Row],[Desde]],TableDailySummary[Fecha],"&lt;="&amp;TableWeeklySummary[[#This Row],[Hasta]])</f>
        <v>0</v>
      </c>
      <c r="X300" s="11">
        <f>TableWeeklySummary[[#This Row],[Inversión google ads]]+TableWeeklySummary[[#This Row],[Inversión meta ads]]</f>
        <v>0</v>
      </c>
      <c r="Y300" s="11">
        <f>TableWeeklySummary[[#This Row],[Ventas google ads]]+TableWeeklySummary[[#This Row],[Ventas meta ads]]</f>
        <v>0</v>
      </c>
      <c r="Z300" s="14">
        <f>IFERROR(TableWeeklySummary[[#This Row],[Ventas publicidad]]/TableWeeklySummary[[#This Row],[Inversión publicidad]],0)</f>
        <v>0</v>
      </c>
      <c r="AA300" s="14">
        <f>IFERROR(TableWeeklySummary[[#This Row],[Ventas primer cliente]]/TableWeeklySummary[[#This Row],[Inversión publicidad]],0)</f>
        <v>0</v>
      </c>
      <c r="AB300" s="14"/>
      <c r="AC300" s="11"/>
      <c r="AI30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0" s="11">
        <f>SUMIFS(TableDailySummary[Costo de ventas registrado],TableDailySummary[Fecha],"&gt;="&amp;TableWeeklySummary[[#This Row],[Desde]],TableDailySummary[Fecha],"&lt;="&amp;TableWeeklySummary[[#This Row],[Hasta]])</f>
        <v>0</v>
      </c>
      <c r="AK300" s="11">
        <f>SUMIFS(TableDailySummary[Utilidad bruta],TableDailySummary[Fecha],"&gt;="&amp;TableWeeklySummary[[#This Row],[Desde]],TableDailySummary[Fecha],"&lt;="&amp;TableWeeklySummary[[#This Row],[Hasta]])</f>
        <v>0</v>
      </c>
      <c r="AL300" s="18">
        <f>IFERROR(TableWeeklySummary[[#This Row],[Utilidad bruta]]/TableWeeklySummary[[#This Row],[Ventas netas con costo registrado]],0)</f>
        <v>0</v>
      </c>
    </row>
    <row r="301" spans="2:38" x14ac:dyDescent="0.2">
      <c r="B301" s="16">
        <f>_xlfn.ISOWEEKNUM(TableWeeklySummary[[#This Row],[Hasta]])</f>
        <v>29</v>
      </c>
      <c r="C301" s="6">
        <f t="shared" si="6"/>
        <v>46584</v>
      </c>
      <c r="D301" s="6">
        <f>TableWeeklySummary[[#This Row],[Desde]]+7-1</f>
        <v>46590</v>
      </c>
      <c r="E301" s="11">
        <f>SUMIFS(TableDailySummary[Ventas netas totales],TableDailySummary[Fecha],"&gt;="&amp;TableWeeklySummary[[#This Row],[Desde]],TableDailySummary[Fecha],"&lt;="&amp;TableWeeklySummary[[#This Row],[Hasta]])</f>
        <v>0</v>
      </c>
      <c r="F301" s="11">
        <f>SUMIFS(TableDailySummary[Órdenes totales],TableDailySummary[Fecha],"&gt;="&amp;TableWeeklySummary[[#This Row],[Desde]],TableDailySummary[Fecha],"&lt;="&amp;TableWeeklySummary[[#This Row],[Hasta]])</f>
        <v>0</v>
      </c>
      <c r="G301" s="11">
        <f>IFERROR(TableWeeklySummary[[#This Row],[Ventas netas totales]]/TableWeeklySummary[[#This Row],[Órdenes totales]],0)</f>
        <v>0</v>
      </c>
      <c r="H30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1" s="11">
        <f>TableWeeklySummary[[#This Row],[Órden promedio totales]]*TableWeeklySummary[[#This Row],[CR totales]]</f>
        <v>0</v>
      </c>
      <c r="J301" s="11">
        <f>SUMIFS(TableDailySummary[Ventas primer cliente],TableDailySummary[Fecha],"&gt;="&amp;TableWeeklySummary[[#This Row],[Desde]],TableDailySummary[Fecha],"&lt;="&amp;TableWeeklySummary[[#This Row],[Hasta]])</f>
        <v>0</v>
      </c>
      <c r="K301" s="11">
        <f>SUMIFS(TableDailySummary[Órdenes primer cliente],TableDailySummary[Fecha],"&gt;="&amp;TableWeeklySummary[[#This Row],[Desde]],TableDailySummary[Fecha],"&lt;="&amp;TableWeeklySummary[[#This Row],[Hasta]])</f>
        <v>0</v>
      </c>
      <c r="L301" s="11">
        <f>SUMIFS(TableDailySummary[Online Store_net_sales],TableDailySummary[Fecha],"&gt;="&amp;TableWeeklySummary[[#This Row],[Desde]],TableDailySummary[Fecha],"&lt;="&amp;TableWeeklySummary[[#This Row],[Hasta]])</f>
        <v>0</v>
      </c>
      <c r="M301" s="11">
        <f>SUMIFS(TableDailySummary[Online Store_orders],TableDailySummary[Fecha],"&gt;="&amp;TableWeeklySummary[[#This Row],[Desde]],TableDailySummary[Fecha],"&lt;="&amp;TableWeeklySummary[[#This Row],[Hasta]])</f>
        <v>0</v>
      </c>
      <c r="N301" s="11">
        <f>SUMIFS(TableDailySummary[Tienda 81_net_sales],TableDailySummary[Fecha],"&gt;="&amp;TableWeeklySummary[[#This Row],[Desde]],TableDailySummary[Fecha],"&lt;="&amp;TableWeeklySummary[[#This Row],[Hasta]])</f>
        <v>0</v>
      </c>
      <c r="O301" s="11">
        <f>SUMIFS(TableDailySummary[Tienda 81_orders],TableDailySummary[Fecha],"&gt;="&amp;TableWeeklySummary[[#This Row],[Desde]],TableDailySummary[Fecha],"&lt;="&amp;TableWeeklySummary[[#This Row],[Hasta]])</f>
        <v>0</v>
      </c>
      <c r="P301" s="11">
        <f>SUMIFS(TableDailySummary[Rappi_net_sales],TableDailySummary[Fecha],"&gt;="&amp;TableWeeklySummary[[#This Row],[Desde]],TableDailySummary[Fecha],"&lt;="&amp;TableWeeklySummary[[#This Row],[Hasta]])</f>
        <v>0</v>
      </c>
      <c r="Q301" s="11">
        <f>SUMIFS(TableDailySummary[Rappi_orders],TableDailySummary[Fecha],"&gt;="&amp;TableWeeklySummary[[#This Row],[Desde]],TableDailySummary[Fecha],"&lt;="&amp;TableWeeklySummary[[#This Row],[Hasta]])</f>
        <v>0</v>
      </c>
      <c r="R30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1" s="11">
        <f>SUMIFS(TableDailySummary[Corporativo no tienda_orders],TableDailySummary[Fecha],"&gt;="&amp;TableWeeklySummary[[#This Row],[Desde]],TableDailySummary[Fecha],"&lt;="&amp;TableWeeklySummary[[#This Row],[Hasta]])</f>
        <v>0</v>
      </c>
      <c r="T301" s="11">
        <f>SUMIFS(TableDailySummary[Inversión google ads],TableDailySummary[Fecha],"&gt;="&amp;TableWeeklySummary[[#This Row],[Desde]],TableDailySummary[Fecha],"&lt;="&amp;TableWeeklySummary[[#This Row],[Hasta]])</f>
        <v>0</v>
      </c>
      <c r="U301" s="11">
        <f>SUMIFS(TableDailySummary[Ventas google ads],TableDailySummary[Fecha],"&gt;="&amp;TableWeeklySummary[[#This Row],[Desde]],TableDailySummary[Fecha],"&lt;="&amp;TableWeeklySummary[[#This Row],[Hasta]])</f>
        <v>0</v>
      </c>
      <c r="V301" s="11">
        <f>SUMIFS(TableDailySummary[Inversión meta ads],TableDailySummary[Fecha],"&gt;="&amp;TableWeeklySummary[[#This Row],[Desde]],TableDailySummary[Fecha],"&lt;="&amp;TableWeeklySummary[[#This Row],[Hasta]])</f>
        <v>0</v>
      </c>
      <c r="W301" s="11">
        <f>SUMIFS(TableDailySummary[Ventas meta ads],TableDailySummary[Fecha],"&gt;="&amp;TableWeeklySummary[[#This Row],[Desde]],TableDailySummary[Fecha],"&lt;="&amp;TableWeeklySummary[[#This Row],[Hasta]])</f>
        <v>0</v>
      </c>
      <c r="X301" s="11">
        <f>TableWeeklySummary[[#This Row],[Inversión google ads]]+TableWeeklySummary[[#This Row],[Inversión meta ads]]</f>
        <v>0</v>
      </c>
      <c r="Y301" s="11">
        <f>TableWeeklySummary[[#This Row],[Ventas google ads]]+TableWeeklySummary[[#This Row],[Ventas meta ads]]</f>
        <v>0</v>
      </c>
      <c r="Z301" s="14">
        <f>IFERROR(TableWeeklySummary[[#This Row],[Ventas publicidad]]/TableWeeklySummary[[#This Row],[Inversión publicidad]],0)</f>
        <v>0</v>
      </c>
      <c r="AA301" s="14">
        <f>IFERROR(TableWeeklySummary[[#This Row],[Ventas primer cliente]]/TableWeeklySummary[[#This Row],[Inversión publicidad]],0)</f>
        <v>0</v>
      </c>
      <c r="AB301" s="14"/>
      <c r="AC301" s="11"/>
      <c r="AI30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1" s="11">
        <f>SUMIFS(TableDailySummary[Costo de ventas registrado],TableDailySummary[Fecha],"&gt;="&amp;TableWeeklySummary[[#This Row],[Desde]],TableDailySummary[Fecha],"&lt;="&amp;TableWeeklySummary[[#This Row],[Hasta]])</f>
        <v>0</v>
      </c>
      <c r="AK301" s="11">
        <f>SUMIFS(TableDailySummary[Utilidad bruta],TableDailySummary[Fecha],"&gt;="&amp;TableWeeklySummary[[#This Row],[Desde]],TableDailySummary[Fecha],"&lt;="&amp;TableWeeklySummary[[#This Row],[Hasta]])</f>
        <v>0</v>
      </c>
      <c r="AL301" s="18">
        <f>IFERROR(TableWeeklySummary[[#This Row],[Utilidad bruta]]/TableWeeklySummary[[#This Row],[Ventas netas con costo registrado]],0)</f>
        <v>0</v>
      </c>
    </row>
    <row r="302" spans="2:38" x14ac:dyDescent="0.2">
      <c r="B302" s="16">
        <f>_xlfn.ISOWEEKNUM(TableWeeklySummary[[#This Row],[Hasta]])</f>
        <v>30</v>
      </c>
      <c r="C302" s="6">
        <f t="shared" si="6"/>
        <v>46591</v>
      </c>
      <c r="D302" s="6">
        <f>TableWeeklySummary[[#This Row],[Desde]]+7-1</f>
        <v>46597</v>
      </c>
      <c r="E302" s="11">
        <f>SUMIFS(TableDailySummary[Ventas netas totales],TableDailySummary[Fecha],"&gt;="&amp;TableWeeklySummary[[#This Row],[Desde]],TableDailySummary[Fecha],"&lt;="&amp;TableWeeklySummary[[#This Row],[Hasta]])</f>
        <v>0</v>
      </c>
      <c r="F302" s="11">
        <f>SUMIFS(TableDailySummary[Órdenes totales],TableDailySummary[Fecha],"&gt;="&amp;TableWeeklySummary[[#This Row],[Desde]],TableDailySummary[Fecha],"&lt;="&amp;TableWeeklySummary[[#This Row],[Hasta]])</f>
        <v>0</v>
      </c>
      <c r="G302" s="11">
        <f>IFERROR(TableWeeklySummary[[#This Row],[Ventas netas totales]]/TableWeeklySummary[[#This Row],[Órdenes totales]],0)</f>
        <v>0</v>
      </c>
      <c r="H30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2" s="11">
        <f>TableWeeklySummary[[#This Row],[Órden promedio totales]]*TableWeeklySummary[[#This Row],[CR totales]]</f>
        <v>0</v>
      </c>
      <c r="J302" s="11">
        <f>SUMIFS(TableDailySummary[Ventas primer cliente],TableDailySummary[Fecha],"&gt;="&amp;TableWeeklySummary[[#This Row],[Desde]],TableDailySummary[Fecha],"&lt;="&amp;TableWeeklySummary[[#This Row],[Hasta]])</f>
        <v>0</v>
      </c>
      <c r="K302" s="11">
        <f>SUMIFS(TableDailySummary[Órdenes primer cliente],TableDailySummary[Fecha],"&gt;="&amp;TableWeeklySummary[[#This Row],[Desde]],TableDailySummary[Fecha],"&lt;="&amp;TableWeeklySummary[[#This Row],[Hasta]])</f>
        <v>0</v>
      </c>
      <c r="L302" s="11">
        <f>SUMIFS(TableDailySummary[Online Store_net_sales],TableDailySummary[Fecha],"&gt;="&amp;TableWeeklySummary[[#This Row],[Desde]],TableDailySummary[Fecha],"&lt;="&amp;TableWeeklySummary[[#This Row],[Hasta]])</f>
        <v>0</v>
      </c>
      <c r="M302" s="11">
        <f>SUMIFS(TableDailySummary[Online Store_orders],TableDailySummary[Fecha],"&gt;="&amp;TableWeeklySummary[[#This Row],[Desde]],TableDailySummary[Fecha],"&lt;="&amp;TableWeeklySummary[[#This Row],[Hasta]])</f>
        <v>0</v>
      </c>
      <c r="N302" s="11">
        <f>SUMIFS(TableDailySummary[Tienda 81_net_sales],TableDailySummary[Fecha],"&gt;="&amp;TableWeeklySummary[[#This Row],[Desde]],TableDailySummary[Fecha],"&lt;="&amp;TableWeeklySummary[[#This Row],[Hasta]])</f>
        <v>0</v>
      </c>
      <c r="O302" s="11">
        <f>SUMIFS(TableDailySummary[Tienda 81_orders],TableDailySummary[Fecha],"&gt;="&amp;TableWeeklySummary[[#This Row],[Desde]],TableDailySummary[Fecha],"&lt;="&amp;TableWeeklySummary[[#This Row],[Hasta]])</f>
        <v>0</v>
      </c>
      <c r="P302" s="11">
        <f>SUMIFS(TableDailySummary[Rappi_net_sales],TableDailySummary[Fecha],"&gt;="&amp;TableWeeklySummary[[#This Row],[Desde]],TableDailySummary[Fecha],"&lt;="&amp;TableWeeklySummary[[#This Row],[Hasta]])</f>
        <v>0</v>
      </c>
      <c r="Q302" s="11">
        <f>SUMIFS(TableDailySummary[Rappi_orders],TableDailySummary[Fecha],"&gt;="&amp;TableWeeklySummary[[#This Row],[Desde]],TableDailySummary[Fecha],"&lt;="&amp;TableWeeklySummary[[#This Row],[Hasta]])</f>
        <v>0</v>
      </c>
      <c r="R30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2" s="11">
        <f>SUMIFS(TableDailySummary[Corporativo no tienda_orders],TableDailySummary[Fecha],"&gt;="&amp;TableWeeklySummary[[#This Row],[Desde]],TableDailySummary[Fecha],"&lt;="&amp;TableWeeklySummary[[#This Row],[Hasta]])</f>
        <v>0</v>
      </c>
      <c r="T302" s="11">
        <f>SUMIFS(TableDailySummary[Inversión google ads],TableDailySummary[Fecha],"&gt;="&amp;TableWeeklySummary[[#This Row],[Desde]],TableDailySummary[Fecha],"&lt;="&amp;TableWeeklySummary[[#This Row],[Hasta]])</f>
        <v>0</v>
      </c>
      <c r="U302" s="11">
        <f>SUMIFS(TableDailySummary[Ventas google ads],TableDailySummary[Fecha],"&gt;="&amp;TableWeeklySummary[[#This Row],[Desde]],TableDailySummary[Fecha],"&lt;="&amp;TableWeeklySummary[[#This Row],[Hasta]])</f>
        <v>0</v>
      </c>
      <c r="V302" s="11">
        <f>SUMIFS(TableDailySummary[Inversión meta ads],TableDailySummary[Fecha],"&gt;="&amp;TableWeeklySummary[[#This Row],[Desde]],TableDailySummary[Fecha],"&lt;="&amp;TableWeeklySummary[[#This Row],[Hasta]])</f>
        <v>0</v>
      </c>
      <c r="W302" s="11">
        <f>SUMIFS(TableDailySummary[Ventas meta ads],TableDailySummary[Fecha],"&gt;="&amp;TableWeeklySummary[[#This Row],[Desde]],TableDailySummary[Fecha],"&lt;="&amp;TableWeeklySummary[[#This Row],[Hasta]])</f>
        <v>0</v>
      </c>
      <c r="X302" s="11">
        <f>TableWeeklySummary[[#This Row],[Inversión google ads]]+TableWeeklySummary[[#This Row],[Inversión meta ads]]</f>
        <v>0</v>
      </c>
      <c r="Y302" s="11">
        <f>TableWeeklySummary[[#This Row],[Ventas google ads]]+TableWeeklySummary[[#This Row],[Ventas meta ads]]</f>
        <v>0</v>
      </c>
      <c r="Z302" s="14">
        <f>IFERROR(TableWeeklySummary[[#This Row],[Ventas publicidad]]/TableWeeklySummary[[#This Row],[Inversión publicidad]],0)</f>
        <v>0</v>
      </c>
      <c r="AA302" s="14">
        <f>IFERROR(TableWeeklySummary[[#This Row],[Ventas primer cliente]]/TableWeeklySummary[[#This Row],[Inversión publicidad]],0)</f>
        <v>0</v>
      </c>
      <c r="AB302" s="14"/>
      <c r="AC302" s="11"/>
      <c r="AI30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2" s="11">
        <f>SUMIFS(TableDailySummary[Costo de ventas registrado],TableDailySummary[Fecha],"&gt;="&amp;TableWeeklySummary[[#This Row],[Desde]],TableDailySummary[Fecha],"&lt;="&amp;TableWeeklySummary[[#This Row],[Hasta]])</f>
        <v>0</v>
      </c>
      <c r="AK302" s="11">
        <f>SUMIFS(TableDailySummary[Utilidad bruta],TableDailySummary[Fecha],"&gt;="&amp;TableWeeklySummary[[#This Row],[Desde]],TableDailySummary[Fecha],"&lt;="&amp;TableWeeklySummary[[#This Row],[Hasta]])</f>
        <v>0</v>
      </c>
      <c r="AL302" s="18">
        <f>IFERROR(TableWeeklySummary[[#This Row],[Utilidad bruta]]/TableWeeklySummary[[#This Row],[Ventas netas con costo registrado]],0)</f>
        <v>0</v>
      </c>
    </row>
    <row r="303" spans="2:38" x14ac:dyDescent="0.2">
      <c r="B303" s="16">
        <f>_xlfn.ISOWEEKNUM(TableWeeklySummary[[#This Row],[Hasta]])</f>
        <v>31</v>
      </c>
      <c r="C303" s="6">
        <f t="shared" si="6"/>
        <v>46598</v>
      </c>
      <c r="D303" s="6">
        <f>TableWeeklySummary[[#This Row],[Desde]]+7-1</f>
        <v>46604</v>
      </c>
      <c r="E303" s="11">
        <f>SUMIFS(TableDailySummary[Ventas netas totales],TableDailySummary[Fecha],"&gt;="&amp;TableWeeklySummary[[#This Row],[Desde]],TableDailySummary[Fecha],"&lt;="&amp;TableWeeklySummary[[#This Row],[Hasta]])</f>
        <v>0</v>
      </c>
      <c r="F303" s="11">
        <f>SUMIFS(TableDailySummary[Órdenes totales],TableDailySummary[Fecha],"&gt;="&amp;TableWeeklySummary[[#This Row],[Desde]],TableDailySummary[Fecha],"&lt;="&amp;TableWeeklySummary[[#This Row],[Hasta]])</f>
        <v>0</v>
      </c>
      <c r="G303" s="11">
        <f>IFERROR(TableWeeklySummary[[#This Row],[Ventas netas totales]]/TableWeeklySummary[[#This Row],[Órdenes totales]],0)</f>
        <v>0</v>
      </c>
      <c r="H30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3" s="11">
        <f>TableWeeklySummary[[#This Row],[Órden promedio totales]]*TableWeeklySummary[[#This Row],[CR totales]]</f>
        <v>0</v>
      </c>
      <c r="J303" s="11">
        <f>SUMIFS(TableDailySummary[Ventas primer cliente],TableDailySummary[Fecha],"&gt;="&amp;TableWeeklySummary[[#This Row],[Desde]],TableDailySummary[Fecha],"&lt;="&amp;TableWeeklySummary[[#This Row],[Hasta]])</f>
        <v>0</v>
      </c>
      <c r="K303" s="11">
        <f>SUMIFS(TableDailySummary[Órdenes primer cliente],TableDailySummary[Fecha],"&gt;="&amp;TableWeeklySummary[[#This Row],[Desde]],TableDailySummary[Fecha],"&lt;="&amp;TableWeeklySummary[[#This Row],[Hasta]])</f>
        <v>0</v>
      </c>
      <c r="L303" s="11">
        <f>SUMIFS(TableDailySummary[Online Store_net_sales],TableDailySummary[Fecha],"&gt;="&amp;TableWeeklySummary[[#This Row],[Desde]],TableDailySummary[Fecha],"&lt;="&amp;TableWeeklySummary[[#This Row],[Hasta]])</f>
        <v>0</v>
      </c>
      <c r="M303" s="11">
        <f>SUMIFS(TableDailySummary[Online Store_orders],TableDailySummary[Fecha],"&gt;="&amp;TableWeeklySummary[[#This Row],[Desde]],TableDailySummary[Fecha],"&lt;="&amp;TableWeeklySummary[[#This Row],[Hasta]])</f>
        <v>0</v>
      </c>
      <c r="N303" s="11">
        <f>SUMIFS(TableDailySummary[Tienda 81_net_sales],TableDailySummary[Fecha],"&gt;="&amp;TableWeeklySummary[[#This Row],[Desde]],TableDailySummary[Fecha],"&lt;="&amp;TableWeeklySummary[[#This Row],[Hasta]])</f>
        <v>0</v>
      </c>
      <c r="O303" s="11">
        <f>SUMIFS(TableDailySummary[Tienda 81_orders],TableDailySummary[Fecha],"&gt;="&amp;TableWeeklySummary[[#This Row],[Desde]],TableDailySummary[Fecha],"&lt;="&amp;TableWeeklySummary[[#This Row],[Hasta]])</f>
        <v>0</v>
      </c>
      <c r="P303" s="11">
        <f>SUMIFS(TableDailySummary[Rappi_net_sales],TableDailySummary[Fecha],"&gt;="&amp;TableWeeklySummary[[#This Row],[Desde]],TableDailySummary[Fecha],"&lt;="&amp;TableWeeklySummary[[#This Row],[Hasta]])</f>
        <v>0</v>
      </c>
      <c r="Q303" s="11">
        <f>SUMIFS(TableDailySummary[Rappi_orders],TableDailySummary[Fecha],"&gt;="&amp;TableWeeklySummary[[#This Row],[Desde]],TableDailySummary[Fecha],"&lt;="&amp;TableWeeklySummary[[#This Row],[Hasta]])</f>
        <v>0</v>
      </c>
      <c r="R30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3" s="11">
        <f>SUMIFS(TableDailySummary[Corporativo no tienda_orders],TableDailySummary[Fecha],"&gt;="&amp;TableWeeklySummary[[#This Row],[Desde]],TableDailySummary[Fecha],"&lt;="&amp;TableWeeklySummary[[#This Row],[Hasta]])</f>
        <v>0</v>
      </c>
      <c r="T303" s="11">
        <f>SUMIFS(TableDailySummary[Inversión google ads],TableDailySummary[Fecha],"&gt;="&amp;TableWeeklySummary[[#This Row],[Desde]],TableDailySummary[Fecha],"&lt;="&amp;TableWeeklySummary[[#This Row],[Hasta]])</f>
        <v>0</v>
      </c>
      <c r="U303" s="11">
        <f>SUMIFS(TableDailySummary[Ventas google ads],TableDailySummary[Fecha],"&gt;="&amp;TableWeeklySummary[[#This Row],[Desde]],TableDailySummary[Fecha],"&lt;="&amp;TableWeeklySummary[[#This Row],[Hasta]])</f>
        <v>0</v>
      </c>
      <c r="V303" s="11">
        <f>SUMIFS(TableDailySummary[Inversión meta ads],TableDailySummary[Fecha],"&gt;="&amp;TableWeeklySummary[[#This Row],[Desde]],TableDailySummary[Fecha],"&lt;="&amp;TableWeeklySummary[[#This Row],[Hasta]])</f>
        <v>0</v>
      </c>
      <c r="W303" s="11">
        <f>SUMIFS(TableDailySummary[Ventas meta ads],TableDailySummary[Fecha],"&gt;="&amp;TableWeeklySummary[[#This Row],[Desde]],TableDailySummary[Fecha],"&lt;="&amp;TableWeeklySummary[[#This Row],[Hasta]])</f>
        <v>0</v>
      </c>
      <c r="X303" s="11">
        <f>TableWeeklySummary[[#This Row],[Inversión google ads]]+TableWeeklySummary[[#This Row],[Inversión meta ads]]</f>
        <v>0</v>
      </c>
      <c r="Y303" s="11">
        <f>TableWeeklySummary[[#This Row],[Ventas google ads]]+TableWeeklySummary[[#This Row],[Ventas meta ads]]</f>
        <v>0</v>
      </c>
      <c r="Z303" s="14">
        <f>IFERROR(TableWeeklySummary[[#This Row],[Ventas publicidad]]/TableWeeklySummary[[#This Row],[Inversión publicidad]],0)</f>
        <v>0</v>
      </c>
      <c r="AA303" s="14">
        <f>IFERROR(TableWeeklySummary[[#This Row],[Ventas primer cliente]]/TableWeeklySummary[[#This Row],[Inversión publicidad]],0)</f>
        <v>0</v>
      </c>
      <c r="AB303" s="14"/>
      <c r="AC303" s="11"/>
      <c r="AI30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3" s="11">
        <f>SUMIFS(TableDailySummary[Costo de ventas registrado],TableDailySummary[Fecha],"&gt;="&amp;TableWeeklySummary[[#This Row],[Desde]],TableDailySummary[Fecha],"&lt;="&amp;TableWeeklySummary[[#This Row],[Hasta]])</f>
        <v>0</v>
      </c>
      <c r="AK303" s="11">
        <f>SUMIFS(TableDailySummary[Utilidad bruta],TableDailySummary[Fecha],"&gt;="&amp;TableWeeklySummary[[#This Row],[Desde]],TableDailySummary[Fecha],"&lt;="&amp;TableWeeklySummary[[#This Row],[Hasta]])</f>
        <v>0</v>
      </c>
      <c r="AL303" s="18">
        <f>IFERROR(TableWeeklySummary[[#This Row],[Utilidad bruta]]/TableWeeklySummary[[#This Row],[Ventas netas con costo registrado]],0)</f>
        <v>0</v>
      </c>
    </row>
    <row r="304" spans="2:38" x14ac:dyDescent="0.2">
      <c r="B304" s="16">
        <f>_xlfn.ISOWEEKNUM(TableWeeklySummary[[#This Row],[Hasta]])</f>
        <v>32</v>
      </c>
      <c r="C304" s="6">
        <f t="shared" si="6"/>
        <v>46605</v>
      </c>
      <c r="D304" s="6">
        <f>TableWeeklySummary[[#This Row],[Desde]]+7-1</f>
        <v>46611</v>
      </c>
      <c r="E304" s="11">
        <f>SUMIFS(TableDailySummary[Ventas netas totales],TableDailySummary[Fecha],"&gt;="&amp;TableWeeklySummary[[#This Row],[Desde]],TableDailySummary[Fecha],"&lt;="&amp;TableWeeklySummary[[#This Row],[Hasta]])</f>
        <v>0</v>
      </c>
      <c r="F304" s="11">
        <f>SUMIFS(TableDailySummary[Órdenes totales],TableDailySummary[Fecha],"&gt;="&amp;TableWeeklySummary[[#This Row],[Desde]],TableDailySummary[Fecha],"&lt;="&amp;TableWeeklySummary[[#This Row],[Hasta]])</f>
        <v>0</v>
      </c>
      <c r="G304" s="11">
        <f>IFERROR(TableWeeklySummary[[#This Row],[Ventas netas totales]]/TableWeeklySummary[[#This Row],[Órdenes totales]],0)</f>
        <v>0</v>
      </c>
      <c r="H30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4" s="11">
        <f>TableWeeklySummary[[#This Row],[Órden promedio totales]]*TableWeeklySummary[[#This Row],[CR totales]]</f>
        <v>0</v>
      </c>
      <c r="J304" s="11">
        <f>SUMIFS(TableDailySummary[Ventas primer cliente],TableDailySummary[Fecha],"&gt;="&amp;TableWeeklySummary[[#This Row],[Desde]],TableDailySummary[Fecha],"&lt;="&amp;TableWeeklySummary[[#This Row],[Hasta]])</f>
        <v>0</v>
      </c>
      <c r="K304" s="11">
        <f>SUMIFS(TableDailySummary[Órdenes primer cliente],TableDailySummary[Fecha],"&gt;="&amp;TableWeeklySummary[[#This Row],[Desde]],TableDailySummary[Fecha],"&lt;="&amp;TableWeeklySummary[[#This Row],[Hasta]])</f>
        <v>0</v>
      </c>
      <c r="L304" s="11">
        <f>SUMIFS(TableDailySummary[Online Store_net_sales],TableDailySummary[Fecha],"&gt;="&amp;TableWeeklySummary[[#This Row],[Desde]],TableDailySummary[Fecha],"&lt;="&amp;TableWeeklySummary[[#This Row],[Hasta]])</f>
        <v>0</v>
      </c>
      <c r="M304" s="11">
        <f>SUMIFS(TableDailySummary[Online Store_orders],TableDailySummary[Fecha],"&gt;="&amp;TableWeeklySummary[[#This Row],[Desde]],TableDailySummary[Fecha],"&lt;="&amp;TableWeeklySummary[[#This Row],[Hasta]])</f>
        <v>0</v>
      </c>
      <c r="N304" s="11">
        <f>SUMIFS(TableDailySummary[Tienda 81_net_sales],TableDailySummary[Fecha],"&gt;="&amp;TableWeeklySummary[[#This Row],[Desde]],TableDailySummary[Fecha],"&lt;="&amp;TableWeeklySummary[[#This Row],[Hasta]])</f>
        <v>0</v>
      </c>
      <c r="O304" s="11">
        <f>SUMIFS(TableDailySummary[Tienda 81_orders],TableDailySummary[Fecha],"&gt;="&amp;TableWeeklySummary[[#This Row],[Desde]],TableDailySummary[Fecha],"&lt;="&amp;TableWeeklySummary[[#This Row],[Hasta]])</f>
        <v>0</v>
      </c>
      <c r="P304" s="11">
        <f>SUMIFS(TableDailySummary[Rappi_net_sales],TableDailySummary[Fecha],"&gt;="&amp;TableWeeklySummary[[#This Row],[Desde]],TableDailySummary[Fecha],"&lt;="&amp;TableWeeklySummary[[#This Row],[Hasta]])</f>
        <v>0</v>
      </c>
      <c r="Q304" s="11">
        <f>SUMIFS(TableDailySummary[Rappi_orders],TableDailySummary[Fecha],"&gt;="&amp;TableWeeklySummary[[#This Row],[Desde]],TableDailySummary[Fecha],"&lt;="&amp;TableWeeklySummary[[#This Row],[Hasta]])</f>
        <v>0</v>
      </c>
      <c r="R30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4" s="11">
        <f>SUMIFS(TableDailySummary[Corporativo no tienda_orders],TableDailySummary[Fecha],"&gt;="&amp;TableWeeklySummary[[#This Row],[Desde]],TableDailySummary[Fecha],"&lt;="&amp;TableWeeklySummary[[#This Row],[Hasta]])</f>
        <v>0</v>
      </c>
      <c r="T304" s="11">
        <f>SUMIFS(TableDailySummary[Inversión google ads],TableDailySummary[Fecha],"&gt;="&amp;TableWeeklySummary[[#This Row],[Desde]],TableDailySummary[Fecha],"&lt;="&amp;TableWeeklySummary[[#This Row],[Hasta]])</f>
        <v>0</v>
      </c>
      <c r="U304" s="11">
        <f>SUMIFS(TableDailySummary[Ventas google ads],TableDailySummary[Fecha],"&gt;="&amp;TableWeeklySummary[[#This Row],[Desde]],TableDailySummary[Fecha],"&lt;="&amp;TableWeeklySummary[[#This Row],[Hasta]])</f>
        <v>0</v>
      </c>
      <c r="V304" s="11">
        <f>SUMIFS(TableDailySummary[Inversión meta ads],TableDailySummary[Fecha],"&gt;="&amp;TableWeeklySummary[[#This Row],[Desde]],TableDailySummary[Fecha],"&lt;="&amp;TableWeeklySummary[[#This Row],[Hasta]])</f>
        <v>0</v>
      </c>
      <c r="W304" s="11">
        <f>SUMIFS(TableDailySummary[Ventas meta ads],TableDailySummary[Fecha],"&gt;="&amp;TableWeeklySummary[[#This Row],[Desde]],TableDailySummary[Fecha],"&lt;="&amp;TableWeeklySummary[[#This Row],[Hasta]])</f>
        <v>0</v>
      </c>
      <c r="X304" s="11">
        <f>TableWeeklySummary[[#This Row],[Inversión google ads]]+TableWeeklySummary[[#This Row],[Inversión meta ads]]</f>
        <v>0</v>
      </c>
      <c r="Y304" s="11">
        <f>TableWeeklySummary[[#This Row],[Ventas google ads]]+TableWeeklySummary[[#This Row],[Ventas meta ads]]</f>
        <v>0</v>
      </c>
      <c r="Z304" s="14">
        <f>IFERROR(TableWeeklySummary[[#This Row],[Ventas publicidad]]/TableWeeklySummary[[#This Row],[Inversión publicidad]],0)</f>
        <v>0</v>
      </c>
      <c r="AA304" s="14">
        <f>IFERROR(TableWeeklySummary[[#This Row],[Ventas primer cliente]]/TableWeeklySummary[[#This Row],[Inversión publicidad]],0)</f>
        <v>0</v>
      </c>
      <c r="AB304" s="14"/>
      <c r="AC304" s="11"/>
      <c r="AI30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4" s="11">
        <f>SUMIFS(TableDailySummary[Costo de ventas registrado],TableDailySummary[Fecha],"&gt;="&amp;TableWeeklySummary[[#This Row],[Desde]],TableDailySummary[Fecha],"&lt;="&amp;TableWeeklySummary[[#This Row],[Hasta]])</f>
        <v>0</v>
      </c>
      <c r="AK304" s="11">
        <f>SUMIFS(TableDailySummary[Utilidad bruta],TableDailySummary[Fecha],"&gt;="&amp;TableWeeklySummary[[#This Row],[Desde]],TableDailySummary[Fecha],"&lt;="&amp;TableWeeklySummary[[#This Row],[Hasta]])</f>
        <v>0</v>
      </c>
      <c r="AL304" s="18">
        <f>IFERROR(TableWeeklySummary[[#This Row],[Utilidad bruta]]/TableWeeklySummary[[#This Row],[Ventas netas con costo registrado]],0)</f>
        <v>0</v>
      </c>
    </row>
    <row r="305" spans="2:38" x14ac:dyDescent="0.2">
      <c r="B305" s="16">
        <f>_xlfn.ISOWEEKNUM(TableWeeklySummary[[#This Row],[Hasta]])</f>
        <v>33</v>
      </c>
      <c r="C305" s="6">
        <f t="shared" si="6"/>
        <v>46612</v>
      </c>
      <c r="D305" s="6">
        <f>TableWeeklySummary[[#This Row],[Desde]]+7-1</f>
        <v>46618</v>
      </c>
      <c r="E305" s="11">
        <f>SUMIFS(TableDailySummary[Ventas netas totales],TableDailySummary[Fecha],"&gt;="&amp;TableWeeklySummary[[#This Row],[Desde]],TableDailySummary[Fecha],"&lt;="&amp;TableWeeklySummary[[#This Row],[Hasta]])</f>
        <v>0</v>
      </c>
      <c r="F305" s="11">
        <f>SUMIFS(TableDailySummary[Órdenes totales],TableDailySummary[Fecha],"&gt;="&amp;TableWeeklySummary[[#This Row],[Desde]],TableDailySummary[Fecha],"&lt;="&amp;TableWeeklySummary[[#This Row],[Hasta]])</f>
        <v>0</v>
      </c>
      <c r="G305" s="11">
        <f>IFERROR(TableWeeklySummary[[#This Row],[Ventas netas totales]]/TableWeeklySummary[[#This Row],[Órdenes totales]],0)</f>
        <v>0</v>
      </c>
      <c r="H30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5" s="11">
        <f>TableWeeklySummary[[#This Row],[Órden promedio totales]]*TableWeeklySummary[[#This Row],[CR totales]]</f>
        <v>0</v>
      </c>
      <c r="J305" s="11">
        <f>SUMIFS(TableDailySummary[Ventas primer cliente],TableDailySummary[Fecha],"&gt;="&amp;TableWeeklySummary[[#This Row],[Desde]],TableDailySummary[Fecha],"&lt;="&amp;TableWeeklySummary[[#This Row],[Hasta]])</f>
        <v>0</v>
      </c>
      <c r="K305" s="11">
        <f>SUMIFS(TableDailySummary[Órdenes primer cliente],TableDailySummary[Fecha],"&gt;="&amp;TableWeeklySummary[[#This Row],[Desde]],TableDailySummary[Fecha],"&lt;="&amp;TableWeeklySummary[[#This Row],[Hasta]])</f>
        <v>0</v>
      </c>
      <c r="L305" s="11">
        <f>SUMIFS(TableDailySummary[Online Store_net_sales],TableDailySummary[Fecha],"&gt;="&amp;TableWeeklySummary[[#This Row],[Desde]],TableDailySummary[Fecha],"&lt;="&amp;TableWeeklySummary[[#This Row],[Hasta]])</f>
        <v>0</v>
      </c>
      <c r="M305" s="11">
        <f>SUMIFS(TableDailySummary[Online Store_orders],TableDailySummary[Fecha],"&gt;="&amp;TableWeeklySummary[[#This Row],[Desde]],TableDailySummary[Fecha],"&lt;="&amp;TableWeeklySummary[[#This Row],[Hasta]])</f>
        <v>0</v>
      </c>
      <c r="N305" s="11">
        <f>SUMIFS(TableDailySummary[Tienda 81_net_sales],TableDailySummary[Fecha],"&gt;="&amp;TableWeeklySummary[[#This Row],[Desde]],TableDailySummary[Fecha],"&lt;="&amp;TableWeeklySummary[[#This Row],[Hasta]])</f>
        <v>0</v>
      </c>
      <c r="O305" s="11">
        <f>SUMIFS(TableDailySummary[Tienda 81_orders],TableDailySummary[Fecha],"&gt;="&amp;TableWeeklySummary[[#This Row],[Desde]],TableDailySummary[Fecha],"&lt;="&amp;TableWeeklySummary[[#This Row],[Hasta]])</f>
        <v>0</v>
      </c>
      <c r="P305" s="11">
        <f>SUMIFS(TableDailySummary[Rappi_net_sales],TableDailySummary[Fecha],"&gt;="&amp;TableWeeklySummary[[#This Row],[Desde]],TableDailySummary[Fecha],"&lt;="&amp;TableWeeklySummary[[#This Row],[Hasta]])</f>
        <v>0</v>
      </c>
      <c r="Q305" s="11">
        <f>SUMIFS(TableDailySummary[Rappi_orders],TableDailySummary[Fecha],"&gt;="&amp;TableWeeklySummary[[#This Row],[Desde]],TableDailySummary[Fecha],"&lt;="&amp;TableWeeklySummary[[#This Row],[Hasta]])</f>
        <v>0</v>
      </c>
      <c r="R30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5" s="11">
        <f>SUMIFS(TableDailySummary[Corporativo no tienda_orders],TableDailySummary[Fecha],"&gt;="&amp;TableWeeklySummary[[#This Row],[Desde]],TableDailySummary[Fecha],"&lt;="&amp;TableWeeklySummary[[#This Row],[Hasta]])</f>
        <v>0</v>
      </c>
      <c r="T305" s="11">
        <f>SUMIFS(TableDailySummary[Inversión google ads],TableDailySummary[Fecha],"&gt;="&amp;TableWeeklySummary[[#This Row],[Desde]],TableDailySummary[Fecha],"&lt;="&amp;TableWeeklySummary[[#This Row],[Hasta]])</f>
        <v>0</v>
      </c>
      <c r="U305" s="11">
        <f>SUMIFS(TableDailySummary[Ventas google ads],TableDailySummary[Fecha],"&gt;="&amp;TableWeeklySummary[[#This Row],[Desde]],TableDailySummary[Fecha],"&lt;="&amp;TableWeeklySummary[[#This Row],[Hasta]])</f>
        <v>0</v>
      </c>
      <c r="V305" s="11">
        <f>SUMIFS(TableDailySummary[Inversión meta ads],TableDailySummary[Fecha],"&gt;="&amp;TableWeeklySummary[[#This Row],[Desde]],TableDailySummary[Fecha],"&lt;="&amp;TableWeeklySummary[[#This Row],[Hasta]])</f>
        <v>0</v>
      </c>
      <c r="W305" s="11">
        <f>SUMIFS(TableDailySummary[Ventas meta ads],TableDailySummary[Fecha],"&gt;="&amp;TableWeeklySummary[[#This Row],[Desde]],TableDailySummary[Fecha],"&lt;="&amp;TableWeeklySummary[[#This Row],[Hasta]])</f>
        <v>0</v>
      </c>
      <c r="X305" s="11">
        <f>TableWeeklySummary[[#This Row],[Inversión google ads]]+TableWeeklySummary[[#This Row],[Inversión meta ads]]</f>
        <v>0</v>
      </c>
      <c r="Y305" s="11">
        <f>TableWeeklySummary[[#This Row],[Ventas google ads]]+TableWeeklySummary[[#This Row],[Ventas meta ads]]</f>
        <v>0</v>
      </c>
      <c r="Z305" s="14">
        <f>IFERROR(TableWeeklySummary[[#This Row],[Ventas publicidad]]/TableWeeklySummary[[#This Row],[Inversión publicidad]],0)</f>
        <v>0</v>
      </c>
      <c r="AA305" s="14">
        <f>IFERROR(TableWeeklySummary[[#This Row],[Ventas primer cliente]]/TableWeeklySummary[[#This Row],[Inversión publicidad]],0)</f>
        <v>0</v>
      </c>
      <c r="AB305" s="14"/>
      <c r="AC305" s="11"/>
      <c r="AI30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5" s="11">
        <f>SUMIFS(TableDailySummary[Costo de ventas registrado],TableDailySummary[Fecha],"&gt;="&amp;TableWeeklySummary[[#This Row],[Desde]],TableDailySummary[Fecha],"&lt;="&amp;TableWeeklySummary[[#This Row],[Hasta]])</f>
        <v>0</v>
      </c>
      <c r="AK305" s="11">
        <f>SUMIFS(TableDailySummary[Utilidad bruta],TableDailySummary[Fecha],"&gt;="&amp;TableWeeklySummary[[#This Row],[Desde]],TableDailySummary[Fecha],"&lt;="&amp;TableWeeklySummary[[#This Row],[Hasta]])</f>
        <v>0</v>
      </c>
      <c r="AL305" s="18">
        <f>IFERROR(TableWeeklySummary[[#This Row],[Utilidad bruta]]/TableWeeklySummary[[#This Row],[Ventas netas con costo registrado]],0)</f>
        <v>0</v>
      </c>
    </row>
    <row r="306" spans="2:38" x14ac:dyDescent="0.2">
      <c r="B306" s="16">
        <f>_xlfn.ISOWEEKNUM(TableWeeklySummary[[#This Row],[Hasta]])</f>
        <v>34</v>
      </c>
      <c r="C306" s="6">
        <f t="shared" si="6"/>
        <v>46619</v>
      </c>
      <c r="D306" s="6">
        <f>TableWeeklySummary[[#This Row],[Desde]]+7-1</f>
        <v>46625</v>
      </c>
      <c r="E306" s="11">
        <f>SUMIFS(TableDailySummary[Ventas netas totales],TableDailySummary[Fecha],"&gt;="&amp;TableWeeklySummary[[#This Row],[Desde]],TableDailySummary[Fecha],"&lt;="&amp;TableWeeklySummary[[#This Row],[Hasta]])</f>
        <v>0</v>
      </c>
      <c r="F306" s="11">
        <f>SUMIFS(TableDailySummary[Órdenes totales],TableDailySummary[Fecha],"&gt;="&amp;TableWeeklySummary[[#This Row],[Desde]],TableDailySummary[Fecha],"&lt;="&amp;TableWeeklySummary[[#This Row],[Hasta]])</f>
        <v>0</v>
      </c>
      <c r="G306" s="11">
        <f>IFERROR(TableWeeklySummary[[#This Row],[Ventas netas totales]]/TableWeeklySummary[[#This Row],[Órdenes totales]],0)</f>
        <v>0</v>
      </c>
      <c r="H30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6" s="11">
        <f>TableWeeklySummary[[#This Row],[Órden promedio totales]]*TableWeeklySummary[[#This Row],[CR totales]]</f>
        <v>0</v>
      </c>
      <c r="J306" s="11">
        <f>SUMIFS(TableDailySummary[Ventas primer cliente],TableDailySummary[Fecha],"&gt;="&amp;TableWeeklySummary[[#This Row],[Desde]],TableDailySummary[Fecha],"&lt;="&amp;TableWeeklySummary[[#This Row],[Hasta]])</f>
        <v>0</v>
      </c>
      <c r="K306" s="11">
        <f>SUMIFS(TableDailySummary[Órdenes primer cliente],TableDailySummary[Fecha],"&gt;="&amp;TableWeeklySummary[[#This Row],[Desde]],TableDailySummary[Fecha],"&lt;="&amp;TableWeeklySummary[[#This Row],[Hasta]])</f>
        <v>0</v>
      </c>
      <c r="L306" s="11">
        <f>SUMIFS(TableDailySummary[Online Store_net_sales],TableDailySummary[Fecha],"&gt;="&amp;TableWeeklySummary[[#This Row],[Desde]],TableDailySummary[Fecha],"&lt;="&amp;TableWeeklySummary[[#This Row],[Hasta]])</f>
        <v>0</v>
      </c>
      <c r="M306" s="11">
        <f>SUMIFS(TableDailySummary[Online Store_orders],TableDailySummary[Fecha],"&gt;="&amp;TableWeeklySummary[[#This Row],[Desde]],TableDailySummary[Fecha],"&lt;="&amp;TableWeeklySummary[[#This Row],[Hasta]])</f>
        <v>0</v>
      </c>
      <c r="N306" s="11">
        <f>SUMIFS(TableDailySummary[Tienda 81_net_sales],TableDailySummary[Fecha],"&gt;="&amp;TableWeeklySummary[[#This Row],[Desde]],TableDailySummary[Fecha],"&lt;="&amp;TableWeeklySummary[[#This Row],[Hasta]])</f>
        <v>0</v>
      </c>
      <c r="O306" s="11">
        <f>SUMIFS(TableDailySummary[Tienda 81_orders],TableDailySummary[Fecha],"&gt;="&amp;TableWeeklySummary[[#This Row],[Desde]],TableDailySummary[Fecha],"&lt;="&amp;TableWeeklySummary[[#This Row],[Hasta]])</f>
        <v>0</v>
      </c>
      <c r="P306" s="11">
        <f>SUMIFS(TableDailySummary[Rappi_net_sales],TableDailySummary[Fecha],"&gt;="&amp;TableWeeklySummary[[#This Row],[Desde]],TableDailySummary[Fecha],"&lt;="&amp;TableWeeklySummary[[#This Row],[Hasta]])</f>
        <v>0</v>
      </c>
      <c r="Q306" s="11">
        <f>SUMIFS(TableDailySummary[Rappi_orders],TableDailySummary[Fecha],"&gt;="&amp;TableWeeklySummary[[#This Row],[Desde]],TableDailySummary[Fecha],"&lt;="&amp;TableWeeklySummary[[#This Row],[Hasta]])</f>
        <v>0</v>
      </c>
      <c r="R30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6" s="11">
        <f>SUMIFS(TableDailySummary[Corporativo no tienda_orders],TableDailySummary[Fecha],"&gt;="&amp;TableWeeklySummary[[#This Row],[Desde]],TableDailySummary[Fecha],"&lt;="&amp;TableWeeklySummary[[#This Row],[Hasta]])</f>
        <v>0</v>
      </c>
      <c r="T306" s="11">
        <f>SUMIFS(TableDailySummary[Inversión google ads],TableDailySummary[Fecha],"&gt;="&amp;TableWeeklySummary[[#This Row],[Desde]],TableDailySummary[Fecha],"&lt;="&amp;TableWeeklySummary[[#This Row],[Hasta]])</f>
        <v>0</v>
      </c>
      <c r="U306" s="11">
        <f>SUMIFS(TableDailySummary[Ventas google ads],TableDailySummary[Fecha],"&gt;="&amp;TableWeeklySummary[[#This Row],[Desde]],TableDailySummary[Fecha],"&lt;="&amp;TableWeeklySummary[[#This Row],[Hasta]])</f>
        <v>0</v>
      </c>
      <c r="V306" s="11">
        <f>SUMIFS(TableDailySummary[Inversión meta ads],TableDailySummary[Fecha],"&gt;="&amp;TableWeeklySummary[[#This Row],[Desde]],TableDailySummary[Fecha],"&lt;="&amp;TableWeeklySummary[[#This Row],[Hasta]])</f>
        <v>0</v>
      </c>
      <c r="W306" s="11">
        <f>SUMIFS(TableDailySummary[Ventas meta ads],TableDailySummary[Fecha],"&gt;="&amp;TableWeeklySummary[[#This Row],[Desde]],TableDailySummary[Fecha],"&lt;="&amp;TableWeeklySummary[[#This Row],[Hasta]])</f>
        <v>0</v>
      </c>
      <c r="X306" s="11">
        <f>TableWeeklySummary[[#This Row],[Inversión google ads]]+TableWeeklySummary[[#This Row],[Inversión meta ads]]</f>
        <v>0</v>
      </c>
      <c r="Y306" s="11">
        <f>TableWeeklySummary[[#This Row],[Ventas google ads]]+TableWeeklySummary[[#This Row],[Ventas meta ads]]</f>
        <v>0</v>
      </c>
      <c r="Z306" s="14">
        <f>IFERROR(TableWeeklySummary[[#This Row],[Ventas publicidad]]/TableWeeklySummary[[#This Row],[Inversión publicidad]],0)</f>
        <v>0</v>
      </c>
      <c r="AA306" s="14">
        <f>IFERROR(TableWeeklySummary[[#This Row],[Ventas primer cliente]]/TableWeeklySummary[[#This Row],[Inversión publicidad]],0)</f>
        <v>0</v>
      </c>
      <c r="AB306" s="14"/>
      <c r="AC306" s="11"/>
      <c r="AI30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6" s="11">
        <f>SUMIFS(TableDailySummary[Costo de ventas registrado],TableDailySummary[Fecha],"&gt;="&amp;TableWeeklySummary[[#This Row],[Desde]],TableDailySummary[Fecha],"&lt;="&amp;TableWeeklySummary[[#This Row],[Hasta]])</f>
        <v>0</v>
      </c>
      <c r="AK306" s="11">
        <f>SUMIFS(TableDailySummary[Utilidad bruta],TableDailySummary[Fecha],"&gt;="&amp;TableWeeklySummary[[#This Row],[Desde]],TableDailySummary[Fecha],"&lt;="&amp;TableWeeklySummary[[#This Row],[Hasta]])</f>
        <v>0</v>
      </c>
      <c r="AL306" s="18">
        <f>IFERROR(TableWeeklySummary[[#This Row],[Utilidad bruta]]/TableWeeklySummary[[#This Row],[Ventas netas con costo registrado]],0)</f>
        <v>0</v>
      </c>
    </row>
    <row r="307" spans="2:38" x14ac:dyDescent="0.2">
      <c r="B307" s="16">
        <f>_xlfn.ISOWEEKNUM(TableWeeklySummary[[#This Row],[Hasta]])</f>
        <v>35</v>
      </c>
      <c r="C307" s="6">
        <f t="shared" si="6"/>
        <v>46626</v>
      </c>
      <c r="D307" s="6">
        <f>TableWeeklySummary[[#This Row],[Desde]]+7-1</f>
        <v>46632</v>
      </c>
      <c r="E307" s="11">
        <f>SUMIFS(TableDailySummary[Ventas netas totales],TableDailySummary[Fecha],"&gt;="&amp;TableWeeklySummary[[#This Row],[Desde]],TableDailySummary[Fecha],"&lt;="&amp;TableWeeklySummary[[#This Row],[Hasta]])</f>
        <v>0</v>
      </c>
      <c r="F307" s="11">
        <f>SUMIFS(TableDailySummary[Órdenes totales],TableDailySummary[Fecha],"&gt;="&amp;TableWeeklySummary[[#This Row],[Desde]],TableDailySummary[Fecha],"&lt;="&amp;TableWeeklySummary[[#This Row],[Hasta]])</f>
        <v>0</v>
      </c>
      <c r="G307" s="11">
        <f>IFERROR(TableWeeklySummary[[#This Row],[Ventas netas totales]]/TableWeeklySummary[[#This Row],[Órdenes totales]],0)</f>
        <v>0</v>
      </c>
      <c r="H30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7" s="11">
        <f>TableWeeklySummary[[#This Row],[Órden promedio totales]]*TableWeeklySummary[[#This Row],[CR totales]]</f>
        <v>0</v>
      </c>
      <c r="J307" s="11">
        <f>SUMIFS(TableDailySummary[Ventas primer cliente],TableDailySummary[Fecha],"&gt;="&amp;TableWeeklySummary[[#This Row],[Desde]],TableDailySummary[Fecha],"&lt;="&amp;TableWeeklySummary[[#This Row],[Hasta]])</f>
        <v>0</v>
      </c>
      <c r="K307" s="11">
        <f>SUMIFS(TableDailySummary[Órdenes primer cliente],TableDailySummary[Fecha],"&gt;="&amp;TableWeeklySummary[[#This Row],[Desde]],TableDailySummary[Fecha],"&lt;="&amp;TableWeeklySummary[[#This Row],[Hasta]])</f>
        <v>0</v>
      </c>
      <c r="L307" s="11">
        <f>SUMIFS(TableDailySummary[Online Store_net_sales],TableDailySummary[Fecha],"&gt;="&amp;TableWeeklySummary[[#This Row],[Desde]],TableDailySummary[Fecha],"&lt;="&amp;TableWeeklySummary[[#This Row],[Hasta]])</f>
        <v>0</v>
      </c>
      <c r="M307" s="11">
        <f>SUMIFS(TableDailySummary[Online Store_orders],TableDailySummary[Fecha],"&gt;="&amp;TableWeeklySummary[[#This Row],[Desde]],TableDailySummary[Fecha],"&lt;="&amp;TableWeeklySummary[[#This Row],[Hasta]])</f>
        <v>0</v>
      </c>
      <c r="N307" s="11">
        <f>SUMIFS(TableDailySummary[Tienda 81_net_sales],TableDailySummary[Fecha],"&gt;="&amp;TableWeeklySummary[[#This Row],[Desde]],TableDailySummary[Fecha],"&lt;="&amp;TableWeeklySummary[[#This Row],[Hasta]])</f>
        <v>0</v>
      </c>
      <c r="O307" s="11">
        <f>SUMIFS(TableDailySummary[Tienda 81_orders],TableDailySummary[Fecha],"&gt;="&amp;TableWeeklySummary[[#This Row],[Desde]],TableDailySummary[Fecha],"&lt;="&amp;TableWeeklySummary[[#This Row],[Hasta]])</f>
        <v>0</v>
      </c>
      <c r="P307" s="11">
        <f>SUMIFS(TableDailySummary[Rappi_net_sales],TableDailySummary[Fecha],"&gt;="&amp;TableWeeklySummary[[#This Row],[Desde]],TableDailySummary[Fecha],"&lt;="&amp;TableWeeklySummary[[#This Row],[Hasta]])</f>
        <v>0</v>
      </c>
      <c r="Q307" s="11">
        <f>SUMIFS(TableDailySummary[Rappi_orders],TableDailySummary[Fecha],"&gt;="&amp;TableWeeklySummary[[#This Row],[Desde]],TableDailySummary[Fecha],"&lt;="&amp;TableWeeklySummary[[#This Row],[Hasta]])</f>
        <v>0</v>
      </c>
      <c r="R30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7" s="11">
        <f>SUMIFS(TableDailySummary[Corporativo no tienda_orders],TableDailySummary[Fecha],"&gt;="&amp;TableWeeklySummary[[#This Row],[Desde]],TableDailySummary[Fecha],"&lt;="&amp;TableWeeklySummary[[#This Row],[Hasta]])</f>
        <v>0</v>
      </c>
      <c r="T307" s="11">
        <f>SUMIFS(TableDailySummary[Inversión google ads],TableDailySummary[Fecha],"&gt;="&amp;TableWeeklySummary[[#This Row],[Desde]],TableDailySummary[Fecha],"&lt;="&amp;TableWeeklySummary[[#This Row],[Hasta]])</f>
        <v>0</v>
      </c>
      <c r="U307" s="11">
        <f>SUMIFS(TableDailySummary[Ventas google ads],TableDailySummary[Fecha],"&gt;="&amp;TableWeeklySummary[[#This Row],[Desde]],TableDailySummary[Fecha],"&lt;="&amp;TableWeeklySummary[[#This Row],[Hasta]])</f>
        <v>0</v>
      </c>
      <c r="V307" s="11">
        <f>SUMIFS(TableDailySummary[Inversión meta ads],TableDailySummary[Fecha],"&gt;="&amp;TableWeeklySummary[[#This Row],[Desde]],TableDailySummary[Fecha],"&lt;="&amp;TableWeeklySummary[[#This Row],[Hasta]])</f>
        <v>0</v>
      </c>
      <c r="W307" s="11">
        <f>SUMIFS(TableDailySummary[Ventas meta ads],TableDailySummary[Fecha],"&gt;="&amp;TableWeeklySummary[[#This Row],[Desde]],TableDailySummary[Fecha],"&lt;="&amp;TableWeeklySummary[[#This Row],[Hasta]])</f>
        <v>0</v>
      </c>
      <c r="X307" s="11">
        <f>TableWeeklySummary[[#This Row],[Inversión google ads]]+TableWeeklySummary[[#This Row],[Inversión meta ads]]</f>
        <v>0</v>
      </c>
      <c r="Y307" s="11">
        <f>TableWeeklySummary[[#This Row],[Ventas google ads]]+TableWeeklySummary[[#This Row],[Ventas meta ads]]</f>
        <v>0</v>
      </c>
      <c r="Z307" s="14">
        <f>IFERROR(TableWeeklySummary[[#This Row],[Ventas publicidad]]/TableWeeklySummary[[#This Row],[Inversión publicidad]],0)</f>
        <v>0</v>
      </c>
      <c r="AA307" s="14">
        <f>IFERROR(TableWeeklySummary[[#This Row],[Ventas primer cliente]]/TableWeeklySummary[[#This Row],[Inversión publicidad]],0)</f>
        <v>0</v>
      </c>
      <c r="AB307" s="14"/>
      <c r="AC307" s="11"/>
      <c r="AI30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7" s="11">
        <f>SUMIFS(TableDailySummary[Costo de ventas registrado],TableDailySummary[Fecha],"&gt;="&amp;TableWeeklySummary[[#This Row],[Desde]],TableDailySummary[Fecha],"&lt;="&amp;TableWeeklySummary[[#This Row],[Hasta]])</f>
        <v>0</v>
      </c>
      <c r="AK307" s="11">
        <f>SUMIFS(TableDailySummary[Utilidad bruta],TableDailySummary[Fecha],"&gt;="&amp;TableWeeklySummary[[#This Row],[Desde]],TableDailySummary[Fecha],"&lt;="&amp;TableWeeklySummary[[#This Row],[Hasta]])</f>
        <v>0</v>
      </c>
      <c r="AL307" s="18">
        <f>IFERROR(TableWeeklySummary[[#This Row],[Utilidad bruta]]/TableWeeklySummary[[#This Row],[Ventas netas con costo registrado]],0)</f>
        <v>0</v>
      </c>
    </row>
    <row r="308" spans="2:38" x14ac:dyDescent="0.2">
      <c r="B308" s="16">
        <f>_xlfn.ISOWEEKNUM(TableWeeklySummary[[#This Row],[Hasta]])</f>
        <v>36</v>
      </c>
      <c r="C308" s="6">
        <f t="shared" si="6"/>
        <v>46633</v>
      </c>
      <c r="D308" s="6">
        <f>TableWeeklySummary[[#This Row],[Desde]]+7-1</f>
        <v>46639</v>
      </c>
      <c r="E308" s="11">
        <f>SUMIFS(TableDailySummary[Ventas netas totales],TableDailySummary[Fecha],"&gt;="&amp;TableWeeklySummary[[#This Row],[Desde]],TableDailySummary[Fecha],"&lt;="&amp;TableWeeklySummary[[#This Row],[Hasta]])</f>
        <v>0</v>
      </c>
      <c r="F308" s="11">
        <f>SUMIFS(TableDailySummary[Órdenes totales],TableDailySummary[Fecha],"&gt;="&amp;TableWeeklySummary[[#This Row],[Desde]],TableDailySummary[Fecha],"&lt;="&amp;TableWeeklySummary[[#This Row],[Hasta]])</f>
        <v>0</v>
      </c>
      <c r="G308" s="11">
        <f>IFERROR(TableWeeklySummary[[#This Row],[Ventas netas totales]]/TableWeeklySummary[[#This Row],[Órdenes totales]],0)</f>
        <v>0</v>
      </c>
      <c r="H30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8" s="11">
        <f>TableWeeklySummary[[#This Row],[Órden promedio totales]]*TableWeeklySummary[[#This Row],[CR totales]]</f>
        <v>0</v>
      </c>
      <c r="J308" s="11">
        <f>SUMIFS(TableDailySummary[Ventas primer cliente],TableDailySummary[Fecha],"&gt;="&amp;TableWeeklySummary[[#This Row],[Desde]],TableDailySummary[Fecha],"&lt;="&amp;TableWeeklySummary[[#This Row],[Hasta]])</f>
        <v>0</v>
      </c>
      <c r="K308" s="11">
        <f>SUMIFS(TableDailySummary[Órdenes primer cliente],TableDailySummary[Fecha],"&gt;="&amp;TableWeeklySummary[[#This Row],[Desde]],TableDailySummary[Fecha],"&lt;="&amp;TableWeeklySummary[[#This Row],[Hasta]])</f>
        <v>0</v>
      </c>
      <c r="L308" s="11">
        <f>SUMIFS(TableDailySummary[Online Store_net_sales],TableDailySummary[Fecha],"&gt;="&amp;TableWeeklySummary[[#This Row],[Desde]],TableDailySummary[Fecha],"&lt;="&amp;TableWeeklySummary[[#This Row],[Hasta]])</f>
        <v>0</v>
      </c>
      <c r="M308" s="11">
        <f>SUMIFS(TableDailySummary[Online Store_orders],TableDailySummary[Fecha],"&gt;="&amp;TableWeeklySummary[[#This Row],[Desde]],TableDailySummary[Fecha],"&lt;="&amp;TableWeeklySummary[[#This Row],[Hasta]])</f>
        <v>0</v>
      </c>
      <c r="N308" s="11">
        <f>SUMIFS(TableDailySummary[Tienda 81_net_sales],TableDailySummary[Fecha],"&gt;="&amp;TableWeeklySummary[[#This Row],[Desde]],TableDailySummary[Fecha],"&lt;="&amp;TableWeeklySummary[[#This Row],[Hasta]])</f>
        <v>0</v>
      </c>
      <c r="O308" s="11">
        <f>SUMIFS(TableDailySummary[Tienda 81_orders],TableDailySummary[Fecha],"&gt;="&amp;TableWeeklySummary[[#This Row],[Desde]],TableDailySummary[Fecha],"&lt;="&amp;TableWeeklySummary[[#This Row],[Hasta]])</f>
        <v>0</v>
      </c>
      <c r="P308" s="11">
        <f>SUMIFS(TableDailySummary[Rappi_net_sales],TableDailySummary[Fecha],"&gt;="&amp;TableWeeklySummary[[#This Row],[Desde]],TableDailySummary[Fecha],"&lt;="&amp;TableWeeklySummary[[#This Row],[Hasta]])</f>
        <v>0</v>
      </c>
      <c r="Q308" s="11">
        <f>SUMIFS(TableDailySummary[Rappi_orders],TableDailySummary[Fecha],"&gt;="&amp;TableWeeklySummary[[#This Row],[Desde]],TableDailySummary[Fecha],"&lt;="&amp;TableWeeklySummary[[#This Row],[Hasta]])</f>
        <v>0</v>
      </c>
      <c r="R30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8" s="11">
        <f>SUMIFS(TableDailySummary[Corporativo no tienda_orders],TableDailySummary[Fecha],"&gt;="&amp;TableWeeklySummary[[#This Row],[Desde]],TableDailySummary[Fecha],"&lt;="&amp;TableWeeklySummary[[#This Row],[Hasta]])</f>
        <v>0</v>
      </c>
      <c r="T308" s="11">
        <f>SUMIFS(TableDailySummary[Inversión google ads],TableDailySummary[Fecha],"&gt;="&amp;TableWeeklySummary[[#This Row],[Desde]],TableDailySummary[Fecha],"&lt;="&amp;TableWeeklySummary[[#This Row],[Hasta]])</f>
        <v>0</v>
      </c>
      <c r="U308" s="11">
        <f>SUMIFS(TableDailySummary[Ventas google ads],TableDailySummary[Fecha],"&gt;="&amp;TableWeeklySummary[[#This Row],[Desde]],TableDailySummary[Fecha],"&lt;="&amp;TableWeeklySummary[[#This Row],[Hasta]])</f>
        <v>0</v>
      </c>
      <c r="V308" s="11">
        <f>SUMIFS(TableDailySummary[Inversión meta ads],TableDailySummary[Fecha],"&gt;="&amp;TableWeeklySummary[[#This Row],[Desde]],TableDailySummary[Fecha],"&lt;="&amp;TableWeeklySummary[[#This Row],[Hasta]])</f>
        <v>0</v>
      </c>
      <c r="W308" s="11">
        <f>SUMIFS(TableDailySummary[Ventas meta ads],TableDailySummary[Fecha],"&gt;="&amp;TableWeeklySummary[[#This Row],[Desde]],TableDailySummary[Fecha],"&lt;="&amp;TableWeeklySummary[[#This Row],[Hasta]])</f>
        <v>0</v>
      </c>
      <c r="X308" s="11">
        <f>TableWeeklySummary[[#This Row],[Inversión google ads]]+TableWeeklySummary[[#This Row],[Inversión meta ads]]</f>
        <v>0</v>
      </c>
      <c r="Y308" s="11">
        <f>TableWeeklySummary[[#This Row],[Ventas google ads]]+TableWeeklySummary[[#This Row],[Ventas meta ads]]</f>
        <v>0</v>
      </c>
      <c r="Z308" s="14">
        <f>IFERROR(TableWeeklySummary[[#This Row],[Ventas publicidad]]/TableWeeklySummary[[#This Row],[Inversión publicidad]],0)</f>
        <v>0</v>
      </c>
      <c r="AA308" s="14">
        <f>IFERROR(TableWeeklySummary[[#This Row],[Ventas primer cliente]]/TableWeeklySummary[[#This Row],[Inversión publicidad]],0)</f>
        <v>0</v>
      </c>
      <c r="AB308" s="14"/>
      <c r="AC308" s="11"/>
      <c r="AI30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8" s="11">
        <f>SUMIFS(TableDailySummary[Costo de ventas registrado],TableDailySummary[Fecha],"&gt;="&amp;TableWeeklySummary[[#This Row],[Desde]],TableDailySummary[Fecha],"&lt;="&amp;TableWeeklySummary[[#This Row],[Hasta]])</f>
        <v>0</v>
      </c>
      <c r="AK308" s="11">
        <f>SUMIFS(TableDailySummary[Utilidad bruta],TableDailySummary[Fecha],"&gt;="&amp;TableWeeklySummary[[#This Row],[Desde]],TableDailySummary[Fecha],"&lt;="&amp;TableWeeklySummary[[#This Row],[Hasta]])</f>
        <v>0</v>
      </c>
      <c r="AL308" s="18">
        <f>IFERROR(TableWeeklySummary[[#This Row],[Utilidad bruta]]/TableWeeklySummary[[#This Row],[Ventas netas con costo registrado]],0)</f>
        <v>0</v>
      </c>
    </row>
    <row r="309" spans="2:38" x14ac:dyDescent="0.2">
      <c r="B309" s="16">
        <f>_xlfn.ISOWEEKNUM(TableWeeklySummary[[#This Row],[Hasta]])</f>
        <v>37</v>
      </c>
      <c r="C309" s="6">
        <f t="shared" si="6"/>
        <v>46640</v>
      </c>
      <c r="D309" s="6">
        <f>TableWeeklySummary[[#This Row],[Desde]]+7-1</f>
        <v>46646</v>
      </c>
      <c r="E309" s="11">
        <f>SUMIFS(TableDailySummary[Ventas netas totales],TableDailySummary[Fecha],"&gt;="&amp;TableWeeklySummary[[#This Row],[Desde]],TableDailySummary[Fecha],"&lt;="&amp;TableWeeklySummary[[#This Row],[Hasta]])</f>
        <v>0</v>
      </c>
      <c r="F309" s="11">
        <f>SUMIFS(TableDailySummary[Órdenes totales],TableDailySummary[Fecha],"&gt;="&amp;TableWeeklySummary[[#This Row],[Desde]],TableDailySummary[Fecha],"&lt;="&amp;TableWeeklySummary[[#This Row],[Hasta]])</f>
        <v>0</v>
      </c>
      <c r="G309" s="11">
        <f>IFERROR(TableWeeklySummary[[#This Row],[Ventas netas totales]]/TableWeeklySummary[[#This Row],[Órdenes totales]],0)</f>
        <v>0</v>
      </c>
      <c r="H30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09" s="11">
        <f>TableWeeklySummary[[#This Row],[Órden promedio totales]]*TableWeeklySummary[[#This Row],[CR totales]]</f>
        <v>0</v>
      </c>
      <c r="J309" s="11">
        <f>SUMIFS(TableDailySummary[Ventas primer cliente],TableDailySummary[Fecha],"&gt;="&amp;TableWeeklySummary[[#This Row],[Desde]],TableDailySummary[Fecha],"&lt;="&amp;TableWeeklySummary[[#This Row],[Hasta]])</f>
        <v>0</v>
      </c>
      <c r="K309" s="11">
        <f>SUMIFS(TableDailySummary[Órdenes primer cliente],TableDailySummary[Fecha],"&gt;="&amp;TableWeeklySummary[[#This Row],[Desde]],TableDailySummary[Fecha],"&lt;="&amp;TableWeeklySummary[[#This Row],[Hasta]])</f>
        <v>0</v>
      </c>
      <c r="L309" s="11">
        <f>SUMIFS(TableDailySummary[Online Store_net_sales],TableDailySummary[Fecha],"&gt;="&amp;TableWeeklySummary[[#This Row],[Desde]],TableDailySummary[Fecha],"&lt;="&amp;TableWeeklySummary[[#This Row],[Hasta]])</f>
        <v>0</v>
      </c>
      <c r="M309" s="11">
        <f>SUMIFS(TableDailySummary[Online Store_orders],TableDailySummary[Fecha],"&gt;="&amp;TableWeeklySummary[[#This Row],[Desde]],TableDailySummary[Fecha],"&lt;="&amp;TableWeeklySummary[[#This Row],[Hasta]])</f>
        <v>0</v>
      </c>
      <c r="N309" s="11">
        <f>SUMIFS(TableDailySummary[Tienda 81_net_sales],TableDailySummary[Fecha],"&gt;="&amp;TableWeeklySummary[[#This Row],[Desde]],TableDailySummary[Fecha],"&lt;="&amp;TableWeeklySummary[[#This Row],[Hasta]])</f>
        <v>0</v>
      </c>
      <c r="O309" s="11">
        <f>SUMIFS(TableDailySummary[Tienda 81_orders],TableDailySummary[Fecha],"&gt;="&amp;TableWeeklySummary[[#This Row],[Desde]],TableDailySummary[Fecha],"&lt;="&amp;TableWeeklySummary[[#This Row],[Hasta]])</f>
        <v>0</v>
      </c>
      <c r="P309" s="11">
        <f>SUMIFS(TableDailySummary[Rappi_net_sales],TableDailySummary[Fecha],"&gt;="&amp;TableWeeklySummary[[#This Row],[Desde]],TableDailySummary[Fecha],"&lt;="&amp;TableWeeklySummary[[#This Row],[Hasta]])</f>
        <v>0</v>
      </c>
      <c r="Q309" s="11">
        <f>SUMIFS(TableDailySummary[Rappi_orders],TableDailySummary[Fecha],"&gt;="&amp;TableWeeklySummary[[#This Row],[Desde]],TableDailySummary[Fecha],"&lt;="&amp;TableWeeklySummary[[#This Row],[Hasta]])</f>
        <v>0</v>
      </c>
      <c r="R30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09" s="11">
        <f>SUMIFS(TableDailySummary[Corporativo no tienda_orders],TableDailySummary[Fecha],"&gt;="&amp;TableWeeklySummary[[#This Row],[Desde]],TableDailySummary[Fecha],"&lt;="&amp;TableWeeklySummary[[#This Row],[Hasta]])</f>
        <v>0</v>
      </c>
      <c r="T309" s="11">
        <f>SUMIFS(TableDailySummary[Inversión google ads],TableDailySummary[Fecha],"&gt;="&amp;TableWeeklySummary[[#This Row],[Desde]],TableDailySummary[Fecha],"&lt;="&amp;TableWeeklySummary[[#This Row],[Hasta]])</f>
        <v>0</v>
      </c>
      <c r="U309" s="11">
        <f>SUMIFS(TableDailySummary[Ventas google ads],TableDailySummary[Fecha],"&gt;="&amp;TableWeeklySummary[[#This Row],[Desde]],TableDailySummary[Fecha],"&lt;="&amp;TableWeeklySummary[[#This Row],[Hasta]])</f>
        <v>0</v>
      </c>
      <c r="V309" s="11">
        <f>SUMIFS(TableDailySummary[Inversión meta ads],TableDailySummary[Fecha],"&gt;="&amp;TableWeeklySummary[[#This Row],[Desde]],TableDailySummary[Fecha],"&lt;="&amp;TableWeeklySummary[[#This Row],[Hasta]])</f>
        <v>0</v>
      </c>
      <c r="W309" s="11">
        <f>SUMIFS(TableDailySummary[Ventas meta ads],TableDailySummary[Fecha],"&gt;="&amp;TableWeeklySummary[[#This Row],[Desde]],TableDailySummary[Fecha],"&lt;="&amp;TableWeeklySummary[[#This Row],[Hasta]])</f>
        <v>0</v>
      </c>
      <c r="X309" s="11">
        <f>TableWeeklySummary[[#This Row],[Inversión google ads]]+TableWeeklySummary[[#This Row],[Inversión meta ads]]</f>
        <v>0</v>
      </c>
      <c r="Y309" s="11">
        <f>TableWeeklySummary[[#This Row],[Ventas google ads]]+TableWeeklySummary[[#This Row],[Ventas meta ads]]</f>
        <v>0</v>
      </c>
      <c r="Z309" s="14">
        <f>IFERROR(TableWeeklySummary[[#This Row],[Ventas publicidad]]/TableWeeklySummary[[#This Row],[Inversión publicidad]],0)</f>
        <v>0</v>
      </c>
      <c r="AA309" s="14">
        <f>IFERROR(TableWeeklySummary[[#This Row],[Ventas primer cliente]]/TableWeeklySummary[[#This Row],[Inversión publicidad]],0)</f>
        <v>0</v>
      </c>
      <c r="AB309" s="14"/>
      <c r="AC309" s="11"/>
      <c r="AI30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09" s="11">
        <f>SUMIFS(TableDailySummary[Costo de ventas registrado],TableDailySummary[Fecha],"&gt;="&amp;TableWeeklySummary[[#This Row],[Desde]],TableDailySummary[Fecha],"&lt;="&amp;TableWeeklySummary[[#This Row],[Hasta]])</f>
        <v>0</v>
      </c>
      <c r="AK309" s="11">
        <f>SUMIFS(TableDailySummary[Utilidad bruta],TableDailySummary[Fecha],"&gt;="&amp;TableWeeklySummary[[#This Row],[Desde]],TableDailySummary[Fecha],"&lt;="&amp;TableWeeklySummary[[#This Row],[Hasta]])</f>
        <v>0</v>
      </c>
      <c r="AL309" s="18">
        <f>IFERROR(TableWeeklySummary[[#This Row],[Utilidad bruta]]/TableWeeklySummary[[#This Row],[Ventas netas con costo registrado]],0)</f>
        <v>0</v>
      </c>
    </row>
    <row r="310" spans="2:38" x14ac:dyDescent="0.2">
      <c r="B310" s="16">
        <f>_xlfn.ISOWEEKNUM(TableWeeklySummary[[#This Row],[Hasta]])</f>
        <v>38</v>
      </c>
      <c r="C310" s="6">
        <f t="shared" si="6"/>
        <v>46647</v>
      </c>
      <c r="D310" s="6">
        <f>TableWeeklySummary[[#This Row],[Desde]]+7-1</f>
        <v>46653</v>
      </c>
      <c r="E310" s="11">
        <f>SUMIFS(TableDailySummary[Ventas netas totales],TableDailySummary[Fecha],"&gt;="&amp;TableWeeklySummary[[#This Row],[Desde]],TableDailySummary[Fecha],"&lt;="&amp;TableWeeklySummary[[#This Row],[Hasta]])</f>
        <v>0</v>
      </c>
      <c r="F310" s="11">
        <f>SUMIFS(TableDailySummary[Órdenes totales],TableDailySummary[Fecha],"&gt;="&amp;TableWeeklySummary[[#This Row],[Desde]],TableDailySummary[Fecha],"&lt;="&amp;TableWeeklySummary[[#This Row],[Hasta]])</f>
        <v>0</v>
      </c>
      <c r="G310" s="11">
        <f>IFERROR(TableWeeklySummary[[#This Row],[Ventas netas totales]]/TableWeeklySummary[[#This Row],[Órdenes totales]],0)</f>
        <v>0</v>
      </c>
      <c r="H31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0" s="11">
        <f>TableWeeklySummary[[#This Row],[Órden promedio totales]]*TableWeeklySummary[[#This Row],[CR totales]]</f>
        <v>0</v>
      </c>
      <c r="J310" s="11">
        <f>SUMIFS(TableDailySummary[Ventas primer cliente],TableDailySummary[Fecha],"&gt;="&amp;TableWeeklySummary[[#This Row],[Desde]],TableDailySummary[Fecha],"&lt;="&amp;TableWeeklySummary[[#This Row],[Hasta]])</f>
        <v>0</v>
      </c>
      <c r="K310" s="11">
        <f>SUMIFS(TableDailySummary[Órdenes primer cliente],TableDailySummary[Fecha],"&gt;="&amp;TableWeeklySummary[[#This Row],[Desde]],TableDailySummary[Fecha],"&lt;="&amp;TableWeeklySummary[[#This Row],[Hasta]])</f>
        <v>0</v>
      </c>
      <c r="L310" s="11">
        <f>SUMIFS(TableDailySummary[Online Store_net_sales],TableDailySummary[Fecha],"&gt;="&amp;TableWeeklySummary[[#This Row],[Desde]],TableDailySummary[Fecha],"&lt;="&amp;TableWeeklySummary[[#This Row],[Hasta]])</f>
        <v>0</v>
      </c>
      <c r="M310" s="11">
        <f>SUMIFS(TableDailySummary[Online Store_orders],TableDailySummary[Fecha],"&gt;="&amp;TableWeeklySummary[[#This Row],[Desde]],TableDailySummary[Fecha],"&lt;="&amp;TableWeeklySummary[[#This Row],[Hasta]])</f>
        <v>0</v>
      </c>
      <c r="N310" s="11">
        <f>SUMIFS(TableDailySummary[Tienda 81_net_sales],TableDailySummary[Fecha],"&gt;="&amp;TableWeeklySummary[[#This Row],[Desde]],TableDailySummary[Fecha],"&lt;="&amp;TableWeeklySummary[[#This Row],[Hasta]])</f>
        <v>0</v>
      </c>
      <c r="O310" s="11">
        <f>SUMIFS(TableDailySummary[Tienda 81_orders],TableDailySummary[Fecha],"&gt;="&amp;TableWeeklySummary[[#This Row],[Desde]],TableDailySummary[Fecha],"&lt;="&amp;TableWeeklySummary[[#This Row],[Hasta]])</f>
        <v>0</v>
      </c>
      <c r="P310" s="11">
        <f>SUMIFS(TableDailySummary[Rappi_net_sales],TableDailySummary[Fecha],"&gt;="&amp;TableWeeklySummary[[#This Row],[Desde]],TableDailySummary[Fecha],"&lt;="&amp;TableWeeklySummary[[#This Row],[Hasta]])</f>
        <v>0</v>
      </c>
      <c r="Q310" s="11">
        <f>SUMIFS(TableDailySummary[Rappi_orders],TableDailySummary[Fecha],"&gt;="&amp;TableWeeklySummary[[#This Row],[Desde]],TableDailySummary[Fecha],"&lt;="&amp;TableWeeklySummary[[#This Row],[Hasta]])</f>
        <v>0</v>
      </c>
      <c r="R31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0" s="11">
        <f>SUMIFS(TableDailySummary[Corporativo no tienda_orders],TableDailySummary[Fecha],"&gt;="&amp;TableWeeklySummary[[#This Row],[Desde]],TableDailySummary[Fecha],"&lt;="&amp;TableWeeklySummary[[#This Row],[Hasta]])</f>
        <v>0</v>
      </c>
      <c r="T310" s="11">
        <f>SUMIFS(TableDailySummary[Inversión google ads],TableDailySummary[Fecha],"&gt;="&amp;TableWeeklySummary[[#This Row],[Desde]],TableDailySummary[Fecha],"&lt;="&amp;TableWeeklySummary[[#This Row],[Hasta]])</f>
        <v>0</v>
      </c>
      <c r="U310" s="11">
        <f>SUMIFS(TableDailySummary[Ventas google ads],TableDailySummary[Fecha],"&gt;="&amp;TableWeeklySummary[[#This Row],[Desde]],TableDailySummary[Fecha],"&lt;="&amp;TableWeeklySummary[[#This Row],[Hasta]])</f>
        <v>0</v>
      </c>
      <c r="V310" s="11">
        <f>SUMIFS(TableDailySummary[Inversión meta ads],TableDailySummary[Fecha],"&gt;="&amp;TableWeeklySummary[[#This Row],[Desde]],TableDailySummary[Fecha],"&lt;="&amp;TableWeeklySummary[[#This Row],[Hasta]])</f>
        <v>0</v>
      </c>
      <c r="W310" s="11">
        <f>SUMIFS(TableDailySummary[Ventas meta ads],TableDailySummary[Fecha],"&gt;="&amp;TableWeeklySummary[[#This Row],[Desde]],TableDailySummary[Fecha],"&lt;="&amp;TableWeeklySummary[[#This Row],[Hasta]])</f>
        <v>0</v>
      </c>
      <c r="X310" s="11">
        <f>TableWeeklySummary[[#This Row],[Inversión google ads]]+TableWeeklySummary[[#This Row],[Inversión meta ads]]</f>
        <v>0</v>
      </c>
      <c r="Y310" s="11">
        <f>TableWeeklySummary[[#This Row],[Ventas google ads]]+TableWeeklySummary[[#This Row],[Ventas meta ads]]</f>
        <v>0</v>
      </c>
      <c r="Z310" s="14">
        <f>IFERROR(TableWeeklySummary[[#This Row],[Ventas publicidad]]/TableWeeklySummary[[#This Row],[Inversión publicidad]],0)</f>
        <v>0</v>
      </c>
      <c r="AA310" s="14">
        <f>IFERROR(TableWeeklySummary[[#This Row],[Ventas primer cliente]]/TableWeeklySummary[[#This Row],[Inversión publicidad]],0)</f>
        <v>0</v>
      </c>
      <c r="AB310" s="14"/>
      <c r="AC310" s="11"/>
      <c r="AI31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0" s="11">
        <f>SUMIFS(TableDailySummary[Costo de ventas registrado],TableDailySummary[Fecha],"&gt;="&amp;TableWeeklySummary[[#This Row],[Desde]],TableDailySummary[Fecha],"&lt;="&amp;TableWeeklySummary[[#This Row],[Hasta]])</f>
        <v>0</v>
      </c>
      <c r="AK310" s="11">
        <f>SUMIFS(TableDailySummary[Utilidad bruta],TableDailySummary[Fecha],"&gt;="&amp;TableWeeklySummary[[#This Row],[Desde]],TableDailySummary[Fecha],"&lt;="&amp;TableWeeklySummary[[#This Row],[Hasta]])</f>
        <v>0</v>
      </c>
      <c r="AL310" s="18">
        <f>IFERROR(TableWeeklySummary[[#This Row],[Utilidad bruta]]/TableWeeklySummary[[#This Row],[Ventas netas con costo registrado]],0)</f>
        <v>0</v>
      </c>
    </row>
    <row r="311" spans="2:38" x14ac:dyDescent="0.2">
      <c r="B311" s="16">
        <f>_xlfn.ISOWEEKNUM(TableWeeklySummary[[#This Row],[Hasta]])</f>
        <v>39</v>
      </c>
      <c r="C311" s="6">
        <f t="shared" si="6"/>
        <v>46654</v>
      </c>
      <c r="D311" s="6">
        <f>TableWeeklySummary[[#This Row],[Desde]]+7-1</f>
        <v>46660</v>
      </c>
      <c r="E311" s="11">
        <f>SUMIFS(TableDailySummary[Ventas netas totales],TableDailySummary[Fecha],"&gt;="&amp;TableWeeklySummary[[#This Row],[Desde]],TableDailySummary[Fecha],"&lt;="&amp;TableWeeklySummary[[#This Row],[Hasta]])</f>
        <v>0</v>
      </c>
      <c r="F311" s="11">
        <f>SUMIFS(TableDailySummary[Órdenes totales],TableDailySummary[Fecha],"&gt;="&amp;TableWeeklySummary[[#This Row],[Desde]],TableDailySummary[Fecha],"&lt;="&amp;TableWeeklySummary[[#This Row],[Hasta]])</f>
        <v>0</v>
      </c>
      <c r="G311" s="11">
        <f>IFERROR(TableWeeklySummary[[#This Row],[Ventas netas totales]]/TableWeeklySummary[[#This Row],[Órdenes totales]],0)</f>
        <v>0</v>
      </c>
      <c r="H31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1" s="11">
        <f>TableWeeklySummary[[#This Row],[Órden promedio totales]]*TableWeeklySummary[[#This Row],[CR totales]]</f>
        <v>0</v>
      </c>
      <c r="J311" s="11">
        <f>SUMIFS(TableDailySummary[Ventas primer cliente],TableDailySummary[Fecha],"&gt;="&amp;TableWeeklySummary[[#This Row],[Desde]],TableDailySummary[Fecha],"&lt;="&amp;TableWeeklySummary[[#This Row],[Hasta]])</f>
        <v>0</v>
      </c>
      <c r="K311" s="11">
        <f>SUMIFS(TableDailySummary[Órdenes primer cliente],TableDailySummary[Fecha],"&gt;="&amp;TableWeeklySummary[[#This Row],[Desde]],TableDailySummary[Fecha],"&lt;="&amp;TableWeeklySummary[[#This Row],[Hasta]])</f>
        <v>0</v>
      </c>
      <c r="L311" s="11">
        <f>SUMIFS(TableDailySummary[Online Store_net_sales],TableDailySummary[Fecha],"&gt;="&amp;TableWeeklySummary[[#This Row],[Desde]],TableDailySummary[Fecha],"&lt;="&amp;TableWeeklySummary[[#This Row],[Hasta]])</f>
        <v>0</v>
      </c>
      <c r="M311" s="11">
        <f>SUMIFS(TableDailySummary[Online Store_orders],TableDailySummary[Fecha],"&gt;="&amp;TableWeeklySummary[[#This Row],[Desde]],TableDailySummary[Fecha],"&lt;="&amp;TableWeeklySummary[[#This Row],[Hasta]])</f>
        <v>0</v>
      </c>
      <c r="N311" s="11">
        <f>SUMIFS(TableDailySummary[Tienda 81_net_sales],TableDailySummary[Fecha],"&gt;="&amp;TableWeeklySummary[[#This Row],[Desde]],TableDailySummary[Fecha],"&lt;="&amp;TableWeeklySummary[[#This Row],[Hasta]])</f>
        <v>0</v>
      </c>
      <c r="O311" s="11">
        <f>SUMIFS(TableDailySummary[Tienda 81_orders],TableDailySummary[Fecha],"&gt;="&amp;TableWeeklySummary[[#This Row],[Desde]],TableDailySummary[Fecha],"&lt;="&amp;TableWeeklySummary[[#This Row],[Hasta]])</f>
        <v>0</v>
      </c>
      <c r="P311" s="11">
        <f>SUMIFS(TableDailySummary[Rappi_net_sales],TableDailySummary[Fecha],"&gt;="&amp;TableWeeklySummary[[#This Row],[Desde]],TableDailySummary[Fecha],"&lt;="&amp;TableWeeklySummary[[#This Row],[Hasta]])</f>
        <v>0</v>
      </c>
      <c r="Q311" s="11">
        <f>SUMIFS(TableDailySummary[Rappi_orders],TableDailySummary[Fecha],"&gt;="&amp;TableWeeklySummary[[#This Row],[Desde]],TableDailySummary[Fecha],"&lt;="&amp;TableWeeklySummary[[#This Row],[Hasta]])</f>
        <v>0</v>
      </c>
      <c r="R31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1" s="11">
        <f>SUMIFS(TableDailySummary[Corporativo no tienda_orders],TableDailySummary[Fecha],"&gt;="&amp;TableWeeklySummary[[#This Row],[Desde]],TableDailySummary[Fecha],"&lt;="&amp;TableWeeklySummary[[#This Row],[Hasta]])</f>
        <v>0</v>
      </c>
      <c r="T311" s="11">
        <f>SUMIFS(TableDailySummary[Inversión google ads],TableDailySummary[Fecha],"&gt;="&amp;TableWeeklySummary[[#This Row],[Desde]],TableDailySummary[Fecha],"&lt;="&amp;TableWeeklySummary[[#This Row],[Hasta]])</f>
        <v>0</v>
      </c>
      <c r="U311" s="11">
        <f>SUMIFS(TableDailySummary[Ventas google ads],TableDailySummary[Fecha],"&gt;="&amp;TableWeeklySummary[[#This Row],[Desde]],TableDailySummary[Fecha],"&lt;="&amp;TableWeeklySummary[[#This Row],[Hasta]])</f>
        <v>0</v>
      </c>
      <c r="V311" s="11">
        <f>SUMIFS(TableDailySummary[Inversión meta ads],TableDailySummary[Fecha],"&gt;="&amp;TableWeeklySummary[[#This Row],[Desde]],TableDailySummary[Fecha],"&lt;="&amp;TableWeeklySummary[[#This Row],[Hasta]])</f>
        <v>0</v>
      </c>
      <c r="W311" s="11">
        <f>SUMIFS(TableDailySummary[Ventas meta ads],TableDailySummary[Fecha],"&gt;="&amp;TableWeeklySummary[[#This Row],[Desde]],TableDailySummary[Fecha],"&lt;="&amp;TableWeeklySummary[[#This Row],[Hasta]])</f>
        <v>0</v>
      </c>
      <c r="X311" s="11">
        <f>TableWeeklySummary[[#This Row],[Inversión google ads]]+TableWeeklySummary[[#This Row],[Inversión meta ads]]</f>
        <v>0</v>
      </c>
      <c r="Y311" s="11">
        <f>TableWeeklySummary[[#This Row],[Ventas google ads]]+TableWeeklySummary[[#This Row],[Ventas meta ads]]</f>
        <v>0</v>
      </c>
      <c r="Z311" s="14">
        <f>IFERROR(TableWeeklySummary[[#This Row],[Ventas publicidad]]/TableWeeklySummary[[#This Row],[Inversión publicidad]],0)</f>
        <v>0</v>
      </c>
      <c r="AA311" s="14">
        <f>IFERROR(TableWeeklySummary[[#This Row],[Ventas primer cliente]]/TableWeeklySummary[[#This Row],[Inversión publicidad]],0)</f>
        <v>0</v>
      </c>
      <c r="AB311" s="14"/>
      <c r="AC311" s="11"/>
      <c r="AI31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1" s="11">
        <f>SUMIFS(TableDailySummary[Costo de ventas registrado],TableDailySummary[Fecha],"&gt;="&amp;TableWeeklySummary[[#This Row],[Desde]],TableDailySummary[Fecha],"&lt;="&amp;TableWeeklySummary[[#This Row],[Hasta]])</f>
        <v>0</v>
      </c>
      <c r="AK311" s="11">
        <f>SUMIFS(TableDailySummary[Utilidad bruta],TableDailySummary[Fecha],"&gt;="&amp;TableWeeklySummary[[#This Row],[Desde]],TableDailySummary[Fecha],"&lt;="&amp;TableWeeklySummary[[#This Row],[Hasta]])</f>
        <v>0</v>
      </c>
      <c r="AL311" s="18">
        <f>IFERROR(TableWeeklySummary[[#This Row],[Utilidad bruta]]/TableWeeklySummary[[#This Row],[Ventas netas con costo registrado]],0)</f>
        <v>0</v>
      </c>
    </row>
    <row r="312" spans="2:38" x14ac:dyDescent="0.2">
      <c r="B312" s="16">
        <f>_xlfn.ISOWEEKNUM(TableWeeklySummary[[#This Row],[Hasta]])</f>
        <v>40</v>
      </c>
      <c r="C312" s="6">
        <f t="shared" si="6"/>
        <v>46661</v>
      </c>
      <c r="D312" s="6">
        <f>TableWeeklySummary[[#This Row],[Desde]]+7-1</f>
        <v>46667</v>
      </c>
      <c r="E312" s="11">
        <f>SUMIFS(TableDailySummary[Ventas netas totales],TableDailySummary[Fecha],"&gt;="&amp;TableWeeklySummary[[#This Row],[Desde]],TableDailySummary[Fecha],"&lt;="&amp;TableWeeklySummary[[#This Row],[Hasta]])</f>
        <v>0</v>
      </c>
      <c r="F312" s="11">
        <f>SUMIFS(TableDailySummary[Órdenes totales],TableDailySummary[Fecha],"&gt;="&amp;TableWeeklySummary[[#This Row],[Desde]],TableDailySummary[Fecha],"&lt;="&amp;TableWeeklySummary[[#This Row],[Hasta]])</f>
        <v>0</v>
      </c>
      <c r="G312" s="11">
        <f>IFERROR(TableWeeklySummary[[#This Row],[Ventas netas totales]]/TableWeeklySummary[[#This Row],[Órdenes totales]],0)</f>
        <v>0</v>
      </c>
      <c r="H31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2" s="11">
        <f>TableWeeklySummary[[#This Row],[Órden promedio totales]]*TableWeeklySummary[[#This Row],[CR totales]]</f>
        <v>0</v>
      </c>
      <c r="J312" s="11">
        <f>SUMIFS(TableDailySummary[Ventas primer cliente],TableDailySummary[Fecha],"&gt;="&amp;TableWeeklySummary[[#This Row],[Desde]],TableDailySummary[Fecha],"&lt;="&amp;TableWeeklySummary[[#This Row],[Hasta]])</f>
        <v>0</v>
      </c>
      <c r="K312" s="11">
        <f>SUMIFS(TableDailySummary[Órdenes primer cliente],TableDailySummary[Fecha],"&gt;="&amp;TableWeeklySummary[[#This Row],[Desde]],TableDailySummary[Fecha],"&lt;="&amp;TableWeeklySummary[[#This Row],[Hasta]])</f>
        <v>0</v>
      </c>
      <c r="L312" s="11">
        <f>SUMIFS(TableDailySummary[Online Store_net_sales],TableDailySummary[Fecha],"&gt;="&amp;TableWeeklySummary[[#This Row],[Desde]],TableDailySummary[Fecha],"&lt;="&amp;TableWeeklySummary[[#This Row],[Hasta]])</f>
        <v>0</v>
      </c>
      <c r="M312" s="11">
        <f>SUMIFS(TableDailySummary[Online Store_orders],TableDailySummary[Fecha],"&gt;="&amp;TableWeeklySummary[[#This Row],[Desde]],TableDailySummary[Fecha],"&lt;="&amp;TableWeeklySummary[[#This Row],[Hasta]])</f>
        <v>0</v>
      </c>
      <c r="N312" s="11">
        <f>SUMIFS(TableDailySummary[Tienda 81_net_sales],TableDailySummary[Fecha],"&gt;="&amp;TableWeeklySummary[[#This Row],[Desde]],TableDailySummary[Fecha],"&lt;="&amp;TableWeeklySummary[[#This Row],[Hasta]])</f>
        <v>0</v>
      </c>
      <c r="O312" s="11">
        <f>SUMIFS(TableDailySummary[Tienda 81_orders],TableDailySummary[Fecha],"&gt;="&amp;TableWeeklySummary[[#This Row],[Desde]],TableDailySummary[Fecha],"&lt;="&amp;TableWeeklySummary[[#This Row],[Hasta]])</f>
        <v>0</v>
      </c>
      <c r="P312" s="11">
        <f>SUMIFS(TableDailySummary[Rappi_net_sales],TableDailySummary[Fecha],"&gt;="&amp;TableWeeklySummary[[#This Row],[Desde]],TableDailySummary[Fecha],"&lt;="&amp;TableWeeklySummary[[#This Row],[Hasta]])</f>
        <v>0</v>
      </c>
      <c r="Q312" s="11">
        <f>SUMIFS(TableDailySummary[Rappi_orders],TableDailySummary[Fecha],"&gt;="&amp;TableWeeklySummary[[#This Row],[Desde]],TableDailySummary[Fecha],"&lt;="&amp;TableWeeklySummary[[#This Row],[Hasta]])</f>
        <v>0</v>
      </c>
      <c r="R31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2" s="11">
        <f>SUMIFS(TableDailySummary[Corporativo no tienda_orders],TableDailySummary[Fecha],"&gt;="&amp;TableWeeklySummary[[#This Row],[Desde]],TableDailySummary[Fecha],"&lt;="&amp;TableWeeklySummary[[#This Row],[Hasta]])</f>
        <v>0</v>
      </c>
      <c r="T312" s="11">
        <f>SUMIFS(TableDailySummary[Inversión google ads],TableDailySummary[Fecha],"&gt;="&amp;TableWeeklySummary[[#This Row],[Desde]],TableDailySummary[Fecha],"&lt;="&amp;TableWeeklySummary[[#This Row],[Hasta]])</f>
        <v>0</v>
      </c>
      <c r="U312" s="11">
        <f>SUMIFS(TableDailySummary[Ventas google ads],TableDailySummary[Fecha],"&gt;="&amp;TableWeeklySummary[[#This Row],[Desde]],TableDailySummary[Fecha],"&lt;="&amp;TableWeeklySummary[[#This Row],[Hasta]])</f>
        <v>0</v>
      </c>
      <c r="V312" s="11">
        <f>SUMIFS(TableDailySummary[Inversión meta ads],TableDailySummary[Fecha],"&gt;="&amp;TableWeeklySummary[[#This Row],[Desde]],TableDailySummary[Fecha],"&lt;="&amp;TableWeeklySummary[[#This Row],[Hasta]])</f>
        <v>0</v>
      </c>
      <c r="W312" s="11">
        <f>SUMIFS(TableDailySummary[Ventas meta ads],TableDailySummary[Fecha],"&gt;="&amp;TableWeeklySummary[[#This Row],[Desde]],TableDailySummary[Fecha],"&lt;="&amp;TableWeeklySummary[[#This Row],[Hasta]])</f>
        <v>0</v>
      </c>
      <c r="X312" s="11">
        <f>TableWeeklySummary[[#This Row],[Inversión google ads]]+TableWeeklySummary[[#This Row],[Inversión meta ads]]</f>
        <v>0</v>
      </c>
      <c r="Y312" s="11">
        <f>TableWeeklySummary[[#This Row],[Ventas google ads]]+TableWeeklySummary[[#This Row],[Ventas meta ads]]</f>
        <v>0</v>
      </c>
      <c r="Z312" s="14">
        <f>IFERROR(TableWeeklySummary[[#This Row],[Ventas publicidad]]/TableWeeklySummary[[#This Row],[Inversión publicidad]],0)</f>
        <v>0</v>
      </c>
      <c r="AA312" s="14">
        <f>IFERROR(TableWeeklySummary[[#This Row],[Ventas primer cliente]]/TableWeeklySummary[[#This Row],[Inversión publicidad]],0)</f>
        <v>0</v>
      </c>
      <c r="AB312" s="14"/>
      <c r="AC312" s="11"/>
      <c r="AI31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2" s="11">
        <f>SUMIFS(TableDailySummary[Costo de ventas registrado],TableDailySummary[Fecha],"&gt;="&amp;TableWeeklySummary[[#This Row],[Desde]],TableDailySummary[Fecha],"&lt;="&amp;TableWeeklySummary[[#This Row],[Hasta]])</f>
        <v>0</v>
      </c>
      <c r="AK312" s="11">
        <f>SUMIFS(TableDailySummary[Utilidad bruta],TableDailySummary[Fecha],"&gt;="&amp;TableWeeklySummary[[#This Row],[Desde]],TableDailySummary[Fecha],"&lt;="&amp;TableWeeklySummary[[#This Row],[Hasta]])</f>
        <v>0</v>
      </c>
      <c r="AL312" s="18">
        <f>IFERROR(TableWeeklySummary[[#This Row],[Utilidad bruta]]/TableWeeklySummary[[#This Row],[Ventas netas con costo registrado]],0)</f>
        <v>0</v>
      </c>
    </row>
    <row r="313" spans="2:38" x14ac:dyDescent="0.2">
      <c r="B313" s="16">
        <f>_xlfn.ISOWEEKNUM(TableWeeklySummary[[#This Row],[Hasta]])</f>
        <v>41</v>
      </c>
      <c r="C313" s="6">
        <f t="shared" si="6"/>
        <v>46668</v>
      </c>
      <c r="D313" s="6">
        <f>TableWeeklySummary[[#This Row],[Desde]]+7-1</f>
        <v>46674</v>
      </c>
      <c r="E313" s="11">
        <f>SUMIFS(TableDailySummary[Ventas netas totales],TableDailySummary[Fecha],"&gt;="&amp;TableWeeklySummary[[#This Row],[Desde]],TableDailySummary[Fecha],"&lt;="&amp;TableWeeklySummary[[#This Row],[Hasta]])</f>
        <v>0</v>
      </c>
      <c r="F313" s="11">
        <f>SUMIFS(TableDailySummary[Órdenes totales],TableDailySummary[Fecha],"&gt;="&amp;TableWeeklySummary[[#This Row],[Desde]],TableDailySummary[Fecha],"&lt;="&amp;TableWeeklySummary[[#This Row],[Hasta]])</f>
        <v>0</v>
      </c>
      <c r="G313" s="11">
        <f>IFERROR(TableWeeklySummary[[#This Row],[Ventas netas totales]]/TableWeeklySummary[[#This Row],[Órdenes totales]],0)</f>
        <v>0</v>
      </c>
      <c r="H31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3" s="11">
        <f>TableWeeklySummary[[#This Row],[Órden promedio totales]]*TableWeeklySummary[[#This Row],[CR totales]]</f>
        <v>0</v>
      </c>
      <c r="J313" s="11">
        <f>SUMIFS(TableDailySummary[Ventas primer cliente],TableDailySummary[Fecha],"&gt;="&amp;TableWeeklySummary[[#This Row],[Desde]],TableDailySummary[Fecha],"&lt;="&amp;TableWeeklySummary[[#This Row],[Hasta]])</f>
        <v>0</v>
      </c>
      <c r="K313" s="11">
        <f>SUMIFS(TableDailySummary[Órdenes primer cliente],TableDailySummary[Fecha],"&gt;="&amp;TableWeeklySummary[[#This Row],[Desde]],TableDailySummary[Fecha],"&lt;="&amp;TableWeeklySummary[[#This Row],[Hasta]])</f>
        <v>0</v>
      </c>
      <c r="L313" s="11">
        <f>SUMIFS(TableDailySummary[Online Store_net_sales],TableDailySummary[Fecha],"&gt;="&amp;TableWeeklySummary[[#This Row],[Desde]],TableDailySummary[Fecha],"&lt;="&amp;TableWeeklySummary[[#This Row],[Hasta]])</f>
        <v>0</v>
      </c>
      <c r="M313" s="11">
        <f>SUMIFS(TableDailySummary[Online Store_orders],TableDailySummary[Fecha],"&gt;="&amp;TableWeeklySummary[[#This Row],[Desde]],TableDailySummary[Fecha],"&lt;="&amp;TableWeeklySummary[[#This Row],[Hasta]])</f>
        <v>0</v>
      </c>
      <c r="N313" s="11">
        <f>SUMIFS(TableDailySummary[Tienda 81_net_sales],TableDailySummary[Fecha],"&gt;="&amp;TableWeeklySummary[[#This Row],[Desde]],TableDailySummary[Fecha],"&lt;="&amp;TableWeeklySummary[[#This Row],[Hasta]])</f>
        <v>0</v>
      </c>
      <c r="O313" s="11">
        <f>SUMIFS(TableDailySummary[Tienda 81_orders],TableDailySummary[Fecha],"&gt;="&amp;TableWeeklySummary[[#This Row],[Desde]],TableDailySummary[Fecha],"&lt;="&amp;TableWeeklySummary[[#This Row],[Hasta]])</f>
        <v>0</v>
      </c>
      <c r="P313" s="11">
        <f>SUMIFS(TableDailySummary[Rappi_net_sales],TableDailySummary[Fecha],"&gt;="&amp;TableWeeklySummary[[#This Row],[Desde]],TableDailySummary[Fecha],"&lt;="&amp;TableWeeklySummary[[#This Row],[Hasta]])</f>
        <v>0</v>
      </c>
      <c r="Q313" s="11">
        <f>SUMIFS(TableDailySummary[Rappi_orders],TableDailySummary[Fecha],"&gt;="&amp;TableWeeklySummary[[#This Row],[Desde]],TableDailySummary[Fecha],"&lt;="&amp;TableWeeklySummary[[#This Row],[Hasta]])</f>
        <v>0</v>
      </c>
      <c r="R31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3" s="11">
        <f>SUMIFS(TableDailySummary[Corporativo no tienda_orders],TableDailySummary[Fecha],"&gt;="&amp;TableWeeklySummary[[#This Row],[Desde]],TableDailySummary[Fecha],"&lt;="&amp;TableWeeklySummary[[#This Row],[Hasta]])</f>
        <v>0</v>
      </c>
      <c r="T313" s="11">
        <f>SUMIFS(TableDailySummary[Inversión google ads],TableDailySummary[Fecha],"&gt;="&amp;TableWeeklySummary[[#This Row],[Desde]],TableDailySummary[Fecha],"&lt;="&amp;TableWeeklySummary[[#This Row],[Hasta]])</f>
        <v>0</v>
      </c>
      <c r="U313" s="11">
        <f>SUMIFS(TableDailySummary[Ventas google ads],TableDailySummary[Fecha],"&gt;="&amp;TableWeeklySummary[[#This Row],[Desde]],TableDailySummary[Fecha],"&lt;="&amp;TableWeeklySummary[[#This Row],[Hasta]])</f>
        <v>0</v>
      </c>
      <c r="V313" s="11">
        <f>SUMIFS(TableDailySummary[Inversión meta ads],TableDailySummary[Fecha],"&gt;="&amp;TableWeeklySummary[[#This Row],[Desde]],TableDailySummary[Fecha],"&lt;="&amp;TableWeeklySummary[[#This Row],[Hasta]])</f>
        <v>0</v>
      </c>
      <c r="W313" s="11">
        <f>SUMIFS(TableDailySummary[Ventas meta ads],TableDailySummary[Fecha],"&gt;="&amp;TableWeeklySummary[[#This Row],[Desde]],TableDailySummary[Fecha],"&lt;="&amp;TableWeeklySummary[[#This Row],[Hasta]])</f>
        <v>0</v>
      </c>
      <c r="X313" s="11">
        <f>TableWeeklySummary[[#This Row],[Inversión google ads]]+TableWeeklySummary[[#This Row],[Inversión meta ads]]</f>
        <v>0</v>
      </c>
      <c r="Y313" s="11">
        <f>TableWeeklySummary[[#This Row],[Ventas google ads]]+TableWeeklySummary[[#This Row],[Ventas meta ads]]</f>
        <v>0</v>
      </c>
      <c r="Z313" s="14">
        <f>IFERROR(TableWeeklySummary[[#This Row],[Ventas publicidad]]/TableWeeklySummary[[#This Row],[Inversión publicidad]],0)</f>
        <v>0</v>
      </c>
      <c r="AA313" s="14">
        <f>IFERROR(TableWeeklySummary[[#This Row],[Ventas primer cliente]]/TableWeeklySummary[[#This Row],[Inversión publicidad]],0)</f>
        <v>0</v>
      </c>
      <c r="AB313" s="14"/>
      <c r="AC313" s="11"/>
      <c r="AI31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3" s="11">
        <f>SUMIFS(TableDailySummary[Costo de ventas registrado],TableDailySummary[Fecha],"&gt;="&amp;TableWeeklySummary[[#This Row],[Desde]],TableDailySummary[Fecha],"&lt;="&amp;TableWeeklySummary[[#This Row],[Hasta]])</f>
        <v>0</v>
      </c>
      <c r="AK313" s="11">
        <f>SUMIFS(TableDailySummary[Utilidad bruta],TableDailySummary[Fecha],"&gt;="&amp;TableWeeklySummary[[#This Row],[Desde]],TableDailySummary[Fecha],"&lt;="&amp;TableWeeklySummary[[#This Row],[Hasta]])</f>
        <v>0</v>
      </c>
      <c r="AL313" s="18">
        <f>IFERROR(TableWeeklySummary[[#This Row],[Utilidad bruta]]/TableWeeklySummary[[#This Row],[Ventas netas con costo registrado]],0)</f>
        <v>0</v>
      </c>
    </row>
    <row r="314" spans="2:38" x14ac:dyDescent="0.2">
      <c r="B314" s="16">
        <f>_xlfn.ISOWEEKNUM(TableWeeklySummary[[#This Row],[Hasta]])</f>
        <v>42</v>
      </c>
      <c r="C314" s="6">
        <f t="shared" si="6"/>
        <v>46675</v>
      </c>
      <c r="D314" s="6">
        <f>TableWeeklySummary[[#This Row],[Desde]]+7-1</f>
        <v>46681</v>
      </c>
      <c r="E314" s="11">
        <f>SUMIFS(TableDailySummary[Ventas netas totales],TableDailySummary[Fecha],"&gt;="&amp;TableWeeklySummary[[#This Row],[Desde]],TableDailySummary[Fecha],"&lt;="&amp;TableWeeklySummary[[#This Row],[Hasta]])</f>
        <v>0</v>
      </c>
      <c r="F314" s="11">
        <f>SUMIFS(TableDailySummary[Órdenes totales],TableDailySummary[Fecha],"&gt;="&amp;TableWeeklySummary[[#This Row],[Desde]],TableDailySummary[Fecha],"&lt;="&amp;TableWeeklySummary[[#This Row],[Hasta]])</f>
        <v>0</v>
      </c>
      <c r="G314" s="11">
        <f>IFERROR(TableWeeklySummary[[#This Row],[Ventas netas totales]]/TableWeeklySummary[[#This Row],[Órdenes totales]],0)</f>
        <v>0</v>
      </c>
      <c r="H31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4" s="11">
        <f>TableWeeklySummary[[#This Row],[Órden promedio totales]]*TableWeeklySummary[[#This Row],[CR totales]]</f>
        <v>0</v>
      </c>
      <c r="J314" s="11">
        <f>SUMIFS(TableDailySummary[Ventas primer cliente],TableDailySummary[Fecha],"&gt;="&amp;TableWeeklySummary[[#This Row],[Desde]],TableDailySummary[Fecha],"&lt;="&amp;TableWeeklySummary[[#This Row],[Hasta]])</f>
        <v>0</v>
      </c>
      <c r="K314" s="11">
        <f>SUMIFS(TableDailySummary[Órdenes primer cliente],TableDailySummary[Fecha],"&gt;="&amp;TableWeeklySummary[[#This Row],[Desde]],TableDailySummary[Fecha],"&lt;="&amp;TableWeeklySummary[[#This Row],[Hasta]])</f>
        <v>0</v>
      </c>
      <c r="L314" s="11">
        <f>SUMIFS(TableDailySummary[Online Store_net_sales],TableDailySummary[Fecha],"&gt;="&amp;TableWeeklySummary[[#This Row],[Desde]],TableDailySummary[Fecha],"&lt;="&amp;TableWeeklySummary[[#This Row],[Hasta]])</f>
        <v>0</v>
      </c>
      <c r="M314" s="11">
        <f>SUMIFS(TableDailySummary[Online Store_orders],TableDailySummary[Fecha],"&gt;="&amp;TableWeeklySummary[[#This Row],[Desde]],TableDailySummary[Fecha],"&lt;="&amp;TableWeeklySummary[[#This Row],[Hasta]])</f>
        <v>0</v>
      </c>
      <c r="N314" s="11">
        <f>SUMIFS(TableDailySummary[Tienda 81_net_sales],TableDailySummary[Fecha],"&gt;="&amp;TableWeeklySummary[[#This Row],[Desde]],TableDailySummary[Fecha],"&lt;="&amp;TableWeeklySummary[[#This Row],[Hasta]])</f>
        <v>0</v>
      </c>
      <c r="O314" s="11">
        <f>SUMIFS(TableDailySummary[Tienda 81_orders],TableDailySummary[Fecha],"&gt;="&amp;TableWeeklySummary[[#This Row],[Desde]],TableDailySummary[Fecha],"&lt;="&amp;TableWeeklySummary[[#This Row],[Hasta]])</f>
        <v>0</v>
      </c>
      <c r="P314" s="11">
        <f>SUMIFS(TableDailySummary[Rappi_net_sales],TableDailySummary[Fecha],"&gt;="&amp;TableWeeklySummary[[#This Row],[Desde]],TableDailySummary[Fecha],"&lt;="&amp;TableWeeklySummary[[#This Row],[Hasta]])</f>
        <v>0</v>
      </c>
      <c r="Q314" s="11">
        <f>SUMIFS(TableDailySummary[Rappi_orders],TableDailySummary[Fecha],"&gt;="&amp;TableWeeklySummary[[#This Row],[Desde]],TableDailySummary[Fecha],"&lt;="&amp;TableWeeklySummary[[#This Row],[Hasta]])</f>
        <v>0</v>
      </c>
      <c r="R31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4" s="11">
        <f>SUMIFS(TableDailySummary[Corporativo no tienda_orders],TableDailySummary[Fecha],"&gt;="&amp;TableWeeklySummary[[#This Row],[Desde]],TableDailySummary[Fecha],"&lt;="&amp;TableWeeklySummary[[#This Row],[Hasta]])</f>
        <v>0</v>
      </c>
      <c r="T314" s="11">
        <f>SUMIFS(TableDailySummary[Inversión google ads],TableDailySummary[Fecha],"&gt;="&amp;TableWeeklySummary[[#This Row],[Desde]],TableDailySummary[Fecha],"&lt;="&amp;TableWeeklySummary[[#This Row],[Hasta]])</f>
        <v>0</v>
      </c>
      <c r="U314" s="11">
        <f>SUMIFS(TableDailySummary[Ventas google ads],TableDailySummary[Fecha],"&gt;="&amp;TableWeeklySummary[[#This Row],[Desde]],TableDailySummary[Fecha],"&lt;="&amp;TableWeeklySummary[[#This Row],[Hasta]])</f>
        <v>0</v>
      </c>
      <c r="V314" s="11">
        <f>SUMIFS(TableDailySummary[Inversión meta ads],TableDailySummary[Fecha],"&gt;="&amp;TableWeeklySummary[[#This Row],[Desde]],TableDailySummary[Fecha],"&lt;="&amp;TableWeeklySummary[[#This Row],[Hasta]])</f>
        <v>0</v>
      </c>
      <c r="W314" s="11">
        <f>SUMIFS(TableDailySummary[Ventas meta ads],TableDailySummary[Fecha],"&gt;="&amp;TableWeeklySummary[[#This Row],[Desde]],TableDailySummary[Fecha],"&lt;="&amp;TableWeeklySummary[[#This Row],[Hasta]])</f>
        <v>0</v>
      </c>
      <c r="X314" s="11">
        <f>TableWeeklySummary[[#This Row],[Inversión google ads]]+TableWeeklySummary[[#This Row],[Inversión meta ads]]</f>
        <v>0</v>
      </c>
      <c r="Y314" s="11">
        <f>TableWeeklySummary[[#This Row],[Ventas google ads]]+TableWeeklySummary[[#This Row],[Ventas meta ads]]</f>
        <v>0</v>
      </c>
      <c r="Z314" s="14">
        <f>IFERROR(TableWeeklySummary[[#This Row],[Ventas publicidad]]/TableWeeklySummary[[#This Row],[Inversión publicidad]],0)</f>
        <v>0</v>
      </c>
      <c r="AA314" s="14">
        <f>IFERROR(TableWeeklySummary[[#This Row],[Ventas primer cliente]]/TableWeeklySummary[[#This Row],[Inversión publicidad]],0)</f>
        <v>0</v>
      </c>
      <c r="AB314" s="14"/>
      <c r="AC314" s="11"/>
      <c r="AI31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4" s="11">
        <f>SUMIFS(TableDailySummary[Costo de ventas registrado],TableDailySummary[Fecha],"&gt;="&amp;TableWeeklySummary[[#This Row],[Desde]],TableDailySummary[Fecha],"&lt;="&amp;TableWeeklySummary[[#This Row],[Hasta]])</f>
        <v>0</v>
      </c>
      <c r="AK314" s="11">
        <f>SUMIFS(TableDailySummary[Utilidad bruta],TableDailySummary[Fecha],"&gt;="&amp;TableWeeklySummary[[#This Row],[Desde]],TableDailySummary[Fecha],"&lt;="&amp;TableWeeklySummary[[#This Row],[Hasta]])</f>
        <v>0</v>
      </c>
      <c r="AL314" s="18">
        <f>IFERROR(TableWeeklySummary[[#This Row],[Utilidad bruta]]/TableWeeklySummary[[#This Row],[Ventas netas con costo registrado]],0)</f>
        <v>0</v>
      </c>
    </row>
    <row r="315" spans="2:38" x14ac:dyDescent="0.2">
      <c r="B315" s="16">
        <f>_xlfn.ISOWEEKNUM(TableWeeklySummary[[#This Row],[Hasta]])</f>
        <v>43</v>
      </c>
      <c r="C315" s="6">
        <f t="shared" si="6"/>
        <v>46682</v>
      </c>
      <c r="D315" s="6">
        <f>TableWeeklySummary[[#This Row],[Desde]]+7-1</f>
        <v>46688</v>
      </c>
      <c r="E315" s="11">
        <f>SUMIFS(TableDailySummary[Ventas netas totales],TableDailySummary[Fecha],"&gt;="&amp;TableWeeklySummary[[#This Row],[Desde]],TableDailySummary[Fecha],"&lt;="&amp;TableWeeklySummary[[#This Row],[Hasta]])</f>
        <v>0</v>
      </c>
      <c r="F315" s="11">
        <f>SUMIFS(TableDailySummary[Órdenes totales],TableDailySummary[Fecha],"&gt;="&amp;TableWeeklySummary[[#This Row],[Desde]],TableDailySummary[Fecha],"&lt;="&amp;TableWeeklySummary[[#This Row],[Hasta]])</f>
        <v>0</v>
      </c>
      <c r="G315" s="11">
        <f>IFERROR(TableWeeklySummary[[#This Row],[Ventas netas totales]]/TableWeeklySummary[[#This Row],[Órdenes totales]],0)</f>
        <v>0</v>
      </c>
      <c r="H31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5" s="11">
        <f>TableWeeklySummary[[#This Row],[Órden promedio totales]]*TableWeeklySummary[[#This Row],[CR totales]]</f>
        <v>0</v>
      </c>
      <c r="J315" s="11">
        <f>SUMIFS(TableDailySummary[Ventas primer cliente],TableDailySummary[Fecha],"&gt;="&amp;TableWeeklySummary[[#This Row],[Desde]],TableDailySummary[Fecha],"&lt;="&amp;TableWeeklySummary[[#This Row],[Hasta]])</f>
        <v>0</v>
      </c>
      <c r="K315" s="11">
        <f>SUMIFS(TableDailySummary[Órdenes primer cliente],TableDailySummary[Fecha],"&gt;="&amp;TableWeeklySummary[[#This Row],[Desde]],TableDailySummary[Fecha],"&lt;="&amp;TableWeeklySummary[[#This Row],[Hasta]])</f>
        <v>0</v>
      </c>
      <c r="L315" s="11">
        <f>SUMIFS(TableDailySummary[Online Store_net_sales],TableDailySummary[Fecha],"&gt;="&amp;TableWeeklySummary[[#This Row],[Desde]],TableDailySummary[Fecha],"&lt;="&amp;TableWeeklySummary[[#This Row],[Hasta]])</f>
        <v>0</v>
      </c>
      <c r="M315" s="11">
        <f>SUMIFS(TableDailySummary[Online Store_orders],TableDailySummary[Fecha],"&gt;="&amp;TableWeeklySummary[[#This Row],[Desde]],TableDailySummary[Fecha],"&lt;="&amp;TableWeeklySummary[[#This Row],[Hasta]])</f>
        <v>0</v>
      </c>
      <c r="N315" s="11">
        <f>SUMIFS(TableDailySummary[Tienda 81_net_sales],TableDailySummary[Fecha],"&gt;="&amp;TableWeeklySummary[[#This Row],[Desde]],TableDailySummary[Fecha],"&lt;="&amp;TableWeeklySummary[[#This Row],[Hasta]])</f>
        <v>0</v>
      </c>
      <c r="O315" s="11">
        <f>SUMIFS(TableDailySummary[Tienda 81_orders],TableDailySummary[Fecha],"&gt;="&amp;TableWeeklySummary[[#This Row],[Desde]],TableDailySummary[Fecha],"&lt;="&amp;TableWeeklySummary[[#This Row],[Hasta]])</f>
        <v>0</v>
      </c>
      <c r="P315" s="11">
        <f>SUMIFS(TableDailySummary[Rappi_net_sales],TableDailySummary[Fecha],"&gt;="&amp;TableWeeklySummary[[#This Row],[Desde]],TableDailySummary[Fecha],"&lt;="&amp;TableWeeklySummary[[#This Row],[Hasta]])</f>
        <v>0</v>
      </c>
      <c r="Q315" s="11">
        <f>SUMIFS(TableDailySummary[Rappi_orders],TableDailySummary[Fecha],"&gt;="&amp;TableWeeklySummary[[#This Row],[Desde]],TableDailySummary[Fecha],"&lt;="&amp;TableWeeklySummary[[#This Row],[Hasta]])</f>
        <v>0</v>
      </c>
      <c r="R31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5" s="11">
        <f>SUMIFS(TableDailySummary[Corporativo no tienda_orders],TableDailySummary[Fecha],"&gt;="&amp;TableWeeklySummary[[#This Row],[Desde]],TableDailySummary[Fecha],"&lt;="&amp;TableWeeklySummary[[#This Row],[Hasta]])</f>
        <v>0</v>
      </c>
      <c r="T315" s="11">
        <f>SUMIFS(TableDailySummary[Inversión google ads],TableDailySummary[Fecha],"&gt;="&amp;TableWeeklySummary[[#This Row],[Desde]],TableDailySummary[Fecha],"&lt;="&amp;TableWeeklySummary[[#This Row],[Hasta]])</f>
        <v>0</v>
      </c>
      <c r="U315" s="11">
        <f>SUMIFS(TableDailySummary[Ventas google ads],TableDailySummary[Fecha],"&gt;="&amp;TableWeeklySummary[[#This Row],[Desde]],TableDailySummary[Fecha],"&lt;="&amp;TableWeeklySummary[[#This Row],[Hasta]])</f>
        <v>0</v>
      </c>
      <c r="V315" s="11">
        <f>SUMIFS(TableDailySummary[Inversión meta ads],TableDailySummary[Fecha],"&gt;="&amp;TableWeeklySummary[[#This Row],[Desde]],TableDailySummary[Fecha],"&lt;="&amp;TableWeeklySummary[[#This Row],[Hasta]])</f>
        <v>0</v>
      </c>
      <c r="W315" s="11">
        <f>SUMIFS(TableDailySummary[Ventas meta ads],TableDailySummary[Fecha],"&gt;="&amp;TableWeeklySummary[[#This Row],[Desde]],TableDailySummary[Fecha],"&lt;="&amp;TableWeeklySummary[[#This Row],[Hasta]])</f>
        <v>0</v>
      </c>
      <c r="X315" s="11">
        <f>TableWeeklySummary[[#This Row],[Inversión google ads]]+TableWeeklySummary[[#This Row],[Inversión meta ads]]</f>
        <v>0</v>
      </c>
      <c r="Y315" s="11">
        <f>TableWeeklySummary[[#This Row],[Ventas google ads]]+TableWeeklySummary[[#This Row],[Ventas meta ads]]</f>
        <v>0</v>
      </c>
      <c r="Z315" s="14">
        <f>IFERROR(TableWeeklySummary[[#This Row],[Ventas publicidad]]/TableWeeklySummary[[#This Row],[Inversión publicidad]],0)</f>
        <v>0</v>
      </c>
      <c r="AA315" s="14">
        <f>IFERROR(TableWeeklySummary[[#This Row],[Ventas primer cliente]]/TableWeeklySummary[[#This Row],[Inversión publicidad]],0)</f>
        <v>0</v>
      </c>
      <c r="AB315" s="14"/>
      <c r="AC315" s="11"/>
      <c r="AI31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5" s="11">
        <f>SUMIFS(TableDailySummary[Costo de ventas registrado],TableDailySummary[Fecha],"&gt;="&amp;TableWeeklySummary[[#This Row],[Desde]],TableDailySummary[Fecha],"&lt;="&amp;TableWeeklySummary[[#This Row],[Hasta]])</f>
        <v>0</v>
      </c>
      <c r="AK315" s="11">
        <f>SUMIFS(TableDailySummary[Utilidad bruta],TableDailySummary[Fecha],"&gt;="&amp;TableWeeklySummary[[#This Row],[Desde]],TableDailySummary[Fecha],"&lt;="&amp;TableWeeklySummary[[#This Row],[Hasta]])</f>
        <v>0</v>
      </c>
      <c r="AL315" s="18">
        <f>IFERROR(TableWeeklySummary[[#This Row],[Utilidad bruta]]/TableWeeklySummary[[#This Row],[Ventas netas con costo registrado]],0)</f>
        <v>0</v>
      </c>
    </row>
    <row r="316" spans="2:38" x14ac:dyDescent="0.2">
      <c r="B316" s="16">
        <f>_xlfn.ISOWEEKNUM(TableWeeklySummary[[#This Row],[Hasta]])</f>
        <v>44</v>
      </c>
      <c r="C316" s="6">
        <f t="shared" si="6"/>
        <v>46689</v>
      </c>
      <c r="D316" s="6">
        <f>TableWeeklySummary[[#This Row],[Desde]]+7-1</f>
        <v>46695</v>
      </c>
      <c r="E316" s="11">
        <f>SUMIFS(TableDailySummary[Ventas netas totales],TableDailySummary[Fecha],"&gt;="&amp;TableWeeklySummary[[#This Row],[Desde]],TableDailySummary[Fecha],"&lt;="&amp;TableWeeklySummary[[#This Row],[Hasta]])</f>
        <v>0</v>
      </c>
      <c r="F316" s="11">
        <f>SUMIFS(TableDailySummary[Órdenes totales],TableDailySummary[Fecha],"&gt;="&amp;TableWeeklySummary[[#This Row],[Desde]],TableDailySummary[Fecha],"&lt;="&amp;TableWeeklySummary[[#This Row],[Hasta]])</f>
        <v>0</v>
      </c>
      <c r="G316" s="11">
        <f>IFERROR(TableWeeklySummary[[#This Row],[Ventas netas totales]]/TableWeeklySummary[[#This Row],[Órdenes totales]],0)</f>
        <v>0</v>
      </c>
      <c r="H31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6" s="11">
        <f>TableWeeklySummary[[#This Row],[Órden promedio totales]]*TableWeeklySummary[[#This Row],[CR totales]]</f>
        <v>0</v>
      </c>
      <c r="J316" s="11">
        <f>SUMIFS(TableDailySummary[Ventas primer cliente],TableDailySummary[Fecha],"&gt;="&amp;TableWeeklySummary[[#This Row],[Desde]],TableDailySummary[Fecha],"&lt;="&amp;TableWeeklySummary[[#This Row],[Hasta]])</f>
        <v>0</v>
      </c>
      <c r="K316" s="11">
        <f>SUMIFS(TableDailySummary[Órdenes primer cliente],TableDailySummary[Fecha],"&gt;="&amp;TableWeeklySummary[[#This Row],[Desde]],TableDailySummary[Fecha],"&lt;="&amp;TableWeeklySummary[[#This Row],[Hasta]])</f>
        <v>0</v>
      </c>
      <c r="L316" s="11">
        <f>SUMIFS(TableDailySummary[Online Store_net_sales],TableDailySummary[Fecha],"&gt;="&amp;TableWeeklySummary[[#This Row],[Desde]],TableDailySummary[Fecha],"&lt;="&amp;TableWeeklySummary[[#This Row],[Hasta]])</f>
        <v>0</v>
      </c>
      <c r="M316" s="11">
        <f>SUMIFS(TableDailySummary[Online Store_orders],TableDailySummary[Fecha],"&gt;="&amp;TableWeeklySummary[[#This Row],[Desde]],TableDailySummary[Fecha],"&lt;="&amp;TableWeeklySummary[[#This Row],[Hasta]])</f>
        <v>0</v>
      </c>
      <c r="N316" s="11">
        <f>SUMIFS(TableDailySummary[Tienda 81_net_sales],TableDailySummary[Fecha],"&gt;="&amp;TableWeeklySummary[[#This Row],[Desde]],TableDailySummary[Fecha],"&lt;="&amp;TableWeeklySummary[[#This Row],[Hasta]])</f>
        <v>0</v>
      </c>
      <c r="O316" s="11">
        <f>SUMIFS(TableDailySummary[Tienda 81_orders],TableDailySummary[Fecha],"&gt;="&amp;TableWeeklySummary[[#This Row],[Desde]],TableDailySummary[Fecha],"&lt;="&amp;TableWeeklySummary[[#This Row],[Hasta]])</f>
        <v>0</v>
      </c>
      <c r="P316" s="11">
        <f>SUMIFS(TableDailySummary[Rappi_net_sales],TableDailySummary[Fecha],"&gt;="&amp;TableWeeklySummary[[#This Row],[Desde]],TableDailySummary[Fecha],"&lt;="&amp;TableWeeklySummary[[#This Row],[Hasta]])</f>
        <v>0</v>
      </c>
      <c r="Q316" s="11">
        <f>SUMIFS(TableDailySummary[Rappi_orders],TableDailySummary[Fecha],"&gt;="&amp;TableWeeklySummary[[#This Row],[Desde]],TableDailySummary[Fecha],"&lt;="&amp;TableWeeklySummary[[#This Row],[Hasta]])</f>
        <v>0</v>
      </c>
      <c r="R31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6" s="11">
        <f>SUMIFS(TableDailySummary[Corporativo no tienda_orders],TableDailySummary[Fecha],"&gt;="&amp;TableWeeklySummary[[#This Row],[Desde]],TableDailySummary[Fecha],"&lt;="&amp;TableWeeklySummary[[#This Row],[Hasta]])</f>
        <v>0</v>
      </c>
      <c r="T316" s="11">
        <f>SUMIFS(TableDailySummary[Inversión google ads],TableDailySummary[Fecha],"&gt;="&amp;TableWeeklySummary[[#This Row],[Desde]],TableDailySummary[Fecha],"&lt;="&amp;TableWeeklySummary[[#This Row],[Hasta]])</f>
        <v>0</v>
      </c>
      <c r="U316" s="11">
        <f>SUMIFS(TableDailySummary[Ventas google ads],TableDailySummary[Fecha],"&gt;="&amp;TableWeeklySummary[[#This Row],[Desde]],TableDailySummary[Fecha],"&lt;="&amp;TableWeeklySummary[[#This Row],[Hasta]])</f>
        <v>0</v>
      </c>
      <c r="V316" s="11">
        <f>SUMIFS(TableDailySummary[Inversión meta ads],TableDailySummary[Fecha],"&gt;="&amp;TableWeeklySummary[[#This Row],[Desde]],TableDailySummary[Fecha],"&lt;="&amp;TableWeeklySummary[[#This Row],[Hasta]])</f>
        <v>0</v>
      </c>
      <c r="W316" s="11">
        <f>SUMIFS(TableDailySummary[Ventas meta ads],TableDailySummary[Fecha],"&gt;="&amp;TableWeeklySummary[[#This Row],[Desde]],TableDailySummary[Fecha],"&lt;="&amp;TableWeeklySummary[[#This Row],[Hasta]])</f>
        <v>0</v>
      </c>
      <c r="X316" s="11">
        <f>TableWeeklySummary[[#This Row],[Inversión google ads]]+TableWeeklySummary[[#This Row],[Inversión meta ads]]</f>
        <v>0</v>
      </c>
      <c r="Y316" s="11">
        <f>TableWeeklySummary[[#This Row],[Ventas google ads]]+TableWeeklySummary[[#This Row],[Ventas meta ads]]</f>
        <v>0</v>
      </c>
      <c r="Z316" s="14">
        <f>IFERROR(TableWeeklySummary[[#This Row],[Ventas publicidad]]/TableWeeklySummary[[#This Row],[Inversión publicidad]],0)</f>
        <v>0</v>
      </c>
      <c r="AA316" s="14">
        <f>IFERROR(TableWeeklySummary[[#This Row],[Ventas primer cliente]]/TableWeeklySummary[[#This Row],[Inversión publicidad]],0)</f>
        <v>0</v>
      </c>
      <c r="AB316" s="14"/>
      <c r="AC316" s="11"/>
      <c r="AI31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6" s="11">
        <f>SUMIFS(TableDailySummary[Costo de ventas registrado],TableDailySummary[Fecha],"&gt;="&amp;TableWeeklySummary[[#This Row],[Desde]],TableDailySummary[Fecha],"&lt;="&amp;TableWeeklySummary[[#This Row],[Hasta]])</f>
        <v>0</v>
      </c>
      <c r="AK316" s="11">
        <f>SUMIFS(TableDailySummary[Utilidad bruta],TableDailySummary[Fecha],"&gt;="&amp;TableWeeklySummary[[#This Row],[Desde]],TableDailySummary[Fecha],"&lt;="&amp;TableWeeklySummary[[#This Row],[Hasta]])</f>
        <v>0</v>
      </c>
      <c r="AL316" s="18">
        <f>IFERROR(TableWeeklySummary[[#This Row],[Utilidad bruta]]/TableWeeklySummary[[#This Row],[Ventas netas con costo registrado]],0)</f>
        <v>0</v>
      </c>
    </row>
    <row r="317" spans="2:38" x14ac:dyDescent="0.2">
      <c r="B317" s="16">
        <f>_xlfn.ISOWEEKNUM(TableWeeklySummary[[#This Row],[Hasta]])</f>
        <v>45</v>
      </c>
      <c r="C317" s="6">
        <f t="shared" si="6"/>
        <v>46696</v>
      </c>
      <c r="D317" s="6">
        <f>TableWeeklySummary[[#This Row],[Desde]]+7-1</f>
        <v>46702</v>
      </c>
      <c r="E317" s="11">
        <f>SUMIFS(TableDailySummary[Ventas netas totales],TableDailySummary[Fecha],"&gt;="&amp;TableWeeklySummary[[#This Row],[Desde]],TableDailySummary[Fecha],"&lt;="&amp;TableWeeklySummary[[#This Row],[Hasta]])</f>
        <v>0</v>
      </c>
      <c r="F317" s="11">
        <f>SUMIFS(TableDailySummary[Órdenes totales],TableDailySummary[Fecha],"&gt;="&amp;TableWeeklySummary[[#This Row],[Desde]],TableDailySummary[Fecha],"&lt;="&amp;TableWeeklySummary[[#This Row],[Hasta]])</f>
        <v>0</v>
      </c>
      <c r="G317" s="11">
        <f>IFERROR(TableWeeklySummary[[#This Row],[Ventas netas totales]]/TableWeeklySummary[[#This Row],[Órdenes totales]],0)</f>
        <v>0</v>
      </c>
      <c r="H31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7" s="11">
        <f>TableWeeklySummary[[#This Row],[Órden promedio totales]]*TableWeeklySummary[[#This Row],[CR totales]]</f>
        <v>0</v>
      </c>
      <c r="J317" s="11">
        <f>SUMIFS(TableDailySummary[Ventas primer cliente],TableDailySummary[Fecha],"&gt;="&amp;TableWeeklySummary[[#This Row],[Desde]],TableDailySummary[Fecha],"&lt;="&amp;TableWeeklySummary[[#This Row],[Hasta]])</f>
        <v>0</v>
      </c>
      <c r="K317" s="11">
        <f>SUMIFS(TableDailySummary[Órdenes primer cliente],TableDailySummary[Fecha],"&gt;="&amp;TableWeeklySummary[[#This Row],[Desde]],TableDailySummary[Fecha],"&lt;="&amp;TableWeeklySummary[[#This Row],[Hasta]])</f>
        <v>0</v>
      </c>
      <c r="L317" s="11">
        <f>SUMIFS(TableDailySummary[Online Store_net_sales],TableDailySummary[Fecha],"&gt;="&amp;TableWeeklySummary[[#This Row],[Desde]],TableDailySummary[Fecha],"&lt;="&amp;TableWeeklySummary[[#This Row],[Hasta]])</f>
        <v>0</v>
      </c>
      <c r="M317" s="11">
        <f>SUMIFS(TableDailySummary[Online Store_orders],TableDailySummary[Fecha],"&gt;="&amp;TableWeeklySummary[[#This Row],[Desde]],TableDailySummary[Fecha],"&lt;="&amp;TableWeeklySummary[[#This Row],[Hasta]])</f>
        <v>0</v>
      </c>
      <c r="N317" s="11">
        <f>SUMIFS(TableDailySummary[Tienda 81_net_sales],TableDailySummary[Fecha],"&gt;="&amp;TableWeeklySummary[[#This Row],[Desde]],TableDailySummary[Fecha],"&lt;="&amp;TableWeeklySummary[[#This Row],[Hasta]])</f>
        <v>0</v>
      </c>
      <c r="O317" s="11">
        <f>SUMIFS(TableDailySummary[Tienda 81_orders],TableDailySummary[Fecha],"&gt;="&amp;TableWeeklySummary[[#This Row],[Desde]],TableDailySummary[Fecha],"&lt;="&amp;TableWeeklySummary[[#This Row],[Hasta]])</f>
        <v>0</v>
      </c>
      <c r="P317" s="11">
        <f>SUMIFS(TableDailySummary[Rappi_net_sales],TableDailySummary[Fecha],"&gt;="&amp;TableWeeklySummary[[#This Row],[Desde]],TableDailySummary[Fecha],"&lt;="&amp;TableWeeklySummary[[#This Row],[Hasta]])</f>
        <v>0</v>
      </c>
      <c r="Q317" s="11">
        <f>SUMIFS(TableDailySummary[Rappi_orders],TableDailySummary[Fecha],"&gt;="&amp;TableWeeklySummary[[#This Row],[Desde]],TableDailySummary[Fecha],"&lt;="&amp;TableWeeklySummary[[#This Row],[Hasta]])</f>
        <v>0</v>
      </c>
      <c r="R31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7" s="11">
        <f>SUMIFS(TableDailySummary[Corporativo no tienda_orders],TableDailySummary[Fecha],"&gt;="&amp;TableWeeklySummary[[#This Row],[Desde]],TableDailySummary[Fecha],"&lt;="&amp;TableWeeklySummary[[#This Row],[Hasta]])</f>
        <v>0</v>
      </c>
      <c r="T317" s="11">
        <f>SUMIFS(TableDailySummary[Inversión google ads],TableDailySummary[Fecha],"&gt;="&amp;TableWeeklySummary[[#This Row],[Desde]],TableDailySummary[Fecha],"&lt;="&amp;TableWeeklySummary[[#This Row],[Hasta]])</f>
        <v>0</v>
      </c>
      <c r="U317" s="11">
        <f>SUMIFS(TableDailySummary[Ventas google ads],TableDailySummary[Fecha],"&gt;="&amp;TableWeeklySummary[[#This Row],[Desde]],TableDailySummary[Fecha],"&lt;="&amp;TableWeeklySummary[[#This Row],[Hasta]])</f>
        <v>0</v>
      </c>
      <c r="V317" s="11">
        <f>SUMIFS(TableDailySummary[Inversión meta ads],TableDailySummary[Fecha],"&gt;="&amp;TableWeeklySummary[[#This Row],[Desde]],TableDailySummary[Fecha],"&lt;="&amp;TableWeeklySummary[[#This Row],[Hasta]])</f>
        <v>0</v>
      </c>
      <c r="W317" s="11">
        <f>SUMIFS(TableDailySummary[Ventas meta ads],TableDailySummary[Fecha],"&gt;="&amp;TableWeeklySummary[[#This Row],[Desde]],TableDailySummary[Fecha],"&lt;="&amp;TableWeeklySummary[[#This Row],[Hasta]])</f>
        <v>0</v>
      </c>
      <c r="X317" s="11">
        <f>TableWeeklySummary[[#This Row],[Inversión google ads]]+TableWeeklySummary[[#This Row],[Inversión meta ads]]</f>
        <v>0</v>
      </c>
      <c r="Y317" s="11">
        <f>TableWeeklySummary[[#This Row],[Ventas google ads]]+TableWeeklySummary[[#This Row],[Ventas meta ads]]</f>
        <v>0</v>
      </c>
      <c r="Z317" s="14">
        <f>IFERROR(TableWeeklySummary[[#This Row],[Ventas publicidad]]/TableWeeklySummary[[#This Row],[Inversión publicidad]],0)</f>
        <v>0</v>
      </c>
      <c r="AA317" s="14">
        <f>IFERROR(TableWeeklySummary[[#This Row],[Ventas primer cliente]]/TableWeeklySummary[[#This Row],[Inversión publicidad]],0)</f>
        <v>0</v>
      </c>
      <c r="AB317" s="14"/>
      <c r="AC317" s="11"/>
      <c r="AI31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7" s="11">
        <f>SUMIFS(TableDailySummary[Costo de ventas registrado],TableDailySummary[Fecha],"&gt;="&amp;TableWeeklySummary[[#This Row],[Desde]],TableDailySummary[Fecha],"&lt;="&amp;TableWeeklySummary[[#This Row],[Hasta]])</f>
        <v>0</v>
      </c>
      <c r="AK317" s="11">
        <f>SUMIFS(TableDailySummary[Utilidad bruta],TableDailySummary[Fecha],"&gt;="&amp;TableWeeklySummary[[#This Row],[Desde]],TableDailySummary[Fecha],"&lt;="&amp;TableWeeklySummary[[#This Row],[Hasta]])</f>
        <v>0</v>
      </c>
      <c r="AL317" s="18">
        <f>IFERROR(TableWeeklySummary[[#This Row],[Utilidad bruta]]/TableWeeklySummary[[#This Row],[Ventas netas con costo registrado]],0)</f>
        <v>0</v>
      </c>
    </row>
    <row r="318" spans="2:38" x14ac:dyDescent="0.2">
      <c r="B318" s="16">
        <f>_xlfn.ISOWEEKNUM(TableWeeklySummary[[#This Row],[Hasta]])</f>
        <v>46</v>
      </c>
      <c r="C318" s="6">
        <f t="shared" si="6"/>
        <v>46703</v>
      </c>
      <c r="D318" s="6">
        <f>TableWeeklySummary[[#This Row],[Desde]]+7-1</f>
        <v>46709</v>
      </c>
      <c r="E318" s="11">
        <f>SUMIFS(TableDailySummary[Ventas netas totales],TableDailySummary[Fecha],"&gt;="&amp;TableWeeklySummary[[#This Row],[Desde]],TableDailySummary[Fecha],"&lt;="&amp;TableWeeklySummary[[#This Row],[Hasta]])</f>
        <v>0</v>
      </c>
      <c r="F318" s="11">
        <f>SUMIFS(TableDailySummary[Órdenes totales],TableDailySummary[Fecha],"&gt;="&amp;TableWeeklySummary[[#This Row],[Desde]],TableDailySummary[Fecha],"&lt;="&amp;TableWeeklySummary[[#This Row],[Hasta]])</f>
        <v>0</v>
      </c>
      <c r="G318" s="11">
        <f>IFERROR(TableWeeklySummary[[#This Row],[Ventas netas totales]]/TableWeeklySummary[[#This Row],[Órdenes totales]],0)</f>
        <v>0</v>
      </c>
      <c r="H31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8" s="11">
        <f>TableWeeklySummary[[#This Row],[Órden promedio totales]]*TableWeeklySummary[[#This Row],[CR totales]]</f>
        <v>0</v>
      </c>
      <c r="J318" s="11">
        <f>SUMIFS(TableDailySummary[Ventas primer cliente],TableDailySummary[Fecha],"&gt;="&amp;TableWeeklySummary[[#This Row],[Desde]],TableDailySummary[Fecha],"&lt;="&amp;TableWeeklySummary[[#This Row],[Hasta]])</f>
        <v>0</v>
      </c>
      <c r="K318" s="11">
        <f>SUMIFS(TableDailySummary[Órdenes primer cliente],TableDailySummary[Fecha],"&gt;="&amp;TableWeeklySummary[[#This Row],[Desde]],TableDailySummary[Fecha],"&lt;="&amp;TableWeeklySummary[[#This Row],[Hasta]])</f>
        <v>0</v>
      </c>
      <c r="L318" s="11">
        <f>SUMIFS(TableDailySummary[Online Store_net_sales],TableDailySummary[Fecha],"&gt;="&amp;TableWeeklySummary[[#This Row],[Desde]],TableDailySummary[Fecha],"&lt;="&amp;TableWeeklySummary[[#This Row],[Hasta]])</f>
        <v>0</v>
      </c>
      <c r="M318" s="11">
        <f>SUMIFS(TableDailySummary[Online Store_orders],TableDailySummary[Fecha],"&gt;="&amp;TableWeeklySummary[[#This Row],[Desde]],TableDailySummary[Fecha],"&lt;="&amp;TableWeeklySummary[[#This Row],[Hasta]])</f>
        <v>0</v>
      </c>
      <c r="N318" s="11">
        <f>SUMIFS(TableDailySummary[Tienda 81_net_sales],TableDailySummary[Fecha],"&gt;="&amp;TableWeeklySummary[[#This Row],[Desde]],TableDailySummary[Fecha],"&lt;="&amp;TableWeeklySummary[[#This Row],[Hasta]])</f>
        <v>0</v>
      </c>
      <c r="O318" s="11">
        <f>SUMIFS(TableDailySummary[Tienda 81_orders],TableDailySummary[Fecha],"&gt;="&amp;TableWeeklySummary[[#This Row],[Desde]],TableDailySummary[Fecha],"&lt;="&amp;TableWeeklySummary[[#This Row],[Hasta]])</f>
        <v>0</v>
      </c>
      <c r="P318" s="11">
        <f>SUMIFS(TableDailySummary[Rappi_net_sales],TableDailySummary[Fecha],"&gt;="&amp;TableWeeklySummary[[#This Row],[Desde]],TableDailySummary[Fecha],"&lt;="&amp;TableWeeklySummary[[#This Row],[Hasta]])</f>
        <v>0</v>
      </c>
      <c r="Q318" s="11">
        <f>SUMIFS(TableDailySummary[Rappi_orders],TableDailySummary[Fecha],"&gt;="&amp;TableWeeklySummary[[#This Row],[Desde]],TableDailySummary[Fecha],"&lt;="&amp;TableWeeklySummary[[#This Row],[Hasta]])</f>
        <v>0</v>
      </c>
      <c r="R31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8" s="11">
        <f>SUMIFS(TableDailySummary[Corporativo no tienda_orders],TableDailySummary[Fecha],"&gt;="&amp;TableWeeklySummary[[#This Row],[Desde]],TableDailySummary[Fecha],"&lt;="&amp;TableWeeklySummary[[#This Row],[Hasta]])</f>
        <v>0</v>
      </c>
      <c r="T318" s="11">
        <f>SUMIFS(TableDailySummary[Inversión google ads],TableDailySummary[Fecha],"&gt;="&amp;TableWeeklySummary[[#This Row],[Desde]],TableDailySummary[Fecha],"&lt;="&amp;TableWeeklySummary[[#This Row],[Hasta]])</f>
        <v>0</v>
      </c>
      <c r="U318" s="11">
        <f>SUMIFS(TableDailySummary[Ventas google ads],TableDailySummary[Fecha],"&gt;="&amp;TableWeeklySummary[[#This Row],[Desde]],TableDailySummary[Fecha],"&lt;="&amp;TableWeeklySummary[[#This Row],[Hasta]])</f>
        <v>0</v>
      </c>
      <c r="V318" s="11">
        <f>SUMIFS(TableDailySummary[Inversión meta ads],TableDailySummary[Fecha],"&gt;="&amp;TableWeeklySummary[[#This Row],[Desde]],TableDailySummary[Fecha],"&lt;="&amp;TableWeeklySummary[[#This Row],[Hasta]])</f>
        <v>0</v>
      </c>
      <c r="W318" s="11">
        <f>SUMIFS(TableDailySummary[Ventas meta ads],TableDailySummary[Fecha],"&gt;="&amp;TableWeeklySummary[[#This Row],[Desde]],TableDailySummary[Fecha],"&lt;="&amp;TableWeeklySummary[[#This Row],[Hasta]])</f>
        <v>0</v>
      </c>
      <c r="X318" s="11">
        <f>TableWeeklySummary[[#This Row],[Inversión google ads]]+TableWeeklySummary[[#This Row],[Inversión meta ads]]</f>
        <v>0</v>
      </c>
      <c r="Y318" s="11">
        <f>TableWeeklySummary[[#This Row],[Ventas google ads]]+TableWeeklySummary[[#This Row],[Ventas meta ads]]</f>
        <v>0</v>
      </c>
      <c r="Z318" s="14">
        <f>IFERROR(TableWeeklySummary[[#This Row],[Ventas publicidad]]/TableWeeklySummary[[#This Row],[Inversión publicidad]],0)</f>
        <v>0</v>
      </c>
      <c r="AA318" s="14">
        <f>IFERROR(TableWeeklySummary[[#This Row],[Ventas primer cliente]]/TableWeeklySummary[[#This Row],[Inversión publicidad]],0)</f>
        <v>0</v>
      </c>
      <c r="AB318" s="14"/>
      <c r="AC318" s="11"/>
      <c r="AI31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8" s="11">
        <f>SUMIFS(TableDailySummary[Costo de ventas registrado],TableDailySummary[Fecha],"&gt;="&amp;TableWeeklySummary[[#This Row],[Desde]],TableDailySummary[Fecha],"&lt;="&amp;TableWeeklySummary[[#This Row],[Hasta]])</f>
        <v>0</v>
      </c>
      <c r="AK318" s="11">
        <f>SUMIFS(TableDailySummary[Utilidad bruta],TableDailySummary[Fecha],"&gt;="&amp;TableWeeklySummary[[#This Row],[Desde]],TableDailySummary[Fecha],"&lt;="&amp;TableWeeklySummary[[#This Row],[Hasta]])</f>
        <v>0</v>
      </c>
      <c r="AL318" s="18">
        <f>IFERROR(TableWeeklySummary[[#This Row],[Utilidad bruta]]/TableWeeklySummary[[#This Row],[Ventas netas con costo registrado]],0)</f>
        <v>0</v>
      </c>
    </row>
    <row r="319" spans="2:38" x14ac:dyDescent="0.2">
      <c r="B319" s="16">
        <f>_xlfn.ISOWEEKNUM(TableWeeklySummary[[#This Row],[Hasta]])</f>
        <v>47</v>
      </c>
      <c r="C319" s="6">
        <f t="shared" si="6"/>
        <v>46710</v>
      </c>
      <c r="D319" s="6">
        <f>TableWeeklySummary[[#This Row],[Desde]]+7-1</f>
        <v>46716</v>
      </c>
      <c r="E319" s="11">
        <f>SUMIFS(TableDailySummary[Ventas netas totales],TableDailySummary[Fecha],"&gt;="&amp;TableWeeklySummary[[#This Row],[Desde]],TableDailySummary[Fecha],"&lt;="&amp;TableWeeklySummary[[#This Row],[Hasta]])</f>
        <v>0</v>
      </c>
      <c r="F319" s="11">
        <f>SUMIFS(TableDailySummary[Órdenes totales],TableDailySummary[Fecha],"&gt;="&amp;TableWeeklySummary[[#This Row],[Desde]],TableDailySummary[Fecha],"&lt;="&amp;TableWeeklySummary[[#This Row],[Hasta]])</f>
        <v>0</v>
      </c>
      <c r="G319" s="11">
        <f>IFERROR(TableWeeklySummary[[#This Row],[Ventas netas totales]]/TableWeeklySummary[[#This Row],[Órdenes totales]],0)</f>
        <v>0</v>
      </c>
      <c r="H31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19" s="11">
        <f>TableWeeklySummary[[#This Row],[Órden promedio totales]]*TableWeeklySummary[[#This Row],[CR totales]]</f>
        <v>0</v>
      </c>
      <c r="J319" s="11">
        <f>SUMIFS(TableDailySummary[Ventas primer cliente],TableDailySummary[Fecha],"&gt;="&amp;TableWeeklySummary[[#This Row],[Desde]],TableDailySummary[Fecha],"&lt;="&amp;TableWeeklySummary[[#This Row],[Hasta]])</f>
        <v>0</v>
      </c>
      <c r="K319" s="11">
        <f>SUMIFS(TableDailySummary[Órdenes primer cliente],TableDailySummary[Fecha],"&gt;="&amp;TableWeeklySummary[[#This Row],[Desde]],TableDailySummary[Fecha],"&lt;="&amp;TableWeeklySummary[[#This Row],[Hasta]])</f>
        <v>0</v>
      </c>
      <c r="L319" s="11">
        <f>SUMIFS(TableDailySummary[Online Store_net_sales],TableDailySummary[Fecha],"&gt;="&amp;TableWeeklySummary[[#This Row],[Desde]],TableDailySummary[Fecha],"&lt;="&amp;TableWeeklySummary[[#This Row],[Hasta]])</f>
        <v>0</v>
      </c>
      <c r="M319" s="11">
        <f>SUMIFS(TableDailySummary[Online Store_orders],TableDailySummary[Fecha],"&gt;="&amp;TableWeeklySummary[[#This Row],[Desde]],TableDailySummary[Fecha],"&lt;="&amp;TableWeeklySummary[[#This Row],[Hasta]])</f>
        <v>0</v>
      </c>
      <c r="N319" s="11">
        <f>SUMIFS(TableDailySummary[Tienda 81_net_sales],TableDailySummary[Fecha],"&gt;="&amp;TableWeeklySummary[[#This Row],[Desde]],TableDailySummary[Fecha],"&lt;="&amp;TableWeeklySummary[[#This Row],[Hasta]])</f>
        <v>0</v>
      </c>
      <c r="O319" s="11">
        <f>SUMIFS(TableDailySummary[Tienda 81_orders],TableDailySummary[Fecha],"&gt;="&amp;TableWeeklySummary[[#This Row],[Desde]],TableDailySummary[Fecha],"&lt;="&amp;TableWeeklySummary[[#This Row],[Hasta]])</f>
        <v>0</v>
      </c>
      <c r="P319" s="11">
        <f>SUMIFS(TableDailySummary[Rappi_net_sales],TableDailySummary[Fecha],"&gt;="&amp;TableWeeklySummary[[#This Row],[Desde]],TableDailySummary[Fecha],"&lt;="&amp;TableWeeklySummary[[#This Row],[Hasta]])</f>
        <v>0</v>
      </c>
      <c r="Q319" s="11">
        <f>SUMIFS(TableDailySummary[Rappi_orders],TableDailySummary[Fecha],"&gt;="&amp;TableWeeklySummary[[#This Row],[Desde]],TableDailySummary[Fecha],"&lt;="&amp;TableWeeklySummary[[#This Row],[Hasta]])</f>
        <v>0</v>
      </c>
      <c r="R31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19" s="11">
        <f>SUMIFS(TableDailySummary[Corporativo no tienda_orders],TableDailySummary[Fecha],"&gt;="&amp;TableWeeklySummary[[#This Row],[Desde]],TableDailySummary[Fecha],"&lt;="&amp;TableWeeklySummary[[#This Row],[Hasta]])</f>
        <v>0</v>
      </c>
      <c r="T319" s="11">
        <f>SUMIFS(TableDailySummary[Inversión google ads],TableDailySummary[Fecha],"&gt;="&amp;TableWeeklySummary[[#This Row],[Desde]],TableDailySummary[Fecha],"&lt;="&amp;TableWeeklySummary[[#This Row],[Hasta]])</f>
        <v>0</v>
      </c>
      <c r="U319" s="11">
        <f>SUMIFS(TableDailySummary[Ventas google ads],TableDailySummary[Fecha],"&gt;="&amp;TableWeeklySummary[[#This Row],[Desde]],TableDailySummary[Fecha],"&lt;="&amp;TableWeeklySummary[[#This Row],[Hasta]])</f>
        <v>0</v>
      </c>
      <c r="V319" s="11">
        <f>SUMIFS(TableDailySummary[Inversión meta ads],TableDailySummary[Fecha],"&gt;="&amp;TableWeeklySummary[[#This Row],[Desde]],TableDailySummary[Fecha],"&lt;="&amp;TableWeeklySummary[[#This Row],[Hasta]])</f>
        <v>0</v>
      </c>
      <c r="W319" s="11">
        <f>SUMIFS(TableDailySummary[Ventas meta ads],TableDailySummary[Fecha],"&gt;="&amp;TableWeeklySummary[[#This Row],[Desde]],TableDailySummary[Fecha],"&lt;="&amp;TableWeeklySummary[[#This Row],[Hasta]])</f>
        <v>0</v>
      </c>
      <c r="X319" s="11">
        <f>TableWeeklySummary[[#This Row],[Inversión google ads]]+TableWeeklySummary[[#This Row],[Inversión meta ads]]</f>
        <v>0</v>
      </c>
      <c r="Y319" s="11">
        <f>TableWeeklySummary[[#This Row],[Ventas google ads]]+TableWeeklySummary[[#This Row],[Ventas meta ads]]</f>
        <v>0</v>
      </c>
      <c r="Z319" s="14">
        <f>IFERROR(TableWeeklySummary[[#This Row],[Ventas publicidad]]/TableWeeklySummary[[#This Row],[Inversión publicidad]],0)</f>
        <v>0</v>
      </c>
      <c r="AA319" s="14">
        <f>IFERROR(TableWeeklySummary[[#This Row],[Ventas primer cliente]]/TableWeeklySummary[[#This Row],[Inversión publicidad]],0)</f>
        <v>0</v>
      </c>
      <c r="AB319" s="14"/>
      <c r="AC319" s="11"/>
      <c r="AI31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19" s="11">
        <f>SUMIFS(TableDailySummary[Costo de ventas registrado],TableDailySummary[Fecha],"&gt;="&amp;TableWeeklySummary[[#This Row],[Desde]],TableDailySummary[Fecha],"&lt;="&amp;TableWeeklySummary[[#This Row],[Hasta]])</f>
        <v>0</v>
      </c>
      <c r="AK319" s="11">
        <f>SUMIFS(TableDailySummary[Utilidad bruta],TableDailySummary[Fecha],"&gt;="&amp;TableWeeklySummary[[#This Row],[Desde]],TableDailySummary[Fecha],"&lt;="&amp;TableWeeklySummary[[#This Row],[Hasta]])</f>
        <v>0</v>
      </c>
      <c r="AL319" s="18">
        <f>IFERROR(TableWeeklySummary[[#This Row],[Utilidad bruta]]/TableWeeklySummary[[#This Row],[Ventas netas con costo registrado]],0)</f>
        <v>0</v>
      </c>
    </row>
    <row r="320" spans="2:38" x14ac:dyDescent="0.2">
      <c r="B320" s="16">
        <f>_xlfn.ISOWEEKNUM(TableWeeklySummary[[#This Row],[Hasta]])</f>
        <v>48</v>
      </c>
      <c r="C320" s="6">
        <f t="shared" ref="C320:C383" si="7">_xlfn.LET(
    _xlpm.fechaini, ParamFechaInicioReporte,
    _xlpm.start_friday, IF(WEEKDAY(_xlpm.fechaini, 1) = 6, _xlpm.fechaini, _xlpm.fechaini - MOD(WEEKDAY(_xlpm.fechaini, 1) + 1, 7)),
    IF(ROW()=8, _xlpm.start_friday, C319 + 7)
)</f>
        <v>46717</v>
      </c>
      <c r="D320" s="6">
        <f>TableWeeklySummary[[#This Row],[Desde]]+7-1</f>
        <v>46723</v>
      </c>
      <c r="E320" s="11">
        <f>SUMIFS(TableDailySummary[Ventas netas totales],TableDailySummary[Fecha],"&gt;="&amp;TableWeeklySummary[[#This Row],[Desde]],TableDailySummary[Fecha],"&lt;="&amp;TableWeeklySummary[[#This Row],[Hasta]])</f>
        <v>0</v>
      </c>
      <c r="F320" s="11">
        <f>SUMIFS(TableDailySummary[Órdenes totales],TableDailySummary[Fecha],"&gt;="&amp;TableWeeklySummary[[#This Row],[Desde]],TableDailySummary[Fecha],"&lt;="&amp;TableWeeklySummary[[#This Row],[Hasta]])</f>
        <v>0</v>
      </c>
      <c r="G320" s="11">
        <f>IFERROR(TableWeeklySummary[[#This Row],[Ventas netas totales]]/TableWeeklySummary[[#This Row],[Órdenes totales]],0)</f>
        <v>0</v>
      </c>
      <c r="H32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0" s="11">
        <f>TableWeeklySummary[[#This Row],[Órden promedio totales]]*TableWeeklySummary[[#This Row],[CR totales]]</f>
        <v>0</v>
      </c>
      <c r="J320" s="11">
        <f>SUMIFS(TableDailySummary[Ventas primer cliente],TableDailySummary[Fecha],"&gt;="&amp;TableWeeklySummary[[#This Row],[Desde]],TableDailySummary[Fecha],"&lt;="&amp;TableWeeklySummary[[#This Row],[Hasta]])</f>
        <v>0</v>
      </c>
      <c r="K320" s="11">
        <f>SUMIFS(TableDailySummary[Órdenes primer cliente],TableDailySummary[Fecha],"&gt;="&amp;TableWeeklySummary[[#This Row],[Desde]],TableDailySummary[Fecha],"&lt;="&amp;TableWeeklySummary[[#This Row],[Hasta]])</f>
        <v>0</v>
      </c>
      <c r="L320" s="11">
        <f>SUMIFS(TableDailySummary[Online Store_net_sales],TableDailySummary[Fecha],"&gt;="&amp;TableWeeklySummary[[#This Row],[Desde]],TableDailySummary[Fecha],"&lt;="&amp;TableWeeklySummary[[#This Row],[Hasta]])</f>
        <v>0</v>
      </c>
      <c r="M320" s="11">
        <f>SUMIFS(TableDailySummary[Online Store_orders],TableDailySummary[Fecha],"&gt;="&amp;TableWeeklySummary[[#This Row],[Desde]],TableDailySummary[Fecha],"&lt;="&amp;TableWeeklySummary[[#This Row],[Hasta]])</f>
        <v>0</v>
      </c>
      <c r="N320" s="11">
        <f>SUMIFS(TableDailySummary[Tienda 81_net_sales],TableDailySummary[Fecha],"&gt;="&amp;TableWeeklySummary[[#This Row],[Desde]],TableDailySummary[Fecha],"&lt;="&amp;TableWeeklySummary[[#This Row],[Hasta]])</f>
        <v>0</v>
      </c>
      <c r="O320" s="11">
        <f>SUMIFS(TableDailySummary[Tienda 81_orders],TableDailySummary[Fecha],"&gt;="&amp;TableWeeklySummary[[#This Row],[Desde]],TableDailySummary[Fecha],"&lt;="&amp;TableWeeklySummary[[#This Row],[Hasta]])</f>
        <v>0</v>
      </c>
      <c r="P320" s="11">
        <f>SUMIFS(TableDailySummary[Rappi_net_sales],TableDailySummary[Fecha],"&gt;="&amp;TableWeeklySummary[[#This Row],[Desde]],TableDailySummary[Fecha],"&lt;="&amp;TableWeeklySummary[[#This Row],[Hasta]])</f>
        <v>0</v>
      </c>
      <c r="Q320" s="11">
        <f>SUMIFS(TableDailySummary[Rappi_orders],TableDailySummary[Fecha],"&gt;="&amp;TableWeeklySummary[[#This Row],[Desde]],TableDailySummary[Fecha],"&lt;="&amp;TableWeeklySummary[[#This Row],[Hasta]])</f>
        <v>0</v>
      </c>
      <c r="R32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0" s="11">
        <f>SUMIFS(TableDailySummary[Corporativo no tienda_orders],TableDailySummary[Fecha],"&gt;="&amp;TableWeeklySummary[[#This Row],[Desde]],TableDailySummary[Fecha],"&lt;="&amp;TableWeeklySummary[[#This Row],[Hasta]])</f>
        <v>0</v>
      </c>
      <c r="T320" s="11">
        <f>SUMIFS(TableDailySummary[Inversión google ads],TableDailySummary[Fecha],"&gt;="&amp;TableWeeklySummary[[#This Row],[Desde]],TableDailySummary[Fecha],"&lt;="&amp;TableWeeklySummary[[#This Row],[Hasta]])</f>
        <v>0</v>
      </c>
      <c r="U320" s="11">
        <f>SUMIFS(TableDailySummary[Ventas google ads],TableDailySummary[Fecha],"&gt;="&amp;TableWeeklySummary[[#This Row],[Desde]],TableDailySummary[Fecha],"&lt;="&amp;TableWeeklySummary[[#This Row],[Hasta]])</f>
        <v>0</v>
      </c>
      <c r="V320" s="11">
        <f>SUMIFS(TableDailySummary[Inversión meta ads],TableDailySummary[Fecha],"&gt;="&amp;TableWeeklySummary[[#This Row],[Desde]],TableDailySummary[Fecha],"&lt;="&amp;TableWeeklySummary[[#This Row],[Hasta]])</f>
        <v>0</v>
      </c>
      <c r="W320" s="11">
        <f>SUMIFS(TableDailySummary[Ventas meta ads],TableDailySummary[Fecha],"&gt;="&amp;TableWeeklySummary[[#This Row],[Desde]],TableDailySummary[Fecha],"&lt;="&amp;TableWeeklySummary[[#This Row],[Hasta]])</f>
        <v>0</v>
      </c>
      <c r="X320" s="11">
        <f>TableWeeklySummary[[#This Row],[Inversión google ads]]+TableWeeklySummary[[#This Row],[Inversión meta ads]]</f>
        <v>0</v>
      </c>
      <c r="Y320" s="11">
        <f>TableWeeklySummary[[#This Row],[Ventas google ads]]+TableWeeklySummary[[#This Row],[Ventas meta ads]]</f>
        <v>0</v>
      </c>
      <c r="Z320" s="14">
        <f>IFERROR(TableWeeklySummary[[#This Row],[Ventas publicidad]]/TableWeeklySummary[[#This Row],[Inversión publicidad]],0)</f>
        <v>0</v>
      </c>
      <c r="AA320" s="14">
        <f>IFERROR(TableWeeklySummary[[#This Row],[Ventas primer cliente]]/TableWeeklySummary[[#This Row],[Inversión publicidad]],0)</f>
        <v>0</v>
      </c>
      <c r="AB320" s="14"/>
      <c r="AC320" s="11"/>
      <c r="AI32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0" s="11">
        <f>SUMIFS(TableDailySummary[Costo de ventas registrado],TableDailySummary[Fecha],"&gt;="&amp;TableWeeklySummary[[#This Row],[Desde]],TableDailySummary[Fecha],"&lt;="&amp;TableWeeklySummary[[#This Row],[Hasta]])</f>
        <v>0</v>
      </c>
      <c r="AK320" s="11">
        <f>SUMIFS(TableDailySummary[Utilidad bruta],TableDailySummary[Fecha],"&gt;="&amp;TableWeeklySummary[[#This Row],[Desde]],TableDailySummary[Fecha],"&lt;="&amp;TableWeeklySummary[[#This Row],[Hasta]])</f>
        <v>0</v>
      </c>
      <c r="AL320" s="18">
        <f>IFERROR(TableWeeklySummary[[#This Row],[Utilidad bruta]]/TableWeeklySummary[[#This Row],[Ventas netas con costo registrado]],0)</f>
        <v>0</v>
      </c>
    </row>
    <row r="321" spans="2:38" x14ac:dyDescent="0.2">
      <c r="B321" s="16">
        <f>_xlfn.ISOWEEKNUM(TableWeeklySummary[[#This Row],[Hasta]])</f>
        <v>49</v>
      </c>
      <c r="C321" s="6">
        <f t="shared" si="7"/>
        <v>46724</v>
      </c>
      <c r="D321" s="6">
        <f>TableWeeklySummary[[#This Row],[Desde]]+7-1</f>
        <v>46730</v>
      </c>
      <c r="E321" s="11">
        <f>SUMIFS(TableDailySummary[Ventas netas totales],TableDailySummary[Fecha],"&gt;="&amp;TableWeeklySummary[[#This Row],[Desde]],TableDailySummary[Fecha],"&lt;="&amp;TableWeeklySummary[[#This Row],[Hasta]])</f>
        <v>0</v>
      </c>
      <c r="F321" s="11">
        <f>SUMIFS(TableDailySummary[Órdenes totales],TableDailySummary[Fecha],"&gt;="&amp;TableWeeklySummary[[#This Row],[Desde]],TableDailySummary[Fecha],"&lt;="&amp;TableWeeklySummary[[#This Row],[Hasta]])</f>
        <v>0</v>
      </c>
      <c r="G321" s="11">
        <f>IFERROR(TableWeeklySummary[[#This Row],[Ventas netas totales]]/TableWeeklySummary[[#This Row],[Órdenes totales]],0)</f>
        <v>0</v>
      </c>
      <c r="H32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1" s="11">
        <f>TableWeeklySummary[[#This Row],[Órden promedio totales]]*TableWeeklySummary[[#This Row],[CR totales]]</f>
        <v>0</v>
      </c>
      <c r="J321" s="11">
        <f>SUMIFS(TableDailySummary[Ventas primer cliente],TableDailySummary[Fecha],"&gt;="&amp;TableWeeklySummary[[#This Row],[Desde]],TableDailySummary[Fecha],"&lt;="&amp;TableWeeklySummary[[#This Row],[Hasta]])</f>
        <v>0</v>
      </c>
      <c r="K321" s="11">
        <f>SUMIFS(TableDailySummary[Órdenes primer cliente],TableDailySummary[Fecha],"&gt;="&amp;TableWeeklySummary[[#This Row],[Desde]],TableDailySummary[Fecha],"&lt;="&amp;TableWeeklySummary[[#This Row],[Hasta]])</f>
        <v>0</v>
      </c>
      <c r="L321" s="11">
        <f>SUMIFS(TableDailySummary[Online Store_net_sales],TableDailySummary[Fecha],"&gt;="&amp;TableWeeklySummary[[#This Row],[Desde]],TableDailySummary[Fecha],"&lt;="&amp;TableWeeklySummary[[#This Row],[Hasta]])</f>
        <v>0</v>
      </c>
      <c r="M321" s="11">
        <f>SUMIFS(TableDailySummary[Online Store_orders],TableDailySummary[Fecha],"&gt;="&amp;TableWeeklySummary[[#This Row],[Desde]],TableDailySummary[Fecha],"&lt;="&amp;TableWeeklySummary[[#This Row],[Hasta]])</f>
        <v>0</v>
      </c>
      <c r="N321" s="11">
        <f>SUMIFS(TableDailySummary[Tienda 81_net_sales],TableDailySummary[Fecha],"&gt;="&amp;TableWeeklySummary[[#This Row],[Desde]],TableDailySummary[Fecha],"&lt;="&amp;TableWeeklySummary[[#This Row],[Hasta]])</f>
        <v>0</v>
      </c>
      <c r="O321" s="11">
        <f>SUMIFS(TableDailySummary[Tienda 81_orders],TableDailySummary[Fecha],"&gt;="&amp;TableWeeklySummary[[#This Row],[Desde]],TableDailySummary[Fecha],"&lt;="&amp;TableWeeklySummary[[#This Row],[Hasta]])</f>
        <v>0</v>
      </c>
      <c r="P321" s="11">
        <f>SUMIFS(TableDailySummary[Rappi_net_sales],TableDailySummary[Fecha],"&gt;="&amp;TableWeeklySummary[[#This Row],[Desde]],TableDailySummary[Fecha],"&lt;="&amp;TableWeeklySummary[[#This Row],[Hasta]])</f>
        <v>0</v>
      </c>
      <c r="Q321" s="11">
        <f>SUMIFS(TableDailySummary[Rappi_orders],TableDailySummary[Fecha],"&gt;="&amp;TableWeeklySummary[[#This Row],[Desde]],TableDailySummary[Fecha],"&lt;="&amp;TableWeeklySummary[[#This Row],[Hasta]])</f>
        <v>0</v>
      </c>
      <c r="R32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1" s="11">
        <f>SUMIFS(TableDailySummary[Corporativo no tienda_orders],TableDailySummary[Fecha],"&gt;="&amp;TableWeeklySummary[[#This Row],[Desde]],TableDailySummary[Fecha],"&lt;="&amp;TableWeeklySummary[[#This Row],[Hasta]])</f>
        <v>0</v>
      </c>
      <c r="T321" s="11">
        <f>SUMIFS(TableDailySummary[Inversión google ads],TableDailySummary[Fecha],"&gt;="&amp;TableWeeklySummary[[#This Row],[Desde]],TableDailySummary[Fecha],"&lt;="&amp;TableWeeklySummary[[#This Row],[Hasta]])</f>
        <v>0</v>
      </c>
      <c r="U321" s="11">
        <f>SUMIFS(TableDailySummary[Ventas google ads],TableDailySummary[Fecha],"&gt;="&amp;TableWeeklySummary[[#This Row],[Desde]],TableDailySummary[Fecha],"&lt;="&amp;TableWeeklySummary[[#This Row],[Hasta]])</f>
        <v>0</v>
      </c>
      <c r="V321" s="11">
        <f>SUMIFS(TableDailySummary[Inversión meta ads],TableDailySummary[Fecha],"&gt;="&amp;TableWeeklySummary[[#This Row],[Desde]],TableDailySummary[Fecha],"&lt;="&amp;TableWeeklySummary[[#This Row],[Hasta]])</f>
        <v>0</v>
      </c>
      <c r="W321" s="11">
        <f>SUMIFS(TableDailySummary[Ventas meta ads],TableDailySummary[Fecha],"&gt;="&amp;TableWeeklySummary[[#This Row],[Desde]],TableDailySummary[Fecha],"&lt;="&amp;TableWeeklySummary[[#This Row],[Hasta]])</f>
        <v>0</v>
      </c>
      <c r="X321" s="11">
        <f>TableWeeklySummary[[#This Row],[Inversión google ads]]+TableWeeklySummary[[#This Row],[Inversión meta ads]]</f>
        <v>0</v>
      </c>
      <c r="Y321" s="11">
        <f>TableWeeklySummary[[#This Row],[Ventas google ads]]+TableWeeklySummary[[#This Row],[Ventas meta ads]]</f>
        <v>0</v>
      </c>
      <c r="Z321" s="14">
        <f>IFERROR(TableWeeklySummary[[#This Row],[Ventas publicidad]]/TableWeeklySummary[[#This Row],[Inversión publicidad]],0)</f>
        <v>0</v>
      </c>
      <c r="AA321" s="14">
        <f>IFERROR(TableWeeklySummary[[#This Row],[Ventas primer cliente]]/TableWeeklySummary[[#This Row],[Inversión publicidad]],0)</f>
        <v>0</v>
      </c>
      <c r="AB321" s="14"/>
      <c r="AC321" s="11"/>
      <c r="AI32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1" s="11">
        <f>SUMIFS(TableDailySummary[Costo de ventas registrado],TableDailySummary[Fecha],"&gt;="&amp;TableWeeklySummary[[#This Row],[Desde]],TableDailySummary[Fecha],"&lt;="&amp;TableWeeklySummary[[#This Row],[Hasta]])</f>
        <v>0</v>
      </c>
      <c r="AK321" s="11">
        <f>SUMIFS(TableDailySummary[Utilidad bruta],TableDailySummary[Fecha],"&gt;="&amp;TableWeeklySummary[[#This Row],[Desde]],TableDailySummary[Fecha],"&lt;="&amp;TableWeeklySummary[[#This Row],[Hasta]])</f>
        <v>0</v>
      </c>
      <c r="AL321" s="18">
        <f>IFERROR(TableWeeklySummary[[#This Row],[Utilidad bruta]]/TableWeeklySummary[[#This Row],[Ventas netas con costo registrado]],0)</f>
        <v>0</v>
      </c>
    </row>
    <row r="322" spans="2:38" x14ac:dyDescent="0.2">
      <c r="B322" s="16">
        <f>_xlfn.ISOWEEKNUM(TableWeeklySummary[[#This Row],[Hasta]])</f>
        <v>50</v>
      </c>
      <c r="C322" s="6">
        <f t="shared" si="7"/>
        <v>46731</v>
      </c>
      <c r="D322" s="6">
        <f>TableWeeklySummary[[#This Row],[Desde]]+7-1</f>
        <v>46737</v>
      </c>
      <c r="E322" s="11">
        <f>SUMIFS(TableDailySummary[Ventas netas totales],TableDailySummary[Fecha],"&gt;="&amp;TableWeeklySummary[[#This Row],[Desde]],TableDailySummary[Fecha],"&lt;="&amp;TableWeeklySummary[[#This Row],[Hasta]])</f>
        <v>0</v>
      </c>
      <c r="F322" s="11">
        <f>SUMIFS(TableDailySummary[Órdenes totales],TableDailySummary[Fecha],"&gt;="&amp;TableWeeklySummary[[#This Row],[Desde]],TableDailySummary[Fecha],"&lt;="&amp;TableWeeklySummary[[#This Row],[Hasta]])</f>
        <v>0</v>
      </c>
      <c r="G322" s="11">
        <f>IFERROR(TableWeeklySummary[[#This Row],[Ventas netas totales]]/TableWeeklySummary[[#This Row],[Órdenes totales]],0)</f>
        <v>0</v>
      </c>
      <c r="H32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2" s="11">
        <f>TableWeeklySummary[[#This Row],[Órden promedio totales]]*TableWeeklySummary[[#This Row],[CR totales]]</f>
        <v>0</v>
      </c>
      <c r="J322" s="11">
        <f>SUMIFS(TableDailySummary[Ventas primer cliente],TableDailySummary[Fecha],"&gt;="&amp;TableWeeklySummary[[#This Row],[Desde]],TableDailySummary[Fecha],"&lt;="&amp;TableWeeklySummary[[#This Row],[Hasta]])</f>
        <v>0</v>
      </c>
      <c r="K322" s="11">
        <f>SUMIFS(TableDailySummary[Órdenes primer cliente],TableDailySummary[Fecha],"&gt;="&amp;TableWeeklySummary[[#This Row],[Desde]],TableDailySummary[Fecha],"&lt;="&amp;TableWeeklySummary[[#This Row],[Hasta]])</f>
        <v>0</v>
      </c>
      <c r="L322" s="11">
        <f>SUMIFS(TableDailySummary[Online Store_net_sales],TableDailySummary[Fecha],"&gt;="&amp;TableWeeklySummary[[#This Row],[Desde]],TableDailySummary[Fecha],"&lt;="&amp;TableWeeklySummary[[#This Row],[Hasta]])</f>
        <v>0</v>
      </c>
      <c r="M322" s="11">
        <f>SUMIFS(TableDailySummary[Online Store_orders],TableDailySummary[Fecha],"&gt;="&amp;TableWeeklySummary[[#This Row],[Desde]],TableDailySummary[Fecha],"&lt;="&amp;TableWeeklySummary[[#This Row],[Hasta]])</f>
        <v>0</v>
      </c>
      <c r="N322" s="11">
        <f>SUMIFS(TableDailySummary[Tienda 81_net_sales],TableDailySummary[Fecha],"&gt;="&amp;TableWeeklySummary[[#This Row],[Desde]],TableDailySummary[Fecha],"&lt;="&amp;TableWeeklySummary[[#This Row],[Hasta]])</f>
        <v>0</v>
      </c>
      <c r="O322" s="11">
        <f>SUMIFS(TableDailySummary[Tienda 81_orders],TableDailySummary[Fecha],"&gt;="&amp;TableWeeklySummary[[#This Row],[Desde]],TableDailySummary[Fecha],"&lt;="&amp;TableWeeklySummary[[#This Row],[Hasta]])</f>
        <v>0</v>
      </c>
      <c r="P322" s="11">
        <f>SUMIFS(TableDailySummary[Rappi_net_sales],TableDailySummary[Fecha],"&gt;="&amp;TableWeeklySummary[[#This Row],[Desde]],TableDailySummary[Fecha],"&lt;="&amp;TableWeeklySummary[[#This Row],[Hasta]])</f>
        <v>0</v>
      </c>
      <c r="Q322" s="11">
        <f>SUMIFS(TableDailySummary[Rappi_orders],TableDailySummary[Fecha],"&gt;="&amp;TableWeeklySummary[[#This Row],[Desde]],TableDailySummary[Fecha],"&lt;="&amp;TableWeeklySummary[[#This Row],[Hasta]])</f>
        <v>0</v>
      </c>
      <c r="R32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2" s="11">
        <f>SUMIFS(TableDailySummary[Corporativo no tienda_orders],TableDailySummary[Fecha],"&gt;="&amp;TableWeeklySummary[[#This Row],[Desde]],TableDailySummary[Fecha],"&lt;="&amp;TableWeeklySummary[[#This Row],[Hasta]])</f>
        <v>0</v>
      </c>
      <c r="T322" s="11">
        <f>SUMIFS(TableDailySummary[Inversión google ads],TableDailySummary[Fecha],"&gt;="&amp;TableWeeklySummary[[#This Row],[Desde]],TableDailySummary[Fecha],"&lt;="&amp;TableWeeklySummary[[#This Row],[Hasta]])</f>
        <v>0</v>
      </c>
      <c r="U322" s="11">
        <f>SUMIFS(TableDailySummary[Ventas google ads],TableDailySummary[Fecha],"&gt;="&amp;TableWeeklySummary[[#This Row],[Desde]],TableDailySummary[Fecha],"&lt;="&amp;TableWeeklySummary[[#This Row],[Hasta]])</f>
        <v>0</v>
      </c>
      <c r="V322" s="11">
        <f>SUMIFS(TableDailySummary[Inversión meta ads],TableDailySummary[Fecha],"&gt;="&amp;TableWeeklySummary[[#This Row],[Desde]],TableDailySummary[Fecha],"&lt;="&amp;TableWeeklySummary[[#This Row],[Hasta]])</f>
        <v>0</v>
      </c>
      <c r="W322" s="11">
        <f>SUMIFS(TableDailySummary[Ventas meta ads],TableDailySummary[Fecha],"&gt;="&amp;TableWeeklySummary[[#This Row],[Desde]],TableDailySummary[Fecha],"&lt;="&amp;TableWeeklySummary[[#This Row],[Hasta]])</f>
        <v>0</v>
      </c>
      <c r="X322" s="11">
        <f>TableWeeklySummary[[#This Row],[Inversión google ads]]+TableWeeklySummary[[#This Row],[Inversión meta ads]]</f>
        <v>0</v>
      </c>
      <c r="Y322" s="11">
        <f>TableWeeklySummary[[#This Row],[Ventas google ads]]+TableWeeklySummary[[#This Row],[Ventas meta ads]]</f>
        <v>0</v>
      </c>
      <c r="Z322" s="14">
        <f>IFERROR(TableWeeklySummary[[#This Row],[Ventas publicidad]]/TableWeeklySummary[[#This Row],[Inversión publicidad]],0)</f>
        <v>0</v>
      </c>
      <c r="AA322" s="14">
        <f>IFERROR(TableWeeklySummary[[#This Row],[Ventas primer cliente]]/TableWeeklySummary[[#This Row],[Inversión publicidad]],0)</f>
        <v>0</v>
      </c>
      <c r="AB322" s="14"/>
      <c r="AC322" s="11"/>
      <c r="AI32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2" s="11">
        <f>SUMIFS(TableDailySummary[Costo de ventas registrado],TableDailySummary[Fecha],"&gt;="&amp;TableWeeklySummary[[#This Row],[Desde]],TableDailySummary[Fecha],"&lt;="&amp;TableWeeklySummary[[#This Row],[Hasta]])</f>
        <v>0</v>
      </c>
      <c r="AK322" s="11">
        <f>SUMIFS(TableDailySummary[Utilidad bruta],TableDailySummary[Fecha],"&gt;="&amp;TableWeeklySummary[[#This Row],[Desde]],TableDailySummary[Fecha],"&lt;="&amp;TableWeeklySummary[[#This Row],[Hasta]])</f>
        <v>0</v>
      </c>
      <c r="AL322" s="18">
        <f>IFERROR(TableWeeklySummary[[#This Row],[Utilidad bruta]]/TableWeeklySummary[[#This Row],[Ventas netas con costo registrado]],0)</f>
        <v>0</v>
      </c>
    </row>
    <row r="323" spans="2:38" x14ac:dyDescent="0.2">
      <c r="B323" s="16">
        <f>_xlfn.ISOWEEKNUM(TableWeeklySummary[[#This Row],[Hasta]])</f>
        <v>51</v>
      </c>
      <c r="C323" s="6">
        <f t="shared" si="7"/>
        <v>46738</v>
      </c>
      <c r="D323" s="6">
        <f>TableWeeklySummary[[#This Row],[Desde]]+7-1</f>
        <v>46744</v>
      </c>
      <c r="E323" s="11">
        <f>SUMIFS(TableDailySummary[Ventas netas totales],TableDailySummary[Fecha],"&gt;="&amp;TableWeeklySummary[[#This Row],[Desde]],TableDailySummary[Fecha],"&lt;="&amp;TableWeeklySummary[[#This Row],[Hasta]])</f>
        <v>0</v>
      </c>
      <c r="F323" s="11">
        <f>SUMIFS(TableDailySummary[Órdenes totales],TableDailySummary[Fecha],"&gt;="&amp;TableWeeklySummary[[#This Row],[Desde]],TableDailySummary[Fecha],"&lt;="&amp;TableWeeklySummary[[#This Row],[Hasta]])</f>
        <v>0</v>
      </c>
      <c r="G323" s="11">
        <f>IFERROR(TableWeeklySummary[[#This Row],[Ventas netas totales]]/TableWeeklySummary[[#This Row],[Órdenes totales]],0)</f>
        <v>0</v>
      </c>
      <c r="H32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3" s="11">
        <f>TableWeeklySummary[[#This Row],[Órden promedio totales]]*TableWeeklySummary[[#This Row],[CR totales]]</f>
        <v>0</v>
      </c>
      <c r="J323" s="11">
        <f>SUMIFS(TableDailySummary[Ventas primer cliente],TableDailySummary[Fecha],"&gt;="&amp;TableWeeklySummary[[#This Row],[Desde]],TableDailySummary[Fecha],"&lt;="&amp;TableWeeklySummary[[#This Row],[Hasta]])</f>
        <v>0</v>
      </c>
      <c r="K323" s="11">
        <f>SUMIFS(TableDailySummary[Órdenes primer cliente],TableDailySummary[Fecha],"&gt;="&amp;TableWeeklySummary[[#This Row],[Desde]],TableDailySummary[Fecha],"&lt;="&amp;TableWeeklySummary[[#This Row],[Hasta]])</f>
        <v>0</v>
      </c>
      <c r="L323" s="11">
        <f>SUMIFS(TableDailySummary[Online Store_net_sales],TableDailySummary[Fecha],"&gt;="&amp;TableWeeklySummary[[#This Row],[Desde]],TableDailySummary[Fecha],"&lt;="&amp;TableWeeklySummary[[#This Row],[Hasta]])</f>
        <v>0</v>
      </c>
      <c r="M323" s="11">
        <f>SUMIFS(TableDailySummary[Online Store_orders],TableDailySummary[Fecha],"&gt;="&amp;TableWeeklySummary[[#This Row],[Desde]],TableDailySummary[Fecha],"&lt;="&amp;TableWeeklySummary[[#This Row],[Hasta]])</f>
        <v>0</v>
      </c>
      <c r="N323" s="11">
        <f>SUMIFS(TableDailySummary[Tienda 81_net_sales],TableDailySummary[Fecha],"&gt;="&amp;TableWeeklySummary[[#This Row],[Desde]],TableDailySummary[Fecha],"&lt;="&amp;TableWeeklySummary[[#This Row],[Hasta]])</f>
        <v>0</v>
      </c>
      <c r="O323" s="11">
        <f>SUMIFS(TableDailySummary[Tienda 81_orders],TableDailySummary[Fecha],"&gt;="&amp;TableWeeklySummary[[#This Row],[Desde]],TableDailySummary[Fecha],"&lt;="&amp;TableWeeklySummary[[#This Row],[Hasta]])</f>
        <v>0</v>
      </c>
      <c r="P323" s="11">
        <f>SUMIFS(TableDailySummary[Rappi_net_sales],TableDailySummary[Fecha],"&gt;="&amp;TableWeeklySummary[[#This Row],[Desde]],TableDailySummary[Fecha],"&lt;="&amp;TableWeeklySummary[[#This Row],[Hasta]])</f>
        <v>0</v>
      </c>
      <c r="Q323" s="11">
        <f>SUMIFS(TableDailySummary[Rappi_orders],TableDailySummary[Fecha],"&gt;="&amp;TableWeeklySummary[[#This Row],[Desde]],TableDailySummary[Fecha],"&lt;="&amp;TableWeeklySummary[[#This Row],[Hasta]])</f>
        <v>0</v>
      </c>
      <c r="R32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3" s="11">
        <f>SUMIFS(TableDailySummary[Corporativo no tienda_orders],TableDailySummary[Fecha],"&gt;="&amp;TableWeeklySummary[[#This Row],[Desde]],TableDailySummary[Fecha],"&lt;="&amp;TableWeeklySummary[[#This Row],[Hasta]])</f>
        <v>0</v>
      </c>
      <c r="T323" s="11">
        <f>SUMIFS(TableDailySummary[Inversión google ads],TableDailySummary[Fecha],"&gt;="&amp;TableWeeklySummary[[#This Row],[Desde]],TableDailySummary[Fecha],"&lt;="&amp;TableWeeklySummary[[#This Row],[Hasta]])</f>
        <v>0</v>
      </c>
      <c r="U323" s="11">
        <f>SUMIFS(TableDailySummary[Ventas google ads],TableDailySummary[Fecha],"&gt;="&amp;TableWeeklySummary[[#This Row],[Desde]],TableDailySummary[Fecha],"&lt;="&amp;TableWeeklySummary[[#This Row],[Hasta]])</f>
        <v>0</v>
      </c>
      <c r="V323" s="11">
        <f>SUMIFS(TableDailySummary[Inversión meta ads],TableDailySummary[Fecha],"&gt;="&amp;TableWeeklySummary[[#This Row],[Desde]],TableDailySummary[Fecha],"&lt;="&amp;TableWeeklySummary[[#This Row],[Hasta]])</f>
        <v>0</v>
      </c>
      <c r="W323" s="11">
        <f>SUMIFS(TableDailySummary[Ventas meta ads],TableDailySummary[Fecha],"&gt;="&amp;TableWeeklySummary[[#This Row],[Desde]],TableDailySummary[Fecha],"&lt;="&amp;TableWeeklySummary[[#This Row],[Hasta]])</f>
        <v>0</v>
      </c>
      <c r="X323" s="11">
        <f>TableWeeklySummary[[#This Row],[Inversión google ads]]+TableWeeklySummary[[#This Row],[Inversión meta ads]]</f>
        <v>0</v>
      </c>
      <c r="Y323" s="11">
        <f>TableWeeklySummary[[#This Row],[Ventas google ads]]+TableWeeklySummary[[#This Row],[Ventas meta ads]]</f>
        <v>0</v>
      </c>
      <c r="Z323" s="14">
        <f>IFERROR(TableWeeklySummary[[#This Row],[Ventas publicidad]]/TableWeeklySummary[[#This Row],[Inversión publicidad]],0)</f>
        <v>0</v>
      </c>
      <c r="AA323" s="14">
        <f>IFERROR(TableWeeklySummary[[#This Row],[Ventas primer cliente]]/TableWeeklySummary[[#This Row],[Inversión publicidad]],0)</f>
        <v>0</v>
      </c>
      <c r="AB323" s="14"/>
      <c r="AC323" s="11"/>
      <c r="AI32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3" s="11">
        <f>SUMIFS(TableDailySummary[Costo de ventas registrado],TableDailySummary[Fecha],"&gt;="&amp;TableWeeklySummary[[#This Row],[Desde]],TableDailySummary[Fecha],"&lt;="&amp;TableWeeklySummary[[#This Row],[Hasta]])</f>
        <v>0</v>
      </c>
      <c r="AK323" s="11">
        <f>SUMIFS(TableDailySummary[Utilidad bruta],TableDailySummary[Fecha],"&gt;="&amp;TableWeeklySummary[[#This Row],[Desde]],TableDailySummary[Fecha],"&lt;="&amp;TableWeeklySummary[[#This Row],[Hasta]])</f>
        <v>0</v>
      </c>
      <c r="AL323" s="18">
        <f>IFERROR(TableWeeklySummary[[#This Row],[Utilidad bruta]]/TableWeeklySummary[[#This Row],[Ventas netas con costo registrado]],0)</f>
        <v>0</v>
      </c>
    </row>
    <row r="324" spans="2:38" x14ac:dyDescent="0.2">
      <c r="B324" s="16">
        <f>_xlfn.ISOWEEKNUM(TableWeeklySummary[[#This Row],[Hasta]])</f>
        <v>52</v>
      </c>
      <c r="C324" s="6">
        <f t="shared" si="7"/>
        <v>46745</v>
      </c>
      <c r="D324" s="6">
        <f>TableWeeklySummary[[#This Row],[Desde]]+7-1</f>
        <v>46751</v>
      </c>
      <c r="E324" s="11">
        <f>SUMIFS(TableDailySummary[Ventas netas totales],TableDailySummary[Fecha],"&gt;="&amp;TableWeeklySummary[[#This Row],[Desde]],TableDailySummary[Fecha],"&lt;="&amp;TableWeeklySummary[[#This Row],[Hasta]])</f>
        <v>0</v>
      </c>
      <c r="F324" s="11">
        <f>SUMIFS(TableDailySummary[Órdenes totales],TableDailySummary[Fecha],"&gt;="&amp;TableWeeklySummary[[#This Row],[Desde]],TableDailySummary[Fecha],"&lt;="&amp;TableWeeklySummary[[#This Row],[Hasta]])</f>
        <v>0</v>
      </c>
      <c r="G324" s="11">
        <f>IFERROR(TableWeeklySummary[[#This Row],[Ventas netas totales]]/TableWeeklySummary[[#This Row],[Órdenes totales]],0)</f>
        <v>0</v>
      </c>
      <c r="H32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4" s="11">
        <f>TableWeeklySummary[[#This Row],[Órden promedio totales]]*TableWeeklySummary[[#This Row],[CR totales]]</f>
        <v>0</v>
      </c>
      <c r="J324" s="11">
        <f>SUMIFS(TableDailySummary[Ventas primer cliente],TableDailySummary[Fecha],"&gt;="&amp;TableWeeklySummary[[#This Row],[Desde]],TableDailySummary[Fecha],"&lt;="&amp;TableWeeklySummary[[#This Row],[Hasta]])</f>
        <v>0</v>
      </c>
      <c r="K324" s="11">
        <f>SUMIFS(TableDailySummary[Órdenes primer cliente],TableDailySummary[Fecha],"&gt;="&amp;TableWeeklySummary[[#This Row],[Desde]],TableDailySummary[Fecha],"&lt;="&amp;TableWeeklySummary[[#This Row],[Hasta]])</f>
        <v>0</v>
      </c>
      <c r="L324" s="11">
        <f>SUMIFS(TableDailySummary[Online Store_net_sales],TableDailySummary[Fecha],"&gt;="&amp;TableWeeklySummary[[#This Row],[Desde]],TableDailySummary[Fecha],"&lt;="&amp;TableWeeklySummary[[#This Row],[Hasta]])</f>
        <v>0</v>
      </c>
      <c r="M324" s="11">
        <f>SUMIFS(TableDailySummary[Online Store_orders],TableDailySummary[Fecha],"&gt;="&amp;TableWeeklySummary[[#This Row],[Desde]],TableDailySummary[Fecha],"&lt;="&amp;TableWeeklySummary[[#This Row],[Hasta]])</f>
        <v>0</v>
      </c>
      <c r="N324" s="11">
        <f>SUMIFS(TableDailySummary[Tienda 81_net_sales],TableDailySummary[Fecha],"&gt;="&amp;TableWeeklySummary[[#This Row],[Desde]],TableDailySummary[Fecha],"&lt;="&amp;TableWeeklySummary[[#This Row],[Hasta]])</f>
        <v>0</v>
      </c>
      <c r="O324" s="11">
        <f>SUMIFS(TableDailySummary[Tienda 81_orders],TableDailySummary[Fecha],"&gt;="&amp;TableWeeklySummary[[#This Row],[Desde]],TableDailySummary[Fecha],"&lt;="&amp;TableWeeklySummary[[#This Row],[Hasta]])</f>
        <v>0</v>
      </c>
      <c r="P324" s="11">
        <f>SUMIFS(TableDailySummary[Rappi_net_sales],TableDailySummary[Fecha],"&gt;="&amp;TableWeeklySummary[[#This Row],[Desde]],TableDailySummary[Fecha],"&lt;="&amp;TableWeeklySummary[[#This Row],[Hasta]])</f>
        <v>0</v>
      </c>
      <c r="Q324" s="11">
        <f>SUMIFS(TableDailySummary[Rappi_orders],TableDailySummary[Fecha],"&gt;="&amp;TableWeeklySummary[[#This Row],[Desde]],TableDailySummary[Fecha],"&lt;="&amp;TableWeeklySummary[[#This Row],[Hasta]])</f>
        <v>0</v>
      </c>
      <c r="R32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4" s="11">
        <f>SUMIFS(TableDailySummary[Corporativo no tienda_orders],TableDailySummary[Fecha],"&gt;="&amp;TableWeeklySummary[[#This Row],[Desde]],TableDailySummary[Fecha],"&lt;="&amp;TableWeeklySummary[[#This Row],[Hasta]])</f>
        <v>0</v>
      </c>
      <c r="T324" s="11">
        <f>SUMIFS(TableDailySummary[Inversión google ads],TableDailySummary[Fecha],"&gt;="&amp;TableWeeklySummary[[#This Row],[Desde]],TableDailySummary[Fecha],"&lt;="&amp;TableWeeklySummary[[#This Row],[Hasta]])</f>
        <v>0</v>
      </c>
      <c r="U324" s="11">
        <f>SUMIFS(TableDailySummary[Ventas google ads],TableDailySummary[Fecha],"&gt;="&amp;TableWeeklySummary[[#This Row],[Desde]],TableDailySummary[Fecha],"&lt;="&amp;TableWeeklySummary[[#This Row],[Hasta]])</f>
        <v>0</v>
      </c>
      <c r="V324" s="11">
        <f>SUMIFS(TableDailySummary[Inversión meta ads],TableDailySummary[Fecha],"&gt;="&amp;TableWeeklySummary[[#This Row],[Desde]],TableDailySummary[Fecha],"&lt;="&amp;TableWeeklySummary[[#This Row],[Hasta]])</f>
        <v>0</v>
      </c>
      <c r="W324" s="11">
        <f>SUMIFS(TableDailySummary[Ventas meta ads],TableDailySummary[Fecha],"&gt;="&amp;TableWeeklySummary[[#This Row],[Desde]],TableDailySummary[Fecha],"&lt;="&amp;TableWeeklySummary[[#This Row],[Hasta]])</f>
        <v>0</v>
      </c>
      <c r="X324" s="11">
        <f>TableWeeklySummary[[#This Row],[Inversión google ads]]+TableWeeklySummary[[#This Row],[Inversión meta ads]]</f>
        <v>0</v>
      </c>
      <c r="Y324" s="11">
        <f>TableWeeklySummary[[#This Row],[Ventas google ads]]+TableWeeklySummary[[#This Row],[Ventas meta ads]]</f>
        <v>0</v>
      </c>
      <c r="Z324" s="14">
        <f>IFERROR(TableWeeklySummary[[#This Row],[Ventas publicidad]]/TableWeeklySummary[[#This Row],[Inversión publicidad]],0)</f>
        <v>0</v>
      </c>
      <c r="AA324" s="14">
        <f>IFERROR(TableWeeklySummary[[#This Row],[Ventas primer cliente]]/TableWeeklySummary[[#This Row],[Inversión publicidad]],0)</f>
        <v>0</v>
      </c>
      <c r="AB324" s="14"/>
      <c r="AC324" s="11"/>
      <c r="AI32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4" s="11">
        <f>SUMIFS(TableDailySummary[Costo de ventas registrado],TableDailySummary[Fecha],"&gt;="&amp;TableWeeklySummary[[#This Row],[Desde]],TableDailySummary[Fecha],"&lt;="&amp;TableWeeklySummary[[#This Row],[Hasta]])</f>
        <v>0</v>
      </c>
      <c r="AK324" s="11">
        <f>SUMIFS(TableDailySummary[Utilidad bruta],TableDailySummary[Fecha],"&gt;="&amp;TableWeeklySummary[[#This Row],[Desde]],TableDailySummary[Fecha],"&lt;="&amp;TableWeeklySummary[[#This Row],[Hasta]])</f>
        <v>0</v>
      </c>
      <c r="AL324" s="18">
        <f>IFERROR(TableWeeklySummary[[#This Row],[Utilidad bruta]]/TableWeeklySummary[[#This Row],[Ventas netas con costo registrado]],0)</f>
        <v>0</v>
      </c>
    </row>
    <row r="325" spans="2:38" x14ac:dyDescent="0.2">
      <c r="B325" s="16">
        <f>_xlfn.ISOWEEKNUM(TableWeeklySummary[[#This Row],[Hasta]])</f>
        <v>1</v>
      </c>
      <c r="C325" s="6">
        <f t="shared" si="7"/>
        <v>46752</v>
      </c>
      <c r="D325" s="6">
        <f>TableWeeklySummary[[#This Row],[Desde]]+7-1</f>
        <v>46758</v>
      </c>
      <c r="E325" s="11">
        <f>SUMIFS(TableDailySummary[Ventas netas totales],TableDailySummary[Fecha],"&gt;="&amp;TableWeeklySummary[[#This Row],[Desde]],TableDailySummary[Fecha],"&lt;="&amp;TableWeeklySummary[[#This Row],[Hasta]])</f>
        <v>0</v>
      </c>
      <c r="F325" s="11">
        <f>SUMIFS(TableDailySummary[Órdenes totales],TableDailySummary[Fecha],"&gt;="&amp;TableWeeklySummary[[#This Row],[Desde]],TableDailySummary[Fecha],"&lt;="&amp;TableWeeklySummary[[#This Row],[Hasta]])</f>
        <v>0</v>
      </c>
      <c r="G325" s="11">
        <f>IFERROR(TableWeeklySummary[[#This Row],[Ventas netas totales]]/TableWeeklySummary[[#This Row],[Órdenes totales]],0)</f>
        <v>0</v>
      </c>
      <c r="H32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5" s="11">
        <f>TableWeeklySummary[[#This Row],[Órden promedio totales]]*TableWeeklySummary[[#This Row],[CR totales]]</f>
        <v>0</v>
      </c>
      <c r="J325" s="11">
        <f>SUMIFS(TableDailySummary[Ventas primer cliente],TableDailySummary[Fecha],"&gt;="&amp;TableWeeklySummary[[#This Row],[Desde]],TableDailySummary[Fecha],"&lt;="&amp;TableWeeklySummary[[#This Row],[Hasta]])</f>
        <v>0</v>
      </c>
      <c r="K325" s="11">
        <f>SUMIFS(TableDailySummary[Órdenes primer cliente],TableDailySummary[Fecha],"&gt;="&amp;TableWeeklySummary[[#This Row],[Desde]],TableDailySummary[Fecha],"&lt;="&amp;TableWeeklySummary[[#This Row],[Hasta]])</f>
        <v>0</v>
      </c>
      <c r="L325" s="11">
        <f>SUMIFS(TableDailySummary[Online Store_net_sales],TableDailySummary[Fecha],"&gt;="&amp;TableWeeklySummary[[#This Row],[Desde]],TableDailySummary[Fecha],"&lt;="&amp;TableWeeklySummary[[#This Row],[Hasta]])</f>
        <v>0</v>
      </c>
      <c r="M325" s="11">
        <f>SUMIFS(TableDailySummary[Online Store_orders],TableDailySummary[Fecha],"&gt;="&amp;TableWeeklySummary[[#This Row],[Desde]],TableDailySummary[Fecha],"&lt;="&amp;TableWeeklySummary[[#This Row],[Hasta]])</f>
        <v>0</v>
      </c>
      <c r="N325" s="11">
        <f>SUMIFS(TableDailySummary[Tienda 81_net_sales],TableDailySummary[Fecha],"&gt;="&amp;TableWeeklySummary[[#This Row],[Desde]],TableDailySummary[Fecha],"&lt;="&amp;TableWeeklySummary[[#This Row],[Hasta]])</f>
        <v>0</v>
      </c>
      <c r="O325" s="11">
        <f>SUMIFS(TableDailySummary[Tienda 81_orders],TableDailySummary[Fecha],"&gt;="&amp;TableWeeklySummary[[#This Row],[Desde]],TableDailySummary[Fecha],"&lt;="&amp;TableWeeklySummary[[#This Row],[Hasta]])</f>
        <v>0</v>
      </c>
      <c r="P325" s="11">
        <f>SUMIFS(TableDailySummary[Rappi_net_sales],TableDailySummary[Fecha],"&gt;="&amp;TableWeeklySummary[[#This Row],[Desde]],TableDailySummary[Fecha],"&lt;="&amp;TableWeeklySummary[[#This Row],[Hasta]])</f>
        <v>0</v>
      </c>
      <c r="Q325" s="11">
        <f>SUMIFS(TableDailySummary[Rappi_orders],TableDailySummary[Fecha],"&gt;="&amp;TableWeeklySummary[[#This Row],[Desde]],TableDailySummary[Fecha],"&lt;="&amp;TableWeeklySummary[[#This Row],[Hasta]])</f>
        <v>0</v>
      </c>
      <c r="R32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5" s="11">
        <f>SUMIFS(TableDailySummary[Corporativo no tienda_orders],TableDailySummary[Fecha],"&gt;="&amp;TableWeeklySummary[[#This Row],[Desde]],TableDailySummary[Fecha],"&lt;="&amp;TableWeeklySummary[[#This Row],[Hasta]])</f>
        <v>0</v>
      </c>
      <c r="T325" s="11">
        <f>SUMIFS(TableDailySummary[Inversión google ads],TableDailySummary[Fecha],"&gt;="&amp;TableWeeklySummary[[#This Row],[Desde]],TableDailySummary[Fecha],"&lt;="&amp;TableWeeklySummary[[#This Row],[Hasta]])</f>
        <v>0</v>
      </c>
      <c r="U325" s="11">
        <f>SUMIFS(TableDailySummary[Ventas google ads],TableDailySummary[Fecha],"&gt;="&amp;TableWeeklySummary[[#This Row],[Desde]],TableDailySummary[Fecha],"&lt;="&amp;TableWeeklySummary[[#This Row],[Hasta]])</f>
        <v>0</v>
      </c>
      <c r="V325" s="11">
        <f>SUMIFS(TableDailySummary[Inversión meta ads],TableDailySummary[Fecha],"&gt;="&amp;TableWeeklySummary[[#This Row],[Desde]],TableDailySummary[Fecha],"&lt;="&amp;TableWeeklySummary[[#This Row],[Hasta]])</f>
        <v>0</v>
      </c>
      <c r="W325" s="11">
        <f>SUMIFS(TableDailySummary[Ventas meta ads],TableDailySummary[Fecha],"&gt;="&amp;TableWeeklySummary[[#This Row],[Desde]],TableDailySummary[Fecha],"&lt;="&amp;TableWeeklySummary[[#This Row],[Hasta]])</f>
        <v>0</v>
      </c>
      <c r="X325" s="11">
        <f>TableWeeklySummary[[#This Row],[Inversión google ads]]+TableWeeklySummary[[#This Row],[Inversión meta ads]]</f>
        <v>0</v>
      </c>
      <c r="Y325" s="11">
        <f>TableWeeklySummary[[#This Row],[Ventas google ads]]+TableWeeklySummary[[#This Row],[Ventas meta ads]]</f>
        <v>0</v>
      </c>
      <c r="Z325" s="14">
        <f>IFERROR(TableWeeklySummary[[#This Row],[Ventas publicidad]]/TableWeeklySummary[[#This Row],[Inversión publicidad]],0)</f>
        <v>0</v>
      </c>
      <c r="AA325" s="14">
        <f>IFERROR(TableWeeklySummary[[#This Row],[Ventas primer cliente]]/TableWeeklySummary[[#This Row],[Inversión publicidad]],0)</f>
        <v>0</v>
      </c>
      <c r="AB325" s="14"/>
      <c r="AC325" s="11"/>
      <c r="AI32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5" s="11">
        <f>SUMIFS(TableDailySummary[Costo de ventas registrado],TableDailySummary[Fecha],"&gt;="&amp;TableWeeklySummary[[#This Row],[Desde]],TableDailySummary[Fecha],"&lt;="&amp;TableWeeklySummary[[#This Row],[Hasta]])</f>
        <v>0</v>
      </c>
      <c r="AK325" s="11">
        <f>SUMIFS(TableDailySummary[Utilidad bruta],TableDailySummary[Fecha],"&gt;="&amp;TableWeeklySummary[[#This Row],[Desde]],TableDailySummary[Fecha],"&lt;="&amp;TableWeeklySummary[[#This Row],[Hasta]])</f>
        <v>0</v>
      </c>
      <c r="AL325" s="18">
        <f>IFERROR(TableWeeklySummary[[#This Row],[Utilidad bruta]]/TableWeeklySummary[[#This Row],[Ventas netas con costo registrado]],0)</f>
        <v>0</v>
      </c>
    </row>
    <row r="326" spans="2:38" x14ac:dyDescent="0.2">
      <c r="B326" s="16">
        <f>_xlfn.ISOWEEKNUM(TableWeeklySummary[[#This Row],[Hasta]])</f>
        <v>2</v>
      </c>
      <c r="C326" s="6">
        <f t="shared" si="7"/>
        <v>46759</v>
      </c>
      <c r="D326" s="6">
        <f>TableWeeklySummary[[#This Row],[Desde]]+7-1</f>
        <v>46765</v>
      </c>
      <c r="E326" s="11">
        <f>SUMIFS(TableDailySummary[Ventas netas totales],TableDailySummary[Fecha],"&gt;="&amp;TableWeeklySummary[[#This Row],[Desde]],TableDailySummary[Fecha],"&lt;="&amp;TableWeeklySummary[[#This Row],[Hasta]])</f>
        <v>0</v>
      </c>
      <c r="F326" s="11">
        <f>SUMIFS(TableDailySummary[Órdenes totales],TableDailySummary[Fecha],"&gt;="&amp;TableWeeklySummary[[#This Row],[Desde]],TableDailySummary[Fecha],"&lt;="&amp;TableWeeklySummary[[#This Row],[Hasta]])</f>
        <v>0</v>
      </c>
      <c r="G326" s="11">
        <f>IFERROR(TableWeeklySummary[[#This Row],[Ventas netas totales]]/TableWeeklySummary[[#This Row],[Órdenes totales]],0)</f>
        <v>0</v>
      </c>
      <c r="H32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6" s="11">
        <f>TableWeeklySummary[[#This Row],[Órden promedio totales]]*TableWeeklySummary[[#This Row],[CR totales]]</f>
        <v>0</v>
      </c>
      <c r="J326" s="11">
        <f>SUMIFS(TableDailySummary[Ventas primer cliente],TableDailySummary[Fecha],"&gt;="&amp;TableWeeklySummary[[#This Row],[Desde]],TableDailySummary[Fecha],"&lt;="&amp;TableWeeklySummary[[#This Row],[Hasta]])</f>
        <v>0</v>
      </c>
      <c r="K326" s="11">
        <f>SUMIFS(TableDailySummary[Órdenes primer cliente],TableDailySummary[Fecha],"&gt;="&amp;TableWeeklySummary[[#This Row],[Desde]],TableDailySummary[Fecha],"&lt;="&amp;TableWeeklySummary[[#This Row],[Hasta]])</f>
        <v>0</v>
      </c>
      <c r="L326" s="11">
        <f>SUMIFS(TableDailySummary[Online Store_net_sales],TableDailySummary[Fecha],"&gt;="&amp;TableWeeklySummary[[#This Row],[Desde]],TableDailySummary[Fecha],"&lt;="&amp;TableWeeklySummary[[#This Row],[Hasta]])</f>
        <v>0</v>
      </c>
      <c r="M326" s="11">
        <f>SUMIFS(TableDailySummary[Online Store_orders],TableDailySummary[Fecha],"&gt;="&amp;TableWeeklySummary[[#This Row],[Desde]],TableDailySummary[Fecha],"&lt;="&amp;TableWeeklySummary[[#This Row],[Hasta]])</f>
        <v>0</v>
      </c>
      <c r="N326" s="11">
        <f>SUMIFS(TableDailySummary[Tienda 81_net_sales],TableDailySummary[Fecha],"&gt;="&amp;TableWeeklySummary[[#This Row],[Desde]],TableDailySummary[Fecha],"&lt;="&amp;TableWeeklySummary[[#This Row],[Hasta]])</f>
        <v>0</v>
      </c>
      <c r="O326" s="11">
        <f>SUMIFS(TableDailySummary[Tienda 81_orders],TableDailySummary[Fecha],"&gt;="&amp;TableWeeklySummary[[#This Row],[Desde]],TableDailySummary[Fecha],"&lt;="&amp;TableWeeklySummary[[#This Row],[Hasta]])</f>
        <v>0</v>
      </c>
      <c r="P326" s="11">
        <f>SUMIFS(TableDailySummary[Rappi_net_sales],TableDailySummary[Fecha],"&gt;="&amp;TableWeeklySummary[[#This Row],[Desde]],TableDailySummary[Fecha],"&lt;="&amp;TableWeeklySummary[[#This Row],[Hasta]])</f>
        <v>0</v>
      </c>
      <c r="Q326" s="11">
        <f>SUMIFS(TableDailySummary[Rappi_orders],TableDailySummary[Fecha],"&gt;="&amp;TableWeeklySummary[[#This Row],[Desde]],TableDailySummary[Fecha],"&lt;="&amp;TableWeeklySummary[[#This Row],[Hasta]])</f>
        <v>0</v>
      </c>
      <c r="R32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6" s="11">
        <f>SUMIFS(TableDailySummary[Corporativo no tienda_orders],TableDailySummary[Fecha],"&gt;="&amp;TableWeeklySummary[[#This Row],[Desde]],TableDailySummary[Fecha],"&lt;="&amp;TableWeeklySummary[[#This Row],[Hasta]])</f>
        <v>0</v>
      </c>
      <c r="T326" s="11">
        <f>SUMIFS(TableDailySummary[Inversión google ads],TableDailySummary[Fecha],"&gt;="&amp;TableWeeklySummary[[#This Row],[Desde]],TableDailySummary[Fecha],"&lt;="&amp;TableWeeklySummary[[#This Row],[Hasta]])</f>
        <v>0</v>
      </c>
      <c r="U326" s="11">
        <f>SUMIFS(TableDailySummary[Ventas google ads],TableDailySummary[Fecha],"&gt;="&amp;TableWeeklySummary[[#This Row],[Desde]],TableDailySummary[Fecha],"&lt;="&amp;TableWeeklySummary[[#This Row],[Hasta]])</f>
        <v>0</v>
      </c>
      <c r="V326" s="11">
        <f>SUMIFS(TableDailySummary[Inversión meta ads],TableDailySummary[Fecha],"&gt;="&amp;TableWeeklySummary[[#This Row],[Desde]],TableDailySummary[Fecha],"&lt;="&amp;TableWeeklySummary[[#This Row],[Hasta]])</f>
        <v>0</v>
      </c>
      <c r="W326" s="11">
        <f>SUMIFS(TableDailySummary[Ventas meta ads],TableDailySummary[Fecha],"&gt;="&amp;TableWeeklySummary[[#This Row],[Desde]],TableDailySummary[Fecha],"&lt;="&amp;TableWeeklySummary[[#This Row],[Hasta]])</f>
        <v>0</v>
      </c>
      <c r="X326" s="11">
        <f>TableWeeklySummary[[#This Row],[Inversión google ads]]+TableWeeklySummary[[#This Row],[Inversión meta ads]]</f>
        <v>0</v>
      </c>
      <c r="Y326" s="11">
        <f>TableWeeklySummary[[#This Row],[Ventas google ads]]+TableWeeklySummary[[#This Row],[Ventas meta ads]]</f>
        <v>0</v>
      </c>
      <c r="Z326" s="14">
        <f>IFERROR(TableWeeklySummary[[#This Row],[Ventas publicidad]]/TableWeeklySummary[[#This Row],[Inversión publicidad]],0)</f>
        <v>0</v>
      </c>
      <c r="AA326" s="14">
        <f>IFERROR(TableWeeklySummary[[#This Row],[Ventas primer cliente]]/TableWeeklySummary[[#This Row],[Inversión publicidad]],0)</f>
        <v>0</v>
      </c>
      <c r="AB326" s="14"/>
      <c r="AC326" s="11"/>
      <c r="AI32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6" s="11">
        <f>SUMIFS(TableDailySummary[Costo de ventas registrado],TableDailySummary[Fecha],"&gt;="&amp;TableWeeklySummary[[#This Row],[Desde]],TableDailySummary[Fecha],"&lt;="&amp;TableWeeklySummary[[#This Row],[Hasta]])</f>
        <v>0</v>
      </c>
      <c r="AK326" s="11">
        <f>SUMIFS(TableDailySummary[Utilidad bruta],TableDailySummary[Fecha],"&gt;="&amp;TableWeeklySummary[[#This Row],[Desde]],TableDailySummary[Fecha],"&lt;="&amp;TableWeeklySummary[[#This Row],[Hasta]])</f>
        <v>0</v>
      </c>
      <c r="AL326" s="18">
        <f>IFERROR(TableWeeklySummary[[#This Row],[Utilidad bruta]]/TableWeeklySummary[[#This Row],[Ventas netas con costo registrado]],0)</f>
        <v>0</v>
      </c>
    </row>
    <row r="327" spans="2:38" x14ac:dyDescent="0.2">
      <c r="B327" s="16">
        <f>_xlfn.ISOWEEKNUM(TableWeeklySummary[[#This Row],[Hasta]])</f>
        <v>3</v>
      </c>
      <c r="C327" s="6">
        <f t="shared" si="7"/>
        <v>46766</v>
      </c>
      <c r="D327" s="6">
        <f>TableWeeklySummary[[#This Row],[Desde]]+7-1</f>
        <v>46772</v>
      </c>
      <c r="E327" s="11">
        <f>SUMIFS(TableDailySummary[Ventas netas totales],TableDailySummary[Fecha],"&gt;="&amp;TableWeeklySummary[[#This Row],[Desde]],TableDailySummary[Fecha],"&lt;="&amp;TableWeeklySummary[[#This Row],[Hasta]])</f>
        <v>0</v>
      </c>
      <c r="F327" s="11">
        <f>SUMIFS(TableDailySummary[Órdenes totales],TableDailySummary[Fecha],"&gt;="&amp;TableWeeklySummary[[#This Row],[Desde]],TableDailySummary[Fecha],"&lt;="&amp;TableWeeklySummary[[#This Row],[Hasta]])</f>
        <v>0</v>
      </c>
      <c r="G327" s="11">
        <f>IFERROR(TableWeeklySummary[[#This Row],[Ventas netas totales]]/TableWeeklySummary[[#This Row],[Órdenes totales]],0)</f>
        <v>0</v>
      </c>
      <c r="H32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7" s="11">
        <f>TableWeeklySummary[[#This Row],[Órden promedio totales]]*TableWeeklySummary[[#This Row],[CR totales]]</f>
        <v>0</v>
      </c>
      <c r="J327" s="11">
        <f>SUMIFS(TableDailySummary[Ventas primer cliente],TableDailySummary[Fecha],"&gt;="&amp;TableWeeklySummary[[#This Row],[Desde]],TableDailySummary[Fecha],"&lt;="&amp;TableWeeklySummary[[#This Row],[Hasta]])</f>
        <v>0</v>
      </c>
      <c r="K327" s="11">
        <f>SUMIFS(TableDailySummary[Órdenes primer cliente],TableDailySummary[Fecha],"&gt;="&amp;TableWeeklySummary[[#This Row],[Desde]],TableDailySummary[Fecha],"&lt;="&amp;TableWeeklySummary[[#This Row],[Hasta]])</f>
        <v>0</v>
      </c>
      <c r="L327" s="11">
        <f>SUMIFS(TableDailySummary[Online Store_net_sales],TableDailySummary[Fecha],"&gt;="&amp;TableWeeklySummary[[#This Row],[Desde]],TableDailySummary[Fecha],"&lt;="&amp;TableWeeklySummary[[#This Row],[Hasta]])</f>
        <v>0</v>
      </c>
      <c r="M327" s="11">
        <f>SUMIFS(TableDailySummary[Online Store_orders],TableDailySummary[Fecha],"&gt;="&amp;TableWeeklySummary[[#This Row],[Desde]],TableDailySummary[Fecha],"&lt;="&amp;TableWeeklySummary[[#This Row],[Hasta]])</f>
        <v>0</v>
      </c>
      <c r="N327" s="11">
        <f>SUMIFS(TableDailySummary[Tienda 81_net_sales],TableDailySummary[Fecha],"&gt;="&amp;TableWeeklySummary[[#This Row],[Desde]],TableDailySummary[Fecha],"&lt;="&amp;TableWeeklySummary[[#This Row],[Hasta]])</f>
        <v>0</v>
      </c>
      <c r="O327" s="11">
        <f>SUMIFS(TableDailySummary[Tienda 81_orders],TableDailySummary[Fecha],"&gt;="&amp;TableWeeklySummary[[#This Row],[Desde]],TableDailySummary[Fecha],"&lt;="&amp;TableWeeklySummary[[#This Row],[Hasta]])</f>
        <v>0</v>
      </c>
      <c r="P327" s="11">
        <f>SUMIFS(TableDailySummary[Rappi_net_sales],TableDailySummary[Fecha],"&gt;="&amp;TableWeeklySummary[[#This Row],[Desde]],TableDailySummary[Fecha],"&lt;="&amp;TableWeeklySummary[[#This Row],[Hasta]])</f>
        <v>0</v>
      </c>
      <c r="Q327" s="11">
        <f>SUMIFS(TableDailySummary[Rappi_orders],TableDailySummary[Fecha],"&gt;="&amp;TableWeeklySummary[[#This Row],[Desde]],TableDailySummary[Fecha],"&lt;="&amp;TableWeeklySummary[[#This Row],[Hasta]])</f>
        <v>0</v>
      </c>
      <c r="R32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7" s="11">
        <f>SUMIFS(TableDailySummary[Corporativo no tienda_orders],TableDailySummary[Fecha],"&gt;="&amp;TableWeeklySummary[[#This Row],[Desde]],TableDailySummary[Fecha],"&lt;="&amp;TableWeeklySummary[[#This Row],[Hasta]])</f>
        <v>0</v>
      </c>
      <c r="T327" s="11">
        <f>SUMIFS(TableDailySummary[Inversión google ads],TableDailySummary[Fecha],"&gt;="&amp;TableWeeklySummary[[#This Row],[Desde]],TableDailySummary[Fecha],"&lt;="&amp;TableWeeklySummary[[#This Row],[Hasta]])</f>
        <v>0</v>
      </c>
      <c r="U327" s="11">
        <f>SUMIFS(TableDailySummary[Ventas google ads],TableDailySummary[Fecha],"&gt;="&amp;TableWeeklySummary[[#This Row],[Desde]],TableDailySummary[Fecha],"&lt;="&amp;TableWeeklySummary[[#This Row],[Hasta]])</f>
        <v>0</v>
      </c>
      <c r="V327" s="11">
        <f>SUMIFS(TableDailySummary[Inversión meta ads],TableDailySummary[Fecha],"&gt;="&amp;TableWeeklySummary[[#This Row],[Desde]],TableDailySummary[Fecha],"&lt;="&amp;TableWeeklySummary[[#This Row],[Hasta]])</f>
        <v>0</v>
      </c>
      <c r="W327" s="11">
        <f>SUMIFS(TableDailySummary[Ventas meta ads],TableDailySummary[Fecha],"&gt;="&amp;TableWeeklySummary[[#This Row],[Desde]],TableDailySummary[Fecha],"&lt;="&amp;TableWeeklySummary[[#This Row],[Hasta]])</f>
        <v>0</v>
      </c>
      <c r="X327" s="11">
        <f>TableWeeklySummary[[#This Row],[Inversión google ads]]+TableWeeklySummary[[#This Row],[Inversión meta ads]]</f>
        <v>0</v>
      </c>
      <c r="Y327" s="11">
        <f>TableWeeklySummary[[#This Row],[Ventas google ads]]+TableWeeklySummary[[#This Row],[Ventas meta ads]]</f>
        <v>0</v>
      </c>
      <c r="Z327" s="14">
        <f>IFERROR(TableWeeklySummary[[#This Row],[Ventas publicidad]]/TableWeeklySummary[[#This Row],[Inversión publicidad]],0)</f>
        <v>0</v>
      </c>
      <c r="AA327" s="14">
        <f>IFERROR(TableWeeklySummary[[#This Row],[Ventas primer cliente]]/TableWeeklySummary[[#This Row],[Inversión publicidad]],0)</f>
        <v>0</v>
      </c>
      <c r="AB327" s="14"/>
      <c r="AC327" s="11"/>
      <c r="AI32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7" s="11">
        <f>SUMIFS(TableDailySummary[Costo de ventas registrado],TableDailySummary[Fecha],"&gt;="&amp;TableWeeklySummary[[#This Row],[Desde]],TableDailySummary[Fecha],"&lt;="&amp;TableWeeklySummary[[#This Row],[Hasta]])</f>
        <v>0</v>
      </c>
      <c r="AK327" s="11">
        <f>SUMIFS(TableDailySummary[Utilidad bruta],TableDailySummary[Fecha],"&gt;="&amp;TableWeeklySummary[[#This Row],[Desde]],TableDailySummary[Fecha],"&lt;="&amp;TableWeeklySummary[[#This Row],[Hasta]])</f>
        <v>0</v>
      </c>
      <c r="AL327" s="18">
        <f>IFERROR(TableWeeklySummary[[#This Row],[Utilidad bruta]]/TableWeeklySummary[[#This Row],[Ventas netas con costo registrado]],0)</f>
        <v>0</v>
      </c>
    </row>
    <row r="328" spans="2:38" x14ac:dyDescent="0.2">
      <c r="B328" s="16">
        <f>_xlfn.ISOWEEKNUM(TableWeeklySummary[[#This Row],[Hasta]])</f>
        <v>4</v>
      </c>
      <c r="C328" s="6">
        <f t="shared" si="7"/>
        <v>46773</v>
      </c>
      <c r="D328" s="6">
        <f>TableWeeklySummary[[#This Row],[Desde]]+7-1</f>
        <v>46779</v>
      </c>
      <c r="E328" s="11">
        <f>SUMIFS(TableDailySummary[Ventas netas totales],TableDailySummary[Fecha],"&gt;="&amp;TableWeeklySummary[[#This Row],[Desde]],TableDailySummary[Fecha],"&lt;="&amp;TableWeeklySummary[[#This Row],[Hasta]])</f>
        <v>0</v>
      </c>
      <c r="F328" s="11">
        <f>SUMIFS(TableDailySummary[Órdenes totales],TableDailySummary[Fecha],"&gt;="&amp;TableWeeklySummary[[#This Row],[Desde]],TableDailySummary[Fecha],"&lt;="&amp;TableWeeklySummary[[#This Row],[Hasta]])</f>
        <v>0</v>
      </c>
      <c r="G328" s="11">
        <f>IFERROR(TableWeeklySummary[[#This Row],[Ventas netas totales]]/TableWeeklySummary[[#This Row],[Órdenes totales]],0)</f>
        <v>0</v>
      </c>
      <c r="H32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8" s="11">
        <f>TableWeeklySummary[[#This Row],[Órden promedio totales]]*TableWeeklySummary[[#This Row],[CR totales]]</f>
        <v>0</v>
      </c>
      <c r="J328" s="11">
        <f>SUMIFS(TableDailySummary[Ventas primer cliente],TableDailySummary[Fecha],"&gt;="&amp;TableWeeklySummary[[#This Row],[Desde]],TableDailySummary[Fecha],"&lt;="&amp;TableWeeklySummary[[#This Row],[Hasta]])</f>
        <v>0</v>
      </c>
      <c r="K328" s="11">
        <f>SUMIFS(TableDailySummary[Órdenes primer cliente],TableDailySummary[Fecha],"&gt;="&amp;TableWeeklySummary[[#This Row],[Desde]],TableDailySummary[Fecha],"&lt;="&amp;TableWeeklySummary[[#This Row],[Hasta]])</f>
        <v>0</v>
      </c>
      <c r="L328" s="11">
        <f>SUMIFS(TableDailySummary[Online Store_net_sales],TableDailySummary[Fecha],"&gt;="&amp;TableWeeklySummary[[#This Row],[Desde]],TableDailySummary[Fecha],"&lt;="&amp;TableWeeklySummary[[#This Row],[Hasta]])</f>
        <v>0</v>
      </c>
      <c r="M328" s="11">
        <f>SUMIFS(TableDailySummary[Online Store_orders],TableDailySummary[Fecha],"&gt;="&amp;TableWeeklySummary[[#This Row],[Desde]],TableDailySummary[Fecha],"&lt;="&amp;TableWeeklySummary[[#This Row],[Hasta]])</f>
        <v>0</v>
      </c>
      <c r="N328" s="11">
        <f>SUMIFS(TableDailySummary[Tienda 81_net_sales],TableDailySummary[Fecha],"&gt;="&amp;TableWeeklySummary[[#This Row],[Desde]],TableDailySummary[Fecha],"&lt;="&amp;TableWeeklySummary[[#This Row],[Hasta]])</f>
        <v>0</v>
      </c>
      <c r="O328" s="11">
        <f>SUMIFS(TableDailySummary[Tienda 81_orders],TableDailySummary[Fecha],"&gt;="&amp;TableWeeklySummary[[#This Row],[Desde]],TableDailySummary[Fecha],"&lt;="&amp;TableWeeklySummary[[#This Row],[Hasta]])</f>
        <v>0</v>
      </c>
      <c r="P328" s="11">
        <f>SUMIFS(TableDailySummary[Rappi_net_sales],TableDailySummary[Fecha],"&gt;="&amp;TableWeeklySummary[[#This Row],[Desde]],TableDailySummary[Fecha],"&lt;="&amp;TableWeeklySummary[[#This Row],[Hasta]])</f>
        <v>0</v>
      </c>
      <c r="Q328" s="11">
        <f>SUMIFS(TableDailySummary[Rappi_orders],TableDailySummary[Fecha],"&gt;="&amp;TableWeeklySummary[[#This Row],[Desde]],TableDailySummary[Fecha],"&lt;="&amp;TableWeeklySummary[[#This Row],[Hasta]])</f>
        <v>0</v>
      </c>
      <c r="R32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8" s="11">
        <f>SUMIFS(TableDailySummary[Corporativo no tienda_orders],TableDailySummary[Fecha],"&gt;="&amp;TableWeeklySummary[[#This Row],[Desde]],TableDailySummary[Fecha],"&lt;="&amp;TableWeeklySummary[[#This Row],[Hasta]])</f>
        <v>0</v>
      </c>
      <c r="T328" s="11">
        <f>SUMIFS(TableDailySummary[Inversión google ads],TableDailySummary[Fecha],"&gt;="&amp;TableWeeklySummary[[#This Row],[Desde]],TableDailySummary[Fecha],"&lt;="&amp;TableWeeklySummary[[#This Row],[Hasta]])</f>
        <v>0</v>
      </c>
      <c r="U328" s="11">
        <f>SUMIFS(TableDailySummary[Ventas google ads],TableDailySummary[Fecha],"&gt;="&amp;TableWeeklySummary[[#This Row],[Desde]],TableDailySummary[Fecha],"&lt;="&amp;TableWeeklySummary[[#This Row],[Hasta]])</f>
        <v>0</v>
      </c>
      <c r="V328" s="11">
        <f>SUMIFS(TableDailySummary[Inversión meta ads],TableDailySummary[Fecha],"&gt;="&amp;TableWeeklySummary[[#This Row],[Desde]],TableDailySummary[Fecha],"&lt;="&amp;TableWeeklySummary[[#This Row],[Hasta]])</f>
        <v>0</v>
      </c>
      <c r="W328" s="11">
        <f>SUMIFS(TableDailySummary[Ventas meta ads],TableDailySummary[Fecha],"&gt;="&amp;TableWeeklySummary[[#This Row],[Desde]],TableDailySummary[Fecha],"&lt;="&amp;TableWeeklySummary[[#This Row],[Hasta]])</f>
        <v>0</v>
      </c>
      <c r="X328" s="11">
        <f>TableWeeklySummary[[#This Row],[Inversión google ads]]+TableWeeklySummary[[#This Row],[Inversión meta ads]]</f>
        <v>0</v>
      </c>
      <c r="Y328" s="11">
        <f>TableWeeklySummary[[#This Row],[Ventas google ads]]+TableWeeklySummary[[#This Row],[Ventas meta ads]]</f>
        <v>0</v>
      </c>
      <c r="Z328" s="14">
        <f>IFERROR(TableWeeklySummary[[#This Row],[Ventas publicidad]]/TableWeeklySummary[[#This Row],[Inversión publicidad]],0)</f>
        <v>0</v>
      </c>
      <c r="AA328" s="14">
        <f>IFERROR(TableWeeklySummary[[#This Row],[Ventas primer cliente]]/TableWeeklySummary[[#This Row],[Inversión publicidad]],0)</f>
        <v>0</v>
      </c>
      <c r="AB328" s="14"/>
      <c r="AC328" s="11"/>
      <c r="AI32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8" s="11">
        <f>SUMIFS(TableDailySummary[Costo de ventas registrado],TableDailySummary[Fecha],"&gt;="&amp;TableWeeklySummary[[#This Row],[Desde]],TableDailySummary[Fecha],"&lt;="&amp;TableWeeklySummary[[#This Row],[Hasta]])</f>
        <v>0</v>
      </c>
      <c r="AK328" s="11">
        <f>SUMIFS(TableDailySummary[Utilidad bruta],TableDailySummary[Fecha],"&gt;="&amp;TableWeeklySummary[[#This Row],[Desde]],TableDailySummary[Fecha],"&lt;="&amp;TableWeeklySummary[[#This Row],[Hasta]])</f>
        <v>0</v>
      </c>
      <c r="AL328" s="18">
        <f>IFERROR(TableWeeklySummary[[#This Row],[Utilidad bruta]]/TableWeeklySummary[[#This Row],[Ventas netas con costo registrado]],0)</f>
        <v>0</v>
      </c>
    </row>
    <row r="329" spans="2:38" x14ac:dyDescent="0.2">
      <c r="B329" s="16">
        <f>_xlfn.ISOWEEKNUM(TableWeeklySummary[[#This Row],[Hasta]])</f>
        <v>5</v>
      </c>
      <c r="C329" s="6">
        <f t="shared" si="7"/>
        <v>46780</v>
      </c>
      <c r="D329" s="6">
        <f>TableWeeklySummary[[#This Row],[Desde]]+7-1</f>
        <v>46786</v>
      </c>
      <c r="E329" s="11">
        <f>SUMIFS(TableDailySummary[Ventas netas totales],TableDailySummary[Fecha],"&gt;="&amp;TableWeeklySummary[[#This Row],[Desde]],TableDailySummary[Fecha],"&lt;="&amp;TableWeeklySummary[[#This Row],[Hasta]])</f>
        <v>0</v>
      </c>
      <c r="F329" s="11">
        <f>SUMIFS(TableDailySummary[Órdenes totales],TableDailySummary[Fecha],"&gt;="&amp;TableWeeklySummary[[#This Row],[Desde]],TableDailySummary[Fecha],"&lt;="&amp;TableWeeklySummary[[#This Row],[Hasta]])</f>
        <v>0</v>
      </c>
      <c r="G329" s="11">
        <f>IFERROR(TableWeeklySummary[[#This Row],[Ventas netas totales]]/TableWeeklySummary[[#This Row],[Órdenes totales]],0)</f>
        <v>0</v>
      </c>
      <c r="H32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29" s="11">
        <f>TableWeeklySummary[[#This Row],[Órden promedio totales]]*TableWeeklySummary[[#This Row],[CR totales]]</f>
        <v>0</v>
      </c>
      <c r="J329" s="11">
        <f>SUMIFS(TableDailySummary[Ventas primer cliente],TableDailySummary[Fecha],"&gt;="&amp;TableWeeklySummary[[#This Row],[Desde]],TableDailySummary[Fecha],"&lt;="&amp;TableWeeklySummary[[#This Row],[Hasta]])</f>
        <v>0</v>
      </c>
      <c r="K329" s="11">
        <f>SUMIFS(TableDailySummary[Órdenes primer cliente],TableDailySummary[Fecha],"&gt;="&amp;TableWeeklySummary[[#This Row],[Desde]],TableDailySummary[Fecha],"&lt;="&amp;TableWeeklySummary[[#This Row],[Hasta]])</f>
        <v>0</v>
      </c>
      <c r="L329" s="11">
        <f>SUMIFS(TableDailySummary[Online Store_net_sales],TableDailySummary[Fecha],"&gt;="&amp;TableWeeklySummary[[#This Row],[Desde]],TableDailySummary[Fecha],"&lt;="&amp;TableWeeklySummary[[#This Row],[Hasta]])</f>
        <v>0</v>
      </c>
      <c r="M329" s="11">
        <f>SUMIFS(TableDailySummary[Online Store_orders],TableDailySummary[Fecha],"&gt;="&amp;TableWeeklySummary[[#This Row],[Desde]],TableDailySummary[Fecha],"&lt;="&amp;TableWeeklySummary[[#This Row],[Hasta]])</f>
        <v>0</v>
      </c>
      <c r="N329" s="11">
        <f>SUMIFS(TableDailySummary[Tienda 81_net_sales],TableDailySummary[Fecha],"&gt;="&amp;TableWeeklySummary[[#This Row],[Desde]],TableDailySummary[Fecha],"&lt;="&amp;TableWeeklySummary[[#This Row],[Hasta]])</f>
        <v>0</v>
      </c>
      <c r="O329" s="11">
        <f>SUMIFS(TableDailySummary[Tienda 81_orders],TableDailySummary[Fecha],"&gt;="&amp;TableWeeklySummary[[#This Row],[Desde]],TableDailySummary[Fecha],"&lt;="&amp;TableWeeklySummary[[#This Row],[Hasta]])</f>
        <v>0</v>
      </c>
      <c r="P329" s="11">
        <f>SUMIFS(TableDailySummary[Rappi_net_sales],TableDailySummary[Fecha],"&gt;="&amp;TableWeeklySummary[[#This Row],[Desde]],TableDailySummary[Fecha],"&lt;="&amp;TableWeeklySummary[[#This Row],[Hasta]])</f>
        <v>0</v>
      </c>
      <c r="Q329" s="11">
        <f>SUMIFS(TableDailySummary[Rappi_orders],TableDailySummary[Fecha],"&gt;="&amp;TableWeeklySummary[[#This Row],[Desde]],TableDailySummary[Fecha],"&lt;="&amp;TableWeeklySummary[[#This Row],[Hasta]])</f>
        <v>0</v>
      </c>
      <c r="R32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29" s="11">
        <f>SUMIFS(TableDailySummary[Corporativo no tienda_orders],TableDailySummary[Fecha],"&gt;="&amp;TableWeeklySummary[[#This Row],[Desde]],TableDailySummary[Fecha],"&lt;="&amp;TableWeeklySummary[[#This Row],[Hasta]])</f>
        <v>0</v>
      </c>
      <c r="T329" s="11">
        <f>SUMIFS(TableDailySummary[Inversión google ads],TableDailySummary[Fecha],"&gt;="&amp;TableWeeklySummary[[#This Row],[Desde]],TableDailySummary[Fecha],"&lt;="&amp;TableWeeklySummary[[#This Row],[Hasta]])</f>
        <v>0</v>
      </c>
      <c r="U329" s="11">
        <f>SUMIFS(TableDailySummary[Ventas google ads],TableDailySummary[Fecha],"&gt;="&amp;TableWeeklySummary[[#This Row],[Desde]],TableDailySummary[Fecha],"&lt;="&amp;TableWeeklySummary[[#This Row],[Hasta]])</f>
        <v>0</v>
      </c>
      <c r="V329" s="11">
        <f>SUMIFS(TableDailySummary[Inversión meta ads],TableDailySummary[Fecha],"&gt;="&amp;TableWeeklySummary[[#This Row],[Desde]],TableDailySummary[Fecha],"&lt;="&amp;TableWeeklySummary[[#This Row],[Hasta]])</f>
        <v>0</v>
      </c>
      <c r="W329" s="11">
        <f>SUMIFS(TableDailySummary[Ventas meta ads],TableDailySummary[Fecha],"&gt;="&amp;TableWeeklySummary[[#This Row],[Desde]],TableDailySummary[Fecha],"&lt;="&amp;TableWeeklySummary[[#This Row],[Hasta]])</f>
        <v>0</v>
      </c>
      <c r="X329" s="11">
        <f>TableWeeklySummary[[#This Row],[Inversión google ads]]+TableWeeklySummary[[#This Row],[Inversión meta ads]]</f>
        <v>0</v>
      </c>
      <c r="Y329" s="11">
        <f>TableWeeklySummary[[#This Row],[Ventas google ads]]+TableWeeklySummary[[#This Row],[Ventas meta ads]]</f>
        <v>0</v>
      </c>
      <c r="Z329" s="14">
        <f>IFERROR(TableWeeklySummary[[#This Row],[Ventas publicidad]]/TableWeeklySummary[[#This Row],[Inversión publicidad]],0)</f>
        <v>0</v>
      </c>
      <c r="AA329" s="14">
        <f>IFERROR(TableWeeklySummary[[#This Row],[Ventas primer cliente]]/TableWeeklySummary[[#This Row],[Inversión publicidad]],0)</f>
        <v>0</v>
      </c>
      <c r="AB329" s="14"/>
      <c r="AC329" s="11"/>
      <c r="AI32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29" s="11">
        <f>SUMIFS(TableDailySummary[Costo de ventas registrado],TableDailySummary[Fecha],"&gt;="&amp;TableWeeklySummary[[#This Row],[Desde]],TableDailySummary[Fecha],"&lt;="&amp;TableWeeklySummary[[#This Row],[Hasta]])</f>
        <v>0</v>
      </c>
      <c r="AK329" s="11">
        <f>SUMIFS(TableDailySummary[Utilidad bruta],TableDailySummary[Fecha],"&gt;="&amp;TableWeeklySummary[[#This Row],[Desde]],TableDailySummary[Fecha],"&lt;="&amp;TableWeeklySummary[[#This Row],[Hasta]])</f>
        <v>0</v>
      </c>
      <c r="AL329" s="18">
        <f>IFERROR(TableWeeklySummary[[#This Row],[Utilidad bruta]]/TableWeeklySummary[[#This Row],[Ventas netas con costo registrado]],0)</f>
        <v>0</v>
      </c>
    </row>
    <row r="330" spans="2:38" x14ac:dyDescent="0.2">
      <c r="B330" s="16">
        <f>_xlfn.ISOWEEKNUM(TableWeeklySummary[[#This Row],[Hasta]])</f>
        <v>6</v>
      </c>
      <c r="C330" s="6">
        <f t="shared" si="7"/>
        <v>46787</v>
      </c>
      <c r="D330" s="6">
        <f>TableWeeklySummary[[#This Row],[Desde]]+7-1</f>
        <v>46793</v>
      </c>
      <c r="E330" s="11">
        <f>SUMIFS(TableDailySummary[Ventas netas totales],TableDailySummary[Fecha],"&gt;="&amp;TableWeeklySummary[[#This Row],[Desde]],TableDailySummary[Fecha],"&lt;="&amp;TableWeeklySummary[[#This Row],[Hasta]])</f>
        <v>0</v>
      </c>
      <c r="F330" s="11">
        <f>SUMIFS(TableDailySummary[Órdenes totales],TableDailySummary[Fecha],"&gt;="&amp;TableWeeklySummary[[#This Row],[Desde]],TableDailySummary[Fecha],"&lt;="&amp;TableWeeklySummary[[#This Row],[Hasta]])</f>
        <v>0</v>
      </c>
      <c r="G330" s="11">
        <f>IFERROR(TableWeeklySummary[[#This Row],[Ventas netas totales]]/TableWeeklySummary[[#This Row],[Órdenes totales]],0)</f>
        <v>0</v>
      </c>
      <c r="H33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0" s="11">
        <f>TableWeeklySummary[[#This Row],[Órden promedio totales]]*TableWeeklySummary[[#This Row],[CR totales]]</f>
        <v>0</v>
      </c>
      <c r="J330" s="11">
        <f>SUMIFS(TableDailySummary[Ventas primer cliente],TableDailySummary[Fecha],"&gt;="&amp;TableWeeklySummary[[#This Row],[Desde]],TableDailySummary[Fecha],"&lt;="&amp;TableWeeklySummary[[#This Row],[Hasta]])</f>
        <v>0</v>
      </c>
      <c r="K330" s="11">
        <f>SUMIFS(TableDailySummary[Órdenes primer cliente],TableDailySummary[Fecha],"&gt;="&amp;TableWeeklySummary[[#This Row],[Desde]],TableDailySummary[Fecha],"&lt;="&amp;TableWeeklySummary[[#This Row],[Hasta]])</f>
        <v>0</v>
      </c>
      <c r="L330" s="11">
        <f>SUMIFS(TableDailySummary[Online Store_net_sales],TableDailySummary[Fecha],"&gt;="&amp;TableWeeklySummary[[#This Row],[Desde]],TableDailySummary[Fecha],"&lt;="&amp;TableWeeklySummary[[#This Row],[Hasta]])</f>
        <v>0</v>
      </c>
      <c r="M330" s="11">
        <f>SUMIFS(TableDailySummary[Online Store_orders],TableDailySummary[Fecha],"&gt;="&amp;TableWeeklySummary[[#This Row],[Desde]],TableDailySummary[Fecha],"&lt;="&amp;TableWeeklySummary[[#This Row],[Hasta]])</f>
        <v>0</v>
      </c>
      <c r="N330" s="11">
        <f>SUMIFS(TableDailySummary[Tienda 81_net_sales],TableDailySummary[Fecha],"&gt;="&amp;TableWeeklySummary[[#This Row],[Desde]],TableDailySummary[Fecha],"&lt;="&amp;TableWeeklySummary[[#This Row],[Hasta]])</f>
        <v>0</v>
      </c>
      <c r="O330" s="11">
        <f>SUMIFS(TableDailySummary[Tienda 81_orders],TableDailySummary[Fecha],"&gt;="&amp;TableWeeklySummary[[#This Row],[Desde]],TableDailySummary[Fecha],"&lt;="&amp;TableWeeklySummary[[#This Row],[Hasta]])</f>
        <v>0</v>
      </c>
      <c r="P330" s="11">
        <f>SUMIFS(TableDailySummary[Rappi_net_sales],TableDailySummary[Fecha],"&gt;="&amp;TableWeeklySummary[[#This Row],[Desde]],TableDailySummary[Fecha],"&lt;="&amp;TableWeeklySummary[[#This Row],[Hasta]])</f>
        <v>0</v>
      </c>
      <c r="Q330" s="11">
        <f>SUMIFS(TableDailySummary[Rappi_orders],TableDailySummary[Fecha],"&gt;="&amp;TableWeeklySummary[[#This Row],[Desde]],TableDailySummary[Fecha],"&lt;="&amp;TableWeeklySummary[[#This Row],[Hasta]])</f>
        <v>0</v>
      </c>
      <c r="R33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0" s="11">
        <f>SUMIFS(TableDailySummary[Corporativo no tienda_orders],TableDailySummary[Fecha],"&gt;="&amp;TableWeeklySummary[[#This Row],[Desde]],TableDailySummary[Fecha],"&lt;="&amp;TableWeeklySummary[[#This Row],[Hasta]])</f>
        <v>0</v>
      </c>
      <c r="T330" s="11">
        <f>SUMIFS(TableDailySummary[Inversión google ads],TableDailySummary[Fecha],"&gt;="&amp;TableWeeklySummary[[#This Row],[Desde]],TableDailySummary[Fecha],"&lt;="&amp;TableWeeklySummary[[#This Row],[Hasta]])</f>
        <v>0</v>
      </c>
      <c r="U330" s="11">
        <f>SUMIFS(TableDailySummary[Ventas google ads],TableDailySummary[Fecha],"&gt;="&amp;TableWeeklySummary[[#This Row],[Desde]],TableDailySummary[Fecha],"&lt;="&amp;TableWeeklySummary[[#This Row],[Hasta]])</f>
        <v>0</v>
      </c>
      <c r="V330" s="11">
        <f>SUMIFS(TableDailySummary[Inversión meta ads],TableDailySummary[Fecha],"&gt;="&amp;TableWeeklySummary[[#This Row],[Desde]],TableDailySummary[Fecha],"&lt;="&amp;TableWeeklySummary[[#This Row],[Hasta]])</f>
        <v>0</v>
      </c>
      <c r="W330" s="11">
        <f>SUMIFS(TableDailySummary[Ventas meta ads],TableDailySummary[Fecha],"&gt;="&amp;TableWeeklySummary[[#This Row],[Desde]],TableDailySummary[Fecha],"&lt;="&amp;TableWeeklySummary[[#This Row],[Hasta]])</f>
        <v>0</v>
      </c>
      <c r="X330" s="11">
        <f>TableWeeklySummary[[#This Row],[Inversión google ads]]+TableWeeklySummary[[#This Row],[Inversión meta ads]]</f>
        <v>0</v>
      </c>
      <c r="Y330" s="11">
        <f>TableWeeklySummary[[#This Row],[Ventas google ads]]+TableWeeklySummary[[#This Row],[Ventas meta ads]]</f>
        <v>0</v>
      </c>
      <c r="Z330" s="14">
        <f>IFERROR(TableWeeklySummary[[#This Row],[Ventas publicidad]]/TableWeeklySummary[[#This Row],[Inversión publicidad]],0)</f>
        <v>0</v>
      </c>
      <c r="AA330" s="14">
        <f>IFERROR(TableWeeklySummary[[#This Row],[Ventas primer cliente]]/TableWeeklySummary[[#This Row],[Inversión publicidad]],0)</f>
        <v>0</v>
      </c>
      <c r="AB330" s="14"/>
      <c r="AC330" s="11"/>
      <c r="AI33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0" s="11">
        <f>SUMIFS(TableDailySummary[Costo de ventas registrado],TableDailySummary[Fecha],"&gt;="&amp;TableWeeklySummary[[#This Row],[Desde]],TableDailySummary[Fecha],"&lt;="&amp;TableWeeklySummary[[#This Row],[Hasta]])</f>
        <v>0</v>
      </c>
      <c r="AK330" s="11">
        <f>SUMIFS(TableDailySummary[Utilidad bruta],TableDailySummary[Fecha],"&gt;="&amp;TableWeeklySummary[[#This Row],[Desde]],TableDailySummary[Fecha],"&lt;="&amp;TableWeeklySummary[[#This Row],[Hasta]])</f>
        <v>0</v>
      </c>
      <c r="AL330" s="18">
        <f>IFERROR(TableWeeklySummary[[#This Row],[Utilidad bruta]]/TableWeeklySummary[[#This Row],[Ventas netas con costo registrado]],0)</f>
        <v>0</v>
      </c>
    </row>
    <row r="331" spans="2:38" x14ac:dyDescent="0.2">
      <c r="B331" s="16">
        <f>_xlfn.ISOWEEKNUM(TableWeeklySummary[[#This Row],[Hasta]])</f>
        <v>7</v>
      </c>
      <c r="C331" s="6">
        <f t="shared" si="7"/>
        <v>46794</v>
      </c>
      <c r="D331" s="6">
        <f>TableWeeklySummary[[#This Row],[Desde]]+7-1</f>
        <v>46800</v>
      </c>
      <c r="E331" s="11">
        <f>SUMIFS(TableDailySummary[Ventas netas totales],TableDailySummary[Fecha],"&gt;="&amp;TableWeeklySummary[[#This Row],[Desde]],TableDailySummary[Fecha],"&lt;="&amp;TableWeeklySummary[[#This Row],[Hasta]])</f>
        <v>0</v>
      </c>
      <c r="F331" s="11">
        <f>SUMIFS(TableDailySummary[Órdenes totales],TableDailySummary[Fecha],"&gt;="&amp;TableWeeklySummary[[#This Row],[Desde]],TableDailySummary[Fecha],"&lt;="&amp;TableWeeklySummary[[#This Row],[Hasta]])</f>
        <v>0</v>
      </c>
      <c r="G331" s="11">
        <f>IFERROR(TableWeeklySummary[[#This Row],[Ventas netas totales]]/TableWeeklySummary[[#This Row],[Órdenes totales]],0)</f>
        <v>0</v>
      </c>
      <c r="H33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1" s="11">
        <f>TableWeeklySummary[[#This Row],[Órden promedio totales]]*TableWeeklySummary[[#This Row],[CR totales]]</f>
        <v>0</v>
      </c>
      <c r="J331" s="11">
        <f>SUMIFS(TableDailySummary[Ventas primer cliente],TableDailySummary[Fecha],"&gt;="&amp;TableWeeklySummary[[#This Row],[Desde]],TableDailySummary[Fecha],"&lt;="&amp;TableWeeklySummary[[#This Row],[Hasta]])</f>
        <v>0</v>
      </c>
      <c r="K331" s="11">
        <f>SUMIFS(TableDailySummary[Órdenes primer cliente],TableDailySummary[Fecha],"&gt;="&amp;TableWeeklySummary[[#This Row],[Desde]],TableDailySummary[Fecha],"&lt;="&amp;TableWeeklySummary[[#This Row],[Hasta]])</f>
        <v>0</v>
      </c>
      <c r="L331" s="11">
        <f>SUMIFS(TableDailySummary[Online Store_net_sales],TableDailySummary[Fecha],"&gt;="&amp;TableWeeklySummary[[#This Row],[Desde]],TableDailySummary[Fecha],"&lt;="&amp;TableWeeklySummary[[#This Row],[Hasta]])</f>
        <v>0</v>
      </c>
      <c r="M331" s="11">
        <f>SUMIFS(TableDailySummary[Online Store_orders],TableDailySummary[Fecha],"&gt;="&amp;TableWeeklySummary[[#This Row],[Desde]],TableDailySummary[Fecha],"&lt;="&amp;TableWeeklySummary[[#This Row],[Hasta]])</f>
        <v>0</v>
      </c>
      <c r="N331" s="11">
        <f>SUMIFS(TableDailySummary[Tienda 81_net_sales],TableDailySummary[Fecha],"&gt;="&amp;TableWeeklySummary[[#This Row],[Desde]],TableDailySummary[Fecha],"&lt;="&amp;TableWeeklySummary[[#This Row],[Hasta]])</f>
        <v>0</v>
      </c>
      <c r="O331" s="11">
        <f>SUMIFS(TableDailySummary[Tienda 81_orders],TableDailySummary[Fecha],"&gt;="&amp;TableWeeklySummary[[#This Row],[Desde]],TableDailySummary[Fecha],"&lt;="&amp;TableWeeklySummary[[#This Row],[Hasta]])</f>
        <v>0</v>
      </c>
      <c r="P331" s="11">
        <f>SUMIFS(TableDailySummary[Rappi_net_sales],TableDailySummary[Fecha],"&gt;="&amp;TableWeeklySummary[[#This Row],[Desde]],TableDailySummary[Fecha],"&lt;="&amp;TableWeeklySummary[[#This Row],[Hasta]])</f>
        <v>0</v>
      </c>
      <c r="Q331" s="11">
        <f>SUMIFS(TableDailySummary[Rappi_orders],TableDailySummary[Fecha],"&gt;="&amp;TableWeeklySummary[[#This Row],[Desde]],TableDailySummary[Fecha],"&lt;="&amp;TableWeeklySummary[[#This Row],[Hasta]])</f>
        <v>0</v>
      </c>
      <c r="R33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1" s="11">
        <f>SUMIFS(TableDailySummary[Corporativo no tienda_orders],TableDailySummary[Fecha],"&gt;="&amp;TableWeeklySummary[[#This Row],[Desde]],TableDailySummary[Fecha],"&lt;="&amp;TableWeeklySummary[[#This Row],[Hasta]])</f>
        <v>0</v>
      </c>
      <c r="T331" s="11">
        <f>SUMIFS(TableDailySummary[Inversión google ads],TableDailySummary[Fecha],"&gt;="&amp;TableWeeklySummary[[#This Row],[Desde]],TableDailySummary[Fecha],"&lt;="&amp;TableWeeklySummary[[#This Row],[Hasta]])</f>
        <v>0</v>
      </c>
      <c r="U331" s="11">
        <f>SUMIFS(TableDailySummary[Ventas google ads],TableDailySummary[Fecha],"&gt;="&amp;TableWeeklySummary[[#This Row],[Desde]],TableDailySummary[Fecha],"&lt;="&amp;TableWeeklySummary[[#This Row],[Hasta]])</f>
        <v>0</v>
      </c>
      <c r="V331" s="11">
        <f>SUMIFS(TableDailySummary[Inversión meta ads],TableDailySummary[Fecha],"&gt;="&amp;TableWeeklySummary[[#This Row],[Desde]],TableDailySummary[Fecha],"&lt;="&amp;TableWeeklySummary[[#This Row],[Hasta]])</f>
        <v>0</v>
      </c>
      <c r="W331" s="11">
        <f>SUMIFS(TableDailySummary[Ventas meta ads],TableDailySummary[Fecha],"&gt;="&amp;TableWeeklySummary[[#This Row],[Desde]],TableDailySummary[Fecha],"&lt;="&amp;TableWeeklySummary[[#This Row],[Hasta]])</f>
        <v>0</v>
      </c>
      <c r="X331" s="11">
        <f>TableWeeklySummary[[#This Row],[Inversión google ads]]+TableWeeklySummary[[#This Row],[Inversión meta ads]]</f>
        <v>0</v>
      </c>
      <c r="Y331" s="11">
        <f>TableWeeklySummary[[#This Row],[Ventas google ads]]+TableWeeklySummary[[#This Row],[Ventas meta ads]]</f>
        <v>0</v>
      </c>
      <c r="Z331" s="14">
        <f>IFERROR(TableWeeklySummary[[#This Row],[Ventas publicidad]]/TableWeeklySummary[[#This Row],[Inversión publicidad]],0)</f>
        <v>0</v>
      </c>
      <c r="AA331" s="14">
        <f>IFERROR(TableWeeklySummary[[#This Row],[Ventas primer cliente]]/TableWeeklySummary[[#This Row],[Inversión publicidad]],0)</f>
        <v>0</v>
      </c>
      <c r="AB331" s="14"/>
      <c r="AC331" s="11"/>
      <c r="AI33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1" s="11">
        <f>SUMIFS(TableDailySummary[Costo de ventas registrado],TableDailySummary[Fecha],"&gt;="&amp;TableWeeklySummary[[#This Row],[Desde]],TableDailySummary[Fecha],"&lt;="&amp;TableWeeklySummary[[#This Row],[Hasta]])</f>
        <v>0</v>
      </c>
      <c r="AK331" s="11">
        <f>SUMIFS(TableDailySummary[Utilidad bruta],TableDailySummary[Fecha],"&gt;="&amp;TableWeeklySummary[[#This Row],[Desde]],TableDailySummary[Fecha],"&lt;="&amp;TableWeeklySummary[[#This Row],[Hasta]])</f>
        <v>0</v>
      </c>
      <c r="AL331" s="18">
        <f>IFERROR(TableWeeklySummary[[#This Row],[Utilidad bruta]]/TableWeeklySummary[[#This Row],[Ventas netas con costo registrado]],0)</f>
        <v>0</v>
      </c>
    </row>
    <row r="332" spans="2:38" x14ac:dyDescent="0.2">
      <c r="B332" s="16">
        <f>_xlfn.ISOWEEKNUM(TableWeeklySummary[[#This Row],[Hasta]])</f>
        <v>8</v>
      </c>
      <c r="C332" s="6">
        <f t="shared" si="7"/>
        <v>46801</v>
      </c>
      <c r="D332" s="6">
        <f>TableWeeklySummary[[#This Row],[Desde]]+7-1</f>
        <v>46807</v>
      </c>
      <c r="E332" s="11">
        <f>SUMIFS(TableDailySummary[Ventas netas totales],TableDailySummary[Fecha],"&gt;="&amp;TableWeeklySummary[[#This Row],[Desde]],TableDailySummary[Fecha],"&lt;="&amp;TableWeeklySummary[[#This Row],[Hasta]])</f>
        <v>0</v>
      </c>
      <c r="F332" s="11">
        <f>SUMIFS(TableDailySummary[Órdenes totales],TableDailySummary[Fecha],"&gt;="&amp;TableWeeklySummary[[#This Row],[Desde]],TableDailySummary[Fecha],"&lt;="&amp;TableWeeklySummary[[#This Row],[Hasta]])</f>
        <v>0</v>
      </c>
      <c r="G332" s="11">
        <f>IFERROR(TableWeeklySummary[[#This Row],[Ventas netas totales]]/TableWeeklySummary[[#This Row],[Órdenes totales]],0)</f>
        <v>0</v>
      </c>
      <c r="H33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2" s="11">
        <f>TableWeeklySummary[[#This Row],[Órden promedio totales]]*TableWeeklySummary[[#This Row],[CR totales]]</f>
        <v>0</v>
      </c>
      <c r="J332" s="11">
        <f>SUMIFS(TableDailySummary[Ventas primer cliente],TableDailySummary[Fecha],"&gt;="&amp;TableWeeklySummary[[#This Row],[Desde]],TableDailySummary[Fecha],"&lt;="&amp;TableWeeklySummary[[#This Row],[Hasta]])</f>
        <v>0</v>
      </c>
      <c r="K332" s="11">
        <f>SUMIFS(TableDailySummary[Órdenes primer cliente],TableDailySummary[Fecha],"&gt;="&amp;TableWeeklySummary[[#This Row],[Desde]],TableDailySummary[Fecha],"&lt;="&amp;TableWeeklySummary[[#This Row],[Hasta]])</f>
        <v>0</v>
      </c>
      <c r="L332" s="11">
        <f>SUMIFS(TableDailySummary[Online Store_net_sales],TableDailySummary[Fecha],"&gt;="&amp;TableWeeklySummary[[#This Row],[Desde]],TableDailySummary[Fecha],"&lt;="&amp;TableWeeklySummary[[#This Row],[Hasta]])</f>
        <v>0</v>
      </c>
      <c r="M332" s="11">
        <f>SUMIFS(TableDailySummary[Online Store_orders],TableDailySummary[Fecha],"&gt;="&amp;TableWeeklySummary[[#This Row],[Desde]],TableDailySummary[Fecha],"&lt;="&amp;TableWeeklySummary[[#This Row],[Hasta]])</f>
        <v>0</v>
      </c>
      <c r="N332" s="11">
        <f>SUMIFS(TableDailySummary[Tienda 81_net_sales],TableDailySummary[Fecha],"&gt;="&amp;TableWeeklySummary[[#This Row],[Desde]],TableDailySummary[Fecha],"&lt;="&amp;TableWeeklySummary[[#This Row],[Hasta]])</f>
        <v>0</v>
      </c>
      <c r="O332" s="11">
        <f>SUMIFS(TableDailySummary[Tienda 81_orders],TableDailySummary[Fecha],"&gt;="&amp;TableWeeklySummary[[#This Row],[Desde]],TableDailySummary[Fecha],"&lt;="&amp;TableWeeklySummary[[#This Row],[Hasta]])</f>
        <v>0</v>
      </c>
      <c r="P332" s="11">
        <f>SUMIFS(TableDailySummary[Rappi_net_sales],TableDailySummary[Fecha],"&gt;="&amp;TableWeeklySummary[[#This Row],[Desde]],TableDailySummary[Fecha],"&lt;="&amp;TableWeeklySummary[[#This Row],[Hasta]])</f>
        <v>0</v>
      </c>
      <c r="Q332" s="11">
        <f>SUMIFS(TableDailySummary[Rappi_orders],TableDailySummary[Fecha],"&gt;="&amp;TableWeeklySummary[[#This Row],[Desde]],TableDailySummary[Fecha],"&lt;="&amp;TableWeeklySummary[[#This Row],[Hasta]])</f>
        <v>0</v>
      </c>
      <c r="R33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2" s="11">
        <f>SUMIFS(TableDailySummary[Corporativo no tienda_orders],TableDailySummary[Fecha],"&gt;="&amp;TableWeeklySummary[[#This Row],[Desde]],TableDailySummary[Fecha],"&lt;="&amp;TableWeeklySummary[[#This Row],[Hasta]])</f>
        <v>0</v>
      </c>
      <c r="T332" s="11">
        <f>SUMIFS(TableDailySummary[Inversión google ads],TableDailySummary[Fecha],"&gt;="&amp;TableWeeklySummary[[#This Row],[Desde]],TableDailySummary[Fecha],"&lt;="&amp;TableWeeklySummary[[#This Row],[Hasta]])</f>
        <v>0</v>
      </c>
      <c r="U332" s="11">
        <f>SUMIFS(TableDailySummary[Ventas google ads],TableDailySummary[Fecha],"&gt;="&amp;TableWeeklySummary[[#This Row],[Desde]],TableDailySummary[Fecha],"&lt;="&amp;TableWeeklySummary[[#This Row],[Hasta]])</f>
        <v>0</v>
      </c>
      <c r="V332" s="11">
        <f>SUMIFS(TableDailySummary[Inversión meta ads],TableDailySummary[Fecha],"&gt;="&amp;TableWeeklySummary[[#This Row],[Desde]],TableDailySummary[Fecha],"&lt;="&amp;TableWeeklySummary[[#This Row],[Hasta]])</f>
        <v>0</v>
      </c>
      <c r="W332" s="11">
        <f>SUMIFS(TableDailySummary[Ventas meta ads],TableDailySummary[Fecha],"&gt;="&amp;TableWeeklySummary[[#This Row],[Desde]],TableDailySummary[Fecha],"&lt;="&amp;TableWeeklySummary[[#This Row],[Hasta]])</f>
        <v>0</v>
      </c>
      <c r="X332" s="11">
        <f>TableWeeklySummary[[#This Row],[Inversión google ads]]+TableWeeklySummary[[#This Row],[Inversión meta ads]]</f>
        <v>0</v>
      </c>
      <c r="Y332" s="11">
        <f>TableWeeklySummary[[#This Row],[Ventas google ads]]+TableWeeklySummary[[#This Row],[Ventas meta ads]]</f>
        <v>0</v>
      </c>
      <c r="Z332" s="14">
        <f>IFERROR(TableWeeklySummary[[#This Row],[Ventas publicidad]]/TableWeeklySummary[[#This Row],[Inversión publicidad]],0)</f>
        <v>0</v>
      </c>
      <c r="AA332" s="14">
        <f>IFERROR(TableWeeklySummary[[#This Row],[Ventas primer cliente]]/TableWeeklySummary[[#This Row],[Inversión publicidad]],0)</f>
        <v>0</v>
      </c>
      <c r="AB332" s="14"/>
      <c r="AC332" s="11"/>
      <c r="AI33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2" s="11">
        <f>SUMIFS(TableDailySummary[Costo de ventas registrado],TableDailySummary[Fecha],"&gt;="&amp;TableWeeklySummary[[#This Row],[Desde]],TableDailySummary[Fecha],"&lt;="&amp;TableWeeklySummary[[#This Row],[Hasta]])</f>
        <v>0</v>
      </c>
      <c r="AK332" s="11">
        <f>SUMIFS(TableDailySummary[Utilidad bruta],TableDailySummary[Fecha],"&gt;="&amp;TableWeeklySummary[[#This Row],[Desde]],TableDailySummary[Fecha],"&lt;="&amp;TableWeeklySummary[[#This Row],[Hasta]])</f>
        <v>0</v>
      </c>
      <c r="AL332" s="18">
        <f>IFERROR(TableWeeklySummary[[#This Row],[Utilidad bruta]]/TableWeeklySummary[[#This Row],[Ventas netas con costo registrado]],0)</f>
        <v>0</v>
      </c>
    </row>
    <row r="333" spans="2:38" x14ac:dyDescent="0.2">
      <c r="B333" s="16">
        <f>_xlfn.ISOWEEKNUM(TableWeeklySummary[[#This Row],[Hasta]])</f>
        <v>9</v>
      </c>
      <c r="C333" s="6">
        <f t="shared" si="7"/>
        <v>46808</v>
      </c>
      <c r="D333" s="6">
        <f>TableWeeklySummary[[#This Row],[Desde]]+7-1</f>
        <v>46814</v>
      </c>
      <c r="E333" s="11">
        <f>SUMIFS(TableDailySummary[Ventas netas totales],TableDailySummary[Fecha],"&gt;="&amp;TableWeeklySummary[[#This Row],[Desde]],TableDailySummary[Fecha],"&lt;="&amp;TableWeeklySummary[[#This Row],[Hasta]])</f>
        <v>0</v>
      </c>
      <c r="F333" s="11">
        <f>SUMIFS(TableDailySummary[Órdenes totales],TableDailySummary[Fecha],"&gt;="&amp;TableWeeklySummary[[#This Row],[Desde]],TableDailySummary[Fecha],"&lt;="&amp;TableWeeklySummary[[#This Row],[Hasta]])</f>
        <v>0</v>
      </c>
      <c r="G333" s="11">
        <f>IFERROR(TableWeeklySummary[[#This Row],[Ventas netas totales]]/TableWeeklySummary[[#This Row],[Órdenes totales]],0)</f>
        <v>0</v>
      </c>
      <c r="H33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3" s="11">
        <f>TableWeeklySummary[[#This Row],[Órden promedio totales]]*TableWeeklySummary[[#This Row],[CR totales]]</f>
        <v>0</v>
      </c>
      <c r="J333" s="11">
        <f>SUMIFS(TableDailySummary[Ventas primer cliente],TableDailySummary[Fecha],"&gt;="&amp;TableWeeklySummary[[#This Row],[Desde]],TableDailySummary[Fecha],"&lt;="&amp;TableWeeklySummary[[#This Row],[Hasta]])</f>
        <v>0</v>
      </c>
      <c r="K333" s="11">
        <f>SUMIFS(TableDailySummary[Órdenes primer cliente],TableDailySummary[Fecha],"&gt;="&amp;TableWeeklySummary[[#This Row],[Desde]],TableDailySummary[Fecha],"&lt;="&amp;TableWeeklySummary[[#This Row],[Hasta]])</f>
        <v>0</v>
      </c>
      <c r="L333" s="11">
        <f>SUMIFS(TableDailySummary[Online Store_net_sales],TableDailySummary[Fecha],"&gt;="&amp;TableWeeklySummary[[#This Row],[Desde]],TableDailySummary[Fecha],"&lt;="&amp;TableWeeklySummary[[#This Row],[Hasta]])</f>
        <v>0</v>
      </c>
      <c r="M333" s="11">
        <f>SUMIFS(TableDailySummary[Online Store_orders],TableDailySummary[Fecha],"&gt;="&amp;TableWeeklySummary[[#This Row],[Desde]],TableDailySummary[Fecha],"&lt;="&amp;TableWeeklySummary[[#This Row],[Hasta]])</f>
        <v>0</v>
      </c>
      <c r="N333" s="11">
        <f>SUMIFS(TableDailySummary[Tienda 81_net_sales],TableDailySummary[Fecha],"&gt;="&amp;TableWeeklySummary[[#This Row],[Desde]],TableDailySummary[Fecha],"&lt;="&amp;TableWeeklySummary[[#This Row],[Hasta]])</f>
        <v>0</v>
      </c>
      <c r="O333" s="11">
        <f>SUMIFS(TableDailySummary[Tienda 81_orders],TableDailySummary[Fecha],"&gt;="&amp;TableWeeklySummary[[#This Row],[Desde]],TableDailySummary[Fecha],"&lt;="&amp;TableWeeklySummary[[#This Row],[Hasta]])</f>
        <v>0</v>
      </c>
      <c r="P333" s="11">
        <f>SUMIFS(TableDailySummary[Rappi_net_sales],TableDailySummary[Fecha],"&gt;="&amp;TableWeeklySummary[[#This Row],[Desde]],TableDailySummary[Fecha],"&lt;="&amp;TableWeeklySummary[[#This Row],[Hasta]])</f>
        <v>0</v>
      </c>
      <c r="Q333" s="11">
        <f>SUMIFS(TableDailySummary[Rappi_orders],TableDailySummary[Fecha],"&gt;="&amp;TableWeeklySummary[[#This Row],[Desde]],TableDailySummary[Fecha],"&lt;="&amp;TableWeeklySummary[[#This Row],[Hasta]])</f>
        <v>0</v>
      </c>
      <c r="R33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3" s="11">
        <f>SUMIFS(TableDailySummary[Corporativo no tienda_orders],TableDailySummary[Fecha],"&gt;="&amp;TableWeeklySummary[[#This Row],[Desde]],TableDailySummary[Fecha],"&lt;="&amp;TableWeeklySummary[[#This Row],[Hasta]])</f>
        <v>0</v>
      </c>
      <c r="T333" s="11">
        <f>SUMIFS(TableDailySummary[Inversión google ads],TableDailySummary[Fecha],"&gt;="&amp;TableWeeklySummary[[#This Row],[Desde]],TableDailySummary[Fecha],"&lt;="&amp;TableWeeklySummary[[#This Row],[Hasta]])</f>
        <v>0</v>
      </c>
      <c r="U333" s="11">
        <f>SUMIFS(TableDailySummary[Ventas google ads],TableDailySummary[Fecha],"&gt;="&amp;TableWeeklySummary[[#This Row],[Desde]],TableDailySummary[Fecha],"&lt;="&amp;TableWeeklySummary[[#This Row],[Hasta]])</f>
        <v>0</v>
      </c>
      <c r="V333" s="11">
        <f>SUMIFS(TableDailySummary[Inversión meta ads],TableDailySummary[Fecha],"&gt;="&amp;TableWeeklySummary[[#This Row],[Desde]],TableDailySummary[Fecha],"&lt;="&amp;TableWeeklySummary[[#This Row],[Hasta]])</f>
        <v>0</v>
      </c>
      <c r="W333" s="11">
        <f>SUMIFS(TableDailySummary[Ventas meta ads],TableDailySummary[Fecha],"&gt;="&amp;TableWeeklySummary[[#This Row],[Desde]],TableDailySummary[Fecha],"&lt;="&amp;TableWeeklySummary[[#This Row],[Hasta]])</f>
        <v>0</v>
      </c>
      <c r="X333" s="11">
        <f>TableWeeklySummary[[#This Row],[Inversión google ads]]+TableWeeklySummary[[#This Row],[Inversión meta ads]]</f>
        <v>0</v>
      </c>
      <c r="Y333" s="11">
        <f>TableWeeklySummary[[#This Row],[Ventas google ads]]+TableWeeklySummary[[#This Row],[Ventas meta ads]]</f>
        <v>0</v>
      </c>
      <c r="Z333" s="14">
        <f>IFERROR(TableWeeklySummary[[#This Row],[Ventas publicidad]]/TableWeeklySummary[[#This Row],[Inversión publicidad]],0)</f>
        <v>0</v>
      </c>
      <c r="AA333" s="14">
        <f>IFERROR(TableWeeklySummary[[#This Row],[Ventas primer cliente]]/TableWeeklySummary[[#This Row],[Inversión publicidad]],0)</f>
        <v>0</v>
      </c>
      <c r="AB333" s="14"/>
      <c r="AC333" s="11"/>
      <c r="AI33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3" s="11">
        <f>SUMIFS(TableDailySummary[Costo de ventas registrado],TableDailySummary[Fecha],"&gt;="&amp;TableWeeklySummary[[#This Row],[Desde]],TableDailySummary[Fecha],"&lt;="&amp;TableWeeklySummary[[#This Row],[Hasta]])</f>
        <v>0</v>
      </c>
      <c r="AK333" s="11">
        <f>SUMIFS(TableDailySummary[Utilidad bruta],TableDailySummary[Fecha],"&gt;="&amp;TableWeeklySummary[[#This Row],[Desde]],TableDailySummary[Fecha],"&lt;="&amp;TableWeeklySummary[[#This Row],[Hasta]])</f>
        <v>0</v>
      </c>
      <c r="AL333" s="18">
        <f>IFERROR(TableWeeklySummary[[#This Row],[Utilidad bruta]]/TableWeeklySummary[[#This Row],[Ventas netas con costo registrado]],0)</f>
        <v>0</v>
      </c>
    </row>
    <row r="334" spans="2:38" x14ac:dyDescent="0.2">
      <c r="B334" s="16">
        <f>_xlfn.ISOWEEKNUM(TableWeeklySummary[[#This Row],[Hasta]])</f>
        <v>10</v>
      </c>
      <c r="C334" s="6">
        <f t="shared" si="7"/>
        <v>46815</v>
      </c>
      <c r="D334" s="6">
        <f>TableWeeklySummary[[#This Row],[Desde]]+7-1</f>
        <v>46821</v>
      </c>
      <c r="E334" s="11">
        <f>SUMIFS(TableDailySummary[Ventas netas totales],TableDailySummary[Fecha],"&gt;="&amp;TableWeeklySummary[[#This Row],[Desde]],TableDailySummary[Fecha],"&lt;="&amp;TableWeeklySummary[[#This Row],[Hasta]])</f>
        <v>0</v>
      </c>
      <c r="F334" s="11">
        <f>SUMIFS(TableDailySummary[Órdenes totales],TableDailySummary[Fecha],"&gt;="&amp;TableWeeklySummary[[#This Row],[Desde]],TableDailySummary[Fecha],"&lt;="&amp;TableWeeklySummary[[#This Row],[Hasta]])</f>
        <v>0</v>
      </c>
      <c r="G334" s="11">
        <f>IFERROR(TableWeeklySummary[[#This Row],[Ventas netas totales]]/TableWeeklySummary[[#This Row],[Órdenes totales]],0)</f>
        <v>0</v>
      </c>
      <c r="H33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4" s="11">
        <f>TableWeeklySummary[[#This Row],[Órden promedio totales]]*TableWeeklySummary[[#This Row],[CR totales]]</f>
        <v>0</v>
      </c>
      <c r="J334" s="11">
        <f>SUMIFS(TableDailySummary[Ventas primer cliente],TableDailySummary[Fecha],"&gt;="&amp;TableWeeklySummary[[#This Row],[Desde]],TableDailySummary[Fecha],"&lt;="&amp;TableWeeklySummary[[#This Row],[Hasta]])</f>
        <v>0</v>
      </c>
      <c r="K334" s="11">
        <f>SUMIFS(TableDailySummary[Órdenes primer cliente],TableDailySummary[Fecha],"&gt;="&amp;TableWeeklySummary[[#This Row],[Desde]],TableDailySummary[Fecha],"&lt;="&amp;TableWeeklySummary[[#This Row],[Hasta]])</f>
        <v>0</v>
      </c>
      <c r="L334" s="11">
        <f>SUMIFS(TableDailySummary[Online Store_net_sales],TableDailySummary[Fecha],"&gt;="&amp;TableWeeklySummary[[#This Row],[Desde]],TableDailySummary[Fecha],"&lt;="&amp;TableWeeklySummary[[#This Row],[Hasta]])</f>
        <v>0</v>
      </c>
      <c r="M334" s="11">
        <f>SUMIFS(TableDailySummary[Online Store_orders],TableDailySummary[Fecha],"&gt;="&amp;TableWeeklySummary[[#This Row],[Desde]],TableDailySummary[Fecha],"&lt;="&amp;TableWeeklySummary[[#This Row],[Hasta]])</f>
        <v>0</v>
      </c>
      <c r="N334" s="11">
        <f>SUMIFS(TableDailySummary[Tienda 81_net_sales],TableDailySummary[Fecha],"&gt;="&amp;TableWeeklySummary[[#This Row],[Desde]],TableDailySummary[Fecha],"&lt;="&amp;TableWeeklySummary[[#This Row],[Hasta]])</f>
        <v>0</v>
      </c>
      <c r="O334" s="11">
        <f>SUMIFS(TableDailySummary[Tienda 81_orders],TableDailySummary[Fecha],"&gt;="&amp;TableWeeklySummary[[#This Row],[Desde]],TableDailySummary[Fecha],"&lt;="&amp;TableWeeklySummary[[#This Row],[Hasta]])</f>
        <v>0</v>
      </c>
      <c r="P334" s="11">
        <f>SUMIFS(TableDailySummary[Rappi_net_sales],TableDailySummary[Fecha],"&gt;="&amp;TableWeeklySummary[[#This Row],[Desde]],TableDailySummary[Fecha],"&lt;="&amp;TableWeeklySummary[[#This Row],[Hasta]])</f>
        <v>0</v>
      </c>
      <c r="Q334" s="11">
        <f>SUMIFS(TableDailySummary[Rappi_orders],TableDailySummary[Fecha],"&gt;="&amp;TableWeeklySummary[[#This Row],[Desde]],TableDailySummary[Fecha],"&lt;="&amp;TableWeeklySummary[[#This Row],[Hasta]])</f>
        <v>0</v>
      </c>
      <c r="R33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4" s="11">
        <f>SUMIFS(TableDailySummary[Corporativo no tienda_orders],TableDailySummary[Fecha],"&gt;="&amp;TableWeeklySummary[[#This Row],[Desde]],TableDailySummary[Fecha],"&lt;="&amp;TableWeeklySummary[[#This Row],[Hasta]])</f>
        <v>0</v>
      </c>
      <c r="T334" s="11">
        <f>SUMIFS(TableDailySummary[Inversión google ads],TableDailySummary[Fecha],"&gt;="&amp;TableWeeklySummary[[#This Row],[Desde]],TableDailySummary[Fecha],"&lt;="&amp;TableWeeklySummary[[#This Row],[Hasta]])</f>
        <v>0</v>
      </c>
      <c r="U334" s="11">
        <f>SUMIFS(TableDailySummary[Ventas google ads],TableDailySummary[Fecha],"&gt;="&amp;TableWeeklySummary[[#This Row],[Desde]],TableDailySummary[Fecha],"&lt;="&amp;TableWeeklySummary[[#This Row],[Hasta]])</f>
        <v>0</v>
      </c>
      <c r="V334" s="11">
        <f>SUMIFS(TableDailySummary[Inversión meta ads],TableDailySummary[Fecha],"&gt;="&amp;TableWeeklySummary[[#This Row],[Desde]],TableDailySummary[Fecha],"&lt;="&amp;TableWeeklySummary[[#This Row],[Hasta]])</f>
        <v>0</v>
      </c>
      <c r="W334" s="11">
        <f>SUMIFS(TableDailySummary[Ventas meta ads],TableDailySummary[Fecha],"&gt;="&amp;TableWeeklySummary[[#This Row],[Desde]],TableDailySummary[Fecha],"&lt;="&amp;TableWeeklySummary[[#This Row],[Hasta]])</f>
        <v>0</v>
      </c>
      <c r="X334" s="11">
        <f>TableWeeklySummary[[#This Row],[Inversión google ads]]+TableWeeklySummary[[#This Row],[Inversión meta ads]]</f>
        <v>0</v>
      </c>
      <c r="Y334" s="11">
        <f>TableWeeklySummary[[#This Row],[Ventas google ads]]+TableWeeklySummary[[#This Row],[Ventas meta ads]]</f>
        <v>0</v>
      </c>
      <c r="Z334" s="14">
        <f>IFERROR(TableWeeklySummary[[#This Row],[Ventas publicidad]]/TableWeeklySummary[[#This Row],[Inversión publicidad]],0)</f>
        <v>0</v>
      </c>
      <c r="AA334" s="14">
        <f>IFERROR(TableWeeklySummary[[#This Row],[Ventas primer cliente]]/TableWeeklySummary[[#This Row],[Inversión publicidad]],0)</f>
        <v>0</v>
      </c>
      <c r="AB334" s="14"/>
      <c r="AC334" s="11"/>
      <c r="AI33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4" s="11">
        <f>SUMIFS(TableDailySummary[Costo de ventas registrado],TableDailySummary[Fecha],"&gt;="&amp;TableWeeklySummary[[#This Row],[Desde]],TableDailySummary[Fecha],"&lt;="&amp;TableWeeklySummary[[#This Row],[Hasta]])</f>
        <v>0</v>
      </c>
      <c r="AK334" s="11">
        <f>SUMIFS(TableDailySummary[Utilidad bruta],TableDailySummary[Fecha],"&gt;="&amp;TableWeeklySummary[[#This Row],[Desde]],TableDailySummary[Fecha],"&lt;="&amp;TableWeeklySummary[[#This Row],[Hasta]])</f>
        <v>0</v>
      </c>
      <c r="AL334" s="18">
        <f>IFERROR(TableWeeklySummary[[#This Row],[Utilidad bruta]]/TableWeeklySummary[[#This Row],[Ventas netas con costo registrado]],0)</f>
        <v>0</v>
      </c>
    </row>
    <row r="335" spans="2:38" x14ac:dyDescent="0.2">
      <c r="B335" s="16">
        <f>_xlfn.ISOWEEKNUM(TableWeeklySummary[[#This Row],[Hasta]])</f>
        <v>11</v>
      </c>
      <c r="C335" s="6">
        <f t="shared" si="7"/>
        <v>46822</v>
      </c>
      <c r="D335" s="6">
        <f>TableWeeklySummary[[#This Row],[Desde]]+7-1</f>
        <v>46828</v>
      </c>
      <c r="E335" s="11">
        <f>SUMIFS(TableDailySummary[Ventas netas totales],TableDailySummary[Fecha],"&gt;="&amp;TableWeeklySummary[[#This Row],[Desde]],TableDailySummary[Fecha],"&lt;="&amp;TableWeeklySummary[[#This Row],[Hasta]])</f>
        <v>0</v>
      </c>
      <c r="F335" s="11">
        <f>SUMIFS(TableDailySummary[Órdenes totales],TableDailySummary[Fecha],"&gt;="&amp;TableWeeklySummary[[#This Row],[Desde]],TableDailySummary[Fecha],"&lt;="&amp;TableWeeklySummary[[#This Row],[Hasta]])</f>
        <v>0</v>
      </c>
      <c r="G335" s="11">
        <f>IFERROR(TableWeeklySummary[[#This Row],[Ventas netas totales]]/TableWeeklySummary[[#This Row],[Órdenes totales]],0)</f>
        <v>0</v>
      </c>
      <c r="H33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5" s="11">
        <f>TableWeeklySummary[[#This Row],[Órden promedio totales]]*TableWeeklySummary[[#This Row],[CR totales]]</f>
        <v>0</v>
      </c>
      <c r="J335" s="11">
        <f>SUMIFS(TableDailySummary[Ventas primer cliente],TableDailySummary[Fecha],"&gt;="&amp;TableWeeklySummary[[#This Row],[Desde]],TableDailySummary[Fecha],"&lt;="&amp;TableWeeklySummary[[#This Row],[Hasta]])</f>
        <v>0</v>
      </c>
      <c r="K335" s="11">
        <f>SUMIFS(TableDailySummary[Órdenes primer cliente],TableDailySummary[Fecha],"&gt;="&amp;TableWeeklySummary[[#This Row],[Desde]],TableDailySummary[Fecha],"&lt;="&amp;TableWeeklySummary[[#This Row],[Hasta]])</f>
        <v>0</v>
      </c>
      <c r="L335" s="11">
        <f>SUMIFS(TableDailySummary[Online Store_net_sales],TableDailySummary[Fecha],"&gt;="&amp;TableWeeklySummary[[#This Row],[Desde]],TableDailySummary[Fecha],"&lt;="&amp;TableWeeklySummary[[#This Row],[Hasta]])</f>
        <v>0</v>
      </c>
      <c r="M335" s="11">
        <f>SUMIFS(TableDailySummary[Online Store_orders],TableDailySummary[Fecha],"&gt;="&amp;TableWeeklySummary[[#This Row],[Desde]],TableDailySummary[Fecha],"&lt;="&amp;TableWeeklySummary[[#This Row],[Hasta]])</f>
        <v>0</v>
      </c>
      <c r="N335" s="11">
        <f>SUMIFS(TableDailySummary[Tienda 81_net_sales],TableDailySummary[Fecha],"&gt;="&amp;TableWeeklySummary[[#This Row],[Desde]],TableDailySummary[Fecha],"&lt;="&amp;TableWeeklySummary[[#This Row],[Hasta]])</f>
        <v>0</v>
      </c>
      <c r="O335" s="11">
        <f>SUMIFS(TableDailySummary[Tienda 81_orders],TableDailySummary[Fecha],"&gt;="&amp;TableWeeklySummary[[#This Row],[Desde]],TableDailySummary[Fecha],"&lt;="&amp;TableWeeklySummary[[#This Row],[Hasta]])</f>
        <v>0</v>
      </c>
      <c r="P335" s="11">
        <f>SUMIFS(TableDailySummary[Rappi_net_sales],TableDailySummary[Fecha],"&gt;="&amp;TableWeeklySummary[[#This Row],[Desde]],TableDailySummary[Fecha],"&lt;="&amp;TableWeeklySummary[[#This Row],[Hasta]])</f>
        <v>0</v>
      </c>
      <c r="Q335" s="11">
        <f>SUMIFS(TableDailySummary[Rappi_orders],TableDailySummary[Fecha],"&gt;="&amp;TableWeeklySummary[[#This Row],[Desde]],TableDailySummary[Fecha],"&lt;="&amp;TableWeeklySummary[[#This Row],[Hasta]])</f>
        <v>0</v>
      </c>
      <c r="R33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5" s="11">
        <f>SUMIFS(TableDailySummary[Corporativo no tienda_orders],TableDailySummary[Fecha],"&gt;="&amp;TableWeeklySummary[[#This Row],[Desde]],TableDailySummary[Fecha],"&lt;="&amp;TableWeeklySummary[[#This Row],[Hasta]])</f>
        <v>0</v>
      </c>
      <c r="T335" s="11">
        <f>SUMIFS(TableDailySummary[Inversión google ads],TableDailySummary[Fecha],"&gt;="&amp;TableWeeklySummary[[#This Row],[Desde]],TableDailySummary[Fecha],"&lt;="&amp;TableWeeklySummary[[#This Row],[Hasta]])</f>
        <v>0</v>
      </c>
      <c r="U335" s="11">
        <f>SUMIFS(TableDailySummary[Ventas google ads],TableDailySummary[Fecha],"&gt;="&amp;TableWeeklySummary[[#This Row],[Desde]],TableDailySummary[Fecha],"&lt;="&amp;TableWeeklySummary[[#This Row],[Hasta]])</f>
        <v>0</v>
      </c>
      <c r="V335" s="11">
        <f>SUMIFS(TableDailySummary[Inversión meta ads],TableDailySummary[Fecha],"&gt;="&amp;TableWeeklySummary[[#This Row],[Desde]],TableDailySummary[Fecha],"&lt;="&amp;TableWeeklySummary[[#This Row],[Hasta]])</f>
        <v>0</v>
      </c>
      <c r="W335" s="11">
        <f>SUMIFS(TableDailySummary[Ventas meta ads],TableDailySummary[Fecha],"&gt;="&amp;TableWeeklySummary[[#This Row],[Desde]],TableDailySummary[Fecha],"&lt;="&amp;TableWeeklySummary[[#This Row],[Hasta]])</f>
        <v>0</v>
      </c>
      <c r="X335" s="11">
        <f>TableWeeklySummary[[#This Row],[Inversión google ads]]+TableWeeklySummary[[#This Row],[Inversión meta ads]]</f>
        <v>0</v>
      </c>
      <c r="Y335" s="11">
        <f>TableWeeklySummary[[#This Row],[Ventas google ads]]+TableWeeklySummary[[#This Row],[Ventas meta ads]]</f>
        <v>0</v>
      </c>
      <c r="Z335" s="14">
        <f>IFERROR(TableWeeklySummary[[#This Row],[Ventas publicidad]]/TableWeeklySummary[[#This Row],[Inversión publicidad]],0)</f>
        <v>0</v>
      </c>
      <c r="AA335" s="14">
        <f>IFERROR(TableWeeklySummary[[#This Row],[Ventas primer cliente]]/TableWeeklySummary[[#This Row],[Inversión publicidad]],0)</f>
        <v>0</v>
      </c>
      <c r="AB335" s="14"/>
      <c r="AC335" s="11"/>
      <c r="AI33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5" s="11">
        <f>SUMIFS(TableDailySummary[Costo de ventas registrado],TableDailySummary[Fecha],"&gt;="&amp;TableWeeklySummary[[#This Row],[Desde]],TableDailySummary[Fecha],"&lt;="&amp;TableWeeklySummary[[#This Row],[Hasta]])</f>
        <v>0</v>
      </c>
      <c r="AK335" s="11">
        <f>SUMIFS(TableDailySummary[Utilidad bruta],TableDailySummary[Fecha],"&gt;="&amp;TableWeeklySummary[[#This Row],[Desde]],TableDailySummary[Fecha],"&lt;="&amp;TableWeeklySummary[[#This Row],[Hasta]])</f>
        <v>0</v>
      </c>
      <c r="AL335" s="18">
        <f>IFERROR(TableWeeklySummary[[#This Row],[Utilidad bruta]]/TableWeeklySummary[[#This Row],[Ventas netas con costo registrado]],0)</f>
        <v>0</v>
      </c>
    </row>
    <row r="336" spans="2:38" x14ac:dyDescent="0.2">
      <c r="B336" s="16">
        <f>_xlfn.ISOWEEKNUM(TableWeeklySummary[[#This Row],[Hasta]])</f>
        <v>12</v>
      </c>
      <c r="C336" s="6">
        <f t="shared" si="7"/>
        <v>46829</v>
      </c>
      <c r="D336" s="6">
        <f>TableWeeklySummary[[#This Row],[Desde]]+7-1</f>
        <v>46835</v>
      </c>
      <c r="E336" s="11">
        <f>SUMIFS(TableDailySummary[Ventas netas totales],TableDailySummary[Fecha],"&gt;="&amp;TableWeeklySummary[[#This Row],[Desde]],TableDailySummary[Fecha],"&lt;="&amp;TableWeeklySummary[[#This Row],[Hasta]])</f>
        <v>0</v>
      </c>
      <c r="F336" s="11">
        <f>SUMIFS(TableDailySummary[Órdenes totales],TableDailySummary[Fecha],"&gt;="&amp;TableWeeklySummary[[#This Row],[Desde]],TableDailySummary[Fecha],"&lt;="&amp;TableWeeklySummary[[#This Row],[Hasta]])</f>
        <v>0</v>
      </c>
      <c r="G336" s="11">
        <f>IFERROR(TableWeeklySummary[[#This Row],[Ventas netas totales]]/TableWeeklySummary[[#This Row],[Órdenes totales]],0)</f>
        <v>0</v>
      </c>
      <c r="H33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6" s="11">
        <f>TableWeeklySummary[[#This Row],[Órden promedio totales]]*TableWeeklySummary[[#This Row],[CR totales]]</f>
        <v>0</v>
      </c>
      <c r="J336" s="11">
        <f>SUMIFS(TableDailySummary[Ventas primer cliente],TableDailySummary[Fecha],"&gt;="&amp;TableWeeklySummary[[#This Row],[Desde]],TableDailySummary[Fecha],"&lt;="&amp;TableWeeklySummary[[#This Row],[Hasta]])</f>
        <v>0</v>
      </c>
      <c r="K336" s="11">
        <f>SUMIFS(TableDailySummary[Órdenes primer cliente],TableDailySummary[Fecha],"&gt;="&amp;TableWeeklySummary[[#This Row],[Desde]],TableDailySummary[Fecha],"&lt;="&amp;TableWeeklySummary[[#This Row],[Hasta]])</f>
        <v>0</v>
      </c>
      <c r="L336" s="11">
        <f>SUMIFS(TableDailySummary[Online Store_net_sales],TableDailySummary[Fecha],"&gt;="&amp;TableWeeklySummary[[#This Row],[Desde]],TableDailySummary[Fecha],"&lt;="&amp;TableWeeklySummary[[#This Row],[Hasta]])</f>
        <v>0</v>
      </c>
      <c r="M336" s="11">
        <f>SUMIFS(TableDailySummary[Online Store_orders],TableDailySummary[Fecha],"&gt;="&amp;TableWeeklySummary[[#This Row],[Desde]],TableDailySummary[Fecha],"&lt;="&amp;TableWeeklySummary[[#This Row],[Hasta]])</f>
        <v>0</v>
      </c>
      <c r="N336" s="11">
        <f>SUMIFS(TableDailySummary[Tienda 81_net_sales],TableDailySummary[Fecha],"&gt;="&amp;TableWeeklySummary[[#This Row],[Desde]],TableDailySummary[Fecha],"&lt;="&amp;TableWeeklySummary[[#This Row],[Hasta]])</f>
        <v>0</v>
      </c>
      <c r="O336" s="11">
        <f>SUMIFS(TableDailySummary[Tienda 81_orders],TableDailySummary[Fecha],"&gt;="&amp;TableWeeklySummary[[#This Row],[Desde]],TableDailySummary[Fecha],"&lt;="&amp;TableWeeklySummary[[#This Row],[Hasta]])</f>
        <v>0</v>
      </c>
      <c r="P336" s="11">
        <f>SUMIFS(TableDailySummary[Rappi_net_sales],TableDailySummary[Fecha],"&gt;="&amp;TableWeeklySummary[[#This Row],[Desde]],TableDailySummary[Fecha],"&lt;="&amp;TableWeeklySummary[[#This Row],[Hasta]])</f>
        <v>0</v>
      </c>
      <c r="Q336" s="11">
        <f>SUMIFS(TableDailySummary[Rappi_orders],TableDailySummary[Fecha],"&gt;="&amp;TableWeeklySummary[[#This Row],[Desde]],TableDailySummary[Fecha],"&lt;="&amp;TableWeeklySummary[[#This Row],[Hasta]])</f>
        <v>0</v>
      </c>
      <c r="R33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6" s="11">
        <f>SUMIFS(TableDailySummary[Corporativo no tienda_orders],TableDailySummary[Fecha],"&gt;="&amp;TableWeeklySummary[[#This Row],[Desde]],TableDailySummary[Fecha],"&lt;="&amp;TableWeeklySummary[[#This Row],[Hasta]])</f>
        <v>0</v>
      </c>
      <c r="T336" s="11">
        <f>SUMIFS(TableDailySummary[Inversión google ads],TableDailySummary[Fecha],"&gt;="&amp;TableWeeklySummary[[#This Row],[Desde]],TableDailySummary[Fecha],"&lt;="&amp;TableWeeklySummary[[#This Row],[Hasta]])</f>
        <v>0</v>
      </c>
      <c r="U336" s="11">
        <f>SUMIFS(TableDailySummary[Ventas google ads],TableDailySummary[Fecha],"&gt;="&amp;TableWeeklySummary[[#This Row],[Desde]],TableDailySummary[Fecha],"&lt;="&amp;TableWeeklySummary[[#This Row],[Hasta]])</f>
        <v>0</v>
      </c>
      <c r="V336" s="11">
        <f>SUMIFS(TableDailySummary[Inversión meta ads],TableDailySummary[Fecha],"&gt;="&amp;TableWeeklySummary[[#This Row],[Desde]],TableDailySummary[Fecha],"&lt;="&amp;TableWeeklySummary[[#This Row],[Hasta]])</f>
        <v>0</v>
      </c>
      <c r="W336" s="11">
        <f>SUMIFS(TableDailySummary[Ventas meta ads],TableDailySummary[Fecha],"&gt;="&amp;TableWeeklySummary[[#This Row],[Desde]],TableDailySummary[Fecha],"&lt;="&amp;TableWeeklySummary[[#This Row],[Hasta]])</f>
        <v>0</v>
      </c>
      <c r="X336" s="11">
        <f>TableWeeklySummary[[#This Row],[Inversión google ads]]+TableWeeklySummary[[#This Row],[Inversión meta ads]]</f>
        <v>0</v>
      </c>
      <c r="Y336" s="11">
        <f>TableWeeklySummary[[#This Row],[Ventas google ads]]+TableWeeklySummary[[#This Row],[Ventas meta ads]]</f>
        <v>0</v>
      </c>
      <c r="Z336" s="14">
        <f>IFERROR(TableWeeklySummary[[#This Row],[Ventas publicidad]]/TableWeeklySummary[[#This Row],[Inversión publicidad]],0)</f>
        <v>0</v>
      </c>
      <c r="AA336" s="14">
        <f>IFERROR(TableWeeklySummary[[#This Row],[Ventas primer cliente]]/TableWeeklySummary[[#This Row],[Inversión publicidad]],0)</f>
        <v>0</v>
      </c>
      <c r="AB336" s="14"/>
      <c r="AC336" s="11"/>
      <c r="AI33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6" s="11">
        <f>SUMIFS(TableDailySummary[Costo de ventas registrado],TableDailySummary[Fecha],"&gt;="&amp;TableWeeklySummary[[#This Row],[Desde]],TableDailySummary[Fecha],"&lt;="&amp;TableWeeklySummary[[#This Row],[Hasta]])</f>
        <v>0</v>
      </c>
      <c r="AK336" s="11">
        <f>SUMIFS(TableDailySummary[Utilidad bruta],TableDailySummary[Fecha],"&gt;="&amp;TableWeeklySummary[[#This Row],[Desde]],TableDailySummary[Fecha],"&lt;="&amp;TableWeeklySummary[[#This Row],[Hasta]])</f>
        <v>0</v>
      </c>
      <c r="AL336" s="18">
        <f>IFERROR(TableWeeklySummary[[#This Row],[Utilidad bruta]]/TableWeeklySummary[[#This Row],[Ventas netas con costo registrado]],0)</f>
        <v>0</v>
      </c>
    </row>
    <row r="337" spans="2:38" x14ac:dyDescent="0.2">
      <c r="B337" s="16">
        <f>_xlfn.ISOWEEKNUM(TableWeeklySummary[[#This Row],[Hasta]])</f>
        <v>13</v>
      </c>
      <c r="C337" s="6">
        <f t="shared" si="7"/>
        <v>46836</v>
      </c>
      <c r="D337" s="6">
        <f>TableWeeklySummary[[#This Row],[Desde]]+7-1</f>
        <v>46842</v>
      </c>
      <c r="E337" s="11">
        <f>SUMIFS(TableDailySummary[Ventas netas totales],TableDailySummary[Fecha],"&gt;="&amp;TableWeeklySummary[[#This Row],[Desde]],TableDailySummary[Fecha],"&lt;="&amp;TableWeeklySummary[[#This Row],[Hasta]])</f>
        <v>0</v>
      </c>
      <c r="F337" s="11">
        <f>SUMIFS(TableDailySummary[Órdenes totales],TableDailySummary[Fecha],"&gt;="&amp;TableWeeklySummary[[#This Row],[Desde]],TableDailySummary[Fecha],"&lt;="&amp;TableWeeklySummary[[#This Row],[Hasta]])</f>
        <v>0</v>
      </c>
      <c r="G337" s="11">
        <f>IFERROR(TableWeeklySummary[[#This Row],[Ventas netas totales]]/TableWeeklySummary[[#This Row],[Órdenes totales]],0)</f>
        <v>0</v>
      </c>
      <c r="H33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7" s="11">
        <f>TableWeeklySummary[[#This Row],[Órden promedio totales]]*TableWeeklySummary[[#This Row],[CR totales]]</f>
        <v>0</v>
      </c>
      <c r="J337" s="11">
        <f>SUMIFS(TableDailySummary[Ventas primer cliente],TableDailySummary[Fecha],"&gt;="&amp;TableWeeklySummary[[#This Row],[Desde]],TableDailySummary[Fecha],"&lt;="&amp;TableWeeklySummary[[#This Row],[Hasta]])</f>
        <v>0</v>
      </c>
      <c r="K337" s="11">
        <f>SUMIFS(TableDailySummary[Órdenes primer cliente],TableDailySummary[Fecha],"&gt;="&amp;TableWeeklySummary[[#This Row],[Desde]],TableDailySummary[Fecha],"&lt;="&amp;TableWeeklySummary[[#This Row],[Hasta]])</f>
        <v>0</v>
      </c>
      <c r="L337" s="11">
        <f>SUMIFS(TableDailySummary[Online Store_net_sales],TableDailySummary[Fecha],"&gt;="&amp;TableWeeklySummary[[#This Row],[Desde]],TableDailySummary[Fecha],"&lt;="&amp;TableWeeklySummary[[#This Row],[Hasta]])</f>
        <v>0</v>
      </c>
      <c r="M337" s="11">
        <f>SUMIFS(TableDailySummary[Online Store_orders],TableDailySummary[Fecha],"&gt;="&amp;TableWeeklySummary[[#This Row],[Desde]],TableDailySummary[Fecha],"&lt;="&amp;TableWeeklySummary[[#This Row],[Hasta]])</f>
        <v>0</v>
      </c>
      <c r="N337" s="11">
        <f>SUMIFS(TableDailySummary[Tienda 81_net_sales],TableDailySummary[Fecha],"&gt;="&amp;TableWeeklySummary[[#This Row],[Desde]],TableDailySummary[Fecha],"&lt;="&amp;TableWeeklySummary[[#This Row],[Hasta]])</f>
        <v>0</v>
      </c>
      <c r="O337" s="11">
        <f>SUMIFS(TableDailySummary[Tienda 81_orders],TableDailySummary[Fecha],"&gt;="&amp;TableWeeklySummary[[#This Row],[Desde]],TableDailySummary[Fecha],"&lt;="&amp;TableWeeklySummary[[#This Row],[Hasta]])</f>
        <v>0</v>
      </c>
      <c r="P337" s="11">
        <f>SUMIFS(TableDailySummary[Rappi_net_sales],TableDailySummary[Fecha],"&gt;="&amp;TableWeeklySummary[[#This Row],[Desde]],TableDailySummary[Fecha],"&lt;="&amp;TableWeeklySummary[[#This Row],[Hasta]])</f>
        <v>0</v>
      </c>
      <c r="Q337" s="11">
        <f>SUMIFS(TableDailySummary[Rappi_orders],TableDailySummary[Fecha],"&gt;="&amp;TableWeeklySummary[[#This Row],[Desde]],TableDailySummary[Fecha],"&lt;="&amp;TableWeeklySummary[[#This Row],[Hasta]])</f>
        <v>0</v>
      </c>
      <c r="R33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7" s="11">
        <f>SUMIFS(TableDailySummary[Corporativo no tienda_orders],TableDailySummary[Fecha],"&gt;="&amp;TableWeeklySummary[[#This Row],[Desde]],TableDailySummary[Fecha],"&lt;="&amp;TableWeeklySummary[[#This Row],[Hasta]])</f>
        <v>0</v>
      </c>
      <c r="T337" s="11">
        <f>SUMIFS(TableDailySummary[Inversión google ads],TableDailySummary[Fecha],"&gt;="&amp;TableWeeklySummary[[#This Row],[Desde]],TableDailySummary[Fecha],"&lt;="&amp;TableWeeklySummary[[#This Row],[Hasta]])</f>
        <v>0</v>
      </c>
      <c r="U337" s="11">
        <f>SUMIFS(TableDailySummary[Ventas google ads],TableDailySummary[Fecha],"&gt;="&amp;TableWeeklySummary[[#This Row],[Desde]],TableDailySummary[Fecha],"&lt;="&amp;TableWeeklySummary[[#This Row],[Hasta]])</f>
        <v>0</v>
      </c>
      <c r="V337" s="11">
        <f>SUMIFS(TableDailySummary[Inversión meta ads],TableDailySummary[Fecha],"&gt;="&amp;TableWeeklySummary[[#This Row],[Desde]],TableDailySummary[Fecha],"&lt;="&amp;TableWeeklySummary[[#This Row],[Hasta]])</f>
        <v>0</v>
      </c>
      <c r="W337" s="11">
        <f>SUMIFS(TableDailySummary[Ventas meta ads],TableDailySummary[Fecha],"&gt;="&amp;TableWeeklySummary[[#This Row],[Desde]],TableDailySummary[Fecha],"&lt;="&amp;TableWeeklySummary[[#This Row],[Hasta]])</f>
        <v>0</v>
      </c>
      <c r="X337" s="11">
        <f>TableWeeklySummary[[#This Row],[Inversión google ads]]+TableWeeklySummary[[#This Row],[Inversión meta ads]]</f>
        <v>0</v>
      </c>
      <c r="Y337" s="11">
        <f>TableWeeklySummary[[#This Row],[Ventas google ads]]+TableWeeklySummary[[#This Row],[Ventas meta ads]]</f>
        <v>0</v>
      </c>
      <c r="Z337" s="14">
        <f>IFERROR(TableWeeklySummary[[#This Row],[Ventas publicidad]]/TableWeeklySummary[[#This Row],[Inversión publicidad]],0)</f>
        <v>0</v>
      </c>
      <c r="AA337" s="14">
        <f>IFERROR(TableWeeklySummary[[#This Row],[Ventas primer cliente]]/TableWeeklySummary[[#This Row],[Inversión publicidad]],0)</f>
        <v>0</v>
      </c>
      <c r="AB337" s="14"/>
      <c r="AC337" s="11"/>
      <c r="AI33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7" s="11">
        <f>SUMIFS(TableDailySummary[Costo de ventas registrado],TableDailySummary[Fecha],"&gt;="&amp;TableWeeklySummary[[#This Row],[Desde]],TableDailySummary[Fecha],"&lt;="&amp;TableWeeklySummary[[#This Row],[Hasta]])</f>
        <v>0</v>
      </c>
      <c r="AK337" s="11">
        <f>SUMIFS(TableDailySummary[Utilidad bruta],TableDailySummary[Fecha],"&gt;="&amp;TableWeeklySummary[[#This Row],[Desde]],TableDailySummary[Fecha],"&lt;="&amp;TableWeeklySummary[[#This Row],[Hasta]])</f>
        <v>0</v>
      </c>
      <c r="AL337" s="18">
        <f>IFERROR(TableWeeklySummary[[#This Row],[Utilidad bruta]]/TableWeeklySummary[[#This Row],[Ventas netas con costo registrado]],0)</f>
        <v>0</v>
      </c>
    </row>
    <row r="338" spans="2:38" x14ac:dyDescent="0.2">
      <c r="B338" s="16">
        <f>_xlfn.ISOWEEKNUM(TableWeeklySummary[[#This Row],[Hasta]])</f>
        <v>14</v>
      </c>
      <c r="C338" s="6">
        <f t="shared" si="7"/>
        <v>46843</v>
      </c>
      <c r="D338" s="6">
        <f>TableWeeklySummary[[#This Row],[Desde]]+7-1</f>
        <v>46849</v>
      </c>
      <c r="E338" s="11">
        <f>SUMIFS(TableDailySummary[Ventas netas totales],TableDailySummary[Fecha],"&gt;="&amp;TableWeeklySummary[[#This Row],[Desde]],TableDailySummary[Fecha],"&lt;="&amp;TableWeeklySummary[[#This Row],[Hasta]])</f>
        <v>0</v>
      </c>
      <c r="F338" s="11">
        <f>SUMIFS(TableDailySummary[Órdenes totales],TableDailySummary[Fecha],"&gt;="&amp;TableWeeklySummary[[#This Row],[Desde]],TableDailySummary[Fecha],"&lt;="&amp;TableWeeklySummary[[#This Row],[Hasta]])</f>
        <v>0</v>
      </c>
      <c r="G338" s="11">
        <f>IFERROR(TableWeeklySummary[[#This Row],[Ventas netas totales]]/TableWeeklySummary[[#This Row],[Órdenes totales]],0)</f>
        <v>0</v>
      </c>
      <c r="H33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8" s="11">
        <f>TableWeeklySummary[[#This Row],[Órden promedio totales]]*TableWeeklySummary[[#This Row],[CR totales]]</f>
        <v>0</v>
      </c>
      <c r="J338" s="11">
        <f>SUMIFS(TableDailySummary[Ventas primer cliente],TableDailySummary[Fecha],"&gt;="&amp;TableWeeklySummary[[#This Row],[Desde]],TableDailySummary[Fecha],"&lt;="&amp;TableWeeklySummary[[#This Row],[Hasta]])</f>
        <v>0</v>
      </c>
      <c r="K338" s="11">
        <f>SUMIFS(TableDailySummary[Órdenes primer cliente],TableDailySummary[Fecha],"&gt;="&amp;TableWeeklySummary[[#This Row],[Desde]],TableDailySummary[Fecha],"&lt;="&amp;TableWeeklySummary[[#This Row],[Hasta]])</f>
        <v>0</v>
      </c>
      <c r="L338" s="11">
        <f>SUMIFS(TableDailySummary[Online Store_net_sales],TableDailySummary[Fecha],"&gt;="&amp;TableWeeklySummary[[#This Row],[Desde]],TableDailySummary[Fecha],"&lt;="&amp;TableWeeklySummary[[#This Row],[Hasta]])</f>
        <v>0</v>
      </c>
      <c r="M338" s="11">
        <f>SUMIFS(TableDailySummary[Online Store_orders],TableDailySummary[Fecha],"&gt;="&amp;TableWeeklySummary[[#This Row],[Desde]],TableDailySummary[Fecha],"&lt;="&amp;TableWeeklySummary[[#This Row],[Hasta]])</f>
        <v>0</v>
      </c>
      <c r="N338" s="11">
        <f>SUMIFS(TableDailySummary[Tienda 81_net_sales],TableDailySummary[Fecha],"&gt;="&amp;TableWeeklySummary[[#This Row],[Desde]],TableDailySummary[Fecha],"&lt;="&amp;TableWeeklySummary[[#This Row],[Hasta]])</f>
        <v>0</v>
      </c>
      <c r="O338" s="11">
        <f>SUMIFS(TableDailySummary[Tienda 81_orders],TableDailySummary[Fecha],"&gt;="&amp;TableWeeklySummary[[#This Row],[Desde]],TableDailySummary[Fecha],"&lt;="&amp;TableWeeklySummary[[#This Row],[Hasta]])</f>
        <v>0</v>
      </c>
      <c r="P338" s="11">
        <f>SUMIFS(TableDailySummary[Rappi_net_sales],TableDailySummary[Fecha],"&gt;="&amp;TableWeeklySummary[[#This Row],[Desde]],TableDailySummary[Fecha],"&lt;="&amp;TableWeeklySummary[[#This Row],[Hasta]])</f>
        <v>0</v>
      </c>
      <c r="Q338" s="11">
        <f>SUMIFS(TableDailySummary[Rappi_orders],TableDailySummary[Fecha],"&gt;="&amp;TableWeeklySummary[[#This Row],[Desde]],TableDailySummary[Fecha],"&lt;="&amp;TableWeeklySummary[[#This Row],[Hasta]])</f>
        <v>0</v>
      </c>
      <c r="R33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8" s="11">
        <f>SUMIFS(TableDailySummary[Corporativo no tienda_orders],TableDailySummary[Fecha],"&gt;="&amp;TableWeeklySummary[[#This Row],[Desde]],TableDailySummary[Fecha],"&lt;="&amp;TableWeeklySummary[[#This Row],[Hasta]])</f>
        <v>0</v>
      </c>
      <c r="T338" s="11">
        <f>SUMIFS(TableDailySummary[Inversión google ads],TableDailySummary[Fecha],"&gt;="&amp;TableWeeklySummary[[#This Row],[Desde]],TableDailySummary[Fecha],"&lt;="&amp;TableWeeklySummary[[#This Row],[Hasta]])</f>
        <v>0</v>
      </c>
      <c r="U338" s="11">
        <f>SUMIFS(TableDailySummary[Ventas google ads],TableDailySummary[Fecha],"&gt;="&amp;TableWeeklySummary[[#This Row],[Desde]],TableDailySummary[Fecha],"&lt;="&amp;TableWeeklySummary[[#This Row],[Hasta]])</f>
        <v>0</v>
      </c>
      <c r="V338" s="11">
        <f>SUMIFS(TableDailySummary[Inversión meta ads],TableDailySummary[Fecha],"&gt;="&amp;TableWeeklySummary[[#This Row],[Desde]],TableDailySummary[Fecha],"&lt;="&amp;TableWeeklySummary[[#This Row],[Hasta]])</f>
        <v>0</v>
      </c>
      <c r="W338" s="11">
        <f>SUMIFS(TableDailySummary[Ventas meta ads],TableDailySummary[Fecha],"&gt;="&amp;TableWeeklySummary[[#This Row],[Desde]],TableDailySummary[Fecha],"&lt;="&amp;TableWeeklySummary[[#This Row],[Hasta]])</f>
        <v>0</v>
      </c>
      <c r="X338" s="11">
        <f>TableWeeklySummary[[#This Row],[Inversión google ads]]+TableWeeklySummary[[#This Row],[Inversión meta ads]]</f>
        <v>0</v>
      </c>
      <c r="Y338" s="11">
        <f>TableWeeklySummary[[#This Row],[Ventas google ads]]+TableWeeklySummary[[#This Row],[Ventas meta ads]]</f>
        <v>0</v>
      </c>
      <c r="Z338" s="14">
        <f>IFERROR(TableWeeklySummary[[#This Row],[Ventas publicidad]]/TableWeeklySummary[[#This Row],[Inversión publicidad]],0)</f>
        <v>0</v>
      </c>
      <c r="AA338" s="14">
        <f>IFERROR(TableWeeklySummary[[#This Row],[Ventas primer cliente]]/TableWeeklySummary[[#This Row],[Inversión publicidad]],0)</f>
        <v>0</v>
      </c>
      <c r="AB338" s="14"/>
      <c r="AC338" s="11"/>
      <c r="AI33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8" s="11">
        <f>SUMIFS(TableDailySummary[Costo de ventas registrado],TableDailySummary[Fecha],"&gt;="&amp;TableWeeklySummary[[#This Row],[Desde]],TableDailySummary[Fecha],"&lt;="&amp;TableWeeklySummary[[#This Row],[Hasta]])</f>
        <v>0</v>
      </c>
      <c r="AK338" s="11">
        <f>SUMIFS(TableDailySummary[Utilidad bruta],TableDailySummary[Fecha],"&gt;="&amp;TableWeeklySummary[[#This Row],[Desde]],TableDailySummary[Fecha],"&lt;="&amp;TableWeeklySummary[[#This Row],[Hasta]])</f>
        <v>0</v>
      </c>
      <c r="AL338" s="18">
        <f>IFERROR(TableWeeklySummary[[#This Row],[Utilidad bruta]]/TableWeeklySummary[[#This Row],[Ventas netas con costo registrado]],0)</f>
        <v>0</v>
      </c>
    </row>
    <row r="339" spans="2:38" x14ac:dyDescent="0.2">
      <c r="B339" s="16">
        <f>_xlfn.ISOWEEKNUM(TableWeeklySummary[[#This Row],[Hasta]])</f>
        <v>15</v>
      </c>
      <c r="C339" s="6">
        <f t="shared" si="7"/>
        <v>46850</v>
      </c>
      <c r="D339" s="6">
        <f>TableWeeklySummary[[#This Row],[Desde]]+7-1</f>
        <v>46856</v>
      </c>
      <c r="E339" s="11">
        <f>SUMIFS(TableDailySummary[Ventas netas totales],TableDailySummary[Fecha],"&gt;="&amp;TableWeeklySummary[[#This Row],[Desde]],TableDailySummary[Fecha],"&lt;="&amp;TableWeeklySummary[[#This Row],[Hasta]])</f>
        <v>0</v>
      </c>
      <c r="F339" s="11">
        <f>SUMIFS(TableDailySummary[Órdenes totales],TableDailySummary[Fecha],"&gt;="&amp;TableWeeklySummary[[#This Row],[Desde]],TableDailySummary[Fecha],"&lt;="&amp;TableWeeklySummary[[#This Row],[Hasta]])</f>
        <v>0</v>
      </c>
      <c r="G339" s="11">
        <f>IFERROR(TableWeeklySummary[[#This Row],[Ventas netas totales]]/TableWeeklySummary[[#This Row],[Órdenes totales]],0)</f>
        <v>0</v>
      </c>
      <c r="H33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39" s="11">
        <f>TableWeeklySummary[[#This Row],[Órden promedio totales]]*TableWeeklySummary[[#This Row],[CR totales]]</f>
        <v>0</v>
      </c>
      <c r="J339" s="11">
        <f>SUMIFS(TableDailySummary[Ventas primer cliente],TableDailySummary[Fecha],"&gt;="&amp;TableWeeklySummary[[#This Row],[Desde]],TableDailySummary[Fecha],"&lt;="&amp;TableWeeklySummary[[#This Row],[Hasta]])</f>
        <v>0</v>
      </c>
      <c r="K339" s="11">
        <f>SUMIFS(TableDailySummary[Órdenes primer cliente],TableDailySummary[Fecha],"&gt;="&amp;TableWeeklySummary[[#This Row],[Desde]],TableDailySummary[Fecha],"&lt;="&amp;TableWeeklySummary[[#This Row],[Hasta]])</f>
        <v>0</v>
      </c>
      <c r="L339" s="11">
        <f>SUMIFS(TableDailySummary[Online Store_net_sales],TableDailySummary[Fecha],"&gt;="&amp;TableWeeklySummary[[#This Row],[Desde]],TableDailySummary[Fecha],"&lt;="&amp;TableWeeklySummary[[#This Row],[Hasta]])</f>
        <v>0</v>
      </c>
      <c r="M339" s="11">
        <f>SUMIFS(TableDailySummary[Online Store_orders],TableDailySummary[Fecha],"&gt;="&amp;TableWeeklySummary[[#This Row],[Desde]],TableDailySummary[Fecha],"&lt;="&amp;TableWeeklySummary[[#This Row],[Hasta]])</f>
        <v>0</v>
      </c>
      <c r="N339" s="11">
        <f>SUMIFS(TableDailySummary[Tienda 81_net_sales],TableDailySummary[Fecha],"&gt;="&amp;TableWeeklySummary[[#This Row],[Desde]],TableDailySummary[Fecha],"&lt;="&amp;TableWeeklySummary[[#This Row],[Hasta]])</f>
        <v>0</v>
      </c>
      <c r="O339" s="11">
        <f>SUMIFS(TableDailySummary[Tienda 81_orders],TableDailySummary[Fecha],"&gt;="&amp;TableWeeklySummary[[#This Row],[Desde]],TableDailySummary[Fecha],"&lt;="&amp;TableWeeklySummary[[#This Row],[Hasta]])</f>
        <v>0</v>
      </c>
      <c r="P339" s="11">
        <f>SUMIFS(TableDailySummary[Rappi_net_sales],TableDailySummary[Fecha],"&gt;="&amp;TableWeeklySummary[[#This Row],[Desde]],TableDailySummary[Fecha],"&lt;="&amp;TableWeeklySummary[[#This Row],[Hasta]])</f>
        <v>0</v>
      </c>
      <c r="Q339" s="11">
        <f>SUMIFS(TableDailySummary[Rappi_orders],TableDailySummary[Fecha],"&gt;="&amp;TableWeeklySummary[[#This Row],[Desde]],TableDailySummary[Fecha],"&lt;="&amp;TableWeeklySummary[[#This Row],[Hasta]])</f>
        <v>0</v>
      </c>
      <c r="R33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39" s="11">
        <f>SUMIFS(TableDailySummary[Corporativo no tienda_orders],TableDailySummary[Fecha],"&gt;="&amp;TableWeeklySummary[[#This Row],[Desde]],TableDailySummary[Fecha],"&lt;="&amp;TableWeeklySummary[[#This Row],[Hasta]])</f>
        <v>0</v>
      </c>
      <c r="T339" s="11">
        <f>SUMIFS(TableDailySummary[Inversión google ads],TableDailySummary[Fecha],"&gt;="&amp;TableWeeklySummary[[#This Row],[Desde]],TableDailySummary[Fecha],"&lt;="&amp;TableWeeklySummary[[#This Row],[Hasta]])</f>
        <v>0</v>
      </c>
      <c r="U339" s="11">
        <f>SUMIFS(TableDailySummary[Ventas google ads],TableDailySummary[Fecha],"&gt;="&amp;TableWeeklySummary[[#This Row],[Desde]],TableDailySummary[Fecha],"&lt;="&amp;TableWeeklySummary[[#This Row],[Hasta]])</f>
        <v>0</v>
      </c>
      <c r="V339" s="11">
        <f>SUMIFS(TableDailySummary[Inversión meta ads],TableDailySummary[Fecha],"&gt;="&amp;TableWeeklySummary[[#This Row],[Desde]],TableDailySummary[Fecha],"&lt;="&amp;TableWeeklySummary[[#This Row],[Hasta]])</f>
        <v>0</v>
      </c>
      <c r="W339" s="11">
        <f>SUMIFS(TableDailySummary[Ventas meta ads],TableDailySummary[Fecha],"&gt;="&amp;TableWeeklySummary[[#This Row],[Desde]],TableDailySummary[Fecha],"&lt;="&amp;TableWeeklySummary[[#This Row],[Hasta]])</f>
        <v>0</v>
      </c>
      <c r="X339" s="11">
        <f>TableWeeklySummary[[#This Row],[Inversión google ads]]+TableWeeklySummary[[#This Row],[Inversión meta ads]]</f>
        <v>0</v>
      </c>
      <c r="Y339" s="11">
        <f>TableWeeklySummary[[#This Row],[Ventas google ads]]+TableWeeklySummary[[#This Row],[Ventas meta ads]]</f>
        <v>0</v>
      </c>
      <c r="Z339" s="14">
        <f>IFERROR(TableWeeklySummary[[#This Row],[Ventas publicidad]]/TableWeeklySummary[[#This Row],[Inversión publicidad]],0)</f>
        <v>0</v>
      </c>
      <c r="AA339" s="14">
        <f>IFERROR(TableWeeklySummary[[#This Row],[Ventas primer cliente]]/TableWeeklySummary[[#This Row],[Inversión publicidad]],0)</f>
        <v>0</v>
      </c>
      <c r="AB339" s="14"/>
      <c r="AC339" s="11"/>
      <c r="AI33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39" s="11">
        <f>SUMIFS(TableDailySummary[Costo de ventas registrado],TableDailySummary[Fecha],"&gt;="&amp;TableWeeklySummary[[#This Row],[Desde]],TableDailySummary[Fecha],"&lt;="&amp;TableWeeklySummary[[#This Row],[Hasta]])</f>
        <v>0</v>
      </c>
      <c r="AK339" s="11">
        <f>SUMIFS(TableDailySummary[Utilidad bruta],TableDailySummary[Fecha],"&gt;="&amp;TableWeeklySummary[[#This Row],[Desde]],TableDailySummary[Fecha],"&lt;="&amp;TableWeeklySummary[[#This Row],[Hasta]])</f>
        <v>0</v>
      </c>
      <c r="AL339" s="18">
        <f>IFERROR(TableWeeklySummary[[#This Row],[Utilidad bruta]]/TableWeeklySummary[[#This Row],[Ventas netas con costo registrado]],0)</f>
        <v>0</v>
      </c>
    </row>
    <row r="340" spans="2:38" x14ac:dyDescent="0.2">
      <c r="B340" s="16">
        <f>_xlfn.ISOWEEKNUM(TableWeeklySummary[[#This Row],[Hasta]])</f>
        <v>16</v>
      </c>
      <c r="C340" s="6">
        <f t="shared" si="7"/>
        <v>46857</v>
      </c>
      <c r="D340" s="6">
        <f>TableWeeklySummary[[#This Row],[Desde]]+7-1</f>
        <v>46863</v>
      </c>
      <c r="E340" s="11">
        <f>SUMIFS(TableDailySummary[Ventas netas totales],TableDailySummary[Fecha],"&gt;="&amp;TableWeeklySummary[[#This Row],[Desde]],TableDailySummary[Fecha],"&lt;="&amp;TableWeeklySummary[[#This Row],[Hasta]])</f>
        <v>0</v>
      </c>
      <c r="F340" s="11">
        <f>SUMIFS(TableDailySummary[Órdenes totales],TableDailySummary[Fecha],"&gt;="&amp;TableWeeklySummary[[#This Row],[Desde]],TableDailySummary[Fecha],"&lt;="&amp;TableWeeklySummary[[#This Row],[Hasta]])</f>
        <v>0</v>
      </c>
      <c r="G340" s="11">
        <f>IFERROR(TableWeeklySummary[[#This Row],[Ventas netas totales]]/TableWeeklySummary[[#This Row],[Órdenes totales]],0)</f>
        <v>0</v>
      </c>
      <c r="H34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0" s="11">
        <f>TableWeeklySummary[[#This Row],[Órden promedio totales]]*TableWeeklySummary[[#This Row],[CR totales]]</f>
        <v>0</v>
      </c>
      <c r="J340" s="11">
        <f>SUMIFS(TableDailySummary[Ventas primer cliente],TableDailySummary[Fecha],"&gt;="&amp;TableWeeklySummary[[#This Row],[Desde]],TableDailySummary[Fecha],"&lt;="&amp;TableWeeklySummary[[#This Row],[Hasta]])</f>
        <v>0</v>
      </c>
      <c r="K340" s="11">
        <f>SUMIFS(TableDailySummary[Órdenes primer cliente],TableDailySummary[Fecha],"&gt;="&amp;TableWeeklySummary[[#This Row],[Desde]],TableDailySummary[Fecha],"&lt;="&amp;TableWeeklySummary[[#This Row],[Hasta]])</f>
        <v>0</v>
      </c>
      <c r="L340" s="11">
        <f>SUMIFS(TableDailySummary[Online Store_net_sales],TableDailySummary[Fecha],"&gt;="&amp;TableWeeklySummary[[#This Row],[Desde]],TableDailySummary[Fecha],"&lt;="&amp;TableWeeklySummary[[#This Row],[Hasta]])</f>
        <v>0</v>
      </c>
      <c r="M340" s="11">
        <f>SUMIFS(TableDailySummary[Online Store_orders],TableDailySummary[Fecha],"&gt;="&amp;TableWeeklySummary[[#This Row],[Desde]],TableDailySummary[Fecha],"&lt;="&amp;TableWeeklySummary[[#This Row],[Hasta]])</f>
        <v>0</v>
      </c>
      <c r="N340" s="11">
        <f>SUMIFS(TableDailySummary[Tienda 81_net_sales],TableDailySummary[Fecha],"&gt;="&amp;TableWeeklySummary[[#This Row],[Desde]],TableDailySummary[Fecha],"&lt;="&amp;TableWeeklySummary[[#This Row],[Hasta]])</f>
        <v>0</v>
      </c>
      <c r="O340" s="11">
        <f>SUMIFS(TableDailySummary[Tienda 81_orders],TableDailySummary[Fecha],"&gt;="&amp;TableWeeklySummary[[#This Row],[Desde]],TableDailySummary[Fecha],"&lt;="&amp;TableWeeklySummary[[#This Row],[Hasta]])</f>
        <v>0</v>
      </c>
      <c r="P340" s="11">
        <f>SUMIFS(TableDailySummary[Rappi_net_sales],TableDailySummary[Fecha],"&gt;="&amp;TableWeeklySummary[[#This Row],[Desde]],TableDailySummary[Fecha],"&lt;="&amp;TableWeeklySummary[[#This Row],[Hasta]])</f>
        <v>0</v>
      </c>
      <c r="Q340" s="11">
        <f>SUMIFS(TableDailySummary[Rappi_orders],TableDailySummary[Fecha],"&gt;="&amp;TableWeeklySummary[[#This Row],[Desde]],TableDailySummary[Fecha],"&lt;="&amp;TableWeeklySummary[[#This Row],[Hasta]])</f>
        <v>0</v>
      </c>
      <c r="R34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0" s="11">
        <f>SUMIFS(TableDailySummary[Corporativo no tienda_orders],TableDailySummary[Fecha],"&gt;="&amp;TableWeeklySummary[[#This Row],[Desde]],TableDailySummary[Fecha],"&lt;="&amp;TableWeeklySummary[[#This Row],[Hasta]])</f>
        <v>0</v>
      </c>
      <c r="T340" s="11">
        <f>SUMIFS(TableDailySummary[Inversión google ads],TableDailySummary[Fecha],"&gt;="&amp;TableWeeklySummary[[#This Row],[Desde]],TableDailySummary[Fecha],"&lt;="&amp;TableWeeklySummary[[#This Row],[Hasta]])</f>
        <v>0</v>
      </c>
      <c r="U340" s="11">
        <f>SUMIFS(TableDailySummary[Ventas google ads],TableDailySummary[Fecha],"&gt;="&amp;TableWeeklySummary[[#This Row],[Desde]],TableDailySummary[Fecha],"&lt;="&amp;TableWeeklySummary[[#This Row],[Hasta]])</f>
        <v>0</v>
      </c>
      <c r="V340" s="11">
        <f>SUMIFS(TableDailySummary[Inversión meta ads],TableDailySummary[Fecha],"&gt;="&amp;TableWeeklySummary[[#This Row],[Desde]],TableDailySummary[Fecha],"&lt;="&amp;TableWeeklySummary[[#This Row],[Hasta]])</f>
        <v>0</v>
      </c>
      <c r="W340" s="11">
        <f>SUMIFS(TableDailySummary[Ventas meta ads],TableDailySummary[Fecha],"&gt;="&amp;TableWeeklySummary[[#This Row],[Desde]],TableDailySummary[Fecha],"&lt;="&amp;TableWeeklySummary[[#This Row],[Hasta]])</f>
        <v>0</v>
      </c>
      <c r="X340" s="11">
        <f>TableWeeklySummary[[#This Row],[Inversión google ads]]+TableWeeklySummary[[#This Row],[Inversión meta ads]]</f>
        <v>0</v>
      </c>
      <c r="Y340" s="11">
        <f>TableWeeklySummary[[#This Row],[Ventas google ads]]+TableWeeklySummary[[#This Row],[Ventas meta ads]]</f>
        <v>0</v>
      </c>
      <c r="Z340" s="14">
        <f>IFERROR(TableWeeklySummary[[#This Row],[Ventas publicidad]]/TableWeeklySummary[[#This Row],[Inversión publicidad]],0)</f>
        <v>0</v>
      </c>
      <c r="AA340" s="14">
        <f>IFERROR(TableWeeklySummary[[#This Row],[Ventas primer cliente]]/TableWeeklySummary[[#This Row],[Inversión publicidad]],0)</f>
        <v>0</v>
      </c>
      <c r="AB340" s="14"/>
      <c r="AC340" s="11"/>
      <c r="AI34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0" s="11">
        <f>SUMIFS(TableDailySummary[Costo de ventas registrado],TableDailySummary[Fecha],"&gt;="&amp;TableWeeklySummary[[#This Row],[Desde]],TableDailySummary[Fecha],"&lt;="&amp;TableWeeklySummary[[#This Row],[Hasta]])</f>
        <v>0</v>
      </c>
      <c r="AK340" s="11">
        <f>SUMIFS(TableDailySummary[Utilidad bruta],TableDailySummary[Fecha],"&gt;="&amp;TableWeeklySummary[[#This Row],[Desde]],TableDailySummary[Fecha],"&lt;="&amp;TableWeeklySummary[[#This Row],[Hasta]])</f>
        <v>0</v>
      </c>
      <c r="AL340" s="18">
        <f>IFERROR(TableWeeklySummary[[#This Row],[Utilidad bruta]]/TableWeeklySummary[[#This Row],[Ventas netas con costo registrado]],0)</f>
        <v>0</v>
      </c>
    </row>
    <row r="341" spans="2:38" x14ac:dyDescent="0.2">
      <c r="B341" s="16">
        <f>_xlfn.ISOWEEKNUM(TableWeeklySummary[[#This Row],[Hasta]])</f>
        <v>17</v>
      </c>
      <c r="C341" s="6">
        <f t="shared" si="7"/>
        <v>46864</v>
      </c>
      <c r="D341" s="6">
        <f>TableWeeklySummary[[#This Row],[Desde]]+7-1</f>
        <v>46870</v>
      </c>
      <c r="E341" s="11">
        <f>SUMIFS(TableDailySummary[Ventas netas totales],TableDailySummary[Fecha],"&gt;="&amp;TableWeeklySummary[[#This Row],[Desde]],TableDailySummary[Fecha],"&lt;="&amp;TableWeeklySummary[[#This Row],[Hasta]])</f>
        <v>0</v>
      </c>
      <c r="F341" s="11">
        <f>SUMIFS(TableDailySummary[Órdenes totales],TableDailySummary[Fecha],"&gt;="&amp;TableWeeklySummary[[#This Row],[Desde]],TableDailySummary[Fecha],"&lt;="&amp;TableWeeklySummary[[#This Row],[Hasta]])</f>
        <v>0</v>
      </c>
      <c r="G341" s="11">
        <f>IFERROR(TableWeeklySummary[[#This Row],[Ventas netas totales]]/TableWeeklySummary[[#This Row],[Órdenes totales]],0)</f>
        <v>0</v>
      </c>
      <c r="H34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1" s="11">
        <f>TableWeeklySummary[[#This Row],[Órden promedio totales]]*TableWeeklySummary[[#This Row],[CR totales]]</f>
        <v>0</v>
      </c>
      <c r="J341" s="11">
        <f>SUMIFS(TableDailySummary[Ventas primer cliente],TableDailySummary[Fecha],"&gt;="&amp;TableWeeklySummary[[#This Row],[Desde]],TableDailySummary[Fecha],"&lt;="&amp;TableWeeklySummary[[#This Row],[Hasta]])</f>
        <v>0</v>
      </c>
      <c r="K341" s="11">
        <f>SUMIFS(TableDailySummary[Órdenes primer cliente],TableDailySummary[Fecha],"&gt;="&amp;TableWeeklySummary[[#This Row],[Desde]],TableDailySummary[Fecha],"&lt;="&amp;TableWeeklySummary[[#This Row],[Hasta]])</f>
        <v>0</v>
      </c>
      <c r="L341" s="11">
        <f>SUMIFS(TableDailySummary[Online Store_net_sales],TableDailySummary[Fecha],"&gt;="&amp;TableWeeklySummary[[#This Row],[Desde]],TableDailySummary[Fecha],"&lt;="&amp;TableWeeklySummary[[#This Row],[Hasta]])</f>
        <v>0</v>
      </c>
      <c r="M341" s="11">
        <f>SUMIFS(TableDailySummary[Online Store_orders],TableDailySummary[Fecha],"&gt;="&amp;TableWeeklySummary[[#This Row],[Desde]],TableDailySummary[Fecha],"&lt;="&amp;TableWeeklySummary[[#This Row],[Hasta]])</f>
        <v>0</v>
      </c>
      <c r="N341" s="11">
        <f>SUMIFS(TableDailySummary[Tienda 81_net_sales],TableDailySummary[Fecha],"&gt;="&amp;TableWeeklySummary[[#This Row],[Desde]],TableDailySummary[Fecha],"&lt;="&amp;TableWeeklySummary[[#This Row],[Hasta]])</f>
        <v>0</v>
      </c>
      <c r="O341" s="11">
        <f>SUMIFS(TableDailySummary[Tienda 81_orders],TableDailySummary[Fecha],"&gt;="&amp;TableWeeklySummary[[#This Row],[Desde]],TableDailySummary[Fecha],"&lt;="&amp;TableWeeklySummary[[#This Row],[Hasta]])</f>
        <v>0</v>
      </c>
      <c r="P341" s="11">
        <f>SUMIFS(TableDailySummary[Rappi_net_sales],TableDailySummary[Fecha],"&gt;="&amp;TableWeeklySummary[[#This Row],[Desde]],TableDailySummary[Fecha],"&lt;="&amp;TableWeeklySummary[[#This Row],[Hasta]])</f>
        <v>0</v>
      </c>
      <c r="Q341" s="11">
        <f>SUMIFS(TableDailySummary[Rappi_orders],TableDailySummary[Fecha],"&gt;="&amp;TableWeeklySummary[[#This Row],[Desde]],TableDailySummary[Fecha],"&lt;="&amp;TableWeeklySummary[[#This Row],[Hasta]])</f>
        <v>0</v>
      </c>
      <c r="R34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1" s="11">
        <f>SUMIFS(TableDailySummary[Corporativo no tienda_orders],TableDailySummary[Fecha],"&gt;="&amp;TableWeeklySummary[[#This Row],[Desde]],TableDailySummary[Fecha],"&lt;="&amp;TableWeeklySummary[[#This Row],[Hasta]])</f>
        <v>0</v>
      </c>
      <c r="T341" s="11">
        <f>SUMIFS(TableDailySummary[Inversión google ads],TableDailySummary[Fecha],"&gt;="&amp;TableWeeklySummary[[#This Row],[Desde]],TableDailySummary[Fecha],"&lt;="&amp;TableWeeklySummary[[#This Row],[Hasta]])</f>
        <v>0</v>
      </c>
      <c r="U341" s="11">
        <f>SUMIFS(TableDailySummary[Ventas google ads],TableDailySummary[Fecha],"&gt;="&amp;TableWeeklySummary[[#This Row],[Desde]],TableDailySummary[Fecha],"&lt;="&amp;TableWeeklySummary[[#This Row],[Hasta]])</f>
        <v>0</v>
      </c>
      <c r="V341" s="11">
        <f>SUMIFS(TableDailySummary[Inversión meta ads],TableDailySummary[Fecha],"&gt;="&amp;TableWeeklySummary[[#This Row],[Desde]],TableDailySummary[Fecha],"&lt;="&amp;TableWeeklySummary[[#This Row],[Hasta]])</f>
        <v>0</v>
      </c>
      <c r="W341" s="11">
        <f>SUMIFS(TableDailySummary[Ventas meta ads],TableDailySummary[Fecha],"&gt;="&amp;TableWeeklySummary[[#This Row],[Desde]],TableDailySummary[Fecha],"&lt;="&amp;TableWeeklySummary[[#This Row],[Hasta]])</f>
        <v>0</v>
      </c>
      <c r="X341" s="11">
        <f>TableWeeklySummary[[#This Row],[Inversión google ads]]+TableWeeklySummary[[#This Row],[Inversión meta ads]]</f>
        <v>0</v>
      </c>
      <c r="Y341" s="11">
        <f>TableWeeklySummary[[#This Row],[Ventas google ads]]+TableWeeklySummary[[#This Row],[Ventas meta ads]]</f>
        <v>0</v>
      </c>
      <c r="Z341" s="14">
        <f>IFERROR(TableWeeklySummary[[#This Row],[Ventas publicidad]]/TableWeeklySummary[[#This Row],[Inversión publicidad]],0)</f>
        <v>0</v>
      </c>
      <c r="AA341" s="14">
        <f>IFERROR(TableWeeklySummary[[#This Row],[Ventas primer cliente]]/TableWeeklySummary[[#This Row],[Inversión publicidad]],0)</f>
        <v>0</v>
      </c>
      <c r="AB341" s="14"/>
      <c r="AC341" s="11"/>
      <c r="AI34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1" s="11">
        <f>SUMIFS(TableDailySummary[Costo de ventas registrado],TableDailySummary[Fecha],"&gt;="&amp;TableWeeklySummary[[#This Row],[Desde]],TableDailySummary[Fecha],"&lt;="&amp;TableWeeklySummary[[#This Row],[Hasta]])</f>
        <v>0</v>
      </c>
      <c r="AK341" s="11">
        <f>SUMIFS(TableDailySummary[Utilidad bruta],TableDailySummary[Fecha],"&gt;="&amp;TableWeeklySummary[[#This Row],[Desde]],TableDailySummary[Fecha],"&lt;="&amp;TableWeeklySummary[[#This Row],[Hasta]])</f>
        <v>0</v>
      </c>
      <c r="AL341" s="18">
        <f>IFERROR(TableWeeklySummary[[#This Row],[Utilidad bruta]]/TableWeeklySummary[[#This Row],[Ventas netas con costo registrado]],0)</f>
        <v>0</v>
      </c>
    </row>
    <row r="342" spans="2:38" x14ac:dyDescent="0.2">
      <c r="B342" s="16">
        <f>_xlfn.ISOWEEKNUM(TableWeeklySummary[[#This Row],[Hasta]])</f>
        <v>18</v>
      </c>
      <c r="C342" s="6">
        <f t="shared" si="7"/>
        <v>46871</v>
      </c>
      <c r="D342" s="6">
        <f>TableWeeklySummary[[#This Row],[Desde]]+7-1</f>
        <v>46877</v>
      </c>
      <c r="E342" s="11">
        <f>SUMIFS(TableDailySummary[Ventas netas totales],TableDailySummary[Fecha],"&gt;="&amp;TableWeeklySummary[[#This Row],[Desde]],TableDailySummary[Fecha],"&lt;="&amp;TableWeeklySummary[[#This Row],[Hasta]])</f>
        <v>0</v>
      </c>
      <c r="F342" s="11">
        <f>SUMIFS(TableDailySummary[Órdenes totales],TableDailySummary[Fecha],"&gt;="&amp;TableWeeklySummary[[#This Row],[Desde]],TableDailySummary[Fecha],"&lt;="&amp;TableWeeklySummary[[#This Row],[Hasta]])</f>
        <v>0</v>
      </c>
      <c r="G342" s="11">
        <f>IFERROR(TableWeeklySummary[[#This Row],[Ventas netas totales]]/TableWeeklySummary[[#This Row],[Órdenes totales]],0)</f>
        <v>0</v>
      </c>
      <c r="H34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2" s="11">
        <f>TableWeeklySummary[[#This Row],[Órden promedio totales]]*TableWeeklySummary[[#This Row],[CR totales]]</f>
        <v>0</v>
      </c>
      <c r="J342" s="11">
        <f>SUMIFS(TableDailySummary[Ventas primer cliente],TableDailySummary[Fecha],"&gt;="&amp;TableWeeklySummary[[#This Row],[Desde]],TableDailySummary[Fecha],"&lt;="&amp;TableWeeklySummary[[#This Row],[Hasta]])</f>
        <v>0</v>
      </c>
      <c r="K342" s="11">
        <f>SUMIFS(TableDailySummary[Órdenes primer cliente],TableDailySummary[Fecha],"&gt;="&amp;TableWeeklySummary[[#This Row],[Desde]],TableDailySummary[Fecha],"&lt;="&amp;TableWeeklySummary[[#This Row],[Hasta]])</f>
        <v>0</v>
      </c>
      <c r="L342" s="11">
        <f>SUMIFS(TableDailySummary[Online Store_net_sales],TableDailySummary[Fecha],"&gt;="&amp;TableWeeklySummary[[#This Row],[Desde]],TableDailySummary[Fecha],"&lt;="&amp;TableWeeklySummary[[#This Row],[Hasta]])</f>
        <v>0</v>
      </c>
      <c r="M342" s="11">
        <f>SUMIFS(TableDailySummary[Online Store_orders],TableDailySummary[Fecha],"&gt;="&amp;TableWeeklySummary[[#This Row],[Desde]],TableDailySummary[Fecha],"&lt;="&amp;TableWeeklySummary[[#This Row],[Hasta]])</f>
        <v>0</v>
      </c>
      <c r="N342" s="11">
        <f>SUMIFS(TableDailySummary[Tienda 81_net_sales],TableDailySummary[Fecha],"&gt;="&amp;TableWeeklySummary[[#This Row],[Desde]],TableDailySummary[Fecha],"&lt;="&amp;TableWeeklySummary[[#This Row],[Hasta]])</f>
        <v>0</v>
      </c>
      <c r="O342" s="11">
        <f>SUMIFS(TableDailySummary[Tienda 81_orders],TableDailySummary[Fecha],"&gt;="&amp;TableWeeklySummary[[#This Row],[Desde]],TableDailySummary[Fecha],"&lt;="&amp;TableWeeklySummary[[#This Row],[Hasta]])</f>
        <v>0</v>
      </c>
      <c r="P342" s="11">
        <f>SUMIFS(TableDailySummary[Rappi_net_sales],TableDailySummary[Fecha],"&gt;="&amp;TableWeeklySummary[[#This Row],[Desde]],TableDailySummary[Fecha],"&lt;="&amp;TableWeeklySummary[[#This Row],[Hasta]])</f>
        <v>0</v>
      </c>
      <c r="Q342" s="11">
        <f>SUMIFS(TableDailySummary[Rappi_orders],TableDailySummary[Fecha],"&gt;="&amp;TableWeeklySummary[[#This Row],[Desde]],TableDailySummary[Fecha],"&lt;="&amp;TableWeeklySummary[[#This Row],[Hasta]])</f>
        <v>0</v>
      </c>
      <c r="R34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2" s="11">
        <f>SUMIFS(TableDailySummary[Corporativo no tienda_orders],TableDailySummary[Fecha],"&gt;="&amp;TableWeeklySummary[[#This Row],[Desde]],TableDailySummary[Fecha],"&lt;="&amp;TableWeeklySummary[[#This Row],[Hasta]])</f>
        <v>0</v>
      </c>
      <c r="T342" s="11">
        <f>SUMIFS(TableDailySummary[Inversión google ads],TableDailySummary[Fecha],"&gt;="&amp;TableWeeklySummary[[#This Row],[Desde]],TableDailySummary[Fecha],"&lt;="&amp;TableWeeklySummary[[#This Row],[Hasta]])</f>
        <v>0</v>
      </c>
      <c r="U342" s="11">
        <f>SUMIFS(TableDailySummary[Ventas google ads],TableDailySummary[Fecha],"&gt;="&amp;TableWeeklySummary[[#This Row],[Desde]],TableDailySummary[Fecha],"&lt;="&amp;TableWeeklySummary[[#This Row],[Hasta]])</f>
        <v>0</v>
      </c>
      <c r="V342" s="11">
        <f>SUMIFS(TableDailySummary[Inversión meta ads],TableDailySummary[Fecha],"&gt;="&amp;TableWeeklySummary[[#This Row],[Desde]],TableDailySummary[Fecha],"&lt;="&amp;TableWeeklySummary[[#This Row],[Hasta]])</f>
        <v>0</v>
      </c>
      <c r="W342" s="11">
        <f>SUMIFS(TableDailySummary[Ventas meta ads],TableDailySummary[Fecha],"&gt;="&amp;TableWeeklySummary[[#This Row],[Desde]],TableDailySummary[Fecha],"&lt;="&amp;TableWeeklySummary[[#This Row],[Hasta]])</f>
        <v>0</v>
      </c>
      <c r="X342" s="11">
        <f>TableWeeklySummary[[#This Row],[Inversión google ads]]+TableWeeklySummary[[#This Row],[Inversión meta ads]]</f>
        <v>0</v>
      </c>
      <c r="Y342" s="11">
        <f>TableWeeklySummary[[#This Row],[Ventas google ads]]+TableWeeklySummary[[#This Row],[Ventas meta ads]]</f>
        <v>0</v>
      </c>
      <c r="Z342" s="14">
        <f>IFERROR(TableWeeklySummary[[#This Row],[Ventas publicidad]]/TableWeeklySummary[[#This Row],[Inversión publicidad]],0)</f>
        <v>0</v>
      </c>
      <c r="AA342" s="14">
        <f>IFERROR(TableWeeklySummary[[#This Row],[Ventas primer cliente]]/TableWeeklySummary[[#This Row],[Inversión publicidad]],0)</f>
        <v>0</v>
      </c>
      <c r="AB342" s="14"/>
      <c r="AC342" s="11"/>
      <c r="AI34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2" s="11">
        <f>SUMIFS(TableDailySummary[Costo de ventas registrado],TableDailySummary[Fecha],"&gt;="&amp;TableWeeklySummary[[#This Row],[Desde]],TableDailySummary[Fecha],"&lt;="&amp;TableWeeklySummary[[#This Row],[Hasta]])</f>
        <v>0</v>
      </c>
      <c r="AK342" s="11">
        <f>SUMIFS(TableDailySummary[Utilidad bruta],TableDailySummary[Fecha],"&gt;="&amp;TableWeeklySummary[[#This Row],[Desde]],TableDailySummary[Fecha],"&lt;="&amp;TableWeeklySummary[[#This Row],[Hasta]])</f>
        <v>0</v>
      </c>
      <c r="AL342" s="18">
        <f>IFERROR(TableWeeklySummary[[#This Row],[Utilidad bruta]]/TableWeeklySummary[[#This Row],[Ventas netas con costo registrado]],0)</f>
        <v>0</v>
      </c>
    </row>
    <row r="343" spans="2:38" x14ac:dyDescent="0.2">
      <c r="B343" s="16">
        <f>_xlfn.ISOWEEKNUM(TableWeeklySummary[[#This Row],[Hasta]])</f>
        <v>19</v>
      </c>
      <c r="C343" s="6">
        <f t="shared" si="7"/>
        <v>46878</v>
      </c>
      <c r="D343" s="6">
        <f>TableWeeklySummary[[#This Row],[Desde]]+7-1</f>
        <v>46884</v>
      </c>
      <c r="E343" s="11">
        <f>SUMIFS(TableDailySummary[Ventas netas totales],TableDailySummary[Fecha],"&gt;="&amp;TableWeeklySummary[[#This Row],[Desde]],TableDailySummary[Fecha],"&lt;="&amp;TableWeeklySummary[[#This Row],[Hasta]])</f>
        <v>0</v>
      </c>
      <c r="F343" s="11">
        <f>SUMIFS(TableDailySummary[Órdenes totales],TableDailySummary[Fecha],"&gt;="&amp;TableWeeklySummary[[#This Row],[Desde]],TableDailySummary[Fecha],"&lt;="&amp;TableWeeklySummary[[#This Row],[Hasta]])</f>
        <v>0</v>
      </c>
      <c r="G343" s="11">
        <f>IFERROR(TableWeeklySummary[[#This Row],[Ventas netas totales]]/TableWeeklySummary[[#This Row],[Órdenes totales]],0)</f>
        <v>0</v>
      </c>
      <c r="H34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3" s="11">
        <f>TableWeeklySummary[[#This Row],[Órden promedio totales]]*TableWeeklySummary[[#This Row],[CR totales]]</f>
        <v>0</v>
      </c>
      <c r="J343" s="11">
        <f>SUMIFS(TableDailySummary[Ventas primer cliente],TableDailySummary[Fecha],"&gt;="&amp;TableWeeklySummary[[#This Row],[Desde]],TableDailySummary[Fecha],"&lt;="&amp;TableWeeklySummary[[#This Row],[Hasta]])</f>
        <v>0</v>
      </c>
      <c r="K343" s="11">
        <f>SUMIFS(TableDailySummary[Órdenes primer cliente],TableDailySummary[Fecha],"&gt;="&amp;TableWeeklySummary[[#This Row],[Desde]],TableDailySummary[Fecha],"&lt;="&amp;TableWeeklySummary[[#This Row],[Hasta]])</f>
        <v>0</v>
      </c>
      <c r="L343" s="11">
        <f>SUMIFS(TableDailySummary[Online Store_net_sales],TableDailySummary[Fecha],"&gt;="&amp;TableWeeklySummary[[#This Row],[Desde]],TableDailySummary[Fecha],"&lt;="&amp;TableWeeklySummary[[#This Row],[Hasta]])</f>
        <v>0</v>
      </c>
      <c r="M343" s="11">
        <f>SUMIFS(TableDailySummary[Online Store_orders],TableDailySummary[Fecha],"&gt;="&amp;TableWeeklySummary[[#This Row],[Desde]],TableDailySummary[Fecha],"&lt;="&amp;TableWeeklySummary[[#This Row],[Hasta]])</f>
        <v>0</v>
      </c>
      <c r="N343" s="11">
        <f>SUMIFS(TableDailySummary[Tienda 81_net_sales],TableDailySummary[Fecha],"&gt;="&amp;TableWeeklySummary[[#This Row],[Desde]],TableDailySummary[Fecha],"&lt;="&amp;TableWeeklySummary[[#This Row],[Hasta]])</f>
        <v>0</v>
      </c>
      <c r="O343" s="11">
        <f>SUMIFS(TableDailySummary[Tienda 81_orders],TableDailySummary[Fecha],"&gt;="&amp;TableWeeklySummary[[#This Row],[Desde]],TableDailySummary[Fecha],"&lt;="&amp;TableWeeklySummary[[#This Row],[Hasta]])</f>
        <v>0</v>
      </c>
      <c r="P343" s="11">
        <f>SUMIFS(TableDailySummary[Rappi_net_sales],TableDailySummary[Fecha],"&gt;="&amp;TableWeeklySummary[[#This Row],[Desde]],TableDailySummary[Fecha],"&lt;="&amp;TableWeeklySummary[[#This Row],[Hasta]])</f>
        <v>0</v>
      </c>
      <c r="Q343" s="11">
        <f>SUMIFS(TableDailySummary[Rappi_orders],TableDailySummary[Fecha],"&gt;="&amp;TableWeeklySummary[[#This Row],[Desde]],TableDailySummary[Fecha],"&lt;="&amp;TableWeeklySummary[[#This Row],[Hasta]])</f>
        <v>0</v>
      </c>
      <c r="R34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3" s="11">
        <f>SUMIFS(TableDailySummary[Corporativo no tienda_orders],TableDailySummary[Fecha],"&gt;="&amp;TableWeeklySummary[[#This Row],[Desde]],TableDailySummary[Fecha],"&lt;="&amp;TableWeeklySummary[[#This Row],[Hasta]])</f>
        <v>0</v>
      </c>
      <c r="T343" s="11">
        <f>SUMIFS(TableDailySummary[Inversión google ads],TableDailySummary[Fecha],"&gt;="&amp;TableWeeklySummary[[#This Row],[Desde]],TableDailySummary[Fecha],"&lt;="&amp;TableWeeklySummary[[#This Row],[Hasta]])</f>
        <v>0</v>
      </c>
      <c r="U343" s="11">
        <f>SUMIFS(TableDailySummary[Ventas google ads],TableDailySummary[Fecha],"&gt;="&amp;TableWeeklySummary[[#This Row],[Desde]],TableDailySummary[Fecha],"&lt;="&amp;TableWeeklySummary[[#This Row],[Hasta]])</f>
        <v>0</v>
      </c>
      <c r="V343" s="11">
        <f>SUMIFS(TableDailySummary[Inversión meta ads],TableDailySummary[Fecha],"&gt;="&amp;TableWeeklySummary[[#This Row],[Desde]],TableDailySummary[Fecha],"&lt;="&amp;TableWeeklySummary[[#This Row],[Hasta]])</f>
        <v>0</v>
      </c>
      <c r="W343" s="11">
        <f>SUMIFS(TableDailySummary[Ventas meta ads],TableDailySummary[Fecha],"&gt;="&amp;TableWeeklySummary[[#This Row],[Desde]],TableDailySummary[Fecha],"&lt;="&amp;TableWeeklySummary[[#This Row],[Hasta]])</f>
        <v>0</v>
      </c>
      <c r="X343" s="11">
        <f>TableWeeklySummary[[#This Row],[Inversión google ads]]+TableWeeklySummary[[#This Row],[Inversión meta ads]]</f>
        <v>0</v>
      </c>
      <c r="Y343" s="11">
        <f>TableWeeklySummary[[#This Row],[Ventas google ads]]+TableWeeklySummary[[#This Row],[Ventas meta ads]]</f>
        <v>0</v>
      </c>
      <c r="Z343" s="14">
        <f>IFERROR(TableWeeklySummary[[#This Row],[Ventas publicidad]]/TableWeeklySummary[[#This Row],[Inversión publicidad]],0)</f>
        <v>0</v>
      </c>
      <c r="AA343" s="14">
        <f>IFERROR(TableWeeklySummary[[#This Row],[Ventas primer cliente]]/TableWeeklySummary[[#This Row],[Inversión publicidad]],0)</f>
        <v>0</v>
      </c>
      <c r="AB343" s="14"/>
      <c r="AC343" s="11"/>
      <c r="AI34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3" s="11">
        <f>SUMIFS(TableDailySummary[Costo de ventas registrado],TableDailySummary[Fecha],"&gt;="&amp;TableWeeklySummary[[#This Row],[Desde]],TableDailySummary[Fecha],"&lt;="&amp;TableWeeklySummary[[#This Row],[Hasta]])</f>
        <v>0</v>
      </c>
      <c r="AK343" s="11">
        <f>SUMIFS(TableDailySummary[Utilidad bruta],TableDailySummary[Fecha],"&gt;="&amp;TableWeeklySummary[[#This Row],[Desde]],TableDailySummary[Fecha],"&lt;="&amp;TableWeeklySummary[[#This Row],[Hasta]])</f>
        <v>0</v>
      </c>
      <c r="AL343" s="18">
        <f>IFERROR(TableWeeklySummary[[#This Row],[Utilidad bruta]]/TableWeeklySummary[[#This Row],[Ventas netas con costo registrado]],0)</f>
        <v>0</v>
      </c>
    </row>
    <row r="344" spans="2:38" x14ac:dyDescent="0.2">
      <c r="B344" s="16">
        <f>_xlfn.ISOWEEKNUM(TableWeeklySummary[[#This Row],[Hasta]])</f>
        <v>20</v>
      </c>
      <c r="C344" s="6">
        <f t="shared" si="7"/>
        <v>46885</v>
      </c>
      <c r="D344" s="6">
        <f>TableWeeklySummary[[#This Row],[Desde]]+7-1</f>
        <v>46891</v>
      </c>
      <c r="E344" s="11">
        <f>SUMIFS(TableDailySummary[Ventas netas totales],TableDailySummary[Fecha],"&gt;="&amp;TableWeeklySummary[[#This Row],[Desde]],TableDailySummary[Fecha],"&lt;="&amp;TableWeeklySummary[[#This Row],[Hasta]])</f>
        <v>0</v>
      </c>
      <c r="F344" s="11">
        <f>SUMIFS(TableDailySummary[Órdenes totales],TableDailySummary[Fecha],"&gt;="&amp;TableWeeklySummary[[#This Row],[Desde]],TableDailySummary[Fecha],"&lt;="&amp;TableWeeklySummary[[#This Row],[Hasta]])</f>
        <v>0</v>
      </c>
      <c r="G344" s="11">
        <f>IFERROR(TableWeeklySummary[[#This Row],[Ventas netas totales]]/TableWeeklySummary[[#This Row],[Órdenes totales]],0)</f>
        <v>0</v>
      </c>
      <c r="H34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4" s="11">
        <f>TableWeeklySummary[[#This Row],[Órden promedio totales]]*TableWeeklySummary[[#This Row],[CR totales]]</f>
        <v>0</v>
      </c>
      <c r="J344" s="11">
        <f>SUMIFS(TableDailySummary[Ventas primer cliente],TableDailySummary[Fecha],"&gt;="&amp;TableWeeklySummary[[#This Row],[Desde]],TableDailySummary[Fecha],"&lt;="&amp;TableWeeklySummary[[#This Row],[Hasta]])</f>
        <v>0</v>
      </c>
      <c r="K344" s="11">
        <f>SUMIFS(TableDailySummary[Órdenes primer cliente],TableDailySummary[Fecha],"&gt;="&amp;TableWeeklySummary[[#This Row],[Desde]],TableDailySummary[Fecha],"&lt;="&amp;TableWeeklySummary[[#This Row],[Hasta]])</f>
        <v>0</v>
      </c>
      <c r="L344" s="11">
        <f>SUMIFS(TableDailySummary[Online Store_net_sales],TableDailySummary[Fecha],"&gt;="&amp;TableWeeklySummary[[#This Row],[Desde]],TableDailySummary[Fecha],"&lt;="&amp;TableWeeklySummary[[#This Row],[Hasta]])</f>
        <v>0</v>
      </c>
      <c r="M344" s="11">
        <f>SUMIFS(TableDailySummary[Online Store_orders],TableDailySummary[Fecha],"&gt;="&amp;TableWeeklySummary[[#This Row],[Desde]],TableDailySummary[Fecha],"&lt;="&amp;TableWeeklySummary[[#This Row],[Hasta]])</f>
        <v>0</v>
      </c>
      <c r="N344" s="11">
        <f>SUMIFS(TableDailySummary[Tienda 81_net_sales],TableDailySummary[Fecha],"&gt;="&amp;TableWeeklySummary[[#This Row],[Desde]],TableDailySummary[Fecha],"&lt;="&amp;TableWeeklySummary[[#This Row],[Hasta]])</f>
        <v>0</v>
      </c>
      <c r="O344" s="11">
        <f>SUMIFS(TableDailySummary[Tienda 81_orders],TableDailySummary[Fecha],"&gt;="&amp;TableWeeklySummary[[#This Row],[Desde]],TableDailySummary[Fecha],"&lt;="&amp;TableWeeklySummary[[#This Row],[Hasta]])</f>
        <v>0</v>
      </c>
      <c r="P344" s="11">
        <f>SUMIFS(TableDailySummary[Rappi_net_sales],TableDailySummary[Fecha],"&gt;="&amp;TableWeeklySummary[[#This Row],[Desde]],TableDailySummary[Fecha],"&lt;="&amp;TableWeeklySummary[[#This Row],[Hasta]])</f>
        <v>0</v>
      </c>
      <c r="Q344" s="11">
        <f>SUMIFS(TableDailySummary[Rappi_orders],TableDailySummary[Fecha],"&gt;="&amp;TableWeeklySummary[[#This Row],[Desde]],TableDailySummary[Fecha],"&lt;="&amp;TableWeeklySummary[[#This Row],[Hasta]])</f>
        <v>0</v>
      </c>
      <c r="R34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4" s="11">
        <f>SUMIFS(TableDailySummary[Corporativo no tienda_orders],TableDailySummary[Fecha],"&gt;="&amp;TableWeeklySummary[[#This Row],[Desde]],TableDailySummary[Fecha],"&lt;="&amp;TableWeeklySummary[[#This Row],[Hasta]])</f>
        <v>0</v>
      </c>
      <c r="T344" s="11">
        <f>SUMIFS(TableDailySummary[Inversión google ads],TableDailySummary[Fecha],"&gt;="&amp;TableWeeklySummary[[#This Row],[Desde]],TableDailySummary[Fecha],"&lt;="&amp;TableWeeklySummary[[#This Row],[Hasta]])</f>
        <v>0</v>
      </c>
      <c r="U344" s="11">
        <f>SUMIFS(TableDailySummary[Ventas google ads],TableDailySummary[Fecha],"&gt;="&amp;TableWeeklySummary[[#This Row],[Desde]],TableDailySummary[Fecha],"&lt;="&amp;TableWeeklySummary[[#This Row],[Hasta]])</f>
        <v>0</v>
      </c>
      <c r="V344" s="11">
        <f>SUMIFS(TableDailySummary[Inversión meta ads],TableDailySummary[Fecha],"&gt;="&amp;TableWeeklySummary[[#This Row],[Desde]],TableDailySummary[Fecha],"&lt;="&amp;TableWeeklySummary[[#This Row],[Hasta]])</f>
        <v>0</v>
      </c>
      <c r="W344" s="11">
        <f>SUMIFS(TableDailySummary[Ventas meta ads],TableDailySummary[Fecha],"&gt;="&amp;TableWeeklySummary[[#This Row],[Desde]],TableDailySummary[Fecha],"&lt;="&amp;TableWeeklySummary[[#This Row],[Hasta]])</f>
        <v>0</v>
      </c>
      <c r="X344" s="11">
        <f>TableWeeklySummary[[#This Row],[Inversión google ads]]+TableWeeklySummary[[#This Row],[Inversión meta ads]]</f>
        <v>0</v>
      </c>
      <c r="Y344" s="11">
        <f>TableWeeklySummary[[#This Row],[Ventas google ads]]+TableWeeklySummary[[#This Row],[Ventas meta ads]]</f>
        <v>0</v>
      </c>
      <c r="Z344" s="14">
        <f>IFERROR(TableWeeklySummary[[#This Row],[Ventas publicidad]]/TableWeeklySummary[[#This Row],[Inversión publicidad]],0)</f>
        <v>0</v>
      </c>
      <c r="AA344" s="14">
        <f>IFERROR(TableWeeklySummary[[#This Row],[Ventas primer cliente]]/TableWeeklySummary[[#This Row],[Inversión publicidad]],0)</f>
        <v>0</v>
      </c>
      <c r="AB344" s="14"/>
      <c r="AC344" s="11"/>
      <c r="AI34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4" s="11">
        <f>SUMIFS(TableDailySummary[Costo de ventas registrado],TableDailySummary[Fecha],"&gt;="&amp;TableWeeklySummary[[#This Row],[Desde]],TableDailySummary[Fecha],"&lt;="&amp;TableWeeklySummary[[#This Row],[Hasta]])</f>
        <v>0</v>
      </c>
      <c r="AK344" s="11">
        <f>SUMIFS(TableDailySummary[Utilidad bruta],TableDailySummary[Fecha],"&gt;="&amp;TableWeeklySummary[[#This Row],[Desde]],TableDailySummary[Fecha],"&lt;="&amp;TableWeeklySummary[[#This Row],[Hasta]])</f>
        <v>0</v>
      </c>
      <c r="AL344" s="18">
        <f>IFERROR(TableWeeklySummary[[#This Row],[Utilidad bruta]]/TableWeeklySummary[[#This Row],[Ventas netas con costo registrado]],0)</f>
        <v>0</v>
      </c>
    </row>
    <row r="345" spans="2:38" x14ac:dyDescent="0.2">
      <c r="B345" s="16">
        <f>_xlfn.ISOWEEKNUM(TableWeeklySummary[[#This Row],[Hasta]])</f>
        <v>21</v>
      </c>
      <c r="C345" s="6">
        <f t="shared" si="7"/>
        <v>46892</v>
      </c>
      <c r="D345" s="6">
        <f>TableWeeklySummary[[#This Row],[Desde]]+7-1</f>
        <v>46898</v>
      </c>
      <c r="E345" s="11">
        <f>SUMIFS(TableDailySummary[Ventas netas totales],TableDailySummary[Fecha],"&gt;="&amp;TableWeeklySummary[[#This Row],[Desde]],TableDailySummary[Fecha],"&lt;="&amp;TableWeeklySummary[[#This Row],[Hasta]])</f>
        <v>0</v>
      </c>
      <c r="F345" s="11">
        <f>SUMIFS(TableDailySummary[Órdenes totales],TableDailySummary[Fecha],"&gt;="&amp;TableWeeklySummary[[#This Row],[Desde]],TableDailySummary[Fecha],"&lt;="&amp;TableWeeklySummary[[#This Row],[Hasta]])</f>
        <v>0</v>
      </c>
      <c r="G345" s="11">
        <f>IFERROR(TableWeeklySummary[[#This Row],[Ventas netas totales]]/TableWeeklySummary[[#This Row],[Órdenes totales]],0)</f>
        <v>0</v>
      </c>
      <c r="H34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5" s="11">
        <f>TableWeeklySummary[[#This Row],[Órden promedio totales]]*TableWeeklySummary[[#This Row],[CR totales]]</f>
        <v>0</v>
      </c>
      <c r="J345" s="11">
        <f>SUMIFS(TableDailySummary[Ventas primer cliente],TableDailySummary[Fecha],"&gt;="&amp;TableWeeklySummary[[#This Row],[Desde]],TableDailySummary[Fecha],"&lt;="&amp;TableWeeklySummary[[#This Row],[Hasta]])</f>
        <v>0</v>
      </c>
      <c r="K345" s="11">
        <f>SUMIFS(TableDailySummary[Órdenes primer cliente],TableDailySummary[Fecha],"&gt;="&amp;TableWeeklySummary[[#This Row],[Desde]],TableDailySummary[Fecha],"&lt;="&amp;TableWeeklySummary[[#This Row],[Hasta]])</f>
        <v>0</v>
      </c>
      <c r="L345" s="11">
        <f>SUMIFS(TableDailySummary[Online Store_net_sales],TableDailySummary[Fecha],"&gt;="&amp;TableWeeklySummary[[#This Row],[Desde]],TableDailySummary[Fecha],"&lt;="&amp;TableWeeklySummary[[#This Row],[Hasta]])</f>
        <v>0</v>
      </c>
      <c r="M345" s="11">
        <f>SUMIFS(TableDailySummary[Online Store_orders],TableDailySummary[Fecha],"&gt;="&amp;TableWeeklySummary[[#This Row],[Desde]],TableDailySummary[Fecha],"&lt;="&amp;TableWeeklySummary[[#This Row],[Hasta]])</f>
        <v>0</v>
      </c>
      <c r="N345" s="11">
        <f>SUMIFS(TableDailySummary[Tienda 81_net_sales],TableDailySummary[Fecha],"&gt;="&amp;TableWeeklySummary[[#This Row],[Desde]],TableDailySummary[Fecha],"&lt;="&amp;TableWeeklySummary[[#This Row],[Hasta]])</f>
        <v>0</v>
      </c>
      <c r="O345" s="11">
        <f>SUMIFS(TableDailySummary[Tienda 81_orders],TableDailySummary[Fecha],"&gt;="&amp;TableWeeklySummary[[#This Row],[Desde]],TableDailySummary[Fecha],"&lt;="&amp;TableWeeklySummary[[#This Row],[Hasta]])</f>
        <v>0</v>
      </c>
      <c r="P345" s="11">
        <f>SUMIFS(TableDailySummary[Rappi_net_sales],TableDailySummary[Fecha],"&gt;="&amp;TableWeeklySummary[[#This Row],[Desde]],TableDailySummary[Fecha],"&lt;="&amp;TableWeeklySummary[[#This Row],[Hasta]])</f>
        <v>0</v>
      </c>
      <c r="Q345" s="11">
        <f>SUMIFS(TableDailySummary[Rappi_orders],TableDailySummary[Fecha],"&gt;="&amp;TableWeeklySummary[[#This Row],[Desde]],TableDailySummary[Fecha],"&lt;="&amp;TableWeeklySummary[[#This Row],[Hasta]])</f>
        <v>0</v>
      </c>
      <c r="R34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5" s="11">
        <f>SUMIFS(TableDailySummary[Corporativo no tienda_orders],TableDailySummary[Fecha],"&gt;="&amp;TableWeeklySummary[[#This Row],[Desde]],TableDailySummary[Fecha],"&lt;="&amp;TableWeeklySummary[[#This Row],[Hasta]])</f>
        <v>0</v>
      </c>
      <c r="T345" s="11">
        <f>SUMIFS(TableDailySummary[Inversión google ads],TableDailySummary[Fecha],"&gt;="&amp;TableWeeklySummary[[#This Row],[Desde]],TableDailySummary[Fecha],"&lt;="&amp;TableWeeklySummary[[#This Row],[Hasta]])</f>
        <v>0</v>
      </c>
      <c r="U345" s="11">
        <f>SUMIFS(TableDailySummary[Ventas google ads],TableDailySummary[Fecha],"&gt;="&amp;TableWeeklySummary[[#This Row],[Desde]],TableDailySummary[Fecha],"&lt;="&amp;TableWeeklySummary[[#This Row],[Hasta]])</f>
        <v>0</v>
      </c>
      <c r="V345" s="11">
        <f>SUMIFS(TableDailySummary[Inversión meta ads],TableDailySummary[Fecha],"&gt;="&amp;TableWeeklySummary[[#This Row],[Desde]],TableDailySummary[Fecha],"&lt;="&amp;TableWeeklySummary[[#This Row],[Hasta]])</f>
        <v>0</v>
      </c>
      <c r="W345" s="11">
        <f>SUMIFS(TableDailySummary[Ventas meta ads],TableDailySummary[Fecha],"&gt;="&amp;TableWeeklySummary[[#This Row],[Desde]],TableDailySummary[Fecha],"&lt;="&amp;TableWeeklySummary[[#This Row],[Hasta]])</f>
        <v>0</v>
      </c>
      <c r="X345" s="11">
        <f>TableWeeklySummary[[#This Row],[Inversión google ads]]+TableWeeklySummary[[#This Row],[Inversión meta ads]]</f>
        <v>0</v>
      </c>
      <c r="Y345" s="11">
        <f>TableWeeklySummary[[#This Row],[Ventas google ads]]+TableWeeklySummary[[#This Row],[Ventas meta ads]]</f>
        <v>0</v>
      </c>
      <c r="Z345" s="14">
        <f>IFERROR(TableWeeklySummary[[#This Row],[Ventas publicidad]]/TableWeeklySummary[[#This Row],[Inversión publicidad]],0)</f>
        <v>0</v>
      </c>
      <c r="AA345" s="14">
        <f>IFERROR(TableWeeklySummary[[#This Row],[Ventas primer cliente]]/TableWeeklySummary[[#This Row],[Inversión publicidad]],0)</f>
        <v>0</v>
      </c>
      <c r="AB345" s="14"/>
      <c r="AC345" s="11"/>
      <c r="AI34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5" s="11">
        <f>SUMIFS(TableDailySummary[Costo de ventas registrado],TableDailySummary[Fecha],"&gt;="&amp;TableWeeklySummary[[#This Row],[Desde]],TableDailySummary[Fecha],"&lt;="&amp;TableWeeklySummary[[#This Row],[Hasta]])</f>
        <v>0</v>
      </c>
      <c r="AK345" s="11">
        <f>SUMIFS(TableDailySummary[Utilidad bruta],TableDailySummary[Fecha],"&gt;="&amp;TableWeeklySummary[[#This Row],[Desde]],TableDailySummary[Fecha],"&lt;="&amp;TableWeeklySummary[[#This Row],[Hasta]])</f>
        <v>0</v>
      </c>
      <c r="AL345" s="18">
        <f>IFERROR(TableWeeklySummary[[#This Row],[Utilidad bruta]]/TableWeeklySummary[[#This Row],[Ventas netas con costo registrado]],0)</f>
        <v>0</v>
      </c>
    </row>
    <row r="346" spans="2:38" x14ac:dyDescent="0.2">
      <c r="B346" s="16">
        <f>_xlfn.ISOWEEKNUM(TableWeeklySummary[[#This Row],[Hasta]])</f>
        <v>22</v>
      </c>
      <c r="C346" s="6">
        <f t="shared" si="7"/>
        <v>46899</v>
      </c>
      <c r="D346" s="6">
        <f>TableWeeklySummary[[#This Row],[Desde]]+7-1</f>
        <v>46905</v>
      </c>
      <c r="E346" s="11">
        <f>SUMIFS(TableDailySummary[Ventas netas totales],TableDailySummary[Fecha],"&gt;="&amp;TableWeeklySummary[[#This Row],[Desde]],TableDailySummary[Fecha],"&lt;="&amp;TableWeeklySummary[[#This Row],[Hasta]])</f>
        <v>0</v>
      </c>
      <c r="F346" s="11">
        <f>SUMIFS(TableDailySummary[Órdenes totales],TableDailySummary[Fecha],"&gt;="&amp;TableWeeklySummary[[#This Row],[Desde]],TableDailySummary[Fecha],"&lt;="&amp;TableWeeklySummary[[#This Row],[Hasta]])</f>
        <v>0</v>
      </c>
      <c r="G346" s="11">
        <f>IFERROR(TableWeeklySummary[[#This Row],[Ventas netas totales]]/TableWeeklySummary[[#This Row],[Órdenes totales]],0)</f>
        <v>0</v>
      </c>
      <c r="H34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6" s="11">
        <f>TableWeeklySummary[[#This Row],[Órden promedio totales]]*TableWeeklySummary[[#This Row],[CR totales]]</f>
        <v>0</v>
      </c>
      <c r="J346" s="11">
        <f>SUMIFS(TableDailySummary[Ventas primer cliente],TableDailySummary[Fecha],"&gt;="&amp;TableWeeklySummary[[#This Row],[Desde]],TableDailySummary[Fecha],"&lt;="&amp;TableWeeklySummary[[#This Row],[Hasta]])</f>
        <v>0</v>
      </c>
      <c r="K346" s="11">
        <f>SUMIFS(TableDailySummary[Órdenes primer cliente],TableDailySummary[Fecha],"&gt;="&amp;TableWeeklySummary[[#This Row],[Desde]],TableDailySummary[Fecha],"&lt;="&amp;TableWeeklySummary[[#This Row],[Hasta]])</f>
        <v>0</v>
      </c>
      <c r="L346" s="11">
        <f>SUMIFS(TableDailySummary[Online Store_net_sales],TableDailySummary[Fecha],"&gt;="&amp;TableWeeklySummary[[#This Row],[Desde]],TableDailySummary[Fecha],"&lt;="&amp;TableWeeklySummary[[#This Row],[Hasta]])</f>
        <v>0</v>
      </c>
      <c r="M346" s="11">
        <f>SUMIFS(TableDailySummary[Online Store_orders],TableDailySummary[Fecha],"&gt;="&amp;TableWeeklySummary[[#This Row],[Desde]],TableDailySummary[Fecha],"&lt;="&amp;TableWeeklySummary[[#This Row],[Hasta]])</f>
        <v>0</v>
      </c>
      <c r="N346" s="11">
        <f>SUMIFS(TableDailySummary[Tienda 81_net_sales],TableDailySummary[Fecha],"&gt;="&amp;TableWeeklySummary[[#This Row],[Desde]],TableDailySummary[Fecha],"&lt;="&amp;TableWeeklySummary[[#This Row],[Hasta]])</f>
        <v>0</v>
      </c>
      <c r="O346" s="11">
        <f>SUMIFS(TableDailySummary[Tienda 81_orders],TableDailySummary[Fecha],"&gt;="&amp;TableWeeklySummary[[#This Row],[Desde]],TableDailySummary[Fecha],"&lt;="&amp;TableWeeklySummary[[#This Row],[Hasta]])</f>
        <v>0</v>
      </c>
      <c r="P346" s="11">
        <f>SUMIFS(TableDailySummary[Rappi_net_sales],TableDailySummary[Fecha],"&gt;="&amp;TableWeeklySummary[[#This Row],[Desde]],TableDailySummary[Fecha],"&lt;="&amp;TableWeeklySummary[[#This Row],[Hasta]])</f>
        <v>0</v>
      </c>
      <c r="Q346" s="11">
        <f>SUMIFS(TableDailySummary[Rappi_orders],TableDailySummary[Fecha],"&gt;="&amp;TableWeeklySummary[[#This Row],[Desde]],TableDailySummary[Fecha],"&lt;="&amp;TableWeeklySummary[[#This Row],[Hasta]])</f>
        <v>0</v>
      </c>
      <c r="R34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6" s="11">
        <f>SUMIFS(TableDailySummary[Corporativo no tienda_orders],TableDailySummary[Fecha],"&gt;="&amp;TableWeeklySummary[[#This Row],[Desde]],TableDailySummary[Fecha],"&lt;="&amp;TableWeeklySummary[[#This Row],[Hasta]])</f>
        <v>0</v>
      </c>
      <c r="T346" s="11">
        <f>SUMIFS(TableDailySummary[Inversión google ads],TableDailySummary[Fecha],"&gt;="&amp;TableWeeklySummary[[#This Row],[Desde]],TableDailySummary[Fecha],"&lt;="&amp;TableWeeklySummary[[#This Row],[Hasta]])</f>
        <v>0</v>
      </c>
      <c r="U346" s="11">
        <f>SUMIFS(TableDailySummary[Ventas google ads],TableDailySummary[Fecha],"&gt;="&amp;TableWeeklySummary[[#This Row],[Desde]],TableDailySummary[Fecha],"&lt;="&amp;TableWeeklySummary[[#This Row],[Hasta]])</f>
        <v>0</v>
      </c>
      <c r="V346" s="11">
        <f>SUMIFS(TableDailySummary[Inversión meta ads],TableDailySummary[Fecha],"&gt;="&amp;TableWeeklySummary[[#This Row],[Desde]],TableDailySummary[Fecha],"&lt;="&amp;TableWeeklySummary[[#This Row],[Hasta]])</f>
        <v>0</v>
      </c>
      <c r="W346" s="11">
        <f>SUMIFS(TableDailySummary[Ventas meta ads],TableDailySummary[Fecha],"&gt;="&amp;TableWeeklySummary[[#This Row],[Desde]],TableDailySummary[Fecha],"&lt;="&amp;TableWeeklySummary[[#This Row],[Hasta]])</f>
        <v>0</v>
      </c>
      <c r="X346" s="11">
        <f>TableWeeklySummary[[#This Row],[Inversión google ads]]+TableWeeklySummary[[#This Row],[Inversión meta ads]]</f>
        <v>0</v>
      </c>
      <c r="Y346" s="11">
        <f>TableWeeklySummary[[#This Row],[Ventas google ads]]+TableWeeklySummary[[#This Row],[Ventas meta ads]]</f>
        <v>0</v>
      </c>
      <c r="Z346" s="14">
        <f>IFERROR(TableWeeklySummary[[#This Row],[Ventas publicidad]]/TableWeeklySummary[[#This Row],[Inversión publicidad]],0)</f>
        <v>0</v>
      </c>
      <c r="AA346" s="14">
        <f>IFERROR(TableWeeklySummary[[#This Row],[Ventas primer cliente]]/TableWeeklySummary[[#This Row],[Inversión publicidad]],0)</f>
        <v>0</v>
      </c>
      <c r="AB346" s="14"/>
      <c r="AC346" s="11"/>
      <c r="AI34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6" s="11">
        <f>SUMIFS(TableDailySummary[Costo de ventas registrado],TableDailySummary[Fecha],"&gt;="&amp;TableWeeklySummary[[#This Row],[Desde]],TableDailySummary[Fecha],"&lt;="&amp;TableWeeklySummary[[#This Row],[Hasta]])</f>
        <v>0</v>
      </c>
      <c r="AK346" s="11">
        <f>SUMIFS(TableDailySummary[Utilidad bruta],TableDailySummary[Fecha],"&gt;="&amp;TableWeeklySummary[[#This Row],[Desde]],TableDailySummary[Fecha],"&lt;="&amp;TableWeeklySummary[[#This Row],[Hasta]])</f>
        <v>0</v>
      </c>
      <c r="AL346" s="18">
        <f>IFERROR(TableWeeklySummary[[#This Row],[Utilidad bruta]]/TableWeeklySummary[[#This Row],[Ventas netas con costo registrado]],0)</f>
        <v>0</v>
      </c>
    </row>
    <row r="347" spans="2:38" x14ac:dyDescent="0.2">
      <c r="B347" s="16">
        <f>_xlfn.ISOWEEKNUM(TableWeeklySummary[[#This Row],[Hasta]])</f>
        <v>23</v>
      </c>
      <c r="C347" s="6">
        <f t="shared" si="7"/>
        <v>46906</v>
      </c>
      <c r="D347" s="6">
        <f>TableWeeklySummary[[#This Row],[Desde]]+7-1</f>
        <v>46912</v>
      </c>
      <c r="E347" s="11">
        <f>SUMIFS(TableDailySummary[Ventas netas totales],TableDailySummary[Fecha],"&gt;="&amp;TableWeeklySummary[[#This Row],[Desde]],TableDailySummary[Fecha],"&lt;="&amp;TableWeeklySummary[[#This Row],[Hasta]])</f>
        <v>0</v>
      </c>
      <c r="F347" s="11">
        <f>SUMIFS(TableDailySummary[Órdenes totales],TableDailySummary[Fecha],"&gt;="&amp;TableWeeklySummary[[#This Row],[Desde]],TableDailySummary[Fecha],"&lt;="&amp;TableWeeklySummary[[#This Row],[Hasta]])</f>
        <v>0</v>
      </c>
      <c r="G347" s="11">
        <f>IFERROR(TableWeeklySummary[[#This Row],[Ventas netas totales]]/TableWeeklySummary[[#This Row],[Órdenes totales]],0)</f>
        <v>0</v>
      </c>
      <c r="H34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7" s="11">
        <f>TableWeeklySummary[[#This Row],[Órden promedio totales]]*TableWeeklySummary[[#This Row],[CR totales]]</f>
        <v>0</v>
      </c>
      <c r="J347" s="11">
        <f>SUMIFS(TableDailySummary[Ventas primer cliente],TableDailySummary[Fecha],"&gt;="&amp;TableWeeklySummary[[#This Row],[Desde]],TableDailySummary[Fecha],"&lt;="&amp;TableWeeklySummary[[#This Row],[Hasta]])</f>
        <v>0</v>
      </c>
      <c r="K347" s="11">
        <f>SUMIFS(TableDailySummary[Órdenes primer cliente],TableDailySummary[Fecha],"&gt;="&amp;TableWeeklySummary[[#This Row],[Desde]],TableDailySummary[Fecha],"&lt;="&amp;TableWeeklySummary[[#This Row],[Hasta]])</f>
        <v>0</v>
      </c>
      <c r="L347" s="11">
        <f>SUMIFS(TableDailySummary[Online Store_net_sales],TableDailySummary[Fecha],"&gt;="&amp;TableWeeklySummary[[#This Row],[Desde]],TableDailySummary[Fecha],"&lt;="&amp;TableWeeklySummary[[#This Row],[Hasta]])</f>
        <v>0</v>
      </c>
      <c r="M347" s="11">
        <f>SUMIFS(TableDailySummary[Online Store_orders],TableDailySummary[Fecha],"&gt;="&amp;TableWeeklySummary[[#This Row],[Desde]],TableDailySummary[Fecha],"&lt;="&amp;TableWeeklySummary[[#This Row],[Hasta]])</f>
        <v>0</v>
      </c>
      <c r="N347" s="11">
        <f>SUMIFS(TableDailySummary[Tienda 81_net_sales],TableDailySummary[Fecha],"&gt;="&amp;TableWeeklySummary[[#This Row],[Desde]],TableDailySummary[Fecha],"&lt;="&amp;TableWeeklySummary[[#This Row],[Hasta]])</f>
        <v>0</v>
      </c>
      <c r="O347" s="11">
        <f>SUMIFS(TableDailySummary[Tienda 81_orders],TableDailySummary[Fecha],"&gt;="&amp;TableWeeklySummary[[#This Row],[Desde]],TableDailySummary[Fecha],"&lt;="&amp;TableWeeklySummary[[#This Row],[Hasta]])</f>
        <v>0</v>
      </c>
      <c r="P347" s="11">
        <f>SUMIFS(TableDailySummary[Rappi_net_sales],TableDailySummary[Fecha],"&gt;="&amp;TableWeeklySummary[[#This Row],[Desde]],TableDailySummary[Fecha],"&lt;="&amp;TableWeeklySummary[[#This Row],[Hasta]])</f>
        <v>0</v>
      </c>
      <c r="Q347" s="11">
        <f>SUMIFS(TableDailySummary[Rappi_orders],TableDailySummary[Fecha],"&gt;="&amp;TableWeeklySummary[[#This Row],[Desde]],TableDailySummary[Fecha],"&lt;="&amp;TableWeeklySummary[[#This Row],[Hasta]])</f>
        <v>0</v>
      </c>
      <c r="R34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7" s="11">
        <f>SUMIFS(TableDailySummary[Corporativo no tienda_orders],TableDailySummary[Fecha],"&gt;="&amp;TableWeeklySummary[[#This Row],[Desde]],TableDailySummary[Fecha],"&lt;="&amp;TableWeeklySummary[[#This Row],[Hasta]])</f>
        <v>0</v>
      </c>
      <c r="T347" s="11">
        <f>SUMIFS(TableDailySummary[Inversión google ads],TableDailySummary[Fecha],"&gt;="&amp;TableWeeklySummary[[#This Row],[Desde]],TableDailySummary[Fecha],"&lt;="&amp;TableWeeklySummary[[#This Row],[Hasta]])</f>
        <v>0</v>
      </c>
      <c r="U347" s="11">
        <f>SUMIFS(TableDailySummary[Ventas google ads],TableDailySummary[Fecha],"&gt;="&amp;TableWeeklySummary[[#This Row],[Desde]],TableDailySummary[Fecha],"&lt;="&amp;TableWeeklySummary[[#This Row],[Hasta]])</f>
        <v>0</v>
      </c>
      <c r="V347" s="11">
        <f>SUMIFS(TableDailySummary[Inversión meta ads],TableDailySummary[Fecha],"&gt;="&amp;TableWeeklySummary[[#This Row],[Desde]],TableDailySummary[Fecha],"&lt;="&amp;TableWeeklySummary[[#This Row],[Hasta]])</f>
        <v>0</v>
      </c>
      <c r="W347" s="11">
        <f>SUMIFS(TableDailySummary[Ventas meta ads],TableDailySummary[Fecha],"&gt;="&amp;TableWeeklySummary[[#This Row],[Desde]],TableDailySummary[Fecha],"&lt;="&amp;TableWeeklySummary[[#This Row],[Hasta]])</f>
        <v>0</v>
      </c>
      <c r="X347" s="11">
        <f>TableWeeklySummary[[#This Row],[Inversión google ads]]+TableWeeklySummary[[#This Row],[Inversión meta ads]]</f>
        <v>0</v>
      </c>
      <c r="Y347" s="11">
        <f>TableWeeklySummary[[#This Row],[Ventas google ads]]+TableWeeklySummary[[#This Row],[Ventas meta ads]]</f>
        <v>0</v>
      </c>
      <c r="Z347" s="14">
        <f>IFERROR(TableWeeklySummary[[#This Row],[Ventas publicidad]]/TableWeeklySummary[[#This Row],[Inversión publicidad]],0)</f>
        <v>0</v>
      </c>
      <c r="AA347" s="14">
        <f>IFERROR(TableWeeklySummary[[#This Row],[Ventas primer cliente]]/TableWeeklySummary[[#This Row],[Inversión publicidad]],0)</f>
        <v>0</v>
      </c>
      <c r="AB347" s="14"/>
      <c r="AC347" s="11"/>
      <c r="AI34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7" s="11">
        <f>SUMIFS(TableDailySummary[Costo de ventas registrado],TableDailySummary[Fecha],"&gt;="&amp;TableWeeklySummary[[#This Row],[Desde]],TableDailySummary[Fecha],"&lt;="&amp;TableWeeklySummary[[#This Row],[Hasta]])</f>
        <v>0</v>
      </c>
      <c r="AK347" s="11">
        <f>SUMIFS(TableDailySummary[Utilidad bruta],TableDailySummary[Fecha],"&gt;="&amp;TableWeeklySummary[[#This Row],[Desde]],TableDailySummary[Fecha],"&lt;="&amp;TableWeeklySummary[[#This Row],[Hasta]])</f>
        <v>0</v>
      </c>
      <c r="AL347" s="18">
        <f>IFERROR(TableWeeklySummary[[#This Row],[Utilidad bruta]]/TableWeeklySummary[[#This Row],[Ventas netas con costo registrado]],0)</f>
        <v>0</v>
      </c>
    </row>
    <row r="348" spans="2:38" x14ac:dyDescent="0.2">
      <c r="B348" s="16">
        <f>_xlfn.ISOWEEKNUM(TableWeeklySummary[[#This Row],[Hasta]])</f>
        <v>24</v>
      </c>
      <c r="C348" s="6">
        <f t="shared" si="7"/>
        <v>46913</v>
      </c>
      <c r="D348" s="6">
        <f>TableWeeklySummary[[#This Row],[Desde]]+7-1</f>
        <v>46919</v>
      </c>
      <c r="E348" s="11">
        <f>SUMIFS(TableDailySummary[Ventas netas totales],TableDailySummary[Fecha],"&gt;="&amp;TableWeeklySummary[[#This Row],[Desde]],TableDailySummary[Fecha],"&lt;="&amp;TableWeeklySummary[[#This Row],[Hasta]])</f>
        <v>0</v>
      </c>
      <c r="F348" s="11">
        <f>SUMIFS(TableDailySummary[Órdenes totales],TableDailySummary[Fecha],"&gt;="&amp;TableWeeklySummary[[#This Row],[Desde]],TableDailySummary[Fecha],"&lt;="&amp;TableWeeklySummary[[#This Row],[Hasta]])</f>
        <v>0</v>
      </c>
      <c r="G348" s="11">
        <f>IFERROR(TableWeeklySummary[[#This Row],[Ventas netas totales]]/TableWeeklySummary[[#This Row],[Órdenes totales]],0)</f>
        <v>0</v>
      </c>
      <c r="H34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8" s="11">
        <f>TableWeeklySummary[[#This Row],[Órden promedio totales]]*TableWeeklySummary[[#This Row],[CR totales]]</f>
        <v>0</v>
      </c>
      <c r="J348" s="11">
        <f>SUMIFS(TableDailySummary[Ventas primer cliente],TableDailySummary[Fecha],"&gt;="&amp;TableWeeklySummary[[#This Row],[Desde]],TableDailySummary[Fecha],"&lt;="&amp;TableWeeklySummary[[#This Row],[Hasta]])</f>
        <v>0</v>
      </c>
      <c r="K348" s="11">
        <f>SUMIFS(TableDailySummary[Órdenes primer cliente],TableDailySummary[Fecha],"&gt;="&amp;TableWeeklySummary[[#This Row],[Desde]],TableDailySummary[Fecha],"&lt;="&amp;TableWeeklySummary[[#This Row],[Hasta]])</f>
        <v>0</v>
      </c>
      <c r="L348" s="11">
        <f>SUMIFS(TableDailySummary[Online Store_net_sales],TableDailySummary[Fecha],"&gt;="&amp;TableWeeklySummary[[#This Row],[Desde]],TableDailySummary[Fecha],"&lt;="&amp;TableWeeklySummary[[#This Row],[Hasta]])</f>
        <v>0</v>
      </c>
      <c r="M348" s="11">
        <f>SUMIFS(TableDailySummary[Online Store_orders],TableDailySummary[Fecha],"&gt;="&amp;TableWeeklySummary[[#This Row],[Desde]],TableDailySummary[Fecha],"&lt;="&amp;TableWeeklySummary[[#This Row],[Hasta]])</f>
        <v>0</v>
      </c>
      <c r="N348" s="11">
        <f>SUMIFS(TableDailySummary[Tienda 81_net_sales],TableDailySummary[Fecha],"&gt;="&amp;TableWeeklySummary[[#This Row],[Desde]],TableDailySummary[Fecha],"&lt;="&amp;TableWeeklySummary[[#This Row],[Hasta]])</f>
        <v>0</v>
      </c>
      <c r="O348" s="11">
        <f>SUMIFS(TableDailySummary[Tienda 81_orders],TableDailySummary[Fecha],"&gt;="&amp;TableWeeklySummary[[#This Row],[Desde]],TableDailySummary[Fecha],"&lt;="&amp;TableWeeklySummary[[#This Row],[Hasta]])</f>
        <v>0</v>
      </c>
      <c r="P348" s="11">
        <f>SUMIFS(TableDailySummary[Rappi_net_sales],TableDailySummary[Fecha],"&gt;="&amp;TableWeeklySummary[[#This Row],[Desde]],TableDailySummary[Fecha],"&lt;="&amp;TableWeeklySummary[[#This Row],[Hasta]])</f>
        <v>0</v>
      </c>
      <c r="Q348" s="11">
        <f>SUMIFS(TableDailySummary[Rappi_orders],TableDailySummary[Fecha],"&gt;="&amp;TableWeeklySummary[[#This Row],[Desde]],TableDailySummary[Fecha],"&lt;="&amp;TableWeeklySummary[[#This Row],[Hasta]])</f>
        <v>0</v>
      </c>
      <c r="R34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8" s="11">
        <f>SUMIFS(TableDailySummary[Corporativo no tienda_orders],TableDailySummary[Fecha],"&gt;="&amp;TableWeeklySummary[[#This Row],[Desde]],TableDailySummary[Fecha],"&lt;="&amp;TableWeeklySummary[[#This Row],[Hasta]])</f>
        <v>0</v>
      </c>
      <c r="T348" s="11">
        <f>SUMIFS(TableDailySummary[Inversión google ads],TableDailySummary[Fecha],"&gt;="&amp;TableWeeklySummary[[#This Row],[Desde]],TableDailySummary[Fecha],"&lt;="&amp;TableWeeklySummary[[#This Row],[Hasta]])</f>
        <v>0</v>
      </c>
      <c r="U348" s="11">
        <f>SUMIFS(TableDailySummary[Ventas google ads],TableDailySummary[Fecha],"&gt;="&amp;TableWeeklySummary[[#This Row],[Desde]],TableDailySummary[Fecha],"&lt;="&amp;TableWeeklySummary[[#This Row],[Hasta]])</f>
        <v>0</v>
      </c>
      <c r="V348" s="11">
        <f>SUMIFS(TableDailySummary[Inversión meta ads],TableDailySummary[Fecha],"&gt;="&amp;TableWeeklySummary[[#This Row],[Desde]],TableDailySummary[Fecha],"&lt;="&amp;TableWeeklySummary[[#This Row],[Hasta]])</f>
        <v>0</v>
      </c>
      <c r="W348" s="11">
        <f>SUMIFS(TableDailySummary[Ventas meta ads],TableDailySummary[Fecha],"&gt;="&amp;TableWeeklySummary[[#This Row],[Desde]],TableDailySummary[Fecha],"&lt;="&amp;TableWeeklySummary[[#This Row],[Hasta]])</f>
        <v>0</v>
      </c>
      <c r="X348" s="11">
        <f>TableWeeklySummary[[#This Row],[Inversión google ads]]+TableWeeklySummary[[#This Row],[Inversión meta ads]]</f>
        <v>0</v>
      </c>
      <c r="Y348" s="11">
        <f>TableWeeklySummary[[#This Row],[Ventas google ads]]+TableWeeklySummary[[#This Row],[Ventas meta ads]]</f>
        <v>0</v>
      </c>
      <c r="Z348" s="14">
        <f>IFERROR(TableWeeklySummary[[#This Row],[Ventas publicidad]]/TableWeeklySummary[[#This Row],[Inversión publicidad]],0)</f>
        <v>0</v>
      </c>
      <c r="AA348" s="14">
        <f>IFERROR(TableWeeklySummary[[#This Row],[Ventas primer cliente]]/TableWeeklySummary[[#This Row],[Inversión publicidad]],0)</f>
        <v>0</v>
      </c>
      <c r="AB348" s="14"/>
      <c r="AC348" s="11"/>
      <c r="AI34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8" s="11">
        <f>SUMIFS(TableDailySummary[Costo de ventas registrado],TableDailySummary[Fecha],"&gt;="&amp;TableWeeklySummary[[#This Row],[Desde]],TableDailySummary[Fecha],"&lt;="&amp;TableWeeklySummary[[#This Row],[Hasta]])</f>
        <v>0</v>
      </c>
      <c r="AK348" s="11">
        <f>SUMIFS(TableDailySummary[Utilidad bruta],TableDailySummary[Fecha],"&gt;="&amp;TableWeeklySummary[[#This Row],[Desde]],TableDailySummary[Fecha],"&lt;="&amp;TableWeeklySummary[[#This Row],[Hasta]])</f>
        <v>0</v>
      </c>
      <c r="AL348" s="18">
        <f>IFERROR(TableWeeklySummary[[#This Row],[Utilidad bruta]]/TableWeeklySummary[[#This Row],[Ventas netas con costo registrado]],0)</f>
        <v>0</v>
      </c>
    </row>
    <row r="349" spans="2:38" x14ac:dyDescent="0.2">
      <c r="B349" s="16">
        <f>_xlfn.ISOWEEKNUM(TableWeeklySummary[[#This Row],[Hasta]])</f>
        <v>25</v>
      </c>
      <c r="C349" s="6">
        <f t="shared" si="7"/>
        <v>46920</v>
      </c>
      <c r="D349" s="6">
        <f>TableWeeklySummary[[#This Row],[Desde]]+7-1</f>
        <v>46926</v>
      </c>
      <c r="E349" s="11">
        <f>SUMIFS(TableDailySummary[Ventas netas totales],TableDailySummary[Fecha],"&gt;="&amp;TableWeeklySummary[[#This Row],[Desde]],TableDailySummary[Fecha],"&lt;="&amp;TableWeeklySummary[[#This Row],[Hasta]])</f>
        <v>0</v>
      </c>
      <c r="F349" s="11">
        <f>SUMIFS(TableDailySummary[Órdenes totales],TableDailySummary[Fecha],"&gt;="&amp;TableWeeklySummary[[#This Row],[Desde]],TableDailySummary[Fecha],"&lt;="&amp;TableWeeklySummary[[#This Row],[Hasta]])</f>
        <v>0</v>
      </c>
      <c r="G349" s="11">
        <f>IFERROR(TableWeeklySummary[[#This Row],[Ventas netas totales]]/TableWeeklySummary[[#This Row],[Órdenes totales]],0)</f>
        <v>0</v>
      </c>
      <c r="H34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49" s="11">
        <f>TableWeeklySummary[[#This Row],[Órden promedio totales]]*TableWeeklySummary[[#This Row],[CR totales]]</f>
        <v>0</v>
      </c>
      <c r="J349" s="11">
        <f>SUMIFS(TableDailySummary[Ventas primer cliente],TableDailySummary[Fecha],"&gt;="&amp;TableWeeklySummary[[#This Row],[Desde]],TableDailySummary[Fecha],"&lt;="&amp;TableWeeklySummary[[#This Row],[Hasta]])</f>
        <v>0</v>
      </c>
      <c r="K349" s="11">
        <f>SUMIFS(TableDailySummary[Órdenes primer cliente],TableDailySummary[Fecha],"&gt;="&amp;TableWeeklySummary[[#This Row],[Desde]],TableDailySummary[Fecha],"&lt;="&amp;TableWeeklySummary[[#This Row],[Hasta]])</f>
        <v>0</v>
      </c>
      <c r="L349" s="11">
        <f>SUMIFS(TableDailySummary[Online Store_net_sales],TableDailySummary[Fecha],"&gt;="&amp;TableWeeklySummary[[#This Row],[Desde]],TableDailySummary[Fecha],"&lt;="&amp;TableWeeklySummary[[#This Row],[Hasta]])</f>
        <v>0</v>
      </c>
      <c r="M349" s="11">
        <f>SUMIFS(TableDailySummary[Online Store_orders],TableDailySummary[Fecha],"&gt;="&amp;TableWeeklySummary[[#This Row],[Desde]],TableDailySummary[Fecha],"&lt;="&amp;TableWeeklySummary[[#This Row],[Hasta]])</f>
        <v>0</v>
      </c>
      <c r="N349" s="11">
        <f>SUMIFS(TableDailySummary[Tienda 81_net_sales],TableDailySummary[Fecha],"&gt;="&amp;TableWeeklySummary[[#This Row],[Desde]],TableDailySummary[Fecha],"&lt;="&amp;TableWeeklySummary[[#This Row],[Hasta]])</f>
        <v>0</v>
      </c>
      <c r="O349" s="11">
        <f>SUMIFS(TableDailySummary[Tienda 81_orders],TableDailySummary[Fecha],"&gt;="&amp;TableWeeklySummary[[#This Row],[Desde]],TableDailySummary[Fecha],"&lt;="&amp;TableWeeklySummary[[#This Row],[Hasta]])</f>
        <v>0</v>
      </c>
      <c r="P349" s="11">
        <f>SUMIFS(TableDailySummary[Rappi_net_sales],TableDailySummary[Fecha],"&gt;="&amp;TableWeeklySummary[[#This Row],[Desde]],TableDailySummary[Fecha],"&lt;="&amp;TableWeeklySummary[[#This Row],[Hasta]])</f>
        <v>0</v>
      </c>
      <c r="Q349" s="11">
        <f>SUMIFS(TableDailySummary[Rappi_orders],TableDailySummary[Fecha],"&gt;="&amp;TableWeeklySummary[[#This Row],[Desde]],TableDailySummary[Fecha],"&lt;="&amp;TableWeeklySummary[[#This Row],[Hasta]])</f>
        <v>0</v>
      </c>
      <c r="R34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49" s="11">
        <f>SUMIFS(TableDailySummary[Corporativo no tienda_orders],TableDailySummary[Fecha],"&gt;="&amp;TableWeeklySummary[[#This Row],[Desde]],TableDailySummary[Fecha],"&lt;="&amp;TableWeeklySummary[[#This Row],[Hasta]])</f>
        <v>0</v>
      </c>
      <c r="T349" s="11">
        <f>SUMIFS(TableDailySummary[Inversión google ads],TableDailySummary[Fecha],"&gt;="&amp;TableWeeklySummary[[#This Row],[Desde]],TableDailySummary[Fecha],"&lt;="&amp;TableWeeklySummary[[#This Row],[Hasta]])</f>
        <v>0</v>
      </c>
      <c r="U349" s="11">
        <f>SUMIFS(TableDailySummary[Ventas google ads],TableDailySummary[Fecha],"&gt;="&amp;TableWeeklySummary[[#This Row],[Desde]],TableDailySummary[Fecha],"&lt;="&amp;TableWeeklySummary[[#This Row],[Hasta]])</f>
        <v>0</v>
      </c>
      <c r="V349" s="11">
        <f>SUMIFS(TableDailySummary[Inversión meta ads],TableDailySummary[Fecha],"&gt;="&amp;TableWeeklySummary[[#This Row],[Desde]],TableDailySummary[Fecha],"&lt;="&amp;TableWeeklySummary[[#This Row],[Hasta]])</f>
        <v>0</v>
      </c>
      <c r="W349" s="11">
        <f>SUMIFS(TableDailySummary[Ventas meta ads],TableDailySummary[Fecha],"&gt;="&amp;TableWeeklySummary[[#This Row],[Desde]],TableDailySummary[Fecha],"&lt;="&amp;TableWeeklySummary[[#This Row],[Hasta]])</f>
        <v>0</v>
      </c>
      <c r="X349" s="11">
        <f>TableWeeklySummary[[#This Row],[Inversión google ads]]+TableWeeklySummary[[#This Row],[Inversión meta ads]]</f>
        <v>0</v>
      </c>
      <c r="Y349" s="11">
        <f>TableWeeklySummary[[#This Row],[Ventas google ads]]+TableWeeklySummary[[#This Row],[Ventas meta ads]]</f>
        <v>0</v>
      </c>
      <c r="Z349" s="14">
        <f>IFERROR(TableWeeklySummary[[#This Row],[Ventas publicidad]]/TableWeeklySummary[[#This Row],[Inversión publicidad]],0)</f>
        <v>0</v>
      </c>
      <c r="AA349" s="14">
        <f>IFERROR(TableWeeklySummary[[#This Row],[Ventas primer cliente]]/TableWeeklySummary[[#This Row],[Inversión publicidad]],0)</f>
        <v>0</v>
      </c>
      <c r="AB349" s="14"/>
      <c r="AC349" s="11"/>
      <c r="AI34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49" s="11">
        <f>SUMIFS(TableDailySummary[Costo de ventas registrado],TableDailySummary[Fecha],"&gt;="&amp;TableWeeklySummary[[#This Row],[Desde]],TableDailySummary[Fecha],"&lt;="&amp;TableWeeklySummary[[#This Row],[Hasta]])</f>
        <v>0</v>
      </c>
      <c r="AK349" s="11">
        <f>SUMIFS(TableDailySummary[Utilidad bruta],TableDailySummary[Fecha],"&gt;="&amp;TableWeeklySummary[[#This Row],[Desde]],TableDailySummary[Fecha],"&lt;="&amp;TableWeeklySummary[[#This Row],[Hasta]])</f>
        <v>0</v>
      </c>
      <c r="AL349" s="18">
        <f>IFERROR(TableWeeklySummary[[#This Row],[Utilidad bruta]]/TableWeeklySummary[[#This Row],[Ventas netas con costo registrado]],0)</f>
        <v>0</v>
      </c>
    </row>
    <row r="350" spans="2:38" x14ac:dyDescent="0.2">
      <c r="B350" s="16">
        <f>_xlfn.ISOWEEKNUM(TableWeeklySummary[[#This Row],[Hasta]])</f>
        <v>26</v>
      </c>
      <c r="C350" s="6">
        <f t="shared" si="7"/>
        <v>46927</v>
      </c>
      <c r="D350" s="6">
        <f>TableWeeklySummary[[#This Row],[Desde]]+7-1</f>
        <v>46933</v>
      </c>
      <c r="E350" s="11">
        <f>SUMIFS(TableDailySummary[Ventas netas totales],TableDailySummary[Fecha],"&gt;="&amp;TableWeeklySummary[[#This Row],[Desde]],TableDailySummary[Fecha],"&lt;="&amp;TableWeeklySummary[[#This Row],[Hasta]])</f>
        <v>0</v>
      </c>
      <c r="F350" s="11">
        <f>SUMIFS(TableDailySummary[Órdenes totales],TableDailySummary[Fecha],"&gt;="&amp;TableWeeklySummary[[#This Row],[Desde]],TableDailySummary[Fecha],"&lt;="&amp;TableWeeklySummary[[#This Row],[Hasta]])</f>
        <v>0</v>
      </c>
      <c r="G350" s="11">
        <f>IFERROR(TableWeeklySummary[[#This Row],[Ventas netas totales]]/TableWeeklySummary[[#This Row],[Órdenes totales]],0)</f>
        <v>0</v>
      </c>
      <c r="H35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0" s="11">
        <f>TableWeeklySummary[[#This Row],[Órden promedio totales]]*TableWeeklySummary[[#This Row],[CR totales]]</f>
        <v>0</v>
      </c>
      <c r="J350" s="11">
        <f>SUMIFS(TableDailySummary[Ventas primer cliente],TableDailySummary[Fecha],"&gt;="&amp;TableWeeklySummary[[#This Row],[Desde]],TableDailySummary[Fecha],"&lt;="&amp;TableWeeklySummary[[#This Row],[Hasta]])</f>
        <v>0</v>
      </c>
      <c r="K350" s="11">
        <f>SUMIFS(TableDailySummary[Órdenes primer cliente],TableDailySummary[Fecha],"&gt;="&amp;TableWeeklySummary[[#This Row],[Desde]],TableDailySummary[Fecha],"&lt;="&amp;TableWeeklySummary[[#This Row],[Hasta]])</f>
        <v>0</v>
      </c>
      <c r="L350" s="11">
        <f>SUMIFS(TableDailySummary[Online Store_net_sales],TableDailySummary[Fecha],"&gt;="&amp;TableWeeklySummary[[#This Row],[Desde]],TableDailySummary[Fecha],"&lt;="&amp;TableWeeklySummary[[#This Row],[Hasta]])</f>
        <v>0</v>
      </c>
      <c r="M350" s="11">
        <f>SUMIFS(TableDailySummary[Online Store_orders],TableDailySummary[Fecha],"&gt;="&amp;TableWeeklySummary[[#This Row],[Desde]],TableDailySummary[Fecha],"&lt;="&amp;TableWeeklySummary[[#This Row],[Hasta]])</f>
        <v>0</v>
      </c>
      <c r="N350" s="11">
        <f>SUMIFS(TableDailySummary[Tienda 81_net_sales],TableDailySummary[Fecha],"&gt;="&amp;TableWeeklySummary[[#This Row],[Desde]],TableDailySummary[Fecha],"&lt;="&amp;TableWeeklySummary[[#This Row],[Hasta]])</f>
        <v>0</v>
      </c>
      <c r="O350" s="11">
        <f>SUMIFS(TableDailySummary[Tienda 81_orders],TableDailySummary[Fecha],"&gt;="&amp;TableWeeklySummary[[#This Row],[Desde]],TableDailySummary[Fecha],"&lt;="&amp;TableWeeklySummary[[#This Row],[Hasta]])</f>
        <v>0</v>
      </c>
      <c r="P350" s="11">
        <f>SUMIFS(TableDailySummary[Rappi_net_sales],TableDailySummary[Fecha],"&gt;="&amp;TableWeeklySummary[[#This Row],[Desde]],TableDailySummary[Fecha],"&lt;="&amp;TableWeeklySummary[[#This Row],[Hasta]])</f>
        <v>0</v>
      </c>
      <c r="Q350" s="11">
        <f>SUMIFS(TableDailySummary[Rappi_orders],TableDailySummary[Fecha],"&gt;="&amp;TableWeeklySummary[[#This Row],[Desde]],TableDailySummary[Fecha],"&lt;="&amp;TableWeeklySummary[[#This Row],[Hasta]])</f>
        <v>0</v>
      </c>
      <c r="R35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0" s="11">
        <f>SUMIFS(TableDailySummary[Corporativo no tienda_orders],TableDailySummary[Fecha],"&gt;="&amp;TableWeeklySummary[[#This Row],[Desde]],TableDailySummary[Fecha],"&lt;="&amp;TableWeeklySummary[[#This Row],[Hasta]])</f>
        <v>0</v>
      </c>
      <c r="T350" s="11">
        <f>SUMIFS(TableDailySummary[Inversión google ads],TableDailySummary[Fecha],"&gt;="&amp;TableWeeklySummary[[#This Row],[Desde]],TableDailySummary[Fecha],"&lt;="&amp;TableWeeklySummary[[#This Row],[Hasta]])</f>
        <v>0</v>
      </c>
      <c r="U350" s="11">
        <f>SUMIFS(TableDailySummary[Ventas google ads],TableDailySummary[Fecha],"&gt;="&amp;TableWeeklySummary[[#This Row],[Desde]],TableDailySummary[Fecha],"&lt;="&amp;TableWeeklySummary[[#This Row],[Hasta]])</f>
        <v>0</v>
      </c>
      <c r="V350" s="11">
        <f>SUMIFS(TableDailySummary[Inversión meta ads],TableDailySummary[Fecha],"&gt;="&amp;TableWeeklySummary[[#This Row],[Desde]],TableDailySummary[Fecha],"&lt;="&amp;TableWeeklySummary[[#This Row],[Hasta]])</f>
        <v>0</v>
      </c>
      <c r="W350" s="11">
        <f>SUMIFS(TableDailySummary[Ventas meta ads],TableDailySummary[Fecha],"&gt;="&amp;TableWeeklySummary[[#This Row],[Desde]],TableDailySummary[Fecha],"&lt;="&amp;TableWeeklySummary[[#This Row],[Hasta]])</f>
        <v>0</v>
      </c>
      <c r="X350" s="11">
        <f>TableWeeklySummary[[#This Row],[Inversión google ads]]+TableWeeklySummary[[#This Row],[Inversión meta ads]]</f>
        <v>0</v>
      </c>
      <c r="Y350" s="11">
        <f>TableWeeklySummary[[#This Row],[Ventas google ads]]+TableWeeklySummary[[#This Row],[Ventas meta ads]]</f>
        <v>0</v>
      </c>
      <c r="Z350" s="14">
        <f>IFERROR(TableWeeklySummary[[#This Row],[Ventas publicidad]]/TableWeeklySummary[[#This Row],[Inversión publicidad]],0)</f>
        <v>0</v>
      </c>
      <c r="AA350" s="14">
        <f>IFERROR(TableWeeklySummary[[#This Row],[Ventas primer cliente]]/TableWeeklySummary[[#This Row],[Inversión publicidad]],0)</f>
        <v>0</v>
      </c>
      <c r="AB350" s="14"/>
      <c r="AC350" s="11"/>
      <c r="AI35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0" s="11">
        <f>SUMIFS(TableDailySummary[Costo de ventas registrado],TableDailySummary[Fecha],"&gt;="&amp;TableWeeklySummary[[#This Row],[Desde]],TableDailySummary[Fecha],"&lt;="&amp;TableWeeklySummary[[#This Row],[Hasta]])</f>
        <v>0</v>
      </c>
      <c r="AK350" s="11">
        <f>SUMIFS(TableDailySummary[Utilidad bruta],TableDailySummary[Fecha],"&gt;="&amp;TableWeeklySummary[[#This Row],[Desde]],TableDailySummary[Fecha],"&lt;="&amp;TableWeeklySummary[[#This Row],[Hasta]])</f>
        <v>0</v>
      </c>
      <c r="AL350" s="18">
        <f>IFERROR(TableWeeklySummary[[#This Row],[Utilidad bruta]]/TableWeeklySummary[[#This Row],[Ventas netas con costo registrado]],0)</f>
        <v>0</v>
      </c>
    </row>
    <row r="351" spans="2:38" x14ac:dyDescent="0.2">
      <c r="B351" s="16">
        <f>_xlfn.ISOWEEKNUM(TableWeeklySummary[[#This Row],[Hasta]])</f>
        <v>27</v>
      </c>
      <c r="C351" s="6">
        <f t="shared" si="7"/>
        <v>46934</v>
      </c>
      <c r="D351" s="6">
        <f>TableWeeklySummary[[#This Row],[Desde]]+7-1</f>
        <v>46940</v>
      </c>
      <c r="E351" s="11">
        <f>SUMIFS(TableDailySummary[Ventas netas totales],TableDailySummary[Fecha],"&gt;="&amp;TableWeeklySummary[[#This Row],[Desde]],TableDailySummary[Fecha],"&lt;="&amp;TableWeeklySummary[[#This Row],[Hasta]])</f>
        <v>0</v>
      </c>
      <c r="F351" s="11">
        <f>SUMIFS(TableDailySummary[Órdenes totales],TableDailySummary[Fecha],"&gt;="&amp;TableWeeklySummary[[#This Row],[Desde]],TableDailySummary[Fecha],"&lt;="&amp;TableWeeklySummary[[#This Row],[Hasta]])</f>
        <v>0</v>
      </c>
      <c r="G351" s="11">
        <f>IFERROR(TableWeeklySummary[[#This Row],[Ventas netas totales]]/TableWeeklySummary[[#This Row],[Órdenes totales]],0)</f>
        <v>0</v>
      </c>
      <c r="H35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1" s="11">
        <f>TableWeeklySummary[[#This Row],[Órden promedio totales]]*TableWeeklySummary[[#This Row],[CR totales]]</f>
        <v>0</v>
      </c>
      <c r="J351" s="11">
        <f>SUMIFS(TableDailySummary[Ventas primer cliente],TableDailySummary[Fecha],"&gt;="&amp;TableWeeklySummary[[#This Row],[Desde]],TableDailySummary[Fecha],"&lt;="&amp;TableWeeklySummary[[#This Row],[Hasta]])</f>
        <v>0</v>
      </c>
      <c r="K351" s="11">
        <f>SUMIFS(TableDailySummary[Órdenes primer cliente],TableDailySummary[Fecha],"&gt;="&amp;TableWeeklySummary[[#This Row],[Desde]],TableDailySummary[Fecha],"&lt;="&amp;TableWeeklySummary[[#This Row],[Hasta]])</f>
        <v>0</v>
      </c>
      <c r="L351" s="11">
        <f>SUMIFS(TableDailySummary[Online Store_net_sales],TableDailySummary[Fecha],"&gt;="&amp;TableWeeklySummary[[#This Row],[Desde]],TableDailySummary[Fecha],"&lt;="&amp;TableWeeklySummary[[#This Row],[Hasta]])</f>
        <v>0</v>
      </c>
      <c r="M351" s="11">
        <f>SUMIFS(TableDailySummary[Online Store_orders],TableDailySummary[Fecha],"&gt;="&amp;TableWeeklySummary[[#This Row],[Desde]],TableDailySummary[Fecha],"&lt;="&amp;TableWeeklySummary[[#This Row],[Hasta]])</f>
        <v>0</v>
      </c>
      <c r="N351" s="11">
        <f>SUMIFS(TableDailySummary[Tienda 81_net_sales],TableDailySummary[Fecha],"&gt;="&amp;TableWeeklySummary[[#This Row],[Desde]],TableDailySummary[Fecha],"&lt;="&amp;TableWeeklySummary[[#This Row],[Hasta]])</f>
        <v>0</v>
      </c>
      <c r="O351" s="11">
        <f>SUMIFS(TableDailySummary[Tienda 81_orders],TableDailySummary[Fecha],"&gt;="&amp;TableWeeklySummary[[#This Row],[Desde]],TableDailySummary[Fecha],"&lt;="&amp;TableWeeklySummary[[#This Row],[Hasta]])</f>
        <v>0</v>
      </c>
      <c r="P351" s="11">
        <f>SUMIFS(TableDailySummary[Rappi_net_sales],TableDailySummary[Fecha],"&gt;="&amp;TableWeeklySummary[[#This Row],[Desde]],TableDailySummary[Fecha],"&lt;="&amp;TableWeeklySummary[[#This Row],[Hasta]])</f>
        <v>0</v>
      </c>
      <c r="Q351" s="11">
        <f>SUMIFS(TableDailySummary[Rappi_orders],TableDailySummary[Fecha],"&gt;="&amp;TableWeeklySummary[[#This Row],[Desde]],TableDailySummary[Fecha],"&lt;="&amp;TableWeeklySummary[[#This Row],[Hasta]])</f>
        <v>0</v>
      </c>
      <c r="R35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1" s="11">
        <f>SUMIFS(TableDailySummary[Corporativo no tienda_orders],TableDailySummary[Fecha],"&gt;="&amp;TableWeeklySummary[[#This Row],[Desde]],TableDailySummary[Fecha],"&lt;="&amp;TableWeeklySummary[[#This Row],[Hasta]])</f>
        <v>0</v>
      </c>
      <c r="T351" s="11">
        <f>SUMIFS(TableDailySummary[Inversión google ads],TableDailySummary[Fecha],"&gt;="&amp;TableWeeklySummary[[#This Row],[Desde]],TableDailySummary[Fecha],"&lt;="&amp;TableWeeklySummary[[#This Row],[Hasta]])</f>
        <v>0</v>
      </c>
      <c r="U351" s="11">
        <f>SUMIFS(TableDailySummary[Ventas google ads],TableDailySummary[Fecha],"&gt;="&amp;TableWeeklySummary[[#This Row],[Desde]],TableDailySummary[Fecha],"&lt;="&amp;TableWeeklySummary[[#This Row],[Hasta]])</f>
        <v>0</v>
      </c>
      <c r="V351" s="11">
        <f>SUMIFS(TableDailySummary[Inversión meta ads],TableDailySummary[Fecha],"&gt;="&amp;TableWeeklySummary[[#This Row],[Desde]],TableDailySummary[Fecha],"&lt;="&amp;TableWeeklySummary[[#This Row],[Hasta]])</f>
        <v>0</v>
      </c>
      <c r="W351" s="11">
        <f>SUMIFS(TableDailySummary[Ventas meta ads],TableDailySummary[Fecha],"&gt;="&amp;TableWeeklySummary[[#This Row],[Desde]],TableDailySummary[Fecha],"&lt;="&amp;TableWeeklySummary[[#This Row],[Hasta]])</f>
        <v>0</v>
      </c>
      <c r="X351" s="11">
        <f>TableWeeklySummary[[#This Row],[Inversión google ads]]+TableWeeklySummary[[#This Row],[Inversión meta ads]]</f>
        <v>0</v>
      </c>
      <c r="Y351" s="11">
        <f>TableWeeklySummary[[#This Row],[Ventas google ads]]+TableWeeklySummary[[#This Row],[Ventas meta ads]]</f>
        <v>0</v>
      </c>
      <c r="Z351" s="14">
        <f>IFERROR(TableWeeklySummary[[#This Row],[Ventas publicidad]]/TableWeeklySummary[[#This Row],[Inversión publicidad]],0)</f>
        <v>0</v>
      </c>
      <c r="AA351" s="14">
        <f>IFERROR(TableWeeklySummary[[#This Row],[Ventas primer cliente]]/TableWeeklySummary[[#This Row],[Inversión publicidad]],0)</f>
        <v>0</v>
      </c>
      <c r="AB351" s="14"/>
      <c r="AC351" s="11"/>
      <c r="AI35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1" s="11">
        <f>SUMIFS(TableDailySummary[Costo de ventas registrado],TableDailySummary[Fecha],"&gt;="&amp;TableWeeklySummary[[#This Row],[Desde]],TableDailySummary[Fecha],"&lt;="&amp;TableWeeklySummary[[#This Row],[Hasta]])</f>
        <v>0</v>
      </c>
      <c r="AK351" s="11">
        <f>SUMIFS(TableDailySummary[Utilidad bruta],TableDailySummary[Fecha],"&gt;="&amp;TableWeeklySummary[[#This Row],[Desde]],TableDailySummary[Fecha],"&lt;="&amp;TableWeeklySummary[[#This Row],[Hasta]])</f>
        <v>0</v>
      </c>
      <c r="AL351" s="18">
        <f>IFERROR(TableWeeklySummary[[#This Row],[Utilidad bruta]]/TableWeeklySummary[[#This Row],[Ventas netas con costo registrado]],0)</f>
        <v>0</v>
      </c>
    </row>
    <row r="352" spans="2:38" x14ac:dyDescent="0.2">
      <c r="B352" s="16">
        <f>_xlfn.ISOWEEKNUM(TableWeeklySummary[[#This Row],[Hasta]])</f>
        <v>28</v>
      </c>
      <c r="C352" s="6">
        <f t="shared" si="7"/>
        <v>46941</v>
      </c>
      <c r="D352" s="6">
        <f>TableWeeklySummary[[#This Row],[Desde]]+7-1</f>
        <v>46947</v>
      </c>
      <c r="E352" s="11">
        <f>SUMIFS(TableDailySummary[Ventas netas totales],TableDailySummary[Fecha],"&gt;="&amp;TableWeeklySummary[[#This Row],[Desde]],TableDailySummary[Fecha],"&lt;="&amp;TableWeeklySummary[[#This Row],[Hasta]])</f>
        <v>0</v>
      </c>
      <c r="F352" s="11">
        <f>SUMIFS(TableDailySummary[Órdenes totales],TableDailySummary[Fecha],"&gt;="&amp;TableWeeklySummary[[#This Row],[Desde]],TableDailySummary[Fecha],"&lt;="&amp;TableWeeklySummary[[#This Row],[Hasta]])</f>
        <v>0</v>
      </c>
      <c r="G352" s="11">
        <f>IFERROR(TableWeeklySummary[[#This Row],[Ventas netas totales]]/TableWeeklySummary[[#This Row],[Órdenes totales]],0)</f>
        <v>0</v>
      </c>
      <c r="H35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2" s="11">
        <f>TableWeeklySummary[[#This Row],[Órden promedio totales]]*TableWeeklySummary[[#This Row],[CR totales]]</f>
        <v>0</v>
      </c>
      <c r="J352" s="11">
        <f>SUMIFS(TableDailySummary[Ventas primer cliente],TableDailySummary[Fecha],"&gt;="&amp;TableWeeklySummary[[#This Row],[Desde]],TableDailySummary[Fecha],"&lt;="&amp;TableWeeklySummary[[#This Row],[Hasta]])</f>
        <v>0</v>
      </c>
      <c r="K352" s="11">
        <f>SUMIFS(TableDailySummary[Órdenes primer cliente],TableDailySummary[Fecha],"&gt;="&amp;TableWeeklySummary[[#This Row],[Desde]],TableDailySummary[Fecha],"&lt;="&amp;TableWeeklySummary[[#This Row],[Hasta]])</f>
        <v>0</v>
      </c>
      <c r="L352" s="11">
        <f>SUMIFS(TableDailySummary[Online Store_net_sales],TableDailySummary[Fecha],"&gt;="&amp;TableWeeklySummary[[#This Row],[Desde]],TableDailySummary[Fecha],"&lt;="&amp;TableWeeklySummary[[#This Row],[Hasta]])</f>
        <v>0</v>
      </c>
      <c r="M352" s="11">
        <f>SUMIFS(TableDailySummary[Online Store_orders],TableDailySummary[Fecha],"&gt;="&amp;TableWeeklySummary[[#This Row],[Desde]],TableDailySummary[Fecha],"&lt;="&amp;TableWeeklySummary[[#This Row],[Hasta]])</f>
        <v>0</v>
      </c>
      <c r="N352" s="11">
        <f>SUMIFS(TableDailySummary[Tienda 81_net_sales],TableDailySummary[Fecha],"&gt;="&amp;TableWeeklySummary[[#This Row],[Desde]],TableDailySummary[Fecha],"&lt;="&amp;TableWeeklySummary[[#This Row],[Hasta]])</f>
        <v>0</v>
      </c>
      <c r="O352" s="11">
        <f>SUMIFS(TableDailySummary[Tienda 81_orders],TableDailySummary[Fecha],"&gt;="&amp;TableWeeklySummary[[#This Row],[Desde]],TableDailySummary[Fecha],"&lt;="&amp;TableWeeklySummary[[#This Row],[Hasta]])</f>
        <v>0</v>
      </c>
      <c r="P352" s="11">
        <f>SUMIFS(TableDailySummary[Rappi_net_sales],TableDailySummary[Fecha],"&gt;="&amp;TableWeeklySummary[[#This Row],[Desde]],TableDailySummary[Fecha],"&lt;="&amp;TableWeeklySummary[[#This Row],[Hasta]])</f>
        <v>0</v>
      </c>
      <c r="Q352" s="11">
        <f>SUMIFS(TableDailySummary[Rappi_orders],TableDailySummary[Fecha],"&gt;="&amp;TableWeeklySummary[[#This Row],[Desde]],TableDailySummary[Fecha],"&lt;="&amp;TableWeeklySummary[[#This Row],[Hasta]])</f>
        <v>0</v>
      </c>
      <c r="R35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2" s="11">
        <f>SUMIFS(TableDailySummary[Corporativo no tienda_orders],TableDailySummary[Fecha],"&gt;="&amp;TableWeeklySummary[[#This Row],[Desde]],TableDailySummary[Fecha],"&lt;="&amp;TableWeeklySummary[[#This Row],[Hasta]])</f>
        <v>0</v>
      </c>
      <c r="T352" s="11">
        <f>SUMIFS(TableDailySummary[Inversión google ads],TableDailySummary[Fecha],"&gt;="&amp;TableWeeklySummary[[#This Row],[Desde]],TableDailySummary[Fecha],"&lt;="&amp;TableWeeklySummary[[#This Row],[Hasta]])</f>
        <v>0</v>
      </c>
      <c r="U352" s="11">
        <f>SUMIFS(TableDailySummary[Ventas google ads],TableDailySummary[Fecha],"&gt;="&amp;TableWeeklySummary[[#This Row],[Desde]],TableDailySummary[Fecha],"&lt;="&amp;TableWeeklySummary[[#This Row],[Hasta]])</f>
        <v>0</v>
      </c>
      <c r="V352" s="11">
        <f>SUMIFS(TableDailySummary[Inversión meta ads],TableDailySummary[Fecha],"&gt;="&amp;TableWeeklySummary[[#This Row],[Desde]],TableDailySummary[Fecha],"&lt;="&amp;TableWeeklySummary[[#This Row],[Hasta]])</f>
        <v>0</v>
      </c>
      <c r="W352" s="11">
        <f>SUMIFS(TableDailySummary[Ventas meta ads],TableDailySummary[Fecha],"&gt;="&amp;TableWeeklySummary[[#This Row],[Desde]],TableDailySummary[Fecha],"&lt;="&amp;TableWeeklySummary[[#This Row],[Hasta]])</f>
        <v>0</v>
      </c>
      <c r="X352" s="11">
        <f>TableWeeklySummary[[#This Row],[Inversión google ads]]+TableWeeklySummary[[#This Row],[Inversión meta ads]]</f>
        <v>0</v>
      </c>
      <c r="Y352" s="11">
        <f>TableWeeklySummary[[#This Row],[Ventas google ads]]+TableWeeklySummary[[#This Row],[Ventas meta ads]]</f>
        <v>0</v>
      </c>
      <c r="Z352" s="14">
        <f>IFERROR(TableWeeklySummary[[#This Row],[Ventas publicidad]]/TableWeeklySummary[[#This Row],[Inversión publicidad]],0)</f>
        <v>0</v>
      </c>
      <c r="AA352" s="14">
        <f>IFERROR(TableWeeklySummary[[#This Row],[Ventas primer cliente]]/TableWeeklySummary[[#This Row],[Inversión publicidad]],0)</f>
        <v>0</v>
      </c>
      <c r="AB352" s="14"/>
      <c r="AC352" s="11"/>
      <c r="AI35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2" s="11">
        <f>SUMIFS(TableDailySummary[Costo de ventas registrado],TableDailySummary[Fecha],"&gt;="&amp;TableWeeklySummary[[#This Row],[Desde]],TableDailySummary[Fecha],"&lt;="&amp;TableWeeklySummary[[#This Row],[Hasta]])</f>
        <v>0</v>
      </c>
      <c r="AK352" s="11">
        <f>SUMIFS(TableDailySummary[Utilidad bruta],TableDailySummary[Fecha],"&gt;="&amp;TableWeeklySummary[[#This Row],[Desde]],TableDailySummary[Fecha],"&lt;="&amp;TableWeeklySummary[[#This Row],[Hasta]])</f>
        <v>0</v>
      </c>
      <c r="AL352" s="18">
        <f>IFERROR(TableWeeklySummary[[#This Row],[Utilidad bruta]]/TableWeeklySummary[[#This Row],[Ventas netas con costo registrado]],0)</f>
        <v>0</v>
      </c>
    </row>
    <row r="353" spans="2:38" x14ac:dyDescent="0.2">
      <c r="B353" s="16">
        <f>_xlfn.ISOWEEKNUM(TableWeeklySummary[[#This Row],[Hasta]])</f>
        <v>29</v>
      </c>
      <c r="C353" s="6">
        <f t="shared" si="7"/>
        <v>46948</v>
      </c>
      <c r="D353" s="6">
        <f>TableWeeklySummary[[#This Row],[Desde]]+7-1</f>
        <v>46954</v>
      </c>
      <c r="E353" s="11">
        <f>SUMIFS(TableDailySummary[Ventas netas totales],TableDailySummary[Fecha],"&gt;="&amp;TableWeeklySummary[[#This Row],[Desde]],TableDailySummary[Fecha],"&lt;="&amp;TableWeeklySummary[[#This Row],[Hasta]])</f>
        <v>0</v>
      </c>
      <c r="F353" s="11">
        <f>SUMIFS(TableDailySummary[Órdenes totales],TableDailySummary[Fecha],"&gt;="&amp;TableWeeklySummary[[#This Row],[Desde]],TableDailySummary[Fecha],"&lt;="&amp;TableWeeklySummary[[#This Row],[Hasta]])</f>
        <v>0</v>
      </c>
      <c r="G353" s="11">
        <f>IFERROR(TableWeeklySummary[[#This Row],[Ventas netas totales]]/TableWeeklySummary[[#This Row],[Órdenes totales]],0)</f>
        <v>0</v>
      </c>
      <c r="H35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3" s="11">
        <f>TableWeeklySummary[[#This Row],[Órden promedio totales]]*TableWeeklySummary[[#This Row],[CR totales]]</f>
        <v>0</v>
      </c>
      <c r="J353" s="11">
        <f>SUMIFS(TableDailySummary[Ventas primer cliente],TableDailySummary[Fecha],"&gt;="&amp;TableWeeklySummary[[#This Row],[Desde]],TableDailySummary[Fecha],"&lt;="&amp;TableWeeklySummary[[#This Row],[Hasta]])</f>
        <v>0</v>
      </c>
      <c r="K353" s="11">
        <f>SUMIFS(TableDailySummary[Órdenes primer cliente],TableDailySummary[Fecha],"&gt;="&amp;TableWeeklySummary[[#This Row],[Desde]],TableDailySummary[Fecha],"&lt;="&amp;TableWeeklySummary[[#This Row],[Hasta]])</f>
        <v>0</v>
      </c>
      <c r="L353" s="11">
        <f>SUMIFS(TableDailySummary[Online Store_net_sales],TableDailySummary[Fecha],"&gt;="&amp;TableWeeklySummary[[#This Row],[Desde]],TableDailySummary[Fecha],"&lt;="&amp;TableWeeklySummary[[#This Row],[Hasta]])</f>
        <v>0</v>
      </c>
      <c r="M353" s="11">
        <f>SUMIFS(TableDailySummary[Online Store_orders],TableDailySummary[Fecha],"&gt;="&amp;TableWeeklySummary[[#This Row],[Desde]],TableDailySummary[Fecha],"&lt;="&amp;TableWeeklySummary[[#This Row],[Hasta]])</f>
        <v>0</v>
      </c>
      <c r="N353" s="11">
        <f>SUMIFS(TableDailySummary[Tienda 81_net_sales],TableDailySummary[Fecha],"&gt;="&amp;TableWeeklySummary[[#This Row],[Desde]],TableDailySummary[Fecha],"&lt;="&amp;TableWeeklySummary[[#This Row],[Hasta]])</f>
        <v>0</v>
      </c>
      <c r="O353" s="11">
        <f>SUMIFS(TableDailySummary[Tienda 81_orders],TableDailySummary[Fecha],"&gt;="&amp;TableWeeklySummary[[#This Row],[Desde]],TableDailySummary[Fecha],"&lt;="&amp;TableWeeklySummary[[#This Row],[Hasta]])</f>
        <v>0</v>
      </c>
      <c r="P353" s="11">
        <f>SUMIFS(TableDailySummary[Rappi_net_sales],TableDailySummary[Fecha],"&gt;="&amp;TableWeeklySummary[[#This Row],[Desde]],TableDailySummary[Fecha],"&lt;="&amp;TableWeeklySummary[[#This Row],[Hasta]])</f>
        <v>0</v>
      </c>
      <c r="Q353" s="11">
        <f>SUMIFS(TableDailySummary[Rappi_orders],TableDailySummary[Fecha],"&gt;="&amp;TableWeeklySummary[[#This Row],[Desde]],TableDailySummary[Fecha],"&lt;="&amp;TableWeeklySummary[[#This Row],[Hasta]])</f>
        <v>0</v>
      </c>
      <c r="R35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3" s="11">
        <f>SUMIFS(TableDailySummary[Corporativo no tienda_orders],TableDailySummary[Fecha],"&gt;="&amp;TableWeeklySummary[[#This Row],[Desde]],TableDailySummary[Fecha],"&lt;="&amp;TableWeeklySummary[[#This Row],[Hasta]])</f>
        <v>0</v>
      </c>
      <c r="T353" s="11">
        <f>SUMIFS(TableDailySummary[Inversión google ads],TableDailySummary[Fecha],"&gt;="&amp;TableWeeklySummary[[#This Row],[Desde]],TableDailySummary[Fecha],"&lt;="&amp;TableWeeklySummary[[#This Row],[Hasta]])</f>
        <v>0</v>
      </c>
      <c r="U353" s="11">
        <f>SUMIFS(TableDailySummary[Ventas google ads],TableDailySummary[Fecha],"&gt;="&amp;TableWeeklySummary[[#This Row],[Desde]],TableDailySummary[Fecha],"&lt;="&amp;TableWeeklySummary[[#This Row],[Hasta]])</f>
        <v>0</v>
      </c>
      <c r="V353" s="11">
        <f>SUMIFS(TableDailySummary[Inversión meta ads],TableDailySummary[Fecha],"&gt;="&amp;TableWeeklySummary[[#This Row],[Desde]],TableDailySummary[Fecha],"&lt;="&amp;TableWeeklySummary[[#This Row],[Hasta]])</f>
        <v>0</v>
      </c>
      <c r="W353" s="11">
        <f>SUMIFS(TableDailySummary[Ventas meta ads],TableDailySummary[Fecha],"&gt;="&amp;TableWeeklySummary[[#This Row],[Desde]],TableDailySummary[Fecha],"&lt;="&amp;TableWeeklySummary[[#This Row],[Hasta]])</f>
        <v>0</v>
      </c>
      <c r="X353" s="11">
        <f>TableWeeklySummary[[#This Row],[Inversión google ads]]+TableWeeklySummary[[#This Row],[Inversión meta ads]]</f>
        <v>0</v>
      </c>
      <c r="Y353" s="11">
        <f>TableWeeklySummary[[#This Row],[Ventas google ads]]+TableWeeklySummary[[#This Row],[Ventas meta ads]]</f>
        <v>0</v>
      </c>
      <c r="Z353" s="14">
        <f>IFERROR(TableWeeklySummary[[#This Row],[Ventas publicidad]]/TableWeeklySummary[[#This Row],[Inversión publicidad]],0)</f>
        <v>0</v>
      </c>
      <c r="AA353" s="14">
        <f>IFERROR(TableWeeklySummary[[#This Row],[Ventas primer cliente]]/TableWeeklySummary[[#This Row],[Inversión publicidad]],0)</f>
        <v>0</v>
      </c>
      <c r="AB353" s="14"/>
      <c r="AC353" s="11"/>
      <c r="AI35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3" s="11">
        <f>SUMIFS(TableDailySummary[Costo de ventas registrado],TableDailySummary[Fecha],"&gt;="&amp;TableWeeklySummary[[#This Row],[Desde]],TableDailySummary[Fecha],"&lt;="&amp;TableWeeklySummary[[#This Row],[Hasta]])</f>
        <v>0</v>
      </c>
      <c r="AK353" s="11">
        <f>SUMIFS(TableDailySummary[Utilidad bruta],TableDailySummary[Fecha],"&gt;="&amp;TableWeeklySummary[[#This Row],[Desde]],TableDailySummary[Fecha],"&lt;="&amp;TableWeeklySummary[[#This Row],[Hasta]])</f>
        <v>0</v>
      </c>
      <c r="AL353" s="18">
        <f>IFERROR(TableWeeklySummary[[#This Row],[Utilidad bruta]]/TableWeeklySummary[[#This Row],[Ventas netas con costo registrado]],0)</f>
        <v>0</v>
      </c>
    </row>
    <row r="354" spans="2:38" x14ac:dyDescent="0.2">
      <c r="B354" s="16">
        <f>_xlfn.ISOWEEKNUM(TableWeeklySummary[[#This Row],[Hasta]])</f>
        <v>30</v>
      </c>
      <c r="C354" s="6">
        <f t="shared" si="7"/>
        <v>46955</v>
      </c>
      <c r="D354" s="6">
        <f>TableWeeklySummary[[#This Row],[Desde]]+7-1</f>
        <v>46961</v>
      </c>
      <c r="E354" s="11">
        <f>SUMIFS(TableDailySummary[Ventas netas totales],TableDailySummary[Fecha],"&gt;="&amp;TableWeeklySummary[[#This Row],[Desde]],TableDailySummary[Fecha],"&lt;="&amp;TableWeeklySummary[[#This Row],[Hasta]])</f>
        <v>0</v>
      </c>
      <c r="F354" s="11">
        <f>SUMIFS(TableDailySummary[Órdenes totales],TableDailySummary[Fecha],"&gt;="&amp;TableWeeklySummary[[#This Row],[Desde]],TableDailySummary[Fecha],"&lt;="&amp;TableWeeklySummary[[#This Row],[Hasta]])</f>
        <v>0</v>
      </c>
      <c r="G354" s="11">
        <f>IFERROR(TableWeeklySummary[[#This Row],[Ventas netas totales]]/TableWeeklySummary[[#This Row],[Órdenes totales]],0)</f>
        <v>0</v>
      </c>
      <c r="H35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4" s="11">
        <f>TableWeeklySummary[[#This Row],[Órden promedio totales]]*TableWeeklySummary[[#This Row],[CR totales]]</f>
        <v>0</v>
      </c>
      <c r="J354" s="11">
        <f>SUMIFS(TableDailySummary[Ventas primer cliente],TableDailySummary[Fecha],"&gt;="&amp;TableWeeklySummary[[#This Row],[Desde]],TableDailySummary[Fecha],"&lt;="&amp;TableWeeklySummary[[#This Row],[Hasta]])</f>
        <v>0</v>
      </c>
      <c r="K354" s="11">
        <f>SUMIFS(TableDailySummary[Órdenes primer cliente],TableDailySummary[Fecha],"&gt;="&amp;TableWeeklySummary[[#This Row],[Desde]],TableDailySummary[Fecha],"&lt;="&amp;TableWeeklySummary[[#This Row],[Hasta]])</f>
        <v>0</v>
      </c>
      <c r="L354" s="11">
        <f>SUMIFS(TableDailySummary[Online Store_net_sales],TableDailySummary[Fecha],"&gt;="&amp;TableWeeklySummary[[#This Row],[Desde]],TableDailySummary[Fecha],"&lt;="&amp;TableWeeklySummary[[#This Row],[Hasta]])</f>
        <v>0</v>
      </c>
      <c r="M354" s="11">
        <f>SUMIFS(TableDailySummary[Online Store_orders],TableDailySummary[Fecha],"&gt;="&amp;TableWeeklySummary[[#This Row],[Desde]],TableDailySummary[Fecha],"&lt;="&amp;TableWeeklySummary[[#This Row],[Hasta]])</f>
        <v>0</v>
      </c>
      <c r="N354" s="11">
        <f>SUMIFS(TableDailySummary[Tienda 81_net_sales],TableDailySummary[Fecha],"&gt;="&amp;TableWeeklySummary[[#This Row],[Desde]],TableDailySummary[Fecha],"&lt;="&amp;TableWeeklySummary[[#This Row],[Hasta]])</f>
        <v>0</v>
      </c>
      <c r="O354" s="11">
        <f>SUMIFS(TableDailySummary[Tienda 81_orders],TableDailySummary[Fecha],"&gt;="&amp;TableWeeklySummary[[#This Row],[Desde]],TableDailySummary[Fecha],"&lt;="&amp;TableWeeklySummary[[#This Row],[Hasta]])</f>
        <v>0</v>
      </c>
      <c r="P354" s="11">
        <f>SUMIFS(TableDailySummary[Rappi_net_sales],TableDailySummary[Fecha],"&gt;="&amp;TableWeeklySummary[[#This Row],[Desde]],TableDailySummary[Fecha],"&lt;="&amp;TableWeeklySummary[[#This Row],[Hasta]])</f>
        <v>0</v>
      </c>
      <c r="Q354" s="11">
        <f>SUMIFS(TableDailySummary[Rappi_orders],TableDailySummary[Fecha],"&gt;="&amp;TableWeeklySummary[[#This Row],[Desde]],TableDailySummary[Fecha],"&lt;="&amp;TableWeeklySummary[[#This Row],[Hasta]])</f>
        <v>0</v>
      </c>
      <c r="R35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4" s="11">
        <f>SUMIFS(TableDailySummary[Corporativo no tienda_orders],TableDailySummary[Fecha],"&gt;="&amp;TableWeeklySummary[[#This Row],[Desde]],TableDailySummary[Fecha],"&lt;="&amp;TableWeeklySummary[[#This Row],[Hasta]])</f>
        <v>0</v>
      </c>
      <c r="T354" s="11">
        <f>SUMIFS(TableDailySummary[Inversión google ads],TableDailySummary[Fecha],"&gt;="&amp;TableWeeklySummary[[#This Row],[Desde]],TableDailySummary[Fecha],"&lt;="&amp;TableWeeklySummary[[#This Row],[Hasta]])</f>
        <v>0</v>
      </c>
      <c r="U354" s="11">
        <f>SUMIFS(TableDailySummary[Ventas google ads],TableDailySummary[Fecha],"&gt;="&amp;TableWeeklySummary[[#This Row],[Desde]],TableDailySummary[Fecha],"&lt;="&amp;TableWeeklySummary[[#This Row],[Hasta]])</f>
        <v>0</v>
      </c>
      <c r="V354" s="11">
        <f>SUMIFS(TableDailySummary[Inversión meta ads],TableDailySummary[Fecha],"&gt;="&amp;TableWeeklySummary[[#This Row],[Desde]],TableDailySummary[Fecha],"&lt;="&amp;TableWeeklySummary[[#This Row],[Hasta]])</f>
        <v>0</v>
      </c>
      <c r="W354" s="11">
        <f>SUMIFS(TableDailySummary[Ventas meta ads],TableDailySummary[Fecha],"&gt;="&amp;TableWeeklySummary[[#This Row],[Desde]],TableDailySummary[Fecha],"&lt;="&amp;TableWeeklySummary[[#This Row],[Hasta]])</f>
        <v>0</v>
      </c>
      <c r="X354" s="11">
        <f>TableWeeklySummary[[#This Row],[Inversión google ads]]+TableWeeklySummary[[#This Row],[Inversión meta ads]]</f>
        <v>0</v>
      </c>
      <c r="Y354" s="11">
        <f>TableWeeklySummary[[#This Row],[Ventas google ads]]+TableWeeklySummary[[#This Row],[Ventas meta ads]]</f>
        <v>0</v>
      </c>
      <c r="Z354" s="14">
        <f>IFERROR(TableWeeklySummary[[#This Row],[Ventas publicidad]]/TableWeeklySummary[[#This Row],[Inversión publicidad]],0)</f>
        <v>0</v>
      </c>
      <c r="AA354" s="14">
        <f>IFERROR(TableWeeklySummary[[#This Row],[Ventas primer cliente]]/TableWeeklySummary[[#This Row],[Inversión publicidad]],0)</f>
        <v>0</v>
      </c>
      <c r="AB354" s="14"/>
      <c r="AC354" s="11"/>
      <c r="AI35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4" s="11">
        <f>SUMIFS(TableDailySummary[Costo de ventas registrado],TableDailySummary[Fecha],"&gt;="&amp;TableWeeklySummary[[#This Row],[Desde]],TableDailySummary[Fecha],"&lt;="&amp;TableWeeklySummary[[#This Row],[Hasta]])</f>
        <v>0</v>
      </c>
      <c r="AK354" s="11">
        <f>SUMIFS(TableDailySummary[Utilidad bruta],TableDailySummary[Fecha],"&gt;="&amp;TableWeeklySummary[[#This Row],[Desde]],TableDailySummary[Fecha],"&lt;="&amp;TableWeeklySummary[[#This Row],[Hasta]])</f>
        <v>0</v>
      </c>
      <c r="AL354" s="18">
        <f>IFERROR(TableWeeklySummary[[#This Row],[Utilidad bruta]]/TableWeeklySummary[[#This Row],[Ventas netas con costo registrado]],0)</f>
        <v>0</v>
      </c>
    </row>
    <row r="355" spans="2:38" x14ac:dyDescent="0.2">
      <c r="B355" s="16">
        <f>_xlfn.ISOWEEKNUM(TableWeeklySummary[[#This Row],[Hasta]])</f>
        <v>31</v>
      </c>
      <c r="C355" s="6">
        <f t="shared" si="7"/>
        <v>46962</v>
      </c>
      <c r="D355" s="6">
        <f>TableWeeklySummary[[#This Row],[Desde]]+7-1</f>
        <v>46968</v>
      </c>
      <c r="E355" s="11">
        <f>SUMIFS(TableDailySummary[Ventas netas totales],TableDailySummary[Fecha],"&gt;="&amp;TableWeeklySummary[[#This Row],[Desde]],TableDailySummary[Fecha],"&lt;="&amp;TableWeeklySummary[[#This Row],[Hasta]])</f>
        <v>0</v>
      </c>
      <c r="F355" s="11">
        <f>SUMIFS(TableDailySummary[Órdenes totales],TableDailySummary[Fecha],"&gt;="&amp;TableWeeklySummary[[#This Row],[Desde]],TableDailySummary[Fecha],"&lt;="&amp;TableWeeklySummary[[#This Row],[Hasta]])</f>
        <v>0</v>
      </c>
      <c r="G355" s="11">
        <f>IFERROR(TableWeeklySummary[[#This Row],[Ventas netas totales]]/TableWeeklySummary[[#This Row],[Órdenes totales]],0)</f>
        <v>0</v>
      </c>
      <c r="H35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5" s="11">
        <f>TableWeeklySummary[[#This Row],[Órden promedio totales]]*TableWeeklySummary[[#This Row],[CR totales]]</f>
        <v>0</v>
      </c>
      <c r="J355" s="11">
        <f>SUMIFS(TableDailySummary[Ventas primer cliente],TableDailySummary[Fecha],"&gt;="&amp;TableWeeklySummary[[#This Row],[Desde]],TableDailySummary[Fecha],"&lt;="&amp;TableWeeklySummary[[#This Row],[Hasta]])</f>
        <v>0</v>
      </c>
      <c r="K355" s="11">
        <f>SUMIFS(TableDailySummary[Órdenes primer cliente],TableDailySummary[Fecha],"&gt;="&amp;TableWeeklySummary[[#This Row],[Desde]],TableDailySummary[Fecha],"&lt;="&amp;TableWeeklySummary[[#This Row],[Hasta]])</f>
        <v>0</v>
      </c>
      <c r="L355" s="11">
        <f>SUMIFS(TableDailySummary[Online Store_net_sales],TableDailySummary[Fecha],"&gt;="&amp;TableWeeklySummary[[#This Row],[Desde]],TableDailySummary[Fecha],"&lt;="&amp;TableWeeklySummary[[#This Row],[Hasta]])</f>
        <v>0</v>
      </c>
      <c r="M355" s="11">
        <f>SUMIFS(TableDailySummary[Online Store_orders],TableDailySummary[Fecha],"&gt;="&amp;TableWeeklySummary[[#This Row],[Desde]],TableDailySummary[Fecha],"&lt;="&amp;TableWeeklySummary[[#This Row],[Hasta]])</f>
        <v>0</v>
      </c>
      <c r="N355" s="11">
        <f>SUMIFS(TableDailySummary[Tienda 81_net_sales],TableDailySummary[Fecha],"&gt;="&amp;TableWeeklySummary[[#This Row],[Desde]],TableDailySummary[Fecha],"&lt;="&amp;TableWeeklySummary[[#This Row],[Hasta]])</f>
        <v>0</v>
      </c>
      <c r="O355" s="11">
        <f>SUMIFS(TableDailySummary[Tienda 81_orders],TableDailySummary[Fecha],"&gt;="&amp;TableWeeklySummary[[#This Row],[Desde]],TableDailySummary[Fecha],"&lt;="&amp;TableWeeklySummary[[#This Row],[Hasta]])</f>
        <v>0</v>
      </c>
      <c r="P355" s="11">
        <f>SUMIFS(TableDailySummary[Rappi_net_sales],TableDailySummary[Fecha],"&gt;="&amp;TableWeeklySummary[[#This Row],[Desde]],TableDailySummary[Fecha],"&lt;="&amp;TableWeeklySummary[[#This Row],[Hasta]])</f>
        <v>0</v>
      </c>
      <c r="Q355" s="11">
        <f>SUMIFS(TableDailySummary[Rappi_orders],TableDailySummary[Fecha],"&gt;="&amp;TableWeeklySummary[[#This Row],[Desde]],TableDailySummary[Fecha],"&lt;="&amp;TableWeeklySummary[[#This Row],[Hasta]])</f>
        <v>0</v>
      </c>
      <c r="R35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5" s="11">
        <f>SUMIFS(TableDailySummary[Corporativo no tienda_orders],TableDailySummary[Fecha],"&gt;="&amp;TableWeeklySummary[[#This Row],[Desde]],TableDailySummary[Fecha],"&lt;="&amp;TableWeeklySummary[[#This Row],[Hasta]])</f>
        <v>0</v>
      </c>
      <c r="T355" s="11">
        <f>SUMIFS(TableDailySummary[Inversión google ads],TableDailySummary[Fecha],"&gt;="&amp;TableWeeklySummary[[#This Row],[Desde]],TableDailySummary[Fecha],"&lt;="&amp;TableWeeklySummary[[#This Row],[Hasta]])</f>
        <v>0</v>
      </c>
      <c r="U355" s="11">
        <f>SUMIFS(TableDailySummary[Ventas google ads],TableDailySummary[Fecha],"&gt;="&amp;TableWeeklySummary[[#This Row],[Desde]],TableDailySummary[Fecha],"&lt;="&amp;TableWeeklySummary[[#This Row],[Hasta]])</f>
        <v>0</v>
      </c>
      <c r="V355" s="11">
        <f>SUMIFS(TableDailySummary[Inversión meta ads],TableDailySummary[Fecha],"&gt;="&amp;TableWeeklySummary[[#This Row],[Desde]],TableDailySummary[Fecha],"&lt;="&amp;TableWeeklySummary[[#This Row],[Hasta]])</f>
        <v>0</v>
      </c>
      <c r="W355" s="11">
        <f>SUMIFS(TableDailySummary[Ventas meta ads],TableDailySummary[Fecha],"&gt;="&amp;TableWeeklySummary[[#This Row],[Desde]],TableDailySummary[Fecha],"&lt;="&amp;TableWeeklySummary[[#This Row],[Hasta]])</f>
        <v>0</v>
      </c>
      <c r="X355" s="11">
        <f>TableWeeklySummary[[#This Row],[Inversión google ads]]+TableWeeklySummary[[#This Row],[Inversión meta ads]]</f>
        <v>0</v>
      </c>
      <c r="Y355" s="11">
        <f>TableWeeklySummary[[#This Row],[Ventas google ads]]+TableWeeklySummary[[#This Row],[Ventas meta ads]]</f>
        <v>0</v>
      </c>
      <c r="Z355" s="14">
        <f>IFERROR(TableWeeklySummary[[#This Row],[Ventas publicidad]]/TableWeeklySummary[[#This Row],[Inversión publicidad]],0)</f>
        <v>0</v>
      </c>
      <c r="AA355" s="14">
        <f>IFERROR(TableWeeklySummary[[#This Row],[Ventas primer cliente]]/TableWeeklySummary[[#This Row],[Inversión publicidad]],0)</f>
        <v>0</v>
      </c>
      <c r="AB355" s="14"/>
      <c r="AC355" s="11"/>
      <c r="AI35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5" s="11">
        <f>SUMIFS(TableDailySummary[Costo de ventas registrado],TableDailySummary[Fecha],"&gt;="&amp;TableWeeklySummary[[#This Row],[Desde]],TableDailySummary[Fecha],"&lt;="&amp;TableWeeklySummary[[#This Row],[Hasta]])</f>
        <v>0</v>
      </c>
      <c r="AK355" s="11">
        <f>SUMIFS(TableDailySummary[Utilidad bruta],TableDailySummary[Fecha],"&gt;="&amp;TableWeeklySummary[[#This Row],[Desde]],TableDailySummary[Fecha],"&lt;="&amp;TableWeeklySummary[[#This Row],[Hasta]])</f>
        <v>0</v>
      </c>
      <c r="AL355" s="18">
        <f>IFERROR(TableWeeklySummary[[#This Row],[Utilidad bruta]]/TableWeeklySummary[[#This Row],[Ventas netas con costo registrado]],0)</f>
        <v>0</v>
      </c>
    </row>
    <row r="356" spans="2:38" x14ac:dyDescent="0.2">
      <c r="B356" s="16">
        <f>_xlfn.ISOWEEKNUM(TableWeeklySummary[[#This Row],[Hasta]])</f>
        <v>32</v>
      </c>
      <c r="C356" s="6">
        <f t="shared" si="7"/>
        <v>46969</v>
      </c>
      <c r="D356" s="6">
        <f>TableWeeklySummary[[#This Row],[Desde]]+7-1</f>
        <v>46975</v>
      </c>
      <c r="E356" s="11">
        <f>SUMIFS(TableDailySummary[Ventas netas totales],TableDailySummary[Fecha],"&gt;="&amp;TableWeeklySummary[[#This Row],[Desde]],TableDailySummary[Fecha],"&lt;="&amp;TableWeeklySummary[[#This Row],[Hasta]])</f>
        <v>0</v>
      </c>
      <c r="F356" s="11">
        <f>SUMIFS(TableDailySummary[Órdenes totales],TableDailySummary[Fecha],"&gt;="&amp;TableWeeklySummary[[#This Row],[Desde]],TableDailySummary[Fecha],"&lt;="&amp;TableWeeklySummary[[#This Row],[Hasta]])</f>
        <v>0</v>
      </c>
      <c r="G356" s="11">
        <f>IFERROR(TableWeeklySummary[[#This Row],[Ventas netas totales]]/TableWeeklySummary[[#This Row],[Órdenes totales]],0)</f>
        <v>0</v>
      </c>
      <c r="H35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6" s="11">
        <f>TableWeeklySummary[[#This Row],[Órden promedio totales]]*TableWeeklySummary[[#This Row],[CR totales]]</f>
        <v>0</v>
      </c>
      <c r="J356" s="11">
        <f>SUMIFS(TableDailySummary[Ventas primer cliente],TableDailySummary[Fecha],"&gt;="&amp;TableWeeklySummary[[#This Row],[Desde]],TableDailySummary[Fecha],"&lt;="&amp;TableWeeklySummary[[#This Row],[Hasta]])</f>
        <v>0</v>
      </c>
      <c r="K356" s="11">
        <f>SUMIFS(TableDailySummary[Órdenes primer cliente],TableDailySummary[Fecha],"&gt;="&amp;TableWeeklySummary[[#This Row],[Desde]],TableDailySummary[Fecha],"&lt;="&amp;TableWeeklySummary[[#This Row],[Hasta]])</f>
        <v>0</v>
      </c>
      <c r="L356" s="11">
        <f>SUMIFS(TableDailySummary[Online Store_net_sales],TableDailySummary[Fecha],"&gt;="&amp;TableWeeklySummary[[#This Row],[Desde]],TableDailySummary[Fecha],"&lt;="&amp;TableWeeklySummary[[#This Row],[Hasta]])</f>
        <v>0</v>
      </c>
      <c r="M356" s="11">
        <f>SUMIFS(TableDailySummary[Online Store_orders],TableDailySummary[Fecha],"&gt;="&amp;TableWeeklySummary[[#This Row],[Desde]],TableDailySummary[Fecha],"&lt;="&amp;TableWeeklySummary[[#This Row],[Hasta]])</f>
        <v>0</v>
      </c>
      <c r="N356" s="11">
        <f>SUMIFS(TableDailySummary[Tienda 81_net_sales],TableDailySummary[Fecha],"&gt;="&amp;TableWeeklySummary[[#This Row],[Desde]],TableDailySummary[Fecha],"&lt;="&amp;TableWeeklySummary[[#This Row],[Hasta]])</f>
        <v>0</v>
      </c>
      <c r="O356" s="11">
        <f>SUMIFS(TableDailySummary[Tienda 81_orders],TableDailySummary[Fecha],"&gt;="&amp;TableWeeklySummary[[#This Row],[Desde]],TableDailySummary[Fecha],"&lt;="&amp;TableWeeklySummary[[#This Row],[Hasta]])</f>
        <v>0</v>
      </c>
      <c r="P356" s="11">
        <f>SUMIFS(TableDailySummary[Rappi_net_sales],TableDailySummary[Fecha],"&gt;="&amp;TableWeeklySummary[[#This Row],[Desde]],TableDailySummary[Fecha],"&lt;="&amp;TableWeeklySummary[[#This Row],[Hasta]])</f>
        <v>0</v>
      </c>
      <c r="Q356" s="11">
        <f>SUMIFS(TableDailySummary[Rappi_orders],TableDailySummary[Fecha],"&gt;="&amp;TableWeeklySummary[[#This Row],[Desde]],TableDailySummary[Fecha],"&lt;="&amp;TableWeeklySummary[[#This Row],[Hasta]])</f>
        <v>0</v>
      </c>
      <c r="R35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6" s="11">
        <f>SUMIFS(TableDailySummary[Corporativo no tienda_orders],TableDailySummary[Fecha],"&gt;="&amp;TableWeeklySummary[[#This Row],[Desde]],TableDailySummary[Fecha],"&lt;="&amp;TableWeeklySummary[[#This Row],[Hasta]])</f>
        <v>0</v>
      </c>
      <c r="T356" s="11">
        <f>SUMIFS(TableDailySummary[Inversión google ads],TableDailySummary[Fecha],"&gt;="&amp;TableWeeklySummary[[#This Row],[Desde]],TableDailySummary[Fecha],"&lt;="&amp;TableWeeklySummary[[#This Row],[Hasta]])</f>
        <v>0</v>
      </c>
      <c r="U356" s="11">
        <f>SUMIFS(TableDailySummary[Ventas google ads],TableDailySummary[Fecha],"&gt;="&amp;TableWeeklySummary[[#This Row],[Desde]],TableDailySummary[Fecha],"&lt;="&amp;TableWeeklySummary[[#This Row],[Hasta]])</f>
        <v>0</v>
      </c>
      <c r="V356" s="11">
        <f>SUMIFS(TableDailySummary[Inversión meta ads],TableDailySummary[Fecha],"&gt;="&amp;TableWeeklySummary[[#This Row],[Desde]],TableDailySummary[Fecha],"&lt;="&amp;TableWeeklySummary[[#This Row],[Hasta]])</f>
        <v>0</v>
      </c>
      <c r="W356" s="11">
        <f>SUMIFS(TableDailySummary[Ventas meta ads],TableDailySummary[Fecha],"&gt;="&amp;TableWeeklySummary[[#This Row],[Desde]],TableDailySummary[Fecha],"&lt;="&amp;TableWeeklySummary[[#This Row],[Hasta]])</f>
        <v>0</v>
      </c>
      <c r="X356" s="11">
        <f>TableWeeklySummary[[#This Row],[Inversión google ads]]+TableWeeklySummary[[#This Row],[Inversión meta ads]]</f>
        <v>0</v>
      </c>
      <c r="Y356" s="11">
        <f>TableWeeklySummary[[#This Row],[Ventas google ads]]+TableWeeklySummary[[#This Row],[Ventas meta ads]]</f>
        <v>0</v>
      </c>
      <c r="Z356" s="14">
        <f>IFERROR(TableWeeklySummary[[#This Row],[Ventas publicidad]]/TableWeeklySummary[[#This Row],[Inversión publicidad]],0)</f>
        <v>0</v>
      </c>
      <c r="AA356" s="14">
        <f>IFERROR(TableWeeklySummary[[#This Row],[Ventas primer cliente]]/TableWeeklySummary[[#This Row],[Inversión publicidad]],0)</f>
        <v>0</v>
      </c>
      <c r="AB356" s="14"/>
      <c r="AC356" s="11"/>
      <c r="AI35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6" s="11">
        <f>SUMIFS(TableDailySummary[Costo de ventas registrado],TableDailySummary[Fecha],"&gt;="&amp;TableWeeklySummary[[#This Row],[Desde]],TableDailySummary[Fecha],"&lt;="&amp;TableWeeklySummary[[#This Row],[Hasta]])</f>
        <v>0</v>
      </c>
      <c r="AK356" s="11">
        <f>SUMIFS(TableDailySummary[Utilidad bruta],TableDailySummary[Fecha],"&gt;="&amp;TableWeeklySummary[[#This Row],[Desde]],TableDailySummary[Fecha],"&lt;="&amp;TableWeeklySummary[[#This Row],[Hasta]])</f>
        <v>0</v>
      </c>
      <c r="AL356" s="18">
        <f>IFERROR(TableWeeklySummary[[#This Row],[Utilidad bruta]]/TableWeeklySummary[[#This Row],[Ventas netas con costo registrado]],0)</f>
        <v>0</v>
      </c>
    </row>
    <row r="357" spans="2:38" x14ac:dyDescent="0.2">
      <c r="B357" s="16">
        <f>_xlfn.ISOWEEKNUM(TableWeeklySummary[[#This Row],[Hasta]])</f>
        <v>33</v>
      </c>
      <c r="C357" s="6">
        <f t="shared" si="7"/>
        <v>46976</v>
      </c>
      <c r="D357" s="6">
        <f>TableWeeklySummary[[#This Row],[Desde]]+7-1</f>
        <v>46982</v>
      </c>
      <c r="E357" s="11">
        <f>SUMIFS(TableDailySummary[Ventas netas totales],TableDailySummary[Fecha],"&gt;="&amp;TableWeeklySummary[[#This Row],[Desde]],TableDailySummary[Fecha],"&lt;="&amp;TableWeeklySummary[[#This Row],[Hasta]])</f>
        <v>0</v>
      </c>
      <c r="F357" s="11">
        <f>SUMIFS(TableDailySummary[Órdenes totales],TableDailySummary[Fecha],"&gt;="&amp;TableWeeklySummary[[#This Row],[Desde]],TableDailySummary[Fecha],"&lt;="&amp;TableWeeklySummary[[#This Row],[Hasta]])</f>
        <v>0</v>
      </c>
      <c r="G357" s="11">
        <f>IFERROR(TableWeeklySummary[[#This Row],[Ventas netas totales]]/TableWeeklySummary[[#This Row],[Órdenes totales]],0)</f>
        <v>0</v>
      </c>
      <c r="H35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7" s="11">
        <f>TableWeeklySummary[[#This Row],[Órden promedio totales]]*TableWeeklySummary[[#This Row],[CR totales]]</f>
        <v>0</v>
      </c>
      <c r="J357" s="11">
        <f>SUMIFS(TableDailySummary[Ventas primer cliente],TableDailySummary[Fecha],"&gt;="&amp;TableWeeklySummary[[#This Row],[Desde]],TableDailySummary[Fecha],"&lt;="&amp;TableWeeklySummary[[#This Row],[Hasta]])</f>
        <v>0</v>
      </c>
      <c r="K357" s="11">
        <f>SUMIFS(TableDailySummary[Órdenes primer cliente],TableDailySummary[Fecha],"&gt;="&amp;TableWeeklySummary[[#This Row],[Desde]],TableDailySummary[Fecha],"&lt;="&amp;TableWeeklySummary[[#This Row],[Hasta]])</f>
        <v>0</v>
      </c>
      <c r="L357" s="11">
        <f>SUMIFS(TableDailySummary[Online Store_net_sales],TableDailySummary[Fecha],"&gt;="&amp;TableWeeklySummary[[#This Row],[Desde]],TableDailySummary[Fecha],"&lt;="&amp;TableWeeklySummary[[#This Row],[Hasta]])</f>
        <v>0</v>
      </c>
      <c r="M357" s="11">
        <f>SUMIFS(TableDailySummary[Online Store_orders],TableDailySummary[Fecha],"&gt;="&amp;TableWeeklySummary[[#This Row],[Desde]],TableDailySummary[Fecha],"&lt;="&amp;TableWeeklySummary[[#This Row],[Hasta]])</f>
        <v>0</v>
      </c>
      <c r="N357" s="11">
        <f>SUMIFS(TableDailySummary[Tienda 81_net_sales],TableDailySummary[Fecha],"&gt;="&amp;TableWeeklySummary[[#This Row],[Desde]],TableDailySummary[Fecha],"&lt;="&amp;TableWeeklySummary[[#This Row],[Hasta]])</f>
        <v>0</v>
      </c>
      <c r="O357" s="11">
        <f>SUMIFS(TableDailySummary[Tienda 81_orders],TableDailySummary[Fecha],"&gt;="&amp;TableWeeklySummary[[#This Row],[Desde]],TableDailySummary[Fecha],"&lt;="&amp;TableWeeklySummary[[#This Row],[Hasta]])</f>
        <v>0</v>
      </c>
      <c r="P357" s="11">
        <f>SUMIFS(TableDailySummary[Rappi_net_sales],TableDailySummary[Fecha],"&gt;="&amp;TableWeeklySummary[[#This Row],[Desde]],TableDailySummary[Fecha],"&lt;="&amp;TableWeeklySummary[[#This Row],[Hasta]])</f>
        <v>0</v>
      </c>
      <c r="Q357" s="11">
        <f>SUMIFS(TableDailySummary[Rappi_orders],TableDailySummary[Fecha],"&gt;="&amp;TableWeeklySummary[[#This Row],[Desde]],TableDailySummary[Fecha],"&lt;="&amp;TableWeeklySummary[[#This Row],[Hasta]])</f>
        <v>0</v>
      </c>
      <c r="R35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7" s="11">
        <f>SUMIFS(TableDailySummary[Corporativo no tienda_orders],TableDailySummary[Fecha],"&gt;="&amp;TableWeeklySummary[[#This Row],[Desde]],TableDailySummary[Fecha],"&lt;="&amp;TableWeeklySummary[[#This Row],[Hasta]])</f>
        <v>0</v>
      </c>
      <c r="T357" s="11">
        <f>SUMIFS(TableDailySummary[Inversión google ads],TableDailySummary[Fecha],"&gt;="&amp;TableWeeklySummary[[#This Row],[Desde]],TableDailySummary[Fecha],"&lt;="&amp;TableWeeklySummary[[#This Row],[Hasta]])</f>
        <v>0</v>
      </c>
      <c r="U357" s="11">
        <f>SUMIFS(TableDailySummary[Ventas google ads],TableDailySummary[Fecha],"&gt;="&amp;TableWeeklySummary[[#This Row],[Desde]],TableDailySummary[Fecha],"&lt;="&amp;TableWeeklySummary[[#This Row],[Hasta]])</f>
        <v>0</v>
      </c>
      <c r="V357" s="11">
        <f>SUMIFS(TableDailySummary[Inversión meta ads],TableDailySummary[Fecha],"&gt;="&amp;TableWeeklySummary[[#This Row],[Desde]],TableDailySummary[Fecha],"&lt;="&amp;TableWeeklySummary[[#This Row],[Hasta]])</f>
        <v>0</v>
      </c>
      <c r="W357" s="11">
        <f>SUMIFS(TableDailySummary[Ventas meta ads],TableDailySummary[Fecha],"&gt;="&amp;TableWeeklySummary[[#This Row],[Desde]],TableDailySummary[Fecha],"&lt;="&amp;TableWeeklySummary[[#This Row],[Hasta]])</f>
        <v>0</v>
      </c>
      <c r="X357" s="11">
        <f>TableWeeklySummary[[#This Row],[Inversión google ads]]+TableWeeklySummary[[#This Row],[Inversión meta ads]]</f>
        <v>0</v>
      </c>
      <c r="Y357" s="11">
        <f>TableWeeklySummary[[#This Row],[Ventas google ads]]+TableWeeklySummary[[#This Row],[Ventas meta ads]]</f>
        <v>0</v>
      </c>
      <c r="Z357" s="14">
        <f>IFERROR(TableWeeklySummary[[#This Row],[Ventas publicidad]]/TableWeeklySummary[[#This Row],[Inversión publicidad]],0)</f>
        <v>0</v>
      </c>
      <c r="AA357" s="14">
        <f>IFERROR(TableWeeklySummary[[#This Row],[Ventas primer cliente]]/TableWeeklySummary[[#This Row],[Inversión publicidad]],0)</f>
        <v>0</v>
      </c>
      <c r="AB357" s="14"/>
      <c r="AC357" s="11"/>
      <c r="AI35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7" s="11">
        <f>SUMIFS(TableDailySummary[Costo de ventas registrado],TableDailySummary[Fecha],"&gt;="&amp;TableWeeklySummary[[#This Row],[Desde]],TableDailySummary[Fecha],"&lt;="&amp;TableWeeklySummary[[#This Row],[Hasta]])</f>
        <v>0</v>
      </c>
      <c r="AK357" s="11">
        <f>SUMIFS(TableDailySummary[Utilidad bruta],TableDailySummary[Fecha],"&gt;="&amp;TableWeeklySummary[[#This Row],[Desde]],TableDailySummary[Fecha],"&lt;="&amp;TableWeeklySummary[[#This Row],[Hasta]])</f>
        <v>0</v>
      </c>
      <c r="AL357" s="18">
        <f>IFERROR(TableWeeklySummary[[#This Row],[Utilidad bruta]]/TableWeeklySummary[[#This Row],[Ventas netas con costo registrado]],0)</f>
        <v>0</v>
      </c>
    </row>
    <row r="358" spans="2:38" x14ac:dyDescent="0.2">
      <c r="B358" s="16">
        <f>_xlfn.ISOWEEKNUM(TableWeeklySummary[[#This Row],[Hasta]])</f>
        <v>34</v>
      </c>
      <c r="C358" s="6">
        <f t="shared" si="7"/>
        <v>46983</v>
      </c>
      <c r="D358" s="6">
        <f>TableWeeklySummary[[#This Row],[Desde]]+7-1</f>
        <v>46989</v>
      </c>
      <c r="E358" s="11">
        <f>SUMIFS(TableDailySummary[Ventas netas totales],TableDailySummary[Fecha],"&gt;="&amp;TableWeeklySummary[[#This Row],[Desde]],TableDailySummary[Fecha],"&lt;="&amp;TableWeeklySummary[[#This Row],[Hasta]])</f>
        <v>0</v>
      </c>
      <c r="F358" s="11">
        <f>SUMIFS(TableDailySummary[Órdenes totales],TableDailySummary[Fecha],"&gt;="&amp;TableWeeklySummary[[#This Row],[Desde]],TableDailySummary[Fecha],"&lt;="&amp;TableWeeklySummary[[#This Row],[Hasta]])</f>
        <v>0</v>
      </c>
      <c r="G358" s="11">
        <f>IFERROR(TableWeeklySummary[[#This Row],[Ventas netas totales]]/TableWeeklySummary[[#This Row],[Órdenes totales]],0)</f>
        <v>0</v>
      </c>
      <c r="H35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8" s="11">
        <f>TableWeeklySummary[[#This Row],[Órden promedio totales]]*TableWeeklySummary[[#This Row],[CR totales]]</f>
        <v>0</v>
      </c>
      <c r="J358" s="11">
        <f>SUMIFS(TableDailySummary[Ventas primer cliente],TableDailySummary[Fecha],"&gt;="&amp;TableWeeklySummary[[#This Row],[Desde]],TableDailySummary[Fecha],"&lt;="&amp;TableWeeklySummary[[#This Row],[Hasta]])</f>
        <v>0</v>
      </c>
      <c r="K358" s="11">
        <f>SUMIFS(TableDailySummary[Órdenes primer cliente],TableDailySummary[Fecha],"&gt;="&amp;TableWeeklySummary[[#This Row],[Desde]],TableDailySummary[Fecha],"&lt;="&amp;TableWeeklySummary[[#This Row],[Hasta]])</f>
        <v>0</v>
      </c>
      <c r="L358" s="11">
        <f>SUMIFS(TableDailySummary[Online Store_net_sales],TableDailySummary[Fecha],"&gt;="&amp;TableWeeklySummary[[#This Row],[Desde]],TableDailySummary[Fecha],"&lt;="&amp;TableWeeklySummary[[#This Row],[Hasta]])</f>
        <v>0</v>
      </c>
      <c r="M358" s="11">
        <f>SUMIFS(TableDailySummary[Online Store_orders],TableDailySummary[Fecha],"&gt;="&amp;TableWeeklySummary[[#This Row],[Desde]],TableDailySummary[Fecha],"&lt;="&amp;TableWeeklySummary[[#This Row],[Hasta]])</f>
        <v>0</v>
      </c>
      <c r="N358" s="11">
        <f>SUMIFS(TableDailySummary[Tienda 81_net_sales],TableDailySummary[Fecha],"&gt;="&amp;TableWeeklySummary[[#This Row],[Desde]],TableDailySummary[Fecha],"&lt;="&amp;TableWeeklySummary[[#This Row],[Hasta]])</f>
        <v>0</v>
      </c>
      <c r="O358" s="11">
        <f>SUMIFS(TableDailySummary[Tienda 81_orders],TableDailySummary[Fecha],"&gt;="&amp;TableWeeklySummary[[#This Row],[Desde]],TableDailySummary[Fecha],"&lt;="&amp;TableWeeklySummary[[#This Row],[Hasta]])</f>
        <v>0</v>
      </c>
      <c r="P358" s="11">
        <f>SUMIFS(TableDailySummary[Rappi_net_sales],TableDailySummary[Fecha],"&gt;="&amp;TableWeeklySummary[[#This Row],[Desde]],TableDailySummary[Fecha],"&lt;="&amp;TableWeeklySummary[[#This Row],[Hasta]])</f>
        <v>0</v>
      </c>
      <c r="Q358" s="11">
        <f>SUMIFS(TableDailySummary[Rappi_orders],TableDailySummary[Fecha],"&gt;="&amp;TableWeeklySummary[[#This Row],[Desde]],TableDailySummary[Fecha],"&lt;="&amp;TableWeeklySummary[[#This Row],[Hasta]])</f>
        <v>0</v>
      </c>
      <c r="R35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8" s="11">
        <f>SUMIFS(TableDailySummary[Corporativo no tienda_orders],TableDailySummary[Fecha],"&gt;="&amp;TableWeeklySummary[[#This Row],[Desde]],TableDailySummary[Fecha],"&lt;="&amp;TableWeeklySummary[[#This Row],[Hasta]])</f>
        <v>0</v>
      </c>
      <c r="T358" s="11">
        <f>SUMIFS(TableDailySummary[Inversión google ads],TableDailySummary[Fecha],"&gt;="&amp;TableWeeklySummary[[#This Row],[Desde]],TableDailySummary[Fecha],"&lt;="&amp;TableWeeklySummary[[#This Row],[Hasta]])</f>
        <v>0</v>
      </c>
      <c r="U358" s="11">
        <f>SUMIFS(TableDailySummary[Ventas google ads],TableDailySummary[Fecha],"&gt;="&amp;TableWeeklySummary[[#This Row],[Desde]],TableDailySummary[Fecha],"&lt;="&amp;TableWeeklySummary[[#This Row],[Hasta]])</f>
        <v>0</v>
      </c>
      <c r="V358" s="11">
        <f>SUMIFS(TableDailySummary[Inversión meta ads],TableDailySummary[Fecha],"&gt;="&amp;TableWeeklySummary[[#This Row],[Desde]],TableDailySummary[Fecha],"&lt;="&amp;TableWeeklySummary[[#This Row],[Hasta]])</f>
        <v>0</v>
      </c>
      <c r="W358" s="11">
        <f>SUMIFS(TableDailySummary[Ventas meta ads],TableDailySummary[Fecha],"&gt;="&amp;TableWeeklySummary[[#This Row],[Desde]],TableDailySummary[Fecha],"&lt;="&amp;TableWeeklySummary[[#This Row],[Hasta]])</f>
        <v>0</v>
      </c>
      <c r="X358" s="11">
        <f>TableWeeklySummary[[#This Row],[Inversión google ads]]+TableWeeklySummary[[#This Row],[Inversión meta ads]]</f>
        <v>0</v>
      </c>
      <c r="Y358" s="11">
        <f>TableWeeklySummary[[#This Row],[Ventas google ads]]+TableWeeklySummary[[#This Row],[Ventas meta ads]]</f>
        <v>0</v>
      </c>
      <c r="Z358" s="14">
        <f>IFERROR(TableWeeklySummary[[#This Row],[Ventas publicidad]]/TableWeeklySummary[[#This Row],[Inversión publicidad]],0)</f>
        <v>0</v>
      </c>
      <c r="AA358" s="14">
        <f>IFERROR(TableWeeklySummary[[#This Row],[Ventas primer cliente]]/TableWeeklySummary[[#This Row],[Inversión publicidad]],0)</f>
        <v>0</v>
      </c>
      <c r="AB358" s="14"/>
      <c r="AC358" s="11"/>
      <c r="AI35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8" s="11">
        <f>SUMIFS(TableDailySummary[Costo de ventas registrado],TableDailySummary[Fecha],"&gt;="&amp;TableWeeklySummary[[#This Row],[Desde]],TableDailySummary[Fecha],"&lt;="&amp;TableWeeklySummary[[#This Row],[Hasta]])</f>
        <v>0</v>
      </c>
      <c r="AK358" s="11">
        <f>SUMIFS(TableDailySummary[Utilidad bruta],TableDailySummary[Fecha],"&gt;="&amp;TableWeeklySummary[[#This Row],[Desde]],TableDailySummary[Fecha],"&lt;="&amp;TableWeeklySummary[[#This Row],[Hasta]])</f>
        <v>0</v>
      </c>
      <c r="AL358" s="18">
        <f>IFERROR(TableWeeklySummary[[#This Row],[Utilidad bruta]]/TableWeeklySummary[[#This Row],[Ventas netas con costo registrado]],0)</f>
        <v>0</v>
      </c>
    </row>
    <row r="359" spans="2:38" x14ac:dyDescent="0.2">
      <c r="B359" s="16">
        <f>_xlfn.ISOWEEKNUM(TableWeeklySummary[[#This Row],[Hasta]])</f>
        <v>35</v>
      </c>
      <c r="C359" s="6">
        <f t="shared" si="7"/>
        <v>46990</v>
      </c>
      <c r="D359" s="6">
        <f>TableWeeklySummary[[#This Row],[Desde]]+7-1</f>
        <v>46996</v>
      </c>
      <c r="E359" s="11">
        <f>SUMIFS(TableDailySummary[Ventas netas totales],TableDailySummary[Fecha],"&gt;="&amp;TableWeeklySummary[[#This Row],[Desde]],TableDailySummary[Fecha],"&lt;="&amp;TableWeeklySummary[[#This Row],[Hasta]])</f>
        <v>0</v>
      </c>
      <c r="F359" s="11">
        <f>SUMIFS(TableDailySummary[Órdenes totales],TableDailySummary[Fecha],"&gt;="&amp;TableWeeklySummary[[#This Row],[Desde]],TableDailySummary[Fecha],"&lt;="&amp;TableWeeklySummary[[#This Row],[Hasta]])</f>
        <v>0</v>
      </c>
      <c r="G359" s="11">
        <f>IFERROR(TableWeeklySummary[[#This Row],[Ventas netas totales]]/TableWeeklySummary[[#This Row],[Órdenes totales]],0)</f>
        <v>0</v>
      </c>
      <c r="H35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59" s="11">
        <f>TableWeeklySummary[[#This Row],[Órden promedio totales]]*TableWeeklySummary[[#This Row],[CR totales]]</f>
        <v>0</v>
      </c>
      <c r="J359" s="11">
        <f>SUMIFS(TableDailySummary[Ventas primer cliente],TableDailySummary[Fecha],"&gt;="&amp;TableWeeklySummary[[#This Row],[Desde]],TableDailySummary[Fecha],"&lt;="&amp;TableWeeklySummary[[#This Row],[Hasta]])</f>
        <v>0</v>
      </c>
      <c r="K359" s="11">
        <f>SUMIFS(TableDailySummary[Órdenes primer cliente],TableDailySummary[Fecha],"&gt;="&amp;TableWeeklySummary[[#This Row],[Desde]],TableDailySummary[Fecha],"&lt;="&amp;TableWeeklySummary[[#This Row],[Hasta]])</f>
        <v>0</v>
      </c>
      <c r="L359" s="11">
        <f>SUMIFS(TableDailySummary[Online Store_net_sales],TableDailySummary[Fecha],"&gt;="&amp;TableWeeklySummary[[#This Row],[Desde]],TableDailySummary[Fecha],"&lt;="&amp;TableWeeklySummary[[#This Row],[Hasta]])</f>
        <v>0</v>
      </c>
      <c r="M359" s="11">
        <f>SUMIFS(TableDailySummary[Online Store_orders],TableDailySummary[Fecha],"&gt;="&amp;TableWeeklySummary[[#This Row],[Desde]],TableDailySummary[Fecha],"&lt;="&amp;TableWeeklySummary[[#This Row],[Hasta]])</f>
        <v>0</v>
      </c>
      <c r="N359" s="11">
        <f>SUMIFS(TableDailySummary[Tienda 81_net_sales],TableDailySummary[Fecha],"&gt;="&amp;TableWeeklySummary[[#This Row],[Desde]],TableDailySummary[Fecha],"&lt;="&amp;TableWeeklySummary[[#This Row],[Hasta]])</f>
        <v>0</v>
      </c>
      <c r="O359" s="11">
        <f>SUMIFS(TableDailySummary[Tienda 81_orders],TableDailySummary[Fecha],"&gt;="&amp;TableWeeklySummary[[#This Row],[Desde]],TableDailySummary[Fecha],"&lt;="&amp;TableWeeklySummary[[#This Row],[Hasta]])</f>
        <v>0</v>
      </c>
      <c r="P359" s="11">
        <f>SUMIFS(TableDailySummary[Rappi_net_sales],TableDailySummary[Fecha],"&gt;="&amp;TableWeeklySummary[[#This Row],[Desde]],TableDailySummary[Fecha],"&lt;="&amp;TableWeeklySummary[[#This Row],[Hasta]])</f>
        <v>0</v>
      </c>
      <c r="Q359" s="11">
        <f>SUMIFS(TableDailySummary[Rappi_orders],TableDailySummary[Fecha],"&gt;="&amp;TableWeeklySummary[[#This Row],[Desde]],TableDailySummary[Fecha],"&lt;="&amp;TableWeeklySummary[[#This Row],[Hasta]])</f>
        <v>0</v>
      </c>
      <c r="R35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59" s="11">
        <f>SUMIFS(TableDailySummary[Corporativo no tienda_orders],TableDailySummary[Fecha],"&gt;="&amp;TableWeeklySummary[[#This Row],[Desde]],TableDailySummary[Fecha],"&lt;="&amp;TableWeeklySummary[[#This Row],[Hasta]])</f>
        <v>0</v>
      </c>
      <c r="T359" s="11">
        <f>SUMIFS(TableDailySummary[Inversión google ads],TableDailySummary[Fecha],"&gt;="&amp;TableWeeklySummary[[#This Row],[Desde]],TableDailySummary[Fecha],"&lt;="&amp;TableWeeklySummary[[#This Row],[Hasta]])</f>
        <v>0</v>
      </c>
      <c r="U359" s="11">
        <f>SUMIFS(TableDailySummary[Ventas google ads],TableDailySummary[Fecha],"&gt;="&amp;TableWeeklySummary[[#This Row],[Desde]],TableDailySummary[Fecha],"&lt;="&amp;TableWeeklySummary[[#This Row],[Hasta]])</f>
        <v>0</v>
      </c>
      <c r="V359" s="11">
        <f>SUMIFS(TableDailySummary[Inversión meta ads],TableDailySummary[Fecha],"&gt;="&amp;TableWeeklySummary[[#This Row],[Desde]],TableDailySummary[Fecha],"&lt;="&amp;TableWeeklySummary[[#This Row],[Hasta]])</f>
        <v>0</v>
      </c>
      <c r="W359" s="11">
        <f>SUMIFS(TableDailySummary[Ventas meta ads],TableDailySummary[Fecha],"&gt;="&amp;TableWeeklySummary[[#This Row],[Desde]],TableDailySummary[Fecha],"&lt;="&amp;TableWeeklySummary[[#This Row],[Hasta]])</f>
        <v>0</v>
      </c>
      <c r="X359" s="11">
        <f>TableWeeklySummary[[#This Row],[Inversión google ads]]+TableWeeklySummary[[#This Row],[Inversión meta ads]]</f>
        <v>0</v>
      </c>
      <c r="Y359" s="11">
        <f>TableWeeklySummary[[#This Row],[Ventas google ads]]+TableWeeklySummary[[#This Row],[Ventas meta ads]]</f>
        <v>0</v>
      </c>
      <c r="Z359" s="14">
        <f>IFERROR(TableWeeklySummary[[#This Row],[Ventas publicidad]]/TableWeeklySummary[[#This Row],[Inversión publicidad]],0)</f>
        <v>0</v>
      </c>
      <c r="AA359" s="14">
        <f>IFERROR(TableWeeklySummary[[#This Row],[Ventas primer cliente]]/TableWeeklySummary[[#This Row],[Inversión publicidad]],0)</f>
        <v>0</v>
      </c>
      <c r="AB359" s="14"/>
      <c r="AC359" s="11"/>
      <c r="AI35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59" s="11">
        <f>SUMIFS(TableDailySummary[Costo de ventas registrado],TableDailySummary[Fecha],"&gt;="&amp;TableWeeklySummary[[#This Row],[Desde]],TableDailySummary[Fecha],"&lt;="&amp;TableWeeklySummary[[#This Row],[Hasta]])</f>
        <v>0</v>
      </c>
      <c r="AK359" s="11">
        <f>SUMIFS(TableDailySummary[Utilidad bruta],TableDailySummary[Fecha],"&gt;="&amp;TableWeeklySummary[[#This Row],[Desde]],TableDailySummary[Fecha],"&lt;="&amp;TableWeeklySummary[[#This Row],[Hasta]])</f>
        <v>0</v>
      </c>
      <c r="AL359" s="18">
        <f>IFERROR(TableWeeklySummary[[#This Row],[Utilidad bruta]]/TableWeeklySummary[[#This Row],[Ventas netas con costo registrado]],0)</f>
        <v>0</v>
      </c>
    </row>
    <row r="360" spans="2:38" x14ac:dyDescent="0.2">
      <c r="B360" s="16">
        <f>_xlfn.ISOWEEKNUM(TableWeeklySummary[[#This Row],[Hasta]])</f>
        <v>36</v>
      </c>
      <c r="C360" s="6">
        <f t="shared" si="7"/>
        <v>46997</v>
      </c>
      <c r="D360" s="6">
        <f>TableWeeklySummary[[#This Row],[Desde]]+7-1</f>
        <v>47003</v>
      </c>
      <c r="E360" s="11">
        <f>SUMIFS(TableDailySummary[Ventas netas totales],TableDailySummary[Fecha],"&gt;="&amp;TableWeeklySummary[[#This Row],[Desde]],TableDailySummary[Fecha],"&lt;="&amp;TableWeeklySummary[[#This Row],[Hasta]])</f>
        <v>0</v>
      </c>
      <c r="F360" s="11">
        <f>SUMIFS(TableDailySummary[Órdenes totales],TableDailySummary[Fecha],"&gt;="&amp;TableWeeklySummary[[#This Row],[Desde]],TableDailySummary[Fecha],"&lt;="&amp;TableWeeklySummary[[#This Row],[Hasta]])</f>
        <v>0</v>
      </c>
      <c r="G360" s="11">
        <f>IFERROR(TableWeeklySummary[[#This Row],[Ventas netas totales]]/TableWeeklySummary[[#This Row],[Órdenes totales]],0)</f>
        <v>0</v>
      </c>
      <c r="H36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0" s="11">
        <f>TableWeeklySummary[[#This Row],[Órden promedio totales]]*TableWeeklySummary[[#This Row],[CR totales]]</f>
        <v>0</v>
      </c>
      <c r="J360" s="11">
        <f>SUMIFS(TableDailySummary[Ventas primer cliente],TableDailySummary[Fecha],"&gt;="&amp;TableWeeklySummary[[#This Row],[Desde]],TableDailySummary[Fecha],"&lt;="&amp;TableWeeklySummary[[#This Row],[Hasta]])</f>
        <v>0</v>
      </c>
      <c r="K360" s="11">
        <f>SUMIFS(TableDailySummary[Órdenes primer cliente],TableDailySummary[Fecha],"&gt;="&amp;TableWeeklySummary[[#This Row],[Desde]],TableDailySummary[Fecha],"&lt;="&amp;TableWeeklySummary[[#This Row],[Hasta]])</f>
        <v>0</v>
      </c>
      <c r="L360" s="11">
        <f>SUMIFS(TableDailySummary[Online Store_net_sales],TableDailySummary[Fecha],"&gt;="&amp;TableWeeklySummary[[#This Row],[Desde]],TableDailySummary[Fecha],"&lt;="&amp;TableWeeklySummary[[#This Row],[Hasta]])</f>
        <v>0</v>
      </c>
      <c r="M360" s="11">
        <f>SUMIFS(TableDailySummary[Online Store_orders],TableDailySummary[Fecha],"&gt;="&amp;TableWeeklySummary[[#This Row],[Desde]],TableDailySummary[Fecha],"&lt;="&amp;TableWeeklySummary[[#This Row],[Hasta]])</f>
        <v>0</v>
      </c>
      <c r="N360" s="11">
        <f>SUMIFS(TableDailySummary[Tienda 81_net_sales],TableDailySummary[Fecha],"&gt;="&amp;TableWeeklySummary[[#This Row],[Desde]],TableDailySummary[Fecha],"&lt;="&amp;TableWeeklySummary[[#This Row],[Hasta]])</f>
        <v>0</v>
      </c>
      <c r="O360" s="11">
        <f>SUMIFS(TableDailySummary[Tienda 81_orders],TableDailySummary[Fecha],"&gt;="&amp;TableWeeklySummary[[#This Row],[Desde]],TableDailySummary[Fecha],"&lt;="&amp;TableWeeklySummary[[#This Row],[Hasta]])</f>
        <v>0</v>
      </c>
      <c r="P360" s="11">
        <f>SUMIFS(TableDailySummary[Rappi_net_sales],TableDailySummary[Fecha],"&gt;="&amp;TableWeeklySummary[[#This Row],[Desde]],TableDailySummary[Fecha],"&lt;="&amp;TableWeeklySummary[[#This Row],[Hasta]])</f>
        <v>0</v>
      </c>
      <c r="Q360" s="11">
        <f>SUMIFS(TableDailySummary[Rappi_orders],TableDailySummary[Fecha],"&gt;="&amp;TableWeeklySummary[[#This Row],[Desde]],TableDailySummary[Fecha],"&lt;="&amp;TableWeeklySummary[[#This Row],[Hasta]])</f>
        <v>0</v>
      </c>
      <c r="R36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0" s="11">
        <f>SUMIFS(TableDailySummary[Corporativo no tienda_orders],TableDailySummary[Fecha],"&gt;="&amp;TableWeeklySummary[[#This Row],[Desde]],TableDailySummary[Fecha],"&lt;="&amp;TableWeeklySummary[[#This Row],[Hasta]])</f>
        <v>0</v>
      </c>
      <c r="T360" s="11">
        <f>SUMIFS(TableDailySummary[Inversión google ads],TableDailySummary[Fecha],"&gt;="&amp;TableWeeklySummary[[#This Row],[Desde]],TableDailySummary[Fecha],"&lt;="&amp;TableWeeklySummary[[#This Row],[Hasta]])</f>
        <v>0</v>
      </c>
      <c r="U360" s="11">
        <f>SUMIFS(TableDailySummary[Ventas google ads],TableDailySummary[Fecha],"&gt;="&amp;TableWeeklySummary[[#This Row],[Desde]],TableDailySummary[Fecha],"&lt;="&amp;TableWeeklySummary[[#This Row],[Hasta]])</f>
        <v>0</v>
      </c>
      <c r="V360" s="11">
        <f>SUMIFS(TableDailySummary[Inversión meta ads],TableDailySummary[Fecha],"&gt;="&amp;TableWeeklySummary[[#This Row],[Desde]],TableDailySummary[Fecha],"&lt;="&amp;TableWeeklySummary[[#This Row],[Hasta]])</f>
        <v>0</v>
      </c>
      <c r="W360" s="11">
        <f>SUMIFS(TableDailySummary[Ventas meta ads],TableDailySummary[Fecha],"&gt;="&amp;TableWeeklySummary[[#This Row],[Desde]],TableDailySummary[Fecha],"&lt;="&amp;TableWeeklySummary[[#This Row],[Hasta]])</f>
        <v>0</v>
      </c>
      <c r="X360" s="11">
        <f>TableWeeklySummary[[#This Row],[Inversión google ads]]+TableWeeklySummary[[#This Row],[Inversión meta ads]]</f>
        <v>0</v>
      </c>
      <c r="Y360" s="11">
        <f>TableWeeklySummary[[#This Row],[Ventas google ads]]+TableWeeklySummary[[#This Row],[Ventas meta ads]]</f>
        <v>0</v>
      </c>
      <c r="Z360" s="14">
        <f>IFERROR(TableWeeklySummary[[#This Row],[Ventas publicidad]]/TableWeeklySummary[[#This Row],[Inversión publicidad]],0)</f>
        <v>0</v>
      </c>
      <c r="AA360" s="14">
        <f>IFERROR(TableWeeklySummary[[#This Row],[Ventas primer cliente]]/TableWeeklySummary[[#This Row],[Inversión publicidad]],0)</f>
        <v>0</v>
      </c>
      <c r="AB360" s="14"/>
      <c r="AC360" s="11"/>
      <c r="AI36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0" s="11">
        <f>SUMIFS(TableDailySummary[Costo de ventas registrado],TableDailySummary[Fecha],"&gt;="&amp;TableWeeklySummary[[#This Row],[Desde]],TableDailySummary[Fecha],"&lt;="&amp;TableWeeklySummary[[#This Row],[Hasta]])</f>
        <v>0</v>
      </c>
      <c r="AK360" s="11">
        <f>SUMIFS(TableDailySummary[Utilidad bruta],TableDailySummary[Fecha],"&gt;="&amp;TableWeeklySummary[[#This Row],[Desde]],TableDailySummary[Fecha],"&lt;="&amp;TableWeeklySummary[[#This Row],[Hasta]])</f>
        <v>0</v>
      </c>
      <c r="AL360" s="18">
        <f>IFERROR(TableWeeklySummary[[#This Row],[Utilidad bruta]]/TableWeeklySummary[[#This Row],[Ventas netas con costo registrado]],0)</f>
        <v>0</v>
      </c>
    </row>
    <row r="361" spans="2:38" x14ac:dyDescent="0.2">
      <c r="B361" s="16">
        <f>_xlfn.ISOWEEKNUM(TableWeeklySummary[[#This Row],[Hasta]])</f>
        <v>37</v>
      </c>
      <c r="C361" s="6">
        <f t="shared" si="7"/>
        <v>47004</v>
      </c>
      <c r="D361" s="6">
        <f>TableWeeklySummary[[#This Row],[Desde]]+7-1</f>
        <v>47010</v>
      </c>
      <c r="E361" s="11">
        <f>SUMIFS(TableDailySummary[Ventas netas totales],TableDailySummary[Fecha],"&gt;="&amp;TableWeeklySummary[[#This Row],[Desde]],TableDailySummary[Fecha],"&lt;="&amp;TableWeeklySummary[[#This Row],[Hasta]])</f>
        <v>0</v>
      </c>
      <c r="F361" s="11">
        <f>SUMIFS(TableDailySummary[Órdenes totales],TableDailySummary[Fecha],"&gt;="&amp;TableWeeklySummary[[#This Row],[Desde]],TableDailySummary[Fecha],"&lt;="&amp;TableWeeklySummary[[#This Row],[Hasta]])</f>
        <v>0</v>
      </c>
      <c r="G361" s="11">
        <f>IFERROR(TableWeeklySummary[[#This Row],[Ventas netas totales]]/TableWeeklySummary[[#This Row],[Órdenes totales]],0)</f>
        <v>0</v>
      </c>
      <c r="H36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1" s="11">
        <f>TableWeeklySummary[[#This Row],[Órden promedio totales]]*TableWeeklySummary[[#This Row],[CR totales]]</f>
        <v>0</v>
      </c>
      <c r="J361" s="11">
        <f>SUMIFS(TableDailySummary[Ventas primer cliente],TableDailySummary[Fecha],"&gt;="&amp;TableWeeklySummary[[#This Row],[Desde]],TableDailySummary[Fecha],"&lt;="&amp;TableWeeklySummary[[#This Row],[Hasta]])</f>
        <v>0</v>
      </c>
      <c r="K361" s="11">
        <f>SUMIFS(TableDailySummary[Órdenes primer cliente],TableDailySummary[Fecha],"&gt;="&amp;TableWeeklySummary[[#This Row],[Desde]],TableDailySummary[Fecha],"&lt;="&amp;TableWeeklySummary[[#This Row],[Hasta]])</f>
        <v>0</v>
      </c>
      <c r="L361" s="11">
        <f>SUMIFS(TableDailySummary[Online Store_net_sales],TableDailySummary[Fecha],"&gt;="&amp;TableWeeklySummary[[#This Row],[Desde]],TableDailySummary[Fecha],"&lt;="&amp;TableWeeklySummary[[#This Row],[Hasta]])</f>
        <v>0</v>
      </c>
      <c r="M361" s="11">
        <f>SUMIFS(TableDailySummary[Online Store_orders],TableDailySummary[Fecha],"&gt;="&amp;TableWeeklySummary[[#This Row],[Desde]],TableDailySummary[Fecha],"&lt;="&amp;TableWeeklySummary[[#This Row],[Hasta]])</f>
        <v>0</v>
      </c>
      <c r="N361" s="11">
        <f>SUMIFS(TableDailySummary[Tienda 81_net_sales],TableDailySummary[Fecha],"&gt;="&amp;TableWeeklySummary[[#This Row],[Desde]],TableDailySummary[Fecha],"&lt;="&amp;TableWeeklySummary[[#This Row],[Hasta]])</f>
        <v>0</v>
      </c>
      <c r="O361" s="11">
        <f>SUMIFS(TableDailySummary[Tienda 81_orders],TableDailySummary[Fecha],"&gt;="&amp;TableWeeklySummary[[#This Row],[Desde]],TableDailySummary[Fecha],"&lt;="&amp;TableWeeklySummary[[#This Row],[Hasta]])</f>
        <v>0</v>
      </c>
      <c r="P361" s="11">
        <f>SUMIFS(TableDailySummary[Rappi_net_sales],TableDailySummary[Fecha],"&gt;="&amp;TableWeeklySummary[[#This Row],[Desde]],TableDailySummary[Fecha],"&lt;="&amp;TableWeeklySummary[[#This Row],[Hasta]])</f>
        <v>0</v>
      </c>
      <c r="Q361" s="11">
        <f>SUMIFS(TableDailySummary[Rappi_orders],TableDailySummary[Fecha],"&gt;="&amp;TableWeeklySummary[[#This Row],[Desde]],TableDailySummary[Fecha],"&lt;="&amp;TableWeeklySummary[[#This Row],[Hasta]])</f>
        <v>0</v>
      </c>
      <c r="R36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1" s="11">
        <f>SUMIFS(TableDailySummary[Corporativo no tienda_orders],TableDailySummary[Fecha],"&gt;="&amp;TableWeeklySummary[[#This Row],[Desde]],TableDailySummary[Fecha],"&lt;="&amp;TableWeeklySummary[[#This Row],[Hasta]])</f>
        <v>0</v>
      </c>
      <c r="T361" s="11">
        <f>SUMIFS(TableDailySummary[Inversión google ads],TableDailySummary[Fecha],"&gt;="&amp;TableWeeklySummary[[#This Row],[Desde]],TableDailySummary[Fecha],"&lt;="&amp;TableWeeklySummary[[#This Row],[Hasta]])</f>
        <v>0</v>
      </c>
      <c r="U361" s="11">
        <f>SUMIFS(TableDailySummary[Ventas google ads],TableDailySummary[Fecha],"&gt;="&amp;TableWeeklySummary[[#This Row],[Desde]],TableDailySummary[Fecha],"&lt;="&amp;TableWeeklySummary[[#This Row],[Hasta]])</f>
        <v>0</v>
      </c>
      <c r="V361" s="11">
        <f>SUMIFS(TableDailySummary[Inversión meta ads],TableDailySummary[Fecha],"&gt;="&amp;TableWeeklySummary[[#This Row],[Desde]],TableDailySummary[Fecha],"&lt;="&amp;TableWeeklySummary[[#This Row],[Hasta]])</f>
        <v>0</v>
      </c>
      <c r="W361" s="11">
        <f>SUMIFS(TableDailySummary[Ventas meta ads],TableDailySummary[Fecha],"&gt;="&amp;TableWeeklySummary[[#This Row],[Desde]],TableDailySummary[Fecha],"&lt;="&amp;TableWeeklySummary[[#This Row],[Hasta]])</f>
        <v>0</v>
      </c>
      <c r="X361" s="11">
        <f>TableWeeklySummary[[#This Row],[Inversión google ads]]+TableWeeklySummary[[#This Row],[Inversión meta ads]]</f>
        <v>0</v>
      </c>
      <c r="Y361" s="11">
        <f>TableWeeklySummary[[#This Row],[Ventas google ads]]+TableWeeklySummary[[#This Row],[Ventas meta ads]]</f>
        <v>0</v>
      </c>
      <c r="Z361" s="14">
        <f>IFERROR(TableWeeklySummary[[#This Row],[Ventas publicidad]]/TableWeeklySummary[[#This Row],[Inversión publicidad]],0)</f>
        <v>0</v>
      </c>
      <c r="AA361" s="14">
        <f>IFERROR(TableWeeklySummary[[#This Row],[Ventas primer cliente]]/TableWeeklySummary[[#This Row],[Inversión publicidad]],0)</f>
        <v>0</v>
      </c>
      <c r="AB361" s="14"/>
      <c r="AC361" s="11"/>
      <c r="AI36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1" s="11">
        <f>SUMIFS(TableDailySummary[Costo de ventas registrado],TableDailySummary[Fecha],"&gt;="&amp;TableWeeklySummary[[#This Row],[Desde]],TableDailySummary[Fecha],"&lt;="&amp;TableWeeklySummary[[#This Row],[Hasta]])</f>
        <v>0</v>
      </c>
      <c r="AK361" s="11">
        <f>SUMIFS(TableDailySummary[Utilidad bruta],TableDailySummary[Fecha],"&gt;="&amp;TableWeeklySummary[[#This Row],[Desde]],TableDailySummary[Fecha],"&lt;="&amp;TableWeeklySummary[[#This Row],[Hasta]])</f>
        <v>0</v>
      </c>
      <c r="AL361" s="18">
        <f>IFERROR(TableWeeklySummary[[#This Row],[Utilidad bruta]]/TableWeeklySummary[[#This Row],[Ventas netas con costo registrado]],0)</f>
        <v>0</v>
      </c>
    </row>
    <row r="362" spans="2:38" x14ac:dyDescent="0.2">
      <c r="B362" s="16">
        <f>_xlfn.ISOWEEKNUM(TableWeeklySummary[[#This Row],[Hasta]])</f>
        <v>38</v>
      </c>
      <c r="C362" s="6">
        <f t="shared" si="7"/>
        <v>47011</v>
      </c>
      <c r="D362" s="6">
        <f>TableWeeklySummary[[#This Row],[Desde]]+7-1</f>
        <v>47017</v>
      </c>
      <c r="E362" s="11">
        <f>SUMIFS(TableDailySummary[Ventas netas totales],TableDailySummary[Fecha],"&gt;="&amp;TableWeeklySummary[[#This Row],[Desde]],TableDailySummary[Fecha],"&lt;="&amp;TableWeeklySummary[[#This Row],[Hasta]])</f>
        <v>0</v>
      </c>
      <c r="F362" s="11">
        <f>SUMIFS(TableDailySummary[Órdenes totales],TableDailySummary[Fecha],"&gt;="&amp;TableWeeklySummary[[#This Row],[Desde]],TableDailySummary[Fecha],"&lt;="&amp;TableWeeklySummary[[#This Row],[Hasta]])</f>
        <v>0</v>
      </c>
      <c r="G362" s="11">
        <f>IFERROR(TableWeeklySummary[[#This Row],[Ventas netas totales]]/TableWeeklySummary[[#This Row],[Órdenes totales]],0)</f>
        <v>0</v>
      </c>
      <c r="H36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2" s="11">
        <f>TableWeeklySummary[[#This Row],[Órden promedio totales]]*TableWeeklySummary[[#This Row],[CR totales]]</f>
        <v>0</v>
      </c>
      <c r="J362" s="11">
        <f>SUMIFS(TableDailySummary[Ventas primer cliente],TableDailySummary[Fecha],"&gt;="&amp;TableWeeklySummary[[#This Row],[Desde]],TableDailySummary[Fecha],"&lt;="&amp;TableWeeklySummary[[#This Row],[Hasta]])</f>
        <v>0</v>
      </c>
      <c r="K362" s="11">
        <f>SUMIFS(TableDailySummary[Órdenes primer cliente],TableDailySummary[Fecha],"&gt;="&amp;TableWeeklySummary[[#This Row],[Desde]],TableDailySummary[Fecha],"&lt;="&amp;TableWeeklySummary[[#This Row],[Hasta]])</f>
        <v>0</v>
      </c>
      <c r="L362" s="11">
        <f>SUMIFS(TableDailySummary[Online Store_net_sales],TableDailySummary[Fecha],"&gt;="&amp;TableWeeklySummary[[#This Row],[Desde]],TableDailySummary[Fecha],"&lt;="&amp;TableWeeklySummary[[#This Row],[Hasta]])</f>
        <v>0</v>
      </c>
      <c r="M362" s="11">
        <f>SUMIFS(TableDailySummary[Online Store_orders],TableDailySummary[Fecha],"&gt;="&amp;TableWeeklySummary[[#This Row],[Desde]],TableDailySummary[Fecha],"&lt;="&amp;TableWeeklySummary[[#This Row],[Hasta]])</f>
        <v>0</v>
      </c>
      <c r="N362" s="11">
        <f>SUMIFS(TableDailySummary[Tienda 81_net_sales],TableDailySummary[Fecha],"&gt;="&amp;TableWeeklySummary[[#This Row],[Desde]],TableDailySummary[Fecha],"&lt;="&amp;TableWeeklySummary[[#This Row],[Hasta]])</f>
        <v>0</v>
      </c>
      <c r="O362" s="11">
        <f>SUMIFS(TableDailySummary[Tienda 81_orders],TableDailySummary[Fecha],"&gt;="&amp;TableWeeklySummary[[#This Row],[Desde]],TableDailySummary[Fecha],"&lt;="&amp;TableWeeklySummary[[#This Row],[Hasta]])</f>
        <v>0</v>
      </c>
      <c r="P362" s="11">
        <f>SUMIFS(TableDailySummary[Rappi_net_sales],TableDailySummary[Fecha],"&gt;="&amp;TableWeeklySummary[[#This Row],[Desde]],TableDailySummary[Fecha],"&lt;="&amp;TableWeeklySummary[[#This Row],[Hasta]])</f>
        <v>0</v>
      </c>
      <c r="Q362" s="11">
        <f>SUMIFS(TableDailySummary[Rappi_orders],TableDailySummary[Fecha],"&gt;="&amp;TableWeeklySummary[[#This Row],[Desde]],TableDailySummary[Fecha],"&lt;="&amp;TableWeeklySummary[[#This Row],[Hasta]])</f>
        <v>0</v>
      </c>
      <c r="R36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2" s="11">
        <f>SUMIFS(TableDailySummary[Corporativo no tienda_orders],TableDailySummary[Fecha],"&gt;="&amp;TableWeeklySummary[[#This Row],[Desde]],TableDailySummary[Fecha],"&lt;="&amp;TableWeeklySummary[[#This Row],[Hasta]])</f>
        <v>0</v>
      </c>
      <c r="T362" s="11">
        <f>SUMIFS(TableDailySummary[Inversión google ads],TableDailySummary[Fecha],"&gt;="&amp;TableWeeklySummary[[#This Row],[Desde]],TableDailySummary[Fecha],"&lt;="&amp;TableWeeklySummary[[#This Row],[Hasta]])</f>
        <v>0</v>
      </c>
      <c r="U362" s="11">
        <f>SUMIFS(TableDailySummary[Ventas google ads],TableDailySummary[Fecha],"&gt;="&amp;TableWeeklySummary[[#This Row],[Desde]],TableDailySummary[Fecha],"&lt;="&amp;TableWeeklySummary[[#This Row],[Hasta]])</f>
        <v>0</v>
      </c>
      <c r="V362" s="11">
        <f>SUMIFS(TableDailySummary[Inversión meta ads],TableDailySummary[Fecha],"&gt;="&amp;TableWeeklySummary[[#This Row],[Desde]],TableDailySummary[Fecha],"&lt;="&amp;TableWeeklySummary[[#This Row],[Hasta]])</f>
        <v>0</v>
      </c>
      <c r="W362" s="11">
        <f>SUMIFS(TableDailySummary[Ventas meta ads],TableDailySummary[Fecha],"&gt;="&amp;TableWeeklySummary[[#This Row],[Desde]],TableDailySummary[Fecha],"&lt;="&amp;TableWeeklySummary[[#This Row],[Hasta]])</f>
        <v>0</v>
      </c>
      <c r="X362" s="11">
        <f>TableWeeklySummary[[#This Row],[Inversión google ads]]+TableWeeklySummary[[#This Row],[Inversión meta ads]]</f>
        <v>0</v>
      </c>
      <c r="Y362" s="11">
        <f>TableWeeklySummary[[#This Row],[Ventas google ads]]+TableWeeklySummary[[#This Row],[Ventas meta ads]]</f>
        <v>0</v>
      </c>
      <c r="Z362" s="14">
        <f>IFERROR(TableWeeklySummary[[#This Row],[Ventas publicidad]]/TableWeeklySummary[[#This Row],[Inversión publicidad]],0)</f>
        <v>0</v>
      </c>
      <c r="AA362" s="14">
        <f>IFERROR(TableWeeklySummary[[#This Row],[Ventas primer cliente]]/TableWeeklySummary[[#This Row],[Inversión publicidad]],0)</f>
        <v>0</v>
      </c>
      <c r="AB362" s="14"/>
      <c r="AC362" s="11"/>
      <c r="AI36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2" s="11">
        <f>SUMIFS(TableDailySummary[Costo de ventas registrado],TableDailySummary[Fecha],"&gt;="&amp;TableWeeklySummary[[#This Row],[Desde]],TableDailySummary[Fecha],"&lt;="&amp;TableWeeklySummary[[#This Row],[Hasta]])</f>
        <v>0</v>
      </c>
      <c r="AK362" s="11">
        <f>SUMIFS(TableDailySummary[Utilidad bruta],TableDailySummary[Fecha],"&gt;="&amp;TableWeeklySummary[[#This Row],[Desde]],TableDailySummary[Fecha],"&lt;="&amp;TableWeeklySummary[[#This Row],[Hasta]])</f>
        <v>0</v>
      </c>
      <c r="AL362" s="18">
        <f>IFERROR(TableWeeklySummary[[#This Row],[Utilidad bruta]]/TableWeeklySummary[[#This Row],[Ventas netas con costo registrado]],0)</f>
        <v>0</v>
      </c>
    </row>
    <row r="363" spans="2:38" x14ac:dyDescent="0.2">
      <c r="B363" s="16">
        <f>_xlfn.ISOWEEKNUM(TableWeeklySummary[[#This Row],[Hasta]])</f>
        <v>39</v>
      </c>
      <c r="C363" s="6">
        <f t="shared" si="7"/>
        <v>47018</v>
      </c>
      <c r="D363" s="6">
        <f>TableWeeklySummary[[#This Row],[Desde]]+7-1</f>
        <v>47024</v>
      </c>
      <c r="E363" s="11">
        <f>SUMIFS(TableDailySummary[Ventas netas totales],TableDailySummary[Fecha],"&gt;="&amp;TableWeeklySummary[[#This Row],[Desde]],TableDailySummary[Fecha],"&lt;="&amp;TableWeeklySummary[[#This Row],[Hasta]])</f>
        <v>0</v>
      </c>
      <c r="F363" s="11">
        <f>SUMIFS(TableDailySummary[Órdenes totales],TableDailySummary[Fecha],"&gt;="&amp;TableWeeklySummary[[#This Row],[Desde]],TableDailySummary[Fecha],"&lt;="&amp;TableWeeklySummary[[#This Row],[Hasta]])</f>
        <v>0</v>
      </c>
      <c r="G363" s="11">
        <f>IFERROR(TableWeeklySummary[[#This Row],[Ventas netas totales]]/TableWeeklySummary[[#This Row],[Órdenes totales]],0)</f>
        <v>0</v>
      </c>
      <c r="H36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3" s="11">
        <f>TableWeeklySummary[[#This Row],[Órden promedio totales]]*TableWeeklySummary[[#This Row],[CR totales]]</f>
        <v>0</v>
      </c>
      <c r="J363" s="11">
        <f>SUMIFS(TableDailySummary[Ventas primer cliente],TableDailySummary[Fecha],"&gt;="&amp;TableWeeklySummary[[#This Row],[Desde]],TableDailySummary[Fecha],"&lt;="&amp;TableWeeklySummary[[#This Row],[Hasta]])</f>
        <v>0</v>
      </c>
      <c r="K363" s="11">
        <f>SUMIFS(TableDailySummary[Órdenes primer cliente],TableDailySummary[Fecha],"&gt;="&amp;TableWeeklySummary[[#This Row],[Desde]],TableDailySummary[Fecha],"&lt;="&amp;TableWeeklySummary[[#This Row],[Hasta]])</f>
        <v>0</v>
      </c>
      <c r="L363" s="11">
        <f>SUMIFS(TableDailySummary[Online Store_net_sales],TableDailySummary[Fecha],"&gt;="&amp;TableWeeklySummary[[#This Row],[Desde]],TableDailySummary[Fecha],"&lt;="&amp;TableWeeklySummary[[#This Row],[Hasta]])</f>
        <v>0</v>
      </c>
      <c r="M363" s="11">
        <f>SUMIFS(TableDailySummary[Online Store_orders],TableDailySummary[Fecha],"&gt;="&amp;TableWeeklySummary[[#This Row],[Desde]],TableDailySummary[Fecha],"&lt;="&amp;TableWeeklySummary[[#This Row],[Hasta]])</f>
        <v>0</v>
      </c>
      <c r="N363" s="11">
        <f>SUMIFS(TableDailySummary[Tienda 81_net_sales],TableDailySummary[Fecha],"&gt;="&amp;TableWeeklySummary[[#This Row],[Desde]],TableDailySummary[Fecha],"&lt;="&amp;TableWeeklySummary[[#This Row],[Hasta]])</f>
        <v>0</v>
      </c>
      <c r="O363" s="11">
        <f>SUMIFS(TableDailySummary[Tienda 81_orders],TableDailySummary[Fecha],"&gt;="&amp;TableWeeklySummary[[#This Row],[Desde]],TableDailySummary[Fecha],"&lt;="&amp;TableWeeklySummary[[#This Row],[Hasta]])</f>
        <v>0</v>
      </c>
      <c r="P363" s="11">
        <f>SUMIFS(TableDailySummary[Rappi_net_sales],TableDailySummary[Fecha],"&gt;="&amp;TableWeeklySummary[[#This Row],[Desde]],TableDailySummary[Fecha],"&lt;="&amp;TableWeeklySummary[[#This Row],[Hasta]])</f>
        <v>0</v>
      </c>
      <c r="Q363" s="11">
        <f>SUMIFS(TableDailySummary[Rappi_orders],TableDailySummary[Fecha],"&gt;="&amp;TableWeeklySummary[[#This Row],[Desde]],TableDailySummary[Fecha],"&lt;="&amp;TableWeeklySummary[[#This Row],[Hasta]])</f>
        <v>0</v>
      </c>
      <c r="R36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3" s="11">
        <f>SUMIFS(TableDailySummary[Corporativo no tienda_orders],TableDailySummary[Fecha],"&gt;="&amp;TableWeeklySummary[[#This Row],[Desde]],TableDailySummary[Fecha],"&lt;="&amp;TableWeeklySummary[[#This Row],[Hasta]])</f>
        <v>0</v>
      </c>
      <c r="T363" s="11">
        <f>SUMIFS(TableDailySummary[Inversión google ads],TableDailySummary[Fecha],"&gt;="&amp;TableWeeklySummary[[#This Row],[Desde]],TableDailySummary[Fecha],"&lt;="&amp;TableWeeklySummary[[#This Row],[Hasta]])</f>
        <v>0</v>
      </c>
      <c r="U363" s="11">
        <f>SUMIFS(TableDailySummary[Ventas google ads],TableDailySummary[Fecha],"&gt;="&amp;TableWeeklySummary[[#This Row],[Desde]],TableDailySummary[Fecha],"&lt;="&amp;TableWeeklySummary[[#This Row],[Hasta]])</f>
        <v>0</v>
      </c>
      <c r="V363" s="11">
        <f>SUMIFS(TableDailySummary[Inversión meta ads],TableDailySummary[Fecha],"&gt;="&amp;TableWeeklySummary[[#This Row],[Desde]],TableDailySummary[Fecha],"&lt;="&amp;TableWeeklySummary[[#This Row],[Hasta]])</f>
        <v>0</v>
      </c>
      <c r="W363" s="11">
        <f>SUMIFS(TableDailySummary[Ventas meta ads],TableDailySummary[Fecha],"&gt;="&amp;TableWeeklySummary[[#This Row],[Desde]],TableDailySummary[Fecha],"&lt;="&amp;TableWeeklySummary[[#This Row],[Hasta]])</f>
        <v>0</v>
      </c>
      <c r="X363" s="11">
        <f>TableWeeklySummary[[#This Row],[Inversión google ads]]+TableWeeklySummary[[#This Row],[Inversión meta ads]]</f>
        <v>0</v>
      </c>
      <c r="Y363" s="11">
        <f>TableWeeklySummary[[#This Row],[Ventas google ads]]+TableWeeklySummary[[#This Row],[Ventas meta ads]]</f>
        <v>0</v>
      </c>
      <c r="Z363" s="14">
        <f>IFERROR(TableWeeklySummary[[#This Row],[Ventas publicidad]]/TableWeeklySummary[[#This Row],[Inversión publicidad]],0)</f>
        <v>0</v>
      </c>
      <c r="AA363" s="14">
        <f>IFERROR(TableWeeklySummary[[#This Row],[Ventas primer cliente]]/TableWeeklySummary[[#This Row],[Inversión publicidad]],0)</f>
        <v>0</v>
      </c>
      <c r="AB363" s="14"/>
      <c r="AC363" s="11"/>
      <c r="AI36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3" s="11">
        <f>SUMIFS(TableDailySummary[Costo de ventas registrado],TableDailySummary[Fecha],"&gt;="&amp;TableWeeklySummary[[#This Row],[Desde]],TableDailySummary[Fecha],"&lt;="&amp;TableWeeklySummary[[#This Row],[Hasta]])</f>
        <v>0</v>
      </c>
      <c r="AK363" s="11">
        <f>SUMIFS(TableDailySummary[Utilidad bruta],TableDailySummary[Fecha],"&gt;="&amp;TableWeeklySummary[[#This Row],[Desde]],TableDailySummary[Fecha],"&lt;="&amp;TableWeeklySummary[[#This Row],[Hasta]])</f>
        <v>0</v>
      </c>
      <c r="AL363" s="18">
        <f>IFERROR(TableWeeklySummary[[#This Row],[Utilidad bruta]]/TableWeeklySummary[[#This Row],[Ventas netas con costo registrado]],0)</f>
        <v>0</v>
      </c>
    </row>
    <row r="364" spans="2:38" x14ac:dyDescent="0.2">
      <c r="B364" s="16">
        <f>_xlfn.ISOWEEKNUM(TableWeeklySummary[[#This Row],[Hasta]])</f>
        <v>40</v>
      </c>
      <c r="C364" s="6">
        <f t="shared" si="7"/>
        <v>47025</v>
      </c>
      <c r="D364" s="6">
        <f>TableWeeklySummary[[#This Row],[Desde]]+7-1</f>
        <v>47031</v>
      </c>
      <c r="E364" s="11">
        <f>SUMIFS(TableDailySummary[Ventas netas totales],TableDailySummary[Fecha],"&gt;="&amp;TableWeeklySummary[[#This Row],[Desde]],TableDailySummary[Fecha],"&lt;="&amp;TableWeeklySummary[[#This Row],[Hasta]])</f>
        <v>0</v>
      </c>
      <c r="F364" s="11">
        <f>SUMIFS(TableDailySummary[Órdenes totales],TableDailySummary[Fecha],"&gt;="&amp;TableWeeklySummary[[#This Row],[Desde]],TableDailySummary[Fecha],"&lt;="&amp;TableWeeklySummary[[#This Row],[Hasta]])</f>
        <v>0</v>
      </c>
      <c r="G364" s="11">
        <f>IFERROR(TableWeeklySummary[[#This Row],[Ventas netas totales]]/TableWeeklySummary[[#This Row],[Órdenes totales]],0)</f>
        <v>0</v>
      </c>
      <c r="H36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4" s="11">
        <f>TableWeeklySummary[[#This Row],[Órden promedio totales]]*TableWeeklySummary[[#This Row],[CR totales]]</f>
        <v>0</v>
      </c>
      <c r="J364" s="11">
        <f>SUMIFS(TableDailySummary[Ventas primer cliente],TableDailySummary[Fecha],"&gt;="&amp;TableWeeklySummary[[#This Row],[Desde]],TableDailySummary[Fecha],"&lt;="&amp;TableWeeklySummary[[#This Row],[Hasta]])</f>
        <v>0</v>
      </c>
      <c r="K364" s="11">
        <f>SUMIFS(TableDailySummary[Órdenes primer cliente],TableDailySummary[Fecha],"&gt;="&amp;TableWeeklySummary[[#This Row],[Desde]],TableDailySummary[Fecha],"&lt;="&amp;TableWeeklySummary[[#This Row],[Hasta]])</f>
        <v>0</v>
      </c>
      <c r="L364" s="11">
        <f>SUMIFS(TableDailySummary[Online Store_net_sales],TableDailySummary[Fecha],"&gt;="&amp;TableWeeklySummary[[#This Row],[Desde]],TableDailySummary[Fecha],"&lt;="&amp;TableWeeklySummary[[#This Row],[Hasta]])</f>
        <v>0</v>
      </c>
      <c r="M364" s="11">
        <f>SUMIFS(TableDailySummary[Online Store_orders],TableDailySummary[Fecha],"&gt;="&amp;TableWeeklySummary[[#This Row],[Desde]],TableDailySummary[Fecha],"&lt;="&amp;TableWeeklySummary[[#This Row],[Hasta]])</f>
        <v>0</v>
      </c>
      <c r="N364" s="11">
        <f>SUMIFS(TableDailySummary[Tienda 81_net_sales],TableDailySummary[Fecha],"&gt;="&amp;TableWeeklySummary[[#This Row],[Desde]],TableDailySummary[Fecha],"&lt;="&amp;TableWeeklySummary[[#This Row],[Hasta]])</f>
        <v>0</v>
      </c>
      <c r="O364" s="11">
        <f>SUMIFS(TableDailySummary[Tienda 81_orders],TableDailySummary[Fecha],"&gt;="&amp;TableWeeklySummary[[#This Row],[Desde]],TableDailySummary[Fecha],"&lt;="&amp;TableWeeklySummary[[#This Row],[Hasta]])</f>
        <v>0</v>
      </c>
      <c r="P364" s="11">
        <f>SUMIFS(TableDailySummary[Rappi_net_sales],TableDailySummary[Fecha],"&gt;="&amp;TableWeeklySummary[[#This Row],[Desde]],TableDailySummary[Fecha],"&lt;="&amp;TableWeeklySummary[[#This Row],[Hasta]])</f>
        <v>0</v>
      </c>
      <c r="Q364" s="11">
        <f>SUMIFS(TableDailySummary[Rappi_orders],TableDailySummary[Fecha],"&gt;="&amp;TableWeeklySummary[[#This Row],[Desde]],TableDailySummary[Fecha],"&lt;="&amp;TableWeeklySummary[[#This Row],[Hasta]])</f>
        <v>0</v>
      </c>
      <c r="R36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4" s="11">
        <f>SUMIFS(TableDailySummary[Corporativo no tienda_orders],TableDailySummary[Fecha],"&gt;="&amp;TableWeeklySummary[[#This Row],[Desde]],TableDailySummary[Fecha],"&lt;="&amp;TableWeeklySummary[[#This Row],[Hasta]])</f>
        <v>0</v>
      </c>
      <c r="T364" s="11">
        <f>SUMIFS(TableDailySummary[Inversión google ads],TableDailySummary[Fecha],"&gt;="&amp;TableWeeklySummary[[#This Row],[Desde]],TableDailySummary[Fecha],"&lt;="&amp;TableWeeklySummary[[#This Row],[Hasta]])</f>
        <v>0</v>
      </c>
      <c r="U364" s="11">
        <f>SUMIFS(TableDailySummary[Ventas google ads],TableDailySummary[Fecha],"&gt;="&amp;TableWeeklySummary[[#This Row],[Desde]],TableDailySummary[Fecha],"&lt;="&amp;TableWeeklySummary[[#This Row],[Hasta]])</f>
        <v>0</v>
      </c>
      <c r="V364" s="11">
        <f>SUMIFS(TableDailySummary[Inversión meta ads],TableDailySummary[Fecha],"&gt;="&amp;TableWeeklySummary[[#This Row],[Desde]],TableDailySummary[Fecha],"&lt;="&amp;TableWeeklySummary[[#This Row],[Hasta]])</f>
        <v>0</v>
      </c>
      <c r="W364" s="11">
        <f>SUMIFS(TableDailySummary[Ventas meta ads],TableDailySummary[Fecha],"&gt;="&amp;TableWeeklySummary[[#This Row],[Desde]],TableDailySummary[Fecha],"&lt;="&amp;TableWeeklySummary[[#This Row],[Hasta]])</f>
        <v>0</v>
      </c>
      <c r="X364" s="11">
        <f>TableWeeklySummary[[#This Row],[Inversión google ads]]+TableWeeklySummary[[#This Row],[Inversión meta ads]]</f>
        <v>0</v>
      </c>
      <c r="Y364" s="11">
        <f>TableWeeklySummary[[#This Row],[Ventas google ads]]+TableWeeklySummary[[#This Row],[Ventas meta ads]]</f>
        <v>0</v>
      </c>
      <c r="Z364" s="14">
        <f>IFERROR(TableWeeklySummary[[#This Row],[Ventas publicidad]]/TableWeeklySummary[[#This Row],[Inversión publicidad]],0)</f>
        <v>0</v>
      </c>
      <c r="AA364" s="14">
        <f>IFERROR(TableWeeklySummary[[#This Row],[Ventas primer cliente]]/TableWeeklySummary[[#This Row],[Inversión publicidad]],0)</f>
        <v>0</v>
      </c>
      <c r="AB364" s="14"/>
      <c r="AC364" s="11"/>
      <c r="AI36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4" s="11">
        <f>SUMIFS(TableDailySummary[Costo de ventas registrado],TableDailySummary[Fecha],"&gt;="&amp;TableWeeklySummary[[#This Row],[Desde]],TableDailySummary[Fecha],"&lt;="&amp;TableWeeklySummary[[#This Row],[Hasta]])</f>
        <v>0</v>
      </c>
      <c r="AK364" s="11">
        <f>SUMIFS(TableDailySummary[Utilidad bruta],TableDailySummary[Fecha],"&gt;="&amp;TableWeeklySummary[[#This Row],[Desde]],TableDailySummary[Fecha],"&lt;="&amp;TableWeeklySummary[[#This Row],[Hasta]])</f>
        <v>0</v>
      </c>
      <c r="AL364" s="18">
        <f>IFERROR(TableWeeklySummary[[#This Row],[Utilidad bruta]]/TableWeeklySummary[[#This Row],[Ventas netas con costo registrado]],0)</f>
        <v>0</v>
      </c>
    </row>
    <row r="365" spans="2:38" x14ac:dyDescent="0.2">
      <c r="B365" s="16">
        <f>_xlfn.ISOWEEKNUM(TableWeeklySummary[[#This Row],[Hasta]])</f>
        <v>41</v>
      </c>
      <c r="C365" s="6">
        <f t="shared" si="7"/>
        <v>47032</v>
      </c>
      <c r="D365" s="6">
        <f>TableWeeklySummary[[#This Row],[Desde]]+7-1</f>
        <v>47038</v>
      </c>
      <c r="E365" s="11">
        <f>SUMIFS(TableDailySummary[Ventas netas totales],TableDailySummary[Fecha],"&gt;="&amp;TableWeeklySummary[[#This Row],[Desde]],TableDailySummary[Fecha],"&lt;="&amp;TableWeeklySummary[[#This Row],[Hasta]])</f>
        <v>0</v>
      </c>
      <c r="F365" s="11">
        <f>SUMIFS(TableDailySummary[Órdenes totales],TableDailySummary[Fecha],"&gt;="&amp;TableWeeklySummary[[#This Row],[Desde]],TableDailySummary[Fecha],"&lt;="&amp;TableWeeklySummary[[#This Row],[Hasta]])</f>
        <v>0</v>
      </c>
      <c r="G365" s="11">
        <f>IFERROR(TableWeeklySummary[[#This Row],[Ventas netas totales]]/TableWeeklySummary[[#This Row],[Órdenes totales]],0)</f>
        <v>0</v>
      </c>
      <c r="H36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5" s="11">
        <f>TableWeeklySummary[[#This Row],[Órden promedio totales]]*TableWeeklySummary[[#This Row],[CR totales]]</f>
        <v>0</v>
      </c>
      <c r="J365" s="11">
        <f>SUMIFS(TableDailySummary[Ventas primer cliente],TableDailySummary[Fecha],"&gt;="&amp;TableWeeklySummary[[#This Row],[Desde]],TableDailySummary[Fecha],"&lt;="&amp;TableWeeklySummary[[#This Row],[Hasta]])</f>
        <v>0</v>
      </c>
      <c r="K365" s="11">
        <f>SUMIFS(TableDailySummary[Órdenes primer cliente],TableDailySummary[Fecha],"&gt;="&amp;TableWeeklySummary[[#This Row],[Desde]],TableDailySummary[Fecha],"&lt;="&amp;TableWeeklySummary[[#This Row],[Hasta]])</f>
        <v>0</v>
      </c>
      <c r="L365" s="11">
        <f>SUMIFS(TableDailySummary[Online Store_net_sales],TableDailySummary[Fecha],"&gt;="&amp;TableWeeklySummary[[#This Row],[Desde]],TableDailySummary[Fecha],"&lt;="&amp;TableWeeklySummary[[#This Row],[Hasta]])</f>
        <v>0</v>
      </c>
      <c r="M365" s="11">
        <f>SUMIFS(TableDailySummary[Online Store_orders],TableDailySummary[Fecha],"&gt;="&amp;TableWeeklySummary[[#This Row],[Desde]],TableDailySummary[Fecha],"&lt;="&amp;TableWeeklySummary[[#This Row],[Hasta]])</f>
        <v>0</v>
      </c>
      <c r="N365" s="11">
        <f>SUMIFS(TableDailySummary[Tienda 81_net_sales],TableDailySummary[Fecha],"&gt;="&amp;TableWeeklySummary[[#This Row],[Desde]],TableDailySummary[Fecha],"&lt;="&amp;TableWeeklySummary[[#This Row],[Hasta]])</f>
        <v>0</v>
      </c>
      <c r="O365" s="11">
        <f>SUMIFS(TableDailySummary[Tienda 81_orders],TableDailySummary[Fecha],"&gt;="&amp;TableWeeklySummary[[#This Row],[Desde]],TableDailySummary[Fecha],"&lt;="&amp;TableWeeklySummary[[#This Row],[Hasta]])</f>
        <v>0</v>
      </c>
      <c r="P365" s="11">
        <f>SUMIFS(TableDailySummary[Rappi_net_sales],TableDailySummary[Fecha],"&gt;="&amp;TableWeeklySummary[[#This Row],[Desde]],TableDailySummary[Fecha],"&lt;="&amp;TableWeeklySummary[[#This Row],[Hasta]])</f>
        <v>0</v>
      </c>
      <c r="Q365" s="11">
        <f>SUMIFS(TableDailySummary[Rappi_orders],TableDailySummary[Fecha],"&gt;="&amp;TableWeeklySummary[[#This Row],[Desde]],TableDailySummary[Fecha],"&lt;="&amp;TableWeeklySummary[[#This Row],[Hasta]])</f>
        <v>0</v>
      </c>
      <c r="R36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5" s="11">
        <f>SUMIFS(TableDailySummary[Corporativo no tienda_orders],TableDailySummary[Fecha],"&gt;="&amp;TableWeeklySummary[[#This Row],[Desde]],TableDailySummary[Fecha],"&lt;="&amp;TableWeeklySummary[[#This Row],[Hasta]])</f>
        <v>0</v>
      </c>
      <c r="T365" s="11">
        <f>SUMIFS(TableDailySummary[Inversión google ads],TableDailySummary[Fecha],"&gt;="&amp;TableWeeklySummary[[#This Row],[Desde]],TableDailySummary[Fecha],"&lt;="&amp;TableWeeklySummary[[#This Row],[Hasta]])</f>
        <v>0</v>
      </c>
      <c r="U365" s="11">
        <f>SUMIFS(TableDailySummary[Ventas google ads],TableDailySummary[Fecha],"&gt;="&amp;TableWeeklySummary[[#This Row],[Desde]],TableDailySummary[Fecha],"&lt;="&amp;TableWeeklySummary[[#This Row],[Hasta]])</f>
        <v>0</v>
      </c>
      <c r="V365" s="11">
        <f>SUMIFS(TableDailySummary[Inversión meta ads],TableDailySummary[Fecha],"&gt;="&amp;TableWeeklySummary[[#This Row],[Desde]],TableDailySummary[Fecha],"&lt;="&amp;TableWeeklySummary[[#This Row],[Hasta]])</f>
        <v>0</v>
      </c>
      <c r="W365" s="11">
        <f>SUMIFS(TableDailySummary[Ventas meta ads],TableDailySummary[Fecha],"&gt;="&amp;TableWeeklySummary[[#This Row],[Desde]],TableDailySummary[Fecha],"&lt;="&amp;TableWeeklySummary[[#This Row],[Hasta]])</f>
        <v>0</v>
      </c>
      <c r="X365" s="11">
        <f>TableWeeklySummary[[#This Row],[Inversión google ads]]+TableWeeklySummary[[#This Row],[Inversión meta ads]]</f>
        <v>0</v>
      </c>
      <c r="Y365" s="11">
        <f>TableWeeklySummary[[#This Row],[Ventas google ads]]+TableWeeklySummary[[#This Row],[Ventas meta ads]]</f>
        <v>0</v>
      </c>
      <c r="Z365" s="14">
        <f>IFERROR(TableWeeklySummary[[#This Row],[Ventas publicidad]]/TableWeeklySummary[[#This Row],[Inversión publicidad]],0)</f>
        <v>0</v>
      </c>
      <c r="AA365" s="14">
        <f>IFERROR(TableWeeklySummary[[#This Row],[Ventas primer cliente]]/TableWeeklySummary[[#This Row],[Inversión publicidad]],0)</f>
        <v>0</v>
      </c>
      <c r="AB365" s="14"/>
      <c r="AC365" s="11"/>
      <c r="AI36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5" s="11">
        <f>SUMIFS(TableDailySummary[Costo de ventas registrado],TableDailySummary[Fecha],"&gt;="&amp;TableWeeklySummary[[#This Row],[Desde]],TableDailySummary[Fecha],"&lt;="&amp;TableWeeklySummary[[#This Row],[Hasta]])</f>
        <v>0</v>
      </c>
      <c r="AK365" s="11">
        <f>SUMIFS(TableDailySummary[Utilidad bruta],TableDailySummary[Fecha],"&gt;="&amp;TableWeeklySummary[[#This Row],[Desde]],TableDailySummary[Fecha],"&lt;="&amp;TableWeeklySummary[[#This Row],[Hasta]])</f>
        <v>0</v>
      </c>
      <c r="AL365" s="18">
        <f>IFERROR(TableWeeklySummary[[#This Row],[Utilidad bruta]]/TableWeeklySummary[[#This Row],[Ventas netas con costo registrado]],0)</f>
        <v>0</v>
      </c>
    </row>
    <row r="366" spans="2:38" x14ac:dyDescent="0.2">
      <c r="B366" s="16">
        <f>_xlfn.ISOWEEKNUM(TableWeeklySummary[[#This Row],[Hasta]])</f>
        <v>42</v>
      </c>
      <c r="C366" s="6">
        <f t="shared" si="7"/>
        <v>47039</v>
      </c>
      <c r="D366" s="6">
        <f>TableWeeklySummary[[#This Row],[Desde]]+7-1</f>
        <v>47045</v>
      </c>
      <c r="E366" s="11">
        <f>SUMIFS(TableDailySummary[Ventas netas totales],TableDailySummary[Fecha],"&gt;="&amp;TableWeeklySummary[[#This Row],[Desde]],TableDailySummary[Fecha],"&lt;="&amp;TableWeeklySummary[[#This Row],[Hasta]])</f>
        <v>0</v>
      </c>
      <c r="F366" s="11">
        <f>SUMIFS(TableDailySummary[Órdenes totales],TableDailySummary[Fecha],"&gt;="&amp;TableWeeklySummary[[#This Row],[Desde]],TableDailySummary[Fecha],"&lt;="&amp;TableWeeklySummary[[#This Row],[Hasta]])</f>
        <v>0</v>
      </c>
      <c r="G366" s="11">
        <f>IFERROR(TableWeeklySummary[[#This Row],[Ventas netas totales]]/TableWeeklySummary[[#This Row],[Órdenes totales]],0)</f>
        <v>0</v>
      </c>
      <c r="H36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6" s="11">
        <f>TableWeeklySummary[[#This Row],[Órden promedio totales]]*TableWeeklySummary[[#This Row],[CR totales]]</f>
        <v>0</v>
      </c>
      <c r="J366" s="11">
        <f>SUMIFS(TableDailySummary[Ventas primer cliente],TableDailySummary[Fecha],"&gt;="&amp;TableWeeklySummary[[#This Row],[Desde]],TableDailySummary[Fecha],"&lt;="&amp;TableWeeklySummary[[#This Row],[Hasta]])</f>
        <v>0</v>
      </c>
      <c r="K366" s="11">
        <f>SUMIFS(TableDailySummary[Órdenes primer cliente],TableDailySummary[Fecha],"&gt;="&amp;TableWeeklySummary[[#This Row],[Desde]],TableDailySummary[Fecha],"&lt;="&amp;TableWeeklySummary[[#This Row],[Hasta]])</f>
        <v>0</v>
      </c>
      <c r="L366" s="11">
        <f>SUMIFS(TableDailySummary[Online Store_net_sales],TableDailySummary[Fecha],"&gt;="&amp;TableWeeklySummary[[#This Row],[Desde]],TableDailySummary[Fecha],"&lt;="&amp;TableWeeklySummary[[#This Row],[Hasta]])</f>
        <v>0</v>
      </c>
      <c r="M366" s="11">
        <f>SUMIFS(TableDailySummary[Online Store_orders],TableDailySummary[Fecha],"&gt;="&amp;TableWeeklySummary[[#This Row],[Desde]],TableDailySummary[Fecha],"&lt;="&amp;TableWeeklySummary[[#This Row],[Hasta]])</f>
        <v>0</v>
      </c>
      <c r="N366" s="11">
        <f>SUMIFS(TableDailySummary[Tienda 81_net_sales],TableDailySummary[Fecha],"&gt;="&amp;TableWeeklySummary[[#This Row],[Desde]],TableDailySummary[Fecha],"&lt;="&amp;TableWeeklySummary[[#This Row],[Hasta]])</f>
        <v>0</v>
      </c>
      <c r="O366" s="11">
        <f>SUMIFS(TableDailySummary[Tienda 81_orders],TableDailySummary[Fecha],"&gt;="&amp;TableWeeklySummary[[#This Row],[Desde]],TableDailySummary[Fecha],"&lt;="&amp;TableWeeklySummary[[#This Row],[Hasta]])</f>
        <v>0</v>
      </c>
      <c r="P366" s="11">
        <f>SUMIFS(TableDailySummary[Rappi_net_sales],TableDailySummary[Fecha],"&gt;="&amp;TableWeeklySummary[[#This Row],[Desde]],TableDailySummary[Fecha],"&lt;="&amp;TableWeeklySummary[[#This Row],[Hasta]])</f>
        <v>0</v>
      </c>
      <c r="Q366" s="11">
        <f>SUMIFS(TableDailySummary[Rappi_orders],TableDailySummary[Fecha],"&gt;="&amp;TableWeeklySummary[[#This Row],[Desde]],TableDailySummary[Fecha],"&lt;="&amp;TableWeeklySummary[[#This Row],[Hasta]])</f>
        <v>0</v>
      </c>
      <c r="R36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6" s="11">
        <f>SUMIFS(TableDailySummary[Corporativo no tienda_orders],TableDailySummary[Fecha],"&gt;="&amp;TableWeeklySummary[[#This Row],[Desde]],TableDailySummary[Fecha],"&lt;="&amp;TableWeeklySummary[[#This Row],[Hasta]])</f>
        <v>0</v>
      </c>
      <c r="T366" s="11">
        <f>SUMIFS(TableDailySummary[Inversión google ads],TableDailySummary[Fecha],"&gt;="&amp;TableWeeklySummary[[#This Row],[Desde]],TableDailySummary[Fecha],"&lt;="&amp;TableWeeklySummary[[#This Row],[Hasta]])</f>
        <v>0</v>
      </c>
      <c r="U366" s="11">
        <f>SUMIFS(TableDailySummary[Ventas google ads],TableDailySummary[Fecha],"&gt;="&amp;TableWeeklySummary[[#This Row],[Desde]],TableDailySummary[Fecha],"&lt;="&amp;TableWeeklySummary[[#This Row],[Hasta]])</f>
        <v>0</v>
      </c>
      <c r="V366" s="11">
        <f>SUMIFS(TableDailySummary[Inversión meta ads],TableDailySummary[Fecha],"&gt;="&amp;TableWeeklySummary[[#This Row],[Desde]],TableDailySummary[Fecha],"&lt;="&amp;TableWeeklySummary[[#This Row],[Hasta]])</f>
        <v>0</v>
      </c>
      <c r="W366" s="11">
        <f>SUMIFS(TableDailySummary[Ventas meta ads],TableDailySummary[Fecha],"&gt;="&amp;TableWeeklySummary[[#This Row],[Desde]],TableDailySummary[Fecha],"&lt;="&amp;TableWeeklySummary[[#This Row],[Hasta]])</f>
        <v>0</v>
      </c>
      <c r="X366" s="11">
        <f>TableWeeklySummary[[#This Row],[Inversión google ads]]+TableWeeklySummary[[#This Row],[Inversión meta ads]]</f>
        <v>0</v>
      </c>
      <c r="Y366" s="11">
        <f>TableWeeklySummary[[#This Row],[Ventas google ads]]+TableWeeklySummary[[#This Row],[Ventas meta ads]]</f>
        <v>0</v>
      </c>
      <c r="Z366" s="14">
        <f>IFERROR(TableWeeklySummary[[#This Row],[Ventas publicidad]]/TableWeeklySummary[[#This Row],[Inversión publicidad]],0)</f>
        <v>0</v>
      </c>
      <c r="AA366" s="14">
        <f>IFERROR(TableWeeklySummary[[#This Row],[Ventas primer cliente]]/TableWeeklySummary[[#This Row],[Inversión publicidad]],0)</f>
        <v>0</v>
      </c>
      <c r="AB366" s="14"/>
      <c r="AC366" s="11"/>
      <c r="AI36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6" s="11">
        <f>SUMIFS(TableDailySummary[Costo de ventas registrado],TableDailySummary[Fecha],"&gt;="&amp;TableWeeklySummary[[#This Row],[Desde]],TableDailySummary[Fecha],"&lt;="&amp;TableWeeklySummary[[#This Row],[Hasta]])</f>
        <v>0</v>
      </c>
      <c r="AK366" s="11">
        <f>SUMIFS(TableDailySummary[Utilidad bruta],TableDailySummary[Fecha],"&gt;="&amp;TableWeeklySummary[[#This Row],[Desde]],TableDailySummary[Fecha],"&lt;="&amp;TableWeeklySummary[[#This Row],[Hasta]])</f>
        <v>0</v>
      </c>
      <c r="AL366" s="18">
        <f>IFERROR(TableWeeklySummary[[#This Row],[Utilidad bruta]]/TableWeeklySummary[[#This Row],[Ventas netas con costo registrado]],0)</f>
        <v>0</v>
      </c>
    </row>
    <row r="367" spans="2:38" x14ac:dyDescent="0.2">
      <c r="B367" s="16">
        <f>_xlfn.ISOWEEKNUM(TableWeeklySummary[[#This Row],[Hasta]])</f>
        <v>43</v>
      </c>
      <c r="C367" s="6">
        <f t="shared" si="7"/>
        <v>47046</v>
      </c>
      <c r="D367" s="6">
        <f>TableWeeklySummary[[#This Row],[Desde]]+7-1</f>
        <v>47052</v>
      </c>
      <c r="E367" s="11">
        <f>SUMIFS(TableDailySummary[Ventas netas totales],TableDailySummary[Fecha],"&gt;="&amp;TableWeeklySummary[[#This Row],[Desde]],TableDailySummary[Fecha],"&lt;="&amp;TableWeeklySummary[[#This Row],[Hasta]])</f>
        <v>0</v>
      </c>
      <c r="F367" s="11">
        <f>SUMIFS(TableDailySummary[Órdenes totales],TableDailySummary[Fecha],"&gt;="&amp;TableWeeklySummary[[#This Row],[Desde]],TableDailySummary[Fecha],"&lt;="&amp;TableWeeklySummary[[#This Row],[Hasta]])</f>
        <v>0</v>
      </c>
      <c r="G367" s="11">
        <f>IFERROR(TableWeeklySummary[[#This Row],[Ventas netas totales]]/TableWeeklySummary[[#This Row],[Órdenes totales]],0)</f>
        <v>0</v>
      </c>
      <c r="H36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7" s="11">
        <f>TableWeeklySummary[[#This Row],[Órden promedio totales]]*TableWeeklySummary[[#This Row],[CR totales]]</f>
        <v>0</v>
      </c>
      <c r="J367" s="11">
        <f>SUMIFS(TableDailySummary[Ventas primer cliente],TableDailySummary[Fecha],"&gt;="&amp;TableWeeklySummary[[#This Row],[Desde]],TableDailySummary[Fecha],"&lt;="&amp;TableWeeklySummary[[#This Row],[Hasta]])</f>
        <v>0</v>
      </c>
      <c r="K367" s="11">
        <f>SUMIFS(TableDailySummary[Órdenes primer cliente],TableDailySummary[Fecha],"&gt;="&amp;TableWeeklySummary[[#This Row],[Desde]],TableDailySummary[Fecha],"&lt;="&amp;TableWeeklySummary[[#This Row],[Hasta]])</f>
        <v>0</v>
      </c>
      <c r="L367" s="11">
        <f>SUMIFS(TableDailySummary[Online Store_net_sales],TableDailySummary[Fecha],"&gt;="&amp;TableWeeklySummary[[#This Row],[Desde]],TableDailySummary[Fecha],"&lt;="&amp;TableWeeklySummary[[#This Row],[Hasta]])</f>
        <v>0</v>
      </c>
      <c r="M367" s="11">
        <f>SUMIFS(TableDailySummary[Online Store_orders],TableDailySummary[Fecha],"&gt;="&amp;TableWeeklySummary[[#This Row],[Desde]],TableDailySummary[Fecha],"&lt;="&amp;TableWeeklySummary[[#This Row],[Hasta]])</f>
        <v>0</v>
      </c>
      <c r="N367" s="11">
        <f>SUMIFS(TableDailySummary[Tienda 81_net_sales],TableDailySummary[Fecha],"&gt;="&amp;TableWeeklySummary[[#This Row],[Desde]],TableDailySummary[Fecha],"&lt;="&amp;TableWeeklySummary[[#This Row],[Hasta]])</f>
        <v>0</v>
      </c>
      <c r="O367" s="11">
        <f>SUMIFS(TableDailySummary[Tienda 81_orders],TableDailySummary[Fecha],"&gt;="&amp;TableWeeklySummary[[#This Row],[Desde]],TableDailySummary[Fecha],"&lt;="&amp;TableWeeklySummary[[#This Row],[Hasta]])</f>
        <v>0</v>
      </c>
      <c r="P367" s="11">
        <f>SUMIFS(TableDailySummary[Rappi_net_sales],TableDailySummary[Fecha],"&gt;="&amp;TableWeeklySummary[[#This Row],[Desde]],TableDailySummary[Fecha],"&lt;="&amp;TableWeeklySummary[[#This Row],[Hasta]])</f>
        <v>0</v>
      </c>
      <c r="Q367" s="11">
        <f>SUMIFS(TableDailySummary[Rappi_orders],TableDailySummary[Fecha],"&gt;="&amp;TableWeeklySummary[[#This Row],[Desde]],TableDailySummary[Fecha],"&lt;="&amp;TableWeeklySummary[[#This Row],[Hasta]])</f>
        <v>0</v>
      </c>
      <c r="R36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7" s="11">
        <f>SUMIFS(TableDailySummary[Corporativo no tienda_orders],TableDailySummary[Fecha],"&gt;="&amp;TableWeeklySummary[[#This Row],[Desde]],TableDailySummary[Fecha],"&lt;="&amp;TableWeeklySummary[[#This Row],[Hasta]])</f>
        <v>0</v>
      </c>
      <c r="T367" s="11">
        <f>SUMIFS(TableDailySummary[Inversión google ads],TableDailySummary[Fecha],"&gt;="&amp;TableWeeklySummary[[#This Row],[Desde]],TableDailySummary[Fecha],"&lt;="&amp;TableWeeklySummary[[#This Row],[Hasta]])</f>
        <v>0</v>
      </c>
      <c r="U367" s="11">
        <f>SUMIFS(TableDailySummary[Ventas google ads],TableDailySummary[Fecha],"&gt;="&amp;TableWeeklySummary[[#This Row],[Desde]],TableDailySummary[Fecha],"&lt;="&amp;TableWeeklySummary[[#This Row],[Hasta]])</f>
        <v>0</v>
      </c>
      <c r="V367" s="11">
        <f>SUMIFS(TableDailySummary[Inversión meta ads],TableDailySummary[Fecha],"&gt;="&amp;TableWeeklySummary[[#This Row],[Desde]],TableDailySummary[Fecha],"&lt;="&amp;TableWeeklySummary[[#This Row],[Hasta]])</f>
        <v>0</v>
      </c>
      <c r="W367" s="11">
        <f>SUMIFS(TableDailySummary[Ventas meta ads],TableDailySummary[Fecha],"&gt;="&amp;TableWeeklySummary[[#This Row],[Desde]],TableDailySummary[Fecha],"&lt;="&amp;TableWeeklySummary[[#This Row],[Hasta]])</f>
        <v>0</v>
      </c>
      <c r="X367" s="11">
        <f>TableWeeklySummary[[#This Row],[Inversión google ads]]+TableWeeklySummary[[#This Row],[Inversión meta ads]]</f>
        <v>0</v>
      </c>
      <c r="Y367" s="11">
        <f>TableWeeklySummary[[#This Row],[Ventas google ads]]+TableWeeklySummary[[#This Row],[Ventas meta ads]]</f>
        <v>0</v>
      </c>
      <c r="Z367" s="14">
        <f>IFERROR(TableWeeklySummary[[#This Row],[Ventas publicidad]]/TableWeeklySummary[[#This Row],[Inversión publicidad]],0)</f>
        <v>0</v>
      </c>
      <c r="AA367" s="14">
        <f>IFERROR(TableWeeklySummary[[#This Row],[Ventas primer cliente]]/TableWeeklySummary[[#This Row],[Inversión publicidad]],0)</f>
        <v>0</v>
      </c>
      <c r="AB367" s="14"/>
      <c r="AC367" s="11"/>
      <c r="AI36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7" s="11">
        <f>SUMIFS(TableDailySummary[Costo de ventas registrado],TableDailySummary[Fecha],"&gt;="&amp;TableWeeklySummary[[#This Row],[Desde]],TableDailySummary[Fecha],"&lt;="&amp;TableWeeklySummary[[#This Row],[Hasta]])</f>
        <v>0</v>
      </c>
      <c r="AK367" s="11">
        <f>SUMIFS(TableDailySummary[Utilidad bruta],TableDailySummary[Fecha],"&gt;="&amp;TableWeeklySummary[[#This Row],[Desde]],TableDailySummary[Fecha],"&lt;="&amp;TableWeeklySummary[[#This Row],[Hasta]])</f>
        <v>0</v>
      </c>
      <c r="AL367" s="18">
        <f>IFERROR(TableWeeklySummary[[#This Row],[Utilidad bruta]]/TableWeeklySummary[[#This Row],[Ventas netas con costo registrado]],0)</f>
        <v>0</v>
      </c>
    </row>
    <row r="368" spans="2:38" x14ac:dyDescent="0.2">
      <c r="B368" s="16">
        <f>_xlfn.ISOWEEKNUM(TableWeeklySummary[[#This Row],[Hasta]])</f>
        <v>44</v>
      </c>
      <c r="C368" s="6">
        <f t="shared" si="7"/>
        <v>47053</v>
      </c>
      <c r="D368" s="6">
        <f>TableWeeklySummary[[#This Row],[Desde]]+7-1</f>
        <v>47059</v>
      </c>
      <c r="E368" s="11">
        <f>SUMIFS(TableDailySummary[Ventas netas totales],TableDailySummary[Fecha],"&gt;="&amp;TableWeeklySummary[[#This Row],[Desde]],TableDailySummary[Fecha],"&lt;="&amp;TableWeeklySummary[[#This Row],[Hasta]])</f>
        <v>0</v>
      </c>
      <c r="F368" s="11">
        <f>SUMIFS(TableDailySummary[Órdenes totales],TableDailySummary[Fecha],"&gt;="&amp;TableWeeklySummary[[#This Row],[Desde]],TableDailySummary[Fecha],"&lt;="&amp;TableWeeklySummary[[#This Row],[Hasta]])</f>
        <v>0</v>
      </c>
      <c r="G368" s="11">
        <f>IFERROR(TableWeeklySummary[[#This Row],[Ventas netas totales]]/TableWeeklySummary[[#This Row],[Órdenes totales]],0)</f>
        <v>0</v>
      </c>
      <c r="H36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8" s="11">
        <f>TableWeeklySummary[[#This Row],[Órden promedio totales]]*TableWeeklySummary[[#This Row],[CR totales]]</f>
        <v>0</v>
      </c>
      <c r="J368" s="11">
        <f>SUMIFS(TableDailySummary[Ventas primer cliente],TableDailySummary[Fecha],"&gt;="&amp;TableWeeklySummary[[#This Row],[Desde]],TableDailySummary[Fecha],"&lt;="&amp;TableWeeklySummary[[#This Row],[Hasta]])</f>
        <v>0</v>
      </c>
      <c r="K368" s="11">
        <f>SUMIFS(TableDailySummary[Órdenes primer cliente],TableDailySummary[Fecha],"&gt;="&amp;TableWeeklySummary[[#This Row],[Desde]],TableDailySummary[Fecha],"&lt;="&amp;TableWeeklySummary[[#This Row],[Hasta]])</f>
        <v>0</v>
      </c>
      <c r="L368" s="11">
        <f>SUMIFS(TableDailySummary[Online Store_net_sales],TableDailySummary[Fecha],"&gt;="&amp;TableWeeklySummary[[#This Row],[Desde]],TableDailySummary[Fecha],"&lt;="&amp;TableWeeklySummary[[#This Row],[Hasta]])</f>
        <v>0</v>
      </c>
      <c r="M368" s="11">
        <f>SUMIFS(TableDailySummary[Online Store_orders],TableDailySummary[Fecha],"&gt;="&amp;TableWeeklySummary[[#This Row],[Desde]],TableDailySummary[Fecha],"&lt;="&amp;TableWeeklySummary[[#This Row],[Hasta]])</f>
        <v>0</v>
      </c>
      <c r="N368" s="11">
        <f>SUMIFS(TableDailySummary[Tienda 81_net_sales],TableDailySummary[Fecha],"&gt;="&amp;TableWeeklySummary[[#This Row],[Desde]],TableDailySummary[Fecha],"&lt;="&amp;TableWeeklySummary[[#This Row],[Hasta]])</f>
        <v>0</v>
      </c>
      <c r="O368" s="11">
        <f>SUMIFS(TableDailySummary[Tienda 81_orders],TableDailySummary[Fecha],"&gt;="&amp;TableWeeklySummary[[#This Row],[Desde]],TableDailySummary[Fecha],"&lt;="&amp;TableWeeklySummary[[#This Row],[Hasta]])</f>
        <v>0</v>
      </c>
      <c r="P368" s="11">
        <f>SUMIFS(TableDailySummary[Rappi_net_sales],TableDailySummary[Fecha],"&gt;="&amp;TableWeeklySummary[[#This Row],[Desde]],TableDailySummary[Fecha],"&lt;="&amp;TableWeeklySummary[[#This Row],[Hasta]])</f>
        <v>0</v>
      </c>
      <c r="Q368" s="11">
        <f>SUMIFS(TableDailySummary[Rappi_orders],TableDailySummary[Fecha],"&gt;="&amp;TableWeeklySummary[[#This Row],[Desde]],TableDailySummary[Fecha],"&lt;="&amp;TableWeeklySummary[[#This Row],[Hasta]])</f>
        <v>0</v>
      </c>
      <c r="R36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8" s="11">
        <f>SUMIFS(TableDailySummary[Corporativo no tienda_orders],TableDailySummary[Fecha],"&gt;="&amp;TableWeeklySummary[[#This Row],[Desde]],TableDailySummary[Fecha],"&lt;="&amp;TableWeeklySummary[[#This Row],[Hasta]])</f>
        <v>0</v>
      </c>
      <c r="T368" s="11">
        <f>SUMIFS(TableDailySummary[Inversión google ads],TableDailySummary[Fecha],"&gt;="&amp;TableWeeklySummary[[#This Row],[Desde]],TableDailySummary[Fecha],"&lt;="&amp;TableWeeklySummary[[#This Row],[Hasta]])</f>
        <v>0</v>
      </c>
      <c r="U368" s="11">
        <f>SUMIFS(TableDailySummary[Ventas google ads],TableDailySummary[Fecha],"&gt;="&amp;TableWeeklySummary[[#This Row],[Desde]],TableDailySummary[Fecha],"&lt;="&amp;TableWeeklySummary[[#This Row],[Hasta]])</f>
        <v>0</v>
      </c>
      <c r="V368" s="11">
        <f>SUMIFS(TableDailySummary[Inversión meta ads],TableDailySummary[Fecha],"&gt;="&amp;TableWeeklySummary[[#This Row],[Desde]],TableDailySummary[Fecha],"&lt;="&amp;TableWeeklySummary[[#This Row],[Hasta]])</f>
        <v>0</v>
      </c>
      <c r="W368" s="11">
        <f>SUMIFS(TableDailySummary[Ventas meta ads],TableDailySummary[Fecha],"&gt;="&amp;TableWeeklySummary[[#This Row],[Desde]],TableDailySummary[Fecha],"&lt;="&amp;TableWeeklySummary[[#This Row],[Hasta]])</f>
        <v>0</v>
      </c>
      <c r="X368" s="11">
        <f>TableWeeklySummary[[#This Row],[Inversión google ads]]+TableWeeklySummary[[#This Row],[Inversión meta ads]]</f>
        <v>0</v>
      </c>
      <c r="Y368" s="11">
        <f>TableWeeklySummary[[#This Row],[Ventas google ads]]+TableWeeklySummary[[#This Row],[Ventas meta ads]]</f>
        <v>0</v>
      </c>
      <c r="Z368" s="14">
        <f>IFERROR(TableWeeklySummary[[#This Row],[Ventas publicidad]]/TableWeeklySummary[[#This Row],[Inversión publicidad]],0)</f>
        <v>0</v>
      </c>
      <c r="AA368" s="14">
        <f>IFERROR(TableWeeklySummary[[#This Row],[Ventas primer cliente]]/TableWeeklySummary[[#This Row],[Inversión publicidad]],0)</f>
        <v>0</v>
      </c>
      <c r="AB368" s="14"/>
      <c r="AC368" s="11"/>
      <c r="AI36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8" s="11">
        <f>SUMIFS(TableDailySummary[Costo de ventas registrado],TableDailySummary[Fecha],"&gt;="&amp;TableWeeklySummary[[#This Row],[Desde]],TableDailySummary[Fecha],"&lt;="&amp;TableWeeklySummary[[#This Row],[Hasta]])</f>
        <v>0</v>
      </c>
      <c r="AK368" s="11">
        <f>SUMIFS(TableDailySummary[Utilidad bruta],TableDailySummary[Fecha],"&gt;="&amp;TableWeeklySummary[[#This Row],[Desde]],TableDailySummary[Fecha],"&lt;="&amp;TableWeeklySummary[[#This Row],[Hasta]])</f>
        <v>0</v>
      </c>
      <c r="AL368" s="18">
        <f>IFERROR(TableWeeklySummary[[#This Row],[Utilidad bruta]]/TableWeeklySummary[[#This Row],[Ventas netas con costo registrado]],0)</f>
        <v>0</v>
      </c>
    </row>
    <row r="369" spans="2:38" x14ac:dyDescent="0.2">
      <c r="B369" s="16">
        <f>_xlfn.ISOWEEKNUM(TableWeeklySummary[[#This Row],[Hasta]])</f>
        <v>45</v>
      </c>
      <c r="C369" s="6">
        <f t="shared" si="7"/>
        <v>47060</v>
      </c>
      <c r="D369" s="6">
        <f>TableWeeklySummary[[#This Row],[Desde]]+7-1</f>
        <v>47066</v>
      </c>
      <c r="E369" s="11">
        <f>SUMIFS(TableDailySummary[Ventas netas totales],TableDailySummary[Fecha],"&gt;="&amp;TableWeeklySummary[[#This Row],[Desde]],TableDailySummary[Fecha],"&lt;="&amp;TableWeeklySummary[[#This Row],[Hasta]])</f>
        <v>0</v>
      </c>
      <c r="F369" s="11">
        <f>SUMIFS(TableDailySummary[Órdenes totales],TableDailySummary[Fecha],"&gt;="&amp;TableWeeklySummary[[#This Row],[Desde]],TableDailySummary[Fecha],"&lt;="&amp;TableWeeklySummary[[#This Row],[Hasta]])</f>
        <v>0</v>
      </c>
      <c r="G369" s="11">
        <f>IFERROR(TableWeeklySummary[[#This Row],[Ventas netas totales]]/TableWeeklySummary[[#This Row],[Órdenes totales]],0)</f>
        <v>0</v>
      </c>
      <c r="H36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69" s="11">
        <f>TableWeeklySummary[[#This Row],[Órden promedio totales]]*TableWeeklySummary[[#This Row],[CR totales]]</f>
        <v>0</v>
      </c>
      <c r="J369" s="11">
        <f>SUMIFS(TableDailySummary[Ventas primer cliente],TableDailySummary[Fecha],"&gt;="&amp;TableWeeklySummary[[#This Row],[Desde]],TableDailySummary[Fecha],"&lt;="&amp;TableWeeklySummary[[#This Row],[Hasta]])</f>
        <v>0</v>
      </c>
      <c r="K369" s="11">
        <f>SUMIFS(TableDailySummary[Órdenes primer cliente],TableDailySummary[Fecha],"&gt;="&amp;TableWeeklySummary[[#This Row],[Desde]],TableDailySummary[Fecha],"&lt;="&amp;TableWeeklySummary[[#This Row],[Hasta]])</f>
        <v>0</v>
      </c>
      <c r="L369" s="11">
        <f>SUMIFS(TableDailySummary[Online Store_net_sales],TableDailySummary[Fecha],"&gt;="&amp;TableWeeklySummary[[#This Row],[Desde]],TableDailySummary[Fecha],"&lt;="&amp;TableWeeklySummary[[#This Row],[Hasta]])</f>
        <v>0</v>
      </c>
      <c r="M369" s="11">
        <f>SUMIFS(TableDailySummary[Online Store_orders],TableDailySummary[Fecha],"&gt;="&amp;TableWeeklySummary[[#This Row],[Desde]],TableDailySummary[Fecha],"&lt;="&amp;TableWeeklySummary[[#This Row],[Hasta]])</f>
        <v>0</v>
      </c>
      <c r="N369" s="11">
        <f>SUMIFS(TableDailySummary[Tienda 81_net_sales],TableDailySummary[Fecha],"&gt;="&amp;TableWeeklySummary[[#This Row],[Desde]],TableDailySummary[Fecha],"&lt;="&amp;TableWeeklySummary[[#This Row],[Hasta]])</f>
        <v>0</v>
      </c>
      <c r="O369" s="11">
        <f>SUMIFS(TableDailySummary[Tienda 81_orders],TableDailySummary[Fecha],"&gt;="&amp;TableWeeklySummary[[#This Row],[Desde]],TableDailySummary[Fecha],"&lt;="&amp;TableWeeklySummary[[#This Row],[Hasta]])</f>
        <v>0</v>
      </c>
      <c r="P369" s="11">
        <f>SUMIFS(TableDailySummary[Rappi_net_sales],TableDailySummary[Fecha],"&gt;="&amp;TableWeeklySummary[[#This Row],[Desde]],TableDailySummary[Fecha],"&lt;="&amp;TableWeeklySummary[[#This Row],[Hasta]])</f>
        <v>0</v>
      </c>
      <c r="Q369" s="11">
        <f>SUMIFS(TableDailySummary[Rappi_orders],TableDailySummary[Fecha],"&gt;="&amp;TableWeeklySummary[[#This Row],[Desde]],TableDailySummary[Fecha],"&lt;="&amp;TableWeeklySummary[[#This Row],[Hasta]])</f>
        <v>0</v>
      </c>
      <c r="R36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69" s="11">
        <f>SUMIFS(TableDailySummary[Corporativo no tienda_orders],TableDailySummary[Fecha],"&gt;="&amp;TableWeeklySummary[[#This Row],[Desde]],TableDailySummary[Fecha],"&lt;="&amp;TableWeeklySummary[[#This Row],[Hasta]])</f>
        <v>0</v>
      </c>
      <c r="T369" s="11">
        <f>SUMIFS(TableDailySummary[Inversión google ads],TableDailySummary[Fecha],"&gt;="&amp;TableWeeklySummary[[#This Row],[Desde]],TableDailySummary[Fecha],"&lt;="&amp;TableWeeklySummary[[#This Row],[Hasta]])</f>
        <v>0</v>
      </c>
      <c r="U369" s="11">
        <f>SUMIFS(TableDailySummary[Ventas google ads],TableDailySummary[Fecha],"&gt;="&amp;TableWeeklySummary[[#This Row],[Desde]],TableDailySummary[Fecha],"&lt;="&amp;TableWeeklySummary[[#This Row],[Hasta]])</f>
        <v>0</v>
      </c>
      <c r="V369" s="11">
        <f>SUMIFS(TableDailySummary[Inversión meta ads],TableDailySummary[Fecha],"&gt;="&amp;TableWeeklySummary[[#This Row],[Desde]],TableDailySummary[Fecha],"&lt;="&amp;TableWeeklySummary[[#This Row],[Hasta]])</f>
        <v>0</v>
      </c>
      <c r="W369" s="11">
        <f>SUMIFS(TableDailySummary[Ventas meta ads],TableDailySummary[Fecha],"&gt;="&amp;TableWeeklySummary[[#This Row],[Desde]],TableDailySummary[Fecha],"&lt;="&amp;TableWeeklySummary[[#This Row],[Hasta]])</f>
        <v>0</v>
      </c>
      <c r="X369" s="11">
        <f>TableWeeklySummary[[#This Row],[Inversión google ads]]+TableWeeklySummary[[#This Row],[Inversión meta ads]]</f>
        <v>0</v>
      </c>
      <c r="Y369" s="11">
        <f>TableWeeklySummary[[#This Row],[Ventas google ads]]+TableWeeklySummary[[#This Row],[Ventas meta ads]]</f>
        <v>0</v>
      </c>
      <c r="Z369" s="14">
        <f>IFERROR(TableWeeklySummary[[#This Row],[Ventas publicidad]]/TableWeeklySummary[[#This Row],[Inversión publicidad]],0)</f>
        <v>0</v>
      </c>
      <c r="AA369" s="14">
        <f>IFERROR(TableWeeklySummary[[#This Row],[Ventas primer cliente]]/TableWeeklySummary[[#This Row],[Inversión publicidad]],0)</f>
        <v>0</v>
      </c>
      <c r="AB369" s="14"/>
      <c r="AC369" s="11"/>
      <c r="AI36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69" s="11">
        <f>SUMIFS(TableDailySummary[Costo de ventas registrado],TableDailySummary[Fecha],"&gt;="&amp;TableWeeklySummary[[#This Row],[Desde]],TableDailySummary[Fecha],"&lt;="&amp;TableWeeklySummary[[#This Row],[Hasta]])</f>
        <v>0</v>
      </c>
      <c r="AK369" s="11">
        <f>SUMIFS(TableDailySummary[Utilidad bruta],TableDailySummary[Fecha],"&gt;="&amp;TableWeeklySummary[[#This Row],[Desde]],TableDailySummary[Fecha],"&lt;="&amp;TableWeeklySummary[[#This Row],[Hasta]])</f>
        <v>0</v>
      </c>
      <c r="AL369" s="18">
        <f>IFERROR(TableWeeklySummary[[#This Row],[Utilidad bruta]]/TableWeeklySummary[[#This Row],[Ventas netas con costo registrado]],0)</f>
        <v>0</v>
      </c>
    </row>
    <row r="370" spans="2:38" x14ac:dyDescent="0.2">
      <c r="B370" s="16">
        <f>_xlfn.ISOWEEKNUM(TableWeeklySummary[[#This Row],[Hasta]])</f>
        <v>46</v>
      </c>
      <c r="C370" s="6">
        <f t="shared" si="7"/>
        <v>47067</v>
      </c>
      <c r="D370" s="6">
        <f>TableWeeklySummary[[#This Row],[Desde]]+7-1</f>
        <v>47073</v>
      </c>
      <c r="E370" s="11">
        <f>SUMIFS(TableDailySummary[Ventas netas totales],TableDailySummary[Fecha],"&gt;="&amp;TableWeeklySummary[[#This Row],[Desde]],TableDailySummary[Fecha],"&lt;="&amp;TableWeeklySummary[[#This Row],[Hasta]])</f>
        <v>0</v>
      </c>
      <c r="F370" s="11">
        <f>SUMIFS(TableDailySummary[Órdenes totales],TableDailySummary[Fecha],"&gt;="&amp;TableWeeklySummary[[#This Row],[Desde]],TableDailySummary[Fecha],"&lt;="&amp;TableWeeklySummary[[#This Row],[Hasta]])</f>
        <v>0</v>
      </c>
      <c r="G370" s="11">
        <f>IFERROR(TableWeeklySummary[[#This Row],[Ventas netas totales]]/TableWeeklySummary[[#This Row],[Órdenes totales]],0)</f>
        <v>0</v>
      </c>
      <c r="H37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0" s="11">
        <f>TableWeeklySummary[[#This Row],[Órden promedio totales]]*TableWeeklySummary[[#This Row],[CR totales]]</f>
        <v>0</v>
      </c>
      <c r="J370" s="11">
        <f>SUMIFS(TableDailySummary[Ventas primer cliente],TableDailySummary[Fecha],"&gt;="&amp;TableWeeklySummary[[#This Row],[Desde]],TableDailySummary[Fecha],"&lt;="&amp;TableWeeklySummary[[#This Row],[Hasta]])</f>
        <v>0</v>
      </c>
      <c r="K370" s="11">
        <f>SUMIFS(TableDailySummary[Órdenes primer cliente],TableDailySummary[Fecha],"&gt;="&amp;TableWeeklySummary[[#This Row],[Desde]],TableDailySummary[Fecha],"&lt;="&amp;TableWeeklySummary[[#This Row],[Hasta]])</f>
        <v>0</v>
      </c>
      <c r="L370" s="11">
        <f>SUMIFS(TableDailySummary[Online Store_net_sales],TableDailySummary[Fecha],"&gt;="&amp;TableWeeklySummary[[#This Row],[Desde]],TableDailySummary[Fecha],"&lt;="&amp;TableWeeklySummary[[#This Row],[Hasta]])</f>
        <v>0</v>
      </c>
      <c r="M370" s="11">
        <f>SUMIFS(TableDailySummary[Online Store_orders],TableDailySummary[Fecha],"&gt;="&amp;TableWeeklySummary[[#This Row],[Desde]],TableDailySummary[Fecha],"&lt;="&amp;TableWeeklySummary[[#This Row],[Hasta]])</f>
        <v>0</v>
      </c>
      <c r="N370" s="11">
        <f>SUMIFS(TableDailySummary[Tienda 81_net_sales],TableDailySummary[Fecha],"&gt;="&amp;TableWeeklySummary[[#This Row],[Desde]],TableDailySummary[Fecha],"&lt;="&amp;TableWeeklySummary[[#This Row],[Hasta]])</f>
        <v>0</v>
      </c>
      <c r="O370" s="11">
        <f>SUMIFS(TableDailySummary[Tienda 81_orders],TableDailySummary[Fecha],"&gt;="&amp;TableWeeklySummary[[#This Row],[Desde]],TableDailySummary[Fecha],"&lt;="&amp;TableWeeklySummary[[#This Row],[Hasta]])</f>
        <v>0</v>
      </c>
      <c r="P370" s="11">
        <f>SUMIFS(TableDailySummary[Rappi_net_sales],TableDailySummary[Fecha],"&gt;="&amp;TableWeeklySummary[[#This Row],[Desde]],TableDailySummary[Fecha],"&lt;="&amp;TableWeeklySummary[[#This Row],[Hasta]])</f>
        <v>0</v>
      </c>
      <c r="Q370" s="11">
        <f>SUMIFS(TableDailySummary[Rappi_orders],TableDailySummary[Fecha],"&gt;="&amp;TableWeeklySummary[[#This Row],[Desde]],TableDailySummary[Fecha],"&lt;="&amp;TableWeeklySummary[[#This Row],[Hasta]])</f>
        <v>0</v>
      </c>
      <c r="R37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0" s="11">
        <f>SUMIFS(TableDailySummary[Corporativo no tienda_orders],TableDailySummary[Fecha],"&gt;="&amp;TableWeeklySummary[[#This Row],[Desde]],TableDailySummary[Fecha],"&lt;="&amp;TableWeeklySummary[[#This Row],[Hasta]])</f>
        <v>0</v>
      </c>
      <c r="T370" s="11">
        <f>SUMIFS(TableDailySummary[Inversión google ads],TableDailySummary[Fecha],"&gt;="&amp;TableWeeklySummary[[#This Row],[Desde]],TableDailySummary[Fecha],"&lt;="&amp;TableWeeklySummary[[#This Row],[Hasta]])</f>
        <v>0</v>
      </c>
      <c r="U370" s="11">
        <f>SUMIFS(TableDailySummary[Ventas google ads],TableDailySummary[Fecha],"&gt;="&amp;TableWeeklySummary[[#This Row],[Desde]],TableDailySummary[Fecha],"&lt;="&amp;TableWeeklySummary[[#This Row],[Hasta]])</f>
        <v>0</v>
      </c>
      <c r="V370" s="11">
        <f>SUMIFS(TableDailySummary[Inversión meta ads],TableDailySummary[Fecha],"&gt;="&amp;TableWeeklySummary[[#This Row],[Desde]],TableDailySummary[Fecha],"&lt;="&amp;TableWeeklySummary[[#This Row],[Hasta]])</f>
        <v>0</v>
      </c>
      <c r="W370" s="11">
        <f>SUMIFS(TableDailySummary[Ventas meta ads],TableDailySummary[Fecha],"&gt;="&amp;TableWeeklySummary[[#This Row],[Desde]],TableDailySummary[Fecha],"&lt;="&amp;TableWeeklySummary[[#This Row],[Hasta]])</f>
        <v>0</v>
      </c>
      <c r="X370" s="11">
        <f>TableWeeklySummary[[#This Row],[Inversión google ads]]+TableWeeklySummary[[#This Row],[Inversión meta ads]]</f>
        <v>0</v>
      </c>
      <c r="Y370" s="11">
        <f>TableWeeklySummary[[#This Row],[Ventas google ads]]+TableWeeklySummary[[#This Row],[Ventas meta ads]]</f>
        <v>0</v>
      </c>
      <c r="Z370" s="14">
        <f>IFERROR(TableWeeklySummary[[#This Row],[Ventas publicidad]]/TableWeeklySummary[[#This Row],[Inversión publicidad]],0)</f>
        <v>0</v>
      </c>
      <c r="AA370" s="14">
        <f>IFERROR(TableWeeklySummary[[#This Row],[Ventas primer cliente]]/TableWeeklySummary[[#This Row],[Inversión publicidad]],0)</f>
        <v>0</v>
      </c>
      <c r="AB370" s="14"/>
      <c r="AC370" s="11"/>
      <c r="AI37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0" s="11">
        <f>SUMIFS(TableDailySummary[Costo de ventas registrado],TableDailySummary[Fecha],"&gt;="&amp;TableWeeklySummary[[#This Row],[Desde]],TableDailySummary[Fecha],"&lt;="&amp;TableWeeklySummary[[#This Row],[Hasta]])</f>
        <v>0</v>
      </c>
      <c r="AK370" s="11">
        <f>SUMIFS(TableDailySummary[Utilidad bruta],TableDailySummary[Fecha],"&gt;="&amp;TableWeeklySummary[[#This Row],[Desde]],TableDailySummary[Fecha],"&lt;="&amp;TableWeeklySummary[[#This Row],[Hasta]])</f>
        <v>0</v>
      </c>
      <c r="AL370" s="18">
        <f>IFERROR(TableWeeklySummary[[#This Row],[Utilidad bruta]]/TableWeeklySummary[[#This Row],[Ventas netas con costo registrado]],0)</f>
        <v>0</v>
      </c>
    </row>
    <row r="371" spans="2:38" x14ac:dyDescent="0.2">
      <c r="B371" s="16">
        <f>_xlfn.ISOWEEKNUM(TableWeeklySummary[[#This Row],[Hasta]])</f>
        <v>47</v>
      </c>
      <c r="C371" s="6">
        <f t="shared" si="7"/>
        <v>47074</v>
      </c>
      <c r="D371" s="6">
        <f>TableWeeklySummary[[#This Row],[Desde]]+7-1</f>
        <v>47080</v>
      </c>
      <c r="E371" s="11">
        <f>SUMIFS(TableDailySummary[Ventas netas totales],TableDailySummary[Fecha],"&gt;="&amp;TableWeeklySummary[[#This Row],[Desde]],TableDailySummary[Fecha],"&lt;="&amp;TableWeeklySummary[[#This Row],[Hasta]])</f>
        <v>0</v>
      </c>
      <c r="F371" s="11">
        <f>SUMIFS(TableDailySummary[Órdenes totales],TableDailySummary[Fecha],"&gt;="&amp;TableWeeklySummary[[#This Row],[Desde]],TableDailySummary[Fecha],"&lt;="&amp;TableWeeklySummary[[#This Row],[Hasta]])</f>
        <v>0</v>
      </c>
      <c r="G371" s="11">
        <f>IFERROR(TableWeeklySummary[[#This Row],[Ventas netas totales]]/TableWeeklySummary[[#This Row],[Órdenes totales]],0)</f>
        <v>0</v>
      </c>
      <c r="H37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1" s="11">
        <f>TableWeeklySummary[[#This Row],[Órden promedio totales]]*TableWeeklySummary[[#This Row],[CR totales]]</f>
        <v>0</v>
      </c>
      <c r="J371" s="11">
        <f>SUMIFS(TableDailySummary[Ventas primer cliente],TableDailySummary[Fecha],"&gt;="&amp;TableWeeklySummary[[#This Row],[Desde]],TableDailySummary[Fecha],"&lt;="&amp;TableWeeklySummary[[#This Row],[Hasta]])</f>
        <v>0</v>
      </c>
      <c r="K371" s="11">
        <f>SUMIFS(TableDailySummary[Órdenes primer cliente],TableDailySummary[Fecha],"&gt;="&amp;TableWeeklySummary[[#This Row],[Desde]],TableDailySummary[Fecha],"&lt;="&amp;TableWeeklySummary[[#This Row],[Hasta]])</f>
        <v>0</v>
      </c>
      <c r="L371" s="11">
        <f>SUMIFS(TableDailySummary[Online Store_net_sales],TableDailySummary[Fecha],"&gt;="&amp;TableWeeklySummary[[#This Row],[Desde]],TableDailySummary[Fecha],"&lt;="&amp;TableWeeklySummary[[#This Row],[Hasta]])</f>
        <v>0</v>
      </c>
      <c r="M371" s="11">
        <f>SUMIFS(TableDailySummary[Online Store_orders],TableDailySummary[Fecha],"&gt;="&amp;TableWeeklySummary[[#This Row],[Desde]],TableDailySummary[Fecha],"&lt;="&amp;TableWeeklySummary[[#This Row],[Hasta]])</f>
        <v>0</v>
      </c>
      <c r="N371" s="11">
        <f>SUMIFS(TableDailySummary[Tienda 81_net_sales],TableDailySummary[Fecha],"&gt;="&amp;TableWeeklySummary[[#This Row],[Desde]],TableDailySummary[Fecha],"&lt;="&amp;TableWeeklySummary[[#This Row],[Hasta]])</f>
        <v>0</v>
      </c>
      <c r="O371" s="11">
        <f>SUMIFS(TableDailySummary[Tienda 81_orders],TableDailySummary[Fecha],"&gt;="&amp;TableWeeklySummary[[#This Row],[Desde]],TableDailySummary[Fecha],"&lt;="&amp;TableWeeklySummary[[#This Row],[Hasta]])</f>
        <v>0</v>
      </c>
      <c r="P371" s="11">
        <f>SUMIFS(TableDailySummary[Rappi_net_sales],TableDailySummary[Fecha],"&gt;="&amp;TableWeeklySummary[[#This Row],[Desde]],TableDailySummary[Fecha],"&lt;="&amp;TableWeeklySummary[[#This Row],[Hasta]])</f>
        <v>0</v>
      </c>
      <c r="Q371" s="11">
        <f>SUMIFS(TableDailySummary[Rappi_orders],TableDailySummary[Fecha],"&gt;="&amp;TableWeeklySummary[[#This Row],[Desde]],TableDailySummary[Fecha],"&lt;="&amp;TableWeeklySummary[[#This Row],[Hasta]])</f>
        <v>0</v>
      </c>
      <c r="R37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1" s="11">
        <f>SUMIFS(TableDailySummary[Corporativo no tienda_orders],TableDailySummary[Fecha],"&gt;="&amp;TableWeeklySummary[[#This Row],[Desde]],TableDailySummary[Fecha],"&lt;="&amp;TableWeeklySummary[[#This Row],[Hasta]])</f>
        <v>0</v>
      </c>
      <c r="T371" s="11">
        <f>SUMIFS(TableDailySummary[Inversión google ads],TableDailySummary[Fecha],"&gt;="&amp;TableWeeklySummary[[#This Row],[Desde]],TableDailySummary[Fecha],"&lt;="&amp;TableWeeklySummary[[#This Row],[Hasta]])</f>
        <v>0</v>
      </c>
      <c r="U371" s="11">
        <f>SUMIFS(TableDailySummary[Ventas google ads],TableDailySummary[Fecha],"&gt;="&amp;TableWeeklySummary[[#This Row],[Desde]],TableDailySummary[Fecha],"&lt;="&amp;TableWeeklySummary[[#This Row],[Hasta]])</f>
        <v>0</v>
      </c>
      <c r="V371" s="11">
        <f>SUMIFS(TableDailySummary[Inversión meta ads],TableDailySummary[Fecha],"&gt;="&amp;TableWeeklySummary[[#This Row],[Desde]],TableDailySummary[Fecha],"&lt;="&amp;TableWeeklySummary[[#This Row],[Hasta]])</f>
        <v>0</v>
      </c>
      <c r="W371" s="11">
        <f>SUMIFS(TableDailySummary[Ventas meta ads],TableDailySummary[Fecha],"&gt;="&amp;TableWeeklySummary[[#This Row],[Desde]],TableDailySummary[Fecha],"&lt;="&amp;TableWeeklySummary[[#This Row],[Hasta]])</f>
        <v>0</v>
      </c>
      <c r="X371" s="11">
        <f>TableWeeklySummary[[#This Row],[Inversión google ads]]+TableWeeklySummary[[#This Row],[Inversión meta ads]]</f>
        <v>0</v>
      </c>
      <c r="Y371" s="11">
        <f>TableWeeklySummary[[#This Row],[Ventas google ads]]+TableWeeklySummary[[#This Row],[Ventas meta ads]]</f>
        <v>0</v>
      </c>
      <c r="Z371" s="14">
        <f>IFERROR(TableWeeklySummary[[#This Row],[Ventas publicidad]]/TableWeeklySummary[[#This Row],[Inversión publicidad]],0)</f>
        <v>0</v>
      </c>
      <c r="AA371" s="14">
        <f>IFERROR(TableWeeklySummary[[#This Row],[Ventas primer cliente]]/TableWeeklySummary[[#This Row],[Inversión publicidad]],0)</f>
        <v>0</v>
      </c>
      <c r="AB371" s="14"/>
      <c r="AC371" s="11"/>
      <c r="AI37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1" s="11">
        <f>SUMIFS(TableDailySummary[Costo de ventas registrado],TableDailySummary[Fecha],"&gt;="&amp;TableWeeklySummary[[#This Row],[Desde]],TableDailySummary[Fecha],"&lt;="&amp;TableWeeklySummary[[#This Row],[Hasta]])</f>
        <v>0</v>
      </c>
      <c r="AK371" s="11">
        <f>SUMIFS(TableDailySummary[Utilidad bruta],TableDailySummary[Fecha],"&gt;="&amp;TableWeeklySummary[[#This Row],[Desde]],TableDailySummary[Fecha],"&lt;="&amp;TableWeeklySummary[[#This Row],[Hasta]])</f>
        <v>0</v>
      </c>
      <c r="AL371" s="18">
        <f>IFERROR(TableWeeklySummary[[#This Row],[Utilidad bruta]]/TableWeeklySummary[[#This Row],[Ventas netas con costo registrado]],0)</f>
        <v>0</v>
      </c>
    </row>
    <row r="372" spans="2:38" x14ac:dyDescent="0.2">
      <c r="B372" s="16">
        <f>_xlfn.ISOWEEKNUM(TableWeeklySummary[[#This Row],[Hasta]])</f>
        <v>48</v>
      </c>
      <c r="C372" s="6">
        <f t="shared" si="7"/>
        <v>47081</v>
      </c>
      <c r="D372" s="6">
        <f>TableWeeklySummary[[#This Row],[Desde]]+7-1</f>
        <v>47087</v>
      </c>
      <c r="E372" s="11">
        <f>SUMIFS(TableDailySummary[Ventas netas totales],TableDailySummary[Fecha],"&gt;="&amp;TableWeeklySummary[[#This Row],[Desde]],TableDailySummary[Fecha],"&lt;="&amp;TableWeeklySummary[[#This Row],[Hasta]])</f>
        <v>0</v>
      </c>
      <c r="F372" s="11">
        <f>SUMIFS(TableDailySummary[Órdenes totales],TableDailySummary[Fecha],"&gt;="&amp;TableWeeklySummary[[#This Row],[Desde]],TableDailySummary[Fecha],"&lt;="&amp;TableWeeklySummary[[#This Row],[Hasta]])</f>
        <v>0</v>
      </c>
      <c r="G372" s="11">
        <f>IFERROR(TableWeeklySummary[[#This Row],[Ventas netas totales]]/TableWeeklySummary[[#This Row],[Órdenes totales]],0)</f>
        <v>0</v>
      </c>
      <c r="H37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2" s="11">
        <f>TableWeeklySummary[[#This Row],[Órden promedio totales]]*TableWeeklySummary[[#This Row],[CR totales]]</f>
        <v>0</v>
      </c>
      <c r="J372" s="11">
        <f>SUMIFS(TableDailySummary[Ventas primer cliente],TableDailySummary[Fecha],"&gt;="&amp;TableWeeklySummary[[#This Row],[Desde]],TableDailySummary[Fecha],"&lt;="&amp;TableWeeklySummary[[#This Row],[Hasta]])</f>
        <v>0</v>
      </c>
      <c r="K372" s="11">
        <f>SUMIFS(TableDailySummary[Órdenes primer cliente],TableDailySummary[Fecha],"&gt;="&amp;TableWeeklySummary[[#This Row],[Desde]],TableDailySummary[Fecha],"&lt;="&amp;TableWeeklySummary[[#This Row],[Hasta]])</f>
        <v>0</v>
      </c>
      <c r="L372" s="11">
        <f>SUMIFS(TableDailySummary[Online Store_net_sales],TableDailySummary[Fecha],"&gt;="&amp;TableWeeklySummary[[#This Row],[Desde]],TableDailySummary[Fecha],"&lt;="&amp;TableWeeklySummary[[#This Row],[Hasta]])</f>
        <v>0</v>
      </c>
      <c r="M372" s="11">
        <f>SUMIFS(TableDailySummary[Online Store_orders],TableDailySummary[Fecha],"&gt;="&amp;TableWeeklySummary[[#This Row],[Desde]],TableDailySummary[Fecha],"&lt;="&amp;TableWeeklySummary[[#This Row],[Hasta]])</f>
        <v>0</v>
      </c>
      <c r="N372" s="11">
        <f>SUMIFS(TableDailySummary[Tienda 81_net_sales],TableDailySummary[Fecha],"&gt;="&amp;TableWeeklySummary[[#This Row],[Desde]],TableDailySummary[Fecha],"&lt;="&amp;TableWeeklySummary[[#This Row],[Hasta]])</f>
        <v>0</v>
      </c>
      <c r="O372" s="11">
        <f>SUMIFS(TableDailySummary[Tienda 81_orders],TableDailySummary[Fecha],"&gt;="&amp;TableWeeklySummary[[#This Row],[Desde]],TableDailySummary[Fecha],"&lt;="&amp;TableWeeklySummary[[#This Row],[Hasta]])</f>
        <v>0</v>
      </c>
      <c r="P372" s="11">
        <f>SUMIFS(TableDailySummary[Rappi_net_sales],TableDailySummary[Fecha],"&gt;="&amp;TableWeeklySummary[[#This Row],[Desde]],TableDailySummary[Fecha],"&lt;="&amp;TableWeeklySummary[[#This Row],[Hasta]])</f>
        <v>0</v>
      </c>
      <c r="Q372" s="11">
        <f>SUMIFS(TableDailySummary[Rappi_orders],TableDailySummary[Fecha],"&gt;="&amp;TableWeeklySummary[[#This Row],[Desde]],TableDailySummary[Fecha],"&lt;="&amp;TableWeeklySummary[[#This Row],[Hasta]])</f>
        <v>0</v>
      </c>
      <c r="R37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2" s="11">
        <f>SUMIFS(TableDailySummary[Corporativo no tienda_orders],TableDailySummary[Fecha],"&gt;="&amp;TableWeeklySummary[[#This Row],[Desde]],TableDailySummary[Fecha],"&lt;="&amp;TableWeeklySummary[[#This Row],[Hasta]])</f>
        <v>0</v>
      </c>
      <c r="T372" s="11">
        <f>SUMIFS(TableDailySummary[Inversión google ads],TableDailySummary[Fecha],"&gt;="&amp;TableWeeklySummary[[#This Row],[Desde]],TableDailySummary[Fecha],"&lt;="&amp;TableWeeklySummary[[#This Row],[Hasta]])</f>
        <v>0</v>
      </c>
      <c r="U372" s="11">
        <f>SUMIFS(TableDailySummary[Ventas google ads],TableDailySummary[Fecha],"&gt;="&amp;TableWeeklySummary[[#This Row],[Desde]],TableDailySummary[Fecha],"&lt;="&amp;TableWeeklySummary[[#This Row],[Hasta]])</f>
        <v>0</v>
      </c>
      <c r="V372" s="11">
        <f>SUMIFS(TableDailySummary[Inversión meta ads],TableDailySummary[Fecha],"&gt;="&amp;TableWeeklySummary[[#This Row],[Desde]],TableDailySummary[Fecha],"&lt;="&amp;TableWeeklySummary[[#This Row],[Hasta]])</f>
        <v>0</v>
      </c>
      <c r="W372" s="11">
        <f>SUMIFS(TableDailySummary[Ventas meta ads],TableDailySummary[Fecha],"&gt;="&amp;TableWeeklySummary[[#This Row],[Desde]],TableDailySummary[Fecha],"&lt;="&amp;TableWeeklySummary[[#This Row],[Hasta]])</f>
        <v>0</v>
      </c>
      <c r="X372" s="11">
        <f>TableWeeklySummary[[#This Row],[Inversión google ads]]+TableWeeklySummary[[#This Row],[Inversión meta ads]]</f>
        <v>0</v>
      </c>
      <c r="Y372" s="11">
        <f>TableWeeklySummary[[#This Row],[Ventas google ads]]+TableWeeklySummary[[#This Row],[Ventas meta ads]]</f>
        <v>0</v>
      </c>
      <c r="Z372" s="14">
        <f>IFERROR(TableWeeklySummary[[#This Row],[Ventas publicidad]]/TableWeeklySummary[[#This Row],[Inversión publicidad]],0)</f>
        <v>0</v>
      </c>
      <c r="AA372" s="14">
        <f>IFERROR(TableWeeklySummary[[#This Row],[Ventas primer cliente]]/TableWeeklySummary[[#This Row],[Inversión publicidad]],0)</f>
        <v>0</v>
      </c>
      <c r="AB372" s="14"/>
      <c r="AC372" s="11"/>
      <c r="AI37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2" s="11">
        <f>SUMIFS(TableDailySummary[Costo de ventas registrado],TableDailySummary[Fecha],"&gt;="&amp;TableWeeklySummary[[#This Row],[Desde]],TableDailySummary[Fecha],"&lt;="&amp;TableWeeklySummary[[#This Row],[Hasta]])</f>
        <v>0</v>
      </c>
      <c r="AK372" s="11">
        <f>SUMIFS(TableDailySummary[Utilidad bruta],TableDailySummary[Fecha],"&gt;="&amp;TableWeeklySummary[[#This Row],[Desde]],TableDailySummary[Fecha],"&lt;="&amp;TableWeeklySummary[[#This Row],[Hasta]])</f>
        <v>0</v>
      </c>
      <c r="AL372" s="18">
        <f>IFERROR(TableWeeklySummary[[#This Row],[Utilidad bruta]]/TableWeeklySummary[[#This Row],[Ventas netas con costo registrado]],0)</f>
        <v>0</v>
      </c>
    </row>
    <row r="373" spans="2:38" x14ac:dyDescent="0.2">
      <c r="B373" s="16">
        <f>_xlfn.ISOWEEKNUM(TableWeeklySummary[[#This Row],[Hasta]])</f>
        <v>49</v>
      </c>
      <c r="C373" s="6">
        <f t="shared" si="7"/>
        <v>47088</v>
      </c>
      <c r="D373" s="6">
        <f>TableWeeklySummary[[#This Row],[Desde]]+7-1</f>
        <v>47094</v>
      </c>
      <c r="E373" s="11">
        <f>SUMIFS(TableDailySummary[Ventas netas totales],TableDailySummary[Fecha],"&gt;="&amp;TableWeeklySummary[[#This Row],[Desde]],TableDailySummary[Fecha],"&lt;="&amp;TableWeeklySummary[[#This Row],[Hasta]])</f>
        <v>0</v>
      </c>
      <c r="F373" s="11">
        <f>SUMIFS(TableDailySummary[Órdenes totales],TableDailySummary[Fecha],"&gt;="&amp;TableWeeklySummary[[#This Row],[Desde]],TableDailySummary[Fecha],"&lt;="&amp;TableWeeklySummary[[#This Row],[Hasta]])</f>
        <v>0</v>
      </c>
      <c r="G373" s="11">
        <f>IFERROR(TableWeeklySummary[[#This Row],[Ventas netas totales]]/TableWeeklySummary[[#This Row],[Órdenes totales]],0)</f>
        <v>0</v>
      </c>
      <c r="H37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3" s="11">
        <f>TableWeeklySummary[[#This Row],[Órden promedio totales]]*TableWeeklySummary[[#This Row],[CR totales]]</f>
        <v>0</v>
      </c>
      <c r="J373" s="11">
        <f>SUMIFS(TableDailySummary[Ventas primer cliente],TableDailySummary[Fecha],"&gt;="&amp;TableWeeklySummary[[#This Row],[Desde]],TableDailySummary[Fecha],"&lt;="&amp;TableWeeklySummary[[#This Row],[Hasta]])</f>
        <v>0</v>
      </c>
      <c r="K373" s="11">
        <f>SUMIFS(TableDailySummary[Órdenes primer cliente],TableDailySummary[Fecha],"&gt;="&amp;TableWeeklySummary[[#This Row],[Desde]],TableDailySummary[Fecha],"&lt;="&amp;TableWeeklySummary[[#This Row],[Hasta]])</f>
        <v>0</v>
      </c>
      <c r="L373" s="11">
        <f>SUMIFS(TableDailySummary[Online Store_net_sales],TableDailySummary[Fecha],"&gt;="&amp;TableWeeklySummary[[#This Row],[Desde]],TableDailySummary[Fecha],"&lt;="&amp;TableWeeklySummary[[#This Row],[Hasta]])</f>
        <v>0</v>
      </c>
      <c r="M373" s="11">
        <f>SUMIFS(TableDailySummary[Online Store_orders],TableDailySummary[Fecha],"&gt;="&amp;TableWeeklySummary[[#This Row],[Desde]],TableDailySummary[Fecha],"&lt;="&amp;TableWeeklySummary[[#This Row],[Hasta]])</f>
        <v>0</v>
      </c>
      <c r="N373" s="11">
        <f>SUMIFS(TableDailySummary[Tienda 81_net_sales],TableDailySummary[Fecha],"&gt;="&amp;TableWeeklySummary[[#This Row],[Desde]],TableDailySummary[Fecha],"&lt;="&amp;TableWeeklySummary[[#This Row],[Hasta]])</f>
        <v>0</v>
      </c>
      <c r="O373" s="11">
        <f>SUMIFS(TableDailySummary[Tienda 81_orders],TableDailySummary[Fecha],"&gt;="&amp;TableWeeklySummary[[#This Row],[Desde]],TableDailySummary[Fecha],"&lt;="&amp;TableWeeklySummary[[#This Row],[Hasta]])</f>
        <v>0</v>
      </c>
      <c r="P373" s="11">
        <f>SUMIFS(TableDailySummary[Rappi_net_sales],TableDailySummary[Fecha],"&gt;="&amp;TableWeeklySummary[[#This Row],[Desde]],TableDailySummary[Fecha],"&lt;="&amp;TableWeeklySummary[[#This Row],[Hasta]])</f>
        <v>0</v>
      </c>
      <c r="Q373" s="11">
        <f>SUMIFS(TableDailySummary[Rappi_orders],TableDailySummary[Fecha],"&gt;="&amp;TableWeeklySummary[[#This Row],[Desde]],TableDailySummary[Fecha],"&lt;="&amp;TableWeeklySummary[[#This Row],[Hasta]])</f>
        <v>0</v>
      </c>
      <c r="R37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3" s="11">
        <f>SUMIFS(TableDailySummary[Corporativo no tienda_orders],TableDailySummary[Fecha],"&gt;="&amp;TableWeeklySummary[[#This Row],[Desde]],TableDailySummary[Fecha],"&lt;="&amp;TableWeeklySummary[[#This Row],[Hasta]])</f>
        <v>0</v>
      </c>
      <c r="T373" s="11">
        <f>SUMIFS(TableDailySummary[Inversión google ads],TableDailySummary[Fecha],"&gt;="&amp;TableWeeklySummary[[#This Row],[Desde]],TableDailySummary[Fecha],"&lt;="&amp;TableWeeklySummary[[#This Row],[Hasta]])</f>
        <v>0</v>
      </c>
      <c r="U373" s="11">
        <f>SUMIFS(TableDailySummary[Ventas google ads],TableDailySummary[Fecha],"&gt;="&amp;TableWeeklySummary[[#This Row],[Desde]],TableDailySummary[Fecha],"&lt;="&amp;TableWeeklySummary[[#This Row],[Hasta]])</f>
        <v>0</v>
      </c>
      <c r="V373" s="11">
        <f>SUMIFS(TableDailySummary[Inversión meta ads],TableDailySummary[Fecha],"&gt;="&amp;TableWeeklySummary[[#This Row],[Desde]],TableDailySummary[Fecha],"&lt;="&amp;TableWeeklySummary[[#This Row],[Hasta]])</f>
        <v>0</v>
      </c>
      <c r="W373" s="11">
        <f>SUMIFS(TableDailySummary[Ventas meta ads],TableDailySummary[Fecha],"&gt;="&amp;TableWeeklySummary[[#This Row],[Desde]],TableDailySummary[Fecha],"&lt;="&amp;TableWeeklySummary[[#This Row],[Hasta]])</f>
        <v>0</v>
      </c>
      <c r="X373" s="11">
        <f>TableWeeklySummary[[#This Row],[Inversión google ads]]+TableWeeklySummary[[#This Row],[Inversión meta ads]]</f>
        <v>0</v>
      </c>
      <c r="Y373" s="11">
        <f>TableWeeklySummary[[#This Row],[Ventas google ads]]+TableWeeklySummary[[#This Row],[Ventas meta ads]]</f>
        <v>0</v>
      </c>
      <c r="Z373" s="14">
        <f>IFERROR(TableWeeklySummary[[#This Row],[Ventas publicidad]]/TableWeeklySummary[[#This Row],[Inversión publicidad]],0)</f>
        <v>0</v>
      </c>
      <c r="AA373" s="14">
        <f>IFERROR(TableWeeklySummary[[#This Row],[Ventas primer cliente]]/TableWeeklySummary[[#This Row],[Inversión publicidad]],0)</f>
        <v>0</v>
      </c>
      <c r="AB373" s="14"/>
      <c r="AC373" s="11"/>
      <c r="AI37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3" s="11">
        <f>SUMIFS(TableDailySummary[Costo de ventas registrado],TableDailySummary[Fecha],"&gt;="&amp;TableWeeklySummary[[#This Row],[Desde]],TableDailySummary[Fecha],"&lt;="&amp;TableWeeklySummary[[#This Row],[Hasta]])</f>
        <v>0</v>
      </c>
      <c r="AK373" s="11">
        <f>SUMIFS(TableDailySummary[Utilidad bruta],TableDailySummary[Fecha],"&gt;="&amp;TableWeeklySummary[[#This Row],[Desde]],TableDailySummary[Fecha],"&lt;="&amp;TableWeeklySummary[[#This Row],[Hasta]])</f>
        <v>0</v>
      </c>
      <c r="AL373" s="18">
        <f>IFERROR(TableWeeklySummary[[#This Row],[Utilidad bruta]]/TableWeeklySummary[[#This Row],[Ventas netas con costo registrado]],0)</f>
        <v>0</v>
      </c>
    </row>
    <row r="374" spans="2:38" x14ac:dyDescent="0.2">
      <c r="B374" s="16">
        <f>_xlfn.ISOWEEKNUM(TableWeeklySummary[[#This Row],[Hasta]])</f>
        <v>50</v>
      </c>
      <c r="C374" s="6">
        <f t="shared" si="7"/>
        <v>47095</v>
      </c>
      <c r="D374" s="6">
        <f>TableWeeklySummary[[#This Row],[Desde]]+7-1</f>
        <v>47101</v>
      </c>
      <c r="E374" s="11">
        <f>SUMIFS(TableDailySummary[Ventas netas totales],TableDailySummary[Fecha],"&gt;="&amp;TableWeeklySummary[[#This Row],[Desde]],TableDailySummary[Fecha],"&lt;="&amp;TableWeeklySummary[[#This Row],[Hasta]])</f>
        <v>0</v>
      </c>
      <c r="F374" s="11">
        <f>SUMIFS(TableDailySummary[Órdenes totales],TableDailySummary[Fecha],"&gt;="&amp;TableWeeklySummary[[#This Row],[Desde]],TableDailySummary[Fecha],"&lt;="&amp;TableWeeklySummary[[#This Row],[Hasta]])</f>
        <v>0</v>
      </c>
      <c r="G374" s="11">
        <f>IFERROR(TableWeeklySummary[[#This Row],[Ventas netas totales]]/TableWeeklySummary[[#This Row],[Órdenes totales]],0)</f>
        <v>0</v>
      </c>
      <c r="H37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4" s="11">
        <f>TableWeeklySummary[[#This Row],[Órden promedio totales]]*TableWeeklySummary[[#This Row],[CR totales]]</f>
        <v>0</v>
      </c>
      <c r="J374" s="11">
        <f>SUMIFS(TableDailySummary[Ventas primer cliente],TableDailySummary[Fecha],"&gt;="&amp;TableWeeklySummary[[#This Row],[Desde]],TableDailySummary[Fecha],"&lt;="&amp;TableWeeklySummary[[#This Row],[Hasta]])</f>
        <v>0</v>
      </c>
      <c r="K374" s="11">
        <f>SUMIFS(TableDailySummary[Órdenes primer cliente],TableDailySummary[Fecha],"&gt;="&amp;TableWeeklySummary[[#This Row],[Desde]],TableDailySummary[Fecha],"&lt;="&amp;TableWeeklySummary[[#This Row],[Hasta]])</f>
        <v>0</v>
      </c>
      <c r="L374" s="11">
        <f>SUMIFS(TableDailySummary[Online Store_net_sales],TableDailySummary[Fecha],"&gt;="&amp;TableWeeklySummary[[#This Row],[Desde]],TableDailySummary[Fecha],"&lt;="&amp;TableWeeklySummary[[#This Row],[Hasta]])</f>
        <v>0</v>
      </c>
      <c r="M374" s="11">
        <f>SUMIFS(TableDailySummary[Online Store_orders],TableDailySummary[Fecha],"&gt;="&amp;TableWeeklySummary[[#This Row],[Desde]],TableDailySummary[Fecha],"&lt;="&amp;TableWeeklySummary[[#This Row],[Hasta]])</f>
        <v>0</v>
      </c>
      <c r="N374" s="11">
        <f>SUMIFS(TableDailySummary[Tienda 81_net_sales],TableDailySummary[Fecha],"&gt;="&amp;TableWeeklySummary[[#This Row],[Desde]],TableDailySummary[Fecha],"&lt;="&amp;TableWeeklySummary[[#This Row],[Hasta]])</f>
        <v>0</v>
      </c>
      <c r="O374" s="11">
        <f>SUMIFS(TableDailySummary[Tienda 81_orders],TableDailySummary[Fecha],"&gt;="&amp;TableWeeklySummary[[#This Row],[Desde]],TableDailySummary[Fecha],"&lt;="&amp;TableWeeklySummary[[#This Row],[Hasta]])</f>
        <v>0</v>
      </c>
      <c r="P374" s="11">
        <f>SUMIFS(TableDailySummary[Rappi_net_sales],TableDailySummary[Fecha],"&gt;="&amp;TableWeeklySummary[[#This Row],[Desde]],TableDailySummary[Fecha],"&lt;="&amp;TableWeeklySummary[[#This Row],[Hasta]])</f>
        <v>0</v>
      </c>
      <c r="Q374" s="11">
        <f>SUMIFS(TableDailySummary[Rappi_orders],TableDailySummary[Fecha],"&gt;="&amp;TableWeeklySummary[[#This Row],[Desde]],TableDailySummary[Fecha],"&lt;="&amp;TableWeeklySummary[[#This Row],[Hasta]])</f>
        <v>0</v>
      </c>
      <c r="R37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4" s="11">
        <f>SUMIFS(TableDailySummary[Corporativo no tienda_orders],TableDailySummary[Fecha],"&gt;="&amp;TableWeeklySummary[[#This Row],[Desde]],TableDailySummary[Fecha],"&lt;="&amp;TableWeeklySummary[[#This Row],[Hasta]])</f>
        <v>0</v>
      </c>
      <c r="T374" s="11">
        <f>SUMIFS(TableDailySummary[Inversión google ads],TableDailySummary[Fecha],"&gt;="&amp;TableWeeklySummary[[#This Row],[Desde]],TableDailySummary[Fecha],"&lt;="&amp;TableWeeklySummary[[#This Row],[Hasta]])</f>
        <v>0</v>
      </c>
      <c r="U374" s="11">
        <f>SUMIFS(TableDailySummary[Ventas google ads],TableDailySummary[Fecha],"&gt;="&amp;TableWeeklySummary[[#This Row],[Desde]],TableDailySummary[Fecha],"&lt;="&amp;TableWeeklySummary[[#This Row],[Hasta]])</f>
        <v>0</v>
      </c>
      <c r="V374" s="11">
        <f>SUMIFS(TableDailySummary[Inversión meta ads],TableDailySummary[Fecha],"&gt;="&amp;TableWeeklySummary[[#This Row],[Desde]],TableDailySummary[Fecha],"&lt;="&amp;TableWeeklySummary[[#This Row],[Hasta]])</f>
        <v>0</v>
      </c>
      <c r="W374" s="11">
        <f>SUMIFS(TableDailySummary[Ventas meta ads],TableDailySummary[Fecha],"&gt;="&amp;TableWeeklySummary[[#This Row],[Desde]],TableDailySummary[Fecha],"&lt;="&amp;TableWeeklySummary[[#This Row],[Hasta]])</f>
        <v>0</v>
      </c>
      <c r="X374" s="11">
        <f>TableWeeklySummary[[#This Row],[Inversión google ads]]+TableWeeklySummary[[#This Row],[Inversión meta ads]]</f>
        <v>0</v>
      </c>
      <c r="Y374" s="11">
        <f>TableWeeklySummary[[#This Row],[Ventas google ads]]+TableWeeklySummary[[#This Row],[Ventas meta ads]]</f>
        <v>0</v>
      </c>
      <c r="Z374" s="14">
        <f>IFERROR(TableWeeklySummary[[#This Row],[Ventas publicidad]]/TableWeeklySummary[[#This Row],[Inversión publicidad]],0)</f>
        <v>0</v>
      </c>
      <c r="AA374" s="14">
        <f>IFERROR(TableWeeklySummary[[#This Row],[Ventas primer cliente]]/TableWeeklySummary[[#This Row],[Inversión publicidad]],0)</f>
        <v>0</v>
      </c>
      <c r="AB374" s="14"/>
      <c r="AC374" s="11"/>
      <c r="AI37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4" s="11">
        <f>SUMIFS(TableDailySummary[Costo de ventas registrado],TableDailySummary[Fecha],"&gt;="&amp;TableWeeklySummary[[#This Row],[Desde]],TableDailySummary[Fecha],"&lt;="&amp;TableWeeklySummary[[#This Row],[Hasta]])</f>
        <v>0</v>
      </c>
      <c r="AK374" s="11">
        <f>SUMIFS(TableDailySummary[Utilidad bruta],TableDailySummary[Fecha],"&gt;="&amp;TableWeeklySummary[[#This Row],[Desde]],TableDailySummary[Fecha],"&lt;="&amp;TableWeeklySummary[[#This Row],[Hasta]])</f>
        <v>0</v>
      </c>
      <c r="AL374" s="18">
        <f>IFERROR(TableWeeklySummary[[#This Row],[Utilidad bruta]]/TableWeeklySummary[[#This Row],[Ventas netas con costo registrado]],0)</f>
        <v>0</v>
      </c>
    </row>
    <row r="375" spans="2:38" x14ac:dyDescent="0.2">
      <c r="B375" s="16">
        <f>_xlfn.ISOWEEKNUM(TableWeeklySummary[[#This Row],[Hasta]])</f>
        <v>51</v>
      </c>
      <c r="C375" s="6">
        <f t="shared" si="7"/>
        <v>47102</v>
      </c>
      <c r="D375" s="6">
        <f>TableWeeklySummary[[#This Row],[Desde]]+7-1</f>
        <v>47108</v>
      </c>
      <c r="E375" s="11">
        <f>SUMIFS(TableDailySummary[Ventas netas totales],TableDailySummary[Fecha],"&gt;="&amp;TableWeeklySummary[[#This Row],[Desde]],TableDailySummary[Fecha],"&lt;="&amp;TableWeeklySummary[[#This Row],[Hasta]])</f>
        <v>0</v>
      </c>
      <c r="F375" s="11">
        <f>SUMIFS(TableDailySummary[Órdenes totales],TableDailySummary[Fecha],"&gt;="&amp;TableWeeklySummary[[#This Row],[Desde]],TableDailySummary[Fecha],"&lt;="&amp;TableWeeklySummary[[#This Row],[Hasta]])</f>
        <v>0</v>
      </c>
      <c r="G375" s="11">
        <f>IFERROR(TableWeeklySummary[[#This Row],[Ventas netas totales]]/TableWeeklySummary[[#This Row],[Órdenes totales]],0)</f>
        <v>0</v>
      </c>
      <c r="H37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5" s="11">
        <f>TableWeeklySummary[[#This Row],[Órden promedio totales]]*TableWeeklySummary[[#This Row],[CR totales]]</f>
        <v>0</v>
      </c>
      <c r="J375" s="11">
        <f>SUMIFS(TableDailySummary[Ventas primer cliente],TableDailySummary[Fecha],"&gt;="&amp;TableWeeklySummary[[#This Row],[Desde]],TableDailySummary[Fecha],"&lt;="&amp;TableWeeklySummary[[#This Row],[Hasta]])</f>
        <v>0</v>
      </c>
      <c r="K375" s="11">
        <f>SUMIFS(TableDailySummary[Órdenes primer cliente],TableDailySummary[Fecha],"&gt;="&amp;TableWeeklySummary[[#This Row],[Desde]],TableDailySummary[Fecha],"&lt;="&amp;TableWeeklySummary[[#This Row],[Hasta]])</f>
        <v>0</v>
      </c>
      <c r="L375" s="11">
        <f>SUMIFS(TableDailySummary[Online Store_net_sales],TableDailySummary[Fecha],"&gt;="&amp;TableWeeklySummary[[#This Row],[Desde]],TableDailySummary[Fecha],"&lt;="&amp;TableWeeklySummary[[#This Row],[Hasta]])</f>
        <v>0</v>
      </c>
      <c r="M375" s="11">
        <f>SUMIFS(TableDailySummary[Online Store_orders],TableDailySummary[Fecha],"&gt;="&amp;TableWeeklySummary[[#This Row],[Desde]],TableDailySummary[Fecha],"&lt;="&amp;TableWeeklySummary[[#This Row],[Hasta]])</f>
        <v>0</v>
      </c>
      <c r="N375" s="11">
        <f>SUMIFS(TableDailySummary[Tienda 81_net_sales],TableDailySummary[Fecha],"&gt;="&amp;TableWeeklySummary[[#This Row],[Desde]],TableDailySummary[Fecha],"&lt;="&amp;TableWeeklySummary[[#This Row],[Hasta]])</f>
        <v>0</v>
      </c>
      <c r="O375" s="11">
        <f>SUMIFS(TableDailySummary[Tienda 81_orders],TableDailySummary[Fecha],"&gt;="&amp;TableWeeklySummary[[#This Row],[Desde]],TableDailySummary[Fecha],"&lt;="&amp;TableWeeklySummary[[#This Row],[Hasta]])</f>
        <v>0</v>
      </c>
      <c r="P375" s="11">
        <f>SUMIFS(TableDailySummary[Rappi_net_sales],TableDailySummary[Fecha],"&gt;="&amp;TableWeeklySummary[[#This Row],[Desde]],TableDailySummary[Fecha],"&lt;="&amp;TableWeeklySummary[[#This Row],[Hasta]])</f>
        <v>0</v>
      </c>
      <c r="Q375" s="11">
        <f>SUMIFS(TableDailySummary[Rappi_orders],TableDailySummary[Fecha],"&gt;="&amp;TableWeeklySummary[[#This Row],[Desde]],TableDailySummary[Fecha],"&lt;="&amp;TableWeeklySummary[[#This Row],[Hasta]])</f>
        <v>0</v>
      </c>
      <c r="R37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5" s="11">
        <f>SUMIFS(TableDailySummary[Corporativo no tienda_orders],TableDailySummary[Fecha],"&gt;="&amp;TableWeeklySummary[[#This Row],[Desde]],TableDailySummary[Fecha],"&lt;="&amp;TableWeeklySummary[[#This Row],[Hasta]])</f>
        <v>0</v>
      </c>
      <c r="T375" s="11">
        <f>SUMIFS(TableDailySummary[Inversión google ads],TableDailySummary[Fecha],"&gt;="&amp;TableWeeklySummary[[#This Row],[Desde]],TableDailySummary[Fecha],"&lt;="&amp;TableWeeklySummary[[#This Row],[Hasta]])</f>
        <v>0</v>
      </c>
      <c r="U375" s="11">
        <f>SUMIFS(TableDailySummary[Ventas google ads],TableDailySummary[Fecha],"&gt;="&amp;TableWeeklySummary[[#This Row],[Desde]],TableDailySummary[Fecha],"&lt;="&amp;TableWeeklySummary[[#This Row],[Hasta]])</f>
        <v>0</v>
      </c>
      <c r="V375" s="11">
        <f>SUMIFS(TableDailySummary[Inversión meta ads],TableDailySummary[Fecha],"&gt;="&amp;TableWeeklySummary[[#This Row],[Desde]],TableDailySummary[Fecha],"&lt;="&amp;TableWeeklySummary[[#This Row],[Hasta]])</f>
        <v>0</v>
      </c>
      <c r="W375" s="11">
        <f>SUMIFS(TableDailySummary[Ventas meta ads],TableDailySummary[Fecha],"&gt;="&amp;TableWeeklySummary[[#This Row],[Desde]],TableDailySummary[Fecha],"&lt;="&amp;TableWeeklySummary[[#This Row],[Hasta]])</f>
        <v>0</v>
      </c>
      <c r="X375" s="11">
        <f>TableWeeklySummary[[#This Row],[Inversión google ads]]+TableWeeklySummary[[#This Row],[Inversión meta ads]]</f>
        <v>0</v>
      </c>
      <c r="Y375" s="11">
        <f>TableWeeklySummary[[#This Row],[Ventas google ads]]+TableWeeklySummary[[#This Row],[Ventas meta ads]]</f>
        <v>0</v>
      </c>
      <c r="Z375" s="14">
        <f>IFERROR(TableWeeklySummary[[#This Row],[Ventas publicidad]]/TableWeeklySummary[[#This Row],[Inversión publicidad]],0)</f>
        <v>0</v>
      </c>
      <c r="AA375" s="14">
        <f>IFERROR(TableWeeklySummary[[#This Row],[Ventas primer cliente]]/TableWeeklySummary[[#This Row],[Inversión publicidad]],0)</f>
        <v>0</v>
      </c>
      <c r="AB375" s="14"/>
      <c r="AC375" s="11"/>
      <c r="AI37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5" s="11">
        <f>SUMIFS(TableDailySummary[Costo de ventas registrado],TableDailySummary[Fecha],"&gt;="&amp;TableWeeklySummary[[#This Row],[Desde]],TableDailySummary[Fecha],"&lt;="&amp;TableWeeklySummary[[#This Row],[Hasta]])</f>
        <v>0</v>
      </c>
      <c r="AK375" s="11">
        <f>SUMIFS(TableDailySummary[Utilidad bruta],TableDailySummary[Fecha],"&gt;="&amp;TableWeeklySummary[[#This Row],[Desde]],TableDailySummary[Fecha],"&lt;="&amp;TableWeeklySummary[[#This Row],[Hasta]])</f>
        <v>0</v>
      </c>
      <c r="AL375" s="18">
        <f>IFERROR(TableWeeklySummary[[#This Row],[Utilidad bruta]]/TableWeeklySummary[[#This Row],[Ventas netas con costo registrado]],0)</f>
        <v>0</v>
      </c>
    </row>
    <row r="376" spans="2:38" x14ac:dyDescent="0.2">
      <c r="B376" s="16">
        <f>_xlfn.ISOWEEKNUM(TableWeeklySummary[[#This Row],[Hasta]])</f>
        <v>52</v>
      </c>
      <c r="C376" s="6">
        <f t="shared" si="7"/>
        <v>47109</v>
      </c>
      <c r="D376" s="6">
        <f>TableWeeklySummary[[#This Row],[Desde]]+7-1</f>
        <v>47115</v>
      </c>
      <c r="E376" s="11">
        <f>SUMIFS(TableDailySummary[Ventas netas totales],TableDailySummary[Fecha],"&gt;="&amp;TableWeeklySummary[[#This Row],[Desde]],TableDailySummary[Fecha],"&lt;="&amp;TableWeeklySummary[[#This Row],[Hasta]])</f>
        <v>0</v>
      </c>
      <c r="F376" s="11">
        <f>SUMIFS(TableDailySummary[Órdenes totales],TableDailySummary[Fecha],"&gt;="&amp;TableWeeklySummary[[#This Row],[Desde]],TableDailySummary[Fecha],"&lt;="&amp;TableWeeklySummary[[#This Row],[Hasta]])</f>
        <v>0</v>
      </c>
      <c r="G376" s="11">
        <f>IFERROR(TableWeeklySummary[[#This Row],[Ventas netas totales]]/TableWeeklySummary[[#This Row],[Órdenes totales]],0)</f>
        <v>0</v>
      </c>
      <c r="H37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6" s="11">
        <f>TableWeeklySummary[[#This Row],[Órden promedio totales]]*TableWeeklySummary[[#This Row],[CR totales]]</f>
        <v>0</v>
      </c>
      <c r="J376" s="11">
        <f>SUMIFS(TableDailySummary[Ventas primer cliente],TableDailySummary[Fecha],"&gt;="&amp;TableWeeklySummary[[#This Row],[Desde]],TableDailySummary[Fecha],"&lt;="&amp;TableWeeklySummary[[#This Row],[Hasta]])</f>
        <v>0</v>
      </c>
      <c r="K376" s="11">
        <f>SUMIFS(TableDailySummary[Órdenes primer cliente],TableDailySummary[Fecha],"&gt;="&amp;TableWeeklySummary[[#This Row],[Desde]],TableDailySummary[Fecha],"&lt;="&amp;TableWeeklySummary[[#This Row],[Hasta]])</f>
        <v>0</v>
      </c>
      <c r="L376" s="11">
        <f>SUMIFS(TableDailySummary[Online Store_net_sales],TableDailySummary[Fecha],"&gt;="&amp;TableWeeklySummary[[#This Row],[Desde]],TableDailySummary[Fecha],"&lt;="&amp;TableWeeklySummary[[#This Row],[Hasta]])</f>
        <v>0</v>
      </c>
      <c r="M376" s="11">
        <f>SUMIFS(TableDailySummary[Online Store_orders],TableDailySummary[Fecha],"&gt;="&amp;TableWeeklySummary[[#This Row],[Desde]],TableDailySummary[Fecha],"&lt;="&amp;TableWeeklySummary[[#This Row],[Hasta]])</f>
        <v>0</v>
      </c>
      <c r="N376" s="11">
        <f>SUMIFS(TableDailySummary[Tienda 81_net_sales],TableDailySummary[Fecha],"&gt;="&amp;TableWeeklySummary[[#This Row],[Desde]],TableDailySummary[Fecha],"&lt;="&amp;TableWeeklySummary[[#This Row],[Hasta]])</f>
        <v>0</v>
      </c>
      <c r="O376" s="11">
        <f>SUMIFS(TableDailySummary[Tienda 81_orders],TableDailySummary[Fecha],"&gt;="&amp;TableWeeklySummary[[#This Row],[Desde]],TableDailySummary[Fecha],"&lt;="&amp;TableWeeklySummary[[#This Row],[Hasta]])</f>
        <v>0</v>
      </c>
      <c r="P376" s="11">
        <f>SUMIFS(TableDailySummary[Rappi_net_sales],TableDailySummary[Fecha],"&gt;="&amp;TableWeeklySummary[[#This Row],[Desde]],TableDailySummary[Fecha],"&lt;="&amp;TableWeeklySummary[[#This Row],[Hasta]])</f>
        <v>0</v>
      </c>
      <c r="Q376" s="11">
        <f>SUMIFS(TableDailySummary[Rappi_orders],TableDailySummary[Fecha],"&gt;="&amp;TableWeeklySummary[[#This Row],[Desde]],TableDailySummary[Fecha],"&lt;="&amp;TableWeeklySummary[[#This Row],[Hasta]])</f>
        <v>0</v>
      </c>
      <c r="R37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6" s="11">
        <f>SUMIFS(TableDailySummary[Corporativo no tienda_orders],TableDailySummary[Fecha],"&gt;="&amp;TableWeeklySummary[[#This Row],[Desde]],TableDailySummary[Fecha],"&lt;="&amp;TableWeeklySummary[[#This Row],[Hasta]])</f>
        <v>0</v>
      </c>
      <c r="T376" s="11">
        <f>SUMIFS(TableDailySummary[Inversión google ads],TableDailySummary[Fecha],"&gt;="&amp;TableWeeklySummary[[#This Row],[Desde]],TableDailySummary[Fecha],"&lt;="&amp;TableWeeklySummary[[#This Row],[Hasta]])</f>
        <v>0</v>
      </c>
      <c r="U376" s="11">
        <f>SUMIFS(TableDailySummary[Ventas google ads],TableDailySummary[Fecha],"&gt;="&amp;TableWeeklySummary[[#This Row],[Desde]],TableDailySummary[Fecha],"&lt;="&amp;TableWeeklySummary[[#This Row],[Hasta]])</f>
        <v>0</v>
      </c>
      <c r="V376" s="11">
        <f>SUMIFS(TableDailySummary[Inversión meta ads],TableDailySummary[Fecha],"&gt;="&amp;TableWeeklySummary[[#This Row],[Desde]],TableDailySummary[Fecha],"&lt;="&amp;TableWeeklySummary[[#This Row],[Hasta]])</f>
        <v>0</v>
      </c>
      <c r="W376" s="11">
        <f>SUMIFS(TableDailySummary[Ventas meta ads],TableDailySummary[Fecha],"&gt;="&amp;TableWeeklySummary[[#This Row],[Desde]],TableDailySummary[Fecha],"&lt;="&amp;TableWeeklySummary[[#This Row],[Hasta]])</f>
        <v>0</v>
      </c>
      <c r="X376" s="11">
        <f>TableWeeklySummary[[#This Row],[Inversión google ads]]+TableWeeklySummary[[#This Row],[Inversión meta ads]]</f>
        <v>0</v>
      </c>
      <c r="Y376" s="11">
        <f>TableWeeklySummary[[#This Row],[Ventas google ads]]+TableWeeklySummary[[#This Row],[Ventas meta ads]]</f>
        <v>0</v>
      </c>
      <c r="Z376" s="14">
        <f>IFERROR(TableWeeklySummary[[#This Row],[Ventas publicidad]]/TableWeeklySummary[[#This Row],[Inversión publicidad]],0)</f>
        <v>0</v>
      </c>
      <c r="AA376" s="14">
        <f>IFERROR(TableWeeklySummary[[#This Row],[Ventas primer cliente]]/TableWeeklySummary[[#This Row],[Inversión publicidad]],0)</f>
        <v>0</v>
      </c>
      <c r="AB376" s="14"/>
      <c r="AC376" s="11"/>
      <c r="AI37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6" s="11">
        <f>SUMIFS(TableDailySummary[Costo de ventas registrado],TableDailySummary[Fecha],"&gt;="&amp;TableWeeklySummary[[#This Row],[Desde]],TableDailySummary[Fecha],"&lt;="&amp;TableWeeklySummary[[#This Row],[Hasta]])</f>
        <v>0</v>
      </c>
      <c r="AK376" s="11">
        <f>SUMIFS(TableDailySummary[Utilidad bruta],TableDailySummary[Fecha],"&gt;="&amp;TableWeeklySummary[[#This Row],[Desde]],TableDailySummary[Fecha],"&lt;="&amp;TableWeeklySummary[[#This Row],[Hasta]])</f>
        <v>0</v>
      </c>
      <c r="AL376" s="18">
        <f>IFERROR(TableWeeklySummary[[#This Row],[Utilidad bruta]]/TableWeeklySummary[[#This Row],[Ventas netas con costo registrado]],0)</f>
        <v>0</v>
      </c>
    </row>
    <row r="377" spans="2:38" x14ac:dyDescent="0.2">
      <c r="B377" s="16">
        <f>_xlfn.ISOWEEKNUM(TableWeeklySummary[[#This Row],[Hasta]])</f>
        <v>1</v>
      </c>
      <c r="C377" s="6">
        <f t="shared" si="7"/>
        <v>47116</v>
      </c>
      <c r="D377" s="6">
        <f>TableWeeklySummary[[#This Row],[Desde]]+7-1</f>
        <v>47122</v>
      </c>
      <c r="E377" s="11">
        <f>SUMIFS(TableDailySummary[Ventas netas totales],TableDailySummary[Fecha],"&gt;="&amp;TableWeeklySummary[[#This Row],[Desde]],TableDailySummary[Fecha],"&lt;="&amp;TableWeeklySummary[[#This Row],[Hasta]])</f>
        <v>0</v>
      </c>
      <c r="F377" s="11">
        <f>SUMIFS(TableDailySummary[Órdenes totales],TableDailySummary[Fecha],"&gt;="&amp;TableWeeklySummary[[#This Row],[Desde]],TableDailySummary[Fecha],"&lt;="&amp;TableWeeklySummary[[#This Row],[Hasta]])</f>
        <v>0</v>
      </c>
      <c r="G377" s="11">
        <f>IFERROR(TableWeeklySummary[[#This Row],[Ventas netas totales]]/TableWeeklySummary[[#This Row],[Órdenes totales]],0)</f>
        <v>0</v>
      </c>
      <c r="H37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7" s="11">
        <f>TableWeeklySummary[[#This Row],[Órden promedio totales]]*TableWeeklySummary[[#This Row],[CR totales]]</f>
        <v>0</v>
      </c>
      <c r="J377" s="11">
        <f>SUMIFS(TableDailySummary[Ventas primer cliente],TableDailySummary[Fecha],"&gt;="&amp;TableWeeklySummary[[#This Row],[Desde]],TableDailySummary[Fecha],"&lt;="&amp;TableWeeklySummary[[#This Row],[Hasta]])</f>
        <v>0</v>
      </c>
      <c r="K377" s="11">
        <f>SUMIFS(TableDailySummary[Órdenes primer cliente],TableDailySummary[Fecha],"&gt;="&amp;TableWeeklySummary[[#This Row],[Desde]],TableDailySummary[Fecha],"&lt;="&amp;TableWeeklySummary[[#This Row],[Hasta]])</f>
        <v>0</v>
      </c>
      <c r="L377" s="11">
        <f>SUMIFS(TableDailySummary[Online Store_net_sales],TableDailySummary[Fecha],"&gt;="&amp;TableWeeklySummary[[#This Row],[Desde]],TableDailySummary[Fecha],"&lt;="&amp;TableWeeklySummary[[#This Row],[Hasta]])</f>
        <v>0</v>
      </c>
      <c r="M377" s="11">
        <f>SUMIFS(TableDailySummary[Online Store_orders],TableDailySummary[Fecha],"&gt;="&amp;TableWeeklySummary[[#This Row],[Desde]],TableDailySummary[Fecha],"&lt;="&amp;TableWeeklySummary[[#This Row],[Hasta]])</f>
        <v>0</v>
      </c>
      <c r="N377" s="11">
        <f>SUMIFS(TableDailySummary[Tienda 81_net_sales],TableDailySummary[Fecha],"&gt;="&amp;TableWeeklySummary[[#This Row],[Desde]],TableDailySummary[Fecha],"&lt;="&amp;TableWeeklySummary[[#This Row],[Hasta]])</f>
        <v>0</v>
      </c>
      <c r="O377" s="11">
        <f>SUMIFS(TableDailySummary[Tienda 81_orders],TableDailySummary[Fecha],"&gt;="&amp;TableWeeklySummary[[#This Row],[Desde]],TableDailySummary[Fecha],"&lt;="&amp;TableWeeklySummary[[#This Row],[Hasta]])</f>
        <v>0</v>
      </c>
      <c r="P377" s="11">
        <f>SUMIFS(TableDailySummary[Rappi_net_sales],TableDailySummary[Fecha],"&gt;="&amp;TableWeeklySummary[[#This Row],[Desde]],TableDailySummary[Fecha],"&lt;="&amp;TableWeeklySummary[[#This Row],[Hasta]])</f>
        <v>0</v>
      </c>
      <c r="Q377" s="11">
        <f>SUMIFS(TableDailySummary[Rappi_orders],TableDailySummary[Fecha],"&gt;="&amp;TableWeeklySummary[[#This Row],[Desde]],TableDailySummary[Fecha],"&lt;="&amp;TableWeeklySummary[[#This Row],[Hasta]])</f>
        <v>0</v>
      </c>
      <c r="R37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7" s="11">
        <f>SUMIFS(TableDailySummary[Corporativo no tienda_orders],TableDailySummary[Fecha],"&gt;="&amp;TableWeeklySummary[[#This Row],[Desde]],TableDailySummary[Fecha],"&lt;="&amp;TableWeeklySummary[[#This Row],[Hasta]])</f>
        <v>0</v>
      </c>
      <c r="T377" s="11">
        <f>SUMIFS(TableDailySummary[Inversión google ads],TableDailySummary[Fecha],"&gt;="&amp;TableWeeklySummary[[#This Row],[Desde]],TableDailySummary[Fecha],"&lt;="&amp;TableWeeklySummary[[#This Row],[Hasta]])</f>
        <v>0</v>
      </c>
      <c r="U377" s="11">
        <f>SUMIFS(TableDailySummary[Ventas google ads],TableDailySummary[Fecha],"&gt;="&amp;TableWeeklySummary[[#This Row],[Desde]],TableDailySummary[Fecha],"&lt;="&amp;TableWeeklySummary[[#This Row],[Hasta]])</f>
        <v>0</v>
      </c>
      <c r="V377" s="11">
        <f>SUMIFS(TableDailySummary[Inversión meta ads],TableDailySummary[Fecha],"&gt;="&amp;TableWeeklySummary[[#This Row],[Desde]],TableDailySummary[Fecha],"&lt;="&amp;TableWeeklySummary[[#This Row],[Hasta]])</f>
        <v>0</v>
      </c>
      <c r="W377" s="11">
        <f>SUMIFS(TableDailySummary[Ventas meta ads],TableDailySummary[Fecha],"&gt;="&amp;TableWeeklySummary[[#This Row],[Desde]],TableDailySummary[Fecha],"&lt;="&amp;TableWeeklySummary[[#This Row],[Hasta]])</f>
        <v>0</v>
      </c>
      <c r="X377" s="11">
        <f>TableWeeklySummary[[#This Row],[Inversión google ads]]+TableWeeklySummary[[#This Row],[Inversión meta ads]]</f>
        <v>0</v>
      </c>
      <c r="Y377" s="11">
        <f>TableWeeklySummary[[#This Row],[Ventas google ads]]+TableWeeklySummary[[#This Row],[Ventas meta ads]]</f>
        <v>0</v>
      </c>
      <c r="Z377" s="14">
        <f>IFERROR(TableWeeklySummary[[#This Row],[Ventas publicidad]]/TableWeeklySummary[[#This Row],[Inversión publicidad]],0)</f>
        <v>0</v>
      </c>
      <c r="AA377" s="14">
        <f>IFERROR(TableWeeklySummary[[#This Row],[Ventas primer cliente]]/TableWeeklySummary[[#This Row],[Inversión publicidad]],0)</f>
        <v>0</v>
      </c>
      <c r="AB377" s="14"/>
      <c r="AC377" s="11"/>
      <c r="AI37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7" s="11">
        <f>SUMIFS(TableDailySummary[Costo de ventas registrado],TableDailySummary[Fecha],"&gt;="&amp;TableWeeklySummary[[#This Row],[Desde]],TableDailySummary[Fecha],"&lt;="&amp;TableWeeklySummary[[#This Row],[Hasta]])</f>
        <v>0</v>
      </c>
      <c r="AK377" s="11">
        <f>SUMIFS(TableDailySummary[Utilidad bruta],TableDailySummary[Fecha],"&gt;="&amp;TableWeeklySummary[[#This Row],[Desde]],TableDailySummary[Fecha],"&lt;="&amp;TableWeeklySummary[[#This Row],[Hasta]])</f>
        <v>0</v>
      </c>
      <c r="AL377" s="18">
        <f>IFERROR(TableWeeklySummary[[#This Row],[Utilidad bruta]]/TableWeeklySummary[[#This Row],[Ventas netas con costo registrado]],0)</f>
        <v>0</v>
      </c>
    </row>
    <row r="378" spans="2:38" x14ac:dyDescent="0.2">
      <c r="B378" s="16">
        <f>_xlfn.ISOWEEKNUM(TableWeeklySummary[[#This Row],[Hasta]])</f>
        <v>2</v>
      </c>
      <c r="C378" s="6">
        <f t="shared" si="7"/>
        <v>47123</v>
      </c>
      <c r="D378" s="6">
        <f>TableWeeklySummary[[#This Row],[Desde]]+7-1</f>
        <v>47129</v>
      </c>
      <c r="E378" s="11">
        <f>SUMIFS(TableDailySummary[Ventas netas totales],TableDailySummary[Fecha],"&gt;="&amp;TableWeeklySummary[[#This Row],[Desde]],TableDailySummary[Fecha],"&lt;="&amp;TableWeeklySummary[[#This Row],[Hasta]])</f>
        <v>0</v>
      </c>
      <c r="F378" s="11">
        <f>SUMIFS(TableDailySummary[Órdenes totales],TableDailySummary[Fecha],"&gt;="&amp;TableWeeklySummary[[#This Row],[Desde]],TableDailySummary[Fecha],"&lt;="&amp;TableWeeklySummary[[#This Row],[Hasta]])</f>
        <v>0</v>
      </c>
      <c r="G378" s="11">
        <f>IFERROR(TableWeeklySummary[[#This Row],[Ventas netas totales]]/TableWeeklySummary[[#This Row],[Órdenes totales]],0)</f>
        <v>0</v>
      </c>
      <c r="H37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8" s="11">
        <f>TableWeeklySummary[[#This Row],[Órden promedio totales]]*TableWeeklySummary[[#This Row],[CR totales]]</f>
        <v>0</v>
      </c>
      <c r="J378" s="11">
        <f>SUMIFS(TableDailySummary[Ventas primer cliente],TableDailySummary[Fecha],"&gt;="&amp;TableWeeklySummary[[#This Row],[Desde]],TableDailySummary[Fecha],"&lt;="&amp;TableWeeklySummary[[#This Row],[Hasta]])</f>
        <v>0</v>
      </c>
      <c r="K378" s="11">
        <f>SUMIFS(TableDailySummary[Órdenes primer cliente],TableDailySummary[Fecha],"&gt;="&amp;TableWeeklySummary[[#This Row],[Desde]],TableDailySummary[Fecha],"&lt;="&amp;TableWeeklySummary[[#This Row],[Hasta]])</f>
        <v>0</v>
      </c>
      <c r="L378" s="11">
        <f>SUMIFS(TableDailySummary[Online Store_net_sales],TableDailySummary[Fecha],"&gt;="&amp;TableWeeklySummary[[#This Row],[Desde]],TableDailySummary[Fecha],"&lt;="&amp;TableWeeklySummary[[#This Row],[Hasta]])</f>
        <v>0</v>
      </c>
      <c r="M378" s="11">
        <f>SUMIFS(TableDailySummary[Online Store_orders],TableDailySummary[Fecha],"&gt;="&amp;TableWeeklySummary[[#This Row],[Desde]],TableDailySummary[Fecha],"&lt;="&amp;TableWeeklySummary[[#This Row],[Hasta]])</f>
        <v>0</v>
      </c>
      <c r="N378" s="11">
        <f>SUMIFS(TableDailySummary[Tienda 81_net_sales],TableDailySummary[Fecha],"&gt;="&amp;TableWeeklySummary[[#This Row],[Desde]],TableDailySummary[Fecha],"&lt;="&amp;TableWeeklySummary[[#This Row],[Hasta]])</f>
        <v>0</v>
      </c>
      <c r="O378" s="11">
        <f>SUMIFS(TableDailySummary[Tienda 81_orders],TableDailySummary[Fecha],"&gt;="&amp;TableWeeklySummary[[#This Row],[Desde]],TableDailySummary[Fecha],"&lt;="&amp;TableWeeklySummary[[#This Row],[Hasta]])</f>
        <v>0</v>
      </c>
      <c r="P378" s="11">
        <f>SUMIFS(TableDailySummary[Rappi_net_sales],TableDailySummary[Fecha],"&gt;="&amp;TableWeeklySummary[[#This Row],[Desde]],TableDailySummary[Fecha],"&lt;="&amp;TableWeeklySummary[[#This Row],[Hasta]])</f>
        <v>0</v>
      </c>
      <c r="Q378" s="11">
        <f>SUMIFS(TableDailySummary[Rappi_orders],TableDailySummary[Fecha],"&gt;="&amp;TableWeeklySummary[[#This Row],[Desde]],TableDailySummary[Fecha],"&lt;="&amp;TableWeeklySummary[[#This Row],[Hasta]])</f>
        <v>0</v>
      </c>
      <c r="R37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8" s="11">
        <f>SUMIFS(TableDailySummary[Corporativo no tienda_orders],TableDailySummary[Fecha],"&gt;="&amp;TableWeeklySummary[[#This Row],[Desde]],TableDailySummary[Fecha],"&lt;="&amp;TableWeeklySummary[[#This Row],[Hasta]])</f>
        <v>0</v>
      </c>
      <c r="T378" s="11">
        <f>SUMIFS(TableDailySummary[Inversión google ads],TableDailySummary[Fecha],"&gt;="&amp;TableWeeklySummary[[#This Row],[Desde]],TableDailySummary[Fecha],"&lt;="&amp;TableWeeklySummary[[#This Row],[Hasta]])</f>
        <v>0</v>
      </c>
      <c r="U378" s="11">
        <f>SUMIFS(TableDailySummary[Ventas google ads],TableDailySummary[Fecha],"&gt;="&amp;TableWeeklySummary[[#This Row],[Desde]],TableDailySummary[Fecha],"&lt;="&amp;TableWeeklySummary[[#This Row],[Hasta]])</f>
        <v>0</v>
      </c>
      <c r="V378" s="11">
        <f>SUMIFS(TableDailySummary[Inversión meta ads],TableDailySummary[Fecha],"&gt;="&amp;TableWeeklySummary[[#This Row],[Desde]],TableDailySummary[Fecha],"&lt;="&amp;TableWeeklySummary[[#This Row],[Hasta]])</f>
        <v>0</v>
      </c>
      <c r="W378" s="11">
        <f>SUMIFS(TableDailySummary[Ventas meta ads],TableDailySummary[Fecha],"&gt;="&amp;TableWeeklySummary[[#This Row],[Desde]],TableDailySummary[Fecha],"&lt;="&amp;TableWeeklySummary[[#This Row],[Hasta]])</f>
        <v>0</v>
      </c>
      <c r="X378" s="11">
        <f>TableWeeklySummary[[#This Row],[Inversión google ads]]+TableWeeklySummary[[#This Row],[Inversión meta ads]]</f>
        <v>0</v>
      </c>
      <c r="Y378" s="11">
        <f>TableWeeklySummary[[#This Row],[Ventas google ads]]+TableWeeklySummary[[#This Row],[Ventas meta ads]]</f>
        <v>0</v>
      </c>
      <c r="Z378" s="14">
        <f>IFERROR(TableWeeklySummary[[#This Row],[Ventas publicidad]]/TableWeeklySummary[[#This Row],[Inversión publicidad]],0)</f>
        <v>0</v>
      </c>
      <c r="AA378" s="14">
        <f>IFERROR(TableWeeklySummary[[#This Row],[Ventas primer cliente]]/TableWeeklySummary[[#This Row],[Inversión publicidad]],0)</f>
        <v>0</v>
      </c>
      <c r="AB378" s="14"/>
      <c r="AC378" s="11"/>
      <c r="AI37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8" s="11">
        <f>SUMIFS(TableDailySummary[Costo de ventas registrado],TableDailySummary[Fecha],"&gt;="&amp;TableWeeklySummary[[#This Row],[Desde]],TableDailySummary[Fecha],"&lt;="&amp;TableWeeklySummary[[#This Row],[Hasta]])</f>
        <v>0</v>
      </c>
      <c r="AK378" s="11">
        <f>SUMIFS(TableDailySummary[Utilidad bruta],TableDailySummary[Fecha],"&gt;="&amp;TableWeeklySummary[[#This Row],[Desde]],TableDailySummary[Fecha],"&lt;="&amp;TableWeeklySummary[[#This Row],[Hasta]])</f>
        <v>0</v>
      </c>
      <c r="AL378" s="18">
        <f>IFERROR(TableWeeklySummary[[#This Row],[Utilidad bruta]]/TableWeeklySummary[[#This Row],[Ventas netas con costo registrado]],0)</f>
        <v>0</v>
      </c>
    </row>
    <row r="379" spans="2:38" x14ac:dyDescent="0.2">
      <c r="B379" s="16">
        <f>_xlfn.ISOWEEKNUM(TableWeeklySummary[[#This Row],[Hasta]])</f>
        <v>3</v>
      </c>
      <c r="C379" s="6">
        <f t="shared" si="7"/>
        <v>47130</v>
      </c>
      <c r="D379" s="6">
        <f>TableWeeklySummary[[#This Row],[Desde]]+7-1</f>
        <v>47136</v>
      </c>
      <c r="E379" s="11">
        <f>SUMIFS(TableDailySummary[Ventas netas totales],TableDailySummary[Fecha],"&gt;="&amp;TableWeeklySummary[[#This Row],[Desde]],TableDailySummary[Fecha],"&lt;="&amp;TableWeeklySummary[[#This Row],[Hasta]])</f>
        <v>0</v>
      </c>
      <c r="F379" s="11">
        <f>SUMIFS(TableDailySummary[Órdenes totales],TableDailySummary[Fecha],"&gt;="&amp;TableWeeklySummary[[#This Row],[Desde]],TableDailySummary[Fecha],"&lt;="&amp;TableWeeklySummary[[#This Row],[Hasta]])</f>
        <v>0</v>
      </c>
      <c r="G379" s="11">
        <f>IFERROR(TableWeeklySummary[[#This Row],[Ventas netas totales]]/TableWeeklySummary[[#This Row],[Órdenes totales]],0)</f>
        <v>0</v>
      </c>
      <c r="H37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79" s="11">
        <f>TableWeeklySummary[[#This Row],[Órden promedio totales]]*TableWeeklySummary[[#This Row],[CR totales]]</f>
        <v>0</v>
      </c>
      <c r="J379" s="11">
        <f>SUMIFS(TableDailySummary[Ventas primer cliente],TableDailySummary[Fecha],"&gt;="&amp;TableWeeklySummary[[#This Row],[Desde]],TableDailySummary[Fecha],"&lt;="&amp;TableWeeklySummary[[#This Row],[Hasta]])</f>
        <v>0</v>
      </c>
      <c r="K379" s="11">
        <f>SUMIFS(TableDailySummary[Órdenes primer cliente],TableDailySummary[Fecha],"&gt;="&amp;TableWeeklySummary[[#This Row],[Desde]],TableDailySummary[Fecha],"&lt;="&amp;TableWeeklySummary[[#This Row],[Hasta]])</f>
        <v>0</v>
      </c>
      <c r="L379" s="11">
        <f>SUMIFS(TableDailySummary[Online Store_net_sales],TableDailySummary[Fecha],"&gt;="&amp;TableWeeklySummary[[#This Row],[Desde]],TableDailySummary[Fecha],"&lt;="&amp;TableWeeklySummary[[#This Row],[Hasta]])</f>
        <v>0</v>
      </c>
      <c r="M379" s="11">
        <f>SUMIFS(TableDailySummary[Online Store_orders],TableDailySummary[Fecha],"&gt;="&amp;TableWeeklySummary[[#This Row],[Desde]],TableDailySummary[Fecha],"&lt;="&amp;TableWeeklySummary[[#This Row],[Hasta]])</f>
        <v>0</v>
      </c>
      <c r="N379" s="11">
        <f>SUMIFS(TableDailySummary[Tienda 81_net_sales],TableDailySummary[Fecha],"&gt;="&amp;TableWeeklySummary[[#This Row],[Desde]],TableDailySummary[Fecha],"&lt;="&amp;TableWeeklySummary[[#This Row],[Hasta]])</f>
        <v>0</v>
      </c>
      <c r="O379" s="11">
        <f>SUMIFS(TableDailySummary[Tienda 81_orders],TableDailySummary[Fecha],"&gt;="&amp;TableWeeklySummary[[#This Row],[Desde]],TableDailySummary[Fecha],"&lt;="&amp;TableWeeklySummary[[#This Row],[Hasta]])</f>
        <v>0</v>
      </c>
      <c r="P379" s="11">
        <f>SUMIFS(TableDailySummary[Rappi_net_sales],TableDailySummary[Fecha],"&gt;="&amp;TableWeeklySummary[[#This Row],[Desde]],TableDailySummary[Fecha],"&lt;="&amp;TableWeeklySummary[[#This Row],[Hasta]])</f>
        <v>0</v>
      </c>
      <c r="Q379" s="11">
        <f>SUMIFS(TableDailySummary[Rappi_orders],TableDailySummary[Fecha],"&gt;="&amp;TableWeeklySummary[[#This Row],[Desde]],TableDailySummary[Fecha],"&lt;="&amp;TableWeeklySummary[[#This Row],[Hasta]])</f>
        <v>0</v>
      </c>
      <c r="R37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79" s="11">
        <f>SUMIFS(TableDailySummary[Corporativo no tienda_orders],TableDailySummary[Fecha],"&gt;="&amp;TableWeeklySummary[[#This Row],[Desde]],TableDailySummary[Fecha],"&lt;="&amp;TableWeeklySummary[[#This Row],[Hasta]])</f>
        <v>0</v>
      </c>
      <c r="T379" s="11">
        <f>SUMIFS(TableDailySummary[Inversión google ads],TableDailySummary[Fecha],"&gt;="&amp;TableWeeklySummary[[#This Row],[Desde]],TableDailySummary[Fecha],"&lt;="&amp;TableWeeklySummary[[#This Row],[Hasta]])</f>
        <v>0</v>
      </c>
      <c r="U379" s="11">
        <f>SUMIFS(TableDailySummary[Ventas google ads],TableDailySummary[Fecha],"&gt;="&amp;TableWeeklySummary[[#This Row],[Desde]],TableDailySummary[Fecha],"&lt;="&amp;TableWeeklySummary[[#This Row],[Hasta]])</f>
        <v>0</v>
      </c>
      <c r="V379" s="11">
        <f>SUMIFS(TableDailySummary[Inversión meta ads],TableDailySummary[Fecha],"&gt;="&amp;TableWeeklySummary[[#This Row],[Desde]],TableDailySummary[Fecha],"&lt;="&amp;TableWeeklySummary[[#This Row],[Hasta]])</f>
        <v>0</v>
      </c>
      <c r="W379" s="11">
        <f>SUMIFS(TableDailySummary[Ventas meta ads],TableDailySummary[Fecha],"&gt;="&amp;TableWeeklySummary[[#This Row],[Desde]],TableDailySummary[Fecha],"&lt;="&amp;TableWeeklySummary[[#This Row],[Hasta]])</f>
        <v>0</v>
      </c>
      <c r="X379" s="11">
        <f>TableWeeklySummary[[#This Row],[Inversión google ads]]+TableWeeklySummary[[#This Row],[Inversión meta ads]]</f>
        <v>0</v>
      </c>
      <c r="Y379" s="11">
        <f>TableWeeklySummary[[#This Row],[Ventas google ads]]+TableWeeklySummary[[#This Row],[Ventas meta ads]]</f>
        <v>0</v>
      </c>
      <c r="Z379" s="14">
        <f>IFERROR(TableWeeklySummary[[#This Row],[Ventas publicidad]]/TableWeeklySummary[[#This Row],[Inversión publicidad]],0)</f>
        <v>0</v>
      </c>
      <c r="AA379" s="14">
        <f>IFERROR(TableWeeklySummary[[#This Row],[Ventas primer cliente]]/TableWeeklySummary[[#This Row],[Inversión publicidad]],0)</f>
        <v>0</v>
      </c>
      <c r="AB379" s="14"/>
      <c r="AC379" s="11"/>
      <c r="AI37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79" s="11">
        <f>SUMIFS(TableDailySummary[Costo de ventas registrado],TableDailySummary[Fecha],"&gt;="&amp;TableWeeklySummary[[#This Row],[Desde]],TableDailySummary[Fecha],"&lt;="&amp;TableWeeklySummary[[#This Row],[Hasta]])</f>
        <v>0</v>
      </c>
      <c r="AK379" s="11">
        <f>SUMIFS(TableDailySummary[Utilidad bruta],TableDailySummary[Fecha],"&gt;="&amp;TableWeeklySummary[[#This Row],[Desde]],TableDailySummary[Fecha],"&lt;="&amp;TableWeeklySummary[[#This Row],[Hasta]])</f>
        <v>0</v>
      </c>
      <c r="AL379" s="18">
        <f>IFERROR(TableWeeklySummary[[#This Row],[Utilidad bruta]]/TableWeeklySummary[[#This Row],[Ventas netas con costo registrado]],0)</f>
        <v>0</v>
      </c>
    </row>
    <row r="380" spans="2:38" x14ac:dyDescent="0.2">
      <c r="B380" s="16">
        <f>_xlfn.ISOWEEKNUM(TableWeeklySummary[[#This Row],[Hasta]])</f>
        <v>4</v>
      </c>
      <c r="C380" s="6">
        <f t="shared" si="7"/>
        <v>47137</v>
      </c>
      <c r="D380" s="6">
        <f>TableWeeklySummary[[#This Row],[Desde]]+7-1</f>
        <v>47143</v>
      </c>
      <c r="E380" s="11">
        <f>SUMIFS(TableDailySummary[Ventas netas totales],TableDailySummary[Fecha],"&gt;="&amp;TableWeeklySummary[[#This Row],[Desde]],TableDailySummary[Fecha],"&lt;="&amp;TableWeeklySummary[[#This Row],[Hasta]])</f>
        <v>0</v>
      </c>
      <c r="F380" s="11">
        <f>SUMIFS(TableDailySummary[Órdenes totales],TableDailySummary[Fecha],"&gt;="&amp;TableWeeklySummary[[#This Row],[Desde]],TableDailySummary[Fecha],"&lt;="&amp;TableWeeklySummary[[#This Row],[Hasta]])</f>
        <v>0</v>
      </c>
      <c r="G380" s="11">
        <f>IFERROR(TableWeeklySummary[[#This Row],[Ventas netas totales]]/TableWeeklySummary[[#This Row],[Órdenes totales]],0)</f>
        <v>0</v>
      </c>
      <c r="H38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0" s="11">
        <f>TableWeeklySummary[[#This Row],[Órden promedio totales]]*TableWeeklySummary[[#This Row],[CR totales]]</f>
        <v>0</v>
      </c>
      <c r="J380" s="11">
        <f>SUMIFS(TableDailySummary[Ventas primer cliente],TableDailySummary[Fecha],"&gt;="&amp;TableWeeklySummary[[#This Row],[Desde]],TableDailySummary[Fecha],"&lt;="&amp;TableWeeklySummary[[#This Row],[Hasta]])</f>
        <v>0</v>
      </c>
      <c r="K380" s="11">
        <f>SUMIFS(TableDailySummary[Órdenes primer cliente],TableDailySummary[Fecha],"&gt;="&amp;TableWeeklySummary[[#This Row],[Desde]],TableDailySummary[Fecha],"&lt;="&amp;TableWeeklySummary[[#This Row],[Hasta]])</f>
        <v>0</v>
      </c>
      <c r="L380" s="11">
        <f>SUMIFS(TableDailySummary[Online Store_net_sales],TableDailySummary[Fecha],"&gt;="&amp;TableWeeklySummary[[#This Row],[Desde]],TableDailySummary[Fecha],"&lt;="&amp;TableWeeklySummary[[#This Row],[Hasta]])</f>
        <v>0</v>
      </c>
      <c r="M380" s="11">
        <f>SUMIFS(TableDailySummary[Online Store_orders],TableDailySummary[Fecha],"&gt;="&amp;TableWeeklySummary[[#This Row],[Desde]],TableDailySummary[Fecha],"&lt;="&amp;TableWeeklySummary[[#This Row],[Hasta]])</f>
        <v>0</v>
      </c>
      <c r="N380" s="11">
        <f>SUMIFS(TableDailySummary[Tienda 81_net_sales],TableDailySummary[Fecha],"&gt;="&amp;TableWeeklySummary[[#This Row],[Desde]],TableDailySummary[Fecha],"&lt;="&amp;TableWeeklySummary[[#This Row],[Hasta]])</f>
        <v>0</v>
      </c>
      <c r="O380" s="11">
        <f>SUMIFS(TableDailySummary[Tienda 81_orders],TableDailySummary[Fecha],"&gt;="&amp;TableWeeklySummary[[#This Row],[Desde]],TableDailySummary[Fecha],"&lt;="&amp;TableWeeklySummary[[#This Row],[Hasta]])</f>
        <v>0</v>
      </c>
      <c r="P380" s="11">
        <f>SUMIFS(TableDailySummary[Rappi_net_sales],TableDailySummary[Fecha],"&gt;="&amp;TableWeeklySummary[[#This Row],[Desde]],TableDailySummary[Fecha],"&lt;="&amp;TableWeeklySummary[[#This Row],[Hasta]])</f>
        <v>0</v>
      </c>
      <c r="Q380" s="11">
        <f>SUMIFS(TableDailySummary[Rappi_orders],TableDailySummary[Fecha],"&gt;="&amp;TableWeeklySummary[[#This Row],[Desde]],TableDailySummary[Fecha],"&lt;="&amp;TableWeeklySummary[[#This Row],[Hasta]])</f>
        <v>0</v>
      </c>
      <c r="R38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0" s="11">
        <f>SUMIFS(TableDailySummary[Corporativo no tienda_orders],TableDailySummary[Fecha],"&gt;="&amp;TableWeeklySummary[[#This Row],[Desde]],TableDailySummary[Fecha],"&lt;="&amp;TableWeeklySummary[[#This Row],[Hasta]])</f>
        <v>0</v>
      </c>
      <c r="T380" s="11">
        <f>SUMIFS(TableDailySummary[Inversión google ads],TableDailySummary[Fecha],"&gt;="&amp;TableWeeklySummary[[#This Row],[Desde]],TableDailySummary[Fecha],"&lt;="&amp;TableWeeklySummary[[#This Row],[Hasta]])</f>
        <v>0</v>
      </c>
      <c r="U380" s="11">
        <f>SUMIFS(TableDailySummary[Ventas google ads],TableDailySummary[Fecha],"&gt;="&amp;TableWeeklySummary[[#This Row],[Desde]],TableDailySummary[Fecha],"&lt;="&amp;TableWeeklySummary[[#This Row],[Hasta]])</f>
        <v>0</v>
      </c>
      <c r="V380" s="11">
        <f>SUMIFS(TableDailySummary[Inversión meta ads],TableDailySummary[Fecha],"&gt;="&amp;TableWeeklySummary[[#This Row],[Desde]],TableDailySummary[Fecha],"&lt;="&amp;TableWeeklySummary[[#This Row],[Hasta]])</f>
        <v>0</v>
      </c>
      <c r="W380" s="11">
        <f>SUMIFS(TableDailySummary[Ventas meta ads],TableDailySummary[Fecha],"&gt;="&amp;TableWeeklySummary[[#This Row],[Desde]],TableDailySummary[Fecha],"&lt;="&amp;TableWeeklySummary[[#This Row],[Hasta]])</f>
        <v>0</v>
      </c>
      <c r="X380" s="11">
        <f>TableWeeklySummary[[#This Row],[Inversión google ads]]+TableWeeklySummary[[#This Row],[Inversión meta ads]]</f>
        <v>0</v>
      </c>
      <c r="Y380" s="11">
        <f>TableWeeklySummary[[#This Row],[Ventas google ads]]+TableWeeklySummary[[#This Row],[Ventas meta ads]]</f>
        <v>0</v>
      </c>
      <c r="Z380" s="14">
        <f>IFERROR(TableWeeklySummary[[#This Row],[Ventas publicidad]]/TableWeeklySummary[[#This Row],[Inversión publicidad]],0)</f>
        <v>0</v>
      </c>
      <c r="AA380" s="14">
        <f>IFERROR(TableWeeklySummary[[#This Row],[Ventas primer cliente]]/TableWeeklySummary[[#This Row],[Inversión publicidad]],0)</f>
        <v>0</v>
      </c>
      <c r="AB380" s="14"/>
      <c r="AC380" s="11"/>
      <c r="AI38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0" s="11">
        <f>SUMIFS(TableDailySummary[Costo de ventas registrado],TableDailySummary[Fecha],"&gt;="&amp;TableWeeklySummary[[#This Row],[Desde]],TableDailySummary[Fecha],"&lt;="&amp;TableWeeklySummary[[#This Row],[Hasta]])</f>
        <v>0</v>
      </c>
      <c r="AK380" s="11">
        <f>SUMIFS(TableDailySummary[Utilidad bruta],TableDailySummary[Fecha],"&gt;="&amp;TableWeeklySummary[[#This Row],[Desde]],TableDailySummary[Fecha],"&lt;="&amp;TableWeeklySummary[[#This Row],[Hasta]])</f>
        <v>0</v>
      </c>
      <c r="AL380" s="18">
        <f>IFERROR(TableWeeklySummary[[#This Row],[Utilidad bruta]]/TableWeeklySummary[[#This Row],[Ventas netas con costo registrado]],0)</f>
        <v>0</v>
      </c>
    </row>
    <row r="381" spans="2:38" x14ac:dyDescent="0.2">
      <c r="B381" s="16">
        <f>_xlfn.ISOWEEKNUM(TableWeeklySummary[[#This Row],[Hasta]])</f>
        <v>5</v>
      </c>
      <c r="C381" s="6">
        <f t="shared" si="7"/>
        <v>47144</v>
      </c>
      <c r="D381" s="6">
        <f>TableWeeklySummary[[#This Row],[Desde]]+7-1</f>
        <v>47150</v>
      </c>
      <c r="E381" s="11">
        <f>SUMIFS(TableDailySummary[Ventas netas totales],TableDailySummary[Fecha],"&gt;="&amp;TableWeeklySummary[[#This Row],[Desde]],TableDailySummary[Fecha],"&lt;="&amp;TableWeeklySummary[[#This Row],[Hasta]])</f>
        <v>0</v>
      </c>
      <c r="F381" s="11">
        <f>SUMIFS(TableDailySummary[Órdenes totales],TableDailySummary[Fecha],"&gt;="&amp;TableWeeklySummary[[#This Row],[Desde]],TableDailySummary[Fecha],"&lt;="&amp;TableWeeklySummary[[#This Row],[Hasta]])</f>
        <v>0</v>
      </c>
      <c r="G381" s="11">
        <f>IFERROR(TableWeeklySummary[[#This Row],[Ventas netas totales]]/TableWeeklySummary[[#This Row],[Órdenes totales]],0)</f>
        <v>0</v>
      </c>
      <c r="H38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1" s="11">
        <f>TableWeeklySummary[[#This Row],[Órden promedio totales]]*TableWeeklySummary[[#This Row],[CR totales]]</f>
        <v>0</v>
      </c>
      <c r="J381" s="11">
        <f>SUMIFS(TableDailySummary[Ventas primer cliente],TableDailySummary[Fecha],"&gt;="&amp;TableWeeklySummary[[#This Row],[Desde]],TableDailySummary[Fecha],"&lt;="&amp;TableWeeklySummary[[#This Row],[Hasta]])</f>
        <v>0</v>
      </c>
      <c r="K381" s="11">
        <f>SUMIFS(TableDailySummary[Órdenes primer cliente],TableDailySummary[Fecha],"&gt;="&amp;TableWeeklySummary[[#This Row],[Desde]],TableDailySummary[Fecha],"&lt;="&amp;TableWeeklySummary[[#This Row],[Hasta]])</f>
        <v>0</v>
      </c>
      <c r="L381" s="11">
        <f>SUMIFS(TableDailySummary[Online Store_net_sales],TableDailySummary[Fecha],"&gt;="&amp;TableWeeklySummary[[#This Row],[Desde]],TableDailySummary[Fecha],"&lt;="&amp;TableWeeklySummary[[#This Row],[Hasta]])</f>
        <v>0</v>
      </c>
      <c r="M381" s="11">
        <f>SUMIFS(TableDailySummary[Online Store_orders],TableDailySummary[Fecha],"&gt;="&amp;TableWeeklySummary[[#This Row],[Desde]],TableDailySummary[Fecha],"&lt;="&amp;TableWeeklySummary[[#This Row],[Hasta]])</f>
        <v>0</v>
      </c>
      <c r="N381" s="11">
        <f>SUMIFS(TableDailySummary[Tienda 81_net_sales],TableDailySummary[Fecha],"&gt;="&amp;TableWeeklySummary[[#This Row],[Desde]],TableDailySummary[Fecha],"&lt;="&amp;TableWeeklySummary[[#This Row],[Hasta]])</f>
        <v>0</v>
      </c>
      <c r="O381" s="11">
        <f>SUMIFS(TableDailySummary[Tienda 81_orders],TableDailySummary[Fecha],"&gt;="&amp;TableWeeklySummary[[#This Row],[Desde]],TableDailySummary[Fecha],"&lt;="&amp;TableWeeklySummary[[#This Row],[Hasta]])</f>
        <v>0</v>
      </c>
      <c r="P381" s="11">
        <f>SUMIFS(TableDailySummary[Rappi_net_sales],TableDailySummary[Fecha],"&gt;="&amp;TableWeeklySummary[[#This Row],[Desde]],TableDailySummary[Fecha],"&lt;="&amp;TableWeeklySummary[[#This Row],[Hasta]])</f>
        <v>0</v>
      </c>
      <c r="Q381" s="11">
        <f>SUMIFS(TableDailySummary[Rappi_orders],TableDailySummary[Fecha],"&gt;="&amp;TableWeeklySummary[[#This Row],[Desde]],TableDailySummary[Fecha],"&lt;="&amp;TableWeeklySummary[[#This Row],[Hasta]])</f>
        <v>0</v>
      </c>
      <c r="R38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1" s="11">
        <f>SUMIFS(TableDailySummary[Corporativo no tienda_orders],TableDailySummary[Fecha],"&gt;="&amp;TableWeeklySummary[[#This Row],[Desde]],TableDailySummary[Fecha],"&lt;="&amp;TableWeeklySummary[[#This Row],[Hasta]])</f>
        <v>0</v>
      </c>
      <c r="T381" s="11">
        <f>SUMIFS(TableDailySummary[Inversión google ads],TableDailySummary[Fecha],"&gt;="&amp;TableWeeklySummary[[#This Row],[Desde]],TableDailySummary[Fecha],"&lt;="&amp;TableWeeklySummary[[#This Row],[Hasta]])</f>
        <v>0</v>
      </c>
      <c r="U381" s="11">
        <f>SUMIFS(TableDailySummary[Ventas google ads],TableDailySummary[Fecha],"&gt;="&amp;TableWeeklySummary[[#This Row],[Desde]],TableDailySummary[Fecha],"&lt;="&amp;TableWeeklySummary[[#This Row],[Hasta]])</f>
        <v>0</v>
      </c>
      <c r="V381" s="11">
        <f>SUMIFS(TableDailySummary[Inversión meta ads],TableDailySummary[Fecha],"&gt;="&amp;TableWeeklySummary[[#This Row],[Desde]],TableDailySummary[Fecha],"&lt;="&amp;TableWeeklySummary[[#This Row],[Hasta]])</f>
        <v>0</v>
      </c>
      <c r="W381" s="11">
        <f>SUMIFS(TableDailySummary[Ventas meta ads],TableDailySummary[Fecha],"&gt;="&amp;TableWeeklySummary[[#This Row],[Desde]],TableDailySummary[Fecha],"&lt;="&amp;TableWeeklySummary[[#This Row],[Hasta]])</f>
        <v>0</v>
      </c>
      <c r="X381" s="11">
        <f>TableWeeklySummary[[#This Row],[Inversión google ads]]+TableWeeklySummary[[#This Row],[Inversión meta ads]]</f>
        <v>0</v>
      </c>
      <c r="Y381" s="11">
        <f>TableWeeklySummary[[#This Row],[Ventas google ads]]+TableWeeklySummary[[#This Row],[Ventas meta ads]]</f>
        <v>0</v>
      </c>
      <c r="Z381" s="14">
        <f>IFERROR(TableWeeklySummary[[#This Row],[Ventas publicidad]]/TableWeeklySummary[[#This Row],[Inversión publicidad]],0)</f>
        <v>0</v>
      </c>
      <c r="AA381" s="14">
        <f>IFERROR(TableWeeklySummary[[#This Row],[Ventas primer cliente]]/TableWeeklySummary[[#This Row],[Inversión publicidad]],0)</f>
        <v>0</v>
      </c>
      <c r="AB381" s="14"/>
      <c r="AC381" s="11"/>
      <c r="AI38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1" s="11">
        <f>SUMIFS(TableDailySummary[Costo de ventas registrado],TableDailySummary[Fecha],"&gt;="&amp;TableWeeklySummary[[#This Row],[Desde]],TableDailySummary[Fecha],"&lt;="&amp;TableWeeklySummary[[#This Row],[Hasta]])</f>
        <v>0</v>
      </c>
      <c r="AK381" s="11">
        <f>SUMIFS(TableDailySummary[Utilidad bruta],TableDailySummary[Fecha],"&gt;="&amp;TableWeeklySummary[[#This Row],[Desde]],TableDailySummary[Fecha],"&lt;="&amp;TableWeeklySummary[[#This Row],[Hasta]])</f>
        <v>0</v>
      </c>
      <c r="AL381" s="18">
        <f>IFERROR(TableWeeklySummary[[#This Row],[Utilidad bruta]]/TableWeeklySummary[[#This Row],[Ventas netas con costo registrado]],0)</f>
        <v>0</v>
      </c>
    </row>
    <row r="382" spans="2:38" x14ac:dyDescent="0.2">
      <c r="B382" s="16">
        <f>_xlfn.ISOWEEKNUM(TableWeeklySummary[[#This Row],[Hasta]])</f>
        <v>6</v>
      </c>
      <c r="C382" s="6">
        <f t="shared" si="7"/>
        <v>47151</v>
      </c>
      <c r="D382" s="6">
        <f>TableWeeklySummary[[#This Row],[Desde]]+7-1</f>
        <v>47157</v>
      </c>
      <c r="E382" s="11">
        <f>SUMIFS(TableDailySummary[Ventas netas totales],TableDailySummary[Fecha],"&gt;="&amp;TableWeeklySummary[[#This Row],[Desde]],TableDailySummary[Fecha],"&lt;="&amp;TableWeeklySummary[[#This Row],[Hasta]])</f>
        <v>0</v>
      </c>
      <c r="F382" s="11">
        <f>SUMIFS(TableDailySummary[Órdenes totales],TableDailySummary[Fecha],"&gt;="&amp;TableWeeklySummary[[#This Row],[Desde]],TableDailySummary[Fecha],"&lt;="&amp;TableWeeklySummary[[#This Row],[Hasta]])</f>
        <v>0</v>
      </c>
      <c r="G382" s="11">
        <f>IFERROR(TableWeeklySummary[[#This Row],[Ventas netas totales]]/TableWeeklySummary[[#This Row],[Órdenes totales]],0)</f>
        <v>0</v>
      </c>
      <c r="H38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2" s="11">
        <f>TableWeeklySummary[[#This Row],[Órden promedio totales]]*TableWeeklySummary[[#This Row],[CR totales]]</f>
        <v>0</v>
      </c>
      <c r="J382" s="11">
        <f>SUMIFS(TableDailySummary[Ventas primer cliente],TableDailySummary[Fecha],"&gt;="&amp;TableWeeklySummary[[#This Row],[Desde]],TableDailySummary[Fecha],"&lt;="&amp;TableWeeklySummary[[#This Row],[Hasta]])</f>
        <v>0</v>
      </c>
      <c r="K382" s="11">
        <f>SUMIFS(TableDailySummary[Órdenes primer cliente],TableDailySummary[Fecha],"&gt;="&amp;TableWeeklySummary[[#This Row],[Desde]],TableDailySummary[Fecha],"&lt;="&amp;TableWeeklySummary[[#This Row],[Hasta]])</f>
        <v>0</v>
      </c>
      <c r="L382" s="11">
        <f>SUMIFS(TableDailySummary[Online Store_net_sales],TableDailySummary[Fecha],"&gt;="&amp;TableWeeklySummary[[#This Row],[Desde]],TableDailySummary[Fecha],"&lt;="&amp;TableWeeklySummary[[#This Row],[Hasta]])</f>
        <v>0</v>
      </c>
      <c r="M382" s="11">
        <f>SUMIFS(TableDailySummary[Online Store_orders],TableDailySummary[Fecha],"&gt;="&amp;TableWeeklySummary[[#This Row],[Desde]],TableDailySummary[Fecha],"&lt;="&amp;TableWeeklySummary[[#This Row],[Hasta]])</f>
        <v>0</v>
      </c>
      <c r="N382" s="11">
        <f>SUMIFS(TableDailySummary[Tienda 81_net_sales],TableDailySummary[Fecha],"&gt;="&amp;TableWeeklySummary[[#This Row],[Desde]],TableDailySummary[Fecha],"&lt;="&amp;TableWeeklySummary[[#This Row],[Hasta]])</f>
        <v>0</v>
      </c>
      <c r="O382" s="11">
        <f>SUMIFS(TableDailySummary[Tienda 81_orders],TableDailySummary[Fecha],"&gt;="&amp;TableWeeklySummary[[#This Row],[Desde]],TableDailySummary[Fecha],"&lt;="&amp;TableWeeklySummary[[#This Row],[Hasta]])</f>
        <v>0</v>
      </c>
      <c r="P382" s="11">
        <f>SUMIFS(TableDailySummary[Rappi_net_sales],TableDailySummary[Fecha],"&gt;="&amp;TableWeeklySummary[[#This Row],[Desde]],TableDailySummary[Fecha],"&lt;="&amp;TableWeeklySummary[[#This Row],[Hasta]])</f>
        <v>0</v>
      </c>
      <c r="Q382" s="11">
        <f>SUMIFS(TableDailySummary[Rappi_orders],TableDailySummary[Fecha],"&gt;="&amp;TableWeeklySummary[[#This Row],[Desde]],TableDailySummary[Fecha],"&lt;="&amp;TableWeeklySummary[[#This Row],[Hasta]])</f>
        <v>0</v>
      </c>
      <c r="R38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2" s="11">
        <f>SUMIFS(TableDailySummary[Corporativo no tienda_orders],TableDailySummary[Fecha],"&gt;="&amp;TableWeeklySummary[[#This Row],[Desde]],TableDailySummary[Fecha],"&lt;="&amp;TableWeeklySummary[[#This Row],[Hasta]])</f>
        <v>0</v>
      </c>
      <c r="T382" s="11">
        <f>SUMIFS(TableDailySummary[Inversión google ads],TableDailySummary[Fecha],"&gt;="&amp;TableWeeklySummary[[#This Row],[Desde]],TableDailySummary[Fecha],"&lt;="&amp;TableWeeklySummary[[#This Row],[Hasta]])</f>
        <v>0</v>
      </c>
      <c r="U382" s="11">
        <f>SUMIFS(TableDailySummary[Ventas google ads],TableDailySummary[Fecha],"&gt;="&amp;TableWeeklySummary[[#This Row],[Desde]],TableDailySummary[Fecha],"&lt;="&amp;TableWeeklySummary[[#This Row],[Hasta]])</f>
        <v>0</v>
      </c>
      <c r="V382" s="11">
        <f>SUMIFS(TableDailySummary[Inversión meta ads],TableDailySummary[Fecha],"&gt;="&amp;TableWeeklySummary[[#This Row],[Desde]],TableDailySummary[Fecha],"&lt;="&amp;TableWeeklySummary[[#This Row],[Hasta]])</f>
        <v>0</v>
      </c>
      <c r="W382" s="11">
        <f>SUMIFS(TableDailySummary[Ventas meta ads],TableDailySummary[Fecha],"&gt;="&amp;TableWeeklySummary[[#This Row],[Desde]],TableDailySummary[Fecha],"&lt;="&amp;TableWeeklySummary[[#This Row],[Hasta]])</f>
        <v>0</v>
      </c>
      <c r="X382" s="11">
        <f>TableWeeklySummary[[#This Row],[Inversión google ads]]+TableWeeklySummary[[#This Row],[Inversión meta ads]]</f>
        <v>0</v>
      </c>
      <c r="Y382" s="11">
        <f>TableWeeklySummary[[#This Row],[Ventas google ads]]+TableWeeklySummary[[#This Row],[Ventas meta ads]]</f>
        <v>0</v>
      </c>
      <c r="Z382" s="14">
        <f>IFERROR(TableWeeklySummary[[#This Row],[Ventas publicidad]]/TableWeeklySummary[[#This Row],[Inversión publicidad]],0)</f>
        <v>0</v>
      </c>
      <c r="AA382" s="14">
        <f>IFERROR(TableWeeklySummary[[#This Row],[Ventas primer cliente]]/TableWeeklySummary[[#This Row],[Inversión publicidad]],0)</f>
        <v>0</v>
      </c>
      <c r="AB382" s="14"/>
      <c r="AC382" s="11"/>
      <c r="AI38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2" s="11">
        <f>SUMIFS(TableDailySummary[Costo de ventas registrado],TableDailySummary[Fecha],"&gt;="&amp;TableWeeklySummary[[#This Row],[Desde]],TableDailySummary[Fecha],"&lt;="&amp;TableWeeklySummary[[#This Row],[Hasta]])</f>
        <v>0</v>
      </c>
      <c r="AK382" s="11">
        <f>SUMIFS(TableDailySummary[Utilidad bruta],TableDailySummary[Fecha],"&gt;="&amp;TableWeeklySummary[[#This Row],[Desde]],TableDailySummary[Fecha],"&lt;="&amp;TableWeeklySummary[[#This Row],[Hasta]])</f>
        <v>0</v>
      </c>
      <c r="AL382" s="18">
        <f>IFERROR(TableWeeklySummary[[#This Row],[Utilidad bruta]]/TableWeeklySummary[[#This Row],[Ventas netas con costo registrado]],0)</f>
        <v>0</v>
      </c>
    </row>
    <row r="383" spans="2:38" x14ac:dyDescent="0.2">
      <c r="B383" s="16">
        <f>_xlfn.ISOWEEKNUM(TableWeeklySummary[[#This Row],[Hasta]])</f>
        <v>7</v>
      </c>
      <c r="C383" s="6">
        <f t="shared" si="7"/>
        <v>47158</v>
      </c>
      <c r="D383" s="6">
        <f>TableWeeklySummary[[#This Row],[Desde]]+7-1</f>
        <v>47164</v>
      </c>
      <c r="E383" s="11">
        <f>SUMIFS(TableDailySummary[Ventas netas totales],TableDailySummary[Fecha],"&gt;="&amp;TableWeeklySummary[[#This Row],[Desde]],TableDailySummary[Fecha],"&lt;="&amp;TableWeeklySummary[[#This Row],[Hasta]])</f>
        <v>0</v>
      </c>
      <c r="F383" s="11">
        <f>SUMIFS(TableDailySummary[Órdenes totales],TableDailySummary[Fecha],"&gt;="&amp;TableWeeklySummary[[#This Row],[Desde]],TableDailySummary[Fecha],"&lt;="&amp;TableWeeklySummary[[#This Row],[Hasta]])</f>
        <v>0</v>
      </c>
      <c r="G383" s="11">
        <f>IFERROR(TableWeeklySummary[[#This Row],[Ventas netas totales]]/TableWeeklySummary[[#This Row],[Órdenes totales]],0)</f>
        <v>0</v>
      </c>
      <c r="H38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3" s="11">
        <f>TableWeeklySummary[[#This Row],[Órden promedio totales]]*TableWeeklySummary[[#This Row],[CR totales]]</f>
        <v>0</v>
      </c>
      <c r="J383" s="11">
        <f>SUMIFS(TableDailySummary[Ventas primer cliente],TableDailySummary[Fecha],"&gt;="&amp;TableWeeklySummary[[#This Row],[Desde]],TableDailySummary[Fecha],"&lt;="&amp;TableWeeklySummary[[#This Row],[Hasta]])</f>
        <v>0</v>
      </c>
      <c r="K383" s="11">
        <f>SUMIFS(TableDailySummary[Órdenes primer cliente],TableDailySummary[Fecha],"&gt;="&amp;TableWeeklySummary[[#This Row],[Desde]],TableDailySummary[Fecha],"&lt;="&amp;TableWeeklySummary[[#This Row],[Hasta]])</f>
        <v>0</v>
      </c>
      <c r="L383" s="11">
        <f>SUMIFS(TableDailySummary[Online Store_net_sales],TableDailySummary[Fecha],"&gt;="&amp;TableWeeklySummary[[#This Row],[Desde]],TableDailySummary[Fecha],"&lt;="&amp;TableWeeklySummary[[#This Row],[Hasta]])</f>
        <v>0</v>
      </c>
      <c r="M383" s="11">
        <f>SUMIFS(TableDailySummary[Online Store_orders],TableDailySummary[Fecha],"&gt;="&amp;TableWeeklySummary[[#This Row],[Desde]],TableDailySummary[Fecha],"&lt;="&amp;TableWeeklySummary[[#This Row],[Hasta]])</f>
        <v>0</v>
      </c>
      <c r="N383" s="11">
        <f>SUMIFS(TableDailySummary[Tienda 81_net_sales],TableDailySummary[Fecha],"&gt;="&amp;TableWeeklySummary[[#This Row],[Desde]],TableDailySummary[Fecha],"&lt;="&amp;TableWeeklySummary[[#This Row],[Hasta]])</f>
        <v>0</v>
      </c>
      <c r="O383" s="11">
        <f>SUMIFS(TableDailySummary[Tienda 81_orders],TableDailySummary[Fecha],"&gt;="&amp;TableWeeklySummary[[#This Row],[Desde]],TableDailySummary[Fecha],"&lt;="&amp;TableWeeklySummary[[#This Row],[Hasta]])</f>
        <v>0</v>
      </c>
      <c r="P383" s="11">
        <f>SUMIFS(TableDailySummary[Rappi_net_sales],TableDailySummary[Fecha],"&gt;="&amp;TableWeeklySummary[[#This Row],[Desde]],TableDailySummary[Fecha],"&lt;="&amp;TableWeeklySummary[[#This Row],[Hasta]])</f>
        <v>0</v>
      </c>
      <c r="Q383" s="11">
        <f>SUMIFS(TableDailySummary[Rappi_orders],TableDailySummary[Fecha],"&gt;="&amp;TableWeeklySummary[[#This Row],[Desde]],TableDailySummary[Fecha],"&lt;="&amp;TableWeeklySummary[[#This Row],[Hasta]])</f>
        <v>0</v>
      </c>
      <c r="R38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3" s="11">
        <f>SUMIFS(TableDailySummary[Corporativo no tienda_orders],TableDailySummary[Fecha],"&gt;="&amp;TableWeeklySummary[[#This Row],[Desde]],TableDailySummary[Fecha],"&lt;="&amp;TableWeeklySummary[[#This Row],[Hasta]])</f>
        <v>0</v>
      </c>
      <c r="T383" s="11">
        <f>SUMIFS(TableDailySummary[Inversión google ads],TableDailySummary[Fecha],"&gt;="&amp;TableWeeklySummary[[#This Row],[Desde]],TableDailySummary[Fecha],"&lt;="&amp;TableWeeklySummary[[#This Row],[Hasta]])</f>
        <v>0</v>
      </c>
      <c r="U383" s="11">
        <f>SUMIFS(TableDailySummary[Ventas google ads],TableDailySummary[Fecha],"&gt;="&amp;TableWeeklySummary[[#This Row],[Desde]],TableDailySummary[Fecha],"&lt;="&amp;TableWeeklySummary[[#This Row],[Hasta]])</f>
        <v>0</v>
      </c>
      <c r="V383" s="11">
        <f>SUMIFS(TableDailySummary[Inversión meta ads],TableDailySummary[Fecha],"&gt;="&amp;TableWeeklySummary[[#This Row],[Desde]],TableDailySummary[Fecha],"&lt;="&amp;TableWeeklySummary[[#This Row],[Hasta]])</f>
        <v>0</v>
      </c>
      <c r="W383" s="11">
        <f>SUMIFS(TableDailySummary[Ventas meta ads],TableDailySummary[Fecha],"&gt;="&amp;TableWeeklySummary[[#This Row],[Desde]],TableDailySummary[Fecha],"&lt;="&amp;TableWeeklySummary[[#This Row],[Hasta]])</f>
        <v>0</v>
      </c>
      <c r="X383" s="11">
        <f>TableWeeklySummary[[#This Row],[Inversión google ads]]+TableWeeklySummary[[#This Row],[Inversión meta ads]]</f>
        <v>0</v>
      </c>
      <c r="Y383" s="11">
        <f>TableWeeklySummary[[#This Row],[Ventas google ads]]+TableWeeklySummary[[#This Row],[Ventas meta ads]]</f>
        <v>0</v>
      </c>
      <c r="Z383" s="14">
        <f>IFERROR(TableWeeklySummary[[#This Row],[Ventas publicidad]]/TableWeeklySummary[[#This Row],[Inversión publicidad]],0)</f>
        <v>0</v>
      </c>
      <c r="AA383" s="14">
        <f>IFERROR(TableWeeklySummary[[#This Row],[Ventas primer cliente]]/TableWeeklySummary[[#This Row],[Inversión publicidad]],0)</f>
        <v>0</v>
      </c>
      <c r="AB383" s="14"/>
      <c r="AC383" s="11"/>
      <c r="AI38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3" s="11">
        <f>SUMIFS(TableDailySummary[Costo de ventas registrado],TableDailySummary[Fecha],"&gt;="&amp;TableWeeklySummary[[#This Row],[Desde]],TableDailySummary[Fecha],"&lt;="&amp;TableWeeklySummary[[#This Row],[Hasta]])</f>
        <v>0</v>
      </c>
      <c r="AK383" s="11">
        <f>SUMIFS(TableDailySummary[Utilidad bruta],TableDailySummary[Fecha],"&gt;="&amp;TableWeeklySummary[[#This Row],[Desde]],TableDailySummary[Fecha],"&lt;="&amp;TableWeeklySummary[[#This Row],[Hasta]])</f>
        <v>0</v>
      </c>
      <c r="AL383" s="18">
        <f>IFERROR(TableWeeklySummary[[#This Row],[Utilidad bruta]]/TableWeeklySummary[[#This Row],[Ventas netas con costo registrado]],0)</f>
        <v>0</v>
      </c>
    </row>
    <row r="384" spans="2:38" x14ac:dyDescent="0.2">
      <c r="B384" s="16">
        <f>_xlfn.ISOWEEKNUM(TableWeeklySummary[[#This Row],[Hasta]])</f>
        <v>8</v>
      </c>
      <c r="C384" s="6">
        <f t="shared" ref="C384:C447" si="8">_xlfn.LET(
    _xlpm.fechaini, ParamFechaInicioReporte,
    _xlpm.start_friday, IF(WEEKDAY(_xlpm.fechaini, 1) = 6, _xlpm.fechaini, _xlpm.fechaini - MOD(WEEKDAY(_xlpm.fechaini, 1) + 1, 7)),
    IF(ROW()=8, _xlpm.start_friday, C383 + 7)
)</f>
        <v>47165</v>
      </c>
      <c r="D384" s="6">
        <f>TableWeeklySummary[[#This Row],[Desde]]+7-1</f>
        <v>47171</v>
      </c>
      <c r="E384" s="11">
        <f>SUMIFS(TableDailySummary[Ventas netas totales],TableDailySummary[Fecha],"&gt;="&amp;TableWeeklySummary[[#This Row],[Desde]],TableDailySummary[Fecha],"&lt;="&amp;TableWeeklySummary[[#This Row],[Hasta]])</f>
        <v>0</v>
      </c>
      <c r="F384" s="11">
        <f>SUMIFS(TableDailySummary[Órdenes totales],TableDailySummary[Fecha],"&gt;="&amp;TableWeeklySummary[[#This Row],[Desde]],TableDailySummary[Fecha],"&lt;="&amp;TableWeeklySummary[[#This Row],[Hasta]])</f>
        <v>0</v>
      </c>
      <c r="G384" s="11">
        <f>IFERROR(TableWeeklySummary[[#This Row],[Ventas netas totales]]/TableWeeklySummary[[#This Row],[Órdenes totales]],0)</f>
        <v>0</v>
      </c>
      <c r="H38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4" s="11">
        <f>TableWeeklySummary[[#This Row],[Órden promedio totales]]*TableWeeklySummary[[#This Row],[CR totales]]</f>
        <v>0</v>
      </c>
      <c r="J384" s="11">
        <f>SUMIFS(TableDailySummary[Ventas primer cliente],TableDailySummary[Fecha],"&gt;="&amp;TableWeeklySummary[[#This Row],[Desde]],TableDailySummary[Fecha],"&lt;="&amp;TableWeeklySummary[[#This Row],[Hasta]])</f>
        <v>0</v>
      </c>
      <c r="K384" s="11">
        <f>SUMIFS(TableDailySummary[Órdenes primer cliente],TableDailySummary[Fecha],"&gt;="&amp;TableWeeklySummary[[#This Row],[Desde]],TableDailySummary[Fecha],"&lt;="&amp;TableWeeklySummary[[#This Row],[Hasta]])</f>
        <v>0</v>
      </c>
      <c r="L384" s="11">
        <f>SUMIFS(TableDailySummary[Online Store_net_sales],TableDailySummary[Fecha],"&gt;="&amp;TableWeeklySummary[[#This Row],[Desde]],TableDailySummary[Fecha],"&lt;="&amp;TableWeeklySummary[[#This Row],[Hasta]])</f>
        <v>0</v>
      </c>
      <c r="M384" s="11">
        <f>SUMIFS(TableDailySummary[Online Store_orders],TableDailySummary[Fecha],"&gt;="&amp;TableWeeklySummary[[#This Row],[Desde]],TableDailySummary[Fecha],"&lt;="&amp;TableWeeklySummary[[#This Row],[Hasta]])</f>
        <v>0</v>
      </c>
      <c r="N384" s="11">
        <f>SUMIFS(TableDailySummary[Tienda 81_net_sales],TableDailySummary[Fecha],"&gt;="&amp;TableWeeklySummary[[#This Row],[Desde]],TableDailySummary[Fecha],"&lt;="&amp;TableWeeklySummary[[#This Row],[Hasta]])</f>
        <v>0</v>
      </c>
      <c r="O384" s="11">
        <f>SUMIFS(TableDailySummary[Tienda 81_orders],TableDailySummary[Fecha],"&gt;="&amp;TableWeeklySummary[[#This Row],[Desde]],TableDailySummary[Fecha],"&lt;="&amp;TableWeeklySummary[[#This Row],[Hasta]])</f>
        <v>0</v>
      </c>
      <c r="P384" s="11">
        <f>SUMIFS(TableDailySummary[Rappi_net_sales],TableDailySummary[Fecha],"&gt;="&amp;TableWeeklySummary[[#This Row],[Desde]],TableDailySummary[Fecha],"&lt;="&amp;TableWeeklySummary[[#This Row],[Hasta]])</f>
        <v>0</v>
      </c>
      <c r="Q384" s="11">
        <f>SUMIFS(TableDailySummary[Rappi_orders],TableDailySummary[Fecha],"&gt;="&amp;TableWeeklySummary[[#This Row],[Desde]],TableDailySummary[Fecha],"&lt;="&amp;TableWeeklySummary[[#This Row],[Hasta]])</f>
        <v>0</v>
      </c>
      <c r="R38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4" s="11">
        <f>SUMIFS(TableDailySummary[Corporativo no tienda_orders],TableDailySummary[Fecha],"&gt;="&amp;TableWeeklySummary[[#This Row],[Desde]],TableDailySummary[Fecha],"&lt;="&amp;TableWeeklySummary[[#This Row],[Hasta]])</f>
        <v>0</v>
      </c>
      <c r="T384" s="11">
        <f>SUMIFS(TableDailySummary[Inversión google ads],TableDailySummary[Fecha],"&gt;="&amp;TableWeeklySummary[[#This Row],[Desde]],TableDailySummary[Fecha],"&lt;="&amp;TableWeeklySummary[[#This Row],[Hasta]])</f>
        <v>0</v>
      </c>
      <c r="U384" s="11">
        <f>SUMIFS(TableDailySummary[Ventas google ads],TableDailySummary[Fecha],"&gt;="&amp;TableWeeklySummary[[#This Row],[Desde]],TableDailySummary[Fecha],"&lt;="&amp;TableWeeklySummary[[#This Row],[Hasta]])</f>
        <v>0</v>
      </c>
      <c r="V384" s="11">
        <f>SUMIFS(TableDailySummary[Inversión meta ads],TableDailySummary[Fecha],"&gt;="&amp;TableWeeklySummary[[#This Row],[Desde]],TableDailySummary[Fecha],"&lt;="&amp;TableWeeklySummary[[#This Row],[Hasta]])</f>
        <v>0</v>
      </c>
      <c r="W384" s="11">
        <f>SUMIFS(TableDailySummary[Ventas meta ads],TableDailySummary[Fecha],"&gt;="&amp;TableWeeklySummary[[#This Row],[Desde]],TableDailySummary[Fecha],"&lt;="&amp;TableWeeklySummary[[#This Row],[Hasta]])</f>
        <v>0</v>
      </c>
      <c r="X384" s="11">
        <f>TableWeeklySummary[[#This Row],[Inversión google ads]]+TableWeeklySummary[[#This Row],[Inversión meta ads]]</f>
        <v>0</v>
      </c>
      <c r="Y384" s="11">
        <f>TableWeeklySummary[[#This Row],[Ventas google ads]]+TableWeeklySummary[[#This Row],[Ventas meta ads]]</f>
        <v>0</v>
      </c>
      <c r="Z384" s="14">
        <f>IFERROR(TableWeeklySummary[[#This Row],[Ventas publicidad]]/TableWeeklySummary[[#This Row],[Inversión publicidad]],0)</f>
        <v>0</v>
      </c>
      <c r="AA384" s="14">
        <f>IFERROR(TableWeeklySummary[[#This Row],[Ventas primer cliente]]/TableWeeklySummary[[#This Row],[Inversión publicidad]],0)</f>
        <v>0</v>
      </c>
      <c r="AB384" s="14"/>
      <c r="AC384" s="11"/>
      <c r="AI38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4" s="11">
        <f>SUMIFS(TableDailySummary[Costo de ventas registrado],TableDailySummary[Fecha],"&gt;="&amp;TableWeeklySummary[[#This Row],[Desde]],TableDailySummary[Fecha],"&lt;="&amp;TableWeeklySummary[[#This Row],[Hasta]])</f>
        <v>0</v>
      </c>
      <c r="AK384" s="11">
        <f>SUMIFS(TableDailySummary[Utilidad bruta],TableDailySummary[Fecha],"&gt;="&amp;TableWeeklySummary[[#This Row],[Desde]],TableDailySummary[Fecha],"&lt;="&amp;TableWeeklySummary[[#This Row],[Hasta]])</f>
        <v>0</v>
      </c>
      <c r="AL384" s="18">
        <f>IFERROR(TableWeeklySummary[[#This Row],[Utilidad bruta]]/TableWeeklySummary[[#This Row],[Ventas netas con costo registrado]],0)</f>
        <v>0</v>
      </c>
    </row>
    <row r="385" spans="2:38" x14ac:dyDescent="0.2">
      <c r="B385" s="16">
        <f>_xlfn.ISOWEEKNUM(TableWeeklySummary[[#This Row],[Hasta]])</f>
        <v>9</v>
      </c>
      <c r="C385" s="6">
        <f t="shared" si="8"/>
        <v>47172</v>
      </c>
      <c r="D385" s="6">
        <f>TableWeeklySummary[[#This Row],[Desde]]+7-1</f>
        <v>47178</v>
      </c>
      <c r="E385" s="11">
        <f>SUMIFS(TableDailySummary[Ventas netas totales],TableDailySummary[Fecha],"&gt;="&amp;TableWeeklySummary[[#This Row],[Desde]],TableDailySummary[Fecha],"&lt;="&amp;TableWeeklySummary[[#This Row],[Hasta]])</f>
        <v>0</v>
      </c>
      <c r="F385" s="11">
        <f>SUMIFS(TableDailySummary[Órdenes totales],TableDailySummary[Fecha],"&gt;="&amp;TableWeeklySummary[[#This Row],[Desde]],TableDailySummary[Fecha],"&lt;="&amp;TableWeeklySummary[[#This Row],[Hasta]])</f>
        <v>0</v>
      </c>
      <c r="G385" s="11">
        <f>IFERROR(TableWeeklySummary[[#This Row],[Ventas netas totales]]/TableWeeklySummary[[#This Row],[Órdenes totales]],0)</f>
        <v>0</v>
      </c>
      <c r="H38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5" s="11">
        <f>TableWeeklySummary[[#This Row],[Órden promedio totales]]*TableWeeklySummary[[#This Row],[CR totales]]</f>
        <v>0</v>
      </c>
      <c r="J385" s="11">
        <f>SUMIFS(TableDailySummary[Ventas primer cliente],TableDailySummary[Fecha],"&gt;="&amp;TableWeeklySummary[[#This Row],[Desde]],TableDailySummary[Fecha],"&lt;="&amp;TableWeeklySummary[[#This Row],[Hasta]])</f>
        <v>0</v>
      </c>
      <c r="K385" s="11">
        <f>SUMIFS(TableDailySummary[Órdenes primer cliente],TableDailySummary[Fecha],"&gt;="&amp;TableWeeklySummary[[#This Row],[Desde]],TableDailySummary[Fecha],"&lt;="&amp;TableWeeklySummary[[#This Row],[Hasta]])</f>
        <v>0</v>
      </c>
      <c r="L385" s="11">
        <f>SUMIFS(TableDailySummary[Online Store_net_sales],TableDailySummary[Fecha],"&gt;="&amp;TableWeeklySummary[[#This Row],[Desde]],TableDailySummary[Fecha],"&lt;="&amp;TableWeeklySummary[[#This Row],[Hasta]])</f>
        <v>0</v>
      </c>
      <c r="M385" s="11">
        <f>SUMIFS(TableDailySummary[Online Store_orders],TableDailySummary[Fecha],"&gt;="&amp;TableWeeklySummary[[#This Row],[Desde]],TableDailySummary[Fecha],"&lt;="&amp;TableWeeklySummary[[#This Row],[Hasta]])</f>
        <v>0</v>
      </c>
      <c r="N385" s="11">
        <f>SUMIFS(TableDailySummary[Tienda 81_net_sales],TableDailySummary[Fecha],"&gt;="&amp;TableWeeklySummary[[#This Row],[Desde]],TableDailySummary[Fecha],"&lt;="&amp;TableWeeklySummary[[#This Row],[Hasta]])</f>
        <v>0</v>
      </c>
      <c r="O385" s="11">
        <f>SUMIFS(TableDailySummary[Tienda 81_orders],TableDailySummary[Fecha],"&gt;="&amp;TableWeeklySummary[[#This Row],[Desde]],TableDailySummary[Fecha],"&lt;="&amp;TableWeeklySummary[[#This Row],[Hasta]])</f>
        <v>0</v>
      </c>
      <c r="P385" s="11">
        <f>SUMIFS(TableDailySummary[Rappi_net_sales],TableDailySummary[Fecha],"&gt;="&amp;TableWeeklySummary[[#This Row],[Desde]],TableDailySummary[Fecha],"&lt;="&amp;TableWeeklySummary[[#This Row],[Hasta]])</f>
        <v>0</v>
      </c>
      <c r="Q385" s="11">
        <f>SUMIFS(TableDailySummary[Rappi_orders],TableDailySummary[Fecha],"&gt;="&amp;TableWeeklySummary[[#This Row],[Desde]],TableDailySummary[Fecha],"&lt;="&amp;TableWeeklySummary[[#This Row],[Hasta]])</f>
        <v>0</v>
      </c>
      <c r="R38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5" s="11">
        <f>SUMIFS(TableDailySummary[Corporativo no tienda_orders],TableDailySummary[Fecha],"&gt;="&amp;TableWeeklySummary[[#This Row],[Desde]],TableDailySummary[Fecha],"&lt;="&amp;TableWeeklySummary[[#This Row],[Hasta]])</f>
        <v>0</v>
      </c>
      <c r="T385" s="11">
        <f>SUMIFS(TableDailySummary[Inversión google ads],TableDailySummary[Fecha],"&gt;="&amp;TableWeeklySummary[[#This Row],[Desde]],TableDailySummary[Fecha],"&lt;="&amp;TableWeeklySummary[[#This Row],[Hasta]])</f>
        <v>0</v>
      </c>
      <c r="U385" s="11">
        <f>SUMIFS(TableDailySummary[Ventas google ads],TableDailySummary[Fecha],"&gt;="&amp;TableWeeklySummary[[#This Row],[Desde]],TableDailySummary[Fecha],"&lt;="&amp;TableWeeklySummary[[#This Row],[Hasta]])</f>
        <v>0</v>
      </c>
      <c r="V385" s="11">
        <f>SUMIFS(TableDailySummary[Inversión meta ads],TableDailySummary[Fecha],"&gt;="&amp;TableWeeklySummary[[#This Row],[Desde]],TableDailySummary[Fecha],"&lt;="&amp;TableWeeklySummary[[#This Row],[Hasta]])</f>
        <v>0</v>
      </c>
      <c r="W385" s="11">
        <f>SUMIFS(TableDailySummary[Ventas meta ads],TableDailySummary[Fecha],"&gt;="&amp;TableWeeklySummary[[#This Row],[Desde]],TableDailySummary[Fecha],"&lt;="&amp;TableWeeklySummary[[#This Row],[Hasta]])</f>
        <v>0</v>
      </c>
      <c r="X385" s="11">
        <f>TableWeeklySummary[[#This Row],[Inversión google ads]]+TableWeeklySummary[[#This Row],[Inversión meta ads]]</f>
        <v>0</v>
      </c>
      <c r="Y385" s="11">
        <f>TableWeeklySummary[[#This Row],[Ventas google ads]]+TableWeeklySummary[[#This Row],[Ventas meta ads]]</f>
        <v>0</v>
      </c>
      <c r="Z385" s="14">
        <f>IFERROR(TableWeeklySummary[[#This Row],[Ventas publicidad]]/TableWeeklySummary[[#This Row],[Inversión publicidad]],0)</f>
        <v>0</v>
      </c>
      <c r="AA385" s="14">
        <f>IFERROR(TableWeeklySummary[[#This Row],[Ventas primer cliente]]/TableWeeklySummary[[#This Row],[Inversión publicidad]],0)</f>
        <v>0</v>
      </c>
      <c r="AB385" s="14"/>
      <c r="AC385" s="11"/>
      <c r="AI38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5" s="11">
        <f>SUMIFS(TableDailySummary[Costo de ventas registrado],TableDailySummary[Fecha],"&gt;="&amp;TableWeeklySummary[[#This Row],[Desde]],TableDailySummary[Fecha],"&lt;="&amp;TableWeeklySummary[[#This Row],[Hasta]])</f>
        <v>0</v>
      </c>
      <c r="AK385" s="11">
        <f>SUMIFS(TableDailySummary[Utilidad bruta],TableDailySummary[Fecha],"&gt;="&amp;TableWeeklySummary[[#This Row],[Desde]],TableDailySummary[Fecha],"&lt;="&amp;TableWeeklySummary[[#This Row],[Hasta]])</f>
        <v>0</v>
      </c>
      <c r="AL385" s="18">
        <f>IFERROR(TableWeeklySummary[[#This Row],[Utilidad bruta]]/TableWeeklySummary[[#This Row],[Ventas netas con costo registrado]],0)</f>
        <v>0</v>
      </c>
    </row>
    <row r="386" spans="2:38" x14ac:dyDescent="0.2">
      <c r="B386" s="16">
        <f>_xlfn.ISOWEEKNUM(TableWeeklySummary[[#This Row],[Hasta]])</f>
        <v>10</v>
      </c>
      <c r="C386" s="6">
        <f t="shared" si="8"/>
        <v>47179</v>
      </c>
      <c r="D386" s="6">
        <f>TableWeeklySummary[[#This Row],[Desde]]+7-1</f>
        <v>47185</v>
      </c>
      <c r="E386" s="11">
        <f>SUMIFS(TableDailySummary[Ventas netas totales],TableDailySummary[Fecha],"&gt;="&amp;TableWeeklySummary[[#This Row],[Desde]],TableDailySummary[Fecha],"&lt;="&amp;TableWeeklySummary[[#This Row],[Hasta]])</f>
        <v>0</v>
      </c>
      <c r="F386" s="11">
        <f>SUMIFS(TableDailySummary[Órdenes totales],TableDailySummary[Fecha],"&gt;="&amp;TableWeeklySummary[[#This Row],[Desde]],TableDailySummary[Fecha],"&lt;="&amp;TableWeeklySummary[[#This Row],[Hasta]])</f>
        <v>0</v>
      </c>
      <c r="G386" s="11">
        <f>IFERROR(TableWeeklySummary[[#This Row],[Ventas netas totales]]/TableWeeklySummary[[#This Row],[Órdenes totales]],0)</f>
        <v>0</v>
      </c>
      <c r="H38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6" s="11">
        <f>TableWeeklySummary[[#This Row],[Órden promedio totales]]*TableWeeklySummary[[#This Row],[CR totales]]</f>
        <v>0</v>
      </c>
      <c r="J386" s="11">
        <f>SUMIFS(TableDailySummary[Ventas primer cliente],TableDailySummary[Fecha],"&gt;="&amp;TableWeeklySummary[[#This Row],[Desde]],TableDailySummary[Fecha],"&lt;="&amp;TableWeeklySummary[[#This Row],[Hasta]])</f>
        <v>0</v>
      </c>
      <c r="K386" s="11">
        <f>SUMIFS(TableDailySummary[Órdenes primer cliente],TableDailySummary[Fecha],"&gt;="&amp;TableWeeklySummary[[#This Row],[Desde]],TableDailySummary[Fecha],"&lt;="&amp;TableWeeklySummary[[#This Row],[Hasta]])</f>
        <v>0</v>
      </c>
      <c r="L386" s="11">
        <f>SUMIFS(TableDailySummary[Online Store_net_sales],TableDailySummary[Fecha],"&gt;="&amp;TableWeeklySummary[[#This Row],[Desde]],TableDailySummary[Fecha],"&lt;="&amp;TableWeeklySummary[[#This Row],[Hasta]])</f>
        <v>0</v>
      </c>
      <c r="M386" s="11">
        <f>SUMIFS(TableDailySummary[Online Store_orders],TableDailySummary[Fecha],"&gt;="&amp;TableWeeklySummary[[#This Row],[Desde]],TableDailySummary[Fecha],"&lt;="&amp;TableWeeklySummary[[#This Row],[Hasta]])</f>
        <v>0</v>
      </c>
      <c r="N386" s="11">
        <f>SUMIFS(TableDailySummary[Tienda 81_net_sales],TableDailySummary[Fecha],"&gt;="&amp;TableWeeklySummary[[#This Row],[Desde]],TableDailySummary[Fecha],"&lt;="&amp;TableWeeklySummary[[#This Row],[Hasta]])</f>
        <v>0</v>
      </c>
      <c r="O386" s="11">
        <f>SUMIFS(TableDailySummary[Tienda 81_orders],TableDailySummary[Fecha],"&gt;="&amp;TableWeeklySummary[[#This Row],[Desde]],TableDailySummary[Fecha],"&lt;="&amp;TableWeeklySummary[[#This Row],[Hasta]])</f>
        <v>0</v>
      </c>
      <c r="P386" s="11">
        <f>SUMIFS(TableDailySummary[Rappi_net_sales],TableDailySummary[Fecha],"&gt;="&amp;TableWeeklySummary[[#This Row],[Desde]],TableDailySummary[Fecha],"&lt;="&amp;TableWeeklySummary[[#This Row],[Hasta]])</f>
        <v>0</v>
      </c>
      <c r="Q386" s="11">
        <f>SUMIFS(TableDailySummary[Rappi_orders],TableDailySummary[Fecha],"&gt;="&amp;TableWeeklySummary[[#This Row],[Desde]],TableDailySummary[Fecha],"&lt;="&amp;TableWeeklySummary[[#This Row],[Hasta]])</f>
        <v>0</v>
      </c>
      <c r="R38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6" s="11">
        <f>SUMIFS(TableDailySummary[Corporativo no tienda_orders],TableDailySummary[Fecha],"&gt;="&amp;TableWeeklySummary[[#This Row],[Desde]],TableDailySummary[Fecha],"&lt;="&amp;TableWeeklySummary[[#This Row],[Hasta]])</f>
        <v>0</v>
      </c>
      <c r="T386" s="11">
        <f>SUMIFS(TableDailySummary[Inversión google ads],TableDailySummary[Fecha],"&gt;="&amp;TableWeeklySummary[[#This Row],[Desde]],TableDailySummary[Fecha],"&lt;="&amp;TableWeeklySummary[[#This Row],[Hasta]])</f>
        <v>0</v>
      </c>
      <c r="U386" s="11">
        <f>SUMIFS(TableDailySummary[Ventas google ads],TableDailySummary[Fecha],"&gt;="&amp;TableWeeklySummary[[#This Row],[Desde]],TableDailySummary[Fecha],"&lt;="&amp;TableWeeklySummary[[#This Row],[Hasta]])</f>
        <v>0</v>
      </c>
      <c r="V386" s="11">
        <f>SUMIFS(TableDailySummary[Inversión meta ads],TableDailySummary[Fecha],"&gt;="&amp;TableWeeklySummary[[#This Row],[Desde]],TableDailySummary[Fecha],"&lt;="&amp;TableWeeklySummary[[#This Row],[Hasta]])</f>
        <v>0</v>
      </c>
      <c r="W386" s="11">
        <f>SUMIFS(TableDailySummary[Ventas meta ads],TableDailySummary[Fecha],"&gt;="&amp;TableWeeklySummary[[#This Row],[Desde]],TableDailySummary[Fecha],"&lt;="&amp;TableWeeklySummary[[#This Row],[Hasta]])</f>
        <v>0</v>
      </c>
      <c r="X386" s="11">
        <f>TableWeeklySummary[[#This Row],[Inversión google ads]]+TableWeeklySummary[[#This Row],[Inversión meta ads]]</f>
        <v>0</v>
      </c>
      <c r="Y386" s="11">
        <f>TableWeeklySummary[[#This Row],[Ventas google ads]]+TableWeeklySummary[[#This Row],[Ventas meta ads]]</f>
        <v>0</v>
      </c>
      <c r="Z386" s="14">
        <f>IFERROR(TableWeeklySummary[[#This Row],[Ventas publicidad]]/TableWeeklySummary[[#This Row],[Inversión publicidad]],0)</f>
        <v>0</v>
      </c>
      <c r="AA386" s="14">
        <f>IFERROR(TableWeeklySummary[[#This Row],[Ventas primer cliente]]/TableWeeklySummary[[#This Row],[Inversión publicidad]],0)</f>
        <v>0</v>
      </c>
      <c r="AB386" s="14"/>
      <c r="AC386" s="11"/>
      <c r="AI38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6" s="11">
        <f>SUMIFS(TableDailySummary[Costo de ventas registrado],TableDailySummary[Fecha],"&gt;="&amp;TableWeeklySummary[[#This Row],[Desde]],TableDailySummary[Fecha],"&lt;="&amp;TableWeeklySummary[[#This Row],[Hasta]])</f>
        <v>0</v>
      </c>
      <c r="AK386" s="11">
        <f>SUMIFS(TableDailySummary[Utilidad bruta],TableDailySummary[Fecha],"&gt;="&amp;TableWeeklySummary[[#This Row],[Desde]],TableDailySummary[Fecha],"&lt;="&amp;TableWeeklySummary[[#This Row],[Hasta]])</f>
        <v>0</v>
      </c>
      <c r="AL386" s="18">
        <f>IFERROR(TableWeeklySummary[[#This Row],[Utilidad bruta]]/TableWeeklySummary[[#This Row],[Ventas netas con costo registrado]],0)</f>
        <v>0</v>
      </c>
    </row>
    <row r="387" spans="2:38" x14ac:dyDescent="0.2">
      <c r="B387" s="16">
        <f>_xlfn.ISOWEEKNUM(TableWeeklySummary[[#This Row],[Hasta]])</f>
        <v>11</v>
      </c>
      <c r="C387" s="6">
        <f t="shared" si="8"/>
        <v>47186</v>
      </c>
      <c r="D387" s="6">
        <f>TableWeeklySummary[[#This Row],[Desde]]+7-1</f>
        <v>47192</v>
      </c>
      <c r="E387" s="11">
        <f>SUMIFS(TableDailySummary[Ventas netas totales],TableDailySummary[Fecha],"&gt;="&amp;TableWeeklySummary[[#This Row],[Desde]],TableDailySummary[Fecha],"&lt;="&amp;TableWeeklySummary[[#This Row],[Hasta]])</f>
        <v>0</v>
      </c>
      <c r="F387" s="11">
        <f>SUMIFS(TableDailySummary[Órdenes totales],TableDailySummary[Fecha],"&gt;="&amp;TableWeeklySummary[[#This Row],[Desde]],TableDailySummary[Fecha],"&lt;="&amp;TableWeeklySummary[[#This Row],[Hasta]])</f>
        <v>0</v>
      </c>
      <c r="G387" s="11">
        <f>IFERROR(TableWeeklySummary[[#This Row],[Ventas netas totales]]/TableWeeklySummary[[#This Row],[Órdenes totales]],0)</f>
        <v>0</v>
      </c>
      <c r="H38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7" s="11">
        <f>TableWeeklySummary[[#This Row],[Órden promedio totales]]*TableWeeklySummary[[#This Row],[CR totales]]</f>
        <v>0</v>
      </c>
      <c r="J387" s="11">
        <f>SUMIFS(TableDailySummary[Ventas primer cliente],TableDailySummary[Fecha],"&gt;="&amp;TableWeeklySummary[[#This Row],[Desde]],TableDailySummary[Fecha],"&lt;="&amp;TableWeeklySummary[[#This Row],[Hasta]])</f>
        <v>0</v>
      </c>
      <c r="K387" s="11">
        <f>SUMIFS(TableDailySummary[Órdenes primer cliente],TableDailySummary[Fecha],"&gt;="&amp;TableWeeklySummary[[#This Row],[Desde]],TableDailySummary[Fecha],"&lt;="&amp;TableWeeklySummary[[#This Row],[Hasta]])</f>
        <v>0</v>
      </c>
      <c r="L387" s="11">
        <f>SUMIFS(TableDailySummary[Online Store_net_sales],TableDailySummary[Fecha],"&gt;="&amp;TableWeeklySummary[[#This Row],[Desde]],TableDailySummary[Fecha],"&lt;="&amp;TableWeeklySummary[[#This Row],[Hasta]])</f>
        <v>0</v>
      </c>
      <c r="M387" s="11">
        <f>SUMIFS(TableDailySummary[Online Store_orders],TableDailySummary[Fecha],"&gt;="&amp;TableWeeklySummary[[#This Row],[Desde]],TableDailySummary[Fecha],"&lt;="&amp;TableWeeklySummary[[#This Row],[Hasta]])</f>
        <v>0</v>
      </c>
      <c r="N387" s="11">
        <f>SUMIFS(TableDailySummary[Tienda 81_net_sales],TableDailySummary[Fecha],"&gt;="&amp;TableWeeklySummary[[#This Row],[Desde]],TableDailySummary[Fecha],"&lt;="&amp;TableWeeklySummary[[#This Row],[Hasta]])</f>
        <v>0</v>
      </c>
      <c r="O387" s="11">
        <f>SUMIFS(TableDailySummary[Tienda 81_orders],TableDailySummary[Fecha],"&gt;="&amp;TableWeeklySummary[[#This Row],[Desde]],TableDailySummary[Fecha],"&lt;="&amp;TableWeeklySummary[[#This Row],[Hasta]])</f>
        <v>0</v>
      </c>
      <c r="P387" s="11">
        <f>SUMIFS(TableDailySummary[Rappi_net_sales],TableDailySummary[Fecha],"&gt;="&amp;TableWeeklySummary[[#This Row],[Desde]],TableDailySummary[Fecha],"&lt;="&amp;TableWeeklySummary[[#This Row],[Hasta]])</f>
        <v>0</v>
      </c>
      <c r="Q387" s="11">
        <f>SUMIFS(TableDailySummary[Rappi_orders],TableDailySummary[Fecha],"&gt;="&amp;TableWeeklySummary[[#This Row],[Desde]],TableDailySummary[Fecha],"&lt;="&amp;TableWeeklySummary[[#This Row],[Hasta]])</f>
        <v>0</v>
      </c>
      <c r="R38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7" s="11">
        <f>SUMIFS(TableDailySummary[Corporativo no tienda_orders],TableDailySummary[Fecha],"&gt;="&amp;TableWeeklySummary[[#This Row],[Desde]],TableDailySummary[Fecha],"&lt;="&amp;TableWeeklySummary[[#This Row],[Hasta]])</f>
        <v>0</v>
      </c>
      <c r="T387" s="11">
        <f>SUMIFS(TableDailySummary[Inversión google ads],TableDailySummary[Fecha],"&gt;="&amp;TableWeeklySummary[[#This Row],[Desde]],TableDailySummary[Fecha],"&lt;="&amp;TableWeeklySummary[[#This Row],[Hasta]])</f>
        <v>0</v>
      </c>
      <c r="U387" s="11">
        <f>SUMIFS(TableDailySummary[Ventas google ads],TableDailySummary[Fecha],"&gt;="&amp;TableWeeklySummary[[#This Row],[Desde]],TableDailySummary[Fecha],"&lt;="&amp;TableWeeklySummary[[#This Row],[Hasta]])</f>
        <v>0</v>
      </c>
      <c r="V387" s="11">
        <f>SUMIFS(TableDailySummary[Inversión meta ads],TableDailySummary[Fecha],"&gt;="&amp;TableWeeklySummary[[#This Row],[Desde]],TableDailySummary[Fecha],"&lt;="&amp;TableWeeklySummary[[#This Row],[Hasta]])</f>
        <v>0</v>
      </c>
      <c r="W387" s="11">
        <f>SUMIFS(TableDailySummary[Ventas meta ads],TableDailySummary[Fecha],"&gt;="&amp;TableWeeklySummary[[#This Row],[Desde]],TableDailySummary[Fecha],"&lt;="&amp;TableWeeklySummary[[#This Row],[Hasta]])</f>
        <v>0</v>
      </c>
      <c r="X387" s="11">
        <f>TableWeeklySummary[[#This Row],[Inversión google ads]]+TableWeeklySummary[[#This Row],[Inversión meta ads]]</f>
        <v>0</v>
      </c>
      <c r="Y387" s="11">
        <f>TableWeeklySummary[[#This Row],[Ventas google ads]]+TableWeeklySummary[[#This Row],[Ventas meta ads]]</f>
        <v>0</v>
      </c>
      <c r="Z387" s="14">
        <f>IFERROR(TableWeeklySummary[[#This Row],[Ventas publicidad]]/TableWeeklySummary[[#This Row],[Inversión publicidad]],0)</f>
        <v>0</v>
      </c>
      <c r="AA387" s="14">
        <f>IFERROR(TableWeeklySummary[[#This Row],[Ventas primer cliente]]/TableWeeklySummary[[#This Row],[Inversión publicidad]],0)</f>
        <v>0</v>
      </c>
      <c r="AB387" s="14"/>
      <c r="AC387" s="11"/>
      <c r="AI38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7" s="11">
        <f>SUMIFS(TableDailySummary[Costo de ventas registrado],TableDailySummary[Fecha],"&gt;="&amp;TableWeeklySummary[[#This Row],[Desde]],TableDailySummary[Fecha],"&lt;="&amp;TableWeeklySummary[[#This Row],[Hasta]])</f>
        <v>0</v>
      </c>
      <c r="AK387" s="11">
        <f>SUMIFS(TableDailySummary[Utilidad bruta],TableDailySummary[Fecha],"&gt;="&amp;TableWeeklySummary[[#This Row],[Desde]],TableDailySummary[Fecha],"&lt;="&amp;TableWeeklySummary[[#This Row],[Hasta]])</f>
        <v>0</v>
      </c>
      <c r="AL387" s="18">
        <f>IFERROR(TableWeeklySummary[[#This Row],[Utilidad bruta]]/TableWeeklySummary[[#This Row],[Ventas netas con costo registrado]],0)</f>
        <v>0</v>
      </c>
    </row>
    <row r="388" spans="2:38" x14ac:dyDescent="0.2">
      <c r="B388" s="16">
        <f>_xlfn.ISOWEEKNUM(TableWeeklySummary[[#This Row],[Hasta]])</f>
        <v>12</v>
      </c>
      <c r="C388" s="6">
        <f t="shared" si="8"/>
        <v>47193</v>
      </c>
      <c r="D388" s="6">
        <f>TableWeeklySummary[[#This Row],[Desde]]+7-1</f>
        <v>47199</v>
      </c>
      <c r="E388" s="11">
        <f>SUMIFS(TableDailySummary[Ventas netas totales],TableDailySummary[Fecha],"&gt;="&amp;TableWeeklySummary[[#This Row],[Desde]],TableDailySummary[Fecha],"&lt;="&amp;TableWeeklySummary[[#This Row],[Hasta]])</f>
        <v>0</v>
      </c>
      <c r="F388" s="11">
        <f>SUMIFS(TableDailySummary[Órdenes totales],TableDailySummary[Fecha],"&gt;="&amp;TableWeeklySummary[[#This Row],[Desde]],TableDailySummary[Fecha],"&lt;="&amp;TableWeeklySummary[[#This Row],[Hasta]])</f>
        <v>0</v>
      </c>
      <c r="G388" s="11">
        <f>IFERROR(TableWeeklySummary[[#This Row],[Ventas netas totales]]/TableWeeklySummary[[#This Row],[Órdenes totales]],0)</f>
        <v>0</v>
      </c>
      <c r="H38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8" s="11">
        <f>TableWeeklySummary[[#This Row],[Órden promedio totales]]*TableWeeklySummary[[#This Row],[CR totales]]</f>
        <v>0</v>
      </c>
      <c r="J388" s="11">
        <f>SUMIFS(TableDailySummary[Ventas primer cliente],TableDailySummary[Fecha],"&gt;="&amp;TableWeeklySummary[[#This Row],[Desde]],TableDailySummary[Fecha],"&lt;="&amp;TableWeeklySummary[[#This Row],[Hasta]])</f>
        <v>0</v>
      </c>
      <c r="K388" s="11">
        <f>SUMIFS(TableDailySummary[Órdenes primer cliente],TableDailySummary[Fecha],"&gt;="&amp;TableWeeklySummary[[#This Row],[Desde]],TableDailySummary[Fecha],"&lt;="&amp;TableWeeklySummary[[#This Row],[Hasta]])</f>
        <v>0</v>
      </c>
      <c r="L388" s="11">
        <f>SUMIFS(TableDailySummary[Online Store_net_sales],TableDailySummary[Fecha],"&gt;="&amp;TableWeeklySummary[[#This Row],[Desde]],TableDailySummary[Fecha],"&lt;="&amp;TableWeeklySummary[[#This Row],[Hasta]])</f>
        <v>0</v>
      </c>
      <c r="M388" s="11">
        <f>SUMIFS(TableDailySummary[Online Store_orders],TableDailySummary[Fecha],"&gt;="&amp;TableWeeklySummary[[#This Row],[Desde]],TableDailySummary[Fecha],"&lt;="&amp;TableWeeklySummary[[#This Row],[Hasta]])</f>
        <v>0</v>
      </c>
      <c r="N388" s="11">
        <f>SUMIFS(TableDailySummary[Tienda 81_net_sales],TableDailySummary[Fecha],"&gt;="&amp;TableWeeklySummary[[#This Row],[Desde]],TableDailySummary[Fecha],"&lt;="&amp;TableWeeklySummary[[#This Row],[Hasta]])</f>
        <v>0</v>
      </c>
      <c r="O388" s="11">
        <f>SUMIFS(TableDailySummary[Tienda 81_orders],TableDailySummary[Fecha],"&gt;="&amp;TableWeeklySummary[[#This Row],[Desde]],TableDailySummary[Fecha],"&lt;="&amp;TableWeeklySummary[[#This Row],[Hasta]])</f>
        <v>0</v>
      </c>
      <c r="P388" s="11">
        <f>SUMIFS(TableDailySummary[Rappi_net_sales],TableDailySummary[Fecha],"&gt;="&amp;TableWeeklySummary[[#This Row],[Desde]],TableDailySummary[Fecha],"&lt;="&amp;TableWeeklySummary[[#This Row],[Hasta]])</f>
        <v>0</v>
      </c>
      <c r="Q388" s="11">
        <f>SUMIFS(TableDailySummary[Rappi_orders],TableDailySummary[Fecha],"&gt;="&amp;TableWeeklySummary[[#This Row],[Desde]],TableDailySummary[Fecha],"&lt;="&amp;TableWeeklySummary[[#This Row],[Hasta]])</f>
        <v>0</v>
      </c>
      <c r="R38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8" s="11">
        <f>SUMIFS(TableDailySummary[Corporativo no tienda_orders],TableDailySummary[Fecha],"&gt;="&amp;TableWeeklySummary[[#This Row],[Desde]],TableDailySummary[Fecha],"&lt;="&amp;TableWeeklySummary[[#This Row],[Hasta]])</f>
        <v>0</v>
      </c>
      <c r="T388" s="11">
        <f>SUMIFS(TableDailySummary[Inversión google ads],TableDailySummary[Fecha],"&gt;="&amp;TableWeeklySummary[[#This Row],[Desde]],TableDailySummary[Fecha],"&lt;="&amp;TableWeeklySummary[[#This Row],[Hasta]])</f>
        <v>0</v>
      </c>
      <c r="U388" s="11">
        <f>SUMIFS(TableDailySummary[Ventas google ads],TableDailySummary[Fecha],"&gt;="&amp;TableWeeklySummary[[#This Row],[Desde]],TableDailySummary[Fecha],"&lt;="&amp;TableWeeklySummary[[#This Row],[Hasta]])</f>
        <v>0</v>
      </c>
      <c r="V388" s="11">
        <f>SUMIFS(TableDailySummary[Inversión meta ads],TableDailySummary[Fecha],"&gt;="&amp;TableWeeklySummary[[#This Row],[Desde]],TableDailySummary[Fecha],"&lt;="&amp;TableWeeklySummary[[#This Row],[Hasta]])</f>
        <v>0</v>
      </c>
      <c r="W388" s="11">
        <f>SUMIFS(TableDailySummary[Ventas meta ads],TableDailySummary[Fecha],"&gt;="&amp;TableWeeklySummary[[#This Row],[Desde]],TableDailySummary[Fecha],"&lt;="&amp;TableWeeklySummary[[#This Row],[Hasta]])</f>
        <v>0</v>
      </c>
      <c r="X388" s="11">
        <f>TableWeeklySummary[[#This Row],[Inversión google ads]]+TableWeeklySummary[[#This Row],[Inversión meta ads]]</f>
        <v>0</v>
      </c>
      <c r="Y388" s="11">
        <f>TableWeeklySummary[[#This Row],[Ventas google ads]]+TableWeeklySummary[[#This Row],[Ventas meta ads]]</f>
        <v>0</v>
      </c>
      <c r="Z388" s="14">
        <f>IFERROR(TableWeeklySummary[[#This Row],[Ventas publicidad]]/TableWeeklySummary[[#This Row],[Inversión publicidad]],0)</f>
        <v>0</v>
      </c>
      <c r="AA388" s="14">
        <f>IFERROR(TableWeeklySummary[[#This Row],[Ventas primer cliente]]/TableWeeklySummary[[#This Row],[Inversión publicidad]],0)</f>
        <v>0</v>
      </c>
      <c r="AB388" s="14"/>
      <c r="AC388" s="11"/>
      <c r="AI38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8" s="11">
        <f>SUMIFS(TableDailySummary[Costo de ventas registrado],TableDailySummary[Fecha],"&gt;="&amp;TableWeeklySummary[[#This Row],[Desde]],TableDailySummary[Fecha],"&lt;="&amp;TableWeeklySummary[[#This Row],[Hasta]])</f>
        <v>0</v>
      </c>
      <c r="AK388" s="11">
        <f>SUMIFS(TableDailySummary[Utilidad bruta],TableDailySummary[Fecha],"&gt;="&amp;TableWeeklySummary[[#This Row],[Desde]],TableDailySummary[Fecha],"&lt;="&amp;TableWeeklySummary[[#This Row],[Hasta]])</f>
        <v>0</v>
      </c>
      <c r="AL388" s="18">
        <f>IFERROR(TableWeeklySummary[[#This Row],[Utilidad bruta]]/TableWeeklySummary[[#This Row],[Ventas netas con costo registrado]],0)</f>
        <v>0</v>
      </c>
    </row>
    <row r="389" spans="2:38" x14ac:dyDescent="0.2">
      <c r="B389" s="16">
        <f>_xlfn.ISOWEEKNUM(TableWeeklySummary[[#This Row],[Hasta]])</f>
        <v>13</v>
      </c>
      <c r="C389" s="6">
        <f t="shared" si="8"/>
        <v>47200</v>
      </c>
      <c r="D389" s="6">
        <f>TableWeeklySummary[[#This Row],[Desde]]+7-1</f>
        <v>47206</v>
      </c>
      <c r="E389" s="11">
        <f>SUMIFS(TableDailySummary[Ventas netas totales],TableDailySummary[Fecha],"&gt;="&amp;TableWeeklySummary[[#This Row],[Desde]],TableDailySummary[Fecha],"&lt;="&amp;TableWeeklySummary[[#This Row],[Hasta]])</f>
        <v>0</v>
      </c>
      <c r="F389" s="11">
        <f>SUMIFS(TableDailySummary[Órdenes totales],TableDailySummary[Fecha],"&gt;="&amp;TableWeeklySummary[[#This Row],[Desde]],TableDailySummary[Fecha],"&lt;="&amp;TableWeeklySummary[[#This Row],[Hasta]])</f>
        <v>0</v>
      </c>
      <c r="G389" s="11">
        <f>IFERROR(TableWeeklySummary[[#This Row],[Ventas netas totales]]/TableWeeklySummary[[#This Row],[Órdenes totales]],0)</f>
        <v>0</v>
      </c>
      <c r="H38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89" s="11">
        <f>TableWeeklySummary[[#This Row],[Órden promedio totales]]*TableWeeklySummary[[#This Row],[CR totales]]</f>
        <v>0</v>
      </c>
      <c r="J389" s="11">
        <f>SUMIFS(TableDailySummary[Ventas primer cliente],TableDailySummary[Fecha],"&gt;="&amp;TableWeeklySummary[[#This Row],[Desde]],TableDailySummary[Fecha],"&lt;="&amp;TableWeeklySummary[[#This Row],[Hasta]])</f>
        <v>0</v>
      </c>
      <c r="K389" s="11">
        <f>SUMIFS(TableDailySummary[Órdenes primer cliente],TableDailySummary[Fecha],"&gt;="&amp;TableWeeklySummary[[#This Row],[Desde]],TableDailySummary[Fecha],"&lt;="&amp;TableWeeklySummary[[#This Row],[Hasta]])</f>
        <v>0</v>
      </c>
      <c r="L389" s="11">
        <f>SUMIFS(TableDailySummary[Online Store_net_sales],TableDailySummary[Fecha],"&gt;="&amp;TableWeeklySummary[[#This Row],[Desde]],TableDailySummary[Fecha],"&lt;="&amp;TableWeeklySummary[[#This Row],[Hasta]])</f>
        <v>0</v>
      </c>
      <c r="M389" s="11">
        <f>SUMIFS(TableDailySummary[Online Store_orders],TableDailySummary[Fecha],"&gt;="&amp;TableWeeklySummary[[#This Row],[Desde]],TableDailySummary[Fecha],"&lt;="&amp;TableWeeklySummary[[#This Row],[Hasta]])</f>
        <v>0</v>
      </c>
      <c r="N389" s="11">
        <f>SUMIFS(TableDailySummary[Tienda 81_net_sales],TableDailySummary[Fecha],"&gt;="&amp;TableWeeklySummary[[#This Row],[Desde]],TableDailySummary[Fecha],"&lt;="&amp;TableWeeklySummary[[#This Row],[Hasta]])</f>
        <v>0</v>
      </c>
      <c r="O389" s="11">
        <f>SUMIFS(TableDailySummary[Tienda 81_orders],TableDailySummary[Fecha],"&gt;="&amp;TableWeeklySummary[[#This Row],[Desde]],TableDailySummary[Fecha],"&lt;="&amp;TableWeeklySummary[[#This Row],[Hasta]])</f>
        <v>0</v>
      </c>
      <c r="P389" s="11">
        <f>SUMIFS(TableDailySummary[Rappi_net_sales],TableDailySummary[Fecha],"&gt;="&amp;TableWeeklySummary[[#This Row],[Desde]],TableDailySummary[Fecha],"&lt;="&amp;TableWeeklySummary[[#This Row],[Hasta]])</f>
        <v>0</v>
      </c>
      <c r="Q389" s="11">
        <f>SUMIFS(TableDailySummary[Rappi_orders],TableDailySummary[Fecha],"&gt;="&amp;TableWeeklySummary[[#This Row],[Desde]],TableDailySummary[Fecha],"&lt;="&amp;TableWeeklySummary[[#This Row],[Hasta]])</f>
        <v>0</v>
      </c>
      <c r="R38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89" s="11">
        <f>SUMIFS(TableDailySummary[Corporativo no tienda_orders],TableDailySummary[Fecha],"&gt;="&amp;TableWeeklySummary[[#This Row],[Desde]],TableDailySummary[Fecha],"&lt;="&amp;TableWeeklySummary[[#This Row],[Hasta]])</f>
        <v>0</v>
      </c>
      <c r="T389" s="11">
        <f>SUMIFS(TableDailySummary[Inversión google ads],TableDailySummary[Fecha],"&gt;="&amp;TableWeeklySummary[[#This Row],[Desde]],TableDailySummary[Fecha],"&lt;="&amp;TableWeeklySummary[[#This Row],[Hasta]])</f>
        <v>0</v>
      </c>
      <c r="U389" s="11">
        <f>SUMIFS(TableDailySummary[Ventas google ads],TableDailySummary[Fecha],"&gt;="&amp;TableWeeklySummary[[#This Row],[Desde]],TableDailySummary[Fecha],"&lt;="&amp;TableWeeklySummary[[#This Row],[Hasta]])</f>
        <v>0</v>
      </c>
      <c r="V389" s="11">
        <f>SUMIFS(TableDailySummary[Inversión meta ads],TableDailySummary[Fecha],"&gt;="&amp;TableWeeklySummary[[#This Row],[Desde]],TableDailySummary[Fecha],"&lt;="&amp;TableWeeklySummary[[#This Row],[Hasta]])</f>
        <v>0</v>
      </c>
      <c r="W389" s="11">
        <f>SUMIFS(TableDailySummary[Ventas meta ads],TableDailySummary[Fecha],"&gt;="&amp;TableWeeklySummary[[#This Row],[Desde]],TableDailySummary[Fecha],"&lt;="&amp;TableWeeklySummary[[#This Row],[Hasta]])</f>
        <v>0</v>
      </c>
      <c r="X389" s="11">
        <f>TableWeeklySummary[[#This Row],[Inversión google ads]]+TableWeeklySummary[[#This Row],[Inversión meta ads]]</f>
        <v>0</v>
      </c>
      <c r="Y389" s="11">
        <f>TableWeeklySummary[[#This Row],[Ventas google ads]]+TableWeeklySummary[[#This Row],[Ventas meta ads]]</f>
        <v>0</v>
      </c>
      <c r="Z389" s="14">
        <f>IFERROR(TableWeeklySummary[[#This Row],[Ventas publicidad]]/TableWeeklySummary[[#This Row],[Inversión publicidad]],0)</f>
        <v>0</v>
      </c>
      <c r="AA389" s="14">
        <f>IFERROR(TableWeeklySummary[[#This Row],[Ventas primer cliente]]/TableWeeklySummary[[#This Row],[Inversión publicidad]],0)</f>
        <v>0</v>
      </c>
      <c r="AB389" s="14"/>
      <c r="AC389" s="11"/>
      <c r="AI38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89" s="11">
        <f>SUMIFS(TableDailySummary[Costo de ventas registrado],TableDailySummary[Fecha],"&gt;="&amp;TableWeeklySummary[[#This Row],[Desde]],TableDailySummary[Fecha],"&lt;="&amp;TableWeeklySummary[[#This Row],[Hasta]])</f>
        <v>0</v>
      </c>
      <c r="AK389" s="11">
        <f>SUMIFS(TableDailySummary[Utilidad bruta],TableDailySummary[Fecha],"&gt;="&amp;TableWeeklySummary[[#This Row],[Desde]],TableDailySummary[Fecha],"&lt;="&amp;TableWeeklySummary[[#This Row],[Hasta]])</f>
        <v>0</v>
      </c>
      <c r="AL389" s="18">
        <f>IFERROR(TableWeeklySummary[[#This Row],[Utilidad bruta]]/TableWeeklySummary[[#This Row],[Ventas netas con costo registrado]],0)</f>
        <v>0</v>
      </c>
    </row>
    <row r="390" spans="2:38" x14ac:dyDescent="0.2">
      <c r="B390" s="16">
        <f>_xlfn.ISOWEEKNUM(TableWeeklySummary[[#This Row],[Hasta]])</f>
        <v>14</v>
      </c>
      <c r="C390" s="6">
        <f t="shared" si="8"/>
        <v>47207</v>
      </c>
      <c r="D390" s="6">
        <f>TableWeeklySummary[[#This Row],[Desde]]+7-1</f>
        <v>47213</v>
      </c>
      <c r="E390" s="11">
        <f>SUMIFS(TableDailySummary[Ventas netas totales],TableDailySummary[Fecha],"&gt;="&amp;TableWeeklySummary[[#This Row],[Desde]],TableDailySummary[Fecha],"&lt;="&amp;TableWeeklySummary[[#This Row],[Hasta]])</f>
        <v>0</v>
      </c>
      <c r="F390" s="11">
        <f>SUMIFS(TableDailySummary[Órdenes totales],TableDailySummary[Fecha],"&gt;="&amp;TableWeeklySummary[[#This Row],[Desde]],TableDailySummary[Fecha],"&lt;="&amp;TableWeeklySummary[[#This Row],[Hasta]])</f>
        <v>0</v>
      </c>
      <c r="G390" s="11">
        <f>IFERROR(TableWeeklySummary[[#This Row],[Ventas netas totales]]/TableWeeklySummary[[#This Row],[Órdenes totales]],0)</f>
        <v>0</v>
      </c>
      <c r="H39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0" s="11">
        <f>TableWeeklySummary[[#This Row],[Órden promedio totales]]*TableWeeklySummary[[#This Row],[CR totales]]</f>
        <v>0</v>
      </c>
      <c r="J390" s="11">
        <f>SUMIFS(TableDailySummary[Ventas primer cliente],TableDailySummary[Fecha],"&gt;="&amp;TableWeeklySummary[[#This Row],[Desde]],TableDailySummary[Fecha],"&lt;="&amp;TableWeeklySummary[[#This Row],[Hasta]])</f>
        <v>0</v>
      </c>
      <c r="K390" s="11">
        <f>SUMIFS(TableDailySummary[Órdenes primer cliente],TableDailySummary[Fecha],"&gt;="&amp;TableWeeklySummary[[#This Row],[Desde]],TableDailySummary[Fecha],"&lt;="&amp;TableWeeklySummary[[#This Row],[Hasta]])</f>
        <v>0</v>
      </c>
      <c r="L390" s="11">
        <f>SUMIFS(TableDailySummary[Online Store_net_sales],TableDailySummary[Fecha],"&gt;="&amp;TableWeeklySummary[[#This Row],[Desde]],TableDailySummary[Fecha],"&lt;="&amp;TableWeeklySummary[[#This Row],[Hasta]])</f>
        <v>0</v>
      </c>
      <c r="M390" s="11">
        <f>SUMIFS(TableDailySummary[Online Store_orders],TableDailySummary[Fecha],"&gt;="&amp;TableWeeklySummary[[#This Row],[Desde]],TableDailySummary[Fecha],"&lt;="&amp;TableWeeklySummary[[#This Row],[Hasta]])</f>
        <v>0</v>
      </c>
      <c r="N390" s="11">
        <f>SUMIFS(TableDailySummary[Tienda 81_net_sales],TableDailySummary[Fecha],"&gt;="&amp;TableWeeklySummary[[#This Row],[Desde]],TableDailySummary[Fecha],"&lt;="&amp;TableWeeklySummary[[#This Row],[Hasta]])</f>
        <v>0</v>
      </c>
      <c r="O390" s="11">
        <f>SUMIFS(TableDailySummary[Tienda 81_orders],TableDailySummary[Fecha],"&gt;="&amp;TableWeeklySummary[[#This Row],[Desde]],TableDailySummary[Fecha],"&lt;="&amp;TableWeeklySummary[[#This Row],[Hasta]])</f>
        <v>0</v>
      </c>
      <c r="P390" s="11">
        <f>SUMIFS(TableDailySummary[Rappi_net_sales],TableDailySummary[Fecha],"&gt;="&amp;TableWeeklySummary[[#This Row],[Desde]],TableDailySummary[Fecha],"&lt;="&amp;TableWeeklySummary[[#This Row],[Hasta]])</f>
        <v>0</v>
      </c>
      <c r="Q390" s="11">
        <f>SUMIFS(TableDailySummary[Rappi_orders],TableDailySummary[Fecha],"&gt;="&amp;TableWeeklySummary[[#This Row],[Desde]],TableDailySummary[Fecha],"&lt;="&amp;TableWeeklySummary[[#This Row],[Hasta]])</f>
        <v>0</v>
      </c>
      <c r="R39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0" s="11">
        <f>SUMIFS(TableDailySummary[Corporativo no tienda_orders],TableDailySummary[Fecha],"&gt;="&amp;TableWeeklySummary[[#This Row],[Desde]],TableDailySummary[Fecha],"&lt;="&amp;TableWeeklySummary[[#This Row],[Hasta]])</f>
        <v>0</v>
      </c>
      <c r="T390" s="11">
        <f>SUMIFS(TableDailySummary[Inversión google ads],TableDailySummary[Fecha],"&gt;="&amp;TableWeeklySummary[[#This Row],[Desde]],TableDailySummary[Fecha],"&lt;="&amp;TableWeeklySummary[[#This Row],[Hasta]])</f>
        <v>0</v>
      </c>
      <c r="U390" s="11">
        <f>SUMIFS(TableDailySummary[Ventas google ads],TableDailySummary[Fecha],"&gt;="&amp;TableWeeklySummary[[#This Row],[Desde]],TableDailySummary[Fecha],"&lt;="&amp;TableWeeklySummary[[#This Row],[Hasta]])</f>
        <v>0</v>
      </c>
      <c r="V390" s="11">
        <f>SUMIFS(TableDailySummary[Inversión meta ads],TableDailySummary[Fecha],"&gt;="&amp;TableWeeklySummary[[#This Row],[Desde]],TableDailySummary[Fecha],"&lt;="&amp;TableWeeklySummary[[#This Row],[Hasta]])</f>
        <v>0</v>
      </c>
      <c r="W390" s="11">
        <f>SUMIFS(TableDailySummary[Ventas meta ads],TableDailySummary[Fecha],"&gt;="&amp;TableWeeklySummary[[#This Row],[Desde]],TableDailySummary[Fecha],"&lt;="&amp;TableWeeklySummary[[#This Row],[Hasta]])</f>
        <v>0</v>
      </c>
      <c r="X390" s="11">
        <f>TableWeeklySummary[[#This Row],[Inversión google ads]]+TableWeeklySummary[[#This Row],[Inversión meta ads]]</f>
        <v>0</v>
      </c>
      <c r="Y390" s="11">
        <f>TableWeeklySummary[[#This Row],[Ventas google ads]]+TableWeeklySummary[[#This Row],[Ventas meta ads]]</f>
        <v>0</v>
      </c>
      <c r="Z390" s="14">
        <f>IFERROR(TableWeeklySummary[[#This Row],[Ventas publicidad]]/TableWeeklySummary[[#This Row],[Inversión publicidad]],0)</f>
        <v>0</v>
      </c>
      <c r="AA390" s="14">
        <f>IFERROR(TableWeeklySummary[[#This Row],[Ventas primer cliente]]/TableWeeklySummary[[#This Row],[Inversión publicidad]],0)</f>
        <v>0</v>
      </c>
      <c r="AB390" s="14"/>
      <c r="AC390" s="11"/>
      <c r="AI39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0" s="11">
        <f>SUMIFS(TableDailySummary[Costo de ventas registrado],TableDailySummary[Fecha],"&gt;="&amp;TableWeeklySummary[[#This Row],[Desde]],TableDailySummary[Fecha],"&lt;="&amp;TableWeeklySummary[[#This Row],[Hasta]])</f>
        <v>0</v>
      </c>
      <c r="AK390" s="11">
        <f>SUMIFS(TableDailySummary[Utilidad bruta],TableDailySummary[Fecha],"&gt;="&amp;TableWeeklySummary[[#This Row],[Desde]],TableDailySummary[Fecha],"&lt;="&amp;TableWeeklySummary[[#This Row],[Hasta]])</f>
        <v>0</v>
      </c>
      <c r="AL390" s="18">
        <f>IFERROR(TableWeeklySummary[[#This Row],[Utilidad bruta]]/TableWeeklySummary[[#This Row],[Ventas netas con costo registrado]],0)</f>
        <v>0</v>
      </c>
    </row>
    <row r="391" spans="2:38" x14ac:dyDescent="0.2">
      <c r="B391" s="16">
        <f>_xlfn.ISOWEEKNUM(TableWeeklySummary[[#This Row],[Hasta]])</f>
        <v>15</v>
      </c>
      <c r="C391" s="6">
        <f t="shared" si="8"/>
        <v>47214</v>
      </c>
      <c r="D391" s="6">
        <f>TableWeeklySummary[[#This Row],[Desde]]+7-1</f>
        <v>47220</v>
      </c>
      <c r="E391" s="11">
        <f>SUMIFS(TableDailySummary[Ventas netas totales],TableDailySummary[Fecha],"&gt;="&amp;TableWeeklySummary[[#This Row],[Desde]],TableDailySummary[Fecha],"&lt;="&amp;TableWeeklySummary[[#This Row],[Hasta]])</f>
        <v>0</v>
      </c>
      <c r="F391" s="11">
        <f>SUMIFS(TableDailySummary[Órdenes totales],TableDailySummary[Fecha],"&gt;="&amp;TableWeeklySummary[[#This Row],[Desde]],TableDailySummary[Fecha],"&lt;="&amp;TableWeeklySummary[[#This Row],[Hasta]])</f>
        <v>0</v>
      </c>
      <c r="G391" s="11">
        <f>IFERROR(TableWeeklySummary[[#This Row],[Ventas netas totales]]/TableWeeklySummary[[#This Row],[Órdenes totales]],0)</f>
        <v>0</v>
      </c>
      <c r="H39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1" s="11">
        <f>TableWeeklySummary[[#This Row],[Órden promedio totales]]*TableWeeklySummary[[#This Row],[CR totales]]</f>
        <v>0</v>
      </c>
      <c r="J391" s="11">
        <f>SUMIFS(TableDailySummary[Ventas primer cliente],TableDailySummary[Fecha],"&gt;="&amp;TableWeeklySummary[[#This Row],[Desde]],TableDailySummary[Fecha],"&lt;="&amp;TableWeeklySummary[[#This Row],[Hasta]])</f>
        <v>0</v>
      </c>
      <c r="K391" s="11">
        <f>SUMIFS(TableDailySummary[Órdenes primer cliente],TableDailySummary[Fecha],"&gt;="&amp;TableWeeklySummary[[#This Row],[Desde]],TableDailySummary[Fecha],"&lt;="&amp;TableWeeklySummary[[#This Row],[Hasta]])</f>
        <v>0</v>
      </c>
      <c r="L391" s="11">
        <f>SUMIFS(TableDailySummary[Online Store_net_sales],TableDailySummary[Fecha],"&gt;="&amp;TableWeeklySummary[[#This Row],[Desde]],TableDailySummary[Fecha],"&lt;="&amp;TableWeeklySummary[[#This Row],[Hasta]])</f>
        <v>0</v>
      </c>
      <c r="M391" s="11">
        <f>SUMIFS(TableDailySummary[Online Store_orders],TableDailySummary[Fecha],"&gt;="&amp;TableWeeklySummary[[#This Row],[Desde]],TableDailySummary[Fecha],"&lt;="&amp;TableWeeklySummary[[#This Row],[Hasta]])</f>
        <v>0</v>
      </c>
      <c r="N391" s="11">
        <f>SUMIFS(TableDailySummary[Tienda 81_net_sales],TableDailySummary[Fecha],"&gt;="&amp;TableWeeklySummary[[#This Row],[Desde]],TableDailySummary[Fecha],"&lt;="&amp;TableWeeklySummary[[#This Row],[Hasta]])</f>
        <v>0</v>
      </c>
      <c r="O391" s="11">
        <f>SUMIFS(TableDailySummary[Tienda 81_orders],TableDailySummary[Fecha],"&gt;="&amp;TableWeeklySummary[[#This Row],[Desde]],TableDailySummary[Fecha],"&lt;="&amp;TableWeeklySummary[[#This Row],[Hasta]])</f>
        <v>0</v>
      </c>
      <c r="P391" s="11">
        <f>SUMIFS(TableDailySummary[Rappi_net_sales],TableDailySummary[Fecha],"&gt;="&amp;TableWeeklySummary[[#This Row],[Desde]],TableDailySummary[Fecha],"&lt;="&amp;TableWeeklySummary[[#This Row],[Hasta]])</f>
        <v>0</v>
      </c>
      <c r="Q391" s="11">
        <f>SUMIFS(TableDailySummary[Rappi_orders],TableDailySummary[Fecha],"&gt;="&amp;TableWeeklySummary[[#This Row],[Desde]],TableDailySummary[Fecha],"&lt;="&amp;TableWeeklySummary[[#This Row],[Hasta]])</f>
        <v>0</v>
      </c>
      <c r="R39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1" s="11">
        <f>SUMIFS(TableDailySummary[Corporativo no tienda_orders],TableDailySummary[Fecha],"&gt;="&amp;TableWeeklySummary[[#This Row],[Desde]],TableDailySummary[Fecha],"&lt;="&amp;TableWeeklySummary[[#This Row],[Hasta]])</f>
        <v>0</v>
      </c>
      <c r="T391" s="11">
        <f>SUMIFS(TableDailySummary[Inversión google ads],TableDailySummary[Fecha],"&gt;="&amp;TableWeeklySummary[[#This Row],[Desde]],TableDailySummary[Fecha],"&lt;="&amp;TableWeeklySummary[[#This Row],[Hasta]])</f>
        <v>0</v>
      </c>
      <c r="U391" s="11">
        <f>SUMIFS(TableDailySummary[Ventas google ads],TableDailySummary[Fecha],"&gt;="&amp;TableWeeklySummary[[#This Row],[Desde]],TableDailySummary[Fecha],"&lt;="&amp;TableWeeklySummary[[#This Row],[Hasta]])</f>
        <v>0</v>
      </c>
      <c r="V391" s="11">
        <f>SUMIFS(TableDailySummary[Inversión meta ads],TableDailySummary[Fecha],"&gt;="&amp;TableWeeklySummary[[#This Row],[Desde]],TableDailySummary[Fecha],"&lt;="&amp;TableWeeklySummary[[#This Row],[Hasta]])</f>
        <v>0</v>
      </c>
      <c r="W391" s="11">
        <f>SUMIFS(TableDailySummary[Ventas meta ads],TableDailySummary[Fecha],"&gt;="&amp;TableWeeklySummary[[#This Row],[Desde]],TableDailySummary[Fecha],"&lt;="&amp;TableWeeklySummary[[#This Row],[Hasta]])</f>
        <v>0</v>
      </c>
      <c r="X391" s="11">
        <f>TableWeeklySummary[[#This Row],[Inversión google ads]]+TableWeeklySummary[[#This Row],[Inversión meta ads]]</f>
        <v>0</v>
      </c>
      <c r="Y391" s="11">
        <f>TableWeeklySummary[[#This Row],[Ventas google ads]]+TableWeeklySummary[[#This Row],[Ventas meta ads]]</f>
        <v>0</v>
      </c>
      <c r="Z391" s="14">
        <f>IFERROR(TableWeeklySummary[[#This Row],[Ventas publicidad]]/TableWeeklySummary[[#This Row],[Inversión publicidad]],0)</f>
        <v>0</v>
      </c>
      <c r="AA391" s="14">
        <f>IFERROR(TableWeeklySummary[[#This Row],[Ventas primer cliente]]/TableWeeklySummary[[#This Row],[Inversión publicidad]],0)</f>
        <v>0</v>
      </c>
      <c r="AB391" s="14"/>
      <c r="AC391" s="11"/>
      <c r="AI39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1" s="11">
        <f>SUMIFS(TableDailySummary[Costo de ventas registrado],TableDailySummary[Fecha],"&gt;="&amp;TableWeeklySummary[[#This Row],[Desde]],TableDailySummary[Fecha],"&lt;="&amp;TableWeeklySummary[[#This Row],[Hasta]])</f>
        <v>0</v>
      </c>
      <c r="AK391" s="11">
        <f>SUMIFS(TableDailySummary[Utilidad bruta],TableDailySummary[Fecha],"&gt;="&amp;TableWeeklySummary[[#This Row],[Desde]],TableDailySummary[Fecha],"&lt;="&amp;TableWeeklySummary[[#This Row],[Hasta]])</f>
        <v>0</v>
      </c>
      <c r="AL391" s="18">
        <f>IFERROR(TableWeeklySummary[[#This Row],[Utilidad bruta]]/TableWeeklySummary[[#This Row],[Ventas netas con costo registrado]],0)</f>
        <v>0</v>
      </c>
    </row>
    <row r="392" spans="2:38" x14ac:dyDescent="0.2">
      <c r="B392" s="16">
        <f>_xlfn.ISOWEEKNUM(TableWeeklySummary[[#This Row],[Hasta]])</f>
        <v>16</v>
      </c>
      <c r="C392" s="6">
        <f t="shared" si="8"/>
        <v>47221</v>
      </c>
      <c r="D392" s="6">
        <f>TableWeeklySummary[[#This Row],[Desde]]+7-1</f>
        <v>47227</v>
      </c>
      <c r="E392" s="11">
        <f>SUMIFS(TableDailySummary[Ventas netas totales],TableDailySummary[Fecha],"&gt;="&amp;TableWeeklySummary[[#This Row],[Desde]],TableDailySummary[Fecha],"&lt;="&amp;TableWeeklySummary[[#This Row],[Hasta]])</f>
        <v>0</v>
      </c>
      <c r="F392" s="11">
        <f>SUMIFS(TableDailySummary[Órdenes totales],TableDailySummary[Fecha],"&gt;="&amp;TableWeeklySummary[[#This Row],[Desde]],TableDailySummary[Fecha],"&lt;="&amp;TableWeeklySummary[[#This Row],[Hasta]])</f>
        <v>0</v>
      </c>
      <c r="G392" s="11">
        <f>IFERROR(TableWeeklySummary[[#This Row],[Ventas netas totales]]/TableWeeklySummary[[#This Row],[Órdenes totales]],0)</f>
        <v>0</v>
      </c>
      <c r="H39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2" s="11">
        <f>TableWeeklySummary[[#This Row],[Órden promedio totales]]*TableWeeklySummary[[#This Row],[CR totales]]</f>
        <v>0</v>
      </c>
      <c r="J392" s="11">
        <f>SUMIFS(TableDailySummary[Ventas primer cliente],TableDailySummary[Fecha],"&gt;="&amp;TableWeeklySummary[[#This Row],[Desde]],TableDailySummary[Fecha],"&lt;="&amp;TableWeeklySummary[[#This Row],[Hasta]])</f>
        <v>0</v>
      </c>
      <c r="K392" s="11">
        <f>SUMIFS(TableDailySummary[Órdenes primer cliente],TableDailySummary[Fecha],"&gt;="&amp;TableWeeklySummary[[#This Row],[Desde]],TableDailySummary[Fecha],"&lt;="&amp;TableWeeklySummary[[#This Row],[Hasta]])</f>
        <v>0</v>
      </c>
      <c r="L392" s="11">
        <f>SUMIFS(TableDailySummary[Online Store_net_sales],TableDailySummary[Fecha],"&gt;="&amp;TableWeeklySummary[[#This Row],[Desde]],TableDailySummary[Fecha],"&lt;="&amp;TableWeeklySummary[[#This Row],[Hasta]])</f>
        <v>0</v>
      </c>
      <c r="M392" s="11">
        <f>SUMIFS(TableDailySummary[Online Store_orders],TableDailySummary[Fecha],"&gt;="&amp;TableWeeklySummary[[#This Row],[Desde]],TableDailySummary[Fecha],"&lt;="&amp;TableWeeklySummary[[#This Row],[Hasta]])</f>
        <v>0</v>
      </c>
      <c r="N392" s="11">
        <f>SUMIFS(TableDailySummary[Tienda 81_net_sales],TableDailySummary[Fecha],"&gt;="&amp;TableWeeklySummary[[#This Row],[Desde]],TableDailySummary[Fecha],"&lt;="&amp;TableWeeklySummary[[#This Row],[Hasta]])</f>
        <v>0</v>
      </c>
      <c r="O392" s="11">
        <f>SUMIFS(TableDailySummary[Tienda 81_orders],TableDailySummary[Fecha],"&gt;="&amp;TableWeeklySummary[[#This Row],[Desde]],TableDailySummary[Fecha],"&lt;="&amp;TableWeeklySummary[[#This Row],[Hasta]])</f>
        <v>0</v>
      </c>
      <c r="P392" s="11">
        <f>SUMIFS(TableDailySummary[Rappi_net_sales],TableDailySummary[Fecha],"&gt;="&amp;TableWeeklySummary[[#This Row],[Desde]],TableDailySummary[Fecha],"&lt;="&amp;TableWeeklySummary[[#This Row],[Hasta]])</f>
        <v>0</v>
      </c>
      <c r="Q392" s="11">
        <f>SUMIFS(TableDailySummary[Rappi_orders],TableDailySummary[Fecha],"&gt;="&amp;TableWeeklySummary[[#This Row],[Desde]],TableDailySummary[Fecha],"&lt;="&amp;TableWeeklySummary[[#This Row],[Hasta]])</f>
        <v>0</v>
      </c>
      <c r="R39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2" s="11">
        <f>SUMIFS(TableDailySummary[Corporativo no tienda_orders],TableDailySummary[Fecha],"&gt;="&amp;TableWeeklySummary[[#This Row],[Desde]],TableDailySummary[Fecha],"&lt;="&amp;TableWeeklySummary[[#This Row],[Hasta]])</f>
        <v>0</v>
      </c>
      <c r="T392" s="11">
        <f>SUMIFS(TableDailySummary[Inversión google ads],TableDailySummary[Fecha],"&gt;="&amp;TableWeeklySummary[[#This Row],[Desde]],TableDailySummary[Fecha],"&lt;="&amp;TableWeeklySummary[[#This Row],[Hasta]])</f>
        <v>0</v>
      </c>
      <c r="U392" s="11">
        <f>SUMIFS(TableDailySummary[Ventas google ads],TableDailySummary[Fecha],"&gt;="&amp;TableWeeklySummary[[#This Row],[Desde]],TableDailySummary[Fecha],"&lt;="&amp;TableWeeklySummary[[#This Row],[Hasta]])</f>
        <v>0</v>
      </c>
      <c r="V392" s="11">
        <f>SUMIFS(TableDailySummary[Inversión meta ads],TableDailySummary[Fecha],"&gt;="&amp;TableWeeklySummary[[#This Row],[Desde]],TableDailySummary[Fecha],"&lt;="&amp;TableWeeklySummary[[#This Row],[Hasta]])</f>
        <v>0</v>
      </c>
      <c r="W392" s="11">
        <f>SUMIFS(TableDailySummary[Ventas meta ads],TableDailySummary[Fecha],"&gt;="&amp;TableWeeklySummary[[#This Row],[Desde]],TableDailySummary[Fecha],"&lt;="&amp;TableWeeklySummary[[#This Row],[Hasta]])</f>
        <v>0</v>
      </c>
      <c r="X392" s="11">
        <f>TableWeeklySummary[[#This Row],[Inversión google ads]]+TableWeeklySummary[[#This Row],[Inversión meta ads]]</f>
        <v>0</v>
      </c>
      <c r="Y392" s="11">
        <f>TableWeeklySummary[[#This Row],[Ventas google ads]]+TableWeeklySummary[[#This Row],[Ventas meta ads]]</f>
        <v>0</v>
      </c>
      <c r="Z392" s="14">
        <f>IFERROR(TableWeeklySummary[[#This Row],[Ventas publicidad]]/TableWeeklySummary[[#This Row],[Inversión publicidad]],0)</f>
        <v>0</v>
      </c>
      <c r="AA392" s="14">
        <f>IFERROR(TableWeeklySummary[[#This Row],[Ventas primer cliente]]/TableWeeklySummary[[#This Row],[Inversión publicidad]],0)</f>
        <v>0</v>
      </c>
      <c r="AB392" s="14"/>
      <c r="AC392" s="11"/>
      <c r="AI39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2" s="11">
        <f>SUMIFS(TableDailySummary[Costo de ventas registrado],TableDailySummary[Fecha],"&gt;="&amp;TableWeeklySummary[[#This Row],[Desde]],TableDailySummary[Fecha],"&lt;="&amp;TableWeeklySummary[[#This Row],[Hasta]])</f>
        <v>0</v>
      </c>
      <c r="AK392" s="11">
        <f>SUMIFS(TableDailySummary[Utilidad bruta],TableDailySummary[Fecha],"&gt;="&amp;TableWeeklySummary[[#This Row],[Desde]],TableDailySummary[Fecha],"&lt;="&amp;TableWeeklySummary[[#This Row],[Hasta]])</f>
        <v>0</v>
      </c>
      <c r="AL392" s="18">
        <f>IFERROR(TableWeeklySummary[[#This Row],[Utilidad bruta]]/TableWeeklySummary[[#This Row],[Ventas netas con costo registrado]],0)</f>
        <v>0</v>
      </c>
    </row>
    <row r="393" spans="2:38" x14ac:dyDescent="0.2">
      <c r="B393" s="16">
        <f>_xlfn.ISOWEEKNUM(TableWeeklySummary[[#This Row],[Hasta]])</f>
        <v>17</v>
      </c>
      <c r="C393" s="6">
        <f t="shared" si="8"/>
        <v>47228</v>
      </c>
      <c r="D393" s="6">
        <f>TableWeeklySummary[[#This Row],[Desde]]+7-1</f>
        <v>47234</v>
      </c>
      <c r="E393" s="11">
        <f>SUMIFS(TableDailySummary[Ventas netas totales],TableDailySummary[Fecha],"&gt;="&amp;TableWeeklySummary[[#This Row],[Desde]],TableDailySummary[Fecha],"&lt;="&amp;TableWeeklySummary[[#This Row],[Hasta]])</f>
        <v>0</v>
      </c>
      <c r="F393" s="11">
        <f>SUMIFS(TableDailySummary[Órdenes totales],TableDailySummary[Fecha],"&gt;="&amp;TableWeeklySummary[[#This Row],[Desde]],TableDailySummary[Fecha],"&lt;="&amp;TableWeeklySummary[[#This Row],[Hasta]])</f>
        <v>0</v>
      </c>
      <c r="G393" s="11">
        <f>IFERROR(TableWeeklySummary[[#This Row],[Ventas netas totales]]/TableWeeklySummary[[#This Row],[Órdenes totales]],0)</f>
        <v>0</v>
      </c>
      <c r="H39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3" s="11">
        <f>TableWeeklySummary[[#This Row],[Órden promedio totales]]*TableWeeklySummary[[#This Row],[CR totales]]</f>
        <v>0</v>
      </c>
      <c r="J393" s="11">
        <f>SUMIFS(TableDailySummary[Ventas primer cliente],TableDailySummary[Fecha],"&gt;="&amp;TableWeeklySummary[[#This Row],[Desde]],TableDailySummary[Fecha],"&lt;="&amp;TableWeeklySummary[[#This Row],[Hasta]])</f>
        <v>0</v>
      </c>
      <c r="K393" s="11">
        <f>SUMIFS(TableDailySummary[Órdenes primer cliente],TableDailySummary[Fecha],"&gt;="&amp;TableWeeklySummary[[#This Row],[Desde]],TableDailySummary[Fecha],"&lt;="&amp;TableWeeklySummary[[#This Row],[Hasta]])</f>
        <v>0</v>
      </c>
      <c r="L393" s="11">
        <f>SUMIFS(TableDailySummary[Online Store_net_sales],TableDailySummary[Fecha],"&gt;="&amp;TableWeeklySummary[[#This Row],[Desde]],TableDailySummary[Fecha],"&lt;="&amp;TableWeeklySummary[[#This Row],[Hasta]])</f>
        <v>0</v>
      </c>
      <c r="M393" s="11">
        <f>SUMIFS(TableDailySummary[Online Store_orders],TableDailySummary[Fecha],"&gt;="&amp;TableWeeklySummary[[#This Row],[Desde]],TableDailySummary[Fecha],"&lt;="&amp;TableWeeklySummary[[#This Row],[Hasta]])</f>
        <v>0</v>
      </c>
      <c r="N393" s="11">
        <f>SUMIFS(TableDailySummary[Tienda 81_net_sales],TableDailySummary[Fecha],"&gt;="&amp;TableWeeklySummary[[#This Row],[Desde]],TableDailySummary[Fecha],"&lt;="&amp;TableWeeklySummary[[#This Row],[Hasta]])</f>
        <v>0</v>
      </c>
      <c r="O393" s="11">
        <f>SUMIFS(TableDailySummary[Tienda 81_orders],TableDailySummary[Fecha],"&gt;="&amp;TableWeeklySummary[[#This Row],[Desde]],TableDailySummary[Fecha],"&lt;="&amp;TableWeeklySummary[[#This Row],[Hasta]])</f>
        <v>0</v>
      </c>
      <c r="P393" s="11">
        <f>SUMIFS(TableDailySummary[Rappi_net_sales],TableDailySummary[Fecha],"&gt;="&amp;TableWeeklySummary[[#This Row],[Desde]],TableDailySummary[Fecha],"&lt;="&amp;TableWeeklySummary[[#This Row],[Hasta]])</f>
        <v>0</v>
      </c>
      <c r="Q393" s="11">
        <f>SUMIFS(TableDailySummary[Rappi_orders],TableDailySummary[Fecha],"&gt;="&amp;TableWeeklySummary[[#This Row],[Desde]],TableDailySummary[Fecha],"&lt;="&amp;TableWeeklySummary[[#This Row],[Hasta]])</f>
        <v>0</v>
      </c>
      <c r="R39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3" s="11">
        <f>SUMIFS(TableDailySummary[Corporativo no tienda_orders],TableDailySummary[Fecha],"&gt;="&amp;TableWeeklySummary[[#This Row],[Desde]],TableDailySummary[Fecha],"&lt;="&amp;TableWeeklySummary[[#This Row],[Hasta]])</f>
        <v>0</v>
      </c>
      <c r="T393" s="11">
        <f>SUMIFS(TableDailySummary[Inversión google ads],TableDailySummary[Fecha],"&gt;="&amp;TableWeeklySummary[[#This Row],[Desde]],TableDailySummary[Fecha],"&lt;="&amp;TableWeeklySummary[[#This Row],[Hasta]])</f>
        <v>0</v>
      </c>
      <c r="U393" s="11">
        <f>SUMIFS(TableDailySummary[Ventas google ads],TableDailySummary[Fecha],"&gt;="&amp;TableWeeklySummary[[#This Row],[Desde]],TableDailySummary[Fecha],"&lt;="&amp;TableWeeklySummary[[#This Row],[Hasta]])</f>
        <v>0</v>
      </c>
      <c r="V393" s="11">
        <f>SUMIFS(TableDailySummary[Inversión meta ads],TableDailySummary[Fecha],"&gt;="&amp;TableWeeklySummary[[#This Row],[Desde]],TableDailySummary[Fecha],"&lt;="&amp;TableWeeklySummary[[#This Row],[Hasta]])</f>
        <v>0</v>
      </c>
      <c r="W393" s="11">
        <f>SUMIFS(TableDailySummary[Ventas meta ads],TableDailySummary[Fecha],"&gt;="&amp;TableWeeklySummary[[#This Row],[Desde]],TableDailySummary[Fecha],"&lt;="&amp;TableWeeklySummary[[#This Row],[Hasta]])</f>
        <v>0</v>
      </c>
      <c r="X393" s="11">
        <f>TableWeeklySummary[[#This Row],[Inversión google ads]]+TableWeeklySummary[[#This Row],[Inversión meta ads]]</f>
        <v>0</v>
      </c>
      <c r="Y393" s="11">
        <f>TableWeeklySummary[[#This Row],[Ventas google ads]]+TableWeeklySummary[[#This Row],[Ventas meta ads]]</f>
        <v>0</v>
      </c>
      <c r="Z393" s="14">
        <f>IFERROR(TableWeeklySummary[[#This Row],[Ventas publicidad]]/TableWeeklySummary[[#This Row],[Inversión publicidad]],0)</f>
        <v>0</v>
      </c>
      <c r="AA393" s="14">
        <f>IFERROR(TableWeeklySummary[[#This Row],[Ventas primer cliente]]/TableWeeklySummary[[#This Row],[Inversión publicidad]],0)</f>
        <v>0</v>
      </c>
      <c r="AB393" s="14"/>
      <c r="AC393" s="11"/>
      <c r="AI39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3" s="11">
        <f>SUMIFS(TableDailySummary[Costo de ventas registrado],TableDailySummary[Fecha],"&gt;="&amp;TableWeeklySummary[[#This Row],[Desde]],TableDailySummary[Fecha],"&lt;="&amp;TableWeeklySummary[[#This Row],[Hasta]])</f>
        <v>0</v>
      </c>
      <c r="AK393" s="11">
        <f>SUMIFS(TableDailySummary[Utilidad bruta],TableDailySummary[Fecha],"&gt;="&amp;TableWeeklySummary[[#This Row],[Desde]],TableDailySummary[Fecha],"&lt;="&amp;TableWeeklySummary[[#This Row],[Hasta]])</f>
        <v>0</v>
      </c>
      <c r="AL393" s="18">
        <f>IFERROR(TableWeeklySummary[[#This Row],[Utilidad bruta]]/TableWeeklySummary[[#This Row],[Ventas netas con costo registrado]],0)</f>
        <v>0</v>
      </c>
    </row>
    <row r="394" spans="2:38" x14ac:dyDescent="0.2">
      <c r="B394" s="16">
        <f>_xlfn.ISOWEEKNUM(TableWeeklySummary[[#This Row],[Hasta]])</f>
        <v>18</v>
      </c>
      <c r="C394" s="6">
        <f t="shared" si="8"/>
        <v>47235</v>
      </c>
      <c r="D394" s="6">
        <f>TableWeeklySummary[[#This Row],[Desde]]+7-1</f>
        <v>47241</v>
      </c>
      <c r="E394" s="11">
        <f>SUMIFS(TableDailySummary[Ventas netas totales],TableDailySummary[Fecha],"&gt;="&amp;TableWeeklySummary[[#This Row],[Desde]],TableDailySummary[Fecha],"&lt;="&amp;TableWeeklySummary[[#This Row],[Hasta]])</f>
        <v>0</v>
      </c>
      <c r="F394" s="11">
        <f>SUMIFS(TableDailySummary[Órdenes totales],TableDailySummary[Fecha],"&gt;="&amp;TableWeeklySummary[[#This Row],[Desde]],TableDailySummary[Fecha],"&lt;="&amp;TableWeeklySummary[[#This Row],[Hasta]])</f>
        <v>0</v>
      </c>
      <c r="G394" s="11">
        <f>IFERROR(TableWeeklySummary[[#This Row],[Ventas netas totales]]/TableWeeklySummary[[#This Row],[Órdenes totales]],0)</f>
        <v>0</v>
      </c>
      <c r="H39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4" s="11">
        <f>TableWeeklySummary[[#This Row],[Órden promedio totales]]*TableWeeklySummary[[#This Row],[CR totales]]</f>
        <v>0</v>
      </c>
      <c r="J394" s="11">
        <f>SUMIFS(TableDailySummary[Ventas primer cliente],TableDailySummary[Fecha],"&gt;="&amp;TableWeeklySummary[[#This Row],[Desde]],TableDailySummary[Fecha],"&lt;="&amp;TableWeeklySummary[[#This Row],[Hasta]])</f>
        <v>0</v>
      </c>
      <c r="K394" s="11">
        <f>SUMIFS(TableDailySummary[Órdenes primer cliente],TableDailySummary[Fecha],"&gt;="&amp;TableWeeklySummary[[#This Row],[Desde]],TableDailySummary[Fecha],"&lt;="&amp;TableWeeklySummary[[#This Row],[Hasta]])</f>
        <v>0</v>
      </c>
      <c r="L394" s="11">
        <f>SUMIFS(TableDailySummary[Online Store_net_sales],TableDailySummary[Fecha],"&gt;="&amp;TableWeeklySummary[[#This Row],[Desde]],TableDailySummary[Fecha],"&lt;="&amp;TableWeeklySummary[[#This Row],[Hasta]])</f>
        <v>0</v>
      </c>
      <c r="M394" s="11">
        <f>SUMIFS(TableDailySummary[Online Store_orders],TableDailySummary[Fecha],"&gt;="&amp;TableWeeklySummary[[#This Row],[Desde]],TableDailySummary[Fecha],"&lt;="&amp;TableWeeklySummary[[#This Row],[Hasta]])</f>
        <v>0</v>
      </c>
      <c r="N394" s="11">
        <f>SUMIFS(TableDailySummary[Tienda 81_net_sales],TableDailySummary[Fecha],"&gt;="&amp;TableWeeklySummary[[#This Row],[Desde]],TableDailySummary[Fecha],"&lt;="&amp;TableWeeklySummary[[#This Row],[Hasta]])</f>
        <v>0</v>
      </c>
      <c r="O394" s="11">
        <f>SUMIFS(TableDailySummary[Tienda 81_orders],TableDailySummary[Fecha],"&gt;="&amp;TableWeeklySummary[[#This Row],[Desde]],TableDailySummary[Fecha],"&lt;="&amp;TableWeeklySummary[[#This Row],[Hasta]])</f>
        <v>0</v>
      </c>
      <c r="P394" s="11">
        <f>SUMIFS(TableDailySummary[Rappi_net_sales],TableDailySummary[Fecha],"&gt;="&amp;TableWeeklySummary[[#This Row],[Desde]],TableDailySummary[Fecha],"&lt;="&amp;TableWeeklySummary[[#This Row],[Hasta]])</f>
        <v>0</v>
      </c>
      <c r="Q394" s="11">
        <f>SUMIFS(TableDailySummary[Rappi_orders],TableDailySummary[Fecha],"&gt;="&amp;TableWeeklySummary[[#This Row],[Desde]],TableDailySummary[Fecha],"&lt;="&amp;TableWeeklySummary[[#This Row],[Hasta]])</f>
        <v>0</v>
      </c>
      <c r="R39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4" s="11">
        <f>SUMIFS(TableDailySummary[Corporativo no tienda_orders],TableDailySummary[Fecha],"&gt;="&amp;TableWeeklySummary[[#This Row],[Desde]],TableDailySummary[Fecha],"&lt;="&amp;TableWeeklySummary[[#This Row],[Hasta]])</f>
        <v>0</v>
      </c>
      <c r="T394" s="11">
        <f>SUMIFS(TableDailySummary[Inversión google ads],TableDailySummary[Fecha],"&gt;="&amp;TableWeeklySummary[[#This Row],[Desde]],TableDailySummary[Fecha],"&lt;="&amp;TableWeeklySummary[[#This Row],[Hasta]])</f>
        <v>0</v>
      </c>
      <c r="U394" s="11">
        <f>SUMIFS(TableDailySummary[Ventas google ads],TableDailySummary[Fecha],"&gt;="&amp;TableWeeklySummary[[#This Row],[Desde]],TableDailySummary[Fecha],"&lt;="&amp;TableWeeklySummary[[#This Row],[Hasta]])</f>
        <v>0</v>
      </c>
      <c r="V394" s="11">
        <f>SUMIFS(TableDailySummary[Inversión meta ads],TableDailySummary[Fecha],"&gt;="&amp;TableWeeklySummary[[#This Row],[Desde]],TableDailySummary[Fecha],"&lt;="&amp;TableWeeklySummary[[#This Row],[Hasta]])</f>
        <v>0</v>
      </c>
      <c r="W394" s="11">
        <f>SUMIFS(TableDailySummary[Ventas meta ads],TableDailySummary[Fecha],"&gt;="&amp;TableWeeklySummary[[#This Row],[Desde]],TableDailySummary[Fecha],"&lt;="&amp;TableWeeklySummary[[#This Row],[Hasta]])</f>
        <v>0</v>
      </c>
      <c r="X394" s="11">
        <f>TableWeeklySummary[[#This Row],[Inversión google ads]]+TableWeeklySummary[[#This Row],[Inversión meta ads]]</f>
        <v>0</v>
      </c>
      <c r="Y394" s="11">
        <f>TableWeeklySummary[[#This Row],[Ventas google ads]]+TableWeeklySummary[[#This Row],[Ventas meta ads]]</f>
        <v>0</v>
      </c>
      <c r="Z394" s="14">
        <f>IFERROR(TableWeeklySummary[[#This Row],[Ventas publicidad]]/TableWeeklySummary[[#This Row],[Inversión publicidad]],0)</f>
        <v>0</v>
      </c>
      <c r="AA394" s="14">
        <f>IFERROR(TableWeeklySummary[[#This Row],[Ventas primer cliente]]/TableWeeklySummary[[#This Row],[Inversión publicidad]],0)</f>
        <v>0</v>
      </c>
      <c r="AB394" s="14"/>
      <c r="AC394" s="11"/>
      <c r="AI39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4" s="11">
        <f>SUMIFS(TableDailySummary[Costo de ventas registrado],TableDailySummary[Fecha],"&gt;="&amp;TableWeeklySummary[[#This Row],[Desde]],TableDailySummary[Fecha],"&lt;="&amp;TableWeeklySummary[[#This Row],[Hasta]])</f>
        <v>0</v>
      </c>
      <c r="AK394" s="11">
        <f>SUMIFS(TableDailySummary[Utilidad bruta],TableDailySummary[Fecha],"&gt;="&amp;TableWeeklySummary[[#This Row],[Desde]],TableDailySummary[Fecha],"&lt;="&amp;TableWeeklySummary[[#This Row],[Hasta]])</f>
        <v>0</v>
      </c>
      <c r="AL394" s="18">
        <f>IFERROR(TableWeeklySummary[[#This Row],[Utilidad bruta]]/TableWeeklySummary[[#This Row],[Ventas netas con costo registrado]],0)</f>
        <v>0</v>
      </c>
    </row>
    <row r="395" spans="2:38" x14ac:dyDescent="0.2">
      <c r="B395" s="16">
        <f>_xlfn.ISOWEEKNUM(TableWeeklySummary[[#This Row],[Hasta]])</f>
        <v>19</v>
      </c>
      <c r="C395" s="6">
        <f t="shared" si="8"/>
        <v>47242</v>
      </c>
      <c r="D395" s="6">
        <f>TableWeeklySummary[[#This Row],[Desde]]+7-1</f>
        <v>47248</v>
      </c>
      <c r="E395" s="11">
        <f>SUMIFS(TableDailySummary[Ventas netas totales],TableDailySummary[Fecha],"&gt;="&amp;TableWeeklySummary[[#This Row],[Desde]],TableDailySummary[Fecha],"&lt;="&amp;TableWeeklySummary[[#This Row],[Hasta]])</f>
        <v>0</v>
      </c>
      <c r="F395" s="11">
        <f>SUMIFS(TableDailySummary[Órdenes totales],TableDailySummary[Fecha],"&gt;="&amp;TableWeeklySummary[[#This Row],[Desde]],TableDailySummary[Fecha],"&lt;="&amp;TableWeeklySummary[[#This Row],[Hasta]])</f>
        <v>0</v>
      </c>
      <c r="G395" s="11">
        <f>IFERROR(TableWeeklySummary[[#This Row],[Ventas netas totales]]/TableWeeklySummary[[#This Row],[Órdenes totales]],0)</f>
        <v>0</v>
      </c>
      <c r="H39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5" s="11">
        <f>TableWeeklySummary[[#This Row],[Órden promedio totales]]*TableWeeklySummary[[#This Row],[CR totales]]</f>
        <v>0</v>
      </c>
      <c r="J395" s="11">
        <f>SUMIFS(TableDailySummary[Ventas primer cliente],TableDailySummary[Fecha],"&gt;="&amp;TableWeeklySummary[[#This Row],[Desde]],TableDailySummary[Fecha],"&lt;="&amp;TableWeeklySummary[[#This Row],[Hasta]])</f>
        <v>0</v>
      </c>
      <c r="K395" s="11">
        <f>SUMIFS(TableDailySummary[Órdenes primer cliente],TableDailySummary[Fecha],"&gt;="&amp;TableWeeklySummary[[#This Row],[Desde]],TableDailySummary[Fecha],"&lt;="&amp;TableWeeklySummary[[#This Row],[Hasta]])</f>
        <v>0</v>
      </c>
      <c r="L395" s="11">
        <f>SUMIFS(TableDailySummary[Online Store_net_sales],TableDailySummary[Fecha],"&gt;="&amp;TableWeeklySummary[[#This Row],[Desde]],TableDailySummary[Fecha],"&lt;="&amp;TableWeeklySummary[[#This Row],[Hasta]])</f>
        <v>0</v>
      </c>
      <c r="M395" s="11">
        <f>SUMIFS(TableDailySummary[Online Store_orders],TableDailySummary[Fecha],"&gt;="&amp;TableWeeklySummary[[#This Row],[Desde]],TableDailySummary[Fecha],"&lt;="&amp;TableWeeklySummary[[#This Row],[Hasta]])</f>
        <v>0</v>
      </c>
      <c r="N395" s="11">
        <f>SUMIFS(TableDailySummary[Tienda 81_net_sales],TableDailySummary[Fecha],"&gt;="&amp;TableWeeklySummary[[#This Row],[Desde]],TableDailySummary[Fecha],"&lt;="&amp;TableWeeklySummary[[#This Row],[Hasta]])</f>
        <v>0</v>
      </c>
      <c r="O395" s="11">
        <f>SUMIFS(TableDailySummary[Tienda 81_orders],TableDailySummary[Fecha],"&gt;="&amp;TableWeeklySummary[[#This Row],[Desde]],TableDailySummary[Fecha],"&lt;="&amp;TableWeeklySummary[[#This Row],[Hasta]])</f>
        <v>0</v>
      </c>
      <c r="P395" s="11">
        <f>SUMIFS(TableDailySummary[Rappi_net_sales],TableDailySummary[Fecha],"&gt;="&amp;TableWeeklySummary[[#This Row],[Desde]],TableDailySummary[Fecha],"&lt;="&amp;TableWeeklySummary[[#This Row],[Hasta]])</f>
        <v>0</v>
      </c>
      <c r="Q395" s="11">
        <f>SUMIFS(TableDailySummary[Rappi_orders],TableDailySummary[Fecha],"&gt;="&amp;TableWeeklySummary[[#This Row],[Desde]],TableDailySummary[Fecha],"&lt;="&amp;TableWeeklySummary[[#This Row],[Hasta]])</f>
        <v>0</v>
      </c>
      <c r="R39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5" s="11">
        <f>SUMIFS(TableDailySummary[Corporativo no tienda_orders],TableDailySummary[Fecha],"&gt;="&amp;TableWeeklySummary[[#This Row],[Desde]],TableDailySummary[Fecha],"&lt;="&amp;TableWeeklySummary[[#This Row],[Hasta]])</f>
        <v>0</v>
      </c>
      <c r="T395" s="11">
        <f>SUMIFS(TableDailySummary[Inversión google ads],TableDailySummary[Fecha],"&gt;="&amp;TableWeeklySummary[[#This Row],[Desde]],TableDailySummary[Fecha],"&lt;="&amp;TableWeeklySummary[[#This Row],[Hasta]])</f>
        <v>0</v>
      </c>
      <c r="U395" s="11">
        <f>SUMIFS(TableDailySummary[Ventas google ads],TableDailySummary[Fecha],"&gt;="&amp;TableWeeklySummary[[#This Row],[Desde]],TableDailySummary[Fecha],"&lt;="&amp;TableWeeklySummary[[#This Row],[Hasta]])</f>
        <v>0</v>
      </c>
      <c r="V395" s="11">
        <f>SUMIFS(TableDailySummary[Inversión meta ads],TableDailySummary[Fecha],"&gt;="&amp;TableWeeklySummary[[#This Row],[Desde]],TableDailySummary[Fecha],"&lt;="&amp;TableWeeklySummary[[#This Row],[Hasta]])</f>
        <v>0</v>
      </c>
      <c r="W395" s="11">
        <f>SUMIFS(TableDailySummary[Ventas meta ads],TableDailySummary[Fecha],"&gt;="&amp;TableWeeklySummary[[#This Row],[Desde]],TableDailySummary[Fecha],"&lt;="&amp;TableWeeklySummary[[#This Row],[Hasta]])</f>
        <v>0</v>
      </c>
      <c r="X395" s="11">
        <f>TableWeeklySummary[[#This Row],[Inversión google ads]]+TableWeeklySummary[[#This Row],[Inversión meta ads]]</f>
        <v>0</v>
      </c>
      <c r="Y395" s="11">
        <f>TableWeeklySummary[[#This Row],[Ventas google ads]]+TableWeeklySummary[[#This Row],[Ventas meta ads]]</f>
        <v>0</v>
      </c>
      <c r="Z395" s="14">
        <f>IFERROR(TableWeeklySummary[[#This Row],[Ventas publicidad]]/TableWeeklySummary[[#This Row],[Inversión publicidad]],0)</f>
        <v>0</v>
      </c>
      <c r="AA395" s="14">
        <f>IFERROR(TableWeeklySummary[[#This Row],[Ventas primer cliente]]/TableWeeklySummary[[#This Row],[Inversión publicidad]],0)</f>
        <v>0</v>
      </c>
      <c r="AB395" s="14"/>
      <c r="AC395" s="11"/>
      <c r="AI39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5" s="11">
        <f>SUMIFS(TableDailySummary[Costo de ventas registrado],TableDailySummary[Fecha],"&gt;="&amp;TableWeeklySummary[[#This Row],[Desde]],TableDailySummary[Fecha],"&lt;="&amp;TableWeeklySummary[[#This Row],[Hasta]])</f>
        <v>0</v>
      </c>
      <c r="AK395" s="11">
        <f>SUMIFS(TableDailySummary[Utilidad bruta],TableDailySummary[Fecha],"&gt;="&amp;TableWeeklySummary[[#This Row],[Desde]],TableDailySummary[Fecha],"&lt;="&amp;TableWeeklySummary[[#This Row],[Hasta]])</f>
        <v>0</v>
      </c>
      <c r="AL395" s="18">
        <f>IFERROR(TableWeeklySummary[[#This Row],[Utilidad bruta]]/TableWeeklySummary[[#This Row],[Ventas netas con costo registrado]],0)</f>
        <v>0</v>
      </c>
    </row>
    <row r="396" spans="2:38" x14ac:dyDescent="0.2">
      <c r="B396" s="16">
        <f>_xlfn.ISOWEEKNUM(TableWeeklySummary[[#This Row],[Hasta]])</f>
        <v>20</v>
      </c>
      <c r="C396" s="6">
        <f t="shared" si="8"/>
        <v>47249</v>
      </c>
      <c r="D396" s="6">
        <f>TableWeeklySummary[[#This Row],[Desde]]+7-1</f>
        <v>47255</v>
      </c>
      <c r="E396" s="11">
        <f>SUMIFS(TableDailySummary[Ventas netas totales],TableDailySummary[Fecha],"&gt;="&amp;TableWeeklySummary[[#This Row],[Desde]],TableDailySummary[Fecha],"&lt;="&amp;TableWeeklySummary[[#This Row],[Hasta]])</f>
        <v>0</v>
      </c>
      <c r="F396" s="11">
        <f>SUMIFS(TableDailySummary[Órdenes totales],TableDailySummary[Fecha],"&gt;="&amp;TableWeeklySummary[[#This Row],[Desde]],TableDailySummary[Fecha],"&lt;="&amp;TableWeeklySummary[[#This Row],[Hasta]])</f>
        <v>0</v>
      </c>
      <c r="G396" s="11">
        <f>IFERROR(TableWeeklySummary[[#This Row],[Ventas netas totales]]/TableWeeklySummary[[#This Row],[Órdenes totales]],0)</f>
        <v>0</v>
      </c>
      <c r="H39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6" s="11">
        <f>TableWeeklySummary[[#This Row],[Órden promedio totales]]*TableWeeklySummary[[#This Row],[CR totales]]</f>
        <v>0</v>
      </c>
      <c r="J396" s="11">
        <f>SUMIFS(TableDailySummary[Ventas primer cliente],TableDailySummary[Fecha],"&gt;="&amp;TableWeeklySummary[[#This Row],[Desde]],TableDailySummary[Fecha],"&lt;="&amp;TableWeeklySummary[[#This Row],[Hasta]])</f>
        <v>0</v>
      </c>
      <c r="K396" s="11">
        <f>SUMIFS(TableDailySummary[Órdenes primer cliente],TableDailySummary[Fecha],"&gt;="&amp;TableWeeklySummary[[#This Row],[Desde]],TableDailySummary[Fecha],"&lt;="&amp;TableWeeklySummary[[#This Row],[Hasta]])</f>
        <v>0</v>
      </c>
      <c r="L396" s="11">
        <f>SUMIFS(TableDailySummary[Online Store_net_sales],TableDailySummary[Fecha],"&gt;="&amp;TableWeeklySummary[[#This Row],[Desde]],TableDailySummary[Fecha],"&lt;="&amp;TableWeeklySummary[[#This Row],[Hasta]])</f>
        <v>0</v>
      </c>
      <c r="M396" s="11">
        <f>SUMIFS(TableDailySummary[Online Store_orders],TableDailySummary[Fecha],"&gt;="&amp;TableWeeklySummary[[#This Row],[Desde]],TableDailySummary[Fecha],"&lt;="&amp;TableWeeklySummary[[#This Row],[Hasta]])</f>
        <v>0</v>
      </c>
      <c r="N396" s="11">
        <f>SUMIFS(TableDailySummary[Tienda 81_net_sales],TableDailySummary[Fecha],"&gt;="&amp;TableWeeklySummary[[#This Row],[Desde]],TableDailySummary[Fecha],"&lt;="&amp;TableWeeklySummary[[#This Row],[Hasta]])</f>
        <v>0</v>
      </c>
      <c r="O396" s="11">
        <f>SUMIFS(TableDailySummary[Tienda 81_orders],TableDailySummary[Fecha],"&gt;="&amp;TableWeeklySummary[[#This Row],[Desde]],TableDailySummary[Fecha],"&lt;="&amp;TableWeeklySummary[[#This Row],[Hasta]])</f>
        <v>0</v>
      </c>
      <c r="P396" s="11">
        <f>SUMIFS(TableDailySummary[Rappi_net_sales],TableDailySummary[Fecha],"&gt;="&amp;TableWeeklySummary[[#This Row],[Desde]],TableDailySummary[Fecha],"&lt;="&amp;TableWeeklySummary[[#This Row],[Hasta]])</f>
        <v>0</v>
      </c>
      <c r="Q396" s="11">
        <f>SUMIFS(TableDailySummary[Rappi_orders],TableDailySummary[Fecha],"&gt;="&amp;TableWeeklySummary[[#This Row],[Desde]],TableDailySummary[Fecha],"&lt;="&amp;TableWeeklySummary[[#This Row],[Hasta]])</f>
        <v>0</v>
      </c>
      <c r="R39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6" s="11">
        <f>SUMIFS(TableDailySummary[Corporativo no tienda_orders],TableDailySummary[Fecha],"&gt;="&amp;TableWeeklySummary[[#This Row],[Desde]],TableDailySummary[Fecha],"&lt;="&amp;TableWeeklySummary[[#This Row],[Hasta]])</f>
        <v>0</v>
      </c>
      <c r="T396" s="11">
        <f>SUMIFS(TableDailySummary[Inversión google ads],TableDailySummary[Fecha],"&gt;="&amp;TableWeeklySummary[[#This Row],[Desde]],TableDailySummary[Fecha],"&lt;="&amp;TableWeeklySummary[[#This Row],[Hasta]])</f>
        <v>0</v>
      </c>
      <c r="U396" s="11">
        <f>SUMIFS(TableDailySummary[Ventas google ads],TableDailySummary[Fecha],"&gt;="&amp;TableWeeklySummary[[#This Row],[Desde]],TableDailySummary[Fecha],"&lt;="&amp;TableWeeklySummary[[#This Row],[Hasta]])</f>
        <v>0</v>
      </c>
      <c r="V396" s="11">
        <f>SUMIFS(TableDailySummary[Inversión meta ads],TableDailySummary[Fecha],"&gt;="&amp;TableWeeklySummary[[#This Row],[Desde]],TableDailySummary[Fecha],"&lt;="&amp;TableWeeklySummary[[#This Row],[Hasta]])</f>
        <v>0</v>
      </c>
      <c r="W396" s="11">
        <f>SUMIFS(TableDailySummary[Ventas meta ads],TableDailySummary[Fecha],"&gt;="&amp;TableWeeklySummary[[#This Row],[Desde]],TableDailySummary[Fecha],"&lt;="&amp;TableWeeklySummary[[#This Row],[Hasta]])</f>
        <v>0</v>
      </c>
      <c r="X396" s="11">
        <f>TableWeeklySummary[[#This Row],[Inversión google ads]]+TableWeeklySummary[[#This Row],[Inversión meta ads]]</f>
        <v>0</v>
      </c>
      <c r="Y396" s="11">
        <f>TableWeeklySummary[[#This Row],[Ventas google ads]]+TableWeeklySummary[[#This Row],[Ventas meta ads]]</f>
        <v>0</v>
      </c>
      <c r="Z396" s="14">
        <f>IFERROR(TableWeeklySummary[[#This Row],[Ventas publicidad]]/TableWeeklySummary[[#This Row],[Inversión publicidad]],0)</f>
        <v>0</v>
      </c>
      <c r="AA396" s="14">
        <f>IFERROR(TableWeeklySummary[[#This Row],[Ventas primer cliente]]/TableWeeklySummary[[#This Row],[Inversión publicidad]],0)</f>
        <v>0</v>
      </c>
      <c r="AB396" s="14"/>
      <c r="AC396" s="11"/>
      <c r="AI39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6" s="11">
        <f>SUMIFS(TableDailySummary[Costo de ventas registrado],TableDailySummary[Fecha],"&gt;="&amp;TableWeeklySummary[[#This Row],[Desde]],TableDailySummary[Fecha],"&lt;="&amp;TableWeeklySummary[[#This Row],[Hasta]])</f>
        <v>0</v>
      </c>
      <c r="AK396" s="11">
        <f>SUMIFS(TableDailySummary[Utilidad bruta],TableDailySummary[Fecha],"&gt;="&amp;TableWeeklySummary[[#This Row],[Desde]],TableDailySummary[Fecha],"&lt;="&amp;TableWeeklySummary[[#This Row],[Hasta]])</f>
        <v>0</v>
      </c>
      <c r="AL396" s="18">
        <f>IFERROR(TableWeeklySummary[[#This Row],[Utilidad bruta]]/TableWeeklySummary[[#This Row],[Ventas netas con costo registrado]],0)</f>
        <v>0</v>
      </c>
    </row>
    <row r="397" spans="2:38" x14ac:dyDescent="0.2">
      <c r="B397" s="16">
        <f>_xlfn.ISOWEEKNUM(TableWeeklySummary[[#This Row],[Hasta]])</f>
        <v>21</v>
      </c>
      <c r="C397" s="6">
        <f t="shared" si="8"/>
        <v>47256</v>
      </c>
      <c r="D397" s="6">
        <f>TableWeeklySummary[[#This Row],[Desde]]+7-1</f>
        <v>47262</v>
      </c>
      <c r="E397" s="11">
        <f>SUMIFS(TableDailySummary[Ventas netas totales],TableDailySummary[Fecha],"&gt;="&amp;TableWeeklySummary[[#This Row],[Desde]],TableDailySummary[Fecha],"&lt;="&amp;TableWeeklySummary[[#This Row],[Hasta]])</f>
        <v>0</v>
      </c>
      <c r="F397" s="11">
        <f>SUMIFS(TableDailySummary[Órdenes totales],TableDailySummary[Fecha],"&gt;="&amp;TableWeeklySummary[[#This Row],[Desde]],TableDailySummary[Fecha],"&lt;="&amp;TableWeeklySummary[[#This Row],[Hasta]])</f>
        <v>0</v>
      </c>
      <c r="G397" s="11">
        <f>IFERROR(TableWeeklySummary[[#This Row],[Ventas netas totales]]/TableWeeklySummary[[#This Row],[Órdenes totales]],0)</f>
        <v>0</v>
      </c>
      <c r="H39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7" s="11">
        <f>TableWeeklySummary[[#This Row],[Órden promedio totales]]*TableWeeklySummary[[#This Row],[CR totales]]</f>
        <v>0</v>
      </c>
      <c r="J397" s="11">
        <f>SUMIFS(TableDailySummary[Ventas primer cliente],TableDailySummary[Fecha],"&gt;="&amp;TableWeeklySummary[[#This Row],[Desde]],TableDailySummary[Fecha],"&lt;="&amp;TableWeeklySummary[[#This Row],[Hasta]])</f>
        <v>0</v>
      </c>
      <c r="K397" s="11">
        <f>SUMIFS(TableDailySummary[Órdenes primer cliente],TableDailySummary[Fecha],"&gt;="&amp;TableWeeklySummary[[#This Row],[Desde]],TableDailySummary[Fecha],"&lt;="&amp;TableWeeklySummary[[#This Row],[Hasta]])</f>
        <v>0</v>
      </c>
      <c r="L397" s="11">
        <f>SUMIFS(TableDailySummary[Online Store_net_sales],TableDailySummary[Fecha],"&gt;="&amp;TableWeeklySummary[[#This Row],[Desde]],TableDailySummary[Fecha],"&lt;="&amp;TableWeeklySummary[[#This Row],[Hasta]])</f>
        <v>0</v>
      </c>
      <c r="M397" s="11">
        <f>SUMIFS(TableDailySummary[Online Store_orders],TableDailySummary[Fecha],"&gt;="&amp;TableWeeklySummary[[#This Row],[Desde]],TableDailySummary[Fecha],"&lt;="&amp;TableWeeklySummary[[#This Row],[Hasta]])</f>
        <v>0</v>
      </c>
      <c r="N397" s="11">
        <f>SUMIFS(TableDailySummary[Tienda 81_net_sales],TableDailySummary[Fecha],"&gt;="&amp;TableWeeklySummary[[#This Row],[Desde]],TableDailySummary[Fecha],"&lt;="&amp;TableWeeklySummary[[#This Row],[Hasta]])</f>
        <v>0</v>
      </c>
      <c r="O397" s="11">
        <f>SUMIFS(TableDailySummary[Tienda 81_orders],TableDailySummary[Fecha],"&gt;="&amp;TableWeeklySummary[[#This Row],[Desde]],TableDailySummary[Fecha],"&lt;="&amp;TableWeeklySummary[[#This Row],[Hasta]])</f>
        <v>0</v>
      </c>
      <c r="P397" s="11">
        <f>SUMIFS(TableDailySummary[Rappi_net_sales],TableDailySummary[Fecha],"&gt;="&amp;TableWeeklySummary[[#This Row],[Desde]],TableDailySummary[Fecha],"&lt;="&amp;TableWeeklySummary[[#This Row],[Hasta]])</f>
        <v>0</v>
      </c>
      <c r="Q397" s="11">
        <f>SUMIFS(TableDailySummary[Rappi_orders],TableDailySummary[Fecha],"&gt;="&amp;TableWeeklySummary[[#This Row],[Desde]],TableDailySummary[Fecha],"&lt;="&amp;TableWeeklySummary[[#This Row],[Hasta]])</f>
        <v>0</v>
      </c>
      <c r="R39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7" s="11">
        <f>SUMIFS(TableDailySummary[Corporativo no tienda_orders],TableDailySummary[Fecha],"&gt;="&amp;TableWeeklySummary[[#This Row],[Desde]],TableDailySummary[Fecha],"&lt;="&amp;TableWeeklySummary[[#This Row],[Hasta]])</f>
        <v>0</v>
      </c>
      <c r="T397" s="11">
        <f>SUMIFS(TableDailySummary[Inversión google ads],TableDailySummary[Fecha],"&gt;="&amp;TableWeeklySummary[[#This Row],[Desde]],TableDailySummary[Fecha],"&lt;="&amp;TableWeeklySummary[[#This Row],[Hasta]])</f>
        <v>0</v>
      </c>
      <c r="U397" s="11">
        <f>SUMIFS(TableDailySummary[Ventas google ads],TableDailySummary[Fecha],"&gt;="&amp;TableWeeklySummary[[#This Row],[Desde]],TableDailySummary[Fecha],"&lt;="&amp;TableWeeklySummary[[#This Row],[Hasta]])</f>
        <v>0</v>
      </c>
      <c r="V397" s="11">
        <f>SUMIFS(TableDailySummary[Inversión meta ads],TableDailySummary[Fecha],"&gt;="&amp;TableWeeklySummary[[#This Row],[Desde]],TableDailySummary[Fecha],"&lt;="&amp;TableWeeklySummary[[#This Row],[Hasta]])</f>
        <v>0</v>
      </c>
      <c r="W397" s="11">
        <f>SUMIFS(TableDailySummary[Ventas meta ads],TableDailySummary[Fecha],"&gt;="&amp;TableWeeklySummary[[#This Row],[Desde]],TableDailySummary[Fecha],"&lt;="&amp;TableWeeklySummary[[#This Row],[Hasta]])</f>
        <v>0</v>
      </c>
      <c r="X397" s="11">
        <f>TableWeeklySummary[[#This Row],[Inversión google ads]]+TableWeeklySummary[[#This Row],[Inversión meta ads]]</f>
        <v>0</v>
      </c>
      <c r="Y397" s="11">
        <f>TableWeeklySummary[[#This Row],[Ventas google ads]]+TableWeeklySummary[[#This Row],[Ventas meta ads]]</f>
        <v>0</v>
      </c>
      <c r="Z397" s="14">
        <f>IFERROR(TableWeeklySummary[[#This Row],[Ventas publicidad]]/TableWeeklySummary[[#This Row],[Inversión publicidad]],0)</f>
        <v>0</v>
      </c>
      <c r="AA397" s="14">
        <f>IFERROR(TableWeeklySummary[[#This Row],[Ventas primer cliente]]/TableWeeklySummary[[#This Row],[Inversión publicidad]],0)</f>
        <v>0</v>
      </c>
      <c r="AB397" s="14"/>
      <c r="AC397" s="11"/>
      <c r="AI39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7" s="11">
        <f>SUMIFS(TableDailySummary[Costo de ventas registrado],TableDailySummary[Fecha],"&gt;="&amp;TableWeeklySummary[[#This Row],[Desde]],TableDailySummary[Fecha],"&lt;="&amp;TableWeeklySummary[[#This Row],[Hasta]])</f>
        <v>0</v>
      </c>
      <c r="AK397" s="11">
        <f>SUMIFS(TableDailySummary[Utilidad bruta],TableDailySummary[Fecha],"&gt;="&amp;TableWeeklySummary[[#This Row],[Desde]],TableDailySummary[Fecha],"&lt;="&amp;TableWeeklySummary[[#This Row],[Hasta]])</f>
        <v>0</v>
      </c>
      <c r="AL397" s="18">
        <f>IFERROR(TableWeeklySummary[[#This Row],[Utilidad bruta]]/TableWeeklySummary[[#This Row],[Ventas netas con costo registrado]],0)</f>
        <v>0</v>
      </c>
    </row>
    <row r="398" spans="2:38" x14ac:dyDescent="0.2">
      <c r="B398" s="16">
        <f>_xlfn.ISOWEEKNUM(TableWeeklySummary[[#This Row],[Hasta]])</f>
        <v>22</v>
      </c>
      <c r="C398" s="6">
        <f t="shared" si="8"/>
        <v>47263</v>
      </c>
      <c r="D398" s="6">
        <f>TableWeeklySummary[[#This Row],[Desde]]+7-1</f>
        <v>47269</v>
      </c>
      <c r="E398" s="11">
        <f>SUMIFS(TableDailySummary[Ventas netas totales],TableDailySummary[Fecha],"&gt;="&amp;TableWeeklySummary[[#This Row],[Desde]],TableDailySummary[Fecha],"&lt;="&amp;TableWeeklySummary[[#This Row],[Hasta]])</f>
        <v>0</v>
      </c>
      <c r="F398" s="11">
        <f>SUMIFS(TableDailySummary[Órdenes totales],TableDailySummary[Fecha],"&gt;="&amp;TableWeeklySummary[[#This Row],[Desde]],TableDailySummary[Fecha],"&lt;="&amp;TableWeeklySummary[[#This Row],[Hasta]])</f>
        <v>0</v>
      </c>
      <c r="G398" s="11">
        <f>IFERROR(TableWeeklySummary[[#This Row],[Ventas netas totales]]/TableWeeklySummary[[#This Row],[Órdenes totales]],0)</f>
        <v>0</v>
      </c>
      <c r="H39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8" s="11">
        <f>TableWeeklySummary[[#This Row],[Órden promedio totales]]*TableWeeklySummary[[#This Row],[CR totales]]</f>
        <v>0</v>
      </c>
      <c r="J398" s="11">
        <f>SUMIFS(TableDailySummary[Ventas primer cliente],TableDailySummary[Fecha],"&gt;="&amp;TableWeeklySummary[[#This Row],[Desde]],TableDailySummary[Fecha],"&lt;="&amp;TableWeeklySummary[[#This Row],[Hasta]])</f>
        <v>0</v>
      </c>
      <c r="K398" s="11">
        <f>SUMIFS(TableDailySummary[Órdenes primer cliente],TableDailySummary[Fecha],"&gt;="&amp;TableWeeklySummary[[#This Row],[Desde]],TableDailySummary[Fecha],"&lt;="&amp;TableWeeklySummary[[#This Row],[Hasta]])</f>
        <v>0</v>
      </c>
      <c r="L398" s="11">
        <f>SUMIFS(TableDailySummary[Online Store_net_sales],TableDailySummary[Fecha],"&gt;="&amp;TableWeeklySummary[[#This Row],[Desde]],TableDailySummary[Fecha],"&lt;="&amp;TableWeeklySummary[[#This Row],[Hasta]])</f>
        <v>0</v>
      </c>
      <c r="M398" s="11">
        <f>SUMIFS(TableDailySummary[Online Store_orders],TableDailySummary[Fecha],"&gt;="&amp;TableWeeklySummary[[#This Row],[Desde]],TableDailySummary[Fecha],"&lt;="&amp;TableWeeklySummary[[#This Row],[Hasta]])</f>
        <v>0</v>
      </c>
      <c r="N398" s="11">
        <f>SUMIFS(TableDailySummary[Tienda 81_net_sales],TableDailySummary[Fecha],"&gt;="&amp;TableWeeklySummary[[#This Row],[Desde]],TableDailySummary[Fecha],"&lt;="&amp;TableWeeklySummary[[#This Row],[Hasta]])</f>
        <v>0</v>
      </c>
      <c r="O398" s="11">
        <f>SUMIFS(TableDailySummary[Tienda 81_orders],TableDailySummary[Fecha],"&gt;="&amp;TableWeeklySummary[[#This Row],[Desde]],TableDailySummary[Fecha],"&lt;="&amp;TableWeeklySummary[[#This Row],[Hasta]])</f>
        <v>0</v>
      </c>
      <c r="P398" s="11">
        <f>SUMIFS(TableDailySummary[Rappi_net_sales],TableDailySummary[Fecha],"&gt;="&amp;TableWeeklySummary[[#This Row],[Desde]],TableDailySummary[Fecha],"&lt;="&amp;TableWeeklySummary[[#This Row],[Hasta]])</f>
        <v>0</v>
      </c>
      <c r="Q398" s="11">
        <f>SUMIFS(TableDailySummary[Rappi_orders],TableDailySummary[Fecha],"&gt;="&amp;TableWeeklySummary[[#This Row],[Desde]],TableDailySummary[Fecha],"&lt;="&amp;TableWeeklySummary[[#This Row],[Hasta]])</f>
        <v>0</v>
      </c>
      <c r="R39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8" s="11">
        <f>SUMIFS(TableDailySummary[Corporativo no tienda_orders],TableDailySummary[Fecha],"&gt;="&amp;TableWeeklySummary[[#This Row],[Desde]],TableDailySummary[Fecha],"&lt;="&amp;TableWeeklySummary[[#This Row],[Hasta]])</f>
        <v>0</v>
      </c>
      <c r="T398" s="11">
        <f>SUMIFS(TableDailySummary[Inversión google ads],TableDailySummary[Fecha],"&gt;="&amp;TableWeeklySummary[[#This Row],[Desde]],TableDailySummary[Fecha],"&lt;="&amp;TableWeeklySummary[[#This Row],[Hasta]])</f>
        <v>0</v>
      </c>
      <c r="U398" s="11">
        <f>SUMIFS(TableDailySummary[Ventas google ads],TableDailySummary[Fecha],"&gt;="&amp;TableWeeklySummary[[#This Row],[Desde]],TableDailySummary[Fecha],"&lt;="&amp;TableWeeklySummary[[#This Row],[Hasta]])</f>
        <v>0</v>
      </c>
      <c r="V398" s="11">
        <f>SUMIFS(TableDailySummary[Inversión meta ads],TableDailySummary[Fecha],"&gt;="&amp;TableWeeklySummary[[#This Row],[Desde]],TableDailySummary[Fecha],"&lt;="&amp;TableWeeklySummary[[#This Row],[Hasta]])</f>
        <v>0</v>
      </c>
      <c r="W398" s="11">
        <f>SUMIFS(TableDailySummary[Ventas meta ads],TableDailySummary[Fecha],"&gt;="&amp;TableWeeklySummary[[#This Row],[Desde]],TableDailySummary[Fecha],"&lt;="&amp;TableWeeklySummary[[#This Row],[Hasta]])</f>
        <v>0</v>
      </c>
      <c r="X398" s="11">
        <f>TableWeeklySummary[[#This Row],[Inversión google ads]]+TableWeeklySummary[[#This Row],[Inversión meta ads]]</f>
        <v>0</v>
      </c>
      <c r="Y398" s="11">
        <f>TableWeeklySummary[[#This Row],[Ventas google ads]]+TableWeeklySummary[[#This Row],[Ventas meta ads]]</f>
        <v>0</v>
      </c>
      <c r="Z398" s="14">
        <f>IFERROR(TableWeeklySummary[[#This Row],[Ventas publicidad]]/TableWeeklySummary[[#This Row],[Inversión publicidad]],0)</f>
        <v>0</v>
      </c>
      <c r="AA398" s="14">
        <f>IFERROR(TableWeeklySummary[[#This Row],[Ventas primer cliente]]/TableWeeklySummary[[#This Row],[Inversión publicidad]],0)</f>
        <v>0</v>
      </c>
      <c r="AB398" s="14"/>
      <c r="AC398" s="11"/>
      <c r="AI39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8" s="11">
        <f>SUMIFS(TableDailySummary[Costo de ventas registrado],TableDailySummary[Fecha],"&gt;="&amp;TableWeeklySummary[[#This Row],[Desde]],TableDailySummary[Fecha],"&lt;="&amp;TableWeeklySummary[[#This Row],[Hasta]])</f>
        <v>0</v>
      </c>
      <c r="AK398" s="11">
        <f>SUMIFS(TableDailySummary[Utilidad bruta],TableDailySummary[Fecha],"&gt;="&amp;TableWeeklySummary[[#This Row],[Desde]],TableDailySummary[Fecha],"&lt;="&amp;TableWeeklySummary[[#This Row],[Hasta]])</f>
        <v>0</v>
      </c>
      <c r="AL398" s="18">
        <f>IFERROR(TableWeeklySummary[[#This Row],[Utilidad bruta]]/TableWeeklySummary[[#This Row],[Ventas netas con costo registrado]],0)</f>
        <v>0</v>
      </c>
    </row>
    <row r="399" spans="2:38" x14ac:dyDescent="0.2">
      <c r="B399" s="16">
        <f>_xlfn.ISOWEEKNUM(TableWeeklySummary[[#This Row],[Hasta]])</f>
        <v>23</v>
      </c>
      <c r="C399" s="6">
        <f t="shared" si="8"/>
        <v>47270</v>
      </c>
      <c r="D399" s="6">
        <f>TableWeeklySummary[[#This Row],[Desde]]+7-1</f>
        <v>47276</v>
      </c>
      <c r="E399" s="11">
        <f>SUMIFS(TableDailySummary[Ventas netas totales],TableDailySummary[Fecha],"&gt;="&amp;TableWeeklySummary[[#This Row],[Desde]],TableDailySummary[Fecha],"&lt;="&amp;TableWeeklySummary[[#This Row],[Hasta]])</f>
        <v>0</v>
      </c>
      <c r="F399" s="11">
        <f>SUMIFS(TableDailySummary[Órdenes totales],TableDailySummary[Fecha],"&gt;="&amp;TableWeeklySummary[[#This Row],[Desde]],TableDailySummary[Fecha],"&lt;="&amp;TableWeeklySummary[[#This Row],[Hasta]])</f>
        <v>0</v>
      </c>
      <c r="G399" s="11">
        <f>IFERROR(TableWeeklySummary[[#This Row],[Ventas netas totales]]/TableWeeklySummary[[#This Row],[Órdenes totales]],0)</f>
        <v>0</v>
      </c>
      <c r="H39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399" s="11">
        <f>TableWeeklySummary[[#This Row],[Órden promedio totales]]*TableWeeklySummary[[#This Row],[CR totales]]</f>
        <v>0</v>
      </c>
      <c r="J399" s="11">
        <f>SUMIFS(TableDailySummary[Ventas primer cliente],TableDailySummary[Fecha],"&gt;="&amp;TableWeeklySummary[[#This Row],[Desde]],TableDailySummary[Fecha],"&lt;="&amp;TableWeeklySummary[[#This Row],[Hasta]])</f>
        <v>0</v>
      </c>
      <c r="K399" s="11">
        <f>SUMIFS(TableDailySummary[Órdenes primer cliente],TableDailySummary[Fecha],"&gt;="&amp;TableWeeklySummary[[#This Row],[Desde]],TableDailySummary[Fecha],"&lt;="&amp;TableWeeklySummary[[#This Row],[Hasta]])</f>
        <v>0</v>
      </c>
      <c r="L399" s="11">
        <f>SUMIFS(TableDailySummary[Online Store_net_sales],TableDailySummary[Fecha],"&gt;="&amp;TableWeeklySummary[[#This Row],[Desde]],TableDailySummary[Fecha],"&lt;="&amp;TableWeeklySummary[[#This Row],[Hasta]])</f>
        <v>0</v>
      </c>
      <c r="M399" s="11">
        <f>SUMIFS(TableDailySummary[Online Store_orders],TableDailySummary[Fecha],"&gt;="&amp;TableWeeklySummary[[#This Row],[Desde]],TableDailySummary[Fecha],"&lt;="&amp;TableWeeklySummary[[#This Row],[Hasta]])</f>
        <v>0</v>
      </c>
      <c r="N399" s="11">
        <f>SUMIFS(TableDailySummary[Tienda 81_net_sales],TableDailySummary[Fecha],"&gt;="&amp;TableWeeklySummary[[#This Row],[Desde]],TableDailySummary[Fecha],"&lt;="&amp;TableWeeklySummary[[#This Row],[Hasta]])</f>
        <v>0</v>
      </c>
      <c r="O399" s="11">
        <f>SUMIFS(TableDailySummary[Tienda 81_orders],TableDailySummary[Fecha],"&gt;="&amp;TableWeeklySummary[[#This Row],[Desde]],TableDailySummary[Fecha],"&lt;="&amp;TableWeeklySummary[[#This Row],[Hasta]])</f>
        <v>0</v>
      </c>
      <c r="P399" s="11">
        <f>SUMIFS(TableDailySummary[Rappi_net_sales],TableDailySummary[Fecha],"&gt;="&amp;TableWeeklySummary[[#This Row],[Desde]],TableDailySummary[Fecha],"&lt;="&amp;TableWeeklySummary[[#This Row],[Hasta]])</f>
        <v>0</v>
      </c>
      <c r="Q399" s="11">
        <f>SUMIFS(TableDailySummary[Rappi_orders],TableDailySummary[Fecha],"&gt;="&amp;TableWeeklySummary[[#This Row],[Desde]],TableDailySummary[Fecha],"&lt;="&amp;TableWeeklySummary[[#This Row],[Hasta]])</f>
        <v>0</v>
      </c>
      <c r="R39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399" s="11">
        <f>SUMIFS(TableDailySummary[Corporativo no tienda_orders],TableDailySummary[Fecha],"&gt;="&amp;TableWeeklySummary[[#This Row],[Desde]],TableDailySummary[Fecha],"&lt;="&amp;TableWeeklySummary[[#This Row],[Hasta]])</f>
        <v>0</v>
      </c>
      <c r="T399" s="11">
        <f>SUMIFS(TableDailySummary[Inversión google ads],TableDailySummary[Fecha],"&gt;="&amp;TableWeeklySummary[[#This Row],[Desde]],TableDailySummary[Fecha],"&lt;="&amp;TableWeeklySummary[[#This Row],[Hasta]])</f>
        <v>0</v>
      </c>
      <c r="U399" s="11">
        <f>SUMIFS(TableDailySummary[Ventas google ads],TableDailySummary[Fecha],"&gt;="&amp;TableWeeklySummary[[#This Row],[Desde]],TableDailySummary[Fecha],"&lt;="&amp;TableWeeklySummary[[#This Row],[Hasta]])</f>
        <v>0</v>
      </c>
      <c r="V399" s="11">
        <f>SUMIFS(TableDailySummary[Inversión meta ads],TableDailySummary[Fecha],"&gt;="&amp;TableWeeklySummary[[#This Row],[Desde]],TableDailySummary[Fecha],"&lt;="&amp;TableWeeklySummary[[#This Row],[Hasta]])</f>
        <v>0</v>
      </c>
      <c r="W399" s="11">
        <f>SUMIFS(TableDailySummary[Ventas meta ads],TableDailySummary[Fecha],"&gt;="&amp;TableWeeklySummary[[#This Row],[Desde]],TableDailySummary[Fecha],"&lt;="&amp;TableWeeklySummary[[#This Row],[Hasta]])</f>
        <v>0</v>
      </c>
      <c r="X399" s="11">
        <f>TableWeeklySummary[[#This Row],[Inversión google ads]]+TableWeeklySummary[[#This Row],[Inversión meta ads]]</f>
        <v>0</v>
      </c>
      <c r="Y399" s="11">
        <f>TableWeeklySummary[[#This Row],[Ventas google ads]]+TableWeeklySummary[[#This Row],[Ventas meta ads]]</f>
        <v>0</v>
      </c>
      <c r="Z399" s="14">
        <f>IFERROR(TableWeeklySummary[[#This Row],[Ventas publicidad]]/TableWeeklySummary[[#This Row],[Inversión publicidad]],0)</f>
        <v>0</v>
      </c>
      <c r="AA399" s="14">
        <f>IFERROR(TableWeeklySummary[[#This Row],[Ventas primer cliente]]/TableWeeklySummary[[#This Row],[Inversión publicidad]],0)</f>
        <v>0</v>
      </c>
      <c r="AB399" s="14"/>
      <c r="AC399" s="11"/>
      <c r="AI39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399" s="11">
        <f>SUMIFS(TableDailySummary[Costo de ventas registrado],TableDailySummary[Fecha],"&gt;="&amp;TableWeeklySummary[[#This Row],[Desde]],TableDailySummary[Fecha],"&lt;="&amp;TableWeeklySummary[[#This Row],[Hasta]])</f>
        <v>0</v>
      </c>
      <c r="AK399" s="11">
        <f>SUMIFS(TableDailySummary[Utilidad bruta],TableDailySummary[Fecha],"&gt;="&amp;TableWeeklySummary[[#This Row],[Desde]],TableDailySummary[Fecha],"&lt;="&amp;TableWeeklySummary[[#This Row],[Hasta]])</f>
        <v>0</v>
      </c>
      <c r="AL399" s="18">
        <f>IFERROR(TableWeeklySummary[[#This Row],[Utilidad bruta]]/TableWeeklySummary[[#This Row],[Ventas netas con costo registrado]],0)</f>
        <v>0</v>
      </c>
    </row>
    <row r="400" spans="2:38" x14ac:dyDescent="0.2">
      <c r="B400" s="16">
        <f>_xlfn.ISOWEEKNUM(TableWeeklySummary[[#This Row],[Hasta]])</f>
        <v>24</v>
      </c>
      <c r="C400" s="6">
        <f t="shared" si="8"/>
        <v>47277</v>
      </c>
      <c r="D400" s="6">
        <f>TableWeeklySummary[[#This Row],[Desde]]+7-1</f>
        <v>47283</v>
      </c>
      <c r="E400" s="11">
        <f>SUMIFS(TableDailySummary[Ventas netas totales],TableDailySummary[Fecha],"&gt;="&amp;TableWeeklySummary[[#This Row],[Desde]],TableDailySummary[Fecha],"&lt;="&amp;TableWeeklySummary[[#This Row],[Hasta]])</f>
        <v>0</v>
      </c>
      <c r="F400" s="11">
        <f>SUMIFS(TableDailySummary[Órdenes totales],TableDailySummary[Fecha],"&gt;="&amp;TableWeeklySummary[[#This Row],[Desde]],TableDailySummary[Fecha],"&lt;="&amp;TableWeeklySummary[[#This Row],[Hasta]])</f>
        <v>0</v>
      </c>
      <c r="G400" s="11">
        <f>IFERROR(TableWeeklySummary[[#This Row],[Ventas netas totales]]/TableWeeklySummary[[#This Row],[Órdenes totales]],0)</f>
        <v>0</v>
      </c>
      <c r="H40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0" s="11">
        <f>TableWeeklySummary[[#This Row],[Órden promedio totales]]*TableWeeklySummary[[#This Row],[CR totales]]</f>
        <v>0</v>
      </c>
      <c r="J400" s="11">
        <f>SUMIFS(TableDailySummary[Ventas primer cliente],TableDailySummary[Fecha],"&gt;="&amp;TableWeeklySummary[[#This Row],[Desde]],TableDailySummary[Fecha],"&lt;="&amp;TableWeeklySummary[[#This Row],[Hasta]])</f>
        <v>0</v>
      </c>
      <c r="K400" s="11">
        <f>SUMIFS(TableDailySummary[Órdenes primer cliente],TableDailySummary[Fecha],"&gt;="&amp;TableWeeklySummary[[#This Row],[Desde]],TableDailySummary[Fecha],"&lt;="&amp;TableWeeklySummary[[#This Row],[Hasta]])</f>
        <v>0</v>
      </c>
      <c r="L400" s="11">
        <f>SUMIFS(TableDailySummary[Online Store_net_sales],TableDailySummary[Fecha],"&gt;="&amp;TableWeeklySummary[[#This Row],[Desde]],TableDailySummary[Fecha],"&lt;="&amp;TableWeeklySummary[[#This Row],[Hasta]])</f>
        <v>0</v>
      </c>
      <c r="M400" s="11">
        <f>SUMIFS(TableDailySummary[Online Store_orders],TableDailySummary[Fecha],"&gt;="&amp;TableWeeklySummary[[#This Row],[Desde]],TableDailySummary[Fecha],"&lt;="&amp;TableWeeklySummary[[#This Row],[Hasta]])</f>
        <v>0</v>
      </c>
      <c r="N400" s="11">
        <f>SUMIFS(TableDailySummary[Tienda 81_net_sales],TableDailySummary[Fecha],"&gt;="&amp;TableWeeklySummary[[#This Row],[Desde]],TableDailySummary[Fecha],"&lt;="&amp;TableWeeklySummary[[#This Row],[Hasta]])</f>
        <v>0</v>
      </c>
      <c r="O400" s="11">
        <f>SUMIFS(TableDailySummary[Tienda 81_orders],TableDailySummary[Fecha],"&gt;="&amp;TableWeeklySummary[[#This Row],[Desde]],TableDailySummary[Fecha],"&lt;="&amp;TableWeeklySummary[[#This Row],[Hasta]])</f>
        <v>0</v>
      </c>
      <c r="P400" s="11">
        <f>SUMIFS(TableDailySummary[Rappi_net_sales],TableDailySummary[Fecha],"&gt;="&amp;TableWeeklySummary[[#This Row],[Desde]],TableDailySummary[Fecha],"&lt;="&amp;TableWeeklySummary[[#This Row],[Hasta]])</f>
        <v>0</v>
      </c>
      <c r="Q400" s="11">
        <f>SUMIFS(TableDailySummary[Rappi_orders],TableDailySummary[Fecha],"&gt;="&amp;TableWeeklySummary[[#This Row],[Desde]],TableDailySummary[Fecha],"&lt;="&amp;TableWeeklySummary[[#This Row],[Hasta]])</f>
        <v>0</v>
      </c>
      <c r="R40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0" s="11">
        <f>SUMIFS(TableDailySummary[Corporativo no tienda_orders],TableDailySummary[Fecha],"&gt;="&amp;TableWeeklySummary[[#This Row],[Desde]],TableDailySummary[Fecha],"&lt;="&amp;TableWeeklySummary[[#This Row],[Hasta]])</f>
        <v>0</v>
      </c>
      <c r="T400" s="11">
        <f>SUMIFS(TableDailySummary[Inversión google ads],TableDailySummary[Fecha],"&gt;="&amp;TableWeeklySummary[[#This Row],[Desde]],TableDailySummary[Fecha],"&lt;="&amp;TableWeeklySummary[[#This Row],[Hasta]])</f>
        <v>0</v>
      </c>
      <c r="U400" s="11">
        <f>SUMIFS(TableDailySummary[Ventas google ads],TableDailySummary[Fecha],"&gt;="&amp;TableWeeklySummary[[#This Row],[Desde]],TableDailySummary[Fecha],"&lt;="&amp;TableWeeklySummary[[#This Row],[Hasta]])</f>
        <v>0</v>
      </c>
      <c r="V400" s="11">
        <f>SUMIFS(TableDailySummary[Inversión meta ads],TableDailySummary[Fecha],"&gt;="&amp;TableWeeklySummary[[#This Row],[Desde]],TableDailySummary[Fecha],"&lt;="&amp;TableWeeklySummary[[#This Row],[Hasta]])</f>
        <v>0</v>
      </c>
      <c r="W400" s="11">
        <f>SUMIFS(TableDailySummary[Ventas meta ads],TableDailySummary[Fecha],"&gt;="&amp;TableWeeklySummary[[#This Row],[Desde]],TableDailySummary[Fecha],"&lt;="&amp;TableWeeklySummary[[#This Row],[Hasta]])</f>
        <v>0</v>
      </c>
      <c r="X400" s="11">
        <f>TableWeeklySummary[[#This Row],[Inversión google ads]]+TableWeeklySummary[[#This Row],[Inversión meta ads]]</f>
        <v>0</v>
      </c>
      <c r="Y400" s="11">
        <f>TableWeeklySummary[[#This Row],[Ventas google ads]]+TableWeeklySummary[[#This Row],[Ventas meta ads]]</f>
        <v>0</v>
      </c>
      <c r="Z400" s="14">
        <f>IFERROR(TableWeeklySummary[[#This Row],[Ventas publicidad]]/TableWeeklySummary[[#This Row],[Inversión publicidad]],0)</f>
        <v>0</v>
      </c>
      <c r="AA400" s="14">
        <f>IFERROR(TableWeeklySummary[[#This Row],[Ventas primer cliente]]/TableWeeklySummary[[#This Row],[Inversión publicidad]],0)</f>
        <v>0</v>
      </c>
      <c r="AB400" s="14"/>
      <c r="AC400" s="11"/>
      <c r="AI40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0" s="11">
        <f>SUMIFS(TableDailySummary[Costo de ventas registrado],TableDailySummary[Fecha],"&gt;="&amp;TableWeeklySummary[[#This Row],[Desde]],TableDailySummary[Fecha],"&lt;="&amp;TableWeeklySummary[[#This Row],[Hasta]])</f>
        <v>0</v>
      </c>
      <c r="AK400" s="11">
        <f>SUMIFS(TableDailySummary[Utilidad bruta],TableDailySummary[Fecha],"&gt;="&amp;TableWeeklySummary[[#This Row],[Desde]],TableDailySummary[Fecha],"&lt;="&amp;TableWeeklySummary[[#This Row],[Hasta]])</f>
        <v>0</v>
      </c>
      <c r="AL400" s="18">
        <f>IFERROR(TableWeeklySummary[[#This Row],[Utilidad bruta]]/TableWeeklySummary[[#This Row],[Ventas netas con costo registrado]],0)</f>
        <v>0</v>
      </c>
    </row>
    <row r="401" spans="2:38" x14ac:dyDescent="0.2">
      <c r="B401" s="16">
        <f>_xlfn.ISOWEEKNUM(TableWeeklySummary[[#This Row],[Hasta]])</f>
        <v>25</v>
      </c>
      <c r="C401" s="6">
        <f t="shared" si="8"/>
        <v>47284</v>
      </c>
      <c r="D401" s="6">
        <f>TableWeeklySummary[[#This Row],[Desde]]+7-1</f>
        <v>47290</v>
      </c>
      <c r="E401" s="11">
        <f>SUMIFS(TableDailySummary[Ventas netas totales],TableDailySummary[Fecha],"&gt;="&amp;TableWeeklySummary[[#This Row],[Desde]],TableDailySummary[Fecha],"&lt;="&amp;TableWeeklySummary[[#This Row],[Hasta]])</f>
        <v>0</v>
      </c>
      <c r="F401" s="11">
        <f>SUMIFS(TableDailySummary[Órdenes totales],TableDailySummary[Fecha],"&gt;="&amp;TableWeeklySummary[[#This Row],[Desde]],TableDailySummary[Fecha],"&lt;="&amp;TableWeeklySummary[[#This Row],[Hasta]])</f>
        <v>0</v>
      </c>
      <c r="G401" s="11">
        <f>IFERROR(TableWeeklySummary[[#This Row],[Ventas netas totales]]/TableWeeklySummary[[#This Row],[Órdenes totales]],0)</f>
        <v>0</v>
      </c>
      <c r="H40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1" s="11">
        <f>TableWeeklySummary[[#This Row],[Órden promedio totales]]*TableWeeklySummary[[#This Row],[CR totales]]</f>
        <v>0</v>
      </c>
      <c r="J401" s="11">
        <f>SUMIFS(TableDailySummary[Ventas primer cliente],TableDailySummary[Fecha],"&gt;="&amp;TableWeeklySummary[[#This Row],[Desde]],TableDailySummary[Fecha],"&lt;="&amp;TableWeeklySummary[[#This Row],[Hasta]])</f>
        <v>0</v>
      </c>
      <c r="K401" s="11">
        <f>SUMIFS(TableDailySummary[Órdenes primer cliente],TableDailySummary[Fecha],"&gt;="&amp;TableWeeklySummary[[#This Row],[Desde]],TableDailySummary[Fecha],"&lt;="&amp;TableWeeklySummary[[#This Row],[Hasta]])</f>
        <v>0</v>
      </c>
      <c r="L401" s="11">
        <f>SUMIFS(TableDailySummary[Online Store_net_sales],TableDailySummary[Fecha],"&gt;="&amp;TableWeeklySummary[[#This Row],[Desde]],TableDailySummary[Fecha],"&lt;="&amp;TableWeeklySummary[[#This Row],[Hasta]])</f>
        <v>0</v>
      </c>
      <c r="M401" s="11">
        <f>SUMIFS(TableDailySummary[Online Store_orders],TableDailySummary[Fecha],"&gt;="&amp;TableWeeklySummary[[#This Row],[Desde]],TableDailySummary[Fecha],"&lt;="&amp;TableWeeklySummary[[#This Row],[Hasta]])</f>
        <v>0</v>
      </c>
      <c r="N401" s="11">
        <f>SUMIFS(TableDailySummary[Tienda 81_net_sales],TableDailySummary[Fecha],"&gt;="&amp;TableWeeklySummary[[#This Row],[Desde]],TableDailySummary[Fecha],"&lt;="&amp;TableWeeklySummary[[#This Row],[Hasta]])</f>
        <v>0</v>
      </c>
      <c r="O401" s="11">
        <f>SUMIFS(TableDailySummary[Tienda 81_orders],TableDailySummary[Fecha],"&gt;="&amp;TableWeeklySummary[[#This Row],[Desde]],TableDailySummary[Fecha],"&lt;="&amp;TableWeeklySummary[[#This Row],[Hasta]])</f>
        <v>0</v>
      </c>
      <c r="P401" s="11">
        <f>SUMIFS(TableDailySummary[Rappi_net_sales],TableDailySummary[Fecha],"&gt;="&amp;TableWeeklySummary[[#This Row],[Desde]],TableDailySummary[Fecha],"&lt;="&amp;TableWeeklySummary[[#This Row],[Hasta]])</f>
        <v>0</v>
      </c>
      <c r="Q401" s="11">
        <f>SUMIFS(TableDailySummary[Rappi_orders],TableDailySummary[Fecha],"&gt;="&amp;TableWeeklySummary[[#This Row],[Desde]],TableDailySummary[Fecha],"&lt;="&amp;TableWeeklySummary[[#This Row],[Hasta]])</f>
        <v>0</v>
      </c>
      <c r="R40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1" s="11">
        <f>SUMIFS(TableDailySummary[Corporativo no tienda_orders],TableDailySummary[Fecha],"&gt;="&amp;TableWeeklySummary[[#This Row],[Desde]],TableDailySummary[Fecha],"&lt;="&amp;TableWeeklySummary[[#This Row],[Hasta]])</f>
        <v>0</v>
      </c>
      <c r="T401" s="11">
        <f>SUMIFS(TableDailySummary[Inversión google ads],TableDailySummary[Fecha],"&gt;="&amp;TableWeeklySummary[[#This Row],[Desde]],TableDailySummary[Fecha],"&lt;="&amp;TableWeeklySummary[[#This Row],[Hasta]])</f>
        <v>0</v>
      </c>
      <c r="U401" s="11">
        <f>SUMIFS(TableDailySummary[Ventas google ads],TableDailySummary[Fecha],"&gt;="&amp;TableWeeklySummary[[#This Row],[Desde]],TableDailySummary[Fecha],"&lt;="&amp;TableWeeklySummary[[#This Row],[Hasta]])</f>
        <v>0</v>
      </c>
      <c r="V401" s="11">
        <f>SUMIFS(TableDailySummary[Inversión meta ads],TableDailySummary[Fecha],"&gt;="&amp;TableWeeklySummary[[#This Row],[Desde]],TableDailySummary[Fecha],"&lt;="&amp;TableWeeklySummary[[#This Row],[Hasta]])</f>
        <v>0</v>
      </c>
      <c r="W401" s="11">
        <f>SUMIFS(TableDailySummary[Ventas meta ads],TableDailySummary[Fecha],"&gt;="&amp;TableWeeklySummary[[#This Row],[Desde]],TableDailySummary[Fecha],"&lt;="&amp;TableWeeklySummary[[#This Row],[Hasta]])</f>
        <v>0</v>
      </c>
      <c r="X401" s="11">
        <f>TableWeeklySummary[[#This Row],[Inversión google ads]]+TableWeeklySummary[[#This Row],[Inversión meta ads]]</f>
        <v>0</v>
      </c>
      <c r="Y401" s="11">
        <f>TableWeeklySummary[[#This Row],[Ventas google ads]]+TableWeeklySummary[[#This Row],[Ventas meta ads]]</f>
        <v>0</v>
      </c>
      <c r="Z401" s="14">
        <f>IFERROR(TableWeeklySummary[[#This Row],[Ventas publicidad]]/TableWeeklySummary[[#This Row],[Inversión publicidad]],0)</f>
        <v>0</v>
      </c>
      <c r="AA401" s="14">
        <f>IFERROR(TableWeeklySummary[[#This Row],[Ventas primer cliente]]/TableWeeklySummary[[#This Row],[Inversión publicidad]],0)</f>
        <v>0</v>
      </c>
      <c r="AB401" s="14"/>
      <c r="AC401" s="11"/>
      <c r="AI40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1" s="11">
        <f>SUMIFS(TableDailySummary[Costo de ventas registrado],TableDailySummary[Fecha],"&gt;="&amp;TableWeeklySummary[[#This Row],[Desde]],TableDailySummary[Fecha],"&lt;="&amp;TableWeeklySummary[[#This Row],[Hasta]])</f>
        <v>0</v>
      </c>
      <c r="AK401" s="11">
        <f>SUMIFS(TableDailySummary[Utilidad bruta],TableDailySummary[Fecha],"&gt;="&amp;TableWeeklySummary[[#This Row],[Desde]],TableDailySummary[Fecha],"&lt;="&amp;TableWeeklySummary[[#This Row],[Hasta]])</f>
        <v>0</v>
      </c>
      <c r="AL401" s="18">
        <f>IFERROR(TableWeeklySummary[[#This Row],[Utilidad bruta]]/TableWeeklySummary[[#This Row],[Ventas netas con costo registrado]],0)</f>
        <v>0</v>
      </c>
    </row>
    <row r="402" spans="2:38" x14ac:dyDescent="0.2">
      <c r="B402" s="16">
        <f>_xlfn.ISOWEEKNUM(TableWeeklySummary[[#This Row],[Hasta]])</f>
        <v>26</v>
      </c>
      <c r="C402" s="6">
        <f t="shared" si="8"/>
        <v>47291</v>
      </c>
      <c r="D402" s="6">
        <f>TableWeeklySummary[[#This Row],[Desde]]+7-1</f>
        <v>47297</v>
      </c>
      <c r="E402" s="11">
        <f>SUMIFS(TableDailySummary[Ventas netas totales],TableDailySummary[Fecha],"&gt;="&amp;TableWeeklySummary[[#This Row],[Desde]],TableDailySummary[Fecha],"&lt;="&amp;TableWeeklySummary[[#This Row],[Hasta]])</f>
        <v>0</v>
      </c>
      <c r="F402" s="11">
        <f>SUMIFS(TableDailySummary[Órdenes totales],TableDailySummary[Fecha],"&gt;="&amp;TableWeeklySummary[[#This Row],[Desde]],TableDailySummary[Fecha],"&lt;="&amp;TableWeeklySummary[[#This Row],[Hasta]])</f>
        <v>0</v>
      </c>
      <c r="G402" s="11">
        <f>IFERROR(TableWeeklySummary[[#This Row],[Ventas netas totales]]/TableWeeklySummary[[#This Row],[Órdenes totales]],0)</f>
        <v>0</v>
      </c>
      <c r="H40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2" s="11">
        <f>TableWeeklySummary[[#This Row],[Órden promedio totales]]*TableWeeklySummary[[#This Row],[CR totales]]</f>
        <v>0</v>
      </c>
      <c r="J402" s="11">
        <f>SUMIFS(TableDailySummary[Ventas primer cliente],TableDailySummary[Fecha],"&gt;="&amp;TableWeeklySummary[[#This Row],[Desde]],TableDailySummary[Fecha],"&lt;="&amp;TableWeeklySummary[[#This Row],[Hasta]])</f>
        <v>0</v>
      </c>
      <c r="K402" s="11">
        <f>SUMIFS(TableDailySummary[Órdenes primer cliente],TableDailySummary[Fecha],"&gt;="&amp;TableWeeklySummary[[#This Row],[Desde]],TableDailySummary[Fecha],"&lt;="&amp;TableWeeklySummary[[#This Row],[Hasta]])</f>
        <v>0</v>
      </c>
      <c r="L402" s="11">
        <f>SUMIFS(TableDailySummary[Online Store_net_sales],TableDailySummary[Fecha],"&gt;="&amp;TableWeeklySummary[[#This Row],[Desde]],TableDailySummary[Fecha],"&lt;="&amp;TableWeeklySummary[[#This Row],[Hasta]])</f>
        <v>0</v>
      </c>
      <c r="M402" s="11">
        <f>SUMIFS(TableDailySummary[Online Store_orders],TableDailySummary[Fecha],"&gt;="&amp;TableWeeklySummary[[#This Row],[Desde]],TableDailySummary[Fecha],"&lt;="&amp;TableWeeklySummary[[#This Row],[Hasta]])</f>
        <v>0</v>
      </c>
      <c r="N402" s="11">
        <f>SUMIFS(TableDailySummary[Tienda 81_net_sales],TableDailySummary[Fecha],"&gt;="&amp;TableWeeklySummary[[#This Row],[Desde]],TableDailySummary[Fecha],"&lt;="&amp;TableWeeklySummary[[#This Row],[Hasta]])</f>
        <v>0</v>
      </c>
      <c r="O402" s="11">
        <f>SUMIFS(TableDailySummary[Tienda 81_orders],TableDailySummary[Fecha],"&gt;="&amp;TableWeeklySummary[[#This Row],[Desde]],TableDailySummary[Fecha],"&lt;="&amp;TableWeeklySummary[[#This Row],[Hasta]])</f>
        <v>0</v>
      </c>
      <c r="P402" s="11">
        <f>SUMIFS(TableDailySummary[Rappi_net_sales],TableDailySummary[Fecha],"&gt;="&amp;TableWeeklySummary[[#This Row],[Desde]],TableDailySummary[Fecha],"&lt;="&amp;TableWeeklySummary[[#This Row],[Hasta]])</f>
        <v>0</v>
      </c>
      <c r="Q402" s="11">
        <f>SUMIFS(TableDailySummary[Rappi_orders],TableDailySummary[Fecha],"&gt;="&amp;TableWeeklySummary[[#This Row],[Desde]],TableDailySummary[Fecha],"&lt;="&amp;TableWeeklySummary[[#This Row],[Hasta]])</f>
        <v>0</v>
      </c>
      <c r="R40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2" s="11">
        <f>SUMIFS(TableDailySummary[Corporativo no tienda_orders],TableDailySummary[Fecha],"&gt;="&amp;TableWeeklySummary[[#This Row],[Desde]],TableDailySummary[Fecha],"&lt;="&amp;TableWeeklySummary[[#This Row],[Hasta]])</f>
        <v>0</v>
      </c>
      <c r="T402" s="11">
        <f>SUMIFS(TableDailySummary[Inversión google ads],TableDailySummary[Fecha],"&gt;="&amp;TableWeeklySummary[[#This Row],[Desde]],TableDailySummary[Fecha],"&lt;="&amp;TableWeeklySummary[[#This Row],[Hasta]])</f>
        <v>0</v>
      </c>
      <c r="U402" s="11">
        <f>SUMIFS(TableDailySummary[Ventas google ads],TableDailySummary[Fecha],"&gt;="&amp;TableWeeklySummary[[#This Row],[Desde]],TableDailySummary[Fecha],"&lt;="&amp;TableWeeklySummary[[#This Row],[Hasta]])</f>
        <v>0</v>
      </c>
      <c r="V402" s="11">
        <f>SUMIFS(TableDailySummary[Inversión meta ads],TableDailySummary[Fecha],"&gt;="&amp;TableWeeklySummary[[#This Row],[Desde]],TableDailySummary[Fecha],"&lt;="&amp;TableWeeklySummary[[#This Row],[Hasta]])</f>
        <v>0</v>
      </c>
      <c r="W402" s="11">
        <f>SUMIFS(TableDailySummary[Ventas meta ads],TableDailySummary[Fecha],"&gt;="&amp;TableWeeklySummary[[#This Row],[Desde]],TableDailySummary[Fecha],"&lt;="&amp;TableWeeklySummary[[#This Row],[Hasta]])</f>
        <v>0</v>
      </c>
      <c r="X402" s="11">
        <f>TableWeeklySummary[[#This Row],[Inversión google ads]]+TableWeeklySummary[[#This Row],[Inversión meta ads]]</f>
        <v>0</v>
      </c>
      <c r="Y402" s="11">
        <f>TableWeeklySummary[[#This Row],[Ventas google ads]]+TableWeeklySummary[[#This Row],[Ventas meta ads]]</f>
        <v>0</v>
      </c>
      <c r="Z402" s="14">
        <f>IFERROR(TableWeeklySummary[[#This Row],[Ventas publicidad]]/TableWeeklySummary[[#This Row],[Inversión publicidad]],0)</f>
        <v>0</v>
      </c>
      <c r="AA402" s="14">
        <f>IFERROR(TableWeeklySummary[[#This Row],[Ventas primer cliente]]/TableWeeklySummary[[#This Row],[Inversión publicidad]],0)</f>
        <v>0</v>
      </c>
      <c r="AB402" s="14"/>
      <c r="AC402" s="11"/>
      <c r="AI40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2" s="11">
        <f>SUMIFS(TableDailySummary[Costo de ventas registrado],TableDailySummary[Fecha],"&gt;="&amp;TableWeeklySummary[[#This Row],[Desde]],TableDailySummary[Fecha],"&lt;="&amp;TableWeeklySummary[[#This Row],[Hasta]])</f>
        <v>0</v>
      </c>
      <c r="AK402" s="11">
        <f>SUMIFS(TableDailySummary[Utilidad bruta],TableDailySummary[Fecha],"&gt;="&amp;TableWeeklySummary[[#This Row],[Desde]],TableDailySummary[Fecha],"&lt;="&amp;TableWeeklySummary[[#This Row],[Hasta]])</f>
        <v>0</v>
      </c>
      <c r="AL402" s="18">
        <f>IFERROR(TableWeeklySummary[[#This Row],[Utilidad bruta]]/TableWeeklySummary[[#This Row],[Ventas netas con costo registrado]],0)</f>
        <v>0</v>
      </c>
    </row>
    <row r="403" spans="2:38" x14ac:dyDescent="0.2">
      <c r="B403" s="16">
        <f>_xlfn.ISOWEEKNUM(TableWeeklySummary[[#This Row],[Hasta]])</f>
        <v>27</v>
      </c>
      <c r="C403" s="6">
        <f t="shared" si="8"/>
        <v>47298</v>
      </c>
      <c r="D403" s="6">
        <f>TableWeeklySummary[[#This Row],[Desde]]+7-1</f>
        <v>47304</v>
      </c>
      <c r="E403" s="11">
        <f>SUMIFS(TableDailySummary[Ventas netas totales],TableDailySummary[Fecha],"&gt;="&amp;TableWeeklySummary[[#This Row],[Desde]],TableDailySummary[Fecha],"&lt;="&amp;TableWeeklySummary[[#This Row],[Hasta]])</f>
        <v>0</v>
      </c>
      <c r="F403" s="11">
        <f>SUMIFS(TableDailySummary[Órdenes totales],TableDailySummary[Fecha],"&gt;="&amp;TableWeeklySummary[[#This Row],[Desde]],TableDailySummary[Fecha],"&lt;="&amp;TableWeeklySummary[[#This Row],[Hasta]])</f>
        <v>0</v>
      </c>
      <c r="G403" s="11">
        <f>IFERROR(TableWeeklySummary[[#This Row],[Ventas netas totales]]/TableWeeklySummary[[#This Row],[Órdenes totales]],0)</f>
        <v>0</v>
      </c>
      <c r="H40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3" s="11">
        <f>TableWeeklySummary[[#This Row],[Órden promedio totales]]*TableWeeklySummary[[#This Row],[CR totales]]</f>
        <v>0</v>
      </c>
      <c r="J403" s="11">
        <f>SUMIFS(TableDailySummary[Ventas primer cliente],TableDailySummary[Fecha],"&gt;="&amp;TableWeeklySummary[[#This Row],[Desde]],TableDailySummary[Fecha],"&lt;="&amp;TableWeeklySummary[[#This Row],[Hasta]])</f>
        <v>0</v>
      </c>
      <c r="K403" s="11">
        <f>SUMIFS(TableDailySummary[Órdenes primer cliente],TableDailySummary[Fecha],"&gt;="&amp;TableWeeklySummary[[#This Row],[Desde]],TableDailySummary[Fecha],"&lt;="&amp;TableWeeklySummary[[#This Row],[Hasta]])</f>
        <v>0</v>
      </c>
      <c r="L403" s="11">
        <f>SUMIFS(TableDailySummary[Online Store_net_sales],TableDailySummary[Fecha],"&gt;="&amp;TableWeeklySummary[[#This Row],[Desde]],TableDailySummary[Fecha],"&lt;="&amp;TableWeeklySummary[[#This Row],[Hasta]])</f>
        <v>0</v>
      </c>
      <c r="M403" s="11">
        <f>SUMIFS(TableDailySummary[Online Store_orders],TableDailySummary[Fecha],"&gt;="&amp;TableWeeklySummary[[#This Row],[Desde]],TableDailySummary[Fecha],"&lt;="&amp;TableWeeklySummary[[#This Row],[Hasta]])</f>
        <v>0</v>
      </c>
      <c r="N403" s="11">
        <f>SUMIFS(TableDailySummary[Tienda 81_net_sales],TableDailySummary[Fecha],"&gt;="&amp;TableWeeklySummary[[#This Row],[Desde]],TableDailySummary[Fecha],"&lt;="&amp;TableWeeklySummary[[#This Row],[Hasta]])</f>
        <v>0</v>
      </c>
      <c r="O403" s="11">
        <f>SUMIFS(TableDailySummary[Tienda 81_orders],TableDailySummary[Fecha],"&gt;="&amp;TableWeeklySummary[[#This Row],[Desde]],TableDailySummary[Fecha],"&lt;="&amp;TableWeeklySummary[[#This Row],[Hasta]])</f>
        <v>0</v>
      </c>
      <c r="P403" s="11">
        <f>SUMIFS(TableDailySummary[Rappi_net_sales],TableDailySummary[Fecha],"&gt;="&amp;TableWeeklySummary[[#This Row],[Desde]],TableDailySummary[Fecha],"&lt;="&amp;TableWeeklySummary[[#This Row],[Hasta]])</f>
        <v>0</v>
      </c>
      <c r="Q403" s="11">
        <f>SUMIFS(TableDailySummary[Rappi_orders],TableDailySummary[Fecha],"&gt;="&amp;TableWeeklySummary[[#This Row],[Desde]],TableDailySummary[Fecha],"&lt;="&amp;TableWeeklySummary[[#This Row],[Hasta]])</f>
        <v>0</v>
      </c>
      <c r="R40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3" s="11">
        <f>SUMIFS(TableDailySummary[Corporativo no tienda_orders],TableDailySummary[Fecha],"&gt;="&amp;TableWeeklySummary[[#This Row],[Desde]],TableDailySummary[Fecha],"&lt;="&amp;TableWeeklySummary[[#This Row],[Hasta]])</f>
        <v>0</v>
      </c>
      <c r="T403" s="11">
        <f>SUMIFS(TableDailySummary[Inversión google ads],TableDailySummary[Fecha],"&gt;="&amp;TableWeeklySummary[[#This Row],[Desde]],TableDailySummary[Fecha],"&lt;="&amp;TableWeeklySummary[[#This Row],[Hasta]])</f>
        <v>0</v>
      </c>
      <c r="U403" s="11">
        <f>SUMIFS(TableDailySummary[Ventas google ads],TableDailySummary[Fecha],"&gt;="&amp;TableWeeklySummary[[#This Row],[Desde]],TableDailySummary[Fecha],"&lt;="&amp;TableWeeklySummary[[#This Row],[Hasta]])</f>
        <v>0</v>
      </c>
      <c r="V403" s="11">
        <f>SUMIFS(TableDailySummary[Inversión meta ads],TableDailySummary[Fecha],"&gt;="&amp;TableWeeklySummary[[#This Row],[Desde]],TableDailySummary[Fecha],"&lt;="&amp;TableWeeklySummary[[#This Row],[Hasta]])</f>
        <v>0</v>
      </c>
      <c r="W403" s="11">
        <f>SUMIFS(TableDailySummary[Ventas meta ads],TableDailySummary[Fecha],"&gt;="&amp;TableWeeklySummary[[#This Row],[Desde]],TableDailySummary[Fecha],"&lt;="&amp;TableWeeklySummary[[#This Row],[Hasta]])</f>
        <v>0</v>
      </c>
      <c r="X403" s="11">
        <f>TableWeeklySummary[[#This Row],[Inversión google ads]]+TableWeeklySummary[[#This Row],[Inversión meta ads]]</f>
        <v>0</v>
      </c>
      <c r="Y403" s="11">
        <f>TableWeeklySummary[[#This Row],[Ventas google ads]]+TableWeeklySummary[[#This Row],[Ventas meta ads]]</f>
        <v>0</v>
      </c>
      <c r="Z403" s="14">
        <f>IFERROR(TableWeeklySummary[[#This Row],[Ventas publicidad]]/TableWeeklySummary[[#This Row],[Inversión publicidad]],0)</f>
        <v>0</v>
      </c>
      <c r="AA403" s="14">
        <f>IFERROR(TableWeeklySummary[[#This Row],[Ventas primer cliente]]/TableWeeklySummary[[#This Row],[Inversión publicidad]],0)</f>
        <v>0</v>
      </c>
      <c r="AB403" s="14"/>
      <c r="AC403" s="11"/>
      <c r="AI40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3" s="11">
        <f>SUMIFS(TableDailySummary[Costo de ventas registrado],TableDailySummary[Fecha],"&gt;="&amp;TableWeeklySummary[[#This Row],[Desde]],TableDailySummary[Fecha],"&lt;="&amp;TableWeeklySummary[[#This Row],[Hasta]])</f>
        <v>0</v>
      </c>
      <c r="AK403" s="11">
        <f>SUMIFS(TableDailySummary[Utilidad bruta],TableDailySummary[Fecha],"&gt;="&amp;TableWeeklySummary[[#This Row],[Desde]],TableDailySummary[Fecha],"&lt;="&amp;TableWeeklySummary[[#This Row],[Hasta]])</f>
        <v>0</v>
      </c>
      <c r="AL403" s="18">
        <f>IFERROR(TableWeeklySummary[[#This Row],[Utilidad bruta]]/TableWeeklySummary[[#This Row],[Ventas netas con costo registrado]],0)</f>
        <v>0</v>
      </c>
    </row>
    <row r="404" spans="2:38" x14ac:dyDescent="0.2">
      <c r="B404" s="16">
        <f>_xlfn.ISOWEEKNUM(TableWeeklySummary[[#This Row],[Hasta]])</f>
        <v>28</v>
      </c>
      <c r="C404" s="6">
        <f t="shared" si="8"/>
        <v>47305</v>
      </c>
      <c r="D404" s="6">
        <f>TableWeeklySummary[[#This Row],[Desde]]+7-1</f>
        <v>47311</v>
      </c>
      <c r="E404" s="11">
        <f>SUMIFS(TableDailySummary[Ventas netas totales],TableDailySummary[Fecha],"&gt;="&amp;TableWeeklySummary[[#This Row],[Desde]],TableDailySummary[Fecha],"&lt;="&amp;TableWeeklySummary[[#This Row],[Hasta]])</f>
        <v>0</v>
      </c>
      <c r="F404" s="11">
        <f>SUMIFS(TableDailySummary[Órdenes totales],TableDailySummary[Fecha],"&gt;="&amp;TableWeeklySummary[[#This Row],[Desde]],TableDailySummary[Fecha],"&lt;="&amp;TableWeeklySummary[[#This Row],[Hasta]])</f>
        <v>0</v>
      </c>
      <c r="G404" s="11">
        <f>IFERROR(TableWeeklySummary[[#This Row],[Ventas netas totales]]/TableWeeklySummary[[#This Row],[Órdenes totales]],0)</f>
        <v>0</v>
      </c>
      <c r="H40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4" s="11">
        <f>TableWeeklySummary[[#This Row],[Órden promedio totales]]*TableWeeklySummary[[#This Row],[CR totales]]</f>
        <v>0</v>
      </c>
      <c r="J404" s="11">
        <f>SUMIFS(TableDailySummary[Ventas primer cliente],TableDailySummary[Fecha],"&gt;="&amp;TableWeeklySummary[[#This Row],[Desde]],TableDailySummary[Fecha],"&lt;="&amp;TableWeeklySummary[[#This Row],[Hasta]])</f>
        <v>0</v>
      </c>
      <c r="K404" s="11">
        <f>SUMIFS(TableDailySummary[Órdenes primer cliente],TableDailySummary[Fecha],"&gt;="&amp;TableWeeklySummary[[#This Row],[Desde]],TableDailySummary[Fecha],"&lt;="&amp;TableWeeklySummary[[#This Row],[Hasta]])</f>
        <v>0</v>
      </c>
      <c r="L404" s="11">
        <f>SUMIFS(TableDailySummary[Online Store_net_sales],TableDailySummary[Fecha],"&gt;="&amp;TableWeeklySummary[[#This Row],[Desde]],TableDailySummary[Fecha],"&lt;="&amp;TableWeeklySummary[[#This Row],[Hasta]])</f>
        <v>0</v>
      </c>
      <c r="M404" s="11">
        <f>SUMIFS(TableDailySummary[Online Store_orders],TableDailySummary[Fecha],"&gt;="&amp;TableWeeklySummary[[#This Row],[Desde]],TableDailySummary[Fecha],"&lt;="&amp;TableWeeklySummary[[#This Row],[Hasta]])</f>
        <v>0</v>
      </c>
      <c r="N404" s="11">
        <f>SUMIFS(TableDailySummary[Tienda 81_net_sales],TableDailySummary[Fecha],"&gt;="&amp;TableWeeklySummary[[#This Row],[Desde]],TableDailySummary[Fecha],"&lt;="&amp;TableWeeklySummary[[#This Row],[Hasta]])</f>
        <v>0</v>
      </c>
      <c r="O404" s="11">
        <f>SUMIFS(TableDailySummary[Tienda 81_orders],TableDailySummary[Fecha],"&gt;="&amp;TableWeeklySummary[[#This Row],[Desde]],TableDailySummary[Fecha],"&lt;="&amp;TableWeeklySummary[[#This Row],[Hasta]])</f>
        <v>0</v>
      </c>
      <c r="P404" s="11">
        <f>SUMIFS(TableDailySummary[Rappi_net_sales],TableDailySummary[Fecha],"&gt;="&amp;TableWeeklySummary[[#This Row],[Desde]],TableDailySummary[Fecha],"&lt;="&amp;TableWeeklySummary[[#This Row],[Hasta]])</f>
        <v>0</v>
      </c>
      <c r="Q404" s="11">
        <f>SUMIFS(TableDailySummary[Rappi_orders],TableDailySummary[Fecha],"&gt;="&amp;TableWeeklySummary[[#This Row],[Desde]],TableDailySummary[Fecha],"&lt;="&amp;TableWeeklySummary[[#This Row],[Hasta]])</f>
        <v>0</v>
      </c>
      <c r="R40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4" s="11">
        <f>SUMIFS(TableDailySummary[Corporativo no tienda_orders],TableDailySummary[Fecha],"&gt;="&amp;TableWeeklySummary[[#This Row],[Desde]],TableDailySummary[Fecha],"&lt;="&amp;TableWeeklySummary[[#This Row],[Hasta]])</f>
        <v>0</v>
      </c>
      <c r="T404" s="11">
        <f>SUMIFS(TableDailySummary[Inversión google ads],TableDailySummary[Fecha],"&gt;="&amp;TableWeeklySummary[[#This Row],[Desde]],TableDailySummary[Fecha],"&lt;="&amp;TableWeeklySummary[[#This Row],[Hasta]])</f>
        <v>0</v>
      </c>
      <c r="U404" s="11">
        <f>SUMIFS(TableDailySummary[Ventas google ads],TableDailySummary[Fecha],"&gt;="&amp;TableWeeklySummary[[#This Row],[Desde]],TableDailySummary[Fecha],"&lt;="&amp;TableWeeklySummary[[#This Row],[Hasta]])</f>
        <v>0</v>
      </c>
      <c r="V404" s="11">
        <f>SUMIFS(TableDailySummary[Inversión meta ads],TableDailySummary[Fecha],"&gt;="&amp;TableWeeklySummary[[#This Row],[Desde]],TableDailySummary[Fecha],"&lt;="&amp;TableWeeklySummary[[#This Row],[Hasta]])</f>
        <v>0</v>
      </c>
      <c r="W404" s="11">
        <f>SUMIFS(TableDailySummary[Ventas meta ads],TableDailySummary[Fecha],"&gt;="&amp;TableWeeklySummary[[#This Row],[Desde]],TableDailySummary[Fecha],"&lt;="&amp;TableWeeklySummary[[#This Row],[Hasta]])</f>
        <v>0</v>
      </c>
      <c r="X404" s="11">
        <f>TableWeeklySummary[[#This Row],[Inversión google ads]]+TableWeeklySummary[[#This Row],[Inversión meta ads]]</f>
        <v>0</v>
      </c>
      <c r="Y404" s="11">
        <f>TableWeeklySummary[[#This Row],[Ventas google ads]]+TableWeeklySummary[[#This Row],[Ventas meta ads]]</f>
        <v>0</v>
      </c>
      <c r="Z404" s="14">
        <f>IFERROR(TableWeeklySummary[[#This Row],[Ventas publicidad]]/TableWeeklySummary[[#This Row],[Inversión publicidad]],0)</f>
        <v>0</v>
      </c>
      <c r="AA404" s="14">
        <f>IFERROR(TableWeeklySummary[[#This Row],[Ventas primer cliente]]/TableWeeklySummary[[#This Row],[Inversión publicidad]],0)</f>
        <v>0</v>
      </c>
      <c r="AB404" s="14"/>
      <c r="AC404" s="11"/>
      <c r="AI40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4" s="11">
        <f>SUMIFS(TableDailySummary[Costo de ventas registrado],TableDailySummary[Fecha],"&gt;="&amp;TableWeeklySummary[[#This Row],[Desde]],TableDailySummary[Fecha],"&lt;="&amp;TableWeeklySummary[[#This Row],[Hasta]])</f>
        <v>0</v>
      </c>
      <c r="AK404" s="11">
        <f>SUMIFS(TableDailySummary[Utilidad bruta],TableDailySummary[Fecha],"&gt;="&amp;TableWeeklySummary[[#This Row],[Desde]],TableDailySummary[Fecha],"&lt;="&amp;TableWeeklySummary[[#This Row],[Hasta]])</f>
        <v>0</v>
      </c>
      <c r="AL404" s="18">
        <f>IFERROR(TableWeeklySummary[[#This Row],[Utilidad bruta]]/TableWeeklySummary[[#This Row],[Ventas netas con costo registrado]],0)</f>
        <v>0</v>
      </c>
    </row>
    <row r="405" spans="2:38" x14ac:dyDescent="0.2">
      <c r="B405" s="16">
        <f>_xlfn.ISOWEEKNUM(TableWeeklySummary[[#This Row],[Hasta]])</f>
        <v>29</v>
      </c>
      <c r="C405" s="6">
        <f t="shared" si="8"/>
        <v>47312</v>
      </c>
      <c r="D405" s="6">
        <f>TableWeeklySummary[[#This Row],[Desde]]+7-1</f>
        <v>47318</v>
      </c>
      <c r="E405" s="11">
        <f>SUMIFS(TableDailySummary[Ventas netas totales],TableDailySummary[Fecha],"&gt;="&amp;TableWeeklySummary[[#This Row],[Desde]],TableDailySummary[Fecha],"&lt;="&amp;TableWeeklySummary[[#This Row],[Hasta]])</f>
        <v>0</v>
      </c>
      <c r="F405" s="11">
        <f>SUMIFS(TableDailySummary[Órdenes totales],TableDailySummary[Fecha],"&gt;="&amp;TableWeeklySummary[[#This Row],[Desde]],TableDailySummary[Fecha],"&lt;="&amp;TableWeeklySummary[[#This Row],[Hasta]])</f>
        <v>0</v>
      </c>
      <c r="G405" s="11">
        <f>IFERROR(TableWeeklySummary[[#This Row],[Ventas netas totales]]/TableWeeklySummary[[#This Row],[Órdenes totales]],0)</f>
        <v>0</v>
      </c>
      <c r="H40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5" s="11">
        <f>TableWeeklySummary[[#This Row],[Órden promedio totales]]*TableWeeklySummary[[#This Row],[CR totales]]</f>
        <v>0</v>
      </c>
      <c r="J405" s="11">
        <f>SUMIFS(TableDailySummary[Ventas primer cliente],TableDailySummary[Fecha],"&gt;="&amp;TableWeeklySummary[[#This Row],[Desde]],TableDailySummary[Fecha],"&lt;="&amp;TableWeeklySummary[[#This Row],[Hasta]])</f>
        <v>0</v>
      </c>
      <c r="K405" s="11">
        <f>SUMIFS(TableDailySummary[Órdenes primer cliente],TableDailySummary[Fecha],"&gt;="&amp;TableWeeklySummary[[#This Row],[Desde]],TableDailySummary[Fecha],"&lt;="&amp;TableWeeklySummary[[#This Row],[Hasta]])</f>
        <v>0</v>
      </c>
      <c r="L405" s="11">
        <f>SUMIFS(TableDailySummary[Online Store_net_sales],TableDailySummary[Fecha],"&gt;="&amp;TableWeeklySummary[[#This Row],[Desde]],TableDailySummary[Fecha],"&lt;="&amp;TableWeeklySummary[[#This Row],[Hasta]])</f>
        <v>0</v>
      </c>
      <c r="M405" s="11">
        <f>SUMIFS(TableDailySummary[Online Store_orders],TableDailySummary[Fecha],"&gt;="&amp;TableWeeklySummary[[#This Row],[Desde]],TableDailySummary[Fecha],"&lt;="&amp;TableWeeklySummary[[#This Row],[Hasta]])</f>
        <v>0</v>
      </c>
      <c r="N405" s="11">
        <f>SUMIFS(TableDailySummary[Tienda 81_net_sales],TableDailySummary[Fecha],"&gt;="&amp;TableWeeklySummary[[#This Row],[Desde]],TableDailySummary[Fecha],"&lt;="&amp;TableWeeklySummary[[#This Row],[Hasta]])</f>
        <v>0</v>
      </c>
      <c r="O405" s="11">
        <f>SUMIFS(TableDailySummary[Tienda 81_orders],TableDailySummary[Fecha],"&gt;="&amp;TableWeeklySummary[[#This Row],[Desde]],TableDailySummary[Fecha],"&lt;="&amp;TableWeeklySummary[[#This Row],[Hasta]])</f>
        <v>0</v>
      </c>
      <c r="P405" s="11">
        <f>SUMIFS(TableDailySummary[Rappi_net_sales],TableDailySummary[Fecha],"&gt;="&amp;TableWeeklySummary[[#This Row],[Desde]],TableDailySummary[Fecha],"&lt;="&amp;TableWeeklySummary[[#This Row],[Hasta]])</f>
        <v>0</v>
      </c>
      <c r="Q405" s="11">
        <f>SUMIFS(TableDailySummary[Rappi_orders],TableDailySummary[Fecha],"&gt;="&amp;TableWeeklySummary[[#This Row],[Desde]],TableDailySummary[Fecha],"&lt;="&amp;TableWeeklySummary[[#This Row],[Hasta]])</f>
        <v>0</v>
      </c>
      <c r="R40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5" s="11">
        <f>SUMIFS(TableDailySummary[Corporativo no tienda_orders],TableDailySummary[Fecha],"&gt;="&amp;TableWeeklySummary[[#This Row],[Desde]],TableDailySummary[Fecha],"&lt;="&amp;TableWeeklySummary[[#This Row],[Hasta]])</f>
        <v>0</v>
      </c>
      <c r="T405" s="11">
        <f>SUMIFS(TableDailySummary[Inversión google ads],TableDailySummary[Fecha],"&gt;="&amp;TableWeeklySummary[[#This Row],[Desde]],TableDailySummary[Fecha],"&lt;="&amp;TableWeeklySummary[[#This Row],[Hasta]])</f>
        <v>0</v>
      </c>
      <c r="U405" s="11">
        <f>SUMIFS(TableDailySummary[Ventas google ads],TableDailySummary[Fecha],"&gt;="&amp;TableWeeklySummary[[#This Row],[Desde]],TableDailySummary[Fecha],"&lt;="&amp;TableWeeklySummary[[#This Row],[Hasta]])</f>
        <v>0</v>
      </c>
      <c r="V405" s="11">
        <f>SUMIFS(TableDailySummary[Inversión meta ads],TableDailySummary[Fecha],"&gt;="&amp;TableWeeklySummary[[#This Row],[Desde]],TableDailySummary[Fecha],"&lt;="&amp;TableWeeklySummary[[#This Row],[Hasta]])</f>
        <v>0</v>
      </c>
      <c r="W405" s="11">
        <f>SUMIFS(TableDailySummary[Ventas meta ads],TableDailySummary[Fecha],"&gt;="&amp;TableWeeklySummary[[#This Row],[Desde]],TableDailySummary[Fecha],"&lt;="&amp;TableWeeklySummary[[#This Row],[Hasta]])</f>
        <v>0</v>
      </c>
      <c r="X405" s="11">
        <f>TableWeeklySummary[[#This Row],[Inversión google ads]]+TableWeeklySummary[[#This Row],[Inversión meta ads]]</f>
        <v>0</v>
      </c>
      <c r="Y405" s="11">
        <f>TableWeeklySummary[[#This Row],[Ventas google ads]]+TableWeeklySummary[[#This Row],[Ventas meta ads]]</f>
        <v>0</v>
      </c>
      <c r="Z405" s="14">
        <f>IFERROR(TableWeeklySummary[[#This Row],[Ventas publicidad]]/TableWeeklySummary[[#This Row],[Inversión publicidad]],0)</f>
        <v>0</v>
      </c>
      <c r="AA405" s="14">
        <f>IFERROR(TableWeeklySummary[[#This Row],[Ventas primer cliente]]/TableWeeklySummary[[#This Row],[Inversión publicidad]],0)</f>
        <v>0</v>
      </c>
      <c r="AB405" s="14"/>
      <c r="AC405" s="11"/>
      <c r="AI40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5" s="11">
        <f>SUMIFS(TableDailySummary[Costo de ventas registrado],TableDailySummary[Fecha],"&gt;="&amp;TableWeeklySummary[[#This Row],[Desde]],TableDailySummary[Fecha],"&lt;="&amp;TableWeeklySummary[[#This Row],[Hasta]])</f>
        <v>0</v>
      </c>
      <c r="AK405" s="11">
        <f>SUMIFS(TableDailySummary[Utilidad bruta],TableDailySummary[Fecha],"&gt;="&amp;TableWeeklySummary[[#This Row],[Desde]],TableDailySummary[Fecha],"&lt;="&amp;TableWeeklySummary[[#This Row],[Hasta]])</f>
        <v>0</v>
      </c>
      <c r="AL405" s="18">
        <f>IFERROR(TableWeeklySummary[[#This Row],[Utilidad bruta]]/TableWeeklySummary[[#This Row],[Ventas netas con costo registrado]],0)</f>
        <v>0</v>
      </c>
    </row>
    <row r="406" spans="2:38" x14ac:dyDescent="0.2">
      <c r="B406" s="16">
        <f>_xlfn.ISOWEEKNUM(TableWeeklySummary[[#This Row],[Hasta]])</f>
        <v>30</v>
      </c>
      <c r="C406" s="6">
        <f t="shared" si="8"/>
        <v>47319</v>
      </c>
      <c r="D406" s="6">
        <f>TableWeeklySummary[[#This Row],[Desde]]+7-1</f>
        <v>47325</v>
      </c>
      <c r="E406" s="11">
        <f>SUMIFS(TableDailySummary[Ventas netas totales],TableDailySummary[Fecha],"&gt;="&amp;TableWeeklySummary[[#This Row],[Desde]],TableDailySummary[Fecha],"&lt;="&amp;TableWeeklySummary[[#This Row],[Hasta]])</f>
        <v>0</v>
      </c>
      <c r="F406" s="11">
        <f>SUMIFS(TableDailySummary[Órdenes totales],TableDailySummary[Fecha],"&gt;="&amp;TableWeeklySummary[[#This Row],[Desde]],TableDailySummary[Fecha],"&lt;="&amp;TableWeeklySummary[[#This Row],[Hasta]])</f>
        <v>0</v>
      </c>
      <c r="G406" s="11">
        <f>IFERROR(TableWeeklySummary[[#This Row],[Ventas netas totales]]/TableWeeklySummary[[#This Row],[Órdenes totales]],0)</f>
        <v>0</v>
      </c>
      <c r="H40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6" s="11">
        <f>TableWeeklySummary[[#This Row],[Órden promedio totales]]*TableWeeklySummary[[#This Row],[CR totales]]</f>
        <v>0</v>
      </c>
      <c r="J406" s="11">
        <f>SUMIFS(TableDailySummary[Ventas primer cliente],TableDailySummary[Fecha],"&gt;="&amp;TableWeeklySummary[[#This Row],[Desde]],TableDailySummary[Fecha],"&lt;="&amp;TableWeeklySummary[[#This Row],[Hasta]])</f>
        <v>0</v>
      </c>
      <c r="K406" s="11">
        <f>SUMIFS(TableDailySummary[Órdenes primer cliente],TableDailySummary[Fecha],"&gt;="&amp;TableWeeklySummary[[#This Row],[Desde]],TableDailySummary[Fecha],"&lt;="&amp;TableWeeklySummary[[#This Row],[Hasta]])</f>
        <v>0</v>
      </c>
      <c r="L406" s="11">
        <f>SUMIFS(TableDailySummary[Online Store_net_sales],TableDailySummary[Fecha],"&gt;="&amp;TableWeeklySummary[[#This Row],[Desde]],TableDailySummary[Fecha],"&lt;="&amp;TableWeeklySummary[[#This Row],[Hasta]])</f>
        <v>0</v>
      </c>
      <c r="M406" s="11">
        <f>SUMIFS(TableDailySummary[Online Store_orders],TableDailySummary[Fecha],"&gt;="&amp;TableWeeklySummary[[#This Row],[Desde]],TableDailySummary[Fecha],"&lt;="&amp;TableWeeklySummary[[#This Row],[Hasta]])</f>
        <v>0</v>
      </c>
      <c r="N406" s="11">
        <f>SUMIFS(TableDailySummary[Tienda 81_net_sales],TableDailySummary[Fecha],"&gt;="&amp;TableWeeklySummary[[#This Row],[Desde]],TableDailySummary[Fecha],"&lt;="&amp;TableWeeklySummary[[#This Row],[Hasta]])</f>
        <v>0</v>
      </c>
      <c r="O406" s="11">
        <f>SUMIFS(TableDailySummary[Tienda 81_orders],TableDailySummary[Fecha],"&gt;="&amp;TableWeeklySummary[[#This Row],[Desde]],TableDailySummary[Fecha],"&lt;="&amp;TableWeeklySummary[[#This Row],[Hasta]])</f>
        <v>0</v>
      </c>
      <c r="P406" s="11">
        <f>SUMIFS(TableDailySummary[Rappi_net_sales],TableDailySummary[Fecha],"&gt;="&amp;TableWeeklySummary[[#This Row],[Desde]],TableDailySummary[Fecha],"&lt;="&amp;TableWeeklySummary[[#This Row],[Hasta]])</f>
        <v>0</v>
      </c>
      <c r="Q406" s="11">
        <f>SUMIFS(TableDailySummary[Rappi_orders],TableDailySummary[Fecha],"&gt;="&amp;TableWeeklySummary[[#This Row],[Desde]],TableDailySummary[Fecha],"&lt;="&amp;TableWeeklySummary[[#This Row],[Hasta]])</f>
        <v>0</v>
      </c>
      <c r="R40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6" s="11">
        <f>SUMIFS(TableDailySummary[Corporativo no tienda_orders],TableDailySummary[Fecha],"&gt;="&amp;TableWeeklySummary[[#This Row],[Desde]],TableDailySummary[Fecha],"&lt;="&amp;TableWeeklySummary[[#This Row],[Hasta]])</f>
        <v>0</v>
      </c>
      <c r="T406" s="11">
        <f>SUMIFS(TableDailySummary[Inversión google ads],TableDailySummary[Fecha],"&gt;="&amp;TableWeeklySummary[[#This Row],[Desde]],TableDailySummary[Fecha],"&lt;="&amp;TableWeeklySummary[[#This Row],[Hasta]])</f>
        <v>0</v>
      </c>
      <c r="U406" s="11">
        <f>SUMIFS(TableDailySummary[Ventas google ads],TableDailySummary[Fecha],"&gt;="&amp;TableWeeklySummary[[#This Row],[Desde]],TableDailySummary[Fecha],"&lt;="&amp;TableWeeklySummary[[#This Row],[Hasta]])</f>
        <v>0</v>
      </c>
      <c r="V406" s="11">
        <f>SUMIFS(TableDailySummary[Inversión meta ads],TableDailySummary[Fecha],"&gt;="&amp;TableWeeklySummary[[#This Row],[Desde]],TableDailySummary[Fecha],"&lt;="&amp;TableWeeklySummary[[#This Row],[Hasta]])</f>
        <v>0</v>
      </c>
      <c r="W406" s="11">
        <f>SUMIFS(TableDailySummary[Ventas meta ads],TableDailySummary[Fecha],"&gt;="&amp;TableWeeklySummary[[#This Row],[Desde]],TableDailySummary[Fecha],"&lt;="&amp;TableWeeklySummary[[#This Row],[Hasta]])</f>
        <v>0</v>
      </c>
      <c r="X406" s="11">
        <f>TableWeeklySummary[[#This Row],[Inversión google ads]]+TableWeeklySummary[[#This Row],[Inversión meta ads]]</f>
        <v>0</v>
      </c>
      <c r="Y406" s="11">
        <f>TableWeeklySummary[[#This Row],[Ventas google ads]]+TableWeeklySummary[[#This Row],[Ventas meta ads]]</f>
        <v>0</v>
      </c>
      <c r="Z406" s="14">
        <f>IFERROR(TableWeeklySummary[[#This Row],[Ventas publicidad]]/TableWeeklySummary[[#This Row],[Inversión publicidad]],0)</f>
        <v>0</v>
      </c>
      <c r="AA406" s="14">
        <f>IFERROR(TableWeeklySummary[[#This Row],[Ventas primer cliente]]/TableWeeklySummary[[#This Row],[Inversión publicidad]],0)</f>
        <v>0</v>
      </c>
      <c r="AB406" s="14"/>
      <c r="AC406" s="11"/>
      <c r="AI40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6" s="11">
        <f>SUMIFS(TableDailySummary[Costo de ventas registrado],TableDailySummary[Fecha],"&gt;="&amp;TableWeeklySummary[[#This Row],[Desde]],TableDailySummary[Fecha],"&lt;="&amp;TableWeeklySummary[[#This Row],[Hasta]])</f>
        <v>0</v>
      </c>
      <c r="AK406" s="11">
        <f>SUMIFS(TableDailySummary[Utilidad bruta],TableDailySummary[Fecha],"&gt;="&amp;TableWeeklySummary[[#This Row],[Desde]],TableDailySummary[Fecha],"&lt;="&amp;TableWeeklySummary[[#This Row],[Hasta]])</f>
        <v>0</v>
      </c>
      <c r="AL406" s="18">
        <f>IFERROR(TableWeeklySummary[[#This Row],[Utilidad bruta]]/TableWeeklySummary[[#This Row],[Ventas netas con costo registrado]],0)</f>
        <v>0</v>
      </c>
    </row>
    <row r="407" spans="2:38" x14ac:dyDescent="0.2">
      <c r="B407" s="16">
        <f>_xlfn.ISOWEEKNUM(TableWeeklySummary[[#This Row],[Hasta]])</f>
        <v>31</v>
      </c>
      <c r="C407" s="6">
        <f t="shared" si="8"/>
        <v>47326</v>
      </c>
      <c r="D407" s="6">
        <f>TableWeeklySummary[[#This Row],[Desde]]+7-1</f>
        <v>47332</v>
      </c>
      <c r="E407" s="11">
        <f>SUMIFS(TableDailySummary[Ventas netas totales],TableDailySummary[Fecha],"&gt;="&amp;TableWeeklySummary[[#This Row],[Desde]],TableDailySummary[Fecha],"&lt;="&amp;TableWeeklySummary[[#This Row],[Hasta]])</f>
        <v>0</v>
      </c>
      <c r="F407" s="11">
        <f>SUMIFS(TableDailySummary[Órdenes totales],TableDailySummary[Fecha],"&gt;="&amp;TableWeeklySummary[[#This Row],[Desde]],TableDailySummary[Fecha],"&lt;="&amp;TableWeeklySummary[[#This Row],[Hasta]])</f>
        <v>0</v>
      </c>
      <c r="G407" s="11">
        <f>IFERROR(TableWeeklySummary[[#This Row],[Ventas netas totales]]/TableWeeklySummary[[#This Row],[Órdenes totales]],0)</f>
        <v>0</v>
      </c>
      <c r="H40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7" s="11">
        <f>TableWeeklySummary[[#This Row],[Órden promedio totales]]*TableWeeklySummary[[#This Row],[CR totales]]</f>
        <v>0</v>
      </c>
      <c r="J407" s="11">
        <f>SUMIFS(TableDailySummary[Ventas primer cliente],TableDailySummary[Fecha],"&gt;="&amp;TableWeeklySummary[[#This Row],[Desde]],TableDailySummary[Fecha],"&lt;="&amp;TableWeeklySummary[[#This Row],[Hasta]])</f>
        <v>0</v>
      </c>
      <c r="K407" s="11">
        <f>SUMIFS(TableDailySummary[Órdenes primer cliente],TableDailySummary[Fecha],"&gt;="&amp;TableWeeklySummary[[#This Row],[Desde]],TableDailySummary[Fecha],"&lt;="&amp;TableWeeklySummary[[#This Row],[Hasta]])</f>
        <v>0</v>
      </c>
      <c r="L407" s="11">
        <f>SUMIFS(TableDailySummary[Online Store_net_sales],TableDailySummary[Fecha],"&gt;="&amp;TableWeeklySummary[[#This Row],[Desde]],TableDailySummary[Fecha],"&lt;="&amp;TableWeeklySummary[[#This Row],[Hasta]])</f>
        <v>0</v>
      </c>
      <c r="M407" s="11">
        <f>SUMIFS(TableDailySummary[Online Store_orders],TableDailySummary[Fecha],"&gt;="&amp;TableWeeklySummary[[#This Row],[Desde]],TableDailySummary[Fecha],"&lt;="&amp;TableWeeklySummary[[#This Row],[Hasta]])</f>
        <v>0</v>
      </c>
      <c r="N407" s="11">
        <f>SUMIFS(TableDailySummary[Tienda 81_net_sales],TableDailySummary[Fecha],"&gt;="&amp;TableWeeklySummary[[#This Row],[Desde]],TableDailySummary[Fecha],"&lt;="&amp;TableWeeklySummary[[#This Row],[Hasta]])</f>
        <v>0</v>
      </c>
      <c r="O407" s="11">
        <f>SUMIFS(TableDailySummary[Tienda 81_orders],TableDailySummary[Fecha],"&gt;="&amp;TableWeeklySummary[[#This Row],[Desde]],TableDailySummary[Fecha],"&lt;="&amp;TableWeeklySummary[[#This Row],[Hasta]])</f>
        <v>0</v>
      </c>
      <c r="P407" s="11">
        <f>SUMIFS(TableDailySummary[Rappi_net_sales],TableDailySummary[Fecha],"&gt;="&amp;TableWeeklySummary[[#This Row],[Desde]],TableDailySummary[Fecha],"&lt;="&amp;TableWeeklySummary[[#This Row],[Hasta]])</f>
        <v>0</v>
      </c>
      <c r="Q407" s="11">
        <f>SUMIFS(TableDailySummary[Rappi_orders],TableDailySummary[Fecha],"&gt;="&amp;TableWeeklySummary[[#This Row],[Desde]],TableDailySummary[Fecha],"&lt;="&amp;TableWeeklySummary[[#This Row],[Hasta]])</f>
        <v>0</v>
      </c>
      <c r="R40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7" s="11">
        <f>SUMIFS(TableDailySummary[Corporativo no tienda_orders],TableDailySummary[Fecha],"&gt;="&amp;TableWeeklySummary[[#This Row],[Desde]],TableDailySummary[Fecha],"&lt;="&amp;TableWeeklySummary[[#This Row],[Hasta]])</f>
        <v>0</v>
      </c>
      <c r="T407" s="11">
        <f>SUMIFS(TableDailySummary[Inversión google ads],TableDailySummary[Fecha],"&gt;="&amp;TableWeeklySummary[[#This Row],[Desde]],TableDailySummary[Fecha],"&lt;="&amp;TableWeeklySummary[[#This Row],[Hasta]])</f>
        <v>0</v>
      </c>
      <c r="U407" s="11">
        <f>SUMIFS(TableDailySummary[Ventas google ads],TableDailySummary[Fecha],"&gt;="&amp;TableWeeklySummary[[#This Row],[Desde]],TableDailySummary[Fecha],"&lt;="&amp;TableWeeklySummary[[#This Row],[Hasta]])</f>
        <v>0</v>
      </c>
      <c r="V407" s="11">
        <f>SUMIFS(TableDailySummary[Inversión meta ads],TableDailySummary[Fecha],"&gt;="&amp;TableWeeklySummary[[#This Row],[Desde]],TableDailySummary[Fecha],"&lt;="&amp;TableWeeklySummary[[#This Row],[Hasta]])</f>
        <v>0</v>
      </c>
      <c r="W407" s="11">
        <f>SUMIFS(TableDailySummary[Ventas meta ads],TableDailySummary[Fecha],"&gt;="&amp;TableWeeklySummary[[#This Row],[Desde]],TableDailySummary[Fecha],"&lt;="&amp;TableWeeklySummary[[#This Row],[Hasta]])</f>
        <v>0</v>
      </c>
      <c r="X407" s="11">
        <f>TableWeeklySummary[[#This Row],[Inversión google ads]]+TableWeeklySummary[[#This Row],[Inversión meta ads]]</f>
        <v>0</v>
      </c>
      <c r="Y407" s="11">
        <f>TableWeeklySummary[[#This Row],[Ventas google ads]]+TableWeeklySummary[[#This Row],[Ventas meta ads]]</f>
        <v>0</v>
      </c>
      <c r="Z407" s="14">
        <f>IFERROR(TableWeeklySummary[[#This Row],[Ventas publicidad]]/TableWeeklySummary[[#This Row],[Inversión publicidad]],0)</f>
        <v>0</v>
      </c>
      <c r="AA407" s="14">
        <f>IFERROR(TableWeeklySummary[[#This Row],[Ventas primer cliente]]/TableWeeklySummary[[#This Row],[Inversión publicidad]],0)</f>
        <v>0</v>
      </c>
      <c r="AB407" s="14"/>
      <c r="AC407" s="11"/>
      <c r="AI40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7" s="11">
        <f>SUMIFS(TableDailySummary[Costo de ventas registrado],TableDailySummary[Fecha],"&gt;="&amp;TableWeeklySummary[[#This Row],[Desde]],TableDailySummary[Fecha],"&lt;="&amp;TableWeeklySummary[[#This Row],[Hasta]])</f>
        <v>0</v>
      </c>
      <c r="AK407" s="11">
        <f>SUMIFS(TableDailySummary[Utilidad bruta],TableDailySummary[Fecha],"&gt;="&amp;TableWeeklySummary[[#This Row],[Desde]],TableDailySummary[Fecha],"&lt;="&amp;TableWeeklySummary[[#This Row],[Hasta]])</f>
        <v>0</v>
      </c>
      <c r="AL407" s="18">
        <f>IFERROR(TableWeeklySummary[[#This Row],[Utilidad bruta]]/TableWeeklySummary[[#This Row],[Ventas netas con costo registrado]],0)</f>
        <v>0</v>
      </c>
    </row>
    <row r="408" spans="2:38" x14ac:dyDescent="0.2">
      <c r="B408" s="16">
        <f>_xlfn.ISOWEEKNUM(TableWeeklySummary[[#This Row],[Hasta]])</f>
        <v>32</v>
      </c>
      <c r="C408" s="6">
        <f t="shared" si="8"/>
        <v>47333</v>
      </c>
      <c r="D408" s="6">
        <f>TableWeeklySummary[[#This Row],[Desde]]+7-1</f>
        <v>47339</v>
      </c>
      <c r="E408" s="11">
        <f>SUMIFS(TableDailySummary[Ventas netas totales],TableDailySummary[Fecha],"&gt;="&amp;TableWeeklySummary[[#This Row],[Desde]],TableDailySummary[Fecha],"&lt;="&amp;TableWeeklySummary[[#This Row],[Hasta]])</f>
        <v>0</v>
      </c>
      <c r="F408" s="11">
        <f>SUMIFS(TableDailySummary[Órdenes totales],TableDailySummary[Fecha],"&gt;="&amp;TableWeeklySummary[[#This Row],[Desde]],TableDailySummary[Fecha],"&lt;="&amp;TableWeeklySummary[[#This Row],[Hasta]])</f>
        <v>0</v>
      </c>
      <c r="G408" s="11">
        <f>IFERROR(TableWeeklySummary[[#This Row],[Ventas netas totales]]/TableWeeklySummary[[#This Row],[Órdenes totales]],0)</f>
        <v>0</v>
      </c>
      <c r="H40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8" s="11">
        <f>TableWeeklySummary[[#This Row],[Órden promedio totales]]*TableWeeklySummary[[#This Row],[CR totales]]</f>
        <v>0</v>
      </c>
      <c r="J408" s="11">
        <f>SUMIFS(TableDailySummary[Ventas primer cliente],TableDailySummary[Fecha],"&gt;="&amp;TableWeeklySummary[[#This Row],[Desde]],TableDailySummary[Fecha],"&lt;="&amp;TableWeeklySummary[[#This Row],[Hasta]])</f>
        <v>0</v>
      </c>
      <c r="K408" s="11">
        <f>SUMIFS(TableDailySummary[Órdenes primer cliente],TableDailySummary[Fecha],"&gt;="&amp;TableWeeklySummary[[#This Row],[Desde]],TableDailySummary[Fecha],"&lt;="&amp;TableWeeklySummary[[#This Row],[Hasta]])</f>
        <v>0</v>
      </c>
      <c r="L408" s="11">
        <f>SUMIFS(TableDailySummary[Online Store_net_sales],TableDailySummary[Fecha],"&gt;="&amp;TableWeeklySummary[[#This Row],[Desde]],TableDailySummary[Fecha],"&lt;="&amp;TableWeeklySummary[[#This Row],[Hasta]])</f>
        <v>0</v>
      </c>
      <c r="M408" s="11">
        <f>SUMIFS(TableDailySummary[Online Store_orders],TableDailySummary[Fecha],"&gt;="&amp;TableWeeklySummary[[#This Row],[Desde]],TableDailySummary[Fecha],"&lt;="&amp;TableWeeklySummary[[#This Row],[Hasta]])</f>
        <v>0</v>
      </c>
      <c r="N408" s="11">
        <f>SUMIFS(TableDailySummary[Tienda 81_net_sales],TableDailySummary[Fecha],"&gt;="&amp;TableWeeklySummary[[#This Row],[Desde]],TableDailySummary[Fecha],"&lt;="&amp;TableWeeklySummary[[#This Row],[Hasta]])</f>
        <v>0</v>
      </c>
      <c r="O408" s="11">
        <f>SUMIFS(TableDailySummary[Tienda 81_orders],TableDailySummary[Fecha],"&gt;="&amp;TableWeeklySummary[[#This Row],[Desde]],TableDailySummary[Fecha],"&lt;="&amp;TableWeeklySummary[[#This Row],[Hasta]])</f>
        <v>0</v>
      </c>
      <c r="P408" s="11">
        <f>SUMIFS(TableDailySummary[Rappi_net_sales],TableDailySummary[Fecha],"&gt;="&amp;TableWeeklySummary[[#This Row],[Desde]],TableDailySummary[Fecha],"&lt;="&amp;TableWeeklySummary[[#This Row],[Hasta]])</f>
        <v>0</v>
      </c>
      <c r="Q408" s="11">
        <f>SUMIFS(TableDailySummary[Rappi_orders],TableDailySummary[Fecha],"&gt;="&amp;TableWeeklySummary[[#This Row],[Desde]],TableDailySummary[Fecha],"&lt;="&amp;TableWeeklySummary[[#This Row],[Hasta]])</f>
        <v>0</v>
      </c>
      <c r="R40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8" s="11">
        <f>SUMIFS(TableDailySummary[Corporativo no tienda_orders],TableDailySummary[Fecha],"&gt;="&amp;TableWeeklySummary[[#This Row],[Desde]],TableDailySummary[Fecha],"&lt;="&amp;TableWeeklySummary[[#This Row],[Hasta]])</f>
        <v>0</v>
      </c>
      <c r="T408" s="11">
        <f>SUMIFS(TableDailySummary[Inversión google ads],TableDailySummary[Fecha],"&gt;="&amp;TableWeeklySummary[[#This Row],[Desde]],TableDailySummary[Fecha],"&lt;="&amp;TableWeeklySummary[[#This Row],[Hasta]])</f>
        <v>0</v>
      </c>
      <c r="U408" s="11">
        <f>SUMIFS(TableDailySummary[Ventas google ads],TableDailySummary[Fecha],"&gt;="&amp;TableWeeklySummary[[#This Row],[Desde]],TableDailySummary[Fecha],"&lt;="&amp;TableWeeklySummary[[#This Row],[Hasta]])</f>
        <v>0</v>
      </c>
      <c r="V408" s="11">
        <f>SUMIFS(TableDailySummary[Inversión meta ads],TableDailySummary[Fecha],"&gt;="&amp;TableWeeklySummary[[#This Row],[Desde]],TableDailySummary[Fecha],"&lt;="&amp;TableWeeklySummary[[#This Row],[Hasta]])</f>
        <v>0</v>
      </c>
      <c r="W408" s="11">
        <f>SUMIFS(TableDailySummary[Ventas meta ads],TableDailySummary[Fecha],"&gt;="&amp;TableWeeklySummary[[#This Row],[Desde]],TableDailySummary[Fecha],"&lt;="&amp;TableWeeklySummary[[#This Row],[Hasta]])</f>
        <v>0</v>
      </c>
      <c r="X408" s="11">
        <f>TableWeeklySummary[[#This Row],[Inversión google ads]]+TableWeeklySummary[[#This Row],[Inversión meta ads]]</f>
        <v>0</v>
      </c>
      <c r="Y408" s="11">
        <f>TableWeeklySummary[[#This Row],[Ventas google ads]]+TableWeeklySummary[[#This Row],[Ventas meta ads]]</f>
        <v>0</v>
      </c>
      <c r="Z408" s="14">
        <f>IFERROR(TableWeeklySummary[[#This Row],[Ventas publicidad]]/TableWeeklySummary[[#This Row],[Inversión publicidad]],0)</f>
        <v>0</v>
      </c>
      <c r="AA408" s="14">
        <f>IFERROR(TableWeeklySummary[[#This Row],[Ventas primer cliente]]/TableWeeklySummary[[#This Row],[Inversión publicidad]],0)</f>
        <v>0</v>
      </c>
      <c r="AB408" s="14"/>
      <c r="AC408" s="11"/>
      <c r="AI40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8" s="11">
        <f>SUMIFS(TableDailySummary[Costo de ventas registrado],TableDailySummary[Fecha],"&gt;="&amp;TableWeeklySummary[[#This Row],[Desde]],TableDailySummary[Fecha],"&lt;="&amp;TableWeeklySummary[[#This Row],[Hasta]])</f>
        <v>0</v>
      </c>
      <c r="AK408" s="11">
        <f>SUMIFS(TableDailySummary[Utilidad bruta],TableDailySummary[Fecha],"&gt;="&amp;TableWeeklySummary[[#This Row],[Desde]],TableDailySummary[Fecha],"&lt;="&amp;TableWeeklySummary[[#This Row],[Hasta]])</f>
        <v>0</v>
      </c>
      <c r="AL408" s="18">
        <f>IFERROR(TableWeeklySummary[[#This Row],[Utilidad bruta]]/TableWeeklySummary[[#This Row],[Ventas netas con costo registrado]],0)</f>
        <v>0</v>
      </c>
    </row>
    <row r="409" spans="2:38" x14ac:dyDescent="0.2">
      <c r="B409" s="16">
        <f>_xlfn.ISOWEEKNUM(TableWeeklySummary[[#This Row],[Hasta]])</f>
        <v>33</v>
      </c>
      <c r="C409" s="6">
        <f t="shared" si="8"/>
        <v>47340</v>
      </c>
      <c r="D409" s="6">
        <f>TableWeeklySummary[[#This Row],[Desde]]+7-1</f>
        <v>47346</v>
      </c>
      <c r="E409" s="11">
        <f>SUMIFS(TableDailySummary[Ventas netas totales],TableDailySummary[Fecha],"&gt;="&amp;TableWeeklySummary[[#This Row],[Desde]],TableDailySummary[Fecha],"&lt;="&amp;TableWeeklySummary[[#This Row],[Hasta]])</f>
        <v>0</v>
      </c>
      <c r="F409" s="11">
        <f>SUMIFS(TableDailySummary[Órdenes totales],TableDailySummary[Fecha],"&gt;="&amp;TableWeeklySummary[[#This Row],[Desde]],TableDailySummary[Fecha],"&lt;="&amp;TableWeeklySummary[[#This Row],[Hasta]])</f>
        <v>0</v>
      </c>
      <c r="G409" s="11">
        <f>IFERROR(TableWeeklySummary[[#This Row],[Ventas netas totales]]/TableWeeklySummary[[#This Row],[Órdenes totales]],0)</f>
        <v>0</v>
      </c>
      <c r="H40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09" s="11">
        <f>TableWeeklySummary[[#This Row],[Órden promedio totales]]*TableWeeklySummary[[#This Row],[CR totales]]</f>
        <v>0</v>
      </c>
      <c r="J409" s="11">
        <f>SUMIFS(TableDailySummary[Ventas primer cliente],TableDailySummary[Fecha],"&gt;="&amp;TableWeeklySummary[[#This Row],[Desde]],TableDailySummary[Fecha],"&lt;="&amp;TableWeeklySummary[[#This Row],[Hasta]])</f>
        <v>0</v>
      </c>
      <c r="K409" s="11">
        <f>SUMIFS(TableDailySummary[Órdenes primer cliente],TableDailySummary[Fecha],"&gt;="&amp;TableWeeklySummary[[#This Row],[Desde]],TableDailySummary[Fecha],"&lt;="&amp;TableWeeklySummary[[#This Row],[Hasta]])</f>
        <v>0</v>
      </c>
      <c r="L409" s="11">
        <f>SUMIFS(TableDailySummary[Online Store_net_sales],TableDailySummary[Fecha],"&gt;="&amp;TableWeeklySummary[[#This Row],[Desde]],TableDailySummary[Fecha],"&lt;="&amp;TableWeeklySummary[[#This Row],[Hasta]])</f>
        <v>0</v>
      </c>
      <c r="M409" s="11">
        <f>SUMIFS(TableDailySummary[Online Store_orders],TableDailySummary[Fecha],"&gt;="&amp;TableWeeklySummary[[#This Row],[Desde]],TableDailySummary[Fecha],"&lt;="&amp;TableWeeklySummary[[#This Row],[Hasta]])</f>
        <v>0</v>
      </c>
      <c r="N409" s="11">
        <f>SUMIFS(TableDailySummary[Tienda 81_net_sales],TableDailySummary[Fecha],"&gt;="&amp;TableWeeklySummary[[#This Row],[Desde]],TableDailySummary[Fecha],"&lt;="&amp;TableWeeklySummary[[#This Row],[Hasta]])</f>
        <v>0</v>
      </c>
      <c r="O409" s="11">
        <f>SUMIFS(TableDailySummary[Tienda 81_orders],TableDailySummary[Fecha],"&gt;="&amp;TableWeeklySummary[[#This Row],[Desde]],TableDailySummary[Fecha],"&lt;="&amp;TableWeeklySummary[[#This Row],[Hasta]])</f>
        <v>0</v>
      </c>
      <c r="P409" s="11">
        <f>SUMIFS(TableDailySummary[Rappi_net_sales],TableDailySummary[Fecha],"&gt;="&amp;TableWeeklySummary[[#This Row],[Desde]],TableDailySummary[Fecha],"&lt;="&amp;TableWeeklySummary[[#This Row],[Hasta]])</f>
        <v>0</v>
      </c>
      <c r="Q409" s="11">
        <f>SUMIFS(TableDailySummary[Rappi_orders],TableDailySummary[Fecha],"&gt;="&amp;TableWeeklySummary[[#This Row],[Desde]],TableDailySummary[Fecha],"&lt;="&amp;TableWeeklySummary[[#This Row],[Hasta]])</f>
        <v>0</v>
      </c>
      <c r="R40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09" s="11">
        <f>SUMIFS(TableDailySummary[Corporativo no tienda_orders],TableDailySummary[Fecha],"&gt;="&amp;TableWeeklySummary[[#This Row],[Desde]],TableDailySummary[Fecha],"&lt;="&amp;TableWeeklySummary[[#This Row],[Hasta]])</f>
        <v>0</v>
      </c>
      <c r="T409" s="11">
        <f>SUMIFS(TableDailySummary[Inversión google ads],TableDailySummary[Fecha],"&gt;="&amp;TableWeeklySummary[[#This Row],[Desde]],TableDailySummary[Fecha],"&lt;="&amp;TableWeeklySummary[[#This Row],[Hasta]])</f>
        <v>0</v>
      </c>
      <c r="U409" s="11">
        <f>SUMIFS(TableDailySummary[Ventas google ads],TableDailySummary[Fecha],"&gt;="&amp;TableWeeklySummary[[#This Row],[Desde]],TableDailySummary[Fecha],"&lt;="&amp;TableWeeklySummary[[#This Row],[Hasta]])</f>
        <v>0</v>
      </c>
      <c r="V409" s="11">
        <f>SUMIFS(TableDailySummary[Inversión meta ads],TableDailySummary[Fecha],"&gt;="&amp;TableWeeklySummary[[#This Row],[Desde]],TableDailySummary[Fecha],"&lt;="&amp;TableWeeklySummary[[#This Row],[Hasta]])</f>
        <v>0</v>
      </c>
      <c r="W409" s="11">
        <f>SUMIFS(TableDailySummary[Ventas meta ads],TableDailySummary[Fecha],"&gt;="&amp;TableWeeklySummary[[#This Row],[Desde]],TableDailySummary[Fecha],"&lt;="&amp;TableWeeklySummary[[#This Row],[Hasta]])</f>
        <v>0</v>
      </c>
      <c r="X409" s="11">
        <f>TableWeeklySummary[[#This Row],[Inversión google ads]]+TableWeeklySummary[[#This Row],[Inversión meta ads]]</f>
        <v>0</v>
      </c>
      <c r="Y409" s="11">
        <f>TableWeeklySummary[[#This Row],[Ventas google ads]]+TableWeeklySummary[[#This Row],[Ventas meta ads]]</f>
        <v>0</v>
      </c>
      <c r="Z409" s="14">
        <f>IFERROR(TableWeeklySummary[[#This Row],[Ventas publicidad]]/TableWeeklySummary[[#This Row],[Inversión publicidad]],0)</f>
        <v>0</v>
      </c>
      <c r="AA409" s="14">
        <f>IFERROR(TableWeeklySummary[[#This Row],[Ventas primer cliente]]/TableWeeklySummary[[#This Row],[Inversión publicidad]],0)</f>
        <v>0</v>
      </c>
      <c r="AB409" s="14"/>
      <c r="AC409" s="11"/>
      <c r="AI40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09" s="11">
        <f>SUMIFS(TableDailySummary[Costo de ventas registrado],TableDailySummary[Fecha],"&gt;="&amp;TableWeeklySummary[[#This Row],[Desde]],TableDailySummary[Fecha],"&lt;="&amp;TableWeeklySummary[[#This Row],[Hasta]])</f>
        <v>0</v>
      </c>
      <c r="AK409" s="11">
        <f>SUMIFS(TableDailySummary[Utilidad bruta],TableDailySummary[Fecha],"&gt;="&amp;TableWeeklySummary[[#This Row],[Desde]],TableDailySummary[Fecha],"&lt;="&amp;TableWeeklySummary[[#This Row],[Hasta]])</f>
        <v>0</v>
      </c>
      <c r="AL409" s="18">
        <f>IFERROR(TableWeeklySummary[[#This Row],[Utilidad bruta]]/TableWeeklySummary[[#This Row],[Ventas netas con costo registrado]],0)</f>
        <v>0</v>
      </c>
    </row>
    <row r="410" spans="2:38" x14ac:dyDescent="0.2">
      <c r="B410" s="16">
        <f>_xlfn.ISOWEEKNUM(TableWeeklySummary[[#This Row],[Hasta]])</f>
        <v>34</v>
      </c>
      <c r="C410" s="6">
        <f t="shared" si="8"/>
        <v>47347</v>
      </c>
      <c r="D410" s="6">
        <f>TableWeeklySummary[[#This Row],[Desde]]+7-1</f>
        <v>47353</v>
      </c>
      <c r="E410" s="11">
        <f>SUMIFS(TableDailySummary[Ventas netas totales],TableDailySummary[Fecha],"&gt;="&amp;TableWeeklySummary[[#This Row],[Desde]],TableDailySummary[Fecha],"&lt;="&amp;TableWeeklySummary[[#This Row],[Hasta]])</f>
        <v>0</v>
      </c>
      <c r="F410" s="11">
        <f>SUMIFS(TableDailySummary[Órdenes totales],TableDailySummary[Fecha],"&gt;="&amp;TableWeeklySummary[[#This Row],[Desde]],TableDailySummary[Fecha],"&lt;="&amp;TableWeeklySummary[[#This Row],[Hasta]])</f>
        <v>0</v>
      </c>
      <c r="G410" s="11">
        <f>IFERROR(TableWeeklySummary[[#This Row],[Ventas netas totales]]/TableWeeklySummary[[#This Row],[Órdenes totales]],0)</f>
        <v>0</v>
      </c>
      <c r="H41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0" s="11">
        <f>TableWeeklySummary[[#This Row],[Órden promedio totales]]*TableWeeklySummary[[#This Row],[CR totales]]</f>
        <v>0</v>
      </c>
      <c r="J410" s="11">
        <f>SUMIFS(TableDailySummary[Ventas primer cliente],TableDailySummary[Fecha],"&gt;="&amp;TableWeeklySummary[[#This Row],[Desde]],TableDailySummary[Fecha],"&lt;="&amp;TableWeeklySummary[[#This Row],[Hasta]])</f>
        <v>0</v>
      </c>
      <c r="K410" s="11">
        <f>SUMIFS(TableDailySummary[Órdenes primer cliente],TableDailySummary[Fecha],"&gt;="&amp;TableWeeklySummary[[#This Row],[Desde]],TableDailySummary[Fecha],"&lt;="&amp;TableWeeklySummary[[#This Row],[Hasta]])</f>
        <v>0</v>
      </c>
      <c r="L410" s="11">
        <f>SUMIFS(TableDailySummary[Online Store_net_sales],TableDailySummary[Fecha],"&gt;="&amp;TableWeeklySummary[[#This Row],[Desde]],TableDailySummary[Fecha],"&lt;="&amp;TableWeeklySummary[[#This Row],[Hasta]])</f>
        <v>0</v>
      </c>
      <c r="M410" s="11">
        <f>SUMIFS(TableDailySummary[Online Store_orders],TableDailySummary[Fecha],"&gt;="&amp;TableWeeklySummary[[#This Row],[Desde]],TableDailySummary[Fecha],"&lt;="&amp;TableWeeklySummary[[#This Row],[Hasta]])</f>
        <v>0</v>
      </c>
      <c r="N410" s="11">
        <f>SUMIFS(TableDailySummary[Tienda 81_net_sales],TableDailySummary[Fecha],"&gt;="&amp;TableWeeklySummary[[#This Row],[Desde]],TableDailySummary[Fecha],"&lt;="&amp;TableWeeklySummary[[#This Row],[Hasta]])</f>
        <v>0</v>
      </c>
      <c r="O410" s="11">
        <f>SUMIFS(TableDailySummary[Tienda 81_orders],TableDailySummary[Fecha],"&gt;="&amp;TableWeeklySummary[[#This Row],[Desde]],TableDailySummary[Fecha],"&lt;="&amp;TableWeeklySummary[[#This Row],[Hasta]])</f>
        <v>0</v>
      </c>
      <c r="P410" s="11">
        <f>SUMIFS(TableDailySummary[Rappi_net_sales],TableDailySummary[Fecha],"&gt;="&amp;TableWeeklySummary[[#This Row],[Desde]],TableDailySummary[Fecha],"&lt;="&amp;TableWeeklySummary[[#This Row],[Hasta]])</f>
        <v>0</v>
      </c>
      <c r="Q410" s="11">
        <f>SUMIFS(TableDailySummary[Rappi_orders],TableDailySummary[Fecha],"&gt;="&amp;TableWeeklySummary[[#This Row],[Desde]],TableDailySummary[Fecha],"&lt;="&amp;TableWeeklySummary[[#This Row],[Hasta]])</f>
        <v>0</v>
      </c>
      <c r="R41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0" s="11">
        <f>SUMIFS(TableDailySummary[Corporativo no tienda_orders],TableDailySummary[Fecha],"&gt;="&amp;TableWeeklySummary[[#This Row],[Desde]],TableDailySummary[Fecha],"&lt;="&amp;TableWeeklySummary[[#This Row],[Hasta]])</f>
        <v>0</v>
      </c>
      <c r="T410" s="11">
        <f>SUMIFS(TableDailySummary[Inversión google ads],TableDailySummary[Fecha],"&gt;="&amp;TableWeeklySummary[[#This Row],[Desde]],TableDailySummary[Fecha],"&lt;="&amp;TableWeeklySummary[[#This Row],[Hasta]])</f>
        <v>0</v>
      </c>
      <c r="U410" s="11">
        <f>SUMIFS(TableDailySummary[Ventas google ads],TableDailySummary[Fecha],"&gt;="&amp;TableWeeklySummary[[#This Row],[Desde]],TableDailySummary[Fecha],"&lt;="&amp;TableWeeklySummary[[#This Row],[Hasta]])</f>
        <v>0</v>
      </c>
      <c r="V410" s="11">
        <f>SUMIFS(TableDailySummary[Inversión meta ads],TableDailySummary[Fecha],"&gt;="&amp;TableWeeklySummary[[#This Row],[Desde]],TableDailySummary[Fecha],"&lt;="&amp;TableWeeklySummary[[#This Row],[Hasta]])</f>
        <v>0</v>
      </c>
      <c r="W410" s="11">
        <f>SUMIFS(TableDailySummary[Ventas meta ads],TableDailySummary[Fecha],"&gt;="&amp;TableWeeklySummary[[#This Row],[Desde]],TableDailySummary[Fecha],"&lt;="&amp;TableWeeklySummary[[#This Row],[Hasta]])</f>
        <v>0</v>
      </c>
      <c r="X410" s="11">
        <f>TableWeeklySummary[[#This Row],[Inversión google ads]]+TableWeeklySummary[[#This Row],[Inversión meta ads]]</f>
        <v>0</v>
      </c>
      <c r="Y410" s="11">
        <f>TableWeeklySummary[[#This Row],[Ventas google ads]]+TableWeeklySummary[[#This Row],[Ventas meta ads]]</f>
        <v>0</v>
      </c>
      <c r="Z410" s="14">
        <f>IFERROR(TableWeeklySummary[[#This Row],[Ventas publicidad]]/TableWeeklySummary[[#This Row],[Inversión publicidad]],0)</f>
        <v>0</v>
      </c>
      <c r="AA410" s="14">
        <f>IFERROR(TableWeeklySummary[[#This Row],[Ventas primer cliente]]/TableWeeklySummary[[#This Row],[Inversión publicidad]],0)</f>
        <v>0</v>
      </c>
      <c r="AB410" s="14"/>
      <c r="AC410" s="11"/>
      <c r="AI41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0" s="11">
        <f>SUMIFS(TableDailySummary[Costo de ventas registrado],TableDailySummary[Fecha],"&gt;="&amp;TableWeeklySummary[[#This Row],[Desde]],TableDailySummary[Fecha],"&lt;="&amp;TableWeeklySummary[[#This Row],[Hasta]])</f>
        <v>0</v>
      </c>
      <c r="AK410" s="11">
        <f>SUMIFS(TableDailySummary[Utilidad bruta],TableDailySummary[Fecha],"&gt;="&amp;TableWeeklySummary[[#This Row],[Desde]],TableDailySummary[Fecha],"&lt;="&amp;TableWeeklySummary[[#This Row],[Hasta]])</f>
        <v>0</v>
      </c>
      <c r="AL410" s="18">
        <f>IFERROR(TableWeeklySummary[[#This Row],[Utilidad bruta]]/TableWeeklySummary[[#This Row],[Ventas netas con costo registrado]],0)</f>
        <v>0</v>
      </c>
    </row>
    <row r="411" spans="2:38" x14ac:dyDescent="0.2">
      <c r="B411" s="16">
        <f>_xlfn.ISOWEEKNUM(TableWeeklySummary[[#This Row],[Hasta]])</f>
        <v>35</v>
      </c>
      <c r="C411" s="6">
        <f t="shared" si="8"/>
        <v>47354</v>
      </c>
      <c r="D411" s="6">
        <f>TableWeeklySummary[[#This Row],[Desde]]+7-1</f>
        <v>47360</v>
      </c>
      <c r="E411" s="11">
        <f>SUMIFS(TableDailySummary[Ventas netas totales],TableDailySummary[Fecha],"&gt;="&amp;TableWeeklySummary[[#This Row],[Desde]],TableDailySummary[Fecha],"&lt;="&amp;TableWeeklySummary[[#This Row],[Hasta]])</f>
        <v>0</v>
      </c>
      <c r="F411" s="11">
        <f>SUMIFS(TableDailySummary[Órdenes totales],TableDailySummary[Fecha],"&gt;="&amp;TableWeeklySummary[[#This Row],[Desde]],TableDailySummary[Fecha],"&lt;="&amp;TableWeeklySummary[[#This Row],[Hasta]])</f>
        <v>0</v>
      </c>
      <c r="G411" s="11">
        <f>IFERROR(TableWeeklySummary[[#This Row],[Ventas netas totales]]/TableWeeklySummary[[#This Row],[Órdenes totales]],0)</f>
        <v>0</v>
      </c>
      <c r="H41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1" s="11">
        <f>TableWeeklySummary[[#This Row],[Órden promedio totales]]*TableWeeklySummary[[#This Row],[CR totales]]</f>
        <v>0</v>
      </c>
      <c r="J411" s="11">
        <f>SUMIFS(TableDailySummary[Ventas primer cliente],TableDailySummary[Fecha],"&gt;="&amp;TableWeeklySummary[[#This Row],[Desde]],TableDailySummary[Fecha],"&lt;="&amp;TableWeeklySummary[[#This Row],[Hasta]])</f>
        <v>0</v>
      </c>
      <c r="K411" s="11">
        <f>SUMIFS(TableDailySummary[Órdenes primer cliente],TableDailySummary[Fecha],"&gt;="&amp;TableWeeklySummary[[#This Row],[Desde]],TableDailySummary[Fecha],"&lt;="&amp;TableWeeklySummary[[#This Row],[Hasta]])</f>
        <v>0</v>
      </c>
      <c r="L411" s="11">
        <f>SUMIFS(TableDailySummary[Online Store_net_sales],TableDailySummary[Fecha],"&gt;="&amp;TableWeeklySummary[[#This Row],[Desde]],TableDailySummary[Fecha],"&lt;="&amp;TableWeeklySummary[[#This Row],[Hasta]])</f>
        <v>0</v>
      </c>
      <c r="M411" s="11">
        <f>SUMIFS(TableDailySummary[Online Store_orders],TableDailySummary[Fecha],"&gt;="&amp;TableWeeklySummary[[#This Row],[Desde]],TableDailySummary[Fecha],"&lt;="&amp;TableWeeklySummary[[#This Row],[Hasta]])</f>
        <v>0</v>
      </c>
      <c r="N411" s="11">
        <f>SUMIFS(TableDailySummary[Tienda 81_net_sales],TableDailySummary[Fecha],"&gt;="&amp;TableWeeklySummary[[#This Row],[Desde]],TableDailySummary[Fecha],"&lt;="&amp;TableWeeklySummary[[#This Row],[Hasta]])</f>
        <v>0</v>
      </c>
      <c r="O411" s="11">
        <f>SUMIFS(TableDailySummary[Tienda 81_orders],TableDailySummary[Fecha],"&gt;="&amp;TableWeeklySummary[[#This Row],[Desde]],TableDailySummary[Fecha],"&lt;="&amp;TableWeeklySummary[[#This Row],[Hasta]])</f>
        <v>0</v>
      </c>
      <c r="P411" s="11">
        <f>SUMIFS(TableDailySummary[Rappi_net_sales],TableDailySummary[Fecha],"&gt;="&amp;TableWeeklySummary[[#This Row],[Desde]],TableDailySummary[Fecha],"&lt;="&amp;TableWeeklySummary[[#This Row],[Hasta]])</f>
        <v>0</v>
      </c>
      <c r="Q411" s="11">
        <f>SUMIFS(TableDailySummary[Rappi_orders],TableDailySummary[Fecha],"&gt;="&amp;TableWeeklySummary[[#This Row],[Desde]],TableDailySummary[Fecha],"&lt;="&amp;TableWeeklySummary[[#This Row],[Hasta]])</f>
        <v>0</v>
      </c>
      <c r="R41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1" s="11">
        <f>SUMIFS(TableDailySummary[Corporativo no tienda_orders],TableDailySummary[Fecha],"&gt;="&amp;TableWeeklySummary[[#This Row],[Desde]],TableDailySummary[Fecha],"&lt;="&amp;TableWeeklySummary[[#This Row],[Hasta]])</f>
        <v>0</v>
      </c>
      <c r="T411" s="11">
        <f>SUMIFS(TableDailySummary[Inversión google ads],TableDailySummary[Fecha],"&gt;="&amp;TableWeeklySummary[[#This Row],[Desde]],TableDailySummary[Fecha],"&lt;="&amp;TableWeeklySummary[[#This Row],[Hasta]])</f>
        <v>0</v>
      </c>
      <c r="U411" s="11">
        <f>SUMIFS(TableDailySummary[Ventas google ads],TableDailySummary[Fecha],"&gt;="&amp;TableWeeklySummary[[#This Row],[Desde]],TableDailySummary[Fecha],"&lt;="&amp;TableWeeklySummary[[#This Row],[Hasta]])</f>
        <v>0</v>
      </c>
      <c r="V411" s="11">
        <f>SUMIFS(TableDailySummary[Inversión meta ads],TableDailySummary[Fecha],"&gt;="&amp;TableWeeklySummary[[#This Row],[Desde]],TableDailySummary[Fecha],"&lt;="&amp;TableWeeklySummary[[#This Row],[Hasta]])</f>
        <v>0</v>
      </c>
      <c r="W411" s="11">
        <f>SUMIFS(TableDailySummary[Ventas meta ads],TableDailySummary[Fecha],"&gt;="&amp;TableWeeklySummary[[#This Row],[Desde]],TableDailySummary[Fecha],"&lt;="&amp;TableWeeklySummary[[#This Row],[Hasta]])</f>
        <v>0</v>
      </c>
      <c r="X411" s="11">
        <f>TableWeeklySummary[[#This Row],[Inversión google ads]]+TableWeeklySummary[[#This Row],[Inversión meta ads]]</f>
        <v>0</v>
      </c>
      <c r="Y411" s="11">
        <f>TableWeeklySummary[[#This Row],[Ventas google ads]]+TableWeeklySummary[[#This Row],[Ventas meta ads]]</f>
        <v>0</v>
      </c>
      <c r="Z411" s="14">
        <f>IFERROR(TableWeeklySummary[[#This Row],[Ventas publicidad]]/TableWeeklySummary[[#This Row],[Inversión publicidad]],0)</f>
        <v>0</v>
      </c>
      <c r="AA411" s="14">
        <f>IFERROR(TableWeeklySummary[[#This Row],[Ventas primer cliente]]/TableWeeklySummary[[#This Row],[Inversión publicidad]],0)</f>
        <v>0</v>
      </c>
      <c r="AB411" s="14"/>
      <c r="AC411" s="11"/>
      <c r="AI41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1" s="11">
        <f>SUMIFS(TableDailySummary[Costo de ventas registrado],TableDailySummary[Fecha],"&gt;="&amp;TableWeeklySummary[[#This Row],[Desde]],TableDailySummary[Fecha],"&lt;="&amp;TableWeeklySummary[[#This Row],[Hasta]])</f>
        <v>0</v>
      </c>
      <c r="AK411" s="11">
        <f>SUMIFS(TableDailySummary[Utilidad bruta],TableDailySummary[Fecha],"&gt;="&amp;TableWeeklySummary[[#This Row],[Desde]],TableDailySummary[Fecha],"&lt;="&amp;TableWeeklySummary[[#This Row],[Hasta]])</f>
        <v>0</v>
      </c>
      <c r="AL411" s="18">
        <f>IFERROR(TableWeeklySummary[[#This Row],[Utilidad bruta]]/TableWeeklySummary[[#This Row],[Ventas netas con costo registrado]],0)</f>
        <v>0</v>
      </c>
    </row>
    <row r="412" spans="2:38" x14ac:dyDescent="0.2">
      <c r="B412" s="16">
        <f>_xlfn.ISOWEEKNUM(TableWeeklySummary[[#This Row],[Hasta]])</f>
        <v>36</v>
      </c>
      <c r="C412" s="6">
        <f t="shared" si="8"/>
        <v>47361</v>
      </c>
      <c r="D412" s="6">
        <f>TableWeeklySummary[[#This Row],[Desde]]+7-1</f>
        <v>47367</v>
      </c>
      <c r="E412" s="11">
        <f>SUMIFS(TableDailySummary[Ventas netas totales],TableDailySummary[Fecha],"&gt;="&amp;TableWeeklySummary[[#This Row],[Desde]],TableDailySummary[Fecha],"&lt;="&amp;TableWeeklySummary[[#This Row],[Hasta]])</f>
        <v>0</v>
      </c>
      <c r="F412" s="11">
        <f>SUMIFS(TableDailySummary[Órdenes totales],TableDailySummary[Fecha],"&gt;="&amp;TableWeeklySummary[[#This Row],[Desde]],TableDailySummary[Fecha],"&lt;="&amp;TableWeeklySummary[[#This Row],[Hasta]])</f>
        <v>0</v>
      </c>
      <c r="G412" s="11">
        <f>IFERROR(TableWeeklySummary[[#This Row],[Ventas netas totales]]/TableWeeklySummary[[#This Row],[Órdenes totales]],0)</f>
        <v>0</v>
      </c>
      <c r="H41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2" s="11">
        <f>TableWeeklySummary[[#This Row],[Órden promedio totales]]*TableWeeklySummary[[#This Row],[CR totales]]</f>
        <v>0</v>
      </c>
      <c r="J412" s="11">
        <f>SUMIFS(TableDailySummary[Ventas primer cliente],TableDailySummary[Fecha],"&gt;="&amp;TableWeeklySummary[[#This Row],[Desde]],TableDailySummary[Fecha],"&lt;="&amp;TableWeeklySummary[[#This Row],[Hasta]])</f>
        <v>0</v>
      </c>
      <c r="K412" s="11">
        <f>SUMIFS(TableDailySummary[Órdenes primer cliente],TableDailySummary[Fecha],"&gt;="&amp;TableWeeklySummary[[#This Row],[Desde]],TableDailySummary[Fecha],"&lt;="&amp;TableWeeklySummary[[#This Row],[Hasta]])</f>
        <v>0</v>
      </c>
      <c r="L412" s="11">
        <f>SUMIFS(TableDailySummary[Online Store_net_sales],TableDailySummary[Fecha],"&gt;="&amp;TableWeeklySummary[[#This Row],[Desde]],TableDailySummary[Fecha],"&lt;="&amp;TableWeeklySummary[[#This Row],[Hasta]])</f>
        <v>0</v>
      </c>
      <c r="M412" s="11">
        <f>SUMIFS(TableDailySummary[Online Store_orders],TableDailySummary[Fecha],"&gt;="&amp;TableWeeklySummary[[#This Row],[Desde]],TableDailySummary[Fecha],"&lt;="&amp;TableWeeklySummary[[#This Row],[Hasta]])</f>
        <v>0</v>
      </c>
      <c r="N412" s="11">
        <f>SUMIFS(TableDailySummary[Tienda 81_net_sales],TableDailySummary[Fecha],"&gt;="&amp;TableWeeklySummary[[#This Row],[Desde]],TableDailySummary[Fecha],"&lt;="&amp;TableWeeklySummary[[#This Row],[Hasta]])</f>
        <v>0</v>
      </c>
      <c r="O412" s="11">
        <f>SUMIFS(TableDailySummary[Tienda 81_orders],TableDailySummary[Fecha],"&gt;="&amp;TableWeeklySummary[[#This Row],[Desde]],TableDailySummary[Fecha],"&lt;="&amp;TableWeeklySummary[[#This Row],[Hasta]])</f>
        <v>0</v>
      </c>
      <c r="P412" s="11">
        <f>SUMIFS(TableDailySummary[Rappi_net_sales],TableDailySummary[Fecha],"&gt;="&amp;TableWeeklySummary[[#This Row],[Desde]],TableDailySummary[Fecha],"&lt;="&amp;TableWeeklySummary[[#This Row],[Hasta]])</f>
        <v>0</v>
      </c>
      <c r="Q412" s="11">
        <f>SUMIFS(TableDailySummary[Rappi_orders],TableDailySummary[Fecha],"&gt;="&amp;TableWeeklySummary[[#This Row],[Desde]],TableDailySummary[Fecha],"&lt;="&amp;TableWeeklySummary[[#This Row],[Hasta]])</f>
        <v>0</v>
      </c>
      <c r="R41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2" s="11">
        <f>SUMIFS(TableDailySummary[Corporativo no tienda_orders],TableDailySummary[Fecha],"&gt;="&amp;TableWeeklySummary[[#This Row],[Desde]],TableDailySummary[Fecha],"&lt;="&amp;TableWeeklySummary[[#This Row],[Hasta]])</f>
        <v>0</v>
      </c>
      <c r="T412" s="11">
        <f>SUMIFS(TableDailySummary[Inversión google ads],TableDailySummary[Fecha],"&gt;="&amp;TableWeeklySummary[[#This Row],[Desde]],TableDailySummary[Fecha],"&lt;="&amp;TableWeeklySummary[[#This Row],[Hasta]])</f>
        <v>0</v>
      </c>
      <c r="U412" s="11">
        <f>SUMIFS(TableDailySummary[Ventas google ads],TableDailySummary[Fecha],"&gt;="&amp;TableWeeklySummary[[#This Row],[Desde]],TableDailySummary[Fecha],"&lt;="&amp;TableWeeklySummary[[#This Row],[Hasta]])</f>
        <v>0</v>
      </c>
      <c r="V412" s="11">
        <f>SUMIFS(TableDailySummary[Inversión meta ads],TableDailySummary[Fecha],"&gt;="&amp;TableWeeklySummary[[#This Row],[Desde]],TableDailySummary[Fecha],"&lt;="&amp;TableWeeklySummary[[#This Row],[Hasta]])</f>
        <v>0</v>
      </c>
      <c r="W412" s="11">
        <f>SUMIFS(TableDailySummary[Ventas meta ads],TableDailySummary[Fecha],"&gt;="&amp;TableWeeklySummary[[#This Row],[Desde]],TableDailySummary[Fecha],"&lt;="&amp;TableWeeklySummary[[#This Row],[Hasta]])</f>
        <v>0</v>
      </c>
      <c r="X412" s="11">
        <f>TableWeeklySummary[[#This Row],[Inversión google ads]]+TableWeeklySummary[[#This Row],[Inversión meta ads]]</f>
        <v>0</v>
      </c>
      <c r="Y412" s="11">
        <f>TableWeeklySummary[[#This Row],[Ventas google ads]]+TableWeeklySummary[[#This Row],[Ventas meta ads]]</f>
        <v>0</v>
      </c>
      <c r="Z412" s="14">
        <f>IFERROR(TableWeeklySummary[[#This Row],[Ventas publicidad]]/TableWeeklySummary[[#This Row],[Inversión publicidad]],0)</f>
        <v>0</v>
      </c>
      <c r="AA412" s="14">
        <f>IFERROR(TableWeeklySummary[[#This Row],[Ventas primer cliente]]/TableWeeklySummary[[#This Row],[Inversión publicidad]],0)</f>
        <v>0</v>
      </c>
      <c r="AB412" s="14"/>
      <c r="AC412" s="11"/>
      <c r="AI41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2" s="11">
        <f>SUMIFS(TableDailySummary[Costo de ventas registrado],TableDailySummary[Fecha],"&gt;="&amp;TableWeeklySummary[[#This Row],[Desde]],TableDailySummary[Fecha],"&lt;="&amp;TableWeeklySummary[[#This Row],[Hasta]])</f>
        <v>0</v>
      </c>
      <c r="AK412" s="11">
        <f>SUMIFS(TableDailySummary[Utilidad bruta],TableDailySummary[Fecha],"&gt;="&amp;TableWeeklySummary[[#This Row],[Desde]],TableDailySummary[Fecha],"&lt;="&amp;TableWeeklySummary[[#This Row],[Hasta]])</f>
        <v>0</v>
      </c>
      <c r="AL412" s="18">
        <f>IFERROR(TableWeeklySummary[[#This Row],[Utilidad bruta]]/TableWeeklySummary[[#This Row],[Ventas netas con costo registrado]],0)</f>
        <v>0</v>
      </c>
    </row>
    <row r="413" spans="2:38" x14ac:dyDescent="0.2">
      <c r="B413" s="16">
        <f>_xlfn.ISOWEEKNUM(TableWeeklySummary[[#This Row],[Hasta]])</f>
        <v>37</v>
      </c>
      <c r="C413" s="6">
        <f t="shared" si="8"/>
        <v>47368</v>
      </c>
      <c r="D413" s="6">
        <f>TableWeeklySummary[[#This Row],[Desde]]+7-1</f>
        <v>47374</v>
      </c>
      <c r="E413" s="11">
        <f>SUMIFS(TableDailySummary[Ventas netas totales],TableDailySummary[Fecha],"&gt;="&amp;TableWeeklySummary[[#This Row],[Desde]],TableDailySummary[Fecha],"&lt;="&amp;TableWeeklySummary[[#This Row],[Hasta]])</f>
        <v>0</v>
      </c>
      <c r="F413" s="11">
        <f>SUMIFS(TableDailySummary[Órdenes totales],TableDailySummary[Fecha],"&gt;="&amp;TableWeeklySummary[[#This Row],[Desde]],TableDailySummary[Fecha],"&lt;="&amp;TableWeeklySummary[[#This Row],[Hasta]])</f>
        <v>0</v>
      </c>
      <c r="G413" s="11">
        <f>IFERROR(TableWeeklySummary[[#This Row],[Ventas netas totales]]/TableWeeklySummary[[#This Row],[Órdenes totales]],0)</f>
        <v>0</v>
      </c>
      <c r="H41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3" s="11">
        <f>TableWeeklySummary[[#This Row],[Órden promedio totales]]*TableWeeklySummary[[#This Row],[CR totales]]</f>
        <v>0</v>
      </c>
      <c r="J413" s="11">
        <f>SUMIFS(TableDailySummary[Ventas primer cliente],TableDailySummary[Fecha],"&gt;="&amp;TableWeeklySummary[[#This Row],[Desde]],TableDailySummary[Fecha],"&lt;="&amp;TableWeeklySummary[[#This Row],[Hasta]])</f>
        <v>0</v>
      </c>
      <c r="K413" s="11">
        <f>SUMIFS(TableDailySummary[Órdenes primer cliente],TableDailySummary[Fecha],"&gt;="&amp;TableWeeklySummary[[#This Row],[Desde]],TableDailySummary[Fecha],"&lt;="&amp;TableWeeklySummary[[#This Row],[Hasta]])</f>
        <v>0</v>
      </c>
      <c r="L413" s="11">
        <f>SUMIFS(TableDailySummary[Online Store_net_sales],TableDailySummary[Fecha],"&gt;="&amp;TableWeeklySummary[[#This Row],[Desde]],TableDailySummary[Fecha],"&lt;="&amp;TableWeeklySummary[[#This Row],[Hasta]])</f>
        <v>0</v>
      </c>
      <c r="M413" s="11">
        <f>SUMIFS(TableDailySummary[Online Store_orders],TableDailySummary[Fecha],"&gt;="&amp;TableWeeklySummary[[#This Row],[Desde]],TableDailySummary[Fecha],"&lt;="&amp;TableWeeklySummary[[#This Row],[Hasta]])</f>
        <v>0</v>
      </c>
      <c r="N413" s="11">
        <f>SUMIFS(TableDailySummary[Tienda 81_net_sales],TableDailySummary[Fecha],"&gt;="&amp;TableWeeklySummary[[#This Row],[Desde]],TableDailySummary[Fecha],"&lt;="&amp;TableWeeklySummary[[#This Row],[Hasta]])</f>
        <v>0</v>
      </c>
      <c r="O413" s="11">
        <f>SUMIFS(TableDailySummary[Tienda 81_orders],TableDailySummary[Fecha],"&gt;="&amp;TableWeeklySummary[[#This Row],[Desde]],TableDailySummary[Fecha],"&lt;="&amp;TableWeeklySummary[[#This Row],[Hasta]])</f>
        <v>0</v>
      </c>
      <c r="P413" s="11">
        <f>SUMIFS(TableDailySummary[Rappi_net_sales],TableDailySummary[Fecha],"&gt;="&amp;TableWeeklySummary[[#This Row],[Desde]],TableDailySummary[Fecha],"&lt;="&amp;TableWeeklySummary[[#This Row],[Hasta]])</f>
        <v>0</v>
      </c>
      <c r="Q413" s="11">
        <f>SUMIFS(TableDailySummary[Rappi_orders],TableDailySummary[Fecha],"&gt;="&amp;TableWeeklySummary[[#This Row],[Desde]],TableDailySummary[Fecha],"&lt;="&amp;TableWeeklySummary[[#This Row],[Hasta]])</f>
        <v>0</v>
      </c>
      <c r="R41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3" s="11">
        <f>SUMIFS(TableDailySummary[Corporativo no tienda_orders],TableDailySummary[Fecha],"&gt;="&amp;TableWeeklySummary[[#This Row],[Desde]],TableDailySummary[Fecha],"&lt;="&amp;TableWeeklySummary[[#This Row],[Hasta]])</f>
        <v>0</v>
      </c>
      <c r="T413" s="11">
        <f>SUMIFS(TableDailySummary[Inversión google ads],TableDailySummary[Fecha],"&gt;="&amp;TableWeeklySummary[[#This Row],[Desde]],TableDailySummary[Fecha],"&lt;="&amp;TableWeeklySummary[[#This Row],[Hasta]])</f>
        <v>0</v>
      </c>
      <c r="U413" s="11">
        <f>SUMIFS(TableDailySummary[Ventas google ads],TableDailySummary[Fecha],"&gt;="&amp;TableWeeklySummary[[#This Row],[Desde]],TableDailySummary[Fecha],"&lt;="&amp;TableWeeklySummary[[#This Row],[Hasta]])</f>
        <v>0</v>
      </c>
      <c r="V413" s="11">
        <f>SUMIFS(TableDailySummary[Inversión meta ads],TableDailySummary[Fecha],"&gt;="&amp;TableWeeklySummary[[#This Row],[Desde]],TableDailySummary[Fecha],"&lt;="&amp;TableWeeklySummary[[#This Row],[Hasta]])</f>
        <v>0</v>
      </c>
      <c r="W413" s="11">
        <f>SUMIFS(TableDailySummary[Ventas meta ads],TableDailySummary[Fecha],"&gt;="&amp;TableWeeklySummary[[#This Row],[Desde]],TableDailySummary[Fecha],"&lt;="&amp;TableWeeklySummary[[#This Row],[Hasta]])</f>
        <v>0</v>
      </c>
      <c r="X413" s="11">
        <f>TableWeeklySummary[[#This Row],[Inversión google ads]]+TableWeeklySummary[[#This Row],[Inversión meta ads]]</f>
        <v>0</v>
      </c>
      <c r="Y413" s="11">
        <f>TableWeeklySummary[[#This Row],[Ventas google ads]]+TableWeeklySummary[[#This Row],[Ventas meta ads]]</f>
        <v>0</v>
      </c>
      <c r="Z413" s="14">
        <f>IFERROR(TableWeeklySummary[[#This Row],[Ventas publicidad]]/TableWeeklySummary[[#This Row],[Inversión publicidad]],0)</f>
        <v>0</v>
      </c>
      <c r="AA413" s="14">
        <f>IFERROR(TableWeeklySummary[[#This Row],[Ventas primer cliente]]/TableWeeklySummary[[#This Row],[Inversión publicidad]],0)</f>
        <v>0</v>
      </c>
      <c r="AB413" s="14"/>
      <c r="AC413" s="11"/>
      <c r="AI41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3" s="11">
        <f>SUMIFS(TableDailySummary[Costo de ventas registrado],TableDailySummary[Fecha],"&gt;="&amp;TableWeeklySummary[[#This Row],[Desde]],TableDailySummary[Fecha],"&lt;="&amp;TableWeeklySummary[[#This Row],[Hasta]])</f>
        <v>0</v>
      </c>
      <c r="AK413" s="11">
        <f>SUMIFS(TableDailySummary[Utilidad bruta],TableDailySummary[Fecha],"&gt;="&amp;TableWeeklySummary[[#This Row],[Desde]],TableDailySummary[Fecha],"&lt;="&amp;TableWeeklySummary[[#This Row],[Hasta]])</f>
        <v>0</v>
      </c>
      <c r="AL413" s="18">
        <f>IFERROR(TableWeeklySummary[[#This Row],[Utilidad bruta]]/TableWeeklySummary[[#This Row],[Ventas netas con costo registrado]],0)</f>
        <v>0</v>
      </c>
    </row>
    <row r="414" spans="2:38" x14ac:dyDescent="0.2">
      <c r="B414" s="16">
        <f>_xlfn.ISOWEEKNUM(TableWeeklySummary[[#This Row],[Hasta]])</f>
        <v>38</v>
      </c>
      <c r="C414" s="6">
        <f t="shared" si="8"/>
        <v>47375</v>
      </c>
      <c r="D414" s="6">
        <f>TableWeeklySummary[[#This Row],[Desde]]+7-1</f>
        <v>47381</v>
      </c>
      <c r="E414" s="11">
        <f>SUMIFS(TableDailySummary[Ventas netas totales],TableDailySummary[Fecha],"&gt;="&amp;TableWeeklySummary[[#This Row],[Desde]],TableDailySummary[Fecha],"&lt;="&amp;TableWeeklySummary[[#This Row],[Hasta]])</f>
        <v>0</v>
      </c>
      <c r="F414" s="11">
        <f>SUMIFS(TableDailySummary[Órdenes totales],TableDailySummary[Fecha],"&gt;="&amp;TableWeeklySummary[[#This Row],[Desde]],TableDailySummary[Fecha],"&lt;="&amp;TableWeeklySummary[[#This Row],[Hasta]])</f>
        <v>0</v>
      </c>
      <c r="G414" s="11">
        <f>IFERROR(TableWeeklySummary[[#This Row],[Ventas netas totales]]/TableWeeklySummary[[#This Row],[Órdenes totales]],0)</f>
        <v>0</v>
      </c>
      <c r="H41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4" s="11">
        <f>TableWeeklySummary[[#This Row],[Órden promedio totales]]*TableWeeklySummary[[#This Row],[CR totales]]</f>
        <v>0</v>
      </c>
      <c r="J414" s="11">
        <f>SUMIFS(TableDailySummary[Ventas primer cliente],TableDailySummary[Fecha],"&gt;="&amp;TableWeeklySummary[[#This Row],[Desde]],TableDailySummary[Fecha],"&lt;="&amp;TableWeeklySummary[[#This Row],[Hasta]])</f>
        <v>0</v>
      </c>
      <c r="K414" s="11">
        <f>SUMIFS(TableDailySummary[Órdenes primer cliente],TableDailySummary[Fecha],"&gt;="&amp;TableWeeklySummary[[#This Row],[Desde]],TableDailySummary[Fecha],"&lt;="&amp;TableWeeklySummary[[#This Row],[Hasta]])</f>
        <v>0</v>
      </c>
      <c r="L414" s="11">
        <f>SUMIFS(TableDailySummary[Online Store_net_sales],TableDailySummary[Fecha],"&gt;="&amp;TableWeeklySummary[[#This Row],[Desde]],TableDailySummary[Fecha],"&lt;="&amp;TableWeeklySummary[[#This Row],[Hasta]])</f>
        <v>0</v>
      </c>
      <c r="M414" s="11">
        <f>SUMIFS(TableDailySummary[Online Store_orders],TableDailySummary[Fecha],"&gt;="&amp;TableWeeklySummary[[#This Row],[Desde]],TableDailySummary[Fecha],"&lt;="&amp;TableWeeklySummary[[#This Row],[Hasta]])</f>
        <v>0</v>
      </c>
      <c r="N414" s="11">
        <f>SUMIFS(TableDailySummary[Tienda 81_net_sales],TableDailySummary[Fecha],"&gt;="&amp;TableWeeklySummary[[#This Row],[Desde]],TableDailySummary[Fecha],"&lt;="&amp;TableWeeklySummary[[#This Row],[Hasta]])</f>
        <v>0</v>
      </c>
      <c r="O414" s="11">
        <f>SUMIFS(TableDailySummary[Tienda 81_orders],TableDailySummary[Fecha],"&gt;="&amp;TableWeeklySummary[[#This Row],[Desde]],TableDailySummary[Fecha],"&lt;="&amp;TableWeeklySummary[[#This Row],[Hasta]])</f>
        <v>0</v>
      </c>
      <c r="P414" s="11">
        <f>SUMIFS(TableDailySummary[Rappi_net_sales],TableDailySummary[Fecha],"&gt;="&amp;TableWeeklySummary[[#This Row],[Desde]],TableDailySummary[Fecha],"&lt;="&amp;TableWeeklySummary[[#This Row],[Hasta]])</f>
        <v>0</v>
      </c>
      <c r="Q414" s="11">
        <f>SUMIFS(TableDailySummary[Rappi_orders],TableDailySummary[Fecha],"&gt;="&amp;TableWeeklySummary[[#This Row],[Desde]],TableDailySummary[Fecha],"&lt;="&amp;TableWeeklySummary[[#This Row],[Hasta]])</f>
        <v>0</v>
      </c>
      <c r="R41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4" s="11">
        <f>SUMIFS(TableDailySummary[Corporativo no tienda_orders],TableDailySummary[Fecha],"&gt;="&amp;TableWeeklySummary[[#This Row],[Desde]],TableDailySummary[Fecha],"&lt;="&amp;TableWeeklySummary[[#This Row],[Hasta]])</f>
        <v>0</v>
      </c>
      <c r="T414" s="11">
        <f>SUMIFS(TableDailySummary[Inversión google ads],TableDailySummary[Fecha],"&gt;="&amp;TableWeeklySummary[[#This Row],[Desde]],TableDailySummary[Fecha],"&lt;="&amp;TableWeeklySummary[[#This Row],[Hasta]])</f>
        <v>0</v>
      </c>
      <c r="U414" s="11">
        <f>SUMIFS(TableDailySummary[Ventas google ads],TableDailySummary[Fecha],"&gt;="&amp;TableWeeklySummary[[#This Row],[Desde]],TableDailySummary[Fecha],"&lt;="&amp;TableWeeklySummary[[#This Row],[Hasta]])</f>
        <v>0</v>
      </c>
      <c r="V414" s="11">
        <f>SUMIFS(TableDailySummary[Inversión meta ads],TableDailySummary[Fecha],"&gt;="&amp;TableWeeklySummary[[#This Row],[Desde]],TableDailySummary[Fecha],"&lt;="&amp;TableWeeklySummary[[#This Row],[Hasta]])</f>
        <v>0</v>
      </c>
      <c r="W414" s="11">
        <f>SUMIFS(TableDailySummary[Ventas meta ads],TableDailySummary[Fecha],"&gt;="&amp;TableWeeklySummary[[#This Row],[Desde]],TableDailySummary[Fecha],"&lt;="&amp;TableWeeklySummary[[#This Row],[Hasta]])</f>
        <v>0</v>
      </c>
      <c r="X414" s="11">
        <f>TableWeeklySummary[[#This Row],[Inversión google ads]]+TableWeeklySummary[[#This Row],[Inversión meta ads]]</f>
        <v>0</v>
      </c>
      <c r="Y414" s="11">
        <f>TableWeeklySummary[[#This Row],[Ventas google ads]]+TableWeeklySummary[[#This Row],[Ventas meta ads]]</f>
        <v>0</v>
      </c>
      <c r="Z414" s="14">
        <f>IFERROR(TableWeeklySummary[[#This Row],[Ventas publicidad]]/TableWeeklySummary[[#This Row],[Inversión publicidad]],0)</f>
        <v>0</v>
      </c>
      <c r="AA414" s="14">
        <f>IFERROR(TableWeeklySummary[[#This Row],[Ventas primer cliente]]/TableWeeklySummary[[#This Row],[Inversión publicidad]],0)</f>
        <v>0</v>
      </c>
      <c r="AB414" s="14"/>
      <c r="AC414" s="11"/>
      <c r="AI41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4" s="11">
        <f>SUMIFS(TableDailySummary[Costo de ventas registrado],TableDailySummary[Fecha],"&gt;="&amp;TableWeeklySummary[[#This Row],[Desde]],TableDailySummary[Fecha],"&lt;="&amp;TableWeeklySummary[[#This Row],[Hasta]])</f>
        <v>0</v>
      </c>
      <c r="AK414" s="11">
        <f>SUMIFS(TableDailySummary[Utilidad bruta],TableDailySummary[Fecha],"&gt;="&amp;TableWeeklySummary[[#This Row],[Desde]],TableDailySummary[Fecha],"&lt;="&amp;TableWeeklySummary[[#This Row],[Hasta]])</f>
        <v>0</v>
      </c>
      <c r="AL414" s="18">
        <f>IFERROR(TableWeeklySummary[[#This Row],[Utilidad bruta]]/TableWeeklySummary[[#This Row],[Ventas netas con costo registrado]],0)</f>
        <v>0</v>
      </c>
    </row>
    <row r="415" spans="2:38" x14ac:dyDescent="0.2">
      <c r="B415" s="16">
        <f>_xlfn.ISOWEEKNUM(TableWeeklySummary[[#This Row],[Hasta]])</f>
        <v>39</v>
      </c>
      <c r="C415" s="6">
        <f t="shared" si="8"/>
        <v>47382</v>
      </c>
      <c r="D415" s="6">
        <f>TableWeeklySummary[[#This Row],[Desde]]+7-1</f>
        <v>47388</v>
      </c>
      <c r="E415" s="11">
        <f>SUMIFS(TableDailySummary[Ventas netas totales],TableDailySummary[Fecha],"&gt;="&amp;TableWeeklySummary[[#This Row],[Desde]],TableDailySummary[Fecha],"&lt;="&amp;TableWeeklySummary[[#This Row],[Hasta]])</f>
        <v>0</v>
      </c>
      <c r="F415" s="11">
        <f>SUMIFS(TableDailySummary[Órdenes totales],TableDailySummary[Fecha],"&gt;="&amp;TableWeeklySummary[[#This Row],[Desde]],TableDailySummary[Fecha],"&lt;="&amp;TableWeeklySummary[[#This Row],[Hasta]])</f>
        <v>0</v>
      </c>
      <c r="G415" s="11">
        <f>IFERROR(TableWeeklySummary[[#This Row],[Ventas netas totales]]/TableWeeklySummary[[#This Row],[Órdenes totales]],0)</f>
        <v>0</v>
      </c>
      <c r="H41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5" s="11">
        <f>TableWeeklySummary[[#This Row],[Órden promedio totales]]*TableWeeklySummary[[#This Row],[CR totales]]</f>
        <v>0</v>
      </c>
      <c r="J415" s="11">
        <f>SUMIFS(TableDailySummary[Ventas primer cliente],TableDailySummary[Fecha],"&gt;="&amp;TableWeeklySummary[[#This Row],[Desde]],TableDailySummary[Fecha],"&lt;="&amp;TableWeeklySummary[[#This Row],[Hasta]])</f>
        <v>0</v>
      </c>
      <c r="K415" s="11">
        <f>SUMIFS(TableDailySummary[Órdenes primer cliente],TableDailySummary[Fecha],"&gt;="&amp;TableWeeklySummary[[#This Row],[Desde]],TableDailySummary[Fecha],"&lt;="&amp;TableWeeklySummary[[#This Row],[Hasta]])</f>
        <v>0</v>
      </c>
      <c r="L415" s="11">
        <f>SUMIFS(TableDailySummary[Online Store_net_sales],TableDailySummary[Fecha],"&gt;="&amp;TableWeeklySummary[[#This Row],[Desde]],TableDailySummary[Fecha],"&lt;="&amp;TableWeeklySummary[[#This Row],[Hasta]])</f>
        <v>0</v>
      </c>
      <c r="M415" s="11">
        <f>SUMIFS(TableDailySummary[Online Store_orders],TableDailySummary[Fecha],"&gt;="&amp;TableWeeklySummary[[#This Row],[Desde]],TableDailySummary[Fecha],"&lt;="&amp;TableWeeklySummary[[#This Row],[Hasta]])</f>
        <v>0</v>
      </c>
      <c r="N415" s="11">
        <f>SUMIFS(TableDailySummary[Tienda 81_net_sales],TableDailySummary[Fecha],"&gt;="&amp;TableWeeklySummary[[#This Row],[Desde]],TableDailySummary[Fecha],"&lt;="&amp;TableWeeklySummary[[#This Row],[Hasta]])</f>
        <v>0</v>
      </c>
      <c r="O415" s="11">
        <f>SUMIFS(TableDailySummary[Tienda 81_orders],TableDailySummary[Fecha],"&gt;="&amp;TableWeeklySummary[[#This Row],[Desde]],TableDailySummary[Fecha],"&lt;="&amp;TableWeeklySummary[[#This Row],[Hasta]])</f>
        <v>0</v>
      </c>
      <c r="P415" s="11">
        <f>SUMIFS(TableDailySummary[Rappi_net_sales],TableDailySummary[Fecha],"&gt;="&amp;TableWeeklySummary[[#This Row],[Desde]],TableDailySummary[Fecha],"&lt;="&amp;TableWeeklySummary[[#This Row],[Hasta]])</f>
        <v>0</v>
      </c>
      <c r="Q415" s="11">
        <f>SUMIFS(TableDailySummary[Rappi_orders],TableDailySummary[Fecha],"&gt;="&amp;TableWeeklySummary[[#This Row],[Desde]],TableDailySummary[Fecha],"&lt;="&amp;TableWeeklySummary[[#This Row],[Hasta]])</f>
        <v>0</v>
      </c>
      <c r="R41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5" s="11">
        <f>SUMIFS(TableDailySummary[Corporativo no tienda_orders],TableDailySummary[Fecha],"&gt;="&amp;TableWeeklySummary[[#This Row],[Desde]],TableDailySummary[Fecha],"&lt;="&amp;TableWeeklySummary[[#This Row],[Hasta]])</f>
        <v>0</v>
      </c>
      <c r="T415" s="11">
        <f>SUMIFS(TableDailySummary[Inversión google ads],TableDailySummary[Fecha],"&gt;="&amp;TableWeeklySummary[[#This Row],[Desde]],TableDailySummary[Fecha],"&lt;="&amp;TableWeeklySummary[[#This Row],[Hasta]])</f>
        <v>0</v>
      </c>
      <c r="U415" s="11">
        <f>SUMIFS(TableDailySummary[Ventas google ads],TableDailySummary[Fecha],"&gt;="&amp;TableWeeklySummary[[#This Row],[Desde]],TableDailySummary[Fecha],"&lt;="&amp;TableWeeklySummary[[#This Row],[Hasta]])</f>
        <v>0</v>
      </c>
      <c r="V415" s="11">
        <f>SUMIFS(TableDailySummary[Inversión meta ads],TableDailySummary[Fecha],"&gt;="&amp;TableWeeklySummary[[#This Row],[Desde]],TableDailySummary[Fecha],"&lt;="&amp;TableWeeklySummary[[#This Row],[Hasta]])</f>
        <v>0</v>
      </c>
      <c r="W415" s="11">
        <f>SUMIFS(TableDailySummary[Ventas meta ads],TableDailySummary[Fecha],"&gt;="&amp;TableWeeklySummary[[#This Row],[Desde]],TableDailySummary[Fecha],"&lt;="&amp;TableWeeklySummary[[#This Row],[Hasta]])</f>
        <v>0</v>
      </c>
      <c r="X415" s="11">
        <f>TableWeeklySummary[[#This Row],[Inversión google ads]]+TableWeeklySummary[[#This Row],[Inversión meta ads]]</f>
        <v>0</v>
      </c>
      <c r="Y415" s="11">
        <f>TableWeeklySummary[[#This Row],[Ventas google ads]]+TableWeeklySummary[[#This Row],[Ventas meta ads]]</f>
        <v>0</v>
      </c>
      <c r="Z415" s="14">
        <f>IFERROR(TableWeeklySummary[[#This Row],[Ventas publicidad]]/TableWeeklySummary[[#This Row],[Inversión publicidad]],0)</f>
        <v>0</v>
      </c>
      <c r="AA415" s="14">
        <f>IFERROR(TableWeeklySummary[[#This Row],[Ventas primer cliente]]/TableWeeklySummary[[#This Row],[Inversión publicidad]],0)</f>
        <v>0</v>
      </c>
      <c r="AB415" s="14"/>
      <c r="AC415" s="11"/>
      <c r="AI41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5" s="11">
        <f>SUMIFS(TableDailySummary[Costo de ventas registrado],TableDailySummary[Fecha],"&gt;="&amp;TableWeeklySummary[[#This Row],[Desde]],TableDailySummary[Fecha],"&lt;="&amp;TableWeeklySummary[[#This Row],[Hasta]])</f>
        <v>0</v>
      </c>
      <c r="AK415" s="11">
        <f>SUMIFS(TableDailySummary[Utilidad bruta],TableDailySummary[Fecha],"&gt;="&amp;TableWeeklySummary[[#This Row],[Desde]],TableDailySummary[Fecha],"&lt;="&amp;TableWeeklySummary[[#This Row],[Hasta]])</f>
        <v>0</v>
      </c>
      <c r="AL415" s="18">
        <f>IFERROR(TableWeeklySummary[[#This Row],[Utilidad bruta]]/TableWeeklySummary[[#This Row],[Ventas netas con costo registrado]],0)</f>
        <v>0</v>
      </c>
    </row>
    <row r="416" spans="2:38" x14ac:dyDescent="0.2">
      <c r="B416" s="16">
        <f>_xlfn.ISOWEEKNUM(TableWeeklySummary[[#This Row],[Hasta]])</f>
        <v>40</v>
      </c>
      <c r="C416" s="6">
        <f t="shared" si="8"/>
        <v>47389</v>
      </c>
      <c r="D416" s="6">
        <f>TableWeeklySummary[[#This Row],[Desde]]+7-1</f>
        <v>47395</v>
      </c>
      <c r="E416" s="11">
        <f>SUMIFS(TableDailySummary[Ventas netas totales],TableDailySummary[Fecha],"&gt;="&amp;TableWeeklySummary[[#This Row],[Desde]],TableDailySummary[Fecha],"&lt;="&amp;TableWeeklySummary[[#This Row],[Hasta]])</f>
        <v>0</v>
      </c>
      <c r="F416" s="11">
        <f>SUMIFS(TableDailySummary[Órdenes totales],TableDailySummary[Fecha],"&gt;="&amp;TableWeeklySummary[[#This Row],[Desde]],TableDailySummary[Fecha],"&lt;="&amp;TableWeeklySummary[[#This Row],[Hasta]])</f>
        <v>0</v>
      </c>
      <c r="G416" s="11">
        <f>IFERROR(TableWeeklySummary[[#This Row],[Ventas netas totales]]/TableWeeklySummary[[#This Row],[Órdenes totales]],0)</f>
        <v>0</v>
      </c>
      <c r="H41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6" s="11">
        <f>TableWeeklySummary[[#This Row],[Órden promedio totales]]*TableWeeklySummary[[#This Row],[CR totales]]</f>
        <v>0</v>
      </c>
      <c r="J416" s="11">
        <f>SUMIFS(TableDailySummary[Ventas primer cliente],TableDailySummary[Fecha],"&gt;="&amp;TableWeeklySummary[[#This Row],[Desde]],TableDailySummary[Fecha],"&lt;="&amp;TableWeeklySummary[[#This Row],[Hasta]])</f>
        <v>0</v>
      </c>
      <c r="K416" s="11">
        <f>SUMIFS(TableDailySummary[Órdenes primer cliente],TableDailySummary[Fecha],"&gt;="&amp;TableWeeklySummary[[#This Row],[Desde]],TableDailySummary[Fecha],"&lt;="&amp;TableWeeklySummary[[#This Row],[Hasta]])</f>
        <v>0</v>
      </c>
      <c r="L416" s="11">
        <f>SUMIFS(TableDailySummary[Online Store_net_sales],TableDailySummary[Fecha],"&gt;="&amp;TableWeeklySummary[[#This Row],[Desde]],TableDailySummary[Fecha],"&lt;="&amp;TableWeeklySummary[[#This Row],[Hasta]])</f>
        <v>0</v>
      </c>
      <c r="M416" s="11">
        <f>SUMIFS(TableDailySummary[Online Store_orders],TableDailySummary[Fecha],"&gt;="&amp;TableWeeklySummary[[#This Row],[Desde]],TableDailySummary[Fecha],"&lt;="&amp;TableWeeklySummary[[#This Row],[Hasta]])</f>
        <v>0</v>
      </c>
      <c r="N416" s="11">
        <f>SUMIFS(TableDailySummary[Tienda 81_net_sales],TableDailySummary[Fecha],"&gt;="&amp;TableWeeklySummary[[#This Row],[Desde]],TableDailySummary[Fecha],"&lt;="&amp;TableWeeklySummary[[#This Row],[Hasta]])</f>
        <v>0</v>
      </c>
      <c r="O416" s="11">
        <f>SUMIFS(TableDailySummary[Tienda 81_orders],TableDailySummary[Fecha],"&gt;="&amp;TableWeeklySummary[[#This Row],[Desde]],TableDailySummary[Fecha],"&lt;="&amp;TableWeeklySummary[[#This Row],[Hasta]])</f>
        <v>0</v>
      </c>
      <c r="P416" s="11">
        <f>SUMIFS(TableDailySummary[Rappi_net_sales],TableDailySummary[Fecha],"&gt;="&amp;TableWeeklySummary[[#This Row],[Desde]],TableDailySummary[Fecha],"&lt;="&amp;TableWeeklySummary[[#This Row],[Hasta]])</f>
        <v>0</v>
      </c>
      <c r="Q416" s="11">
        <f>SUMIFS(TableDailySummary[Rappi_orders],TableDailySummary[Fecha],"&gt;="&amp;TableWeeklySummary[[#This Row],[Desde]],TableDailySummary[Fecha],"&lt;="&amp;TableWeeklySummary[[#This Row],[Hasta]])</f>
        <v>0</v>
      </c>
      <c r="R41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6" s="11">
        <f>SUMIFS(TableDailySummary[Corporativo no tienda_orders],TableDailySummary[Fecha],"&gt;="&amp;TableWeeklySummary[[#This Row],[Desde]],TableDailySummary[Fecha],"&lt;="&amp;TableWeeklySummary[[#This Row],[Hasta]])</f>
        <v>0</v>
      </c>
      <c r="T416" s="11">
        <f>SUMIFS(TableDailySummary[Inversión google ads],TableDailySummary[Fecha],"&gt;="&amp;TableWeeklySummary[[#This Row],[Desde]],TableDailySummary[Fecha],"&lt;="&amp;TableWeeklySummary[[#This Row],[Hasta]])</f>
        <v>0</v>
      </c>
      <c r="U416" s="11">
        <f>SUMIFS(TableDailySummary[Ventas google ads],TableDailySummary[Fecha],"&gt;="&amp;TableWeeklySummary[[#This Row],[Desde]],TableDailySummary[Fecha],"&lt;="&amp;TableWeeklySummary[[#This Row],[Hasta]])</f>
        <v>0</v>
      </c>
      <c r="V416" s="11">
        <f>SUMIFS(TableDailySummary[Inversión meta ads],TableDailySummary[Fecha],"&gt;="&amp;TableWeeklySummary[[#This Row],[Desde]],TableDailySummary[Fecha],"&lt;="&amp;TableWeeklySummary[[#This Row],[Hasta]])</f>
        <v>0</v>
      </c>
      <c r="W416" s="11">
        <f>SUMIFS(TableDailySummary[Ventas meta ads],TableDailySummary[Fecha],"&gt;="&amp;TableWeeklySummary[[#This Row],[Desde]],TableDailySummary[Fecha],"&lt;="&amp;TableWeeklySummary[[#This Row],[Hasta]])</f>
        <v>0</v>
      </c>
      <c r="X416" s="11">
        <f>TableWeeklySummary[[#This Row],[Inversión google ads]]+TableWeeklySummary[[#This Row],[Inversión meta ads]]</f>
        <v>0</v>
      </c>
      <c r="Y416" s="11">
        <f>TableWeeklySummary[[#This Row],[Ventas google ads]]+TableWeeklySummary[[#This Row],[Ventas meta ads]]</f>
        <v>0</v>
      </c>
      <c r="Z416" s="14">
        <f>IFERROR(TableWeeklySummary[[#This Row],[Ventas publicidad]]/TableWeeklySummary[[#This Row],[Inversión publicidad]],0)</f>
        <v>0</v>
      </c>
      <c r="AA416" s="14">
        <f>IFERROR(TableWeeklySummary[[#This Row],[Ventas primer cliente]]/TableWeeklySummary[[#This Row],[Inversión publicidad]],0)</f>
        <v>0</v>
      </c>
      <c r="AB416" s="14"/>
      <c r="AC416" s="11"/>
      <c r="AI41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6" s="11">
        <f>SUMIFS(TableDailySummary[Costo de ventas registrado],TableDailySummary[Fecha],"&gt;="&amp;TableWeeklySummary[[#This Row],[Desde]],TableDailySummary[Fecha],"&lt;="&amp;TableWeeklySummary[[#This Row],[Hasta]])</f>
        <v>0</v>
      </c>
      <c r="AK416" s="11">
        <f>SUMIFS(TableDailySummary[Utilidad bruta],TableDailySummary[Fecha],"&gt;="&amp;TableWeeklySummary[[#This Row],[Desde]],TableDailySummary[Fecha],"&lt;="&amp;TableWeeklySummary[[#This Row],[Hasta]])</f>
        <v>0</v>
      </c>
      <c r="AL416" s="18">
        <f>IFERROR(TableWeeklySummary[[#This Row],[Utilidad bruta]]/TableWeeklySummary[[#This Row],[Ventas netas con costo registrado]],0)</f>
        <v>0</v>
      </c>
    </row>
    <row r="417" spans="2:38" x14ac:dyDescent="0.2">
      <c r="B417" s="16">
        <f>_xlfn.ISOWEEKNUM(TableWeeklySummary[[#This Row],[Hasta]])</f>
        <v>41</v>
      </c>
      <c r="C417" s="6">
        <f t="shared" si="8"/>
        <v>47396</v>
      </c>
      <c r="D417" s="6">
        <f>TableWeeklySummary[[#This Row],[Desde]]+7-1</f>
        <v>47402</v>
      </c>
      <c r="E417" s="11">
        <f>SUMIFS(TableDailySummary[Ventas netas totales],TableDailySummary[Fecha],"&gt;="&amp;TableWeeklySummary[[#This Row],[Desde]],TableDailySummary[Fecha],"&lt;="&amp;TableWeeklySummary[[#This Row],[Hasta]])</f>
        <v>0</v>
      </c>
      <c r="F417" s="11">
        <f>SUMIFS(TableDailySummary[Órdenes totales],TableDailySummary[Fecha],"&gt;="&amp;TableWeeklySummary[[#This Row],[Desde]],TableDailySummary[Fecha],"&lt;="&amp;TableWeeklySummary[[#This Row],[Hasta]])</f>
        <v>0</v>
      </c>
      <c r="G417" s="11">
        <f>IFERROR(TableWeeklySummary[[#This Row],[Ventas netas totales]]/TableWeeklySummary[[#This Row],[Órdenes totales]],0)</f>
        <v>0</v>
      </c>
      <c r="H41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7" s="11">
        <f>TableWeeklySummary[[#This Row],[Órden promedio totales]]*TableWeeklySummary[[#This Row],[CR totales]]</f>
        <v>0</v>
      </c>
      <c r="J417" s="11">
        <f>SUMIFS(TableDailySummary[Ventas primer cliente],TableDailySummary[Fecha],"&gt;="&amp;TableWeeklySummary[[#This Row],[Desde]],TableDailySummary[Fecha],"&lt;="&amp;TableWeeklySummary[[#This Row],[Hasta]])</f>
        <v>0</v>
      </c>
      <c r="K417" s="11">
        <f>SUMIFS(TableDailySummary[Órdenes primer cliente],TableDailySummary[Fecha],"&gt;="&amp;TableWeeklySummary[[#This Row],[Desde]],TableDailySummary[Fecha],"&lt;="&amp;TableWeeklySummary[[#This Row],[Hasta]])</f>
        <v>0</v>
      </c>
      <c r="L417" s="11">
        <f>SUMIFS(TableDailySummary[Online Store_net_sales],TableDailySummary[Fecha],"&gt;="&amp;TableWeeklySummary[[#This Row],[Desde]],TableDailySummary[Fecha],"&lt;="&amp;TableWeeklySummary[[#This Row],[Hasta]])</f>
        <v>0</v>
      </c>
      <c r="M417" s="11">
        <f>SUMIFS(TableDailySummary[Online Store_orders],TableDailySummary[Fecha],"&gt;="&amp;TableWeeklySummary[[#This Row],[Desde]],TableDailySummary[Fecha],"&lt;="&amp;TableWeeklySummary[[#This Row],[Hasta]])</f>
        <v>0</v>
      </c>
      <c r="N417" s="11">
        <f>SUMIFS(TableDailySummary[Tienda 81_net_sales],TableDailySummary[Fecha],"&gt;="&amp;TableWeeklySummary[[#This Row],[Desde]],TableDailySummary[Fecha],"&lt;="&amp;TableWeeklySummary[[#This Row],[Hasta]])</f>
        <v>0</v>
      </c>
      <c r="O417" s="11">
        <f>SUMIFS(TableDailySummary[Tienda 81_orders],TableDailySummary[Fecha],"&gt;="&amp;TableWeeklySummary[[#This Row],[Desde]],TableDailySummary[Fecha],"&lt;="&amp;TableWeeklySummary[[#This Row],[Hasta]])</f>
        <v>0</v>
      </c>
      <c r="P417" s="11">
        <f>SUMIFS(TableDailySummary[Rappi_net_sales],TableDailySummary[Fecha],"&gt;="&amp;TableWeeklySummary[[#This Row],[Desde]],TableDailySummary[Fecha],"&lt;="&amp;TableWeeklySummary[[#This Row],[Hasta]])</f>
        <v>0</v>
      </c>
      <c r="Q417" s="11">
        <f>SUMIFS(TableDailySummary[Rappi_orders],TableDailySummary[Fecha],"&gt;="&amp;TableWeeklySummary[[#This Row],[Desde]],TableDailySummary[Fecha],"&lt;="&amp;TableWeeklySummary[[#This Row],[Hasta]])</f>
        <v>0</v>
      </c>
      <c r="R41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7" s="11">
        <f>SUMIFS(TableDailySummary[Corporativo no tienda_orders],TableDailySummary[Fecha],"&gt;="&amp;TableWeeklySummary[[#This Row],[Desde]],TableDailySummary[Fecha],"&lt;="&amp;TableWeeklySummary[[#This Row],[Hasta]])</f>
        <v>0</v>
      </c>
      <c r="T417" s="11">
        <f>SUMIFS(TableDailySummary[Inversión google ads],TableDailySummary[Fecha],"&gt;="&amp;TableWeeklySummary[[#This Row],[Desde]],TableDailySummary[Fecha],"&lt;="&amp;TableWeeklySummary[[#This Row],[Hasta]])</f>
        <v>0</v>
      </c>
      <c r="U417" s="11">
        <f>SUMIFS(TableDailySummary[Ventas google ads],TableDailySummary[Fecha],"&gt;="&amp;TableWeeklySummary[[#This Row],[Desde]],TableDailySummary[Fecha],"&lt;="&amp;TableWeeklySummary[[#This Row],[Hasta]])</f>
        <v>0</v>
      </c>
      <c r="V417" s="11">
        <f>SUMIFS(TableDailySummary[Inversión meta ads],TableDailySummary[Fecha],"&gt;="&amp;TableWeeklySummary[[#This Row],[Desde]],TableDailySummary[Fecha],"&lt;="&amp;TableWeeklySummary[[#This Row],[Hasta]])</f>
        <v>0</v>
      </c>
      <c r="W417" s="11">
        <f>SUMIFS(TableDailySummary[Ventas meta ads],TableDailySummary[Fecha],"&gt;="&amp;TableWeeklySummary[[#This Row],[Desde]],TableDailySummary[Fecha],"&lt;="&amp;TableWeeklySummary[[#This Row],[Hasta]])</f>
        <v>0</v>
      </c>
      <c r="X417" s="11">
        <f>TableWeeklySummary[[#This Row],[Inversión google ads]]+TableWeeklySummary[[#This Row],[Inversión meta ads]]</f>
        <v>0</v>
      </c>
      <c r="Y417" s="11">
        <f>TableWeeklySummary[[#This Row],[Ventas google ads]]+TableWeeklySummary[[#This Row],[Ventas meta ads]]</f>
        <v>0</v>
      </c>
      <c r="Z417" s="14">
        <f>IFERROR(TableWeeklySummary[[#This Row],[Ventas publicidad]]/TableWeeklySummary[[#This Row],[Inversión publicidad]],0)</f>
        <v>0</v>
      </c>
      <c r="AA417" s="14">
        <f>IFERROR(TableWeeklySummary[[#This Row],[Ventas primer cliente]]/TableWeeklySummary[[#This Row],[Inversión publicidad]],0)</f>
        <v>0</v>
      </c>
      <c r="AB417" s="14"/>
      <c r="AC417" s="11"/>
      <c r="AI41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7" s="11">
        <f>SUMIFS(TableDailySummary[Costo de ventas registrado],TableDailySummary[Fecha],"&gt;="&amp;TableWeeklySummary[[#This Row],[Desde]],TableDailySummary[Fecha],"&lt;="&amp;TableWeeklySummary[[#This Row],[Hasta]])</f>
        <v>0</v>
      </c>
      <c r="AK417" s="11">
        <f>SUMIFS(TableDailySummary[Utilidad bruta],TableDailySummary[Fecha],"&gt;="&amp;TableWeeklySummary[[#This Row],[Desde]],TableDailySummary[Fecha],"&lt;="&amp;TableWeeklySummary[[#This Row],[Hasta]])</f>
        <v>0</v>
      </c>
      <c r="AL417" s="18">
        <f>IFERROR(TableWeeklySummary[[#This Row],[Utilidad bruta]]/TableWeeklySummary[[#This Row],[Ventas netas con costo registrado]],0)</f>
        <v>0</v>
      </c>
    </row>
    <row r="418" spans="2:38" x14ac:dyDescent="0.2">
      <c r="B418" s="16">
        <f>_xlfn.ISOWEEKNUM(TableWeeklySummary[[#This Row],[Hasta]])</f>
        <v>42</v>
      </c>
      <c r="C418" s="6">
        <f t="shared" si="8"/>
        <v>47403</v>
      </c>
      <c r="D418" s="6">
        <f>TableWeeklySummary[[#This Row],[Desde]]+7-1</f>
        <v>47409</v>
      </c>
      <c r="E418" s="11">
        <f>SUMIFS(TableDailySummary[Ventas netas totales],TableDailySummary[Fecha],"&gt;="&amp;TableWeeklySummary[[#This Row],[Desde]],TableDailySummary[Fecha],"&lt;="&amp;TableWeeklySummary[[#This Row],[Hasta]])</f>
        <v>0</v>
      </c>
      <c r="F418" s="11">
        <f>SUMIFS(TableDailySummary[Órdenes totales],TableDailySummary[Fecha],"&gt;="&amp;TableWeeklySummary[[#This Row],[Desde]],TableDailySummary[Fecha],"&lt;="&amp;TableWeeklySummary[[#This Row],[Hasta]])</f>
        <v>0</v>
      </c>
      <c r="G418" s="11">
        <f>IFERROR(TableWeeklySummary[[#This Row],[Ventas netas totales]]/TableWeeklySummary[[#This Row],[Órdenes totales]],0)</f>
        <v>0</v>
      </c>
      <c r="H41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8" s="11">
        <f>TableWeeklySummary[[#This Row],[Órden promedio totales]]*TableWeeklySummary[[#This Row],[CR totales]]</f>
        <v>0</v>
      </c>
      <c r="J418" s="11">
        <f>SUMIFS(TableDailySummary[Ventas primer cliente],TableDailySummary[Fecha],"&gt;="&amp;TableWeeklySummary[[#This Row],[Desde]],TableDailySummary[Fecha],"&lt;="&amp;TableWeeklySummary[[#This Row],[Hasta]])</f>
        <v>0</v>
      </c>
      <c r="K418" s="11">
        <f>SUMIFS(TableDailySummary[Órdenes primer cliente],TableDailySummary[Fecha],"&gt;="&amp;TableWeeklySummary[[#This Row],[Desde]],TableDailySummary[Fecha],"&lt;="&amp;TableWeeklySummary[[#This Row],[Hasta]])</f>
        <v>0</v>
      </c>
      <c r="L418" s="11">
        <f>SUMIFS(TableDailySummary[Online Store_net_sales],TableDailySummary[Fecha],"&gt;="&amp;TableWeeklySummary[[#This Row],[Desde]],TableDailySummary[Fecha],"&lt;="&amp;TableWeeklySummary[[#This Row],[Hasta]])</f>
        <v>0</v>
      </c>
      <c r="M418" s="11">
        <f>SUMIFS(TableDailySummary[Online Store_orders],TableDailySummary[Fecha],"&gt;="&amp;TableWeeklySummary[[#This Row],[Desde]],TableDailySummary[Fecha],"&lt;="&amp;TableWeeklySummary[[#This Row],[Hasta]])</f>
        <v>0</v>
      </c>
      <c r="N418" s="11">
        <f>SUMIFS(TableDailySummary[Tienda 81_net_sales],TableDailySummary[Fecha],"&gt;="&amp;TableWeeklySummary[[#This Row],[Desde]],TableDailySummary[Fecha],"&lt;="&amp;TableWeeklySummary[[#This Row],[Hasta]])</f>
        <v>0</v>
      </c>
      <c r="O418" s="11">
        <f>SUMIFS(TableDailySummary[Tienda 81_orders],TableDailySummary[Fecha],"&gt;="&amp;TableWeeklySummary[[#This Row],[Desde]],TableDailySummary[Fecha],"&lt;="&amp;TableWeeklySummary[[#This Row],[Hasta]])</f>
        <v>0</v>
      </c>
      <c r="P418" s="11">
        <f>SUMIFS(TableDailySummary[Rappi_net_sales],TableDailySummary[Fecha],"&gt;="&amp;TableWeeklySummary[[#This Row],[Desde]],TableDailySummary[Fecha],"&lt;="&amp;TableWeeklySummary[[#This Row],[Hasta]])</f>
        <v>0</v>
      </c>
      <c r="Q418" s="11">
        <f>SUMIFS(TableDailySummary[Rappi_orders],TableDailySummary[Fecha],"&gt;="&amp;TableWeeklySummary[[#This Row],[Desde]],TableDailySummary[Fecha],"&lt;="&amp;TableWeeklySummary[[#This Row],[Hasta]])</f>
        <v>0</v>
      </c>
      <c r="R41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8" s="11">
        <f>SUMIFS(TableDailySummary[Corporativo no tienda_orders],TableDailySummary[Fecha],"&gt;="&amp;TableWeeklySummary[[#This Row],[Desde]],TableDailySummary[Fecha],"&lt;="&amp;TableWeeklySummary[[#This Row],[Hasta]])</f>
        <v>0</v>
      </c>
      <c r="T418" s="11">
        <f>SUMIFS(TableDailySummary[Inversión google ads],TableDailySummary[Fecha],"&gt;="&amp;TableWeeklySummary[[#This Row],[Desde]],TableDailySummary[Fecha],"&lt;="&amp;TableWeeklySummary[[#This Row],[Hasta]])</f>
        <v>0</v>
      </c>
      <c r="U418" s="11">
        <f>SUMIFS(TableDailySummary[Ventas google ads],TableDailySummary[Fecha],"&gt;="&amp;TableWeeklySummary[[#This Row],[Desde]],TableDailySummary[Fecha],"&lt;="&amp;TableWeeklySummary[[#This Row],[Hasta]])</f>
        <v>0</v>
      </c>
      <c r="V418" s="11">
        <f>SUMIFS(TableDailySummary[Inversión meta ads],TableDailySummary[Fecha],"&gt;="&amp;TableWeeklySummary[[#This Row],[Desde]],TableDailySummary[Fecha],"&lt;="&amp;TableWeeklySummary[[#This Row],[Hasta]])</f>
        <v>0</v>
      </c>
      <c r="W418" s="11">
        <f>SUMIFS(TableDailySummary[Ventas meta ads],TableDailySummary[Fecha],"&gt;="&amp;TableWeeklySummary[[#This Row],[Desde]],TableDailySummary[Fecha],"&lt;="&amp;TableWeeklySummary[[#This Row],[Hasta]])</f>
        <v>0</v>
      </c>
      <c r="X418" s="11">
        <f>TableWeeklySummary[[#This Row],[Inversión google ads]]+TableWeeklySummary[[#This Row],[Inversión meta ads]]</f>
        <v>0</v>
      </c>
      <c r="Y418" s="11">
        <f>TableWeeklySummary[[#This Row],[Ventas google ads]]+TableWeeklySummary[[#This Row],[Ventas meta ads]]</f>
        <v>0</v>
      </c>
      <c r="Z418" s="14">
        <f>IFERROR(TableWeeklySummary[[#This Row],[Ventas publicidad]]/TableWeeklySummary[[#This Row],[Inversión publicidad]],0)</f>
        <v>0</v>
      </c>
      <c r="AA418" s="14">
        <f>IFERROR(TableWeeklySummary[[#This Row],[Ventas primer cliente]]/TableWeeklySummary[[#This Row],[Inversión publicidad]],0)</f>
        <v>0</v>
      </c>
      <c r="AB418" s="14"/>
      <c r="AC418" s="11"/>
      <c r="AI41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8" s="11">
        <f>SUMIFS(TableDailySummary[Costo de ventas registrado],TableDailySummary[Fecha],"&gt;="&amp;TableWeeklySummary[[#This Row],[Desde]],TableDailySummary[Fecha],"&lt;="&amp;TableWeeklySummary[[#This Row],[Hasta]])</f>
        <v>0</v>
      </c>
      <c r="AK418" s="11">
        <f>SUMIFS(TableDailySummary[Utilidad bruta],TableDailySummary[Fecha],"&gt;="&amp;TableWeeklySummary[[#This Row],[Desde]],TableDailySummary[Fecha],"&lt;="&amp;TableWeeklySummary[[#This Row],[Hasta]])</f>
        <v>0</v>
      </c>
      <c r="AL418" s="18">
        <f>IFERROR(TableWeeklySummary[[#This Row],[Utilidad bruta]]/TableWeeklySummary[[#This Row],[Ventas netas con costo registrado]],0)</f>
        <v>0</v>
      </c>
    </row>
    <row r="419" spans="2:38" x14ac:dyDescent="0.2">
      <c r="B419" s="16">
        <f>_xlfn.ISOWEEKNUM(TableWeeklySummary[[#This Row],[Hasta]])</f>
        <v>43</v>
      </c>
      <c r="C419" s="6">
        <f t="shared" si="8"/>
        <v>47410</v>
      </c>
      <c r="D419" s="6">
        <f>TableWeeklySummary[[#This Row],[Desde]]+7-1</f>
        <v>47416</v>
      </c>
      <c r="E419" s="11">
        <f>SUMIFS(TableDailySummary[Ventas netas totales],TableDailySummary[Fecha],"&gt;="&amp;TableWeeklySummary[[#This Row],[Desde]],TableDailySummary[Fecha],"&lt;="&amp;TableWeeklySummary[[#This Row],[Hasta]])</f>
        <v>0</v>
      </c>
      <c r="F419" s="11">
        <f>SUMIFS(TableDailySummary[Órdenes totales],TableDailySummary[Fecha],"&gt;="&amp;TableWeeklySummary[[#This Row],[Desde]],TableDailySummary[Fecha],"&lt;="&amp;TableWeeklySummary[[#This Row],[Hasta]])</f>
        <v>0</v>
      </c>
      <c r="G419" s="11">
        <f>IFERROR(TableWeeklySummary[[#This Row],[Ventas netas totales]]/TableWeeklySummary[[#This Row],[Órdenes totales]],0)</f>
        <v>0</v>
      </c>
      <c r="H41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19" s="11">
        <f>TableWeeklySummary[[#This Row],[Órden promedio totales]]*TableWeeklySummary[[#This Row],[CR totales]]</f>
        <v>0</v>
      </c>
      <c r="J419" s="11">
        <f>SUMIFS(TableDailySummary[Ventas primer cliente],TableDailySummary[Fecha],"&gt;="&amp;TableWeeklySummary[[#This Row],[Desde]],TableDailySummary[Fecha],"&lt;="&amp;TableWeeklySummary[[#This Row],[Hasta]])</f>
        <v>0</v>
      </c>
      <c r="K419" s="11">
        <f>SUMIFS(TableDailySummary[Órdenes primer cliente],TableDailySummary[Fecha],"&gt;="&amp;TableWeeklySummary[[#This Row],[Desde]],TableDailySummary[Fecha],"&lt;="&amp;TableWeeklySummary[[#This Row],[Hasta]])</f>
        <v>0</v>
      </c>
      <c r="L419" s="11">
        <f>SUMIFS(TableDailySummary[Online Store_net_sales],TableDailySummary[Fecha],"&gt;="&amp;TableWeeklySummary[[#This Row],[Desde]],TableDailySummary[Fecha],"&lt;="&amp;TableWeeklySummary[[#This Row],[Hasta]])</f>
        <v>0</v>
      </c>
      <c r="M419" s="11">
        <f>SUMIFS(TableDailySummary[Online Store_orders],TableDailySummary[Fecha],"&gt;="&amp;TableWeeklySummary[[#This Row],[Desde]],TableDailySummary[Fecha],"&lt;="&amp;TableWeeklySummary[[#This Row],[Hasta]])</f>
        <v>0</v>
      </c>
      <c r="N419" s="11">
        <f>SUMIFS(TableDailySummary[Tienda 81_net_sales],TableDailySummary[Fecha],"&gt;="&amp;TableWeeklySummary[[#This Row],[Desde]],TableDailySummary[Fecha],"&lt;="&amp;TableWeeklySummary[[#This Row],[Hasta]])</f>
        <v>0</v>
      </c>
      <c r="O419" s="11">
        <f>SUMIFS(TableDailySummary[Tienda 81_orders],TableDailySummary[Fecha],"&gt;="&amp;TableWeeklySummary[[#This Row],[Desde]],TableDailySummary[Fecha],"&lt;="&amp;TableWeeklySummary[[#This Row],[Hasta]])</f>
        <v>0</v>
      </c>
      <c r="P419" s="11">
        <f>SUMIFS(TableDailySummary[Rappi_net_sales],TableDailySummary[Fecha],"&gt;="&amp;TableWeeklySummary[[#This Row],[Desde]],TableDailySummary[Fecha],"&lt;="&amp;TableWeeklySummary[[#This Row],[Hasta]])</f>
        <v>0</v>
      </c>
      <c r="Q419" s="11">
        <f>SUMIFS(TableDailySummary[Rappi_orders],TableDailySummary[Fecha],"&gt;="&amp;TableWeeklySummary[[#This Row],[Desde]],TableDailySummary[Fecha],"&lt;="&amp;TableWeeklySummary[[#This Row],[Hasta]])</f>
        <v>0</v>
      </c>
      <c r="R41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19" s="11">
        <f>SUMIFS(TableDailySummary[Corporativo no tienda_orders],TableDailySummary[Fecha],"&gt;="&amp;TableWeeklySummary[[#This Row],[Desde]],TableDailySummary[Fecha],"&lt;="&amp;TableWeeklySummary[[#This Row],[Hasta]])</f>
        <v>0</v>
      </c>
      <c r="T419" s="11">
        <f>SUMIFS(TableDailySummary[Inversión google ads],TableDailySummary[Fecha],"&gt;="&amp;TableWeeklySummary[[#This Row],[Desde]],TableDailySummary[Fecha],"&lt;="&amp;TableWeeklySummary[[#This Row],[Hasta]])</f>
        <v>0</v>
      </c>
      <c r="U419" s="11">
        <f>SUMIFS(TableDailySummary[Ventas google ads],TableDailySummary[Fecha],"&gt;="&amp;TableWeeklySummary[[#This Row],[Desde]],TableDailySummary[Fecha],"&lt;="&amp;TableWeeklySummary[[#This Row],[Hasta]])</f>
        <v>0</v>
      </c>
      <c r="V419" s="11">
        <f>SUMIFS(TableDailySummary[Inversión meta ads],TableDailySummary[Fecha],"&gt;="&amp;TableWeeklySummary[[#This Row],[Desde]],TableDailySummary[Fecha],"&lt;="&amp;TableWeeklySummary[[#This Row],[Hasta]])</f>
        <v>0</v>
      </c>
      <c r="W419" s="11">
        <f>SUMIFS(TableDailySummary[Ventas meta ads],TableDailySummary[Fecha],"&gt;="&amp;TableWeeklySummary[[#This Row],[Desde]],TableDailySummary[Fecha],"&lt;="&amp;TableWeeklySummary[[#This Row],[Hasta]])</f>
        <v>0</v>
      </c>
      <c r="X419" s="11">
        <f>TableWeeklySummary[[#This Row],[Inversión google ads]]+TableWeeklySummary[[#This Row],[Inversión meta ads]]</f>
        <v>0</v>
      </c>
      <c r="Y419" s="11">
        <f>TableWeeklySummary[[#This Row],[Ventas google ads]]+TableWeeklySummary[[#This Row],[Ventas meta ads]]</f>
        <v>0</v>
      </c>
      <c r="Z419" s="14">
        <f>IFERROR(TableWeeklySummary[[#This Row],[Ventas publicidad]]/TableWeeklySummary[[#This Row],[Inversión publicidad]],0)</f>
        <v>0</v>
      </c>
      <c r="AA419" s="14">
        <f>IFERROR(TableWeeklySummary[[#This Row],[Ventas primer cliente]]/TableWeeklySummary[[#This Row],[Inversión publicidad]],0)</f>
        <v>0</v>
      </c>
      <c r="AB419" s="14"/>
      <c r="AC419" s="11"/>
      <c r="AI41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19" s="11">
        <f>SUMIFS(TableDailySummary[Costo de ventas registrado],TableDailySummary[Fecha],"&gt;="&amp;TableWeeklySummary[[#This Row],[Desde]],TableDailySummary[Fecha],"&lt;="&amp;TableWeeklySummary[[#This Row],[Hasta]])</f>
        <v>0</v>
      </c>
      <c r="AK419" s="11">
        <f>SUMIFS(TableDailySummary[Utilidad bruta],TableDailySummary[Fecha],"&gt;="&amp;TableWeeklySummary[[#This Row],[Desde]],TableDailySummary[Fecha],"&lt;="&amp;TableWeeklySummary[[#This Row],[Hasta]])</f>
        <v>0</v>
      </c>
      <c r="AL419" s="18">
        <f>IFERROR(TableWeeklySummary[[#This Row],[Utilidad bruta]]/TableWeeklySummary[[#This Row],[Ventas netas con costo registrado]],0)</f>
        <v>0</v>
      </c>
    </row>
    <row r="420" spans="2:38" x14ac:dyDescent="0.2">
      <c r="B420" s="16">
        <f>_xlfn.ISOWEEKNUM(TableWeeklySummary[[#This Row],[Hasta]])</f>
        <v>44</v>
      </c>
      <c r="C420" s="6">
        <f t="shared" si="8"/>
        <v>47417</v>
      </c>
      <c r="D420" s="6">
        <f>TableWeeklySummary[[#This Row],[Desde]]+7-1</f>
        <v>47423</v>
      </c>
      <c r="E420" s="11">
        <f>SUMIFS(TableDailySummary[Ventas netas totales],TableDailySummary[Fecha],"&gt;="&amp;TableWeeklySummary[[#This Row],[Desde]],TableDailySummary[Fecha],"&lt;="&amp;TableWeeklySummary[[#This Row],[Hasta]])</f>
        <v>0</v>
      </c>
      <c r="F420" s="11">
        <f>SUMIFS(TableDailySummary[Órdenes totales],TableDailySummary[Fecha],"&gt;="&amp;TableWeeklySummary[[#This Row],[Desde]],TableDailySummary[Fecha],"&lt;="&amp;TableWeeklySummary[[#This Row],[Hasta]])</f>
        <v>0</v>
      </c>
      <c r="G420" s="11">
        <f>IFERROR(TableWeeklySummary[[#This Row],[Ventas netas totales]]/TableWeeklySummary[[#This Row],[Órdenes totales]],0)</f>
        <v>0</v>
      </c>
      <c r="H42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0" s="11">
        <f>TableWeeklySummary[[#This Row],[Órden promedio totales]]*TableWeeklySummary[[#This Row],[CR totales]]</f>
        <v>0</v>
      </c>
      <c r="J420" s="11">
        <f>SUMIFS(TableDailySummary[Ventas primer cliente],TableDailySummary[Fecha],"&gt;="&amp;TableWeeklySummary[[#This Row],[Desde]],TableDailySummary[Fecha],"&lt;="&amp;TableWeeklySummary[[#This Row],[Hasta]])</f>
        <v>0</v>
      </c>
      <c r="K420" s="11">
        <f>SUMIFS(TableDailySummary[Órdenes primer cliente],TableDailySummary[Fecha],"&gt;="&amp;TableWeeklySummary[[#This Row],[Desde]],TableDailySummary[Fecha],"&lt;="&amp;TableWeeklySummary[[#This Row],[Hasta]])</f>
        <v>0</v>
      </c>
      <c r="L420" s="11">
        <f>SUMIFS(TableDailySummary[Online Store_net_sales],TableDailySummary[Fecha],"&gt;="&amp;TableWeeklySummary[[#This Row],[Desde]],TableDailySummary[Fecha],"&lt;="&amp;TableWeeklySummary[[#This Row],[Hasta]])</f>
        <v>0</v>
      </c>
      <c r="M420" s="11">
        <f>SUMIFS(TableDailySummary[Online Store_orders],TableDailySummary[Fecha],"&gt;="&amp;TableWeeklySummary[[#This Row],[Desde]],TableDailySummary[Fecha],"&lt;="&amp;TableWeeklySummary[[#This Row],[Hasta]])</f>
        <v>0</v>
      </c>
      <c r="N420" s="11">
        <f>SUMIFS(TableDailySummary[Tienda 81_net_sales],TableDailySummary[Fecha],"&gt;="&amp;TableWeeklySummary[[#This Row],[Desde]],TableDailySummary[Fecha],"&lt;="&amp;TableWeeklySummary[[#This Row],[Hasta]])</f>
        <v>0</v>
      </c>
      <c r="O420" s="11">
        <f>SUMIFS(TableDailySummary[Tienda 81_orders],TableDailySummary[Fecha],"&gt;="&amp;TableWeeklySummary[[#This Row],[Desde]],TableDailySummary[Fecha],"&lt;="&amp;TableWeeklySummary[[#This Row],[Hasta]])</f>
        <v>0</v>
      </c>
      <c r="P420" s="11">
        <f>SUMIFS(TableDailySummary[Rappi_net_sales],TableDailySummary[Fecha],"&gt;="&amp;TableWeeklySummary[[#This Row],[Desde]],TableDailySummary[Fecha],"&lt;="&amp;TableWeeklySummary[[#This Row],[Hasta]])</f>
        <v>0</v>
      </c>
      <c r="Q420" s="11">
        <f>SUMIFS(TableDailySummary[Rappi_orders],TableDailySummary[Fecha],"&gt;="&amp;TableWeeklySummary[[#This Row],[Desde]],TableDailySummary[Fecha],"&lt;="&amp;TableWeeklySummary[[#This Row],[Hasta]])</f>
        <v>0</v>
      </c>
      <c r="R42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0" s="11">
        <f>SUMIFS(TableDailySummary[Corporativo no tienda_orders],TableDailySummary[Fecha],"&gt;="&amp;TableWeeklySummary[[#This Row],[Desde]],TableDailySummary[Fecha],"&lt;="&amp;TableWeeklySummary[[#This Row],[Hasta]])</f>
        <v>0</v>
      </c>
      <c r="T420" s="11">
        <f>SUMIFS(TableDailySummary[Inversión google ads],TableDailySummary[Fecha],"&gt;="&amp;TableWeeklySummary[[#This Row],[Desde]],TableDailySummary[Fecha],"&lt;="&amp;TableWeeklySummary[[#This Row],[Hasta]])</f>
        <v>0</v>
      </c>
      <c r="U420" s="11">
        <f>SUMIFS(TableDailySummary[Ventas google ads],TableDailySummary[Fecha],"&gt;="&amp;TableWeeklySummary[[#This Row],[Desde]],TableDailySummary[Fecha],"&lt;="&amp;TableWeeklySummary[[#This Row],[Hasta]])</f>
        <v>0</v>
      </c>
      <c r="V420" s="11">
        <f>SUMIFS(TableDailySummary[Inversión meta ads],TableDailySummary[Fecha],"&gt;="&amp;TableWeeklySummary[[#This Row],[Desde]],TableDailySummary[Fecha],"&lt;="&amp;TableWeeklySummary[[#This Row],[Hasta]])</f>
        <v>0</v>
      </c>
      <c r="W420" s="11">
        <f>SUMIFS(TableDailySummary[Ventas meta ads],TableDailySummary[Fecha],"&gt;="&amp;TableWeeklySummary[[#This Row],[Desde]],TableDailySummary[Fecha],"&lt;="&amp;TableWeeklySummary[[#This Row],[Hasta]])</f>
        <v>0</v>
      </c>
      <c r="X420" s="11">
        <f>TableWeeklySummary[[#This Row],[Inversión google ads]]+TableWeeklySummary[[#This Row],[Inversión meta ads]]</f>
        <v>0</v>
      </c>
      <c r="Y420" s="11">
        <f>TableWeeklySummary[[#This Row],[Ventas google ads]]+TableWeeklySummary[[#This Row],[Ventas meta ads]]</f>
        <v>0</v>
      </c>
      <c r="Z420" s="14">
        <f>IFERROR(TableWeeklySummary[[#This Row],[Ventas publicidad]]/TableWeeklySummary[[#This Row],[Inversión publicidad]],0)</f>
        <v>0</v>
      </c>
      <c r="AA420" s="14">
        <f>IFERROR(TableWeeklySummary[[#This Row],[Ventas primer cliente]]/TableWeeklySummary[[#This Row],[Inversión publicidad]],0)</f>
        <v>0</v>
      </c>
      <c r="AB420" s="14"/>
      <c r="AC420" s="11"/>
      <c r="AI42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0" s="11">
        <f>SUMIFS(TableDailySummary[Costo de ventas registrado],TableDailySummary[Fecha],"&gt;="&amp;TableWeeklySummary[[#This Row],[Desde]],TableDailySummary[Fecha],"&lt;="&amp;TableWeeklySummary[[#This Row],[Hasta]])</f>
        <v>0</v>
      </c>
      <c r="AK420" s="11">
        <f>SUMIFS(TableDailySummary[Utilidad bruta],TableDailySummary[Fecha],"&gt;="&amp;TableWeeklySummary[[#This Row],[Desde]],TableDailySummary[Fecha],"&lt;="&amp;TableWeeklySummary[[#This Row],[Hasta]])</f>
        <v>0</v>
      </c>
      <c r="AL420" s="18">
        <f>IFERROR(TableWeeklySummary[[#This Row],[Utilidad bruta]]/TableWeeklySummary[[#This Row],[Ventas netas con costo registrado]],0)</f>
        <v>0</v>
      </c>
    </row>
    <row r="421" spans="2:38" x14ac:dyDescent="0.2">
      <c r="B421" s="16">
        <f>_xlfn.ISOWEEKNUM(TableWeeklySummary[[#This Row],[Hasta]])</f>
        <v>45</v>
      </c>
      <c r="C421" s="6">
        <f t="shared" si="8"/>
        <v>47424</v>
      </c>
      <c r="D421" s="6">
        <f>TableWeeklySummary[[#This Row],[Desde]]+7-1</f>
        <v>47430</v>
      </c>
      <c r="E421" s="11">
        <f>SUMIFS(TableDailySummary[Ventas netas totales],TableDailySummary[Fecha],"&gt;="&amp;TableWeeklySummary[[#This Row],[Desde]],TableDailySummary[Fecha],"&lt;="&amp;TableWeeklySummary[[#This Row],[Hasta]])</f>
        <v>0</v>
      </c>
      <c r="F421" s="11">
        <f>SUMIFS(TableDailySummary[Órdenes totales],TableDailySummary[Fecha],"&gt;="&amp;TableWeeklySummary[[#This Row],[Desde]],TableDailySummary[Fecha],"&lt;="&amp;TableWeeklySummary[[#This Row],[Hasta]])</f>
        <v>0</v>
      </c>
      <c r="G421" s="11">
        <f>IFERROR(TableWeeklySummary[[#This Row],[Ventas netas totales]]/TableWeeklySummary[[#This Row],[Órdenes totales]],0)</f>
        <v>0</v>
      </c>
      <c r="H42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1" s="11">
        <f>TableWeeklySummary[[#This Row],[Órden promedio totales]]*TableWeeklySummary[[#This Row],[CR totales]]</f>
        <v>0</v>
      </c>
      <c r="J421" s="11">
        <f>SUMIFS(TableDailySummary[Ventas primer cliente],TableDailySummary[Fecha],"&gt;="&amp;TableWeeklySummary[[#This Row],[Desde]],TableDailySummary[Fecha],"&lt;="&amp;TableWeeklySummary[[#This Row],[Hasta]])</f>
        <v>0</v>
      </c>
      <c r="K421" s="11">
        <f>SUMIFS(TableDailySummary[Órdenes primer cliente],TableDailySummary[Fecha],"&gt;="&amp;TableWeeklySummary[[#This Row],[Desde]],TableDailySummary[Fecha],"&lt;="&amp;TableWeeklySummary[[#This Row],[Hasta]])</f>
        <v>0</v>
      </c>
      <c r="L421" s="11">
        <f>SUMIFS(TableDailySummary[Online Store_net_sales],TableDailySummary[Fecha],"&gt;="&amp;TableWeeklySummary[[#This Row],[Desde]],TableDailySummary[Fecha],"&lt;="&amp;TableWeeklySummary[[#This Row],[Hasta]])</f>
        <v>0</v>
      </c>
      <c r="M421" s="11">
        <f>SUMIFS(TableDailySummary[Online Store_orders],TableDailySummary[Fecha],"&gt;="&amp;TableWeeklySummary[[#This Row],[Desde]],TableDailySummary[Fecha],"&lt;="&amp;TableWeeklySummary[[#This Row],[Hasta]])</f>
        <v>0</v>
      </c>
      <c r="N421" s="11">
        <f>SUMIFS(TableDailySummary[Tienda 81_net_sales],TableDailySummary[Fecha],"&gt;="&amp;TableWeeklySummary[[#This Row],[Desde]],TableDailySummary[Fecha],"&lt;="&amp;TableWeeklySummary[[#This Row],[Hasta]])</f>
        <v>0</v>
      </c>
      <c r="O421" s="11">
        <f>SUMIFS(TableDailySummary[Tienda 81_orders],TableDailySummary[Fecha],"&gt;="&amp;TableWeeklySummary[[#This Row],[Desde]],TableDailySummary[Fecha],"&lt;="&amp;TableWeeklySummary[[#This Row],[Hasta]])</f>
        <v>0</v>
      </c>
      <c r="P421" s="11">
        <f>SUMIFS(TableDailySummary[Rappi_net_sales],TableDailySummary[Fecha],"&gt;="&amp;TableWeeklySummary[[#This Row],[Desde]],TableDailySummary[Fecha],"&lt;="&amp;TableWeeklySummary[[#This Row],[Hasta]])</f>
        <v>0</v>
      </c>
      <c r="Q421" s="11">
        <f>SUMIFS(TableDailySummary[Rappi_orders],TableDailySummary[Fecha],"&gt;="&amp;TableWeeklySummary[[#This Row],[Desde]],TableDailySummary[Fecha],"&lt;="&amp;TableWeeklySummary[[#This Row],[Hasta]])</f>
        <v>0</v>
      </c>
      <c r="R42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1" s="11">
        <f>SUMIFS(TableDailySummary[Corporativo no tienda_orders],TableDailySummary[Fecha],"&gt;="&amp;TableWeeklySummary[[#This Row],[Desde]],TableDailySummary[Fecha],"&lt;="&amp;TableWeeklySummary[[#This Row],[Hasta]])</f>
        <v>0</v>
      </c>
      <c r="T421" s="11">
        <f>SUMIFS(TableDailySummary[Inversión google ads],TableDailySummary[Fecha],"&gt;="&amp;TableWeeklySummary[[#This Row],[Desde]],TableDailySummary[Fecha],"&lt;="&amp;TableWeeklySummary[[#This Row],[Hasta]])</f>
        <v>0</v>
      </c>
      <c r="U421" s="11">
        <f>SUMIFS(TableDailySummary[Ventas google ads],TableDailySummary[Fecha],"&gt;="&amp;TableWeeklySummary[[#This Row],[Desde]],TableDailySummary[Fecha],"&lt;="&amp;TableWeeklySummary[[#This Row],[Hasta]])</f>
        <v>0</v>
      </c>
      <c r="V421" s="11">
        <f>SUMIFS(TableDailySummary[Inversión meta ads],TableDailySummary[Fecha],"&gt;="&amp;TableWeeklySummary[[#This Row],[Desde]],TableDailySummary[Fecha],"&lt;="&amp;TableWeeklySummary[[#This Row],[Hasta]])</f>
        <v>0</v>
      </c>
      <c r="W421" s="11">
        <f>SUMIFS(TableDailySummary[Ventas meta ads],TableDailySummary[Fecha],"&gt;="&amp;TableWeeklySummary[[#This Row],[Desde]],TableDailySummary[Fecha],"&lt;="&amp;TableWeeklySummary[[#This Row],[Hasta]])</f>
        <v>0</v>
      </c>
      <c r="X421" s="11">
        <f>TableWeeklySummary[[#This Row],[Inversión google ads]]+TableWeeklySummary[[#This Row],[Inversión meta ads]]</f>
        <v>0</v>
      </c>
      <c r="Y421" s="11">
        <f>TableWeeklySummary[[#This Row],[Ventas google ads]]+TableWeeklySummary[[#This Row],[Ventas meta ads]]</f>
        <v>0</v>
      </c>
      <c r="Z421" s="14">
        <f>IFERROR(TableWeeklySummary[[#This Row],[Ventas publicidad]]/TableWeeklySummary[[#This Row],[Inversión publicidad]],0)</f>
        <v>0</v>
      </c>
      <c r="AA421" s="14">
        <f>IFERROR(TableWeeklySummary[[#This Row],[Ventas primer cliente]]/TableWeeklySummary[[#This Row],[Inversión publicidad]],0)</f>
        <v>0</v>
      </c>
      <c r="AB421" s="14"/>
      <c r="AC421" s="11"/>
      <c r="AI42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1" s="11">
        <f>SUMIFS(TableDailySummary[Costo de ventas registrado],TableDailySummary[Fecha],"&gt;="&amp;TableWeeklySummary[[#This Row],[Desde]],TableDailySummary[Fecha],"&lt;="&amp;TableWeeklySummary[[#This Row],[Hasta]])</f>
        <v>0</v>
      </c>
      <c r="AK421" s="11">
        <f>SUMIFS(TableDailySummary[Utilidad bruta],TableDailySummary[Fecha],"&gt;="&amp;TableWeeklySummary[[#This Row],[Desde]],TableDailySummary[Fecha],"&lt;="&amp;TableWeeklySummary[[#This Row],[Hasta]])</f>
        <v>0</v>
      </c>
      <c r="AL421" s="18">
        <f>IFERROR(TableWeeklySummary[[#This Row],[Utilidad bruta]]/TableWeeklySummary[[#This Row],[Ventas netas con costo registrado]],0)</f>
        <v>0</v>
      </c>
    </row>
    <row r="422" spans="2:38" x14ac:dyDescent="0.2">
      <c r="B422" s="16">
        <f>_xlfn.ISOWEEKNUM(TableWeeklySummary[[#This Row],[Hasta]])</f>
        <v>46</v>
      </c>
      <c r="C422" s="6">
        <f t="shared" si="8"/>
        <v>47431</v>
      </c>
      <c r="D422" s="6">
        <f>TableWeeklySummary[[#This Row],[Desde]]+7-1</f>
        <v>47437</v>
      </c>
      <c r="E422" s="11">
        <f>SUMIFS(TableDailySummary[Ventas netas totales],TableDailySummary[Fecha],"&gt;="&amp;TableWeeklySummary[[#This Row],[Desde]],TableDailySummary[Fecha],"&lt;="&amp;TableWeeklySummary[[#This Row],[Hasta]])</f>
        <v>0</v>
      </c>
      <c r="F422" s="11">
        <f>SUMIFS(TableDailySummary[Órdenes totales],TableDailySummary[Fecha],"&gt;="&amp;TableWeeklySummary[[#This Row],[Desde]],TableDailySummary[Fecha],"&lt;="&amp;TableWeeklySummary[[#This Row],[Hasta]])</f>
        <v>0</v>
      </c>
      <c r="G422" s="11">
        <f>IFERROR(TableWeeklySummary[[#This Row],[Ventas netas totales]]/TableWeeklySummary[[#This Row],[Órdenes totales]],0)</f>
        <v>0</v>
      </c>
      <c r="H42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2" s="11">
        <f>TableWeeklySummary[[#This Row],[Órden promedio totales]]*TableWeeklySummary[[#This Row],[CR totales]]</f>
        <v>0</v>
      </c>
      <c r="J422" s="11">
        <f>SUMIFS(TableDailySummary[Ventas primer cliente],TableDailySummary[Fecha],"&gt;="&amp;TableWeeklySummary[[#This Row],[Desde]],TableDailySummary[Fecha],"&lt;="&amp;TableWeeklySummary[[#This Row],[Hasta]])</f>
        <v>0</v>
      </c>
      <c r="K422" s="11">
        <f>SUMIFS(TableDailySummary[Órdenes primer cliente],TableDailySummary[Fecha],"&gt;="&amp;TableWeeklySummary[[#This Row],[Desde]],TableDailySummary[Fecha],"&lt;="&amp;TableWeeklySummary[[#This Row],[Hasta]])</f>
        <v>0</v>
      </c>
      <c r="L422" s="11">
        <f>SUMIFS(TableDailySummary[Online Store_net_sales],TableDailySummary[Fecha],"&gt;="&amp;TableWeeklySummary[[#This Row],[Desde]],TableDailySummary[Fecha],"&lt;="&amp;TableWeeklySummary[[#This Row],[Hasta]])</f>
        <v>0</v>
      </c>
      <c r="M422" s="11">
        <f>SUMIFS(TableDailySummary[Online Store_orders],TableDailySummary[Fecha],"&gt;="&amp;TableWeeklySummary[[#This Row],[Desde]],TableDailySummary[Fecha],"&lt;="&amp;TableWeeklySummary[[#This Row],[Hasta]])</f>
        <v>0</v>
      </c>
      <c r="N422" s="11">
        <f>SUMIFS(TableDailySummary[Tienda 81_net_sales],TableDailySummary[Fecha],"&gt;="&amp;TableWeeklySummary[[#This Row],[Desde]],TableDailySummary[Fecha],"&lt;="&amp;TableWeeklySummary[[#This Row],[Hasta]])</f>
        <v>0</v>
      </c>
      <c r="O422" s="11">
        <f>SUMIFS(TableDailySummary[Tienda 81_orders],TableDailySummary[Fecha],"&gt;="&amp;TableWeeklySummary[[#This Row],[Desde]],TableDailySummary[Fecha],"&lt;="&amp;TableWeeklySummary[[#This Row],[Hasta]])</f>
        <v>0</v>
      </c>
      <c r="P422" s="11">
        <f>SUMIFS(TableDailySummary[Rappi_net_sales],TableDailySummary[Fecha],"&gt;="&amp;TableWeeklySummary[[#This Row],[Desde]],TableDailySummary[Fecha],"&lt;="&amp;TableWeeklySummary[[#This Row],[Hasta]])</f>
        <v>0</v>
      </c>
      <c r="Q422" s="11">
        <f>SUMIFS(TableDailySummary[Rappi_orders],TableDailySummary[Fecha],"&gt;="&amp;TableWeeklySummary[[#This Row],[Desde]],TableDailySummary[Fecha],"&lt;="&amp;TableWeeklySummary[[#This Row],[Hasta]])</f>
        <v>0</v>
      </c>
      <c r="R42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2" s="11">
        <f>SUMIFS(TableDailySummary[Corporativo no tienda_orders],TableDailySummary[Fecha],"&gt;="&amp;TableWeeklySummary[[#This Row],[Desde]],TableDailySummary[Fecha],"&lt;="&amp;TableWeeklySummary[[#This Row],[Hasta]])</f>
        <v>0</v>
      </c>
      <c r="T422" s="11">
        <f>SUMIFS(TableDailySummary[Inversión google ads],TableDailySummary[Fecha],"&gt;="&amp;TableWeeklySummary[[#This Row],[Desde]],TableDailySummary[Fecha],"&lt;="&amp;TableWeeklySummary[[#This Row],[Hasta]])</f>
        <v>0</v>
      </c>
      <c r="U422" s="11">
        <f>SUMIFS(TableDailySummary[Ventas google ads],TableDailySummary[Fecha],"&gt;="&amp;TableWeeklySummary[[#This Row],[Desde]],TableDailySummary[Fecha],"&lt;="&amp;TableWeeklySummary[[#This Row],[Hasta]])</f>
        <v>0</v>
      </c>
      <c r="V422" s="11">
        <f>SUMIFS(TableDailySummary[Inversión meta ads],TableDailySummary[Fecha],"&gt;="&amp;TableWeeklySummary[[#This Row],[Desde]],TableDailySummary[Fecha],"&lt;="&amp;TableWeeklySummary[[#This Row],[Hasta]])</f>
        <v>0</v>
      </c>
      <c r="W422" s="11">
        <f>SUMIFS(TableDailySummary[Ventas meta ads],TableDailySummary[Fecha],"&gt;="&amp;TableWeeklySummary[[#This Row],[Desde]],TableDailySummary[Fecha],"&lt;="&amp;TableWeeklySummary[[#This Row],[Hasta]])</f>
        <v>0</v>
      </c>
      <c r="X422" s="11">
        <f>TableWeeklySummary[[#This Row],[Inversión google ads]]+TableWeeklySummary[[#This Row],[Inversión meta ads]]</f>
        <v>0</v>
      </c>
      <c r="Y422" s="11">
        <f>TableWeeklySummary[[#This Row],[Ventas google ads]]+TableWeeklySummary[[#This Row],[Ventas meta ads]]</f>
        <v>0</v>
      </c>
      <c r="Z422" s="14">
        <f>IFERROR(TableWeeklySummary[[#This Row],[Ventas publicidad]]/TableWeeklySummary[[#This Row],[Inversión publicidad]],0)</f>
        <v>0</v>
      </c>
      <c r="AA422" s="14">
        <f>IFERROR(TableWeeklySummary[[#This Row],[Ventas primer cliente]]/TableWeeklySummary[[#This Row],[Inversión publicidad]],0)</f>
        <v>0</v>
      </c>
      <c r="AB422" s="14"/>
      <c r="AC422" s="11"/>
      <c r="AI42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2" s="11">
        <f>SUMIFS(TableDailySummary[Costo de ventas registrado],TableDailySummary[Fecha],"&gt;="&amp;TableWeeklySummary[[#This Row],[Desde]],TableDailySummary[Fecha],"&lt;="&amp;TableWeeklySummary[[#This Row],[Hasta]])</f>
        <v>0</v>
      </c>
      <c r="AK422" s="11">
        <f>SUMIFS(TableDailySummary[Utilidad bruta],TableDailySummary[Fecha],"&gt;="&amp;TableWeeklySummary[[#This Row],[Desde]],TableDailySummary[Fecha],"&lt;="&amp;TableWeeklySummary[[#This Row],[Hasta]])</f>
        <v>0</v>
      </c>
      <c r="AL422" s="18">
        <f>IFERROR(TableWeeklySummary[[#This Row],[Utilidad bruta]]/TableWeeklySummary[[#This Row],[Ventas netas con costo registrado]],0)</f>
        <v>0</v>
      </c>
    </row>
    <row r="423" spans="2:38" x14ac:dyDescent="0.2">
      <c r="B423" s="16">
        <f>_xlfn.ISOWEEKNUM(TableWeeklySummary[[#This Row],[Hasta]])</f>
        <v>47</v>
      </c>
      <c r="C423" s="6">
        <f t="shared" si="8"/>
        <v>47438</v>
      </c>
      <c r="D423" s="6">
        <f>TableWeeklySummary[[#This Row],[Desde]]+7-1</f>
        <v>47444</v>
      </c>
      <c r="E423" s="11">
        <f>SUMIFS(TableDailySummary[Ventas netas totales],TableDailySummary[Fecha],"&gt;="&amp;TableWeeklySummary[[#This Row],[Desde]],TableDailySummary[Fecha],"&lt;="&amp;TableWeeklySummary[[#This Row],[Hasta]])</f>
        <v>0</v>
      </c>
      <c r="F423" s="11">
        <f>SUMIFS(TableDailySummary[Órdenes totales],TableDailySummary[Fecha],"&gt;="&amp;TableWeeklySummary[[#This Row],[Desde]],TableDailySummary[Fecha],"&lt;="&amp;TableWeeklySummary[[#This Row],[Hasta]])</f>
        <v>0</v>
      </c>
      <c r="G423" s="11">
        <f>IFERROR(TableWeeklySummary[[#This Row],[Ventas netas totales]]/TableWeeklySummary[[#This Row],[Órdenes totales]],0)</f>
        <v>0</v>
      </c>
      <c r="H42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3" s="11">
        <f>TableWeeklySummary[[#This Row],[Órden promedio totales]]*TableWeeklySummary[[#This Row],[CR totales]]</f>
        <v>0</v>
      </c>
      <c r="J423" s="11">
        <f>SUMIFS(TableDailySummary[Ventas primer cliente],TableDailySummary[Fecha],"&gt;="&amp;TableWeeklySummary[[#This Row],[Desde]],TableDailySummary[Fecha],"&lt;="&amp;TableWeeklySummary[[#This Row],[Hasta]])</f>
        <v>0</v>
      </c>
      <c r="K423" s="11">
        <f>SUMIFS(TableDailySummary[Órdenes primer cliente],TableDailySummary[Fecha],"&gt;="&amp;TableWeeklySummary[[#This Row],[Desde]],TableDailySummary[Fecha],"&lt;="&amp;TableWeeklySummary[[#This Row],[Hasta]])</f>
        <v>0</v>
      </c>
      <c r="L423" s="11">
        <f>SUMIFS(TableDailySummary[Online Store_net_sales],TableDailySummary[Fecha],"&gt;="&amp;TableWeeklySummary[[#This Row],[Desde]],TableDailySummary[Fecha],"&lt;="&amp;TableWeeklySummary[[#This Row],[Hasta]])</f>
        <v>0</v>
      </c>
      <c r="M423" s="11">
        <f>SUMIFS(TableDailySummary[Online Store_orders],TableDailySummary[Fecha],"&gt;="&amp;TableWeeklySummary[[#This Row],[Desde]],TableDailySummary[Fecha],"&lt;="&amp;TableWeeklySummary[[#This Row],[Hasta]])</f>
        <v>0</v>
      </c>
      <c r="N423" s="11">
        <f>SUMIFS(TableDailySummary[Tienda 81_net_sales],TableDailySummary[Fecha],"&gt;="&amp;TableWeeklySummary[[#This Row],[Desde]],TableDailySummary[Fecha],"&lt;="&amp;TableWeeklySummary[[#This Row],[Hasta]])</f>
        <v>0</v>
      </c>
      <c r="O423" s="11">
        <f>SUMIFS(TableDailySummary[Tienda 81_orders],TableDailySummary[Fecha],"&gt;="&amp;TableWeeklySummary[[#This Row],[Desde]],TableDailySummary[Fecha],"&lt;="&amp;TableWeeklySummary[[#This Row],[Hasta]])</f>
        <v>0</v>
      </c>
      <c r="P423" s="11">
        <f>SUMIFS(TableDailySummary[Rappi_net_sales],TableDailySummary[Fecha],"&gt;="&amp;TableWeeklySummary[[#This Row],[Desde]],TableDailySummary[Fecha],"&lt;="&amp;TableWeeklySummary[[#This Row],[Hasta]])</f>
        <v>0</v>
      </c>
      <c r="Q423" s="11">
        <f>SUMIFS(TableDailySummary[Rappi_orders],TableDailySummary[Fecha],"&gt;="&amp;TableWeeklySummary[[#This Row],[Desde]],TableDailySummary[Fecha],"&lt;="&amp;TableWeeklySummary[[#This Row],[Hasta]])</f>
        <v>0</v>
      </c>
      <c r="R42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3" s="11">
        <f>SUMIFS(TableDailySummary[Corporativo no tienda_orders],TableDailySummary[Fecha],"&gt;="&amp;TableWeeklySummary[[#This Row],[Desde]],TableDailySummary[Fecha],"&lt;="&amp;TableWeeklySummary[[#This Row],[Hasta]])</f>
        <v>0</v>
      </c>
      <c r="T423" s="11">
        <f>SUMIFS(TableDailySummary[Inversión google ads],TableDailySummary[Fecha],"&gt;="&amp;TableWeeklySummary[[#This Row],[Desde]],TableDailySummary[Fecha],"&lt;="&amp;TableWeeklySummary[[#This Row],[Hasta]])</f>
        <v>0</v>
      </c>
      <c r="U423" s="11">
        <f>SUMIFS(TableDailySummary[Ventas google ads],TableDailySummary[Fecha],"&gt;="&amp;TableWeeklySummary[[#This Row],[Desde]],TableDailySummary[Fecha],"&lt;="&amp;TableWeeklySummary[[#This Row],[Hasta]])</f>
        <v>0</v>
      </c>
      <c r="V423" s="11">
        <f>SUMIFS(TableDailySummary[Inversión meta ads],TableDailySummary[Fecha],"&gt;="&amp;TableWeeklySummary[[#This Row],[Desde]],TableDailySummary[Fecha],"&lt;="&amp;TableWeeklySummary[[#This Row],[Hasta]])</f>
        <v>0</v>
      </c>
      <c r="W423" s="11">
        <f>SUMIFS(TableDailySummary[Ventas meta ads],TableDailySummary[Fecha],"&gt;="&amp;TableWeeklySummary[[#This Row],[Desde]],TableDailySummary[Fecha],"&lt;="&amp;TableWeeklySummary[[#This Row],[Hasta]])</f>
        <v>0</v>
      </c>
      <c r="X423" s="11">
        <f>TableWeeklySummary[[#This Row],[Inversión google ads]]+TableWeeklySummary[[#This Row],[Inversión meta ads]]</f>
        <v>0</v>
      </c>
      <c r="Y423" s="11">
        <f>TableWeeklySummary[[#This Row],[Ventas google ads]]+TableWeeklySummary[[#This Row],[Ventas meta ads]]</f>
        <v>0</v>
      </c>
      <c r="Z423" s="14">
        <f>IFERROR(TableWeeklySummary[[#This Row],[Ventas publicidad]]/TableWeeklySummary[[#This Row],[Inversión publicidad]],0)</f>
        <v>0</v>
      </c>
      <c r="AA423" s="14">
        <f>IFERROR(TableWeeklySummary[[#This Row],[Ventas primer cliente]]/TableWeeklySummary[[#This Row],[Inversión publicidad]],0)</f>
        <v>0</v>
      </c>
      <c r="AB423" s="14"/>
      <c r="AC423" s="11"/>
      <c r="AI42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3" s="11">
        <f>SUMIFS(TableDailySummary[Costo de ventas registrado],TableDailySummary[Fecha],"&gt;="&amp;TableWeeklySummary[[#This Row],[Desde]],TableDailySummary[Fecha],"&lt;="&amp;TableWeeklySummary[[#This Row],[Hasta]])</f>
        <v>0</v>
      </c>
      <c r="AK423" s="11">
        <f>SUMIFS(TableDailySummary[Utilidad bruta],TableDailySummary[Fecha],"&gt;="&amp;TableWeeklySummary[[#This Row],[Desde]],TableDailySummary[Fecha],"&lt;="&amp;TableWeeklySummary[[#This Row],[Hasta]])</f>
        <v>0</v>
      </c>
      <c r="AL423" s="18">
        <f>IFERROR(TableWeeklySummary[[#This Row],[Utilidad bruta]]/TableWeeklySummary[[#This Row],[Ventas netas con costo registrado]],0)</f>
        <v>0</v>
      </c>
    </row>
    <row r="424" spans="2:38" x14ac:dyDescent="0.2">
      <c r="B424" s="16">
        <f>_xlfn.ISOWEEKNUM(TableWeeklySummary[[#This Row],[Hasta]])</f>
        <v>48</v>
      </c>
      <c r="C424" s="6">
        <f t="shared" si="8"/>
        <v>47445</v>
      </c>
      <c r="D424" s="6">
        <f>TableWeeklySummary[[#This Row],[Desde]]+7-1</f>
        <v>47451</v>
      </c>
      <c r="E424" s="11">
        <f>SUMIFS(TableDailySummary[Ventas netas totales],TableDailySummary[Fecha],"&gt;="&amp;TableWeeklySummary[[#This Row],[Desde]],TableDailySummary[Fecha],"&lt;="&amp;TableWeeklySummary[[#This Row],[Hasta]])</f>
        <v>0</v>
      </c>
      <c r="F424" s="11">
        <f>SUMIFS(TableDailySummary[Órdenes totales],TableDailySummary[Fecha],"&gt;="&amp;TableWeeklySummary[[#This Row],[Desde]],TableDailySummary[Fecha],"&lt;="&amp;TableWeeklySummary[[#This Row],[Hasta]])</f>
        <v>0</v>
      </c>
      <c r="G424" s="11">
        <f>IFERROR(TableWeeklySummary[[#This Row],[Ventas netas totales]]/TableWeeklySummary[[#This Row],[Órdenes totales]],0)</f>
        <v>0</v>
      </c>
      <c r="H42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4" s="11">
        <f>TableWeeklySummary[[#This Row],[Órden promedio totales]]*TableWeeklySummary[[#This Row],[CR totales]]</f>
        <v>0</v>
      </c>
      <c r="J424" s="11">
        <f>SUMIFS(TableDailySummary[Ventas primer cliente],TableDailySummary[Fecha],"&gt;="&amp;TableWeeklySummary[[#This Row],[Desde]],TableDailySummary[Fecha],"&lt;="&amp;TableWeeklySummary[[#This Row],[Hasta]])</f>
        <v>0</v>
      </c>
      <c r="K424" s="11">
        <f>SUMIFS(TableDailySummary[Órdenes primer cliente],TableDailySummary[Fecha],"&gt;="&amp;TableWeeklySummary[[#This Row],[Desde]],TableDailySummary[Fecha],"&lt;="&amp;TableWeeklySummary[[#This Row],[Hasta]])</f>
        <v>0</v>
      </c>
      <c r="L424" s="11">
        <f>SUMIFS(TableDailySummary[Online Store_net_sales],TableDailySummary[Fecha],"&gt;="&amp;TableWeeklySummary[[#This Row],[Desde]],TableDailySummary[Fecha],"&lt;="&amp;TableWeeklySummary[[#This Row],[Hasta]])</f>
        <v>0</v>
      </c>
      <c r="M424" s="11">
        <f>SUMIFS(TableDailySummary[Online Store_orders],TableDailySummary[Fecha],"&gt;="&amp;TableWeeklySummary[[#This Row],[Desde]],TableDailySummary[Fecha],"&lt;="&amp;TableWeeklySummary[[#This Row],[Hasta]])</f>
        <v>0</v>
      </c>
      <c r="N424" s="11">
        <f>SUMIFS(TableDailySummary[Tienda 81_net_sales],TableDailySummary[Fecha],"&gt;="&amp;TableWeeklySummary[[#This Row],[Desde]],TableDailySummary[Fecha],"&lt;="&amp;TableWeeklySummary[[#This Row],[Hasta]])</f>
        <v>0</v>
      </c>
      <c r="O424" s="11">
        <f>SUMIFS(TableDailySummary[Tienda 81_orders],TableDailySummary[Fecha],"&gt;="&amp;TableWeeklySummary[[#This Row],[Desde]],TableDailySummary[Fecha],"&lt;="&amp;TableWeeklySummary[[#This Row],[Hasta]])</f>
        <v>0</v>
      </c>
      <c r="P424" s="11">
        <f>SUMIFS(TableDailySummary[Rappi_net_sales],TableDailySummary[Fecha],"&gt;="&amp;TableWeeklySummary[[#This Row],[Desde]],TableDailySummary[Fecha],"&lt;="&amp;TableWeeklySummary[[#This Row],[Hasta]])</f>
        <v>0</v>
      </c>
      <c r="Q424" s="11">
        <f>SUMIFS(TableDailySummary[Rappi_orders],TableDailySummary[Fecha],"&gt;="&amp;TableWeeklySummary[[#This Row],[Desde]],TableDailySummary[Fecha],"&lt;="&amp;TableWeeklySummary[[#This Row],[Hasta]])</f>
        <v>0</v>
      </c>
      <c r="R42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4" s="11">
        <f>SUMIFS(TableDailySummary[Corporativo no tienda_orders],TableDailySummary[Fecha],"&gt;="&amp;TableWeeklySummary[[#This Row],[Desde]],TableDailySummary[Fecha],"&lt;="&amp;TableWeeklySummary[[#This Row],[Hasta]])</f>
        <v>0</v>
      </c>
      <c r="T424" s="11">
        <f>SUMIFS(TableDailySummary[Inversión google ads],TableDailySummary[Fecha],"&gt;="&amp;TableWeeklySummary[[#This Row],[Desde]],TableDailySummary[Fecha],"&lt;="&amp;TableWeeklySummary[[#This Row],[Hasta]])</f>
        <v>0</v>
      </c>
      <c r="U424" s="11">
        <f>SUMIFS(TableDailySummary[Ventas google ads],TableDailySummary[Fecha],"&gt;="&amp;TableWeeklySummary[[#This Row],[Desde]],TableDailySummary[Fecha],"&lt;="&amp;TableWeeklySummary[[#This Row],[Hasta]])</f>
        <v>0</v>
      </c>
      <c r="V424" s="11">
        <f>SUMIFS(TableDailySummary[Inversión meta ads],TableDailySummary[Fecha],"&gt;="&amp;TableWeeklySummary[[#This Row],[Desde]],TableDailySummary[Fecha],"&lt;="&amp;TableWeeklySummary[[#This Row],[Hasta]])</f>
        <v>0</v>
      </c>
      <c r="W424" s="11">
        <f>SUMIFS(TableDailySummary[Ventas meta ads],TableDailySummary[Fecha],"&gt;="&amp;TableWeeklySummary[[#This Row],[Desde]],TableDailySummary[Fecha],"&lt;="&amp;TableWeeklySummary[[#This Row],[Hasta]])</f>
        <v>0</v>
      </c>
      <c r="X424" s="11">
        <f>TableWeeklySummary[[#This Row],[Inversión google ads]]+TableWeeklySummary[[#This Row],[Inversión meta ads]]</f>
        <v>0</v>
      </c>
      <c r="Y424" s="11">
        <f>TableWeeklySummary[[#This Row],[Ventas google ads]]+TableWeeklySummary[[#This Row],[Ventas meta ads]]</f>
        <v>0</v>
      </c>
      <c r="Z424" s="14">
        <f>IFERROR(TableWeeklySummary[[#This Row],[Ventas publicidad]]/TableWeeklySummary[[#This Row],[Inversión publicidad]],0)</f>
        <v>0</v>
      </c>
      <c r="AA424" s="14">
        <f>IFERROR(TableWeeklySummary[[#This Row],[Ventas primer cliente]]/TableWeeklySummary[[#This Row],[Inversión publicidad]],0)</f>
        <v>0</v>
      </c>
      <c r="AB424" s="14"/>
      <c r="AC424" s="11"/>
      <c r="AI42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4" s="11">
        <f>SUMIFS(TableDailySummary[Costo de ventas registrado],TableDailySummary[Fecha],"&gt;="&amp;TableWeeklySummary[[#This Row],[Desde]],TableDailySummary[Fecha],"&lt;="&amp;TableWeeklySummary[[#This Row],[Hasta]])</f>
        <v>0</v>
      </c>
      <c r="AK424" s="11">
        <f>SUMIFS(TableDailySummary[Utilidad bruta],TableDailySummary[Fecha],"&gt;="&amp;TableWeeklySummary[[#This Row],[Desde]],TableDailySummary[Fecha],"&lt;="&amp;TableWeeklySummary[[#This Row],[Hasta]])</f>
        <v>0</v>
      </c>
      <c r="AL424" s="18">
        <f>IFERROR(TableWeeklySummary[[#This Row],[Utilidad bruta]]/TableWeeklySummary[[#This Row],[Ventas netas con costo registrado]],0)</f>
        <v>0</v>
      </c>
    </row>
    <row r="425" spans="2:38" x14ac:dyDescent="0.2">
      <c r="B425" s="16">
        <f>_xlfn.ISOWEEKNUM(TableWeeklySummary[[#This Row],[Hasta]])</f>
        <v>49</v>
      </c>
      <c r="C425" s="6">
        <f t="shared" si="8"/>
        <v>47452</v>
      </c>
      <c r="D425" s="6">
        <f>TableWeeklySummary[[#This Row],[Desde]]+7-1</f>
        <v>47458</v>
      </c>
      <c r="E425" s="11">
        <f>SUMIFS(TableDailySummary[Ventas netas totales],TableDailySummary[Fecha],"&gt;="&amp;TableWeeklySummary[[#This Row],[Desde]],TableDailySummary[Fecha],"&lt;="&amp;TableWeeklySummary[[#This Row],[Hasta]])</f>
        <v>0</v>
      </c>
      <c r="F425" s="11">
        <f>SUMIFS(TableDailySummary[Órdenes totales],TableDailySummary[Fecha],"&gt;="&amp;TableWeeklySummary[[#This Row],[Desde]],TableDailySummary[Fecha],"&lt;="&amp;TableWeeklySummary[[#This Row],[Hasta]])</f>
        <v>0</v>
      </c>
      <c r="G425" s="11">
        <f>IFERROR(TableWeeklySummary[[#This Row],[Ventas netas totales]]/TableWeeklySummary[[#This Row],[Órdenes totales]],0)</f>
        <v>0</v>
      </c>
      <c r="H42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5" s="11">
        <f>TableWeeklySummary[[#This Row],[Órden promedio totales]]*TableWeeklySummary[[#This Row],[CR totales]]</f>
        <v>0</v>
      </c>
      <c r="J425" s="11">
        <f>SUMIFS(TableDailySummary[Ventas primer cliente],TableDailySummary[Fecha],"&gt;="&amp;TableWeeklySummary[[#This Row],[Desde]],TableDailySummary[Fecha],"&lt;="&amp;TableWeeklySummary[[#This Row],[Hasta]])</f>
        <v>0</v>
      </c>
      <c r="K425" s="11">
        <f>SUMIFS(TableDailySummary[Órdenes primer cliente],TableDailySummary[Fecha],"&gt;="&amp;TableWeeklySummary[[#This Row],[Desde]],TableDailySummary[Fecha],"&lt;="&amp;TableWeeklySummary[[#This Row],[Hasta]])</f>
        <v>0</v>
      </c>
      <c r="L425" s="11">
        <f>SUMIFS(TableDailySummary[Online Store_net_sales],TableDailySummary[Fecha],"&gt;="&amp;TableWeeklySummary[[#This Row],[Desde]],TableDailySummary[Fecha],"&lt;="&amp;TableWeeklySummary[[#This Row],[Hasta]])</f>
        <v>0</v>
      </c>
      <c r="M425" s="11">
        <f>SUMIFS(TableDailySummary[Online Store_orders],TableDailySummary[Fecha],"&gt;="&amp;TableWeeklySummary[[#This Row],[Desde]],TableDailySummary[Fecha],"&lt;="&amp;TableWeeklySummary[[#This Row],[Hasta]])</f>
        <v>0</v>
      </c>
      <c r="N425" s="11">
        <f>SUMIFS(TableDailySummary[Tienda 81_net_sales],TableDailySummary[Fecha],"&gt;="&amp;TableWeeklySummary[[#This Row],[Desde]],TableDailySummary[Fecha],"&lt;="&amp;TableWeeklySummary[[#This Row],[Hasta]])</f>
        <v>0</v>
      </c>
      <c r="O425" s="11">
        <f>SUMIFS(TableDailySummary[Tienda 81_orders],TableDailySummary[Fecha],"&gt;="&amp;TableWeeklySummary[[#This Row],[Desde]],TableDailySummary[Fecha],"&lt;="&amp;TableWeeklySummary[[#This Row],[Hasta]])</f>
        <v>0</v>
      </c>
      <c r="P425" s="11">
        <f>SUMIFS(TableDailySummary[Rappi_net_sales],TableDailySummary[Fecha],"&gt;="&amp;TableWeeklySummary[[#This Row],[Desde]],TableDailySummary[Fecha],"&lt;="&amp;TableWeeklySummary[[#This Row],[Hasta]])</f>
        <v>0</v>
      </c>
      <c r="Q425" s="11">
        <f>SUMIFS(TableDailySummary[Rappi_orders],TableDailySummary[Fecha],"&gt;="&amp;TableWeeklySummary[[#This Row],[Desde]],TableDailySummary[Fecha],"&lt;="&amp;TableWeeklySummary[[#This Row],[Hasta]])</f>
        <v>0</v>
      </c>
      <c r="R42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5" s="11">
        <f>SUMIFS(TableDailySummary[Corporativo no tienda_orders],TableDailySummary[Fecha],"&gt;="&amp;TableWeeklySummary[[#This Row],[Desde]],TableDailySummary[Fecha],"&lt;="&amp;TableWeeklySummary[[#This Row],[Hasta]])</f>
        <v>0</v>
      </c>
      <c r="T425" s="11">
        <f>SUMIFS(TableDailySummary[Inversión google ads],TableDailySummary[Fecha],"&gt;="&amp;TableWeeklySummary[[#This Row],[Desde]],TableDailySummary[Fecha],"&lt;="&amp;TableWeeklySummary[[#This Row],[Hasta]])</f>
        <v>0</v>
      </c>
      <c r="U425" s="11">
        <f>SUMIFS(TableDailySummary[Ventas google ads],TableDailySummary[Fecha],"&gt;="&amp;TableWeeklySummary[[#This Row],[Desde]],TableDailySummary[Fecha],"&lt;="&amp;TableWeeklySummary[[#This Row],[Hasta]])</f>
        <v>0</v>
      </c>
      <c r="V425" s="11">
        <f>SUMIFS(TableDailySummary[Inversión meta ads],TableDailySummary[Fecha],"&gt;="&amp;TableWeeklySummary[[#This Row],[Desde]],TableDailySummary[Fecha],"&lt;="&amp;TableWeeklySummary[[#This Row],[Hasta]])</f>
        <v>0</v>
      </c>
      <c r="W425" s="11">
        <f>SUMIFS(TableDailySummary[Ventas meta ads],TableDailySummary[Fecha],"&gt;="&amp;TableWeeklySummary[[#This Row],[Desde]],TableDailySummary[Fecha],"&lt;="&amp;TableWeeklySummary[[#This Row],[Hasta]])</f>
        <v>0</v>
      </c>
      <c r="X425" s="11">
        <f>TableWeeklySummary[[#This Row],[Inversión google ads]]+TableWeeklySummary[[#This Row],[Inversión meta ads]]</f>
        <v>0</v>
      </c>
      <c r="Y425" s="11">
        <f>TableWeeklySummary[[#This Row],[Ventas google ads]]+TableWeeklySummary[[#This Row],[Ventas meta ads]]</f>
        <v>0</v>
      </c>
      <c r="Z425" s="14">
        <f>IFERROR(TableWeeklySummary[[#This Row],[Ventas publicidad]]/TableWeeklySummary[[#This Row],[Inversión publicidad]],0)</f>
        <v>0</v>
      </c>
      <c r="AA425" s="14">
        <f>IFERROR(TableWeeklySummary[[#This Row],[Ventas primer cliente]]/TableWeeklySummary[[#This Row],[Inversión publicidad]],0)</f>
        <v>0</v>
      </c>
      <c r="AB425" s="14"/>
      <c r="AC425" s="11"/>
      <c r="AI42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5" s="11">
        <f>SUMIFS(TableDailySummary[Costo de ventas registrado],TableDailySummary[Fecha],"&gt;="&amp;TableWeeklySummary[[#This Row],[Desde]],TableDailySummary[Fecha],"&lt;="&amp;TableWeeklySummary[[#This Row],[Hasta]])</f>
        <v>0</v>
      </c>
      <c r="AK425" s="11">
        <f>SUMIFS(TableDailySummary[Utilidad bruta],TableDailySummary[Fecha],"&gt;="&amp;TableWeeklySummary[[#This Row],[Desde]],TableDailySummary[Fecha],"&lt;="&amp;TableWeeklySummary[[#This Row],[Hasta]])</f>
        <v>0</v>
      </c>
      <c r="AL425" s="18">
        <f>IFERROR(TableWeeklySummary[[#This Row],[Utilidad bruta]]/TableWeeklySummary[[#This Row],[Ventas netas con costo registrado]],0)</f>
        <v>0</v>
      </c>
    </row>
    <row r="426" spans="2:38" x14ac:dyDescent="0.2">
      <c r="B426" s="16">
        <f>_xlfn.ISOWEEKNUM(TableWeeklySummary[[#This Row],[Hasta]])</f>
        <v>50</v>
      </c>
      <c r="C426" s="6">
        <f t="shared" si="8"/>
        <v>47459</v>
      </c>
      <c r="D426" s="6">
        <f>TableWeeklySummary[[#This Row],[Desde]]+7-1</f>
        <v>47465</v>
      </c>
      <c r="E426" s="11">
        <f>SUMIFS(TableDailySummary[Ventas netas totales],TableDailySummary[Fecha],"&gt;="&amp;TableWeeklySummary[[#This Row],[Desde]],TableDailySummary[Fecha],"&lt;="&amp;TableWeeklySummary[[#This Row],[Hasta]])</f>
        <v>0</v>
      </c>
      <c r="F426" s="11">
        <f>SUMIFS(TableDailySummary[Órdenes totales],TableDailySummary[Fecha],"&gt;="&amp;TableWeeklySummary[[#This Row],[Desde]],TableDailySummary[Fecha],"&lt;="&amp;TableWeeklySummary[[#This Row],[Hasta]])</f>
        <v>0</v>
      </c>
      <c r="G426" s="11">
        <f>IFERROR(TableWeeklySummary[[#This Row],[Ventas netas totales]]/TableWeeklySummary[[#This Row],[Órdenes totales]],0)</f>
        <v>0</v>
      </c>
      <c r="H42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6" s="11">
        <f>TableWeeklySummary[[#This Row],[Órden promedio totales]]*TableWeeklySummary[[#This Row],[CR totales]]</f>
        <v>0</v>
      </c>
      <c r="J426" s="11">
        <f>SUMIFS(TableDailySummary[Ventas primer cliente],TableDailySummary[Fecha],"&gt;="&amp;TableWeeklySummary[[#This Row],[Desde]],TableDailySummary[Fecha],"&lt;="&amp;TableWeeklySummary[[#This Row],[Hasta]])</f>
        <v>0</v>
      </c>
      <c r="K426" s="11">
        <f>SUMIFS(TableDailySummary[Órdenes primer cliente],TableDailySummary[Fecha],"&gt;="&amp;TableWeeklySummary[[#This Row],[Desde]],TableDailySummary[Fecha],"&lt;="&amp;TableWeeklySummary[[#This Row],[Hasta]])</f>
        <v>0</v>
      </c>
      <c r="L426" s="11">
        <f>SUMIFS(TableDailySummary[Online Store_net_sales],TableDailySummary[Fecha],"&gt;="&amp;TableWeeklySummary[[#This Row],[Desde]],TableDailySummary[Fecha],"&lt;="&amp;TableWeeklySummary[[#This Row],[Hasta]])</f>
        <v>0</v>
      </c>
      <c r="M426" s="11">
        <f>SUMIFS(TableDailySummary[Online Store_orders],TableDailySummary[Fecha],"&gt;="&amp;TableWeeklySummary[[#This Row],[Desde]],TableDailySummary[Fecha],"&lt;="&amp;TableWeeklySummary[[#This Row],[Hasta]])</f>
        <v>0</v>
      </c>
      <c r="N426" s="11">
        <f>SUMIFS(TableDailySummary[Tienda 81_net_sales],TableDailySummary[Fecha],"&gt;="&amp;TableWeeklySummary[[#This Row],[Desde]],TableDailySummary[Fecha],"&lt;="&amp;TableWeeklySummary[[#This Row],[Hasta]])</f>
        <v>0</v>
      </c>
      <c r="O426" s="11">
        <f>SUMIFS(TableDailySummary[Tienda 81_orders],TableDailySummary[Fecha],"&gt;="&amp;TableWeeklySummary[[#This Row],[Desde]],TableDailySummary[Fecha],"&lt;="&amp;TableWeeklySummary[[#This Row],[Hasta]])</f>
        <v>0</v>
      </c>
      <c r="P426" s="11">
        <f>SUMIFS(TableDailySummary[Rappi_net_sales],TableDailySummary[Fecha],"&gt;="&amp;TableWeeklySummary[[#This Row],[Desde]],TableDailySummary[Fecha],"&lt;="&amp;TableWeeklySummary[[#This Row],[Hasta]])</f>
        <v>0</v>
      </c>
      <c r="Q426" s="11">
        <f>SUMIFS(TableDailySummary[Rappi_orders],TableDailySummary[Fecha],"&gt;="&amp;TableWeeklySummary[[#This Row],[Desde]],TableDailySummary[Fecha],"&lt;="&amp;TableWeeklySummary[[#This Row],[Hasta]])</f>
        <v>0</v>
      </c>
      <c r="R42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6" s="11">
        <f>SUMIFS(TableDailySummary[Corporativo no tienda_orders],TableDailySummary[Fecha],"&gt;="&amp;TableWeeklySummary[[#This Row],[Desde]],TableDailySummary[Fecha],"&lt;="&amp;TableWeeklySummary[[#This Row],[Hasta]])</f>
        <v>0</v>
      </c>
      <c r="T426" s="11">
        <f>SUMIFS(TableDailySummary[Inversión google ads],TableDailySummary[Fecha],"&gt;="&amp;TableWeeklySummary[[#This Row],[Desde]],TableDailySummary[Fecha],"&lt;="&amp;TableWeeklySummary[[#This Row],[Hasta]])</f>
        <v>0</v>
      </c>
      <c r="U426" s="11">
        <f>SUMIFS(TableDailySummary[Ventas google ads],TableDailySummary[Fecha],"&gt;="&amp;TableWeeklySummary[[#This Row],[Desde]],TableDailySummary[Fecha],"&lt;="&amp;TableWeeklySummary[[#This Row],[Hasta]])</f>
        <v>0</v>
      </c>
      <c r="V426" s="11">
        <f>SUMIFS(TableDailySummary[Inversión meta ads],TableDailySummary[Fecha],"&gt;="&amp;TableWeeklySummary[[#This Row],[Desde]],TableDailySummary[Fecha],"&lt;="&amp;TableWeeklySummary[[#This Row],[Hasta]])</f>
        <v>0</v>
      </c>
      <c r="W426" s="11">
        <f>SUMIFS(TableDailySummary[Ventas meta ads],TableDailySummary[Fecha],"&gt;="&amp;TableWeeklySummary[[#This Row],[Desde]],TableDailySummary[Fecha],"&lt;="&amp;TableWeeklySummary[[#This Row],[Hasta]])</f>
        <v>0</v>
      </c>
      <c r="X426" s="11">
        <f>TableWeeklySummary[[#This Row],[Inversión google ads]]+TableWeeklySummary[[#This Row],[Inversión meta ads]]</f>
        <v>0</v>
      </c>
      <c r="Y426" s="11">
        <f>TableWeeklySummary[[#This Row],[Ventas google ads]]+TableWeeklySummary[[#This Row],[Ventas meta ads]]</f>
        <v>0</v>
      </c>
      <c r="Z426" s="14">
        <f>IFERROR(TableWeeklySummary[[#This Row],[Ventas publicidad]]/TableWeeklySummary[[#This Row],[Inversión publicidad]],0)</f>
        <v>0</v>
      </c>
      <c r="AA426" s="14">
        <f>IFERROR(TableWeeklySummary[[#This Row],[Ventas primer cliente]]/TableWeeklySummary[[#This Row],[Inversión publicidad]],0)</f>
        <v>0</v>
      </c>
      <c r="AB426" s="14"/>
      <c r="AC426" s="11"/>
      <c r="AI42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6" s="11">
        <f>SUMIFS(TableDailySummary[Costo de ventas registrado],TableDailySummary[Fecha],"&gt;="&amp;TableWeeklySummary[[#This Row],[Desde]],TableDailySummary[Fecha],"&lt;="&amp;TableWeeklySummary[[#This Row],[Hasta]])</f>
        <v>0</v>
      </c>
      <c r="AK426" s="11">
        <f>SUMIFS(TableDailySummary[Utilidad bruta],TableDailySummary[Fecha],"&gt;="&amp;TableWeeklySummary[[#This Row],[Desde]],TableDailySummary[Fecha],"&lt;="&amp;TableWeeklySummary[[#This Row],[Hasta]])</f>
        <v>0</v>
      </c>
      <c r="AL426" s="18">
        <f>IFERROR(TableWeeklySummary[[#This Row],[Utilidad bruta]]/TableWeeklySummary[[#This Row],[Ventas netas con costo registrado]],0)</f>
        <v>0</v>
      </c>
    </row>
    <row r="427" spans="2:38" x14ac:dyDescent="0.2">
      <c r="B427" s="16">
        <f>_xlfn.ISOWEEKNUM(TableWeeklySummary[[#This Row],[Hasta]])</f>
        <v>51</v>
      </c>
      <c r="C427" s="6">
        <f t="shared" si="8"/>
        <v>47466</v>
      </c>
      <c r="D427" s="6">
        <f>TableWeeklySummary[[#This Row],[Desde]]+7-1</f>
        <v>47472</v>
      </c>
      <c r="E427" s="11">
        <f>SUMIFS(TableDailySummary[Ventas netas totales],TableDailySummary[Fecha],"&gt;="&amp;TableWeeklySummary[[#This Row],[Desde]],TableDailySummary[Fecha],"&lt;="&amp;TableWeeklySummary[[#This Row],[Hasta]])</f>
        <v>0</v>
      </c>
      <c r="F427" s="11">
        <f>SUMIFS(TableDailySummary[Órdenes totales],TableDailySummary[Fecha],"&gt;="&amp;TableWeeklySummary[[#This Row],[Desde]],TableDailySummary[Fecha],"&lt;="&amp;TableWeeklySummary[[#This Row],[Hasta]])</f>
        <v>0</v>
      </c>
      <c r="G427" s="11">
        <f>IFERROR(TableWeeklySummary[[#This Row],[Ventas netas totales]]/TableWeeklySummary[[#This Row],[Órdenes totales]],0)</f>
        <v>0</v>
      </c>
      <c r="H42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7" s="11">
        <f>TableWeeklySummary[[#This Row],[Órden promedio totales]]*TableWeeklySummary[[#This Row],[CR totales]]</f>
        <v>0</v>
      </c>
      <c r="J427" s="11">
        <f>SUMIFS(TableDailySummary[Ventas primer cliente],TableDailySummary[Fecha],"&gt;="&amp;TableWeeklySummary[[#This Row],[Desde]],TableDailySummary[Fecha],"&lt;="&amp;TableWeeklySummary[[#This Row],[Hasta]])</f>
        <v>0</v>
      </c>
      <c r="K427" s="11">
        <f>SUMIFS(TableDailySummary[Órdenes primer cliente],TableDailySummary[Fecha],"&gt;="&amp;TableWeeklySummary[[#This Row],[Desde]],TableDailySummary[Fecha],"&lt;="&amp;TableWeeklySummary[[#This Row],[Hasta]])</f>
        <v>0</v>
      </c>
      <c r="L427" s="11">
        <f>SUMIFS(TableDailySummary[Online Store_net_sales],TableDailySummary[Fecha],"&gt;="&amp;TableWeeklySummary[[#This Row],[Desde]],TableDailySummary[Fecha],"&lt;="&amp;TableWeeklySummary[[#This Row],[Hasta]])</f>
        <v>0</v>
      </c>
      <c r="M427" s="11">
        <f>SUMIFS(TableDailySummary[Online Store_orders],TableDailySummary[Fecha],"&gt;="&amp;TableWeeklySummary[[#This Row],[Desde]],TableDailySummary[Fecha],"&lt;="&amp;TableWeeklySummary[[#This Row],[Hasta]])</f>
        <v>0</v>
      </c>
      <c r="N427" s="11">
        <f>SUMIFS(TableDailySummary[Tienda 81_net_sales],TableDailySummary[Fecha],"&gt;="&amp;TableWeeklySummary[[#This Row],[Desde]],TableDailySummary[Fecha],"&lt;="&amp;TableWeeklySummary[[#This Row],[Hasta]])</f>
        <v>0</v>
      </c>
      <c r="O427" s="11">
        <f>SUMIFS(TableDailySummary[Tienda 81_orders],TableDailySummary[Fecha],"&gt;="&amp;TableWeeklySummary[[#This Row],[Desde]],TableDailySummary[Fecha],"&lt;="&amp;TableWeeklySummary[[#This Row],[Hasta]])</f>
        <v>0</v>
      </c>
      <c r="P427" s="11">
        <f>SUMIFS(TableDailySummary[Rappi_net_sales],TableDailySummary[Fecha],"&gt;="&amp;TableWeeklySummary[[#This Row],[Desde]],TableDailySummary[Fecha],"&lt;="&amp;TableWeeklySummary[[#This Row],[Hasta]])</f>
        <v>0</v>
      </c>
      <c r="Q427" s="11">
        <f>SUMIFS(TableDailySummary[Rappi_orders],TableDailySummary[Fecha],"&gt;="&amp;TableWeeklySummary[[#This Row],[Desde]],TableDailySummary[Fecha],"&lt;="&amp;TableWeeklySummary[[#This Row],[Hasta]])</f>
        <v>0</v>
      </c>
      <c r="R42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7" s="11">
        <f>SUMIFS(TableDailySummary[Corporativo no tienda_orders],TableDailySummary[Fecha],"&gt;="&amp;TableWeeklySummary[[#This Row],[Desde]],TableDailySummary[Fecha],"&lt;="&amp;TableWeeklySummary[[#This Row],[Hasta]])</f>
        <v>0</v>
      </c>
      <c r="T427" s="11">
        <f>SUMIFS(TableDailySummary[Inversión google ads],TableDailySummary[Fecha],"&gt;="&amp;TableWeeklySummary[[#This Row],[Desde]],TableDailySummary[Fecha],"&lt;="&amp;TableWeeklySummary[[#This Row],[Hasta]])</f>
        <v>0</v>
      </c>
      <c r="U427" s="11">
        <f>SUMIFS(TableDailySummary[Ventas google ads],TableDailySummary[Fecha],"&gt;="&amp;TableWeeklySummary[[#This Row],[Desde]],TableDailySummary[Fecha],"&lt;="&amp;TableWeeklySummary[[#This Row],[Hasta]])</f>
        <v>0</v>
      </c>
      <c r="V427" s="11">
        <f>SUMIFS(TableDailySummary[Inversión meta ads],TableDailySummary[Fecha],"&gt;="&amp;TableWeeklySummary[[#This Row],[Desde]],TableDailySummary[Fecha],"&lt;="&amp;TableWeeklySummary[[#This Row],[Hasta]])</f>
        <v>0</v>
      </c>
      <c r="W427" s="11">
        <f>SUMIFS(TableDailySummary[Ventas meta ads],TableDailySummary[Fecha],"&gt;="&amp;TableWeeklySummary[[#This Row],[Desde]],TableDailySummary[Fecha],"&lt;="&amp;TableWeeklySummary[[#This Row],[Hasta]])</f>
        <v>0</v>
      </c>
      <c r="X427" s="11">
        <f>TableWeeklySummary[[#This Row],[Inversión google ads]]+TableWeeklySummary[[#This Row],[Inversión meta ads]]</f>
        <v>0</v>
      </c>
      <c r="Y427" s="11">
        <f>TableWeeklySummary[[#This Row],[Ventas google ads]]+TableWeeklySummary[[#This Row],[Ventas meta ads]]</f>
        <v>0</v>
      </c>
      <c r="Z427" s="14">
        <f>IFERROR(TableWeeklySummary[[#This Row],[Ventas publicidad]]/TableWeeklySummary[[#This Row],[Inversión publicidad]],0)</f>
        <v>0</v>
      </c>
      <c r="AA427" s="14">
        <f>IFERROR(TableWeeklySummary[[#This Row],[Ventas primer cliente]]/TableWeeklySummary[[#This Row],[Inversión publicidad]],0)</f>
        <v>0</v>
      </c>
      <c r="AB427" s="14"/>
      <c r="AC427" s="11"/>
      <c r="AI42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7" s="11">
        <f>SUMIFS(TableDailySummary[Costo de ventas registrado],TableDailySummary[Fecha],"&gt;="&amp;TableWeeklySummary[[#This Row],[Desde]],TableDailySummary[Fecha],"&lt;="&amp;TableWeeklySummary[[#This Row],[Hasta]])</f>
        <v>0</v>
      </c>
      <c r="AK427" s="11">
        <f>SUMIFS(TableDailySummary[Utilidad bruta],TableDailySummary[Fecha],"&gt;="&amp;TableWeeklySummary[[#This Row],[Desde]],TableDailySummary[Fecha],"&lt;="&amp;TableWeeklySummary[[#This Row],[Hasta]])</f>
        <v>0</v>
      </c>
      <c r="AL427" s="18">
        <f>IFERROR(TableWeeklySummary[[#This Row],[Utilidad bruta]]/TableWeeklySummary[[#This Row],[Ventas netas con costo registrado]],0)</f>
        <v>0</v>
      </c>
    </row>
    <row r="428" spans="2:38" x14ac:dyDescent="0.2">
      <c r="B428" s="16">
        <f>_xlfn.ISOWEEKNUM(TableWeeklySummary[[#This Row],[Hasta]])</f>
        <v>52</v>
      </c>
      <c r="C428" s="6">
        <f t="shared" si="8"/>
        <v>47473</v>
      </c>
      <c r="D428" s="6">
        <f>TableWeeklySummary[[#This Row],[Desde]]+7-1</f>
        <v>47479</v>
      </c>
      <c r="E428" s="11">
        <f>SUMIFS(TableDailySummary[Ventas netas totales],TableDailySummary[Fecha],"&gt;="&amp;TableWeeklySummary[[#This Row],[Desde]],TableDailySummary[Fecha],"&lt;="&amp;TableWeeklySummary[[#This Row],[Hasta]])</f>
        <v>0</v>
      </c>
      <c r="F428" s="11">
        <f>SUMIFS(TableDailySummary[Órdenes totales],TableDailySummary[Fecha],"&gt;="&amp;TableWeeklySummary[[#This Row],[Desde]],TableDailySummary[Fecha],"&lt;="&amp;TableWeeklySummary[[#This Row],[Hasta]])</f>
        <v>0</v>
      </c>
      <c r="G428" s="11">
        <f>IFERROR(TableWeeklySummary[[#This Row],[Ventas netas totales]]/TableWeeklySummary[[#This Row],[Órdenes totales]],0)</f>
        <v>0</v>
      </c>
      <c r="H42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8" s="11">
        <f>TableWeeklySummary[[#This Row],[Órden promedio totales]]*TableWeeklySummary[[#This Row],[CR totales]]</f>
        <v>0</v>
      </c>
      <c r="J428" s="11">
        <f>SUMIFS(TableDailySummary[Ventas primer cliente],TableDailySummary[Fecha],"&gt;="&amp;TableWeeklySummary[[#This Row],[Desde]],TableDailySummary[Fecha],"&lt;="&amp;TableWeeklySummary[[#This Row],[Hasta]])</f>
        <v>0</v>
      </c>
      <c r="K428" s="11">
        <f>SUMIFS(TableDailySummary[Órdenes primer cliente],TableDailySummary[Fecha],"&gt;="&amp;TableWeeklySummary[[#This Row],[Desde]],TableDailySummary[Fecha],"&lt;="&amp;TableWeeklySummary[[#This Row],[Hasta]])</f>
        <v>0</v>
      </c>
      <c r="L428" s="11">
        <f>SUMIFS(TableDailySummary[Online Store_net_sales],TableDailySummary[Fecha],"&gt;="&amp;TableWeeklySummary[[#This Row],[Desde]],TableDailySummary[Fecha],"&lt;="&amp;TableWeeklySummary[[#This Row],[Hasta]])</f>
        <v>0</v>
      </c>
      <c r="M428" s="11">
        <f>SUMIFS(TableDailySummary[Online Store_orders],TableDailySummary[Fecha],"&gt;="&amp;TableWeeklySummary[[#This Row],[Desde]],TableDailySummary[Fecha],"&lt;="&amp;TableWeeklySummary[[#This Row],[Hasta]])</f>
        <v>0</v>
      </c>
      <c r="N428" s="11">
        <f>SUMIFS(TableDailySummary[Tienda 81_net_sales],TableDailySummary[Fecha],"&gt;="&amp;TableWeeklySummary[[#This Row],[Desde]],TableDailySummary[Fecha],"&lt;="&amp;TableWeeklySummary[[#This Row],[Hasta]])</f>
        <v>0</v>
      </c>
      <c r="O428" s="11">
        <f>SUMIFS(TableDailySummary[Tienda 81_orders],TableDailySummary[Fecha],"&gt;="&amp;TableWeeklySummary[[#This Row],[Desde]],TableDailySummary[Fecha],"&lt;="&amp;TableWeeklySummary[[#This Row],[Hasta]])</f>
        <v>0</v>
      </c>
      <c r="P428" s="11">
        <f>SUMIFS(TableDailySummary[Rappi_net_sales],TableDailySummary[Fecha],"&gt;="&amp;TableWeeklySummary[[#This Row],[Desde]],TableDailySummary[Fecha],"&lt;="&amp;TableWeeklySummary[[#This Row],[Hasta]])</f>
        <v>0</v>
      </c>
      <c r="Q428" s="11">
        <f>SUMIFS(TableDailySummary[Rappi_orders],TableDailySummary[Fecha],"&gt;="&amp;TableWeeklySummary[[#This Row],[Desde]],TableDailySummary[Fecha],"&lt;="&amp;TableWeeklySummary[[#This Row],[Hasta]])</f>
        <v>0</v>
      </c>
      <c r="R42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8" s="11">
        <f>SUMIFS(TableDailySummary[Corporativo no tienda_orders],TableDailySummary[Fecha],"&gt;="&amp;TableWeeklySummary[[#This Row],[Desde]],TableDailySummary[Fecha],"&lt;="&amp;TableWeeklySummary[[#This Row],[Hasta]])</f>
        <v>0</v>
      </c>
      <c r="T428" s="11">
        <f>SUMIFS(TableDailySummary[Inversión google ads],TableDailySummary[Fecha],"&gt;="&amp;TableWeeklySummary[[#This Row],[Desde]],TableDailySummary[Fecha],"&lt;="&amp;TableWeeklySummary[[#This Row],[Hasta]])</f>
        <v>0</v>
      </c>
      <c r="U428" s="11">
        <f>SUMIFS(TableDailySummary[Ventas google ads],TableDailySummary[Fecha],"&gt;="&amp;TableWeeklySummary[[#This Row],[Desde]],TableDailySummary[Fecha],"&lt;="&amp;TableWeeklySummary[[#This Row],[Hasta]])</f>
        <v>0</v>
      </c>
      <c r="V428" s="11">
        <f>SUMIFS(TableDailySummary[Inversión meta ads],TableDailySummary[Fecha],"&gt;="&amp;TableWeeklySummary[[#This Row],[Desde]],TableDailySummary[Fecha],"&lt;="&amp;TableWeeklySummary[[#This Row],[Hasta]])</f>
        <v>0</v>
      </c>
      <c r="W428" s="11">
        <f>SUMIFS(TableDailySummary[Ventas meta ads],TableDailySummary[Fecha],"&gt;="&amp;TableWeeklySummary[[#This Row],[Desde]],TableDailySummary[Fecha],"&lt;="&amp;TableWeeklySummary[[#This Row],[Hasta]])</f>
        <v>0</v>
      </c>
      <c r="X428" s="11">
        <f>TableWeeklySummary[[#This Row],[Inversión google ads]]+TableWeeklySummary[[#This Row],[Inversión meta ads]]</f>
        <v>0</v>
      </c>
      <c r="Y428" s="11">
        <f>TableWeeklySummary[[#This Row],[Ventas google ads]]+TableWeeklySummary[[#This Row],[Ventas meta ads]]</f>
        <v>0</v>
      </c>
      <c r="Z428" s="14">
        <f>IFERROR(TableWeeklySummary[[#This Row],[Ventas publicidad]]/TableWeeklySummary[[#This Row],[Inversión publicidad]],0)</f>
        <v>0</v>
      </c>
      <c r="AA428" s="14">
        <f>IFERROR(TableWeeklySummary[[#This Row],[Ventas primer cliente]]/TableWeeklySummary[[#This Row],[Inversión publicidad]],0)</f>
        <v>0</v>
      </c>
      <c r="AB428" s="14"/>
      <c r="AC428" s="11"/>
      <c r="AI42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8" s="11">
        <f>SUMIFS(TableDailySummary[Costo de ventas registrado],TableDailySummary[Fecha],"&gt;="&amp;TableWeeklySummary[[#This Row],[Desde]],TableDailySummary[Fecha],"&lt;="&amp;TableWeeklySummary[[#This Row],[Hasta]])</f>
        <v>0</v>
      </c>
      <c r="AK428" s="11">
        <f>SUMIFS(TableDailySummary[Utilidad bruta],TableDailySummary[Fecha],"&gt;="&amp;TableWeeklySummary[[#This Row],[Desde]],TableDailySummary[Fecha],"&lt;="&amp;TableWeeklySummary[[#This Row],[Hasta]])</f>
        <v>0</v>
      </c>
      <c r="AL428" s="18">
        <f>IFERROR(TableWeeklySummary[[#This Row],[Utilidad bruta]]/TableWeeklySummary[[#This Row],[Ventas netas con costo registrado]],0)</f>
        <v>0</v>
      </c>
    </row>
    <row r="429" spans="2:38" x14ac:dyDescent="0.2">
      <c r="B429" s="16">
        <f>_xlfn.ISOWEEKNUM(TableWeeklySummary[[#This Row],[Hasta]])</f>
        <v>1</v>
      </c>
      <c r="C429" s="6">
        <f t="shared" si="8"/>
        <v>47480</v>
      </c>
      <c r="D429" s="6">
        <f>TableWeeklySummary[[#This Row],[Desde]]+7-1</f>
        <v>47486</v>
      </c>
      <c r="E429" s="11">
        <f>SUMIFS(TableDailySummary[Ventas netas totales],TableDailySummary[Fecha],"&gt;="&amp;TableWeeklySummary[[#This Row],[Desde]],TableDailySummary[Fecha],"&lt;="&amp;TableWeeklySummary[[#This Row],[Hasta]])</f>
        <v>0</v>
      </c>
      <c r="F429" s="11">
        <f>SUMIFS(TableDailySummary[Órdenes totales],TableDailySummary[Fecha],"&gt;="&amp;TableWeeklySummary[[#This Row],[Desde]],TableDailySummary[Fecha],"&lt;="&amp;TableWeeklySummary[[#This Row],[Hasta]])</f>
        <v>0</v>
      </c>
      <c r="G429" s="11">
        <f>IFERROR(TableWeeklySummary[[#This Row],[Ventas netas totales]]/TableWeeklySummary[[#This Row],[Órdenes totales]],0)</f>
        <v>0</v>
      </c>
      <c r="H42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29" s="11">
        <f>TableWeeklySummary[[#This Row],[Órden promedio totales]]*TableWeeklySummary[[#This Row],[CR totales]]</f>
        <v>0</v>
      </c>
      <c r="J429" s="11">
        <f>SUMIFS(TableDailySummary[Ventas primer cliente],TableDailySummary[Fecha],"&gt;="&amp;TableWeeklySummary[[#This Row],[Desde]],TableDailySummary[Fecha],"&lt;="&amp;TableWeeklySummary[[#This Row],[Hasta]])</f>
        <v>0</v>
      </c>
      <c r="K429" s="11">
        <f>SUMIFS(TableDailySummary[Órdenes primer cliente],TableDailySummary[Fecha],"&gt;="&amp;TableWeeklySummary[[#This Row],[Desde]],TableDailySummary[Fecha],"&lt;="&amp;TableWeeklySummary[[#This Row],[Hasta]])</f>
        <v>0</v>
      </c>
      <c r="L429" s="11">
        <f>SUMIFS(TableDailySummary[Online Store_net_sales],TableDailySummary[Fecha],"&gt;="&amp;TableWeeklySummary[[#This Row],[Desde]],TableDailySummary[Fecha],"&lt;="&amp;TableWeeklySummary[[#This Row],[Hasta]])</f>
        <v>0</v>
      </c>
      <c r="M429" s="11">
        <f>SUMIFS(TableDailySummary[Online Store_orders],TableDailySummary[Fecha],"&gt;="&amp;TableWeeklySummary[[#This Row],[Desde]],TableDailySummary[Fecha],"&lt;="&amp;TableWeeklySummary[[#This Row],[Hasta]])</f>
        <v>0</v>
      </c>
      <c r="N429" s="11">
        <f>SUMIFS(TableDailySummary[Tienda 81_net_sales],TableDailySummary[Fecha],"&gt;="&amp;TableWeeklySummary[[#This Row],[Desde]],TableDailySummary[Fecha],"&lt;="&amp;TableWeeklySummary[[#This Row],[Hasta]])</f>
        <v>0</v>
      </c>
      <c r="O429" s="11">
        <f>SUMIFS(TableDailySummary[Tienda 81_orders],TableDailySummary[Fecha],"&gt;="&amp;TableWeeklySummary[[#This Row],[Desde]],TableDailySummary[Fecha],"&lt;="&amp;TableWeeklySummary[[#This Row],[Hasta]])</f>
        <v>0</v>
      </c>
      <c r="P429" s="11">
        <f>SUMIFS(TableDailySummary[Rappi_net_sales],TableDailySummary[Fecha],"&gt;="&amp;TableWeeklySummary[[#This Row],[Desde]],TableDailySummary[Fecha],"&lt;="&amp;TableWeeklySummary[[#This Row],[Hasta]])</f>
        <v>0</v>
      </c>
      <c r="Q429" s="11">
        <f>SUMIFS(TableDailySummary[Rappi_orders],TableDailySummary[Fecha],"&gt;="&amp;TableWeeklySummary[[#This Row],[Desde]],TableDailySummary[Fecha],"&lt;="&amp;TableWeeklySummary[[#This Row],[Hasta]])</f>
        <v>0</v>
      </c>
      <c r="R42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29" s="11">
        <f>SUMIFS(TableDailySummary[Corporativo no tienda_orders],TableDailySummary[Fecha],"&gt;="&amp;TableWeeklySummary[[#This Row],[Desde]],TableDailySummary[Fecha],"&lt;="&amp;TableWeeklySummary[[#This Row],[Hasta]])</f>
        <v>0</v>
      </c>
      <c r="T429" s="11">
        <f>SUMIFS(TableDailySummary[Inversión google ads],TableDailySummary[Fecha],"&gt;="&amp;TableWeeklySummary[[#This Row],[Desde]],TableDailySummary[Fecha],"&lt;="&amp;TableWeeklySummary[[#This Row],[Hasta]])</f>
        <v>0</v>
      </c>
      <c r="U429" s="11">
        <f>SUMIFS(TableDailySummary[Ventas google ads],TableDailySummary[Fecha],"&gt;="&amp;TableWeeklySummary[[#This Row],[Desde]],TableDailySummary[Fecha],"&lt;="&amp;TableWeeklySummary[[#This Row],[Hasta]])</f>
        <v>0</v>
      </c>
      <c r="V429" s="11">
        <f>SUMIFS(TableDailySummary[Inversión meta ads],TableDailySummary[Fecha],"&gt;="&amp;TableWeeklySummary[[#This Row],[Desde]],TableDailySummary[Fecha],"&lt;="&amp;TableWeeklySummary[[#This Row],[Hasta]])</f>
        <v>0</v>
      </c>
      <c r="W429" s="11">
        <f>SUMIFS(TableDailySummary[Ventas meta ads],TableDailySummary[Fecha],"&gt;="&amp;TableWeeklySummary[[#This Row],[Desde]],TableDailySummary[Fecha],"&lt;="&amp;TableWeeklySummary[[#This Row],[Hasta]])</f>
        <v>0</v>
      </c>
      <c r="X429" s="11">
        <f>TableWeeklySummary[[#This Row],[Inversión google ads]]+TableWeeklySummary[[#This Row],[Inversión meta ads]]</f>
        <v>0</v>
      </c>
      <c r="Y429" s="11">
        <f>TableWeeklySummary[[#This Row],[Ventas google ads]]+TableWeeklySummary[[#This Row],[Ventas meta ads]]</f>
        <v>0</v>
      </c>
      <c r="Z429" s="14">
        <f>IFERROR(TableWeeklySummary[[#This Row],[Ventas publicidad]]/TableWeeklySummary[[#This Row],[Inversión publicidad]],0)</f>
        <v>0</v>
      </c>
      <c r="AA429" s="14">
        <f>IFERROR(TableWeeklySummary[[#This Row],[Ventas primer cliente]]/TableWeeklySummary[[#This Row],[Inversión publicidad]],0)</f>
        <v>0</v>
      </c>
      <c r="AB429" s="14"/>
      <c r="AC429" s="11"/>
      <c r="AI42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29" s="11">
        <f>SUMIFS(TableDailySummary[Costo de ventas registrado],TableDailySummary[Fecha],"&gt;="&amp;TableWeeklySummary[[#This Row],[Desde]],TableDailySummary[Fecha],"&lt;="&amp;TableWeeklySummary[[#This Row],[Hasta]])</f>
        <v>0</v>
      </c>
      <c r="AK429" s="11">
        <f>SUMIFS(TableDailySummary[Utilidad bruta],TableDailySummary[Fecha],"&gt;="&amp;TableWeeklySummary[[#This Row],[Desde]],TableDailySummary[Fecha],"&lt;="&amp;TableWeeklySummary[[#This Row],[Hasta]])</f>
        <v>0</v>
      </c>
      <c r="AL429" s="18">
        <f>IFERROR(TableWeeklySummary[[#This Row],[Utilidad bruta]]/TableWeeklySummary[[#This Row],[Ventas netas con costo registrado]],0)</f>
        <v>0</v>
      </c>
    </row>
    <row r="430" spans="2:38" x14ac:dyDescent="0.2">
      <c r="B430" s="16">
        <f>_xlfn.ISOWEEKNUM(TableWeeklySummary[[#This Row],[Hasta]])</f>
        <v>2</v>
      </c>
      <c r="C430" s="6">
        <f t="shared" si="8"/>
        <v>47487</v>
      </c>
      <c r="D430" s="6">
        <f>TableWeeklySummary[[#This Row],[Desde]]+7-1</f>
        <v>47493</v>
      </c>
      <c r="E430" s="11">
        <f>SUMIFS(TableDailySummary[Ventas netas totales],TableDailySummary[Fecha],"&gt;="&amp;TableWeeklySummary[[#This Row],[Desde]],TableDailySummary[Fecha],"&lt;="&amp;TableWeeklySummary[[#This Row],[Hasta]])</f>
        <v>0</v>
      </c>
      <c r="F430" s="11">
        <f>SUMIFS(TableDailySummary[Órdenes totales],TableDailySummary[Fecha],"&gt;="&amp;TableWeeklySummary[[#This Row],[Desde]],TableDailySummary[Fecha],"&lt;="&amp;TableWeeklySummary[[#This Row],[Hasta]])</f>
        <v>0</v>
      </c>
      <c r="G430" s="11">
        <f>IFERROR(TableWeeklySummary[[#This Row],[Ventas netas totales]]/TableWeeklySummary[[#This Row],[Órdenes totales]],0)</f>
        <v>0</v>
      </c>
      <c r="H43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0" s="11">
        <f>TableWeeklySummary[[#This Row],[Órden promedio totales]]*TableWeeklySummary[[#This Row],[CR totales]]</f>
        <v>0</v>
      </c>
      <c r="J430" s="11">
        <f>SUMIFS(TableDailySummary[Ventas primer cliente],TableDailySummary[Fecha],"&gt;="&amp;TableWeeklySummary[[#This Row],[Desde]],TableDailySummary[Fecha],"&lt;="&amp;TableWeeklySummary[[#This Row],[Hasta]])</f>
        <v>0</v>
      </c>
      <c r="K430" s="11">
        <f>SUMIFS(TableDailySummary[Órdenes primer cliente],TableDailySummary[Fecha],"&gt;="&amp;TableWeeklySummary[[#This Row],[Desde]],TableDailySummary[Fecha],"&lt;="&amp;TableWeeklySummary[[#This Row],[Hasta]])</f>
        <v>0</v>
      </c>
      <c r="L430" s="11">
        <f>SUMIFS(TableDailySummary[Online Store_net_sales],TableDailySummary[Fecha],"&gt;="&amp;TableWeeklySummary[[#This Row],[Desde]],TableDailySummary[Fecha],"&lt;="&amp;TableWeeklySummary[[#This Row],[Hasta]])</f>
        <v>0</v>
      </c>
      <c r="M430" s="11">
        <f>SUMIFS(TableDailySummary[Online Store_orders],TableDailySummary[Fecha],"&gt;="&amp;TableWeeklySummary[[#This Row],[Desde]],TableDailySummary[Fecha],"&lt;="&amp;TableWeeklySummary[[#This Row],[Hasta]])</f>
        <v>0</v>
      </c>
      <c r="N430" s="11">
        <f>SUMIFS(TableDailySummary[Tienda 81_net_sales],TableDailySummary[Fecha],"&gt;="&amp;TableWeeklySummary[[#This Row],[Desde]],TableDailySummary[Fecha],"&lt;="&amp;TableWeeklySummary[[#This Row],[Hasta]])</f>
        <v>0</v>
      </c>
      <c r="O430" s="11">
        <f>SUMIFS(TableDailySummary[Tienda 81_orders],TableDailySummary[Fecha],"&gt;="&amp;TableWeeklySummary[[#This Row],[Desde]],TableDailySummary[Fecha],"&lt;="&amp;TableWeeklySummary[[#This Row],[Hasta]])</f>
        <v>0</v>
      </c>
      <c r="P430" s="11">
        <f>SUMIFS(TableDailySummary[Rappi_net_sales],TableDailySummary[Fecha],"&gt;="&amp;TableWeeklySummary[[#This Row],[Desde]],TableDailySummary[Fecha],"&lt;="&amp;TableWeeklySummary[[#This Row],[Hasta]])</f>
        <v>0</v>
      </c>
      <c r="Q430" s="11">
        <f>SUMIFS(TableDailySummary[Rappi_orders],TableDailySummary[Fecha],"&gt;="&amp;TableWeeklySummary[[#This Row],[Desde]],TableDailySummary[Fecha],"&lt;="&amp;TableWeeklySummary[[#This Row],[Hasta]])</f>
        <v>0</v>
      </c>
      <c r="R43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0" s="11">
        <f>SUMIFS(TableDailySummary[Corporativo no tienda_orders],TableDailySummary[Fecha],"&gt;="&amp;TableWeeklySummary[[#This Row],[Desde]],TableDailySummary[Fecha],"&lt;="&amp;TableWeeklySummary[[#This Row],[Hasta]])</f>
        <v>0</v>
      </c>
      <c r="T430" s="11">
        <f>SUMIFS(TableDailySummary[Inversión google ads],TableDailySummary[Fecha],"&gt;="&amp;TableWeeklySummary[[#This Row],[Desde]],TableDailySummary[Fecha],"&lt;="&amp;TableWeeklySummary[[#This Row],[Hasta]])</f>
        <v>0</v>
      </c>
      <c r="U430" s="11">
        <f>SUMIFS(TableDailySummary[Ventas google ads],TableDailySummary[Fecha],"&gt;="&amp;TableWeeklySummary[[#This Row],[Desde]],TableDailySummary[Fecha],"&lt;="&amp;TableWeeklySummary[[#This Row],[Hasta]])</f>
        <v>0</v>
      </c>
      <c r="V430" s="11">
        <f>SUMIFS(TableDailySummary[Inversión meta ads],TableDailySummary[Fecha],"&gt;="&amp;TableWeeklySummary[[#This Row],[Desde]],TableDailySummary[Fecha],"&lt;="&amp;TableWeeklySummary[[#This Row],[Hasta]])</f>
        <v>0</v>
      </c>
      <c r="W430" s="11">
        <f>SUMIFS(TableDailySummary[Ventas meta ads],TableDailySummary[Fecha],"&gt;="&amp;TableWeeklySummary[[#This Row],[Desde]],TableDailySummary[Fecha],"&lt;="&amp;TableWeeklySummary[[#This Row],[Hasta]])</f>
        <v>0</v>
      </c>
      <c r="X430" s="11">
        <f>TableWeeklySummary[[#This Row],[Inversión google ads]]+TableWeeklySummary[[#This Row],[Inversión meta ads]]</f>
        <v>0</v>
      </c>
      <c r="Y430" s="11">
        <f>TableWeeklySummary[[#This Row],[Ventas google ads]]+TableWeeklySummary[[#This Row],[Ventas meta ads]]</f>
        <v>0</v>
      </c>
      <c r="Z430" s="14">
        <f>IFERROR(TableWeeklySummary[[#This Row],[Ventas publicidad]]/TableWeeklySummary[[#This Row],[Inversión publicidad]],0)</f>
        <v>0</v>
      </c>
      <c r="AA430" s="14">
        <f>IFERROR(TableWeeklySummary[[#This Row],[Ventas primer cliente]]/TableWeeklySummary[[#This Row],[Inversión publicidad]],0)</f>
        <v>0</v>
      </c>
      <c r="AB430" s="14"/>
      <c r="AC430" s="11"/>
      <c r="AI43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0" s="11">
        <f>SUMIFS(TableDailySummary[Costo de ventas registrado],TableDailySummary[Fecha],"&gt;="&amp;TableWeeklySummary[[#This Row],[Desde]],TableDailySummary[Fecha],"&lt;="&amp;TableWeeklySummary[[#This Row],[Hasta]])</f>
        <v>0</v>
      </c>
      <c r="AK430" s="11">
        <f>SUMIFS(TableDailySummary[Utilidad bruta],TableDailySummary[Fecha],"&gt;="&amp;TableWeeklySummary[[#This Row],[Desde]],TableDailySummary[Fecha],"&lt;="&amp;TableWeeklySummary[[#This Row],[Hasta]])</f>
        <v>0</v>
      </c>
      <c r="AL430" s="18">
        <f>IFERROR(TableWeeklySummary[[#This Row],[Utilidad bruta]]/TableWeeklySummary[[#This Row],[Ventas netas con costo registrado]],0)</f>
        <v>0</v>
      </c>
    </row>
    <row r="431" spans="2:38" x14ac:dyDescent="0.2">
      <c r="B431" s="16">
        <f>_xlfn.ISOWEEKNUM(TableWeeklySummary[[#This Row],[Hasta]])</f>
        <v>3</v>
      </c>
      <c r="C431" s="6">
        <f t="shared" si="8"/>
        <v>47494</v>
      </c>
      <c r="D431" s="6">
        <f>TableWeeklySummary[[#This Row],[Desde]]+7-1</f>
        <v>47500</v>
      </c>
      <c r="E431" s="11">
        <f>SUMIFS(TableDailySummary[Ventas netas totales],TableDailySummary[Fecha],"&gt;="&amp;TableWeeklySummary[[#This Row],[Desde]],TableDailySummary[Fecha],"&lt;="&amp;TableWeeklySummary[[#This Row],[Hasta]])</f>
        <v>0</v>
      </c>
      <c r="F431" s="11">
        <f>SUMIFS(TableDailySummary[Órdenes totales],TableDailySummary[Fecha],"&gt;="&amp;TableWeeklySummary[[#This Row],[Desde]],TableDailySummary[Fecha],"&lt;="&amp;TableWeeklySummary[[#This Row],[Hasta]])</f>
        <v>0</v>
      </c>
      <c r="G431" s="11">
        <f>IFERROR(TableWeeklySummary[[#This Row],[Ventas netas totales]]/TableWeeklySummary[[#This Row],[Órdenes totales]],0)</f>
        <v>0</v>
      </c>
      <c r="H43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1" s="11">
        <f>TableWeeklySummary[[#This Row],[Órden promedio totales]]*TableWeeklySummary[[#This Row],[CR totales]]</f>
        <v>0</v>
      </c>
      <c r="J431" s="11">
        <f>SUMIFS(TableDailySummary[Ventas primer cliente],TableDailySummary[Fecha],"&gt;="&amp;TableWeeklySummary[[#This Row],[Desde]],TableDailySummary[Fecha],"&lt;="&amp;TableWeeklySummary[[#This Row],[Hasta]])</f>
        <v>0</v>
      </c>
      <c r="K431" s="11">
        <f>SUMIFS(TableDailySummary[Órdenes primer cliente],TableDailySummary[Fecha],"&gt;="&amp;TableWeeklySummary[[#This Row],[Desde]],TableDailySummary[Fecha],"&lt;="&amp;TableWeeklySummary[[#This Row],[Hasta]])</f>
        <v>0</v>
      </c>
      <c r="L431" s="11">
        <f>SUMIFS(TableDailySummary[Online Store_net_sales],TableDailySummary[Fecha],"&gt;="&amp;TableWeeklySummary[[#This Row],[Desde]],TableDailySummary[Fecha],"&lt;="&amp;TableWeeklySummary[[#This Row],[Hasta]])</f>
        <v>0</v>
      </c>
      <c r="M431" s="11">
        <f>SUMIFS(TableDailySummary[Online Store_orders],TableDailySummary[Fecha],"&gt;="&amp;TableWeeklySummary[[#This Row],[Desde]],TableDailySummary[Fecha],"&lt;="&amp;TableWeeklySummary[[#This Row],[Hasta]])</f>
        <v>0</v>
      </c>
      <c r="N431" s="11">
        <f>SUMIFS(TableDailySummary[Tienda 81_net_sales],TableDailySummary[Fecha],"&gt;="&amp;TableWeeklySummary[[#This Row],[Desde]],TableDailySummary[Fecha],"&lt;="&amp;TableWeeklySummary[[#This Row],[Hasta]])</f>
        <v>0</v>
      </c>
      <c r="O431" s="11">
        <f>SUMIFS(TableDailySummary[Tienda 81_orders],TableDailySummary[Fecha],"&gt;="&amp;TableWeeklySummary[[#This Row],[Desde]],TableDailySummary[Fecha],"&lt;="&amp;TableWeeklySummary[[#This Row],[Hasta]])</f>
        <v>0</v>
      </c>
      <c r="P431" s="11">
        <f>SUMIFS(TableDailySummary[Rappi_net_sales],TableDailySummary[Fecha],"&gt;="&amp;TableWeeklySummary[[#This Row],[Desde]],TableDailySummary[Fecha],"&lt;="&amp;TableWeeklySummary[[#This Row],[Hasta]])</f>
        <v>0</v>
      </c>
      <c r="Q431" s="11">
        <f>SUMIFS(TableDailySummary[Rappi_orders],TableDailySummary[Fecha],"&gt;="&amp;TableWeeklySummary[[#This Row],[Desde]],TableDailySummary[Fecha],"&lt;="&amp;TableWeeklySummary[[#This Row],[Hasta]])</f>
        <v>0</v>
      </c>
      <c r="R43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1" s="11">
        <f>SUMIFS(TableDailySummary[Corporativo no tienda_orders],TableDailySummary[Fecha],"&gt;="&amp;TableWeeklySummary[[#This Row],[Desde]],TableDailySummary[Fecha],"&lt;="&amp;TableWeeklySummary[[#This Row],[Hasta]])</f>
        <v>0</v>
      </c>
      <c r="T431" s="11">
        <f>SUMIFS(TableDailySummary[Inversión google ads],TableDailySummary[Fecha],"&gt;="&amp;TableWeeklySummary[[#This Row],[Desde]],TableDailySummary[Fecha],"&lt;="&amp;TableWeeklySummary[[#This Row],[Hasta]])</f>
        <v>0</v>
      </c>
      <c r="U431" s="11">
        <f>SUMIFS(TableDailySummary[Ventas google ads],TableDailySummary[Fecha],"&gt;="&amp;TableWeeklySummary[[#This Row],[Desde]],TableDailySummary[Fecha],"&lt;="&amp;TableWeeklySummary[[#This Row],[Hasta]])</f>
        <v>0</v>
      </c>
      <c r="V431" s="11">
        <f>SUMIFS(TableDailySummary[Inversión meta ads],TableDailySummary[Fecha],"&gt;="&amp;TableWeeklySummary[[#This Row],[Desde]],TableDailySummary[Fecha],"&lt;="&amp;TableWeeklySummary[[#This Row],[Hasta]])</f>
        <v>0</v>
      </c>
      <c r="W431" s="11">
        <f>SUMIFS(TableDailySummary[Ventas meta ads],TableDailySummary[Fecha],"&gt;="&amp;TableWeeklySummary[[#This Row],[Desde]],TableDailySummary[Fecha],"&lt;="&amp;TableWeeklySummary[[#This Row],[Hasta]])</f>
        <v>0</v>
      </c>
      <c r="X431" s="11">
        <f>TableWeeklySummary[[#This Row],[Inversión google ads]]+TableWeeklySummary[[#This Row],[Inversión meta ads]]</f>
        <v>0</v>
      </c>
      <c r="Y431" s="11">
        <f>TableWeeklySummary[[#This Row],[Ventas google ads]]+TableWeeklySummary[[#This Row],[Ventas meta ads]]</f>
        <v>0</v>
      </c>
      <c r="Z431" s="14">
        <f>IFERROR(TableWeeklySummary[[#This Row],[Ventas publicidad]]/TableWeeklySummary[[#This Row],[Inversión publicidad]],0)</f>
        <v>0</v>
      </c>
      <c r="AA431" s="14">
        <f>IFERROR(TableWeeklySummary[[#This Row],[Ventas primer cliente]]/TableWeeklySummary[[#This Row],[Inversión publicidad]],0)</f>
        <v>0</v>
      </c>
      <c r="AB431" s="14"/>
      <c r="AC431" s="11"/>
      <c r="AI43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1" s="11">
        <f>SUMIFS(TableDailySummary[Costo de ventas registrado],TableDailySummary[Fecha],"&gt;="&amp;TableWeeklySummary[[#This Row],[Desde]],TableDailySummary[Fecha],"&lt;="&amp;TableWeeklySummary[[#This Row],[Hasta]])</f>
        <v>0</v>
      </c>
      <c r="AK431" s="11">
        <f>SUMIFS(TableDailySummary[Utilidad bruta],TableDailySummary[Fecha],"&gt;="&amp;TableWeeklySummary[[#This Row],[Desde]],TableDailySummary[Fecha],"&lt;="&amp;TableWeeklySummary[[#This Row],[Hasta]])</f>
        <v>0</v>
      </c>
      <c r="AL431" s="18">
        <f>IFERROR(TableWeeklySummary[[#This Row],[Utilidad bruta]]/TableWeeklySummary[[#This Row],[Ventas netas con costo registrado]],0)</f>
        <v>0</v>
      </c>
    </row>
    <row r="432" spans="2:38" x14ac:dyDescent="0.2">
      <c r="B432" s="16">
        <f>_xlfn.ISOWEEKNUM(TableWeeklySummary[[#This Row],[Hasta]])</f>
        <v>4</v>
      </c>
      <c r="C432" s="6">
        <f t="shared" si="8"/>
        <v>47501</v>
      </c>
      <c r="D432" s="6">
        <f>TableWeeklySummary[[#This Row],[Desde]]+7-1</f>
        <v>47507</v>
      </c>
      <c r="E432" s="11">
        <f>SUMIFS(TableDailySummary[Ventas netas totales],TableDailySummary[Fecha],"&gt;="&amp;TableWeeklySummary[[#This Row],[Desde]],TableDailySummary[Fecha],"&lt;="&amp;TableWeeklySummary[[#This Row],[Hasta]])</f>
        <v>0</v>
      </c>
      <c r="F432" s="11">
        <f>SUMIFS(TableDailySummary[Órdenes totales],TableDailySummary[Fecha],"&gt;="&amp;TableWeeklySummary[[#This Row],[Desde]],TableDailySummary[Fecha],"&lt;="&amp;TableWeeklySummary[[#This Row],[Hasta]])</f>
        <v>0</v>
      </c>
      <c r="G432" s="11">
        <f>IFERROR(TableWeeklySummary[[#This Row],[Ventas netas totales]]/TableWeeklySummary[[#This Row],[Órdenes totales]],0)</f>
        <v>0</v>
      </c>
      <c r="H43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2" s="11">
        <f>TableWeeklySummary[[#This Row],[Órden promedio totales]]*TableWeeklySummary[[#This Row],[CR totales]]</f>
        <v>0</v>
      </c>
      <c r="J432" s="11">
        <f>SUMIFS(TableDailySummary[Ventas primer cliente],TableDailySummary[Fecha],"&gt;="&amp;TableWeeklySummary[[#This Row],[Desde]],TableDailySummary[Fecha],"&lt;="&amp;TableWeeklySummary[[#This Row],[Hasta]])</f>
        <v>0</v>
      </c>
      <c r="K432" s="11">
        <f>SUMIFS(TableDailySummary[Órdenes primer cliente],TableDailySummary[Fecha],"&gt;="&amp;TableWeeklySummary[[#This Row],[Desde]],TableDailySummary[Fecha],"&lt;="&amp;TableWeeklySummary[[#This Row],[Hasta]])</f>
        <v>0</v>
      </c>
      <c r="L432" s="11">
        <f>SUMIFS(TableDailySummary[Online Store_net_sales],TableDailySummary[Fecha],"&gt;="&amp;TableWeeklySummary[[#This Row],[Desde]],TableDailySummary[Fecha],"&lt;="&amp;TableWeeklySummary[[#This Row],[Hasta]])</f>
        <v>0</v>
      </c>
      <c r="M432" s="11">
        <f>SUMIFS(TableDailySummary[Online Store_orders],TableDailySummary[Fecha],"&gt;="&amp;TableWeeklySummary[[#This Row],[Desde]],TableDailySummary[Fecha],"&lt;="&amp;TableWeeklySummary[[#This Row],[Hasta]])</f>
        <v>0</v>
      </c>
      <c r="N432" s="11">
        <f>SUMIFS(TableDailySummary[Tienda 81_net_sales],TableDailySummary[Fecha],"&gt;="&amp;TableWeeklySummary[[#This Row],[Desde]],TableDailySummary[Fecha],"&lt;="&amp;TableWeeklySummary[[#This Row],[Hasta]])</f>
        <v>0</v>
      </c>
      <c r="O432" s="11">
        <f>SUMIFS(TableDailySummary[Tienda 81_orders],TableDailySummary[Fecha],"&gt;="&amp;TableWeeklySummary[[#This Row],[Desde]],TableDailySummary[Fecha],"&lt;="&amp;TableWeeklySummary[[#This Row],[Hasta]])</f>
        <v>0</v>
      </c>
      <c r="P432" s="11">
        <f>SUMIFS(TableDailySummary[Rappi_net_sales],TableDailySummary[Fecha],"&gt;="&amp;TableWeeklySummary[[#This Row],[Desde]],TableDailySummary[Fecha],"&lt;="&amp;TableWeeklySummary[[#This Row],[Hasta]])</f>
        <v>0</v>
      </c>
      <c r="Q432" s="11">
        <f>SUMIFS(TableDailySummary[Rappi_orders],TableDailySummary[Fecha],"&gt;="&amp;TableWeeklySummary[[#This Row],[Desde]],TableDailySummary[Fecha],"&lt;="&amp;TableWeeklySummary[[#This Row],[Hasta]])</f>
        <v>0</v>
      </c>
      <c r="R43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2" s="11">
        <f>SUMIFS(TableDailySummary[Corporativo no tienda_orders],TableDailySummary[Fecha],"&gt;="&amp;TableWeeklySummary[[#This Row],[Desde]],TableDailySummary[Fecha],"&lt;="&amp;TableWeeklySummary[[#This Row],[Hasta]])</f>
        <v>0</v>
      </c>
      <c r="T432" s="11">
        <f>SUMIFS(TableDailySummary[Inversión google ads],TableDailySummary[Fecha],"&gt;="&amp;TableWeeklySummary[[#This Row],[Desde]],TableDailySummary[Fecha],"&lt;="&amp;TableWeeklySummary[[#This Row],[Hasta]])</f>
        <v>0</v>
      </c>
      <c r="U432" s="11">
        <f>SUMIFS(TableDailySummary[Ventas google ads],TableDailySummary[Fecha],"&gt;="&amp;TableWeeklySummary[[#This Row],[Desde]],TableDailySummary[Fecha],"&lt;="&amp;TableWeeklySummary[[#This Row],[Hasta]])</f>
        <v>0</v>
      </c>
      <c r="V432" s="11">
        <f>SUMIFS(TableDailySummary[Inversión meta ads],TableDailySummary[Fecha],"&gt;="&amp;TableWeeklySummary[[#This Row],[Desde]],TableDailySummary[Fecha],"&lt;="&amp;TableWeeklySummary[[#This Row],[Hasta]])</f>
        <v>0</v>
      </c>
      <c r="W432" s="11">
        <f>SUMIFS(TableDailySummary[Ventas meta ads],TableDailySummary[Fecha],"&gt;="&amp;TableWeeklySummary[[#This Row],[Desde]],TableDailySummary[Fecha],"&lt;="&amp;TableWeeklySummary[[#This Row],[Hasta]])</f>
        <v>0</v>
      </c>
      <c r="X432" s="11">
        <f>TableWeeklySummary[[#This Row],[Inversión google ads]]+TableWeeklySummary[[#This Row],[Inversión meta ads]]</f>
        <v>0</v>
      </c>
      <c r="Y432" s="11">
        <f>TableWeeklySummary[[#This Row],[Ventas google ads]]+TableWeeklySummary[[#This Row],[Ventas meta ads]]</f>
        <v>0</v>
      </c>
      <c r="Z432" s="14">
        <f>IFERROR(TableWeeklySummary[[#This Row],[Ventas publicidad]]/TableWeeklySummary[[#This Row],[Inversión publicidad]],0)</f>
        <v>0</v>
      </c>
      <c r="AA432" s="14">
        <f>IFERROR(TableWeeklySummary[[#This Row],[Ventas primer cliente]]/TableWeeklySummary[[#This Row],[Inversión publicidad]],0)</f>
        <v>0</v>
      </c>
      <c r="AB432" s="14"/>
      <c r="AC432" s="11"/>
      <c r="AI43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2" s="11">
        <f>SUMIFS(TableDailySummary[Costo de ventas registrado],TableDailySummary[Fecha],"&gt;="&amp;TableWeeklySummary[[#This Row],[Desde]],TableDailySummary[Fecha],"&lt;="&amp;TableWeeklySummary[[#This Row],[Hasta]])</f>
        <v>0</v>
      </c>
      <c r="AK432" s="11">
        <f>SUMIFS(TableDailySummary[Utilidad bruta],TableDailySummary[Fecha],"&gt;="&amp;TableWeeklySummary[[#This Row],[Desde]],TableDailySummary[Fecha],"&lt;="&amp;TableWeeklySummary[[#This Row],[Hasta]])</f>
        <v>0</v>
      </c>
      <c r="AL432" s="18">
        <f>IFERROR(TableWeeklySummary[[#This Row],[Utilidad bruta]]/TableWeeklySummary[[#This Row],[Ventas netas con costo registrado]],0)</f>
        <v>0</v>
      </c>
    </row>
    <row r="433" spans="2:38" x14ac:dyDescent="0.2">
      <c r="B433" s="16">
        <f>_xlfn.ISOWEEKNUM(TableWeeklySummary[[#This Row],[Hasta]])</f>
        <v>5</v>
      </c>
      <c r="C433" s="6">
        <f t="shared" si="8"/>
        <v>47508</v>
      </c>
      <c r="D433" s="6">
        <f>TableWeeklySummary[[#This Row],[Desde]]+7-1</f>
        <v>47514</v>
      </c>
      <c r="E433" s="11">
        <f>SUMIFS(TableDailySummary[Ventas netas totales],TableDailySummary[Fecha],"&gt;="&amp;TableWeeklySummary[[#This Row],[Desde]],TableDailySummary[Fecha],"&lt;="&amp;TableWeeklySummary[[#This Row],[Hasta]])</f>
        <v>0</v>
      </c>
      <c r="F433" s="11">
        <f>SUMIFS(TableDailySummary[Órdenes totales],TableDailySummary[Fecha],"&gt;="&amp;TableWeeklySummary[[#This Row],[Desde]],TableDailySummary[Fecha],"&lt;="&amp;TableWeeklySummary[[#This Row],[Hasta]])</f>
        <v>0</v>
      </c>
      <c r="G433" s="11">
        <f>IFERROR(TableWeeklySummary[[#This Row],[Ventas netas totales]]/TableWeeklySummary[[#This Row],[Órdenes totales]],0)</f>
        <v>0</v>
      </c>
      <c r="H43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3" s="11">
        <f>TableWeeklySummary[[#This Row],[Órden promedio totales]]*TableWeeklySummary[[#This Row],[CR totales]]</f>
        <v>0</v>
      </c>
      <c r="J433" s="11">
        <f>SUMIFS(TableDailySummary[Ventas primer cliente],TableDailySummary[Fecha],"&gt;="&amp;TableWeeklySummary[[#This Row],[Desde]],TableDailySummary[Fecha],"&lt;="&amp;TableWeeklySummary[[#This Row],[Hasta]])</f>
        <v>0</v>
      </c>
      <c r="K433" s="11">
        <f>SUMIFS(TableDailySummary[Órdenes primer cliente],TableDailySummary[Fecha],"&gt;="&amp;TableWeeklySummary[[#This Row],[Desde]],TableDailySummary[Fecha],"&lt;="&amp;TableWeeklySummary[[#This Row],[Hasta]])</f>
        <v>0</v>
      </c>
      <c r="L433" s="11">
        <f>SUMIFS(TableDailySummary[Online Store_net_sales],TableDailySummary[Fecha],"&gt;="&amp;TableWeeklySummary[[#This Row],[Desde]],TableDailySummary[Fecha],"&lt;="&amp;TableWeeklySummary[[#This Row],[Hasta]])</f>
        <v>0</v>
      </c>
      <c r="M433" s="11">
        <f>SUMIFS(TableDailySummary[Online Store_orders],TableDailySummary[Fecha],"&gt;="&amp;TableWeeklySummary[[#This Row],[Desde]],TableDailySummary[Fecha],"&lt;="&amp;TableWeeklySummary[[#This Row],[Hasta]])</f>
        <v>0</v>
      </c>
      <c r="N433" s="11">
        <f>SUMIFS(TableDailySummary[Tienda 81_net_sales],TableDailySummary[Fecha],"&gt;="&amp;TableWeeklySummary[[#This Row],[Desde]],TableDailySummary[Fecha],"&lt;="&amp;TableWeeklySummary[[#This Row],[Hasta]])</f>
        <v>0</v>
      </c>
      <c r="O433" s="11">
        <f>SUMIFS(TableDailySummary[Tienda 81_orders],TableDailySummary[Fecha],"&gt;="&amp;TableWeeklySummary[[#This Row],[Desde]],TableDailySummary[Fecha],"&lt;="&amp;TableWeeklySummary[[#This Row],[Hasta]])</f>
        <v>0</v>
      </c>
      <c r="P433" s="11">
        <f>SUMIFS(TableDailySummary[Rappi_net_sales],TableDailySummary[Fecha],"&gt;="&amp;TableWeeklySummary[[#This Row],[Desde]],TableDailySummary[Fecha],"&lt;="&amp;TableWeeklySummary[[#This Row],[Hasta]])</f>
        <v>0</v>
      </c>
      <c r="Q433" s="11">
        <f>SUMIFS(TableDailySummary[Rappi_orders],TableDailySummary[Fecha],"&gt;="&amp;TableWeeklySummary[[#This Row],[Desde]],TableDailySummary[Fecha],"&lt;="&amp;TableWeeklySummary[[#This Row],[Hasta]])</f>
        <v>0</v>
      </c>
      <c r="R43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3" s="11">
        <f>SUMIFS(TableDailySummary[Corporativo no tienda_orders],TableDailySummary[Fecha],"&gt;="&amp;TableWeeklySummary[[#This Row],[Desde]],TableDailySummary[Fecha],"&lt;="&amp;TableWeeklySummary[[#This Row],[Hasta]])</f>
        <v>0</v>
      </c>
      <c r="T433" s="11">
        <f>SUMIFS(TableDailySummary[Inversión google ads],TableDailySummary[Fecha],"&gt;="&amp;TableWeeklySummary[[#This Row],[Desde]],TableDailySummary[Fecha],"&lt;="&amp;TableWeeklySummary[[#This Row],[Hasta]])</f>
        <v>0</v>
      </c>
      <c r="U433" s="11">
        <f>SUMIFS(TableDailySummary[Ventas google ads],TableDailySummary[Fecha],"&gt;="&amp;TableWeeklySummary[[#This Row],[Desde]],TableDailySummary[Fecha],"&lt;="&amp;TableWeeklySummary[[#This Row],[Hasta]])</f>
        <v>0</v>
      </c>
      <c r="V433" s="11">
        <f>SUMIFS(TableDailySummary[Inversión meta ads],TableDailySummary[Fecha],"&gt;="&amp;TableWeeklySummary[[#This Row],[Desde]],TableDailySummary[Fecha],"&lt;="&amp;TableWeeklySummary[[#This Row],[Hasta]])</f>
        <v>0</v>
      </c>
      <c r="W433" s="11">
        <f>SUMIFS(TableDailySummary[Ventas meta ads],TableDailySummary[Fecha],"&gt;="&amp;TableWeeklySummary[[#This Row],[Desde]],TableDailySummary[Fecha],"&lt;="&amp;TableWeeklySummary[[#This Row],[Hasta]])</f>
        <v>0</v>
      </c>
      <c r="X433" s="11">
        <f>TableWeeklySummary[[#This Row],[Inversión google ads]]+TableWeeklySummary[[#This Row],[Inversión meta ads]]</f>
        <v>0</v>
      </c>
      <c r="Y433" s="11">
        <f>TableWeeklySummary[[#This Row],[Ventas google ads]]+TableWeeklySummary[[#This Row],[Ventas meta ads]]</f>
        <v>0</v>
      </c>
      <c r="Z433" s="14">
        <f>IFERROR(TableWeeklySummary[[#This Row],[Ventas publicidad]]/TableWeeklySummary[[#This Row],[Inversión publicidad]],0)</f>
        <v>0</v>
      </c>
      <c r="AA433" s="14">
        <f>IFERROR(TableWeeklySummary[[#This Row],[Ventas primer cliente]]/TableWeeklySummary[[#This Row],[Inversión publicidad]],0)</f>
        <v>0</v>
      </c>
      <c r="AB433" s="14"/>
      <c r="AC433" s="11"/>
      <c r="AI43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3" s="11">
        <f>SUMIFS(TableDailySummary[Costo de ventas registrado],TableDailySummary[Fecha],"&gt;="&amp;TableWeeklySummary[[#This Row],[Desde]],TableDailySummary[Fecha],"&lt;="&amp;TableWeeklySummary[[#This Row],[Hasta]])</f>
        <v>0</v>
      </c>
      <c r="AK433" s="11">
        <f>SUMIFS(TableDailySummary[Utilidad bruta],TableDailySummary[Fecha],"&gt;="&amp;TableWeeklySummary[[#This Row],[Desde]],TableDailySummary[Fecha],"&lt;="&amp;TableWeeklySummary[[#This Row],[Hasta]])</f>
        <v>0</v>
      </c>
      <c r="AL433" s="18">
        <f>IFERROR(TableWeeklySummary[[#This Row],[Utilidad bruta]]/TableWeeklySummary[[#This Row],[Ventas netas con costo registrado]],0)</f>
        <v>0</v>
      </c>
    </row>
    <row r="434" spans="2:38" x14ac:dyDescent="0.2">
      <c r="B434" s="16">
        <f>_xlfn.ISOWEEKNUM(TableWeeklySummary[[#This Row],[Hasta]])</f>
        <v>6</v>
      </c>
      <c r="C434" s="6">
        <f t="shared" si="8"/>
        <v>47515</v>
      </c>
      <c r="D434" s="6">
        <f>TableWeeklySummary[[#This Row],[Desde]]+7-1</f>
        <v>47521</v>
      </c>
      <c r="E434" s="11">
        <f>SUMIFS(TableDailySummary[Ventas netas totales],TableDailySummary[Fecha],"&gt;="&amp;TableWeeklySummary[[#This Row],[Desde]],TableDailySummary[Fecha],"&lt;="&amp;TableWeeklySummary[[#This Row],[Hasta]])</f>
        <v>0</v>
      </c>
      <c r="F434" s="11">
        <f>SUMIFS(TableDailySummary[Órdenes totales],TableDailySummary[Fecha],"&gt;="&amp;TableWeeklySummary[[#This Row],[Desde]],TableDailySummary[Fecha],"&lt;="&amp;TableWeeklySummary[[#This Row],[Hasta]])</f>
        <v>0</v>
      </c>
      <c r="G434" s="11">
        <f>IFERROR(TableWeeklySummary[[#This Row],[Ventas netas totales]]/TableWeeklySummary[[#This Row],[Órdenes totales]],0)</f>
        <v>0</v>
      </c>
      <c r="H43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4" s="11">
        <f>TableWeeklySummary[[#This Row],[Órden promedio totales]]*TableWeeklySummary[[#This Row],[CR totales]]</f>
        <v>0</v>
      </c>
      <c r="J434" s="11">
        <f>SUMIFS(TableDailySummary[Ventas primer cliente],TableDailySummary[Fecha],"&gt;="&amp;TableWeeklySummary[[#This Row],[Desde]],TableDailySummary[Fecha],"&lt;="&amp;TableWeeklySummary[[#This Row],[Hasta]])</f>
        <v>0</v>
      </c>
      <c r="K434" s="11">
        <f>SUMIFS(TableDailySummary[Órdenes primer cliente],TableDailySummary[Fecha],"&gt;="&amp;TableWeeklySummary[[#This Row],[Desde]],TableDailySummary[Fecha],"&lt;="&amp;TableWeeklySummary[[#This Row],[Hasta]])</f>
        <v>0</v>
      </c>
      <c r="L434" s="11">
        <f>SUMIFS(TableDailySummary[Online Store_net_sales],TableDailySummary[Fecha],"&gt;="&amp;TableWeeklySummary[[#This Row],[Desde]],TableDailySummary[Fecha],"&lt;="&amp;TableWeeklySummary[[#This Row],[Hasta]])</f>
        <v>0</v>
      </c>
      <c r="M434" s="11">
        <f>SUMIFS(TableDailySummary[Online Store_orders],TableDailySummary[Fecha],"&gt;="&amp;TableWeeklySummary[[#This Row],[Desde]],TableDailySummary[Fecha],"&lt;="&amp;TableWeeklySummary[[#This Row],[Hasta]])</f>
        <v>0</v>
      </c>
      <c r="N434" s="11">
        <f>SUMIFS(TableDailySummary[Tienda 81_net_sales],TableDailySummary[Fecha],"&gt;="&amp;TableWeeklySummary[[#This Row],[Desde]],TableDailySummary[Fecha],"&lt;="&amp;TableWeeklySummary[[#This Row],[Hasta]])</f>
        <v>0</v>
      </c>
      <c r="O434" s="11">
        <f>SUMIFS(TableDailySummary[Tienda 81_orders],TableDailySummary[Fecha],"&gt;="&amp;TableWeeklySummary[[#This Row],[Desde]],TableDailySummary[Fecha],"&lt;="&amp;TableWeeklySummary[[#This Row],[Hasta]])</f>
        <v>0</v>
      </c>
      <c r="P434" s="11">
        <f>SUMIFS(TableDailySummary[Rappi_net_sales],TableDailySummary[Fecha],"&gt;="&amp;TableWeeklySummary[[#This Row],[Desde]],TableDailySummary[Fecha],"&lt;="&amp;TableWeeklySummary[[#This Row],[Hasta]])</f>
        <v>0</v>
      </c>
      <c r="Q434" s="11">
        <f>SUMIFS(TableDailySummary[Rappi_orders],TableDailySummary[Fecha],"&gt;="&amp;TableWeeklySummary[[#This Row],[Desde]],TableDailySummary[Fecha],"&lt;="&amp;TableWeeklySummary[[#This Row],[Hasta]])</f>
        <v>0</v>
      </c>
      <c r="R43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4" s="11">
        <f>SUMIFS(TableDailySummary[Corporativo no tienda_orders],TableDailySummary[Fecha],"&gt;="&amp;TableWeeklySummary[[#This Row],[Desde]],TableDailySummary[Fecha],"&lt;="&amp;TableWeeklySummary[[#This Row],[Hasta]])</f>
        <v>0</v>
      </c>
      <c r="T434" s="11">
        <f>SUMIFS(TableDailySummary[Inversión google ads],TableDailySummary[Fecha],"&gt;="&amp;TableWeeklySummary[[#This Row],[Desde]],TableDailySummary[Fecha],"&lt;="&amp;TableWeeklySummary[[#This Row],[Hasta]])</f>
        <v>0</v>
      </c>
      <c r="U434" s="11">
        <f>SUMIFS(TableDailySummary[Ventas google ads],TableDailySummary[Fecha],"&gt;="&amp;TableWeeklySummary[[#This Row],[Desde]],TableDailySummary[Fecha],"&lt;="&amp;TableWeeklySummary[[#This Row],[Hasta]])</f>
        <v>0</v>
      </c>
      <c r="V434" s="11">
        <f>SUMIFS(TableDailySummary[Inversión meta ads],TableDailySummary[Fecha],"&gt;="&amp;TableWeeklySummary[[#This Row],[Desde]],TableDailySummary[Fecha],"&lt;="&amp;TableWeeklySummary[[#This Row],[Hasta]])</f>
        <v>0</v>
      </c>
      <c r="W434" s="11">
        <f>SUMIFS(TableDailySummary[Ventas meta ads],TableDailySummary[Fecha],"&gt;="&amp;TableWeeklySummary[[#This Row],[Desde]],TableDailySummary[Fecha],"&lt;="&amp;TableWeeklySummary[[#This Row],[Hasta]])</f>
        <v>0</v>
      </c>
      <c r="X434" s="11">
        <f>TableWeeklySummary[[#This Row],[Inversión google ads]]+TableWeeklySummary[[#This Row],[Inversión meta ads]]</f>
        <v>0</v>
      </c>
      <c r="Y434" s="11">
        <f>TableWeeklySummary[[#This Row],[Ventas google ads]]+TableWeeklySummary[[#This Row],[Ventas meta ads]]</f>
        <v>0</v>
      </c>
      <c r="Z434" s="14">
        <f>IFERROR(TableWeeklySummary[[#This Row],[Ventas publicidad]]/TableWeeklySummary[[#This Row],[Inversión publicidad]],0)</f>
        <v>0</v>
      </c>
      <c r="AA434" s="14">
        <f>IFERROR(TableWeeklySummary[[#This Row],[Ventas primer cliente]]/TableWeeklySummary[[#This Row],[Inversión publicidad]],0)</f>
        <v>0</v>
      </c>
      <c r="AB434" s="14"/>
      <c r="AC434" s="11"/>
      <c r="AI43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4" s="11">
        <f>SUMIFS(TableDailySummary[Costo de ventas registrado],TableDailySummary[Fecha],"&gt;="&amp;TableWeeklySummary[[#This Row],[Desde]],TableDailySummary[Fecha],"&lt;="&amp;TableWeeklySummary[[#This Row],[Hasta]])</f>
        <v>0</v>
      </c>
      <c r="AK434" s="11">
        <f>SUMIFS(TableDailySummary[Utilidad bruta],TableDailySummary[Fecha],"&gt;="&amp;TableWeeklySummary[[#This Row],[Desde]],TableDailySummary[Fecha],"&lt;="&amp;TableWeeklySummary[[#This Row],[Hasta]])</f>
        <v>0</v>
      </c>
      <c r="AL434" s="18">
        <f>IFERROR(TableWeeklySummary[[#This Row],[Utilidad bruta]]/TableWeeklySummary[[#This Row],[Ventas netas con costo registrado]],0)</f>
        <v>0</v>
      </c>
    </row>
    <row r="435" spans="2:38" x14ac:dyDescent="0.2">
      <c r="B435" s="16">
        <f>_xlfn.ISOWEEKNUM(TableWeeklySummary[[#This Row],[Hasta]])</f>
        <v>7</v>
      </c>
      <c r="C435" s="6">
        <f t="shared" si="8"/>
        <v>47522</v>
      </c>
      <c r="D435" s="6">
        <f>TableWeeklySummary[[#This Row],[Desde]]+7-1</f>
        <v>47528</v>
      </c>
      <c r="E435" s="11">
        <f>SUMIFS(TableDailySummary[Ventas netas totales],TableDailySummary[Fecha],"&gt;="&amp;TableWeeklySummary[[#This Row],[Desde]],TableDailySummary[Fecha],"&lt;="&amp;TableWeeklySummary[[#This Row],[Hasta]])</f>
        <v>0</v>
      </c>
      <c r="F435" s="11">
        <f>SUMIFS(TableDailySummary[Órdenes totales],TableDailySummary[Fecha],"&gt;="&amp;TableWeeklySummary[[#This Row],[Desde]],TableDailySummary[Fecha],"&lt;="&amp;TableWeeklySummary[[#This Row],[Hasta]])</f>
        <v>0</v>
      </c>
      <c r="G435" s="11">
        <f>IFERROR(TableWeeklySummary[[#This Row],[Ventas netas totales]]/TableWeeklySummary[[#This Row],[Órdenes totales]],0)</f>
        <v>0</v>
      </c>
      <c r="H43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5" s="11">
        <f>TableWeeklySummary[[#This Row],[Órden promedio totales]]*TableWeeklySummary[[#This Row],[CR totales]]</f>
        <v>0</v>
      </c>
      <c r="J435" s="11">
        <f>SUMIFS(TableDailySummary[Ventas primer cliente],TableDailySummary[Fecha],"&gt;="&amp;TableWeeklySummary[[#This Row],[Desde]],TableDailySummary[Fecha],"&lt;="&amp;TableWeeklySummary[[#This Row],[Hasta]])</f>
        <v>0</v>
      </c>
      <c r="K435" s="11">
        <f>SUMIFS(TableDailySummary[Órdenes primer cliente],TableDailySummary[Fecha],"&gt;="&amp;TableWeeklySummary[[#This Row],[Desde]],TableDailySummary[Fecha],"&lt;="&amp;TableWeeklySummary[[#This Row],[Hasta]])</f>
        <v>0</v>
      </c>
      <c r="L435" s="11">
        <f>SUMIFS(TableDailySummary[Online Store_net_sales],TableDailySummary[Fecha],"&gt;="&amp;TableWeeklySummary[[#This Row],[Desde]],TableDailySummary[Fecha],"&lt;="&amp;TableWeeklySummary[[#This Row],[Hasta]])</f>
        <v>0</v>
      </c>
      <c r="M435" s="11">
        <f>SUMIFS(TableDailySummary[Online Store_orders],TableDailySummary[Fecha],"&gt;="&amp;TableWeeklySummary[[#This Row],[Desde]],TableDailySummary[Fecha],"&lt;="&amp;TableWeeklySummary[[#This Row],[Hasta]])</f>
        <v>0</v>
      </c>
      <c r="N435" s="11">
        <f>SUMIFS(TableDailySummary[Tienda 81_net_sales],TableDailySummary[Fecha],"&gt;="&amp;TableWeeklySummary[[#This Row],[Desde]],TableDailySummary[Fecha],"&lt;="&amp;TableWeeklySummary[[#This Row],[Hasta]])</f>
        <v>0</v>
      </c>
      <c r="O435" s="11">
        <f>SUMIFS(TableDailySummary[Tienda 81_orders],TableDailySummary[Fecha],"&gt;="&amp;TableWeeklySummary[[#This Row],[Desde]],TableDailySummary[Fecha],"&lt;="&amp;TableWeeklySummary[[#This Row],[Hasta]])</f>
        <v>0</v>
      </c>
      <c r="P435" s="11">
        <f>SUMIFS(TableDailySummary[Rappi_net_sales],TableDailySummary[Fecha],"&gt;="&amp;TableWeeklySummary[[#This Row],[Desde]],TableDailySummary[Fecha],"&lt;="&amp;TableWeeklySummary[[#This Row],[Hasta]])</f>
        <v>0</v>
      </c>
      <c r="Q435" s="11">
        <f>SUMIFS(TableDailySummary[Rappi_orders],TableDailySummary[Fecha],"&gt;="&amp;TableWeeklySummary[[#This Row],[Desde]],TableDailySummary[Fecha],"&lt;="&amp;TableWeeklySummary[[#This Row],[Hasta]])</f>
        <v>0</v>
      </c>
      <c r="R43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5" s="11">
        <f>SUMIFS(TableDailySummary[Corporativo no tienda_orders],TableDailySummary[Fecha],"&gt;="&amp;TableWeeklySummary[[#This Row],[Desde]],TableDailySummary[Fecha],"&lt;="&amp;TableWeeklySummary[[#This Row],[Hasta]])</f>
        <v>0</v>
      </c>
      <c r="T435" s="11">
        <f>SUMIFS(TableDailySummary[Inversión google ads],TableDailySummary[Fecha],"&gt;="&amp;TableWeeklySummary[[#This Row],[Desde]],TableDailySummary[Fecha],"&lt;="&amp;TableWeeklySummary[[#This Row],[Hasta]])</f>
        <v>0</v>
      </c>
      <c r="U435" s="11">
        <f>SUMIFS(TableDailySummary[Ventas google ads],TableDailySummary[Fecha],"&gt;="&amp;TableWeeklySummary[[#This Row],[Desde]],TableDailySummary[Fecha],"&lt;="&amp;TableWeeklySummary[[#This Row],[Hasta]])</f>
        <v>0</v>
      </c>
      <c r="V435" s="11">
        <f>SUMIFS(TableDailySummary[Inversión meta ads],TableDailySummary[Fecha],"&gt;="&amp;TableWeeklySummary[[#This Row],[Desde]],TableDailySummary[Fecha],"&lt;="&amp;TableWeeklySummary[[#This Row],[Hasta]])</f>
        <v>0</v>
      </c>
      <c r="W435" s="11">
        <f>SUMIFS(TableDailySummary[Ventas meta ads],TableDailySummary[Fecha],"&gt;="&amp;TableWeeklySummary[[#This Row],[Desde]],TableDailySummary[Fecha],"&lt;="&amp;TableWeeklySummary[[#This Row],[Hasta]])</f>
        <v>0</v>
      </c>
      <c r="X435" s="11">
        <f>TableWeeklySummary[[#This Row],[Inversión google ads]]+TableWeeklySummary[[#This Row],[Inversión meta ads]]</f>
        <v>0</v>
      </c>
      <c r="Y435" s="11">
        <f>TableWeeklySummary[[#This Row],[Ventas google ads]]+TableWeeklySummary[[#This Row],[Ventas meta ads]]</f>
        <v>0</v>
      </c>
      <c r="Z435" s="14">
        <f>IFERROR(TableWeeklySummary[[#This Row],[Ventas publicidad]]/TableWeeklySummary[[#This Row],[Inversión publicidad]],0)</f>
        <v>0</v>
      </c>
      <c r="AA435" s="14">
        <f>IFERROR(TableWeeklySummary[[#This Row],[Ventas primer cliente]]/TableWeeklySummary[[#This Row],[Inversión publicidad]],0)</f>
        <v>0</v>
      </c>
      <c r="AB435" s="14"/>
      <c r="AC435" s="11"/>
      <c r="AI43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5" s="11">
        <f>SUMIFS(TableDailySummary[Costo de ventas registrado],TableDailySummary[Fecha],"&gt;="&amp;TableWeeklySummary[[#This Row],[Desde]],TableDailySummary[Fecha],"&lt;="&amp;TableWeeklySummary[[#This Row],[Hasta]])</f>
        <v>0</v>
      </c>
      <c r="AK435" s="11">
        <f>SUMIFS(TableDailySummary[Utilidad bruta],TableDailySummary[Fecha],"&gt;="&amp;TableWeeklySummary[[#This Row],[Desde]],TableDailySummary[Fecha],"&lt;="&amp;TableWeeklySummary[[#This Row],[Hasta]])</f>
        <v>0</v>
      </c>
      <c r="AL435" s="18">
        <f>IFERROR(TableWeeklySummary[[#This Row],[Utilidad bruta]]/TableWeeklySummary[[#This Row],[Ventas netas con costo registrado]],0)</f>
        <v>0</v>
      </c>
    </row>
    <row r="436" spans="2:38" x14ac:dyDescent="0.2">
      <c r="B436" s="16">
        <f>_xlfn.ISOWEEKNUM(TableWeeklySummary[[#This Row],[Hasta]])</f>
        <v>8</v>
      </c>
      <c r="C436" s="6">
        <f t="shared" si="8"/>
        <v>47529</v>
      </c>
      <c r="D436" s="6">
        <f>TableWeeklySummary[[#This Row],[Desde]]+7-1</f>
        <v>47535</v>
      </c>
      <c r="E436" s="11">
        <f>SUMIFS(TableDailySummary[Ventas netas totales],TableDailySummary[Fecha],"&gt;="&amp;TableWeeklySummary[[#This Row],[Desde]],TableDailySummary[Fecha],"&lt;="&amp;TableWeeklySummary[[#This Row],[Hasta]])</f>
        <v>0</v>
      </c>
      <c r="F436" s="11">
        <f>SUMIFS(TableDailySummary[Órdenes totales],TableDailySummary[Fecha],"&gt;="&amp;TableWeeklySummary[[#This Row],[Desde]],TableDailySummary[Fecha],"&lt;="&amp;TableWeeklySummary[[#This Row],[Hasta]])</f>
        <v>0</v>
      </c>
      <c r="G436" s="11">
        <f>IFERROR(TableWeeklySummary[[#This Row],[Ventas netas totales]]/TableWeeklySummary[[#This Row],[Órdenes totales]],0)</f>
        <v>0</v>
      </c>
      <c r="H43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6" s="11">
        <f>TableWeeklySummary[[#This Row],[Órden promedio totales]]*TableWeeklySummary[[#This Row],[CR totales]]</f>
        <v>0</v>
      </c>
      <c r="J436" s="11">
        <f>SUMIFS(TableDailySummary[Ventas primer cliente],TableDailySummary[Fecha],"&gt;="&amp;TableWeeklySummary[[#This Row],[Desde]],TableDailySummary[Fecha],"&lt;="&amp;TableWeeklySummary[[#This Row],[Hasta]])</f>
        <v>0</v>
      </c>
      <c r="K436" s="11">
        <f>SUMIFS(TableDailySummary[Órdenes primer cliente],TableDailySummary[Fecha],"&gt;="&amp;TableWeeklySummary[[#This Row],[Desde]],TableDailySummary[Fecha],"&lt;="&amp;TableWeeklySummary[[#This Row],[Hasta]])</f>
        <v>0</v>
      </c>
      <c r="L436" s="11">
        <f>SUMIFS(TableDailySummary[Online Store_net_sales],TableDailySummary[Fecha],"&gt;="&amp;TableWeeklySummary[[#This Row],[Desde]],TableDailySummary[Fecha],"&lt;="&amp;TableWeeklySummary[[#This Row],[Hasta]])</f>
        <v>0</v>
      </c>
      <c r="M436" s="11">
        <f>SUMIFS(TableDailySummary[Online Store_orders],TableDailySummary[Fecha],"&gt;="&amp;TableWeeklySummary[[#This Row],[Desde]],TableDailySummary[Fecha],"&lt;="&amp;TableWeeklySummary[[#This Row],[Hasta]])</f>
        <v>0</v>
      </c>
      <c r="N436" s="11">
        <f>SUMIFS(TableDailySummary[Tienda 81_net_sales],TableDailySummary[Fecha],"&gt;="&amp;TableWeeklySummary[[#This Row],[Desde]],TableDailySummary[Fecha],"&lt;="&amp;TableWeeklySummary[[#This Row],[Hasta]])</f>
        <v>0</v>
      </c>
      <c r="O436" s="11">
        <f>SUMIFS(TableDailySummary[Tienda 81_orders],TableDailySummary[Fecha],"&gt;="&amp;TableWeeklySummary[[#This Row],[Desde]],TableDailySummary[Fecha],"&lt;="&amp;TableWeeklySummary[[#This Row],[Hasta]])</f>
        <v>0</v>
      </c>
      <c r="P436" s="11">
        <f>SUMIFS(TableDailySummary[Rappi_net_sales],TableDailySummary[Fecha],"&gt;="&amp;TableWeeklySummary[[#This Row],[Desde]],TableDailySummary[Fecha],"&lt;="&amp;TableWeeklySummary[[#This Row],[Hasta]])</f>
        <v>0</v>
      </c>
      <c r="Q436" s="11">
        <f>SUMIFS(TableDailySummary[Rappi_orders],TableDailySummary[Fecha],"&gt;="&amp;TableWeeklySummary[[#This Row],[Desde]],TableDailySummary[Fecha],"&lt;="&amp;TableWeeklySummary[[#This Row],[Hasta]])</f>
        <v>0</v>
      </c>
      <c r="R43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6" s="11">
        <f>SUMIFS(TableDailySummary[Corporativo no tienda_orders],TableDailySummary[Fecha],"&gt;="&amp;TableWeeklySummary[[#This Row],[Desde]],TableDailySummary[Fecha],"&lt;="&amp;TableWeeklySummary[[#This Row],[Hasta]])</f>
        <v>0</v>
      </c>
      <c r="T436" s="11">
        <f>SUMIFS(TableDailySummary[Inversión google ads],TableDailySummary[Fecha],"&gt;="&amp;TableWeeklySummary[[#This Row],[Desde]],TableDailySummary[Fecha],"&lt;="&amp;TableWeeklySummary[[#This Row],[Hasta]])</f>
        <v>0</v>
      </c>
      <c r="U436" s="11">
        <f>SUMIFS(TableDailySummary[Ventas google ads],TableDailySummary[Fecha],"&gt;="&amp;TableWeeklySummary[[#This Row],[Desde]],TableDailySummary[Fecha],"&lt;="&amp;TableWeeklySummary[[#This Row],[Hasta]])</f>
        <v>0</v>
      </c>
      <c r="V436" s="11">
        <f>SUMIFS(TableDailySummary[Inversión meta ads],TableDailySummary[Fecha],"&gt;="&amp;TableWeeklySummary[[#This Row],[Desde]],TableDailySummary[Fecha],"&lt;="&amp;TableWeeklySummary[[#This Row],[Hasta]])</f>
        <v>0</v>
      </c>
      <c r="W436" s="11">
        <f>SUMIFS(TableDailySummary[Ventas meta ads],TableDailySummary[Fecha],"&gt;="&amp;TableWeeklySummary[[#This Row],[Desde]],TableDailySummary[Fecha],"&lt;="&amp;TableWeeklySummary[[#This Row],[Hasta]])</f>
        <v>0</v>
      </c>
      <c r="X436" s="11">
        <f>TableWeeklySummary[[#This Row],[Inversión google ads]]+TableWeeklySummary[[#This Row],[Inversión meta ads]]</f>
        <v>0</v>
      </c>
      <c r="Y436" s="11">
        <f>TableWeeklySummary[[#This Row],[Ventas google ads]]+TableWeeklySummary[[#This Row],[Ventas meta ads]]</f>
        <v>0</v>
      </c>
      <c r="Z436" s="14">
        <f>IFERROR(TableWeeklySummary[[#This Row],[Ventas publicidad]]/TableWeeklySummary[[#This Row],[Inversión publicidad]],0)</f>
        <v>0</v>
      </c>
      <c r="AA436" s="14">
        <f>IFERROR(TableWeeklySummary[[#This Row],[Ventas primer cliente]]/TableWeeklySummary[[#This Row],[Inversión publicidad]],0)</f>
        <v>0</v>
      </c>
      <c r="AB436" s="14"/>
      <c r="AC436" s="11"/>
      <c r="AI43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6" s="11">
        <f>SUMIFS(TableDailySummary[Costo de ventas registrado],TableDailySummary[Fecha],"&gt;="&amp;TableWeeklySummary[[#This Row],[Desde]],TableDailySummary[Fecha],"&lt;="&amp;TableWeeklySummary[[#This Row],[Hasta]])</f>
        <v>0</v>
      </c>
      <c r="AK436" s="11">
        <f>SUMIFS(TableDailySummary[Utilidad bruta],TableDailySummary[Fecha],"&gt;="&amp;TableWeeklySummary[[#This Row],[Desde]],TableDailySummary[Fecha],"&lt;="&amp;TableWeeklySummary[[#This Row],[Hasta]])</f>
        <v>0</v>
      </c>
      <c r="AL436" s="18">
        <f>IFERROR(TableWeeklySummary[[#This Row],[Utilidad bruta]]/TableWeeklySummary[[#This Row],[Ventas netas con costo registrado]],0)</f>
        <v>0</v>
      </c>
    </row>
    <row r="437" spans="2:38" x14ac:dyDescent="0.2">
      <c r="B437" s="16">
        <f>_xlfn.ISOWEEKNUM(TableWeeklySummary[[#This Row],[Hasta]])</f>
        <v>9</v>
      </c>
      <c r="C437" s="6">
        <f t="shared" si="8"/>
        <v>47536</v>
      </c>
      <c r="D437" s="6">
        <f>TableWeeklySummary[[#This Row],[Desde]]+7-1</f>
        <v>47542</v>
      </c>
      <c r="E437" s="11">
        <f>SUMIFS(TableDailySummary[Ventas netas totales],TableDailySummary[Fecha],"&gt;="&amp;TableWeeklySummary[[#This Row],[Desde]],TableDailySummary[Fecha],"&lt;="&amp;TableWeeklySummary[[#This Row],[Hasta]])</f>
        <v>0</v>
      </c>
      <c r="F437" s="11">
        <f>SUMIFS(TableDailySummary[Órdenes totales],TableDailySummary[Fecha],"&gt;="&amp;TableWeeklySummary[[#This Row],[Desde]],TableDailySummary[Fecha],"&lt;="&amp;TableWeeklySummary[[#This Row],[Hasta]])</f>
        <v>0</v>
      </c>
      <c r="G437" s="11">
        <f>IFERROR(TableWeeklySummary[[#This Row],[Ventas netas totales]]/TableWeeklySummary[[#This Row],[Órdenes totales]],0)</f>
        <v>0</v>
      </c>
      <c r="H43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7" s="11">
        <f>TableWeeklySummary[[#This Row],[Órden promedio totales]]*TableWeeklySummary[[#This Row],[CR totales]]</f>
        <v>0</v>
      </c>
      <c r="J437" s="11">
        <f>SUMIFS(TableDailySummary[Ventas primer cliente],TableDailySummary[Fecha],"&gt;="&amp;TableWeeklySummary[[#This Row],[Desde]],TableDailySummary[Fecha],"&lt;="&amp;TableWeeklySummary[[#This Row],[Hasta]])</f>
        <v>0</v>
      </c>
      <c r="K437" s="11">
        <f>SUMIFS(TableDailySummary[Órdenes primer cliente],TableDailySummary[Fecha],"&gt;="&amp;TableWeeklySummary[[#This Row],[Desde]],TableDailySummary[Fecha],"&lt;="&amp;TableWeeklySummary[[#This Row],[Hasta]])</f>
        <v>0</v>
      </c>
      <c r="L437" s="11">
        <f>SUMIFS(TableDailySummary[Online Store_net_sales],TableDailySummary[Fecha],"&gt;="&amp;TableWeeklySummary[[#This Row],[Desde]],TableDailySummary[Fecha],"&lt;="&amp;TableWeeklySummary[[#This Row],[Hasta]])</f>
        <v>0</v>
      </c>
      <c r="M437" s="11">
        <f>SUMIFS(TableDailySummary[Online Store_orders],TableDailySummary[Fecha],"&gt;="&amp;TableWeeklySummary[[#This Row],[Desde]],TableDailySummary[Fecha],"&lt;="&amp;TableWeeklySummary[[#This Row],[Hasta]])</f>
        <v>0</v>
      </c>
      <c r="N437" s="11">
        <f>SUMIFS(TableDailySummary[Tienda 81_net_sales],TableDailySummary[Fecha],"&gt;="&amp;TableWeeklySummary[[#This Row],[Desde]],TableDailySummary[Fecha],"&lt;="&amp;TableWeeklySummary[[#This Row],[Hasta]])</f>
        <v>0</v>
      </c>
      <c r="O437" s="11">
        <f>SUMIFS(TableDailySummary[Tienda 81_orders],TableDailySummary[Fecha],"&gt;="&amp;TableWeeklySummary[[#This Row],[Desde]],TableDailySummary[Fecha],"&lt;="&amp;TableWeeklySummary[[#This Row],[Hasta]])</f>
        <v>0</v>
      </c>
      <c r="P437" s="11">
        <f>SUMIFS(TableDailySummary[Rappi_net_sales],TableDailySummary[Fecha],"&gt;="&amp;TableWeeklySummary[[#This Row],[Desde]],TableDailySummary[Fecha],"&lt;="&amp;TableWeeklySummary[[#This Row],[Hasta]])</f>
        <v>0</v>
      </c>
      <c r="Q437" s="11">
        <f>SUMIFS(TableDailySummary[Rappi_orders],TableDailySummary[Fecha],"&gt;="&amp;TableWeeklySummary[[#This Row],[Desde]],TableDailySummary[Fecha],"&lt;="&amp;TableWeeklySummary[[#This Row],[Hasta]])</f>
        <v>0</v>
      </c>
      <c r="R43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7" s="11">
        <f>SUMIFS(TableDailySummary[Corporativo no tienda_orders],TableDailySummary[Fecha],"&gt;="&amp;TableWeeklySummary[[#This Row],[Desde]],TableDailySummary[Fecha],"&lt;="&amp;TableWeeklySummary[[#This Row],[Hasta]])</f>
        <v>0</v>
      </c>
      <c r="T437" s="11">
        <f>SUMIFS(TableDailySummary[Inversión google ads],TableDailySummary[Fecha],"&gt;="&amp;TableWeeklySummary[[#This Row],[Desde]],TableDailySummary[Fecha],"&lt;="&amp;TableWeeklySummary[[#This Row],[Hasta]])</f>
        <v>0</v>
      </c>
      <c r="U437" s="11">
        <f>SUMIFS(TableDailySummary[Ventas google ads],TableDailySummary[Fecha],"&gt;="&amp;TableWeeklySummary[[#This Row],[Desde]],TableDailySummary[Fecha],"&lt;="&amp;TableWeeklySummary[[#This Row],[Hasta]])</f>
        <v>0</v>
      </c>
      <c r="V437" s="11">
        <f>SUMIFS(TableDailySummary[Inversión meta ads],TableDailySummary[Fecha],"&gt;="&amp;TableWeeklySummary[[#This Row],[Desde]],TableDailySummary[Fecha],"&lt;="&amp;TableWeeklySummary[[#This Row],[Hasta]])</f>
        <v>0</v>
      </c>
      <c r="W437" s="11">
        <f>SUMIFS(TableDailySummary[Ventas meta ads],TableDailySummary[Fecha],"&gt;="&amp;TableWeeklySummary[[#This Row],[Desde]],TableDailySummary[Fecha],"&lt;="&amp;TableWeeklySummary[[#This Row],[Hasta]])</f>
        <v>0</v>
      </c>
      <c r="X437" s="11">
        <f>TableWeeklySummary[[#This Row],[Inversión google ads]]+TableWeeklySummary[[#This Row],[Inversión meta ads]]</f>
        <v>0</v>
      </c>
      <c r="Y437" s="11">
        <f>TableWeeklySummary[[#This Row],[Ventas google ads]]+TableWeeklySummary[[#This Row],[Ventas meta ads]]</f>
        <v>0</v>
      </c>
      <c r="Z437" s="14">
        <f>IFERROR(TableWeeklySummary[[#This Row],[Ventas publicidad]]/TableWeeklySummary[[#This Row],[Inversión publicidad]],0)</f>
        <v>0</v>
      </c>
      <c r="AA437" s="14">
        <f>IFERROR(TableWeeklySummary[[#This Row],[Ventas primer cliente]]/TableWeeklySummary[[#This Row],[Inversión publicidad]],0)</f>
        <v>0</v>
      </c>
      <c r="AB437" s="14"/>
      <c r="AC437" s="11"/>
      <c r="AI43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7" s="11">
        <f>SUMIFS(TableDailySummary[Costo de ventas registrado],TableDailySummary[Fecha],"&gt;="&amp;TableWeeklySummary[[#This Row],[Desde]],TableDailySummary[Fecha],"&lt;="&amp;TableWeeklySummary[[#This Row],[Hasta]])</f>
        <v>0</v>
      </c>
      <c r="AK437" s="11">
        <f>SUMIFS(TableDailySummary[Utilidad bruta],TableDailySummary[Fecha],"&gt;="&amp;TableWeeklySummary[[#This Row],[Desde]],TableDailySummary[Fecha],"&lt;="&amp;TableWeeklySummary[[#This Row],[Hasta]])</f>
        <v>0</v>
      </c>
      <c r="AL437" s="18">
        <f>IFERROR(TableWeeklySummary[[#This Row],[Utilidad bruta]]/TableWeeklySummary[[#This Row],[Ventas netas con costo registrado]],0)</f>
        <v>0</v>
      </c>
    </row>
    <row r="438" spans="2:38" x14ac:dyDescent="0.2">
      <c r="B438" s="16">
        <f>_xlfn.ISOWEEKNUM(TableWeeklySummary[[#This Row],[Hasta]])</f>
        <v>10</v>
      </c>
      <c r="C438" s="6">
        <f t="shared" si="8"/>
        <v>47543</v>
      </c>
      <c r="D438" s="6">
        <f>TableWeeklySummary[[#This Row],[Desde]]+7-1</f>
        <v>47549</v>
      </c>
      <c r="E438" s="11">
        <f>SUMIFS(TableDailySummary[Ventas netas totales],TableDailySummary[Fecha],"&gt;="&amp;TableWeeklySummary[[#This Row],[Desde]],TableDailySummary[Fecha],"&lt;="&amp;TableWeeklySummary[[#This Row],[Hasta]])</f>
        <v>0</v>
      </c>
      <c r="F438" s="11">
        <f>SUMIFS(TableDailySummary[Órdenes totales],TableDailySummary[Fecha],"&gt;="&amp;TableWeeklySummary[[#This Row],[Desde]],TableDailySummary[Fecha],"&lt;="&amp;TableWeeklySummary[[#This Row],[Hasta]])</f>
        <v>0</v>
      </c>
      <c r="G438" s="11">
        <f>IFERROR(TableWeeklySummary[[#This Row],[Ventas netas totales]]/TableWeeklySummary[[#This Row],[Órdenes totales]],0)</f>
        <v>0</v>
      </c>
      <c r="H43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8" s="11">
        <f>TableWeeklySummary[[#This Row],[Órden promedio totales]]*TableWeeklySummary[[#This Row],[CR totales]]</f>
        <v>0</v>
      </c>
      <c r="J438" s="11">
        <f>SUMIFS(TableDailySummary[Ventas primer cliente],TableDailySummary[Fecha],"&gt;="&amp;TableWeeklySummary[[#This Row],[Desde]],TableDailySummary[Fecha],"&lt;="&amp;TableWeeklySummary[[#This Row],[Hasta]])</f>
        <v>0</v>
      </c>
      <c r="K438" s="11">
        <f>SUMIFS(TableDailySummary[Órdenes primer cliente],TableDailySummary[Fecha],"&gt;="&amp;TableWeeklySummary[[#This Row],[Desde]],TableDailySummary[Fecha],"&lt;="&amp;TableWeeklySummary[[#This Row],[Hasta]])</f>
        <v>0</v>
      </c>
      <c r="L438" s="11">
        <f>SUMIFS(TableDailySummary[Online Store_net_sales],TableDailySummary[Fecha],"&gt;="&amp;TableWeeklySummary[[#This Row],[Desde]],TableDailySummary[Fecha],"&lt;="&amp;TableWeeklySummary[[#This Row],[Hasta]])</f>
        <v>0</v>
      </c>
      <c r="M438" s="11">
        <f>SUMIFS(TableDailySummary[Online Store_orders],TableDailySummary[Fecha],"&gt;="&amp;TableWeeklySummary[[#This Row],[Desde]],TableDailySummary[Fecha],"&lt;="&amp;TableWeeklySummary[[#This Row],[Hasta]])</f>
        <v>0</v>
      </c>
      <c r="N438" s="11">
        <f>SUMIFS(TableDailySummary[Tienda 81_net_sales],TableDailySummary[Fecha],"&gt;="&amp;TableWeeklySummary[[#This Row],[Desde]],TableDailySummary[Fecha],"&lt;="&amp;TableWeeklySummary[[#This Row],[Hasta]])</f>
        <v>0</v>
      </c>
      <c r="O438" s="11">
        <f>SUMIFS(TableDailySummary[Tienda 81_orders],TableDailySummary[Fecha],"&gt;="&amp;TableWeeklySummary[[#This Row],[Desde]],TableDailySummary[Fecha],"&lt;="&amp;TableWeeklySummary[[#This Row],[Hasta]])</f>
        <v>0</v>
      </c>
      <c r="P438" s="11">
        <f>SUMIFS(TableDailySummary[Rappi_net_sales],TableDailySummary[Fecha],"&gt;="&amp;TableWeeklySummary[[#This Row],[Desde]],TableDailySummary[Fecha],"&lt;="&amp;TableWeeklySummary[[#This Row],[Hasta]])</f>
        <v>0</v>
      </c>
      <c r="Q438" s="11">
        <f>SUMIFS(TableDailySummary[Rappi_orders],TableDailySummary[Fecha],"&gt;="&amp;TableWeeklySummary[[#This Row],[Desde]],TableDailySummary[Fecha],"&lt;="&amp;TableWeeklySummary[[#This Row],[Hasta]])</f>
        <v>0</v>
      </c>
      <c r="R43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8" s="11">
        <f>SUMIFS(TableDailySummary[Corporativo no tienda_orders],TableDailySummary[Fecha],"&gt;="&amp;TableWeeklySummary[[#This Row],[Desde]],TableDailySummary[Fecha],"&lt;="&amp;TableWeeklySummary[[#This Row],[Hasta]])</f>
        <v>0</v>
      </c>
      <c r="T438" s="11">
        <f>SUMIFS(TableDailySummary[Inversión google ads],TableDailySummary[Fecha],"&gt;="&amp;TableWeeklySummary[[#This Row],[Desde]],TableDailySummary[Fecha],"&lt;="&amp;TableWeeklySummary[[#This Row],[Hasta]])</f>
        <v>0</v>
      </c>
      <c r="U438" s="11">
        <f>SUMIFS(TableDailySummary[Ventas google ads],TableDailySummary[Fecha],"&gt;="&amp;TableWeeklySummary[[#This Row],[Desde]],TableDailySummary[Fecha],"&lt;="&amp;TableWeeklySummary[[#This Row],[Hasta]])</f>
        <v>0</v>
      </c>
      <c r="V438" s="11">
        <f>SUMIFS(TableDailySummary[Inversión meta ads],TableDailySummary[Fecha],"&gt;="&amp;TableWeeklySummary[[#This Row],[Desde]],TableDailySummary[Fecha],"&lt;="&amp;TableWeeklySummary[[#This Row],[Hasta]])</f>
        <v>0</v>
      </c>
      <c r="W438" s="11">
        <f>SUMIFS(TableDailySummary[Ventas meta ads],TableDailySummary[Fecha],"&gt;="&amp;TableWeeklySummary[[#This Row],[Desde]],TableDailySummary[Fecha],"&lt;="&amp;TableWeeklySummary[[#This Row],[Hasta]])</f>
        <v>0</v>
      </c>
      <c r="X438" s="11">
        <f>TableWeeklySummary[[#This Row],[Inversión google ads]]+TableWeeklySummary[[#This Row],[Inversión meta ads]]</f>
        <v>0</v>
      </c>
      <c r="Y438" s="11">
        <f>TableWeeklySummary[[#This Row],[Ventas google ads]]+TableWeeklySummary[[#This Row],[Ventas meta ads]]</f>
        <v>0</v>
      </c>
      <c r="Z438" s="14">
        <f>IFERROR(TableWeeklySummary[[#This Row],[Ventas publicidad]]/TableWeeklySummary[[#This Row],[Inversión publicidad]],0)</f>
        <v>0</v>
      </c>
      <c r="AA438" s="14">
        <f>IFERROR(TableWeeklySummary[[#This Row],[Ventas primer cliente]]/TableWeeklySummary[[#This Row],[Inversión publicidad]],0)</f>
        <v>0</v>
      </c>
      <c r="AB438" s="14"/>
      <c r="AC438" s="11"/>
      <c r="AI43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8" s="11">
        <f>SUMIFS(TableDailySummary[Costo de ventas registrado],TableDailySummary[Fecha],"&gt;="&amp;TableWeeklySummary[[#This Row],[Desde]],TableDailySummary[Fecha],"&lt;="&amp;TableWeeklySummary[[#This Row],[Hasta]])</f>
        <v>0</v>
      </c>
      <c r="AK438" s="11">
        <f>SUMIFS(TableDailySummary[Utilidad bruta],TableDailySummary[Fecha],"&gt;="&amp;TableWeeklySummary[[#This Row],[Desde]],TableDailySummary[Fecha],"&lt;="&amp;TableWeeklySummary[[#This Row],[Hasta]])</f>
        <v>0</v>
      </c>
      <c r="AL438" s="18">
        <f>IFERROR(TableWeeklySummary[[#This Row],[Utilidad bruta]]/TableWeeklySummary[[#This Row],[Ventas netas con costo registrado]],0)</f>
        <v>0</v>
      </c>
    </row>
    <row r="439" spans="2:38" x14ac:dyDescent="0.2">
      <c r="B439" s="16">
        <f>_xlfn.ISOWEEKNUM(TableWeeklySummary[[#This Row],[Hasta]])</f>
        <v>11</v>
      </c>
      <c r="C439" s="6">
        <f t="shared" si="8"/>
        <v>47550</v>
      </c>
      <c r="D439" s="6">
        <f>TableWeeklySummary[[#This Row],[Desde]]+7-1</f>
        <v>47556</v>
      </c>
      <c r="E439" s="11">
        <f>SUMIFS(TableDailySummary[Ventas netas totales],TableDailySummary[Fecha],"&gt;="&amp;TableWeeklySummary[[#This Row],[Desde]],TableDailySummary[Fecha],"&lt;="&amp;TableWeeklySummary[[#This Row],[Hasta]])</f>
        <v>0</v>
      </c>
      <c r="F439" s="11">
        <f>SUMIFS(TableDailySummary[Órdenes totales],TableDailySummary[Fecha],"&gt;="&amp;TableWeeklySummary[[#This Row],[Desde]],TableDailySummary[Fecha],"&lt;="&amp;TableWeeklySummary[[#This Row],[Hasta]])</f>
        <v>0</v>
      </c>
      <c r="G439" s="11">
        <f>IFERROR(TableWeeklySummary[[#This Row],[Ventas netas totales]]/TableWeeklySummary[[#This Row],[Órdenes totales]],0)</f>
        <v>0</v>
      </c>
      <c r="H43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39" s="11">
        <f>TableWeeklySummary[[#This Row],[Órden promedio totales]]*TableWeeklySummary[[#This Row],[CR totales]]</f>
        <v>0</v>
      </c>
      <c r="J439" s="11">
        <f>SUMIFS(TableDailySummary[Ventas primer cliente],TableDailySummary[Fecha],"&gt;="&amp;TableWeeklySummary[[#This Row],[Desde]],TableDailySummary[Fecha],"&lt;="&amp;TableWeeklySummary[[#This Row],[Hasta]])</f>
        <v>0</v>
      </c>
      <c r="K439" s="11">
        <f>SUMIFS(TableDailySummary[Órdenes primer cliente],TableDailySummary[Fecha],"&gt;="&amp;TableWeeklySummary[[#This Row],[Desde]],TableDailySummary[Fecha],"&lt;="&amp;TableWeeklySummary[[#This Row],[Hasta]])</f>
        <v>0</v>
      </c>
      <c r="L439" s="11">
        <f>SUMIFS(TableDailySummary[Online Store_net_sales],TableDailySummary[Fecha],"&gt;="&amp;TableWeeklySummary[[#This Row],[Desde]],TableDailySummary[Fecha],"&lt;="&amp;TableWeeklySummary[[#This Row],[Hasta]])</f>
        <v>0</v>
      </c>
      <c r="M439" s="11">
        <f>SUMIFS(TableDailySummary[Online Store_orders],TableDailySummary[Fecha],"&gt;="&amp;TableWeeklySummary[[#This Row],[Desde]],TableDailySummary[Fecha],"&lt;="&amp;TableWeeklySummary[[#This Row],[Hasta]])</f>
        <v>0</v>
      </c>
      <c r="N439" s="11">
        <f>SUMIFS(TableDailySummary[Tienda 81_net_sales],TableDailySummary[Fecha],"&gt;="&amp;TableWeeklySummary[[#This Row],[Desde]],TableDailySummary[Fecha],"&lt;="&amp;TableWeeklySummary[[#This Row],[Hasta]])</f>
        <v>0</v>
      </c>
      <c r="O439" s="11">
        <f>SUMIFS(TableDailySummary[Tienda 81_orders],TableDailySummary[Fecha],"&gt;="&amp;TableWeeklySummary[[#This Row],[Desde]],TableDailySummary[Fecha],"&lt;="&amp;TableWeeklySummary[[#This Row],[Hasta]])</f>
        <v>0</v>
      </c>
      <c r="P439" s="11">
        <f>SUMIFS(TableDailySummary[Rappi_net_sales],TableDailySummary[Fecha],"&gt;="&amp;TableWeeklySummary[[#This Row],[Desde]],TableDailySummary[Fecha],"&lt;="&amp;TableWeeklySummary[[#This Row],[Hasta]])</f>
        <v>0</v>
      </c>
      <c r="Q439" s="11">
        <f>SUMIFS(TableDailySummary[Rappi_orders],TableDailySummary[Fecha],"&gt;="&amp;TableWeeklySummary[[#This Row],[Desde]],TableDailySummary[Fecha],"&lt;="&amp;TableWeeklySummary[[#This Row],[Hasta]])</f>
        <v>0</v>
      </c>
      <c r="R43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39" s="11">
        <f>SUMIFS(TableDailySummary[Corporativo no tienda_orders],TableDailySummary[Fecha],"&gt;="&amp;TableWeeklySummary[[#This Row],[Desde]],TableDailySummary[Fecha],"&lt;="&amp;TableWeeklySummary[[#This Row],[Hasta]])</f>
        <v>0</v>
      </c>
      <c r="T439" s="11">
        <f>SUMIFS(TableDailySummary[Inversión google ads],TableDailySummary[Fecha],"&gt;="&amp;TableWeeklySummary[[#This Row],[Desde]],TableDailySummary[Fecha],"&lt;="&amp;TableWeeklySummary[[#This Row],[Hasta]])</f>
        <v>0</v>
      </c>
      <c r="U439" s="11">
        <f>SUMIFS(TableDailySummary[Ventas google ads],TableDailySummary[Fecha],"&gt;="&amp;TableWeeklySummary[[#This Row],[Desde]],TableDailySummary[Fecha],"&lt;="&amp;TableWeeklySummary[[#This Row],[Hasta]])</f>
        <v>0</v>
      </c>
      <c r="V439" s="11">
        <f>SUMIFS(TableDailySummary[Inversión meta ads],TableDailySummary[Fecha],"&gt;="&amp;TableWeeklySummary[[#This Row],[Desde]],TableDailySummary[Fecha],"&lt;="&amp;TableWeeklySummary[[#This Row],[Hasta]])</f>
        <v>0</v>
      </c>
      <c r="W439" s="11">
        <f>SUMIFS(TableDailySummary[Ventas meta ads],TableDailySummary[Fecha],"&gt;="&amp;TableWeeklySummary[[#This Row],[Desde]],TableDailySummary[Fecha],"&lt;="&amp;TableWeeklySummary[[#This Row],[Hasta]])</f>
        <v>0</v>
      </c>
      <c r="X439" s="11">
        <f>TableWeeklySummary[[#This Row],[Inversión google ads]]+TableWeeklySummary[[#This Row],[Inversión meta ads]]</f>
        <v>0</v>
      </c>
      <c r="Y439" s="11">
        <f>TableWeeklySummary[[#This Row],[Ventas google ads]]+TableWeeklySummary[[#This Row],[Ventas meta ads]]</f>
        <v>0</v>
      </c>
      <c r="Z439" s="14">
        <f>IFERROR(TableWeeklySummary[[#This Row],[Ventas publicidad]]/TableWeeklySummary[[#This Row],[Inversión publicidad]],0)</f>
        <v>0</v>
      </c>
      <c r="AA439" s="14">
        <f>IFERROR(TableWeeklySummary[[#This Row],[Ventas primer cliente]]/TableWeeklySummary[[#This Row],[Inversión publicidad]],0)</f>
        <v>0</v>
      </c>
      <c r="AB439" s="14"/>
      <c r="AC439" s="11"/>
      <c r="AI43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39" s="11">
        <f>SUMIFS(TableDailySummary[Costo de ventas registrado],TableDailySummary[Fecha],"&gt;="&amp;TableWeeklySummary[[#This Row],[Desde]],TableDailySummary[Fecha],"&lt;="&amp;TableWeeklySummary[[#This Row],[Hasta]])</f>
        <v>0</v>
      </c>
      <c r="AK439" s="11">
        <f>SUMIFS(TableDailySummary[Utilidad bruta],TableDailySummary[Fecha],"&gt;="&amp;TableWeeklySummary[[#This Row],[Desde]],TableDailySummary[Fecha],"&lt;="&amp;TableWeeklySummary[[#This Row],[Hasta]])</f>
        <v>0</v>
      </c>
      <c r="AL439" s="18">
        <f>IFERROR(TableWeeklySummary[[#This Row],[Utilidad bruta]]/TableWeeklySummary[[#This Row],[Ventas netas con costo registrado]],0)</f>
        <v>0</v>
      </c>
    </row>
    <row r="440" spans="2:38" x14ac:dyDescent="0.2">
      <c r="B440" s="16">
        <f>_xlfn.ISOWEEKNUM(TableWeeklySummary[[#This Row],[Hasta]])</f>
        <v>12</v>
      </c>
      <c r="C440" s="6">
        <f t="shared" si="8"/>
        <v>47557</v>
      </c>
      <c r="D440" s="6">
        <f>TableWeeklySummary[[#This Row],[Desde]]+7-1</f>
        <v>47563</v>
      </c>
      <c r="E440" s="11">
        <f>SUMIFS(TableDailySummary[Ventas netas totales],TableDailySummary[Fecha],"&gt;="&amp;TableWeeklySummary[[#This Row],[Desde]],TableDailySummary[Fecha],"&lt;="&amp;TableWeeklySummary[[#This Row],[Hasta]])</f>
        <v>0</v>
      </c>
      <c r="F440" s="11">
        <f>SUMIFS(TableDailySummary[Órdenes totales],TableDailySummary[Fecha],"&gt;="&amp;TableWeeklySummary[[#This Row],[Desde]],TableDailySummary[Fecha],"&lt;="&amp;TableWeeklySummary[[#This Row],[Hasta]])</f>
        <v>0</v>
      </c>
      <c r="G440" s="11">
        <f>IFERROR(TableWeeklySummary[[#This Row],[Ventas netas totales]]/TableWeeklySummary[[#This Row],[Órdenes totales]],0)</f>
        <v>0</v>
      </c>
      <c r="H44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0" s="11">
        <f>TableWeeklySummary[[#This Row],[Órden promedio totales]]*TableWeeklySummary[[#This Row],[CR totales]]</f>
        <v>0</v>
      </c>
      <c r="J440" s="11">
        <f>SUMIFS(TableDailySummary[Ventas primer cliente],TableDailySummary[Fecha],"&gt;="&amp;TableWeeklySummary[[#This Row],[Desde]],TableDailySummary[Fecha],"&lt;="&amp;TableWeeklySummary[[#This Row],[Hasta]])</f>
        <v>0</v>
      </c>
      <c r="K440" s="11">
        <f>SUMIFS(TableDailySummary[Órdenes primer cliente],TableDailySummary[Fecha],"&gt;="&amp;TableWeeklySummary[[#This Row],[Desde]],TableDailySummary[Fecha],"&lt;="&amp;TableWeeklySummary[[#This Row],[Hasta]])</f>
        <v>0</v>
      </c>
      <c r="L440" s="11">
        <f>SUMIFS(TableDailySummary[Online Store_net_sales],TableDailySummary[Fecha],"&gt;="&amp;TableWeeklySummary[[#This Row],[Desde]],TableDailySummary[Fecha],"&lt;="&amp;TableWeeklySummary[[#This Row],[Hasta]])</f>
        <v>0</v>
      </c>
      <c r="M440" s="11">
        <f>SUMIFS(TableDailySummary[Online Store_orders],TableDailySummary[Fecha],"&gt;="&amp;TableWeeklySummary[[#This Row],[Desde]],TableDailySummary[Fecha],"&lt;="&amp;TableWeeklySummary[[#This Row],[Hasta]])</f>
        <v>0</v>
      </c>
      <c r="N440" s="11">
        <f>SUMIFS(TableDailySummary[Tienda 81_net_sales],TableDailySummary[Fecha],"&gt;="&amp;TableWeeklySummary[[#This Row],[Desde]],TableDailySummary[Fecha],"&lt;="&amp;TableWeeklySummary[[#This Row],[Hasta]])</f>
        <v>0</v>
      </c>
      <c r="O440" s="11">
        <f>SUMIFS(TableDailySummary[Tienda 81_orders],TableDailySummary[Fecha],"&gt;="&amp;TableWeeklySummary[[#This Row],[Desde]],TableDailySummary[Fecha],"&lt;="&amp;TableWeeklySummary[[#This Row],[Hasta]])</f>
        <v>0</v>
      </c>
      <c r="P440" s="11">
        <f>SUMIFS(TableDailySummary[Rappi_net_sales],TableDailySummary[Fecha],"&gt;="&amp;TableWeeklySummary[[#This Row],[Desde]],TableDailySummary[Fecha],"&lt;="&amp;TableWeeklySummary[[#This Row],[Hasta]])</f>
        <v>0</v>
      </c>
      <c r="Q440" s="11">
        <f>SUMIFS(TableDailySummary[Rappi_orders],TableDailySummary[Fecha],"&gt;="&amp;TableWeeklySummary[[#This Row],[Desde]],TableDailySummary[Fecha],"&lt;="&amp;TableWeeklySummary[[#This Row],[Hasta]])</f>
        <v>0</v>
      </c>
      <c r="R44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0" s="11">
        <f>SUMIFS(TableDailySummary[Corporativo no tienda_orders],TableDailySummary[Fecha],"&gt;="&amp;TableWeeklySummary[[#This Row],[Desde]],TableDailySummary[Fecha],"&lt;="&amp;TableWeeklySummary[[#This Row],[Hasta]])</f>
        <v>0</v>
      </c>
      <c r="T440" s="11">
        <f>SUMIFS(TableDailySummary[Inversión google ads],TableDailySummary[Fecha],"&gt;="&amp;TableWeeklySummary[[#This Row],[Desde]],TableDailySummary[Fecha],"&lt;="&amp;TableWeeklySummary[[#This Row],[Hasta]])</f>
        <v>0</v>
      </c>
      <c r="U440" s="11">
        <f>SUMIFS(TableDailySummary[Ventas google ads],TableDailySummary[Fecha],"&gt;="&amp;TableWeeklySummary[[#This Row],[Desde]],TableDailySummary[Fecha],"&lt;="&amp;TableWeeklySummary[[#This Row],[Hasta]])</f>
        <v>0</v>
      </c>
      <c r="V440" s="11">
        <f>SUMIFS(TableDailySummary[Inversión meta ads],TableDailySummary[Fecha],"&gt;="&amp;TableWeeklySummary[[#This Row],[Desde]],TableDailySummary[Fecha],"&lt;="&amp;TableWeeklySummary[[#This Row],[Hasta]])</f>
        <v>0</v>
      </c>
      <c r="W440" s="11">
        <f>SUMIFS(TableDailySummary[Ventas meta ads],TableDailySummary[Fecha],"&gt;="&amp;TableWeeklySummary[[#This Row],[Desde]],TableDailySummary[Fecha],"&lt;="&amp;TableWeeklySummary[[#This Row],[Hasta]])</f>
        <v>0</v>
      </c>
      <c r="X440" s="11">
        <f>TableWeeklySummary[[#This Row],[Inversión google ads]]+TableWeeklySummary[[#This Row],[Inversión meta ads]]</f>
        <v>0</v>
      </c>
      <c r="Y440" s="11">
        <f>TableWeeklySummary[[#This Row],[Ventas google ads]]+TableWeeklySummary[[#This Row],[Ventas meta ads]]</f>
        <v>0</v>
      </c>
      <c r="Z440" s="14">
        <f>IFERROR(TableWeeklySummary[[#This Row],[Ventas publicidad]]/TableWeeklySummary[[#This Row],[Inversión publicidad]],0)</f>
        <v>0</v>
      </c>
      <c r="AA440" s="14">
        <f>IFERROR(TableWeeklySummary[[#This Row],[Ventas primer cliente]]/TableWeeklySummary[[#This Row],[Inversión publicidad]],0)</f>
        <v>0</v>
      </c>
      <c r="AB440" s="14"/>
      <c r="AC440" s="11"/>
      <c r="AI44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0" s="11">
        <f>SUMIFS(TableDailySummary[Costo de ventas registrado],TableDailySummary[Fecha],"&gt;="&amp;TableWeeklySummary[[#This Row],[Desde]],TableDailySummary[Fecha],"&lt;="&amp;TableWeeklySummary[[#This Row],[Hasta]])</f>
        <v>0</v>
      </c>
      <c r="AK440" s="11">
        <f>SUMIFS(TableDailySummary[Utilidad bruta],TableDailySummary[Fecha],"&gt;="&amp;TableWeeklySummary[[#This Row],[Desde]],TableDailySummary[Fecha],"&lt;="&amp;TableWeeklySummary[[#This Row],[Hasta]])</f>
        <v>0</v>
      </c>
      <c r="AL440" s="18">
        <f>IFERROR(TableWeeklySummary[[#This Row],[Utilidad bruta]]/TableWeeklySummary[[#This Row],[Ventas netas con costo registrado]],0)</f>
        <v>0</v>
      </c>
    </row>
    <row r="441" spans="2:38" x14ac:dyDescent="0.2">
      <c r="B441" s="16">
        <f>_xlfn.ISOWEEKNUM(TableWeeklySummary[[#This Row],[Hasta]])</f>
        <v>13</v>
      </c>
      <c r="C441" s="6">
        <f t="shared" si="8"/>
        <v>47564</v>
      </c>
      <c r="D441" s="6">
        <f>TableWeeklySummary[[#This Row],[Desde]]+7-1</f>
        <v>47570</v>
      </c>
      <c r="E441" s="11">
        <f>SUMIFS(TableDailySummary[Ventas netas totales],TableDailySummary[Fecha],"&gt;="&amp;TableWeeklySummary[[#This Row],[Desde]],TableDailySummary[Fecha],"&lt;="&amp;TableWeeklySummary[[#This Row],[Hasta]])</f>
        <v>0</v>
      </c>
      <c r="F441" s="11">
        <f>SUMIFS(TableDailySummary[Órdenes totales],TableDailySummary[Fecha],"&gt;="&amp;TableWeeklySummary[[#This Row],[Desde]],TableDailySummary[Fecha],"&lt;="&amp;TableWeeklySummary[[#This Row],[Hasta]])</f>
        <v>0</v>
      </c>
      <c r="G441" s="11">
        <f>IFERROR(TableWeeklySummary[[#This Row],[Ventas netas totales]]/TableWeeklySummary[[#This Row],[Órdenes totales]],0)</f>
        <v>0</v>
      </c>
      <c r="H44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1" s="11">
        <f>TableWeeklySummary[[#This Row],[Órden promedio totales]]*TableWeeklySummary[[#This Row],[CR totales]]</f>
        <v>0</v>
      </c>
      <c r="J441" s="11">
        <f>SUMIFS(TableDailySummary[Ventas primer cliente],TableDailySummary[Fecha],"&gt;="&amp;TableWeeklySummary[[#This Row],[Desde]],TableDailySummary[Fecha],"&lt;="&amp;TableWeeklySummary[[#This Row],[Hasta]])</f>
        <v>0</v>
      </c>
      <c r="K441" s="11">
        <f>SUMIFS(TableDailySummary[Órdenes primer cliente],TableDailySummary[Fecha],"&gt;="&amp;TableWeeklySummary[[#This Row],[Desde]],TableDailySummary[Fecha],"&lt;="&amp;TableWeeklySummary[[#This Row],[Hasta]])</f>
        <v>0</v>
      </c>
      <c r="L441" s="11">
        <f>SUMIFS(TableDailySummary[Online Store_net_sales],TableDailySummary[Fecha],"&gt;="&amp;TableWeeklySummary[[#This Row],[Desde]],TableDailySummary[Fecha],"&lt;="&amp;TableWeeklySummary[[#This Row],[Hasta]])</f>
        <v>0</v>
      </c>
      <c r="M441" s="11">
        <f>SUMIFS(TableDailySummary[Online Store_orders],TableDailySummary[Fecha],"&gt;="&amp;TableWeeklySummary[[#This Row],[Desde]],TableDailySummary[Fecha],"&lt;="&amp;TableWeeklySummary[[#This Row],[Hasta]])</f>
        <v>0</v>
      </c>
      <c r="N441" s="11">
        <f>SUMIFS(TableDailySummary[Tienda 81_net_sales],TableDailySummary[Fecha],"&gt;="&amp;TableWeeklySummary[[#This Row],[Desde]],TableDailySummary[Fecha],"&lt;="&amp;TableWeeklySummary[[#This Row],[Hasta]])</f>
        <v>0</v>
      </c>
      <c r="O441" s="11">
        <f>SUMIFS(TableDailySummary[Tienda 81_orders],TableDailySummary[Fecha],"&gt;="&amp;TableWeeklySummary[[#This Row],[Desde]],TableDailySummary[Fecha],"&lt;="&amp;TableWeeklySummary[[#This Row],[Hasta]])</f>
        <v>0</v>
      </c>
      <c r="P441" s="11">
        <f>SUMIFS(TableDailySummary[Rappi_net_sales],TableDailySummary[Fecha],"&gt;="&amp;TableWeeklySummary[[#This Row],[Desde]],TableDailySummary[Fecha],"&lt;="&amp;TableWeeklySummary[[#This Row],[Hasta]])</f>
        <v>0</v>
      </c>
      <c r="Q441" s="11">
        <f>SUMIFS(TableDailySummary[Rappi_orders],TableDailySummary[Fecha],"&gt;="&amp;TableWeeklySummary[[#This Row],[Desde]],TableDailySummary[Fecha],"&lt;="&amp;TableWeeklySummary[[#This Row],[Hasta]])</f>
        <v>0</v>
      </c>
      <c r="R44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1" s="11">
        <f>SUMIFS(TableDailySummary[Corporativo no tienda_orders],TableDailySummary[Fecha],"&gt;="&amp;TableWeeklySummary[[#This Row],[Desde]],TableDailySummary[Fecha],"&lt;="&amp;TableWeeklySummary[[#This Row],[Hasta]])</f>
        <v>0</v>
      </c>
      <c r="T441" s="11">
        <f>SUMIFS(TableDailySummary[Inversión google ads],TableDailySummary[Fecha],"&gt;="&amp;TableWeeklySummary[[#This Row],[Desde]],TableDailySummary[Fecha],"&lt;="&amp;TableWeeklySummary[[#This Row],[Hasta]])</f>
        <v>0</v>
      </c>
      <c r="U441" s="11">
        <f>SUMIFS(TableDailySummary[Ventas google ads],TableDailySummary[Fecha],"&gt;="&amp;TableWeeklySummary[[#This Row],[Desde]],TableDailySummary[Fecha],"&lt;="&amp;TableWeeklySummary[[#This Row],[Hasta]])</f>
        <v>0</v>
      </c>
      <c r="V441" s="11">
        <f>SUMIFS(TableDailySummary[Inversión meta ads],TableDailySummary[Fecha],"&gt;="&amp;TableWeeklySummary[[#This Row],[Desde]],TableDailySummary[Fecha],"&lt;="&amp;TableWeeklySummary[[#This Row],[Hasta]])</f>
        <v>0</v>
      </c>
      <c r="W441" s="11">
        <f>SUMIFS(TableDailySummary[Ventas meta ads],TableDailySummary[Fecha],"&gt;="&amp;TableWeeklySummary[[#This Row],[Desde]],TableDailySummary[Fecha],"&lt;="&amp;TableWeeklySummary[[#This Row],[Hasta]])</f>
        <v>0</v>
      </c>
      <c r="X441" s="11">
        <f>TableWeeklySummary[[#This Row],[Inversión google ads]]+TableWeeklySummary[[#This Row],[Inversión meta ads]]</f>
        <v>0</v>
      </c>
      <c r="Y441" s="11">
        <f>TableWeeklySummary[[#This Row],[Ventas google ads]]+TableWeeklySummary[[#This Row],[Ventas meta ads]]</f>
        <v>0</v>
      </c>
      <c r="Z441" s="14">
        <f>IFERROR(TableWeeklySummary[[#This Row],[Ventas publicidad]]/TableWeeklySummary[[#This Row],[Inversión publicidad]],0)</f>
        <v>0</v>
      </c>
      <c r="AA441" s="14">
        <f>IFERROR(TableWeeklySummary[[#This Row],[Ventas primer cliente]]/TableWeeklySummary[[#This Row],[Inversión publicidad]],0)</f>
        <v>0</v>
      </c>
      <c r="AB441" s="14"/>
      <c r="AC441" s="11"/>
      <c r="AI44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1" s="11">
        <f>SUMIFS(TableDailySummary[Costo de ventas registrado],TableDailySummary[Fecha],"&gt;="&amp;TableWeeklySummary[[#This Row],[Desde]],TableDailySummary[Fecha],"&lt;="&amp;TableWeeklySummary[[#This Row],[Hasta]])</f>
        <v>0</v>
      </c>
      <c r="AK441" s="11">
        <f>SUMIFS(TableDailySummary[Utilidad bruta],TableDailySummary[Fecha],"&gt;="&amp;TableWeeklySummary[[#This Row],[Desde]],TableDailySummary[Fecha],"&lt;="&amp;TableWeeklySummary[[#This Row],[Hasta]])</f>
        <v>0</v>
      </c>
      <c r="AL441" s="18">
        <f>IFERROR(TableWeeklySummary[[#This Row],[Utilidad bruta]]/TableWeeklySummary[[#This Row],[Ventas netas con costo registrado]],0)</f>
        <v>0</v>
      </c>
    </row>
    <row r="442" spans="2:38" x14ac:dyDescent="0.2">
      <c r="B442" s="16">
        <f>_xlfn.ISOWEEKNUM(TableWeeklySummary[[#This Row],[Hasta]])</f>
        <v>14</v>
      </c>
      <c r="C442" s="6">
        <f t="shared" si="8"/>
        <v>47571</v>
      </c>
      <c r="D442" s="6">
        <f>TableWeeklySummary[[#This Row],[Desde]]+7-1</f>
        <v>47577</v>
      </c>
      <c r="E442" s="11">
        <f>SUMIFS(TableDailySummary[Ventas netas totales],TableDailySummary[Fecha],"&gt;="&amp;TableWeeklySummary[[#This Row],[Desde]],TableDailySummary[Fecha],"&lt;="&amp;TableWeeklySummary[[#This Row],[Hasta]])</f>
        <v>0</v>
      </c>
      <c r="F442" s="11">
        <f>SUMIFS(TableDailySummary[Órdenes totales],TableDailySummary[Fecha],"&gt;="&amp;TableWeeklySummary[[#This Row],[Desde]],TableDailySummary[Fecha],"&lt;="&amp;TableWeeklySummary[[#This Row],[Hasta]])</f>
        <v>0</v>
      </c>
      <c r="G442" s="11">
        <f>IFERROR(TableWeeklySummary[[#This Row],[Ventas netas totales]]/TableWeeklySummary[[#This Row],[Órdenes totales]],0)</f>
        <v>0</v>
      </c>
      <c r="H44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2" s="11">
        <f>TableWeeklySummary[[#This Row],[Órden promedio totales]]*TableWeeklySummary[[#This Row],[CR totales]]</f>
        <v>0</v>
      </c>
      <c r="J442" s="11">
        <f>SUMIFS(TableDailySummary[Ventas primer cliente],TableDailySummary[Fecha],"&gt;="&amp;TableWeeklySummary[[#This Row],[Desde]],TableDailySummary[Fecha],"&lt;="&amp;TableWeeklySummary[[#This Row],[Hasta]])</f>
        <v>0</v>
      </c>
      <c r="K442" s="11">
        <f>SUMIFS(TableDailySummary[Órdenes primer cliente],TableDailySummary[Fecha],"&gt;="&amp;TableWeeklySummary[[#This Row],[Desde]],TableDailySummary[Fecha],"&lt;="&amp;TableWeeklySummary[[#This Row],[Hasta]])</f>
        <v>0</v>
      </c>
      <c r="L442" s="11">
        <f>SUMIFS(TableDailySummary[Online Store_net_sales],TableDailySummary[Fecha],"&gt;="&amp;TableWeeklySummary[[#This Row],[Desde]],TableDailySummary[Fecha],"&lt;="&amp;TableWeeklySummary[[#This Row],[Hasta]])</f>
        <v>0</v>
      </c>
      <c r="M442" s="11">
        <f>SUMIFS(TableDailySummary[Online Store_orders],TableDailySummary[Fecha],"&gt;="&amp;TableWeeklySummary[[#This Row],[Desde]],TableDailySummary[Fecha],"&lt;="&amp;TableWeeklySummary[[#This Row],[Hasta]])</f>
        <v>0</v>
      </c>
      <c r="N442" s="11">
        <f>SUMIFS(TableDailySummary[Tienda 81_net_sales],TableDailySummary[Fecha],"&gt;="&amp;TableWeeklySummary[[#This Row],[Desde]],TableDailySummary[Fecha],"&lt;="&amp;TableWeeklySummary[[#This Row],[Hasta]])</f>
        <v>0</v>
      </c>
      <c r="O442" s="11">
        <f>SUMIFS(TableDailySummary[Tienda 81_orders],TableDailySummary[Fecha],"&gt;="&amp;TableWeeklySummary[[#This Row],[Desde]],TableDailySummary[Fecha],"&lt;="&amp;TableWeeklySummary[[#This Row],[Hasta]])</f>
        <v>0</v>
      </c>
      <c r="P442" s="11">
        <f>SUMIFS(TableDailySummary[Rappi_net_sales],TableDailySummary[Fecha],"&gt;="&amp;TableWeeklySummary[[#This Row],[Desde]],TableDailySummary[Fecha],"&lt;="&amp;TableWeeklySummary[[#This Row],[Hasta]])</f>
        <v>0</v>
      </c>
      <c r="Q442" s="11">
        <f>SUMIFS(TableDailySummary[Rappi_orders],TableDailySummary[Fecha],"&gt;="&amp;TableWeeklySummary[[#This Row],[Desde]],TableDailySummary[Fecha],"&lt;="&amp;TableWeeklySummary[[#This Row],[Hasta]])</f>
        <v>0</v>
      </c>
      <c r="R44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2" s="11">
        <f>SUMIFS(TableDailySummary[Corporativo no tienda_orders],TableDailySummary[Fecha],"&gt;="&amp;TableWeeklySummary[[#This Row],[Desde]],TableDailySummary[Fecha],"&lt;="&amp;TableWeeklySummary[[#This Row],[Hasta]])</f>
        <v>0</v>
      </c>
      <c r="T442" s="11">
        <f>SUMIFS(TableDailySummary[Inversión google ads],TableDailySummary[Fecha],"&gt;="&amp;TableWeeklySummary[[#This Row],[Desde]],TableDailySummary[Fecha],"&lt;="&amp;TableWeeklySummary[[#This Row],[Hasta]])</f>
        <v>0</v>
      </c>
      <c r="U442" s="11">
        <f>SUMIFS(TableDailySummary[Ventas google ads],TableDailySummary[Fecha],"&gt;="&amp;TableWeeklySummary[[#This Row],[Desde]],TableDailySummary[Fecha],"&lt;="&amp;TableWeeklySummary[[#This Row],[Hasta]])</f>
        <v>0</v>
      </c>
      <c r="V442" s="11">
        <f>SUMIFS(TableDailySummary[Inversión meta ads],TableDailySummary[Fecha],"&gt;="&amp;TableWeeklySummary[[#This Row],[Desde]],TableDailySummary[Fecha],"&lt;="&amp;TableWeeklySummary[[#This Row],[Hasta]])</f>
        <v>0</v>
      </c>
      <c r="W442" s="11">
        <f>SUMIFS(TableDailySummary[Ventas meta ads],TableDailySummary[Fecha],"&gt;="&amp;TableWeeklySummary[[#This Row],[Desde]],TableDailySummary[Fecha],"&lt;="&amp;TableWeeklySummary[[#This Row],[Hasta]])</f>
        <v>0</v>
      </c>
      <c r="X442" s="11">
        <f>TableWeeklySummary[[#This Row],[Inversión google ads]]+TableWeeklySummary[[#This Row],[Inversión meta ads]]</f>
        <v>0</v>
      </c>
      <c r="Y442" s="11">
        <f>TableWeeklySummary[[#This Row],[Ventas google ads]]+TableWeeklySummary[[#This Row],[Ventas meta ads]]</f>
        <v>0</v>
      </c>
      <c r="Z442" s="14">
        <f>IFERROR(TableWeeklySummary[[#This Row],[Ventas publicidad]]/TableWeeklySummary[[#This Row],[Inversión publicidad]],0)</f>
        <v>0</v>
      </c>
      <c r="AA442" s="14">
        <f>IFERROR(TableWeeklySummary[[#This Row],[Ventas primer cliente]]/TableWeeklySummary[[#This Row],[Inversión publicidad]],0)</f>
        <v>0</v>
      </c>
      <c r="AB442" s="14"/>
      <c r="AC442" s="11"/>
      <c r="AI44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2" s="11">
        <f>SUMIFS(TableDailySummary[Costo de ventas registrado],TableDailySummary[Fecha],"&gt;="&amp;TableWeeklySummary[[#This Row],[Desde]],TableDailySummary[Fecha],"&lt;="&amp;TableWeeklySummary[[#This Row],[Hasta]])</f>
        <v>0</v>
      </c>
      <c r="AK442" s="11">
        <f>SUMIFS(TableDailySummary[Utilidad bruta],TableDailySummary[Fecha],"&gt;="&amp;TableWeeklySummary[[#This Row],[Desde]],TableDailySummary[Fecha],"&lt;="&amp;TableWeeklySummary[[#This Row],[Hasta]])</f>
        <v>0</v>
      </c>
      <c r="AL442" s="18">
        <f>IFERROR(TableWeeklySummary[[#This Row],[Utilidad bruta]]/TableWeeklySummary[[#This Row],[Ventas netas con costo registrado]],0)</f>
        <v>0</v>
      </c>
    </row>
    <row r="443" spans="2:38" x14ac:dyDescent="0.2">
      <c r="B443" s="16">
        <f>_xlfn.ISOWEEKNUM(TableWeeklySummary[[#This Row],[Hasta]])</f>
        <v>15</v>
      </c>
      <c r="C443" s="6">
        <f t="shared" si="8"/>
        <v>47578</v>
      </c>
      <c r="D443" s="6">
        <f>TableWeeklySummary[[#This Row],[Desde]]+7-1</f>
        <v>47584</v>
      </c>
      <c r="E443" s="11">
        <f>SUMIFS(TableDailySummary[Ventas netas totales],TableDailySummary[Fecha],"&gt;="&amp;TableWeeklySummary[[#This Row],[Desde]],TableDailySummary[Fecha],"&lt;="&amp;TableWeeklySummary[[#This Row],[Hasta]])</f>
        <v>0</v>
      </c>
      <c r="F443" s="11">
        <f>SUMIFS(TableDailySummary[Órdenes totales],TableDailySummary[Fecha],"&gt;="&amp;TableWeeklySummary[[#This Row],[Desde]],TableDailySummary[Fecha],"&lt;="&amp;TableWeeklySummary[[#This Row],[Hasta]])</f>
        <v>0</v>
      </c>
      <c r="G443" s="11">
        <f>IFERROR(TableWeeklySummary[[#This Row],[Ventas netas totales]]/TableWeeklySummary[[#This Row],[Órdenes totales]],0)</f>
        <v>0</v>
      </c>
      <c r="H44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3" s="11">
        <f>TableWeeklySummary[[#This Row],[Órden promedio totales]]*TableWeeklySummary[[#This Row],[CR totales]]</f>
        <v>0</v>
      </c>
      <c r="J443" s="11">
        <f>SUMIFS(TableDailySummary[Ventas primer cliente],TableDailySummary[Fecha],"&gt;="&amp;TableWeeklySummary[[#This Row],[Desde]],TableDailySummary[Fecha],"&lt;="&amp;TableWeeklySummary[[#This Row],[Hasta]])</f>
        <v>0</v>
      </c>
      <c r="K443" s="11">
        <f>SUMIFS(TableDailySummary[Órdenes primer cliente],TableDailySummary[Fecha],"&gt;="&amp;TableWeeklySummary[[#This Row],[Desde]],TableDailySummary[Fecha],"&lt;="&amp;TableWeeklySummary[[#This Row],[Hasta]])</f>
        <v>0</v>
      </c>
      <c r="L443" s="11">
        <f>SUMIFS(TableDailySummary[Online Store_net_sales],TableDailySummary[Fecha],"&gt;="&amp;TableWeeklySummary[[#This Row],[Desde]],TableDailySummary[Fecha],"&lt;="&amp;TableWeeklySummary[[#This Row],[Hasta]])</f>
        <v>0</v>
      </c>
      <c r="M443" s="11">
        <f>SUMIFS(TableDailySummary[Online Store_orders],TableDailySummary[Fecha],"&gt;="&amp;TableWeeklySummary[[#This Row],[Desde]],TableDailySummary[Fecha],"&lt;="&amp;TableWeeklySummary[[#This Row],[Hasta]])</f>
        <v>0</v>
      </c>
      <c r="N443" s="11">
        <f>SUMIFS(TableDailySummary[Tienda 81_net_sales],TableDailySummary[Fecha],"&gt;="&amp;TableWeeklySummary[[#This Row],[Desde]],TableDailySummary[Fecha],"&lt;="&amp;TableWeeklySummary[[#This Row],[Hasta]])</f>
        <v>0</v>
      </c>
      <c r="O443" s="11">
        <f>SUMIFS(TableDailySummary[Tienda 81_orders],TableDailySummary[Fecha],"&gt;="&amp;TableWeeklySummary[[#This Row],[Desde]],TableDailySummary[Fecha],"&lt;="&amp;TableWeeklySummary[[#This Row],[Hasta]])</f>
        <v>0</v>
      </c>
      <c r="P443" s="11">
        <f>SUMIFS(TableDailySummary[Rappi_net_sales],TableDailySummary[Fecha],"&gt;="&amp;TableWeeklySummary[[#This Row],[Desde]],TableDailySummary[Fecha],"&lt;="&amp;TableWeeklySummary[[#This Row],[Hasta]])</f>
        <v>0</v>
      </c>
      <c r="Q443" s="11">
        <f>SUMIFS(TableDailySummary[Rappi_orders],TableDailySummary[Fecha],"&gt;="&amp;TableWeeklySummary[[#This Row],[Desde]],TableDailySummary[Fecha],"&lt;="&amp;TableWeeklySummary[[#This Row],[Hasta]])</f>
        <v>0</v>
      </c>
      <c r="R44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3" s="11">
        <f>SUMIFS(TableDailySummary[Corporativo no tienda_orders],TableDailySummary[Fecha],"&gt;="&amp;TableWeeklySummary[[#This Row],[Desde]],TableDailySummary[Fecha],"&lt;="&amp;TableWeeklySummary[[#This Row],[Hasta]])</f>
        <v>0</v>
      </c>
      <c r="T443" s="11">
        <f>SUMIFS(TableDailySummary[Inversión google ads],TableDailySummary[Fecha],"&gt;="&amp;TableWeeklySummary[[#This Row],[Desde]],TableDailySummary[Fecha],"&lt;="&amp;TableWeeklySummary[[#This Row],[Hasta]])</f>
        <v>0</v>
      </c>
      <c r="U443" s="11">
        <f>SUMIFS(TableDailySummary[Ventas google ads],TableDailySummary[Fecha],"&gt;="&amp;TableWeeklySummary[[#This Row],[Desde]],TableDailySummary[Fecha],"&lt;="&amp;TableWeeklySummary[[#This Row],[Hasta]])</f>
        <v>0</v>
      </c>
      <c r="V443" s="11">
        <f>SUMIFS(TableDailySummary[Inversión meta ads],TableDailySummary[Fecha],"&gt;="&amp;TableWeeklySummary[[#This Row],[Desde]],TableDailySummary[Fecha],"&lt;="&amp;TableWeeklySummary[[#This Row],[Hasta]])</f>
        <v>0</v>
      </c>
      <c r="W443" s="11">
        <f>SUMIFS(TableDailySummary[Ventas meta ads],TableDailySummary[Fecha],"&gt;="&amp;TableWeeklySummary[[#This Row],[Desde]],TableDailySummary[Fecha],"&lt;="&amp;TableWeeklySummary[[#This Row],[Hasta]])</f>
        <v>0</v>
      </c>
      <c r="X443" s="11">
        <f>TableWeeklySummary[[#This Row],[Inversión google ads]]+TableWeeklySummary[[#This Row],[Inversión meta ads]]</f>
        <v>0</v>
      </c>
      <c r="Y443" s="11">
        <f>TableWeeklySummary[[#This Row],[Ventas google ads]]+TableWeeklySummary[[#This Row],[Ventas meta ads]]</f>
        <v>0</v>
      </c>
      <c r="Z443" s="14">
        <f>IFERROR(TableWeeklySummary[[#This Row],[Ventas publicidad]]/TableWeeklySummary[[#This Row],[Inversión publicidad]],0)</f>
        <v>0</v>
      </c>
      <c r="AA443" s="14">
        <f>IFERROR(TableWeeklySummary[[#This Row],[Ventas primer cliente]]/TableWeeklySummary[[#This Row],[Inversión publicidad]],0)</f>
        <v>0</v>
      </c>
      <c r="AB443" s="14"/>
      <c r="AC443" s="11"/>
      <c r="AI44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3" s="11">
        <f>SUMIFS(TableDailySummary[Costo de ventas registrado],TableDailySummary[Fecha],"&gt;="&amp;TableWeeklySummary[[#This Row],[Desde]],TableDailySummary[Fecha],"&lt;="&amp;TableWeeklySummary[[#This Row],[Hasta]])</f>
        <v>0</v>
      </c>
      <c r="AK443" s="11">
        <f>SUMIFS(TableDailySummary[Utilidad bruta],TableDailySummary[Fecha],"&gt;="&amp;TableWeeklySummary[[#This Row],[Desde]],TableDailySummary[Fecha],"&lt;="&amp;TableWeeklySummary[[#This Row],[Hasta]])</f>
        <v>0</v>
      </c>
      <c r="AL443" s="18">
        <f>IFERROR(TableWeeklySummary[[#This Row],[Utilidad bruta]]/TableWeeklySummary[[#This Row],[Ventas netas con costo registrado]],0)</f>
        <v>0</v>
      </c>
    </row>
    <row r="444" spans="2:38" x14ac:dyDescent="0.2">
      <c r="B444" s="16">
        <f>_xlfn.ISOWEEKNUM(TableWeeklySummary[[#This Row],[Hasta]])</f>
        <v>16</v>
      </c>
      <c r="C444" s="6">
        <f t="shared" si="8"/>
        <v>47585</v>
      </c>
      <c r="D444" s="6">
        <f>TableWeeklySummary[[#This Row],[Desde]]+7-1</f>
        <v>47591</v>
      </c>
      <c r="E444" s="11">
        <f>SUMIFS(TableDailySummary[Ventas netas totales],TableDailySummary[Fecha],"&gt;="&amp;TableWeeklySummary[[#This Row],[Desde]],TableDailySummary[Fecha],"&lt;="&amp;TableWeeklySummary[[#This Row],[Hasta]])</f>
        <v>0</v>
      </c>
      <c r="F444" s="11">
        <f>SUMIFS(TableDailySummary[Órdenes totales],TableDailySummary[Fecha],"&gt;="&amp;TableWeeklySummary[[#This Row],[Desde]],TableDailySummary[Fecha],"&lt;="&amp;TableWeeklySummary[[#This Row],[Hasta]])</f>
        <v>0</v>
      </c>
      <c r="G444" s="11">
        <f>IFERROR(TableWeeklySummary[[#This Row],[Ventas netas totales]]/TableWeeklySummary[[#This Row],[Órdenes totales]],0)</f>
        <v>0</v>
      </c>
      <c r="H44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4" s="11">
        <f>TableWeeklySummary[[#This Row],[Órden promedio totales]]*TableWeeklySummary[[#This Row],[CR totales]]</f>
        <v>0</v>
      </c>
      <c r="J444" s="11">
        <f>SUMIFS(TableDailySummary[Ventas primer cliente],TableDailySummary[Fecha],"&gt;="&amp;TableWeeklySummary[[#This Row],[Desde]],TableDailySummary[Fecha],"&lt;="&amp;TableWeeklySummary[[#This Row],[Hasta]])</f>
        <v>0</v>
      </c>
      <c r="K444" s="11">
        <f>SUMIFS(TableDailySummary[Órdenes primer cliente],TableDailySummary[Fecha],"&gt;="&amp;TableWeeklySummary[[#This Row],[Desde]],TableDailySummary[Fecha],"&lt;="&amp;TableWeeklySummary[[#This Row],[Hasta]])</f>
        <v>0</v>
      </c>
      <c r="L444" s="11">
        <f>SUMIFS(TableDailySummary[Online Store_net_sales],TableDailySummary[Fecha],"&gt;="&amp;TableWeeklySummary[[#This Row],[Desde]],TableDailySummary[Fecha],"&lt;="&amp;TableWeeklySummary[[#This Row],[Hasta]])</f>
        <v>0</v>
      </c>
      <c r="M444" s="11">
        <f>SUMIFS(TableDailySummary[Online Store_orders],TableDailySummary[Fecha],"&gt;="&amp;TableWeeklySummary[[#This Row],[Desde]],TableDailySummary[Fecha],"&lt;="&amp;TableWeeklySummary[[#This Row],[Hasta]])</f>
        <v>0</v>
      </c>
      <c r="N444" s="11">
        <f>SUMIFS(TableDailySummary[Tienda 81_net_sales],TableDailySummary[Fecha],"&gt;="&amp;TableWeeklySummary[[#This Row],[Desde]],TableDailySummary[Fecha],"&lt;="&amp;TableWeeklySummary[[#This Row],[Hasta]])</f>
        <v>0</v>
      </c>
      <c r="O444" s="11">
        <f>SUMIFS(TableDailySummary[Tienda 81_orders],TableDailySummary[Fecha],"&gt;="&amp;TableWeeklySummary[[#This Row],[Desde]],TableDailySummary[Fecha],"&lt;="&amp;TableWeeklySummary[[#This Row],[Hasta]])</f>
        <v>0</v>
      </c>
      <c r="P444" s="11">
        <f>SUMIFS(TableDailySummary[Rappi_net_sales],TableDailySummary[Fecha],"&gt;="&amp;TableWeeklySummary[[#This Row],[Desde]],TableDailySummary[Fecha],"&lt;="&amp;TableWeeklySummary[[#This Row],[Hasta]])</f>
        <v>0</v>
      </c>
      <c r="Q444" s="11">
        <f>SUMIFS(TableDailySummary[Rappi_orders],TableDailySummary[Fecha],"&gt;="&amp;TableWeeklySummary[[#This Row],[Desde]],TableDailySummary[Fecha],"&lt;="&amp;TableWeeklySummary[[#This Row],[Hasta]])</f>
        <v>0</v>
      </c>
      <c r="R44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4" s="11">
        <f>SUMIFS(TableDailySummary[Corporativo no tienda_orders],TableDailySummary[Fecha],"&gt;="&amp;TableWeeklySummary[[#This Row],[Desde]],TableDailySummary[Fecha],"&lt;="&amp;TableWeeklySummary[[#This Row],[Hasta]])</f>
        <v>0</v>
      </c>
      <c r="T444" s="11">
        <f>SUMIFS(TableDailySummary[Inversión google ads],TableDailySummary[Fecha],"&gt;="&amp;TableWeeklySummary[[#This Row],[Desde]],TableDailySummary[Fecha],"&lt;="&amp;TableWeeklySummary[[#This Row],[Hasta]])</f>
        <v>0</v>
      </c>
      <c r="U444" s="11">
        <f>SUMIFS(TableDailySummary[Ventas google ads],TableDailySummary[Fecha],"&gt;="&amp;TableWeeklySummary[[#This Row],[Desde]],TableDailySummary[Fecha],"&lt;="&amp;TableWeeklySummary[[#This Row],[Hasta]])</f>
        <v>0</v>
      </c>
      <c r="V444" s="11">
        <f>SUMIFS(TableDailySummary[Inversión meta ads],TableDailySummary[Fecha],"&gt;="&amp;TableWeeklySummary[[#This Row],[Desde]],TableDailySummary[Fecha],"&lt;="&amp;TableWeeklySummary[[#This Row],[Hasta]])</f>
        <v>0</v>
      </c>
      <c r="W444" s="11">
        <f>SUMIFS(TableDailySummary[Ventas meta ads],TableDailySummary[Fecha],"&gt;="&amp;TableWeeklySummary[[#This Row],[Desde]],TableDailySummary[Fecha],"&lt;="&amp;TableWeeklySummary[[#This Row],[Hasta]])</f>
        <v>0</v>
      </c>
      <c r="X444" s="11">
        <f>TableWeeklySummary[[#This Row],[Inversión google ads]]+TableWeeklySummary[[#This Row],[Inversión meta ads]]</f>
        <v>0</v>
      </c>
      <c r="Y444" s="11">
        <f>TableWeeklySummary[[#This Row],[Ventas google ads]]+TableWeeklySummary[[#This Row],[Ventas meta ads]]</f>
        <v>0</v>
      </c>
      <c r="Z444" s="14">
        <f>IFERROR(TableWeeklySummary[[#This Row],[Ventas publicidad]]/TableWeeklySummary[[#This Row],[Inversión publicidad]],0)</f>
        <v>0</v>
      </c>
      <c r="AA444" s="14">
        <f>IFERROR(TableWeeklySummary[[#This Row],[Ventas primer cliente]]/TableWeeklySummary[[#This Row],[Inversión publicidad]],0)</f>
        <v>0</v>
      </c>
      <c r="AB444" s="14"/>
      <c r="AC444" s="11"/>
      <c r="AI44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4" s="11">
        <f>SUMIFS(TableDailySummary[Costo de ventas registrado],TableDailySummary[Fecha],"&gt;="&amp;TableWeeklySummary[[#This Row],[Desde]],TableDailySummary[Fecha],"&lt;="&amp;TableWeeklySummary[[#This Row],[Hasta]])</f>
        <v>0</v>
      </c>
      <c r="AK444" s="11">
        <f>SUMIFS(TableDailySummary[Utilidad bruta],TableDailySummary[Fecha],"&gt;="&amp;TableWeeklySummary[[#This Row],[Desde]],TableDailySummary[Fecha],"&lt;="&amp;TableWeeklySummary[[#This Row],[Hasta]])</f>
        <v>0</v>
      </c>
      <c r="AL444" s="18">
        <f>IFERROR(TableWeeklySummary[[#This Row],[Utilidad bruta]]/TableWeeklySummary[[#This Row],[Ventas netas con costo registrado]],0)</f>
        <v>0</v>
      </c>
    </row>
    <row r="445" spans="2:38" x14ac:dyDescent="0.2">
      <c r="B445" s="16">
        <f>_xlfn.ISOWEEKNUM(TableWeeklySummary[[#This Row],[Hasta]])</f>
        <v>17</v>
      </c>
      <c r="C445" s="6">
        <f t="shared" si="8"/>
        <v>47592</v>
      </c>
      <c r="D445" s="6">
        <f>TableWeeklySummary[[#This Row],[Desde]]+7-1</f>
        <v>47598</v>
      </c>
      <c r="E445" s="11">
        <f>SUMIFS(TableDailySummary[Ventas netas totales],TableDailySummary[Fecha],"&gt;="&amp;TableWeeklySummary[[#This Row],[Desde]],TableDailySummary[Fecha],"&lt;="&amp;TableWeeklySummary[[#This Row],[Hasta]])</f>
        <v>0</v>
      </c>
      <c r="F445" s="11">
        <f>SUMIFS(TableDailySummary[Órdenes totales],TableDailySummary[Fecha],"&gt;="&amp;TableWeeklySummary[[#This Row],[Desde]],TableDailySummary[Fecha],"&lt;="&amp;TableWeeklySummary[[#This Row],[Hasta]])</f>
        <v>0</v>
      </c>
      <c r="G445" s="11">
        <f>IFERROR(TableWeeklySummary[[#This Row],[Ventas netas totales]]/TableWeeklySummary[[#This Row],[Órdenes totales]],0)</f>
        <v>0</v>
      </c>
      <c r="H44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5" s="11">
        <f>TableWeeklySummary[[#This Row],[Órden promedio totales]]*TableWeeklySummary[[#This Row],[CR totales]]</f>
        <v>0</v>
      </c>
      <c r="J445" s="11">
        <f>SUMIFS(TableDailySummary[Ventas primer cliente],TableDailySummary[Fecha],"&gt;="&amp;TableWeeklySummary[[#This Row],[Desde]],TableDailySummary[Fecha],"&lt;="&amp;TableWeeklySummary[[#This Row],[Hasta]])</f>
        <v>0</v>
      </c>
      <c r="K445" s="11">
        <f>SUMIFS(TableDailySummary[Órdenes primer cliente],TableDailySummary[Fecha],"&gt;="&amp;TableWeeklySummary[[#This Row],[Desde]],TableDailySummary[Fecha],"&lt;="&amp;TableWeeklySummary[[#This Row],[Hasta]])</f>
        <v>0</v>
      </c>
      <c r="L445" s="11">
        <f>SUMIFS(TableDailySummary[Online Store_net_sales],TableDailySummary[Fecha],"&gt;="&amp;TableWeeklySummary[[#This Row],[Desde]],TableDailySummary[Fecha],"&lt;="&amp;TableWeeklySummary[[#This Row],[Hasta]])</f>
        <v>0</v>
      </c>
      <c r="M445" s="11">
        <f>SUMIFS(TableDailySummary[Online Store_orders],TableDailySummary[Fecha],"&gt;="&amp;TableWeeklySummary[[#This Row],[Desde]],TableDailySummary[Fecha],"&lt;="&amp;TableWeeklySummary[[#This Row],[Hasta]])</f>
        <v>0</v>
      </c>
      <c r="N445" s="11">
        <f>SUMIFS(TableDailySummary[Tienda 81_net_sales],TableDailySummary[Fecha],"&gt;="&amp;TableWeeklySummary[[#This Row],[Desde]],TableDailySummary[Fecha],"&lt;="&amp;TableWeeklySummary[[#This Row],[Hasta]])</f>
        <v>0</v>
      </c>
      <c r="O445" s="11">
        <f>SUMIFS(TableDailySummary[Tienda 81_orders],TableDailySummary[Fecha],"&gt;="&amp;TableWeeklySummary[[#This Row],[Desde]],TableDailySummary[Fecha],"&lt;="&amp;TableWeeklySummary[[#This Row],[Hasta]])</f>
        <v>0</v>
      </c>
      <c r="P445" s="11">
        <f>SUMIFS(TableDailySummary[Rappi_net_sales],TableDailySummary[Fecha],"&gt;="&amp;TableWeeklySummary[[#This Row],[Desde]],TableDailySummary[Fecha],"&lt;="&amp;TableWeeklySummary[[#This Row],[Hasta]])</f>
        <v>0</v>
      </c>
      <c r="Q445" s="11">
        <f>SUMIFS(TableDailySummary[Rappi_orders],TableDailySummary[Fecha],"&gt;="&amp;TableWeeklySummary[[#This Row],[Desde]],TableDailySummary[Fecha],"&lt;="&amp;TableWeeklySummary[[#This Row],[Hasta]])</f>
        <v>0</v>
      </c>
      <c r="R44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5" s="11">
        <f>SUMIFS(TableDailySummary[Corporativo no tienda_orders],TableDailySummary[Fecha],"&gt;="&amp;TableWeeklySummary[[#This Row],[Desde]],TableDailySummary[Fecha],"&lt;="&amp;TableWeeklySummary[[#This Row],[Hasta]])</f>
        <v>0</v>
      </c>
      <c r="T445" s="11">
        <f>SUMIFS(TableDailySummary[Inversión google ads],TableDailySummary[Fecha],"&gt;="&amp;TableWeeklySummary[[#This Row],[Desde]],TableDailySummary[Fecha],"&lt;="&amp;TableWeeklySummary[[#This Row],[Hasta]])</f>
        <v>0</v>
      </c>
      <c r="U445" s="11">
        <f>SUMIFS(TableDailySummary[Ventas google ads],TableDailySummary[Fecha],"&gt;="&amp;TableWeeklySummary[[#This Row],[Desde]],TableDailySummary[Fecha],"&lt;="&amp;TableWeeklySummary[[#This Row],[Hasta]])</f>
        <v>0</v>
      </c>
      <c r="V445" s="11">
        <f>SUMIFS(TableDailySummary[Inversión meta ads],TableDailySummary[Fecha],"&gt;="&amp;TableWeeklySummary[[#This Row],[Desde]],TableDailySummary[Fecha],"&lt;="&amp;TableWeeklySummary[[#This Row],[Hasta]])</f>
        <v>0</v>
      </c>
      <c r="W445" s="11">
        <f>SUMIFS(TableDailySummary[Ventas meta ads],TableDailySummary[Fecha],"&gt;="&amp;TableWeeklySummary[[#This Row],[Desde]],TableDailySummary[Fecha],"&lt;="&amp;TableWeeklySummary[[#This Row],[Hasta]])</f>
        <v>0</v>
      </c>
      <c r="X445" s="11">
        <f>TableWeeklySummary[[#This Row],[Inversión google ads]]+TableWeeklySummary[[#This Row],[Inversión meta ads]]</f>
        <v>0</v>
      </c>
      <c r="Y445" s="11">
        <f>TableWeeklySummary[[#This Row],[Ventas google ads]]+TableWeeklySummary[[#This Row],[Ventas meta ads]]</f>
        <v>0</v>
      </c>
      <c r="Z445" s="14">
        <f>IFERROR(TableWeeklySummary[[#This Row],[Ventas publicidad]]/TableWeeklySummary[[#This Row],[Inversión publicidad]],0)</f>
        <v>0</v>
      </c>
      <c r="AA445" s="14">
        <f>IFERROR(TableWeeklySummary[[#This Row],[Ventas primer cliente]]/TableWeeklySummary[[#This Row],[Inversión publicidad]],0)</f>
        <v>0</v>
      </c>
      <c r="AB445" s="14"/>
      <c r="AC445" s="11"/>
      <c r="AI44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5" s="11">
        <f>SUMIFS(TableDailySummary[Costo de ventas registrado],TableDailySummary[Fecha],"&gt;="&amp;TableWeeklySummary[[#This Row],[Desde]],TableDailySummary[Fecha],"&lt;="&amp;TableWeeklySummary[[#This Row],[Hasta]])</f>
        <v>0</v>
      </c>
      <c r="AK445" s="11">
        <f>SUMIFS(TableDailySummary[Utilidad bruta],TableDailySummary[Fecha],"&gt;="&amp;TableWeeklySummary[[#This Row],[Desde]],TableDailySummary[Fecha],"&lt;="&amp;TableWeeklySummary[[#This Row],[Hasta]])</f>
        <v>0</v>
      </c>
      <c r="AL445" s="18">
        <f>IFERROR(TableWeeklySummary[[#This Row],[Utilidad bruta]]/TableWeeklySummary[[#This Row],[Ventas netas con costo registrado]],0)</f>
        <v>0</v>
      </c>
    </row>
    <row r="446" spans="2:38" x14ac:dyDescent="0.2">
      <c r="B446" s="16">
        <f>_xlfn.ISOWEEKNUM(TableWeeklySummary[[#This Row],[Hasta]])</f>
        <v>18</v>
      </c>
      <c r="C446" s="6">
        <f t="shared" si="8"/>
        <v>47599</v>
      </c>
      <c r="D446" s="6">
        <f>TableWeeklySummary[[#This Row],[Desde]]+7-1</f>
        <v>47605</v>
      </c>
      <c r="E446" s="11">
        <f>SUMIFS(TableDailySummary[Ventas netas totales],TableDailySummary[Fecha],"&gt;="&amp;TableWeeklySummary[[#This Row],[Desde]],TableDailySummary[Fecha],"&lt;="&amp;TableWeeklySummary[[#This Row],[Hasta]])</f>
        <v>0</v>
      </c>
      <c r="F446" s="11">
        <f>SUMIFS(TableDailySummary[Órdenes totales],TableDailySummary[Fecha],"&gt;="&amp;TableWeeklySummary[[#This Row],[Desde]],TableDailySummary[Fecha],"&lt;="&amp;TableWeeklySummary[[#This Row],[Hasta]])</f>
        <v>0</v>
      </c>
      <c r="G446" s="11">
        <f>IFERROR(TableWeeklySummary[[#This Row],[Ventas netas totales]]/TableWeeklySummary[[#This Row],[Órdenes totales]],0)</f>
        <v>0</v>
      </c>
      <c r="H44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6" s="11">
        <f>TableWeeklySummary[[#This Row],[Órden promedio totales]]*TableWeeklySummary[[#This Row],[CR totales]]</f>
        <v>0</v>
      </c>
      <c r="J446" s="11">
        <f>SUMIFS(TableDailySummary[Ventas primer cliente],TableDailySummary[Fecha],"&gt;="&amp;TableWeeklySummary[[#This Row],[Desde]],TableDailySummary[Fecha],"&lt;="&amp;TableWeeklySummary[[#This Row],[Hasta]])</f>
        <v>0</v>
      </c>
      <c r="K446" s="11">
        <f>SUMIFS(TableDailySummary[Órdenes primer cliente],TableDailySummary[Fecha],"&gt;="&amp;TableWeeklySummary[[#This Row],[Desde]],TableDailySummary[Fecha],"&lt;="&amp;TableWeeklySummary[[#This Row],[Hasta]])</f>
        <v>0</v>
      </c>
      <c r="L446" s="11">
        <f>SUMIFS(TableDailySummary[Online Store_net_sales],TableDailySummary[Fecha],"&gt;="&amp;TableWeeklySummary[[#This Row],[Desde]],TableDailySummary[Fecha],"&lt;="&amp;TableWeeklySummary[[#This Row],[Hasta]])</f>
        <v>0</v>
      </c>
      <c r="M446" s="11">
        <f>SUMIFS(TableDailySummary[Online Store_orders],TableDailySummary[Fecha],"&gt;="&amp;TableWeeklySummary[[#This Row],[Desde]],TableDailySummary[Fecha],"&lt;="&amp;TableWeeklySummary[[#This Row],[Hasta]])</f>
        <v>0</v>
      </c>
      <c r="N446" s="11">
        <f>SUMIFS(TableDailySummary[Tienda 81_net_sales],TableDailySummary[Fecha],"&gt;="&amp;TableWeeklySummary[[#This Row],[Desde]],TableDailySummary[Fecha],"&lt;="&amp;TableWeeklySummary[[#This Row],[Hasta]])</f>
        <v>0</v>
      </c>
      <c r="O446" s="11">
        <f>SUMIFS(TableDailySummary[Tienda 81_orders],TableDailySummary[Fecha],"&gt;="&amp;TableWeeklySummary[[#This Row],[Desde]],TableDailySummary[Fecha],"&lt;="&amp;TableWeeklySummary[[#This Row],[Hasta]])</f>
        <v>0</v>
      </c>
      <c r="P446" s="11">
        <f>SUMIFS(TableDailySummary[Rappi_net_sales],TableDailySummary[Fecha],"&gt;="&amp;TableWeeklySummary[[#This Row],[Desde]],TableDailySummary[Fecha],"&lt;="&amp;TableWeeklySummary[[#This Row],[Hasta]])</f>
        <v>0</v>
      </c>
      <c r="Q446" s="11">
        <f>SUMIFS(TableDailySummary[Rappi_orders],TableDailySummary[Fecha],"&gt;="&amp;TableWeeklySummary[[#This Row],[Desde]],TableDailySummary[Fecha],"&lt;="&amp;TableWeeklySummary[[#This Row],[Hasta]])</f>
        <v>0</v>
      </c>
      <c r="R44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6" s="11">
        <f>SUMIFS(TableDailySummary[Corporativo no tienda_orders],TableDailySummary[Fecha],"&gt;="&amp;TableWeeklySummary[[#This Row],[Desde]],TableDailySummary[Fecha],"&lt;="&amp;TableWeeklySummary[[#This Row],[Hasta]])</f>
        <v>0</v>
      </c>
      <c r="T446" s="11">
        <f>SUMIFS(TableDailySummary[Inversión google ads],TableDailySummary[Fecha],"&gt;="&amp;TableWeeklySummary[[#This Row],[Desde]],TableDailySummary[Fecha],"&lt;="&amp;TableWeeklySummary[[#This Row],[Hasta]])</f>
        <v>0</v>
      </c>
      <c r="U446" s="11">
        <f>SUMIFS(TableDailySummary[Ventas google ads],TableDailySummary[Fecha],"&gt;="&amp;TableWeeklySummary[[#This Row],[Desde]],TableDailySummary[Fecha],"&lt;="&amp;TableWeeklySummary[[#This Row],[Hasta]])</f>
        <v>0</v>
      </c>
      <c r="V446" s="11">
        <f>SUMIFS(TableDailySummary[Inversión meta ads],TableDailySummary[Fecha],"&gt;="&amp;TableWeeklySummary[[#This Row],[Desde]],TableDailySummary[Fecha],"&lt;="&amp;TableWeeklySummary[[#This Row],[Hasta]])</f>
        <v>0</v>
      </c>
      <c r="W446" s="11">
        <f>SUMIFS(TableDailySummary[Ventas meta ads],TableDailySummary[Fecha],"&gt;="&amp;TableWeeklySummary[[#This Row],[Desde]],TableDailySummary[Fecha],"&lt;="&amp;TableWeeklySummary[[#This Row],[Hasta]])</f>
        <v>0</v>
      </c>
      <c r="X446" s="11">
        <f>TableWeeklySummary[[#This Row],[Inversión google ads]]+TableWeeklySummary[[#This Row],[Inversión meta ads]]</f>
        <v>0</v>
      </c>
      <c r="Y446" s="11">
        <f>TableWeeklySummary[[#This Row],[Ventas google ads]]+TableWeeklySummary[[#This Row],[Ventas meta ads]]</f>
        <v>0</v>
      </c>
      <c r="Z446" s="14">
        <f>IFERROR(TableWeeklySummary[[#This Row],[Ventas publicidad]]/TableWeeklySummary[[#This Row],[Inversión publicidad]],0)</f>
        <v>0</v>
      </c>
      <c r="AA446" s="14">
        <f>IFERROR(TableWeeklySummary[[#This Row],[Ventas primer cliente]]/TableWeeklySummary[[#This Row],[Inversión publicidad]],0)</f>
        <v>0</v>
      </c>
      <c r="AB446" s="14"/>
      <c r="AC446" s="11"/>
      <c r="AI44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6" s="11">
        <f>SUMIFS(TableDailySummary[Costo de ventas registrado],TableDailySummary[Fecha],"&gt;="&amp;TableWeeklySummary[[#This Row],[Desde]],TableDailySummary[Fecha],"&lt;="&amp;TableWeeklySummary[[#This Row],[Hasta]])</f>
        <v>0</v>
      </c>
      <c r="AK446" s="11">
        <f>SUMIFS(TableDailySummary[Utilidad bruta],TableDailySummary[Fecha],"&gt;="&amp;TableWeeklySummary[[#This Row],[Desde]],TableDailySummary[Fecha],"&lt;="&amp;TableWeeklySummary[[#This Row],[Hasta]])</f>
        <v>0</v>
      </c>
      <c r="AL446" s="18">
        <f>IFERROR(TableWeeklySummary[[#This Row],[Utilidad bruta]]/TableWeeklySummary[[#This Row],[Ventas netas con costo registrado]],0)</f>
        <v>0</v>
      </c>
    </row>
    <row r="447" spans="2:38" x14ac:dyDescent="0.2">
      <c r="B447" s="16">
        <f>_xlfn.ISOWEEKNUM(TableWeeklySummary[[#This Row],[Hasta]])</f>
        <v>19</v>
      </c>
      <c r="C447" s="6">
        <f t="shared" si="8"/>
        <v>47606</v>
      </c>
      <c r="D447" s="6">
        <f>TableWeeklySummary[[#This Row],[Desde]]+7-1</f>
        <v>47612</v>
      </c>
      <c r="E447" s="11">
        <f>SUMIFS(TableDailySummary[Ventas netas totales],TableDailySummary[Fecha],"&gt;="&amp;TableWeeklySummary[[#This Row],[Desde]],TableDailySummary[Fecha],"&lt;="&amp;TableWeeklySummary[[#This Row],[Hasta]])</f>
        <v>0</v>
      </c>
      <c r="F447" s="11">
        <f>SUMIFS(TableDailySummary[Órdenes totales],TableDailySummary[Fecha],"&gt;="&amp;TableWeeklySummary[[#This Row],[Desde]],TableDailySummary[Fecha],"&lt;="&amp;TableWeeklySummary[[#This Row],[Hasta]])</f>
        <v>0</v>
      </c>
      <c r="G447" s="11">
        <f>IFERROR(TableWeeklySummary[[#This Row],[Ventas netas totales]]/TableWeeklySummary[[#This Row],[Órdenes totales]],0)</f>
        <v>0</v>
      </c>
      <c r="H44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7" s="11">
        <f>TableWeeklySummary[[#This Row],[Órden promedio totales]]*TableWeeklySummary[[#This Row],[CR totales]]</f>
        <v>0</v>
      </c>
      <c r="J447" s="11">
        <f>SUMIFS(TableDailySummary[Ventas primer cliente],TableDailySummary[Fecha],"&gt;="&amp;TableWeeklySummary[[#This Row],[Desde]],TableDailySummary[Fecha],"&lt;="&amp;TableWeeklySummary[[#This Row],[Hasta]])</f>
        <v>0</v>
      </c>
      <c r="K447" s="11">
        <f>SUMIFS(TableDailySummary[Órdenes primer cliente],TableDailySummary[Fecha],"&gt;="&amp;TableWeeklySummary[[#This Row],[Desde]],TableDailySummary[Fecha],"&lt;="&amp;TableWeeklySummary[[#This Row],[Hasta]])</f>
        <v>0</v>
      </c>
      <c r="L447" s="11">
        <f>SUMIFS(TableDailySummary[Online Store_net_sales],TableDailySummary[Fecha],"&gt;="&amp;TableWeeklySummary[[#This Row],[Desde]],TableDailySummary[Fecha],"&lt;="&amp;TableWeeklySummary[[#This Row],[Hasta]])</f>
        <v>0</v>
      </c>
      <c r="M447" s="11">
        <f>SUMIFS(TableDailySummary[Online Store_orders],TableDailySummary[Fecha],"&gt;="&amp;TableWeeklySummary[[#This Row],[Desde]],TableDailySummary[Fecha],"&lt;="&amp;TableWeeklySummary[[#This Row],[Hasta]])</f>
        <v>0</v>
      </c>
      <c r="N447" s="11">
        <f>SUMIFS(TableDailySummary[Tienda 81_net_sales],TableDailySummary[Fecha],"&gt;="&amp;TableWeeklySummary[[#This Row],[Desde]],TableDailySummary[Fecha],"&lt;="&amp;TableWeeklySummary[[#This Row],[Hasta]])</f>
        <v>0</v>
      </c>
      <c r="O447" s="11">
        <f>SUMIFS(TableDailySummary[Tienda 81_orders],TableDailySummary[Fecha],"&gt;="&amp;TableWeeklySummary[[#This Row],[Desde]],TableDailySummary[Fecha],"&lt;="&amp;TableWeeklySummary[[#This Row],[Hasta]])</f>
        <v>0</v>
      </c>
      <c r="P447" s="11">
        <f>SUMIFS(TableDailySummary[Rappi_net_sales],TableDailySummary[Fecha],"&gt;="&amp;TableWeeklySummary[[#This Row],[Desde]],TableDailySummary[Fecha],"&lt;="&amp;TableWeeklySummary[[#This Row],[Hasta]])</f>
        <v>0</v>
      </c>
      <c r="Q447" s="11">
        <f>SUMIFS(TableDailySummary[Rappi_orders],TableDailySummary[Fecha],"&gt;="&amp;TableWeeklySummary[[#This Row],[Desde]],TableDailySummary[Fecha],"&lt;="&amp;TableWeeklySummary[[#This Row],[Hasta]])</f>
        <v>0</v>
      </c>
      <c r="R44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7" s="11">
        <f>SUMIFS(TableDailySummary[Corporativo no tienda_orders],TableDailySummary[Fecha],"&gt;="&amp;TableWeeklySummary[[#This Row],[Desde]],TableDailySummary[Fecha],"&lt;="&amp;TableWeeklySummary[[#This Row],[Hasta]])</f>
        <v>0</v>
      </c>
      <c r="T447" s="11">
        <f>SUMIFS(TableDailySummary[Inversión google ads],TableDailySummary[Fecha],"&gt;="&amp;TableWeeklySummary[[#This Row],[Desde]],TableDailySummary[Fecha],"&lt;="&amp;TableWeeklySummary[[#This Row],[Hasta]])</f>
        <v>0</v>
      </c>
      <c r="U447" s="11">
        <f>SUMIFS(TableDailySummary[Ventas google ads],TableDailySummary[Fecha],"&gt;="&amp;TableWeeklySummary[[#This Row],[Desde]],TableDailySummary[Fecha],"&lt;="&amp;TableWeeklySummary[[#This Row],[Hasta]])</f>
        <v>0</v>
      </c>
      <c r="V447" s="11">
        <f>SUMIFS(TableDailySummary[Inversión meta ads],TableDailySummary[Fecha],"&gt;="&amp;TableWeeklySummary[[#This Row],[Desde]],TableDailySummary[Fecha],"&lt;="&amp;TableWeeklySummary[[#This Row],[Hasta]])</f>
        <v>0</v>
      </c>
      <c r="W447" s="11">
        <f>SUMIFS(TableDailySummary[Ventas meta ads],TableDailySummary[Fecha],"&gt;="&amp;TableWeeklySummary[[#This Row],[Desde]],TableDailySummary[Fecha],"&lt;="&amp;TableWeeklySummary[[#This Row],[Hasta]])</f>
        <v>0</v>
      </c>
      <c r="X447" s="11">
        <f>TableWeeklySummary[[#This Row],[Inversión google ads]]+TableWeeklySummary[[#This Row],[Inversión meta ads]]</f>
        <v>0</v>
      </c>
      <c r="Y447" s="11">
        <f>TableWeeklySummary[[#This Row],[Ventas google ads]]+TableWeeklySummary[[#This Row],[Ventas meta ads]]</f>
        <v>0</v>
      </c>
      <c r="Z447" s="14">
        <f>IFERROR(TableWeeklySummary[[#This Row],[Ventas publicidad]]/TableWeeklySummary[[#This Row],[Inversión publicidad]],0)</f>
        <v>0</v>
      </c>
      <c r="AA447" s="14">
        <f>IFERROR(TableWeeklySummary[[#This Row],[Ventas primer cliente]]/TableWeeklySummary[[#This Row],[Inversión publicidad]],0)</f>
        <v>0</v>
      </c>
      <c r="AB447" s="14"/>
      <c r="AC447" s="11"/>
      <c r="AI44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7" s="11">
        <f>SUMIFS(TableDailySummary[Costo de ventas registrado],TableDailySummary[Fecha],"&gt;="&amp;TableWeeklySummary[[#This Row],[Desde]],TableDailySummary[Fecha],"&lt;="&amp;TableWeeklySummary[[#This Row],[Hasta]])</f>
        <v>0</v>
      </c>
      <c r="AK447" s="11">
        <f>SUMIFS(TableDailySummary[Utilidad bruta],TableDailySummary[Fecha],"&gt;="&amp;TableWeeklySummary[[#This Row],[Desde]],TableDailySummary[Fecha],"&lt;="&amp;TableWeeklySummary[[#This Row],[Hasta]])</f>
        <v>0</v>
      </c>
      <c r="AL447" s="18">
        <f>IFERROR(TableWeeklySummary[[#This Row],[Utilidad bruta]]/TableWeeklySummary[[#This Row],[Ventas netas con costo registrado]],0)</f>
        <v>0</v>
      </c>
    </row>
    <row r="448" spans="2:38" x14ac:dyDescent="0.2">
      <c r="B448" s="16">
        <f>_xlfn.ISOWEEKNUM(TableWeeklySummary[[#This Row],[Hasta]])</f>
        <v>20</v>
      </c>
      <c r="C448" s="6">
        <f t="shared" ref="C448:C505" si="9">_xlfn.LET(
    _xlpm.fechaini, ParamFechaInicioReporte,
    _xlpm.start_friday, IF(WEEKDAY(_xlpm.fechaini, 1) = 6, _xlpm.fechaini, _xlpm.fechaini - MOD(WEEKDAY(_xlpm.fechaini, 1) + 1, 7)),
    IF(ROW()=8, _xlpm.start_friday, C447 + 7)
)</f>
        <v>47613</v>
      </c>
      <c r="D448" s="6">
        <f>TableWeeklySummary[[#This Row],[Desde]]+7-1</f>
        <v>47619</v>
      </c>
      <c r="E448" s="11">
        <f>SUMIFS(TableDailySummary[Ventas netas totales],TableDailySummary[Fecha],"&gt;="&amp;TableWeeklySummary[[#This Row],[Desde]],TableDailySummary[Fecha],"&lt;="&amp;TableWeeklySummary[[#This Row],[Hasta]])</f>
        <v>0</v>
      </c>
      <c r="F448" s="11">
        <f>SUMIFS(TableDailySummary[Órdenes totales],TableDailySummary[Fecha],"&gt;="&amp;TableWeeklySummary[[#This Row],[Desde]],TableDailySummary[Fecha],"&lt;="&amp;TableWeeklySummary[[#This Row],[Hasta]])</f>
        <v>0</v>
      </c>
      <c r="G448" s="11">
        <f>IFERROR(TableWeeklySummary[[#This Row],[Ventas netas totales]]/TableWeeklySummary[[#This Row],[Órdenes totales]],0)</f>
        <v>0</v>
      </c>
      <c r="H44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8" s="11">
        <f>TableWeeklySummary[[#This Row],[Órden promedio totales]]*TableWeeklySummary[[#This Row],[CR totales]]</f>
        <v>0</v>
      </c>
      <c r="J448" s="11">
        <f>SUMIFS(TableDailySummary[Ventas primer cliente],TableDailySummary[Fecha],"&gt;="&amp;TableWeeklySummary[[#This Row],[Desde]],TableDailySummary[Fecha],"&lt;="&amp;TableWeeklySummary[[#This Row],[Hasta]])</f>
        <v>0</v>
      </c>
      <c r="K448" s="11">
        <f>SUMIFS(TableDailySummary[Órdenes primer cliente],TableDailySummary[Fecha],"&gt;="&amp;TableWeeklySummary[[#This Row],[Desde]],TableDailySummary[Fecha],"&lt;="&amp;TableWeeklySummary[[#This Row],[Hasta]])</f>
        <v>0</v>
      </c>
      <c r="L448" s="11">
        <f>SUMIFS(TableDailySummary[Online Store_net_sales],TableDailySummary[Fecha],"&gt;="&amp;TableWeeklySummary[[#This Row],[Desde]],TableDailySummary[Fecha],"&lt;="&amp;TableWeeklySummary[[#This Row],[Hasta]])</f>
        <v>0</v>
      </c>
      <c r="M448" s="11">
        <f>SUMIFS(TableDailySummary[Online Store_orders],TableDailySummary[Fecha],"&gt;="&amp;TableWeeklySummary[[#This Row],[Desde]],TableDailySummary[Fecha],"&lt;="&amp;TableWeeklySummary[[#This Row],[Hasta]])</f>
        <v>0</v>
      </c>
      <c r="N448" s="11">
        <f>SUMIFS(TableDailySummary[Tienda 81_net_sales],TableDailySummary[Fecha],"&gt;="&amp;TableWeeklySummary[[#This Row],[Desde]],TableDailySummary[Fecha],"&lt;="&amp;TableWeeklySummary[[#This Row],[Hasta]])</f>
        <v>0</v>
      </c>
      <c r="O448" s="11">
        <f>SUMIFS(TableDailySummary[Tienda 81_orders],TableDailySummary[Fecha],"&gt;="&amp;TableWeeklySummary[[#This Row],[Desde]],TableDailySummary[Fecha],"&lt;="&amp;TableWeeklySummary[[#This Row],[Hasta]])</f>
        <v>0</v>
      </c>
      <c r="P448" s="11">
        <f>SUMIFS(TableDailySummary[Rappi_net_sales],TableDailySummary[Fecha],"&gt;="&amp;TableWeeklySummary[[#This Row],[Desde]],TableDailySummary[Fecha],"&lt;="&amp;TableWeeklySummary[[#This Row],[Hasta]])</f>
        <v>0</v>
      </c>
      <c r="Q448" s="11">
        <f>SUMIFS(TableDailySummary[Rappi_orders],TableDailySummary[Fecha],"&gt;="&amp;TableWeeklySummary[[#This Row],[Desde]],TableDailySummary[Fecha],"&lt;="&amp;TableWeeklySummary[[#This Row],[Hasta]])</f>
        <v>0</v>
      </c>
      <c r="R44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8" s="11">
        <f>SUMIFS(TableDailySummary[Corporativo no tienda_orders],TableDailySummary[Fecha],"&gt;="&amp;TableWeeklySummary[[#This Row],[Desde]],TableDailySummary[Fecha],"&lt;="&amp;TableWeeklySummary[[#This Row],[Hasta]])</f>
        <v>0</v>
      </c>
      <c r="T448" s="11">
        <f>SUMIFS(TableDailySummary[Inversión google ads],TableDailySummary[Fecha],"&gt;="&amp;TableWeeklySummary[[#This Row],[Desde]],TableDailySummary[Fecha],"&lt;="&amp;TableWeeklySummary[[#This Row],[Hasta]])</f>
        <v>0</v>
      </c>
      <c r="U448" s="11">
        <f>SUMIFS(TableDailySummary[Ventas google ads],TableDailySummary[Fecha],"&gt;="&amp;TableWeeklySummary[[#This Row],[Desde]],TableDailySummary[Fecha],"&lt;="&amp;TableWeeklySummary[[#This Row],[Hasta]])</f>
        <v>0</v>
      </c>
      <c r="V448" s="11">
        <f>SUMIFS(TableDailySummary[Inversión meta ads],TableDailySummary[Fecha],"&gt;="&amp;TableWeeklySummary[[#This Row],[Desde]],TableDailySummary[Fecha],"&lt;="&amp;TableWeeklySummary[[#This Row],[Hasta]])</f>
        <v>0</v>
      </c>
      <c r="W448" s="11">
        <f>SUMIFS(TableDailySummary[Ventas meta ads],TableDailySummary[Fecha],"&gt;="&amp;TableWeeklySummary[[#This Row],[Desde]],TableDailySummary[Fecha],"&lt;="&amp;TableWeeklySummary[[#This Row],[Hasta]])</f>
        <v>0</v>
      </c>
      <c r="X448" s="11">
        <f>TableWeeklySummary[[#This Row],[Inversión google ads]]+TableWeeklySummary[[#This Row],[Inversión meta ads]]</f>
        <v>0</v>
      </c>
      <c r="Y448" s="11">
        <f>TableWeeklySummary[[#This Row],[Ventas google ads]]+TableWeeklySummary[[#This Row],[Ventas meta ads]]</f>
        <v>0</v>
      </c>
      <c r="Z448" s="14">
        <f>IFERROR(TableWeeklySummary[[#This Row],[Ventas publicidad]]/TableWeeklySummary[[#This Row],[Inversión publicidad]],0)</f>
        <v>0</v>
      </c>
      <c r="AA448" s="14">
        <f>IFERROR(TableWeeklySummary[[#This Row],[Ventas primer cliente]]/TableWeeklySummary[[#This Row],[Inversión publicidad]],0)</f>
        <v>0</v>
      </c>
      <c r="AB448" s="14"/>
      <c r="AC448" s="11"/>
      <c r="AI44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8" s="11">
        <f>SUMIFS(TableDailySummary[Costo de ventas registrado],TableDailySummary[Fecha],"&gt;="&amp;TableWeeklySummary[[#This Row],[Desde]],TableDailySummary[Fecha],"&lt;="&amp;TableWeeklySummary[[#This Row],[Hasta]])</f>
        <v>0</v>
      </c>
      <c r="AK448" s="11">
        <f>SUMIFS(TableDailySummary[Utilidad bruta],TableDailySummary[Fecha],"&gt;="&amp;TableWeeklySummary[[#This Row],[Desde]],TableDailySummary[Fecha],"&lt;="&amp;TableWeeklySummary[[#This Row],[Hasta]])</f>
        <v>0</v>
      </c>
      <c r="AL448" s="18">
        <f>IFERROR(TableWeeklySummary[[#This Row],[Utilidad bruta]]/TableWeeklySummary[[#This Row],[Ventas netas con costo registrado]],0)</f>
        <v>0</v>
      </c>
    </row>
    <row r="449" spans="2:38" x14ac:dyDescent="0.2">
      <c r="B449" s="16">
        <f>_xlfn.ISOWEEKNUM(TableWeeklySummary[[#This Row],[Hasta]])</f>
        <v>21</v>
      </c>
      <c r="C449" s="6">
        <f t="shared" si="9"/>
        <v>47620</v>
      </c>
      <c r="D449" s="6">
        <f>TableWeeklySummary[[#This Row],[Desde]]+7-1</f>
        <v>47626</v>
      </c>
      <c r="E449" s="11">
        <f>SUMIFS(TableDailySummary[Ventas netas totales],TableDailySummary[Fecha],"&gt;="&amp;TableWeeklySummary[[#This Row],[Desde]],TableDailySummary[Fecha],"&lt;="&amp;TableWeeklySummary[[#This Row],[Hasta]])</f>
        <v>0</v>
      </c>
      <c r="F449" s="11">
        <f>SUMIFS(TableDailySummary[Órdenes totales],TableDailySummary[Fecha],"&gt;="&amp;TableWeeklySummary[[#This Row],[Desde]],TableDailySummary[Fecha],"&lt;="&amp;TableWeeklySummary[[#This Row],[Hasta]])</f>
        <v>0</v>
      </c>
      <c r="G449" s="11">
        <f>IFERROR(TableWeeklySummary[[#This Row],[Ventas netas totales]]/TableWeeklySummary[[#This Row],[Órdenes totales]],0)</f>
        <v>0</v>
      </c>
      <c r="H44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49" s="11">
        <f>TableWeeklySummary[[#This Row],[Órden promedio totales]]*TableWeeklySummary[[#This Row],[CR totales]]</f>
        <v>0</v>
      </c>
      <c r="J449" s="11">
        <f>SUMIFS(TableDailySummary[Ventas primer cliente],TableDailySummary[Fecha],"&gt;="&amp;TableWeeklySummary[[#This Row],[Desde]],TableDailySummary[Fecha],"&lt;="&amp;TableWeeklySummary[[#This Row],[Hasta]])</f>
        <v>0</v>
      </c>
      <c r="K449" s="11">
        <f>SUMIFS(TableDailySummary[Órdenes primer cliente],TableDailySummary[Fecha],"&gt;="&amp;TableWeeklySummary[[#This Row],[Desde]],TableDailySummary[Fecha],"&lt;="&amp;TableWeeklySummary[[#This Row],[Hasta]])</f>
        <v>0</v>
      </c>
      <c r="L449" s="11">
        <f>SUMIFS(TableDailySummary[Online Store_net_sales],TableDailySummary[Fecha],"&gt;="&amp;TableWeeklySummary[[#This Row],[Desde]],TableDailySummary[Fecha],"&lt;="&amp;TableWeeklySummary[[#This Row],[Hasta]])</f>
        <v>0</v>
      </c>
      <c r="M449" s="11">
        <f>SUMIFS(TableDailySummary[Online Store_orders],TableDailySummary[Fecha],"&gt;="&amp;TableWeeklySummary[[#This Row],[Desde]],TableDailySummary[Fecha],"&lt;="&amp;TableWeeklySummary[[#This Row],[Hasta]])</f>
        <v>0</v>
      </c>
      <c r="N449" s="11">
        <f>SUMIFS(TableDailySummary[Tienda 81_net_sales],TableDailySummary[Fecha],"&gt;="&amp;TableWeeklySummary[[#This Row],[Desde]],TableDailySummary[Fecha],"&lt;="&amp;TableWeeklySummary[[#This Row],[Hasta]])</f>
        <v>0</v>
      </c>
      <c r="O449" s="11">
        <f>SUMIFS(TableDailySummary[Tienda 81_orders],TableDailySummary[Fecha],"&gt;="&amp;TableWeeklySummary[[#This Row],[Desde]],TableDailySummary[Fecha],"&lt;="&amp;TableWeeklySummary[[#This Row],[Hasta]])</f>
        <v>0</v>
      </c>
      <c r="P449" s="11">
        <f>SUMIFS(TableDailySummary[Rappi_net_sales],TableDailySummary[Fecha],"&gt;="&amp;TableWeeklySummary[[#This Row],[Desde]],TableDailySummary[Fecha],"&lt;="&amp;TableWeeklySummary[[#This Row],[Hasta]])</f>
        <v>0</v>
      </c>
      <c r="Q449" s="11">
        <f>SUMIFS(TableDailySummary[Rappi_orders],TableDailySummary[Fecha],"&gt;="&amp;TableWeeklySummary[[#This Row],[Desde]],TableDailySummary[Fecha],"&lt;="&amp;TableWeeklySummary[[#This Row],[Hasta]])</f>
        <v>0</v>
      </c>
      <c r="R44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49" s="11">
        <f>SUMIFS(TableDailySummary[Corporativo no tienda_orders],TableDailySummary[Fecha],"&gt;="&amp;TableWeeklySummary[[#This Row],[Desde]],TableDailySummary[Fecha],"&lt;="&amp;TableWeeklySummary[[#This Row],[Hasta]])</f>
        <v>0</v>
      </c>
      <c r="T449" s="11">
        <f>SUMIFS(TableDailySummary[Inversión google ads],TableDailySummary[Fecha],"&gt;="&amp;TableWeeklySummary[[#This Row],[Desde]],TableDailySummary[Fecha],"&lt;="&amp;TableWeeklySummary[[#This Row],[Hasta]])</f>
        <v>0</v>
      </c>
      <c r="U449" s="11">
        <f>SUMIFS(TableDailySummary[Ventas google ads],TableDailySummary[Fecha],"&gt;="&amp;TableWeeklySummary[[#This Row],[Desde]],TableDailySummary[Fecha],"&lt;="&amp;TableWeeklySummary[[#This Row],[Hasta]])</f>
        <v>0</v>
      </c>
      <c r="V449" s="11">
        <f>SUMIFS(TableDailySummary[Inversión meta ads],TableDailySummary[Fecha],"&gt;="&amp;TableWeeklySummary[[#This Row],[Desde]],TableDailySummary[Fecha],"&lt;="&amp;TableWeeklySummary[[#This Row],[Hasta]])</f>
        <v>0</v>
      </c>
      <c r="W449" s="11">
        <f>SUMIFS(TableDailySummary[Ventas meta ads],TableDailySummary[Fecha],"&gt;="&amp;TableWeeklySummary[[#This Row],[Desde]],TableDailySummary[Fecha],"&lt;="&amp;TableWeeklySummary[[#This Row],[Hasta]])</f>
        <v>0</v>
      </c>
      <c r="X449" s="11">
        <f>TableWeeklySummary[[#This Row],[Inversión google ads]]+TableWeeklySummary[[#This Row],[Inversión meta ads]]</f>
        <v>0</v>
      </c>
      <c r="Y449" s="11">
        <f>TableWeeklySummary[[#This Row],[Ventas google ads]]+TableWeeklySummary[[#This Row],[Ventas meta ads]]</f>
        <v>0</v>
      </c>
      <c r="Z449" s="14">
        <f>IFERROR(TableWeeklySummary[[#This Row],[Ventas publicidad]]/TableWeeklySummary[[#This Row],[Inversión publicidad]],0)</f>
        <v>0</v>
      </c>
      <c r="AA449" s="14">
        <f>IFERROR(TableWeeklySummary[[#This Row],[Ventas primer cliente]]/TableWeeklySummary[[#This Row],[Inversión publicidad]],0)</f>
        <v>0</v>
      </c>
      <c r="AB449" s="14"/>
      <c r="AC449" s="11"/>
      <c r="AI44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49" s="11">
        <f>SUMIFS(TableDailySummary[Costo de ventas registrado],TableDailySummary[Fecha],"&gt;="&amp;TableWeeklySummary[[#This Row],[Desde]],TableDailySummary[Fecha],"&lt;="&amp;TableWeeklySummary[[#This Row],[Hasta]])</f>
        <v>0</v>
      </c>
      <c r="AK449" s="11">
        <f>SUMIFS(TableDailySummary[Utilidad bruta],TableDailySummary[Fecha],"&gt;="&amp;TableWeeklySummary[[#This Row],[Desde]],TableDailySummary[Fecha],"&lt;="&amp;TableWeeklySummary[[#This Row],[Hasta]])</f>
        <v>0</v>
      </c>
      <c r="AL449" s="18">
        <f>IFERROR(TableWeeklySummary[[#This Row],[Utilidad bruta]]/TableWeeklySummary[[#This Row],[Ventas netas con costo registrado]],0)</f>
        <v>0</v>
      </c>
    </row>
    <row r="450" spans="2:38" x14ac:dyDescent="0.2">
      <c r="B450" s="16">
        <f>_xlfn.ISOWEEKNUM(TableWeeklySummary[[#This Row],[Hasta]])</f>
        <v>22</v>
      </c>
      <c r="C450" s="6">
        <f t="shared" si="9"/>
        <v>47627</v>
      </c>
      <c r="D450" s="6">
        <f>TableWeeklySummary[[#This Row],[Desde]]+7-1</f>
        <v>47633</v>
      </c>
      <c r="E450" s="11">
        <f>SUMIFS(TableDailySummary[Ventas netas totales],TableDailySummary[Fecha],"&gt;="&amp;TableWeeklySummary[[#This Row],[Desde]],TableDailySummary[Fecha],"&lt;="&amp;TableWeeklySummary[[#This Row],[Hasta]])</f>
        <v>0</v>
      </c>
      <c r="F450" s="11">
        <f>SUMIFS(TableDailySummary[Órdenes totales],TableDailySummary[Fecha],"&gt;="&amp;TableWeeklySummary[[#This Row],[Desde]],TableDailySummary[Fecha],"&lt;="&amp;TableWeeklySummary[[#This Row],[Hasta]])</f>
        <v>0</v>
      </c>
      <c r="G450" s="11">
        <f>IFERROR(TableWeeklySummary[[#This Row],[Ventas netas totales]]/TableWeeklySummary[[#This Row],[Órdenes totales]],0)</f>
        <v>0</v>
      </c>
      <c r="H45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0" s="11">
        <f>TableWeeklySummary[[#This Row],[Órden promedio totales]]*TableWeeklySummary[[#This Row],[CR totales]]</f>
        <v>0</v>
      </c>
      <c r="J450" s="11">
        <f>SUMIFS(TableDailySummary[Ventas primer cliente],TableDailySummary[Fecha],"&gt;="&amp;TableWeeklySummary[[#This Row],[Desde]],TableDailySummary[Fecha],"&lt;="&amp;TableWeeklySummary[[#This Row],[Hasta]])</f>
        <v>0</v>
      </c>
      <c r="K450" s="11">
        <f>SUMIFS(TableDailySummary[Órdenes primer cliente],TableDailySummary[Fecha],"&gt;="&amp;TableWeeklySummary[[#This Row],[Desde]],TableDailySummary[Fecha],"&lt;="&amp;TableWeeklySummary[[#This Row],[Hasta]])</f>
        <v>0</v>
      </c>
      <c r="L450" s="11">
        <f>SUMIFS(TableDailySummary[Online Store_net_sales],TableDailySummary[Fecha],"&gt;="&amp;TableWeeklySummary[[#This Row],[Desde]],TableDailySummary[Fecha],"&lt;="&amp;TableWeeklySummary[[#This Row],[Hasta]])</f>
        <v>0</v>
      </c>
      <c r="M450" s="11">
        <f>SUMIFS(TableDailySummary[Online Store_orders],TableDailySummary[Fecha],"&gt;="&amp;TableWeeklySummary[[#This Row],[Desde]],TableDailySummary[Fecha],"&lt;="&amp;TableWeeklySummary[[#This Row],[Hasta]])</f>
        <v>0</v>
      </c>
      <c r="N450" s="11">
        <f>SUMIFS(TableDailySummary[Tienda 81_net_sales],TableDailySummary[Fecha],"&gt;="&amp;TableWeeklySummary[[#This Row],[Desde]],TableDailySummary[Fecha],"&lt;="&amp;TableWeeklySummary[[#This Row],[Hasta]])</f>
        <v>0</v>
      </c>
      <c r="O450" s="11">
        <f>SUMIFS(TableDailySummary[Tienda 81_orders],TableDailySummary[Fecha],"&gt;="&amp;TableWeeklySummary[[#This Row],[Desde]],TableDailySummary[Fecha],"&lt;="&amp;TableWeeklySummary[[#This Row],[Hasta]])</f>
        <v>0</v>
      </c>
      <c r="P450" s="11">
        <f>SUMIFS(TableDailySummary[Rappi_net_sales],TableDailySummary[Fecha],"&gt;="&amp;TableWeeklySummary[[#This Row],[Desde]],TableDailySummary[Fecha],"&lt;="&amp;TableWeeklySummary[[#This Row],[Hasta]])</f>
        <v>0</v>
      </c>
      <c r="Q450" s="11">
        <f>SUMIFS(TableDailySummary[Rappi_orders],TableDailySummary[Fecha],"&gt;="&amp;TableWeeklySummary[[#This Row],[Desde]],TableDailySummary[Fecha],"&lt;="&amp;TableWeeklySummary[[#This Row],[Hasta]])</f>
        <v>0</v>
      </c>
      <c r="R45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0" s="11">
        <f>SUMIFS(TableDailySummary[Corporativo no tienda_orders],TableDailySummary[Fecha],"&gt;="&amp;TableWeeklySummary[[#This Row],[Desde]],TableDailySummary[Fecha],"&lt;="&amp;TableWeeklySummary[[#This Row],[Hasta]])</f>
        <v>0</v>
      </c>
      <c r="T450" s="11">
        <f>SUMIFS(TableDailySummary[Inversión google ads],TableDailySummary[Fecha],"&gt;="&amp;TableWeeklySummary[[#This Row],[Desde]],TableDailySummary[Fecha],"&lt;="&amp;TableWeeklySummary[[#This Row],[Hasta]])</f>
        <v>0</v>
      </c>
      <c r="U450" s="11">
        <f>SUMIFS(TableDailySummary[Ventas google ads],TableDailySummary[Fecha],"&gt;="&amp;TableWeeklySummary[[#This Row],[Desde]],TableDailySummary[Fecha],"&lt;="&amp;TableWeeklySummary[[#This Row],[Hasta]])</f>
        <v>0</v>
      </c>
      <c r="V450" s="11">
        <f>SUMIFS(TableDailySummary[Inversión meta ads],TableDailySummary[Fecha],"&gt;="&amp;TableWeeklySummary[[#This Row],[Desde]],TableDailySummary[Fecha],"&lt;="&amp;TableWeeklySummary[[#This Row],[Hasta]])</f>
        <v>0</v>
      </c>
      <c r="W450" s="11">
        <f>SUMIFS(TableDailySummary[Ventas meta ads],TableDailySummary[Fecha],"&gt;="&amp;TableWeeklySummary[[#This Row],[Desde]],TableDailySummary[Fecha],"&lt;="&amp;TableWeeklySummary[[#This Row],[Hasta]])</f>
        <v>0</v>
      </c>
      <c r="X450" s="11">
        <f>TableWeeklySummary[[#This Row],[Inversión google ads]]+TableWeeklySummary[[#This Row],[Inversión meta ads]]</f>
        <v>0</v>
      </c>
      <c r="Y450" s="11">
        <f>TableWeeklySummary[[#This Row],[Ventas google ads]]+TableWeeklySummary[[#This Row],[Ventas meta ads]]</f>
        <v>0</v>
      </c>
      <c r="Z450" s="14">
        <f>IFERROR(TableWeeklySummary[[#This Row],[Ventas publicidad]]/TableWeeklySummary[[#This Row],[Inversión publicidad]],0)</f>
        <v>0</v>
      </c>
      <c r="AA450" s="14">
        <f>IFERROR(TableWeeklySummary[[#This Row],[Ventas primer cliente]]/TableWeeklySummary[[#This Row],[Inversión publicidad]],0)</f>
        <v>0</v>
      </c>
      <c r="AB450" s="14"/>
      <c r="AC450" s="11"/>
      <c r="AI45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0" s="11">
        <f>SUMIFS(TableDailySummary[Costo de ventas registrado],TableDailySummary[Fecha],"&gt;="&amp;TableWeeklySummary[[#This Row],[Desde]],TableDailySummary[Fecha],"&lt;="&amp;TableWeeklySummary[[#This Row],[Hasta]])</f>
        <v>0</v>
      </c>
      <c r="AK450" s="11">
        <f>SUMIFS(TableDailySummary[Utilidad bruta],TableDailySummary[Fecha],"&gt;="&amp;TableWeeklySummary[[#This Row],[Desde]],TableDailySummary[Fecha],"&lt;="&amp;TableWeeklySummary[[#This Row],[Hasta]])</f>
        <v>0</v>
      </c>
      <c r="AL450" s="18">
        <f>IFERROR(TableWeeklySummary[[#This Row],[Utilidad bruta]]/TableWeeklySummary[[#This Row],[Ventas netas con costo registrado]],0)</f>
        <v>0</v>
      </c>
    </row>
    <row r="451" spans="2:38" x14ac:dyDescent="0.2">
      <c r="B451" s="16">
        <f>_xlfn.ISOWEEKNUM(TableWeeklySummary[[#This Row],[Hasta]])</f>
        <v>23</v>
      </c>
      <c r="C451" s="6">
        <f t="shared" si="9"/>
        <v>47634</v>
      </c>
      <c r="D451" s="6">
        <f>TableWeeklySummary[[#This Row],[Desde]]+7-1</f>
        <v>47640</v>
      </c>
      <c r="E451" s="11">
        <f>SUMIFS(TableDailySummary[Ventas netas totales],TableDailySummary[Fecha],"&gt;="&amp;TableWeeklySummary[[#This Row],[Desde]],TableDailySummary[Fecha],"&lt;="&amp;TableWeeklySummary[[#This Row],[Hasta]])</f>
        <v>0</v>
      </c>
      <c r="F451" s="11">
        <f>SUMIFS(TableDailySummary[Órdenes totales],TableDailySummary[Fecha],"&gt;="&amp;TableWeeklySummary[[#This Row],[Desde]],TableDailySummary[Fecha],"&lt;="&amp;TableWeeklySummary[[#This Row],[Hasta]])</f>
        <v>0</v>
      </c>
      <c r="G451" s="11">
        <f>IFERROR(TableWeeklySummary[[#This Row],[Ventas netas totales]]/TableWeeklySummary[[#This Row],[Órdenes totales]],0)</f>
        <v>0</v>
      </c>
      <c r="H45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1" s="11">
        <f>TableWeeklySummary[[#This Row],[Órden promedio totales]]*TableWeeklySummary[[#This Row],[CR totales]]</f>
        <v>0</v>
      </c>
      <c r="J451" s="11">
        <f>SUMIFS(TableDailySummary[Ventas primer cliente],TableDailySummary[Fecha],"&gt;="&amp;TableWeeklySummary[[#This Row],[Desde]],TableDailySummary[Fecha],"&lt;="&amp;TableWeeklySummary[[#This Row],[Hasta]])</f>
        <v>0</v>
      </c>
      <c r="K451" s="11">
        <f>SUMIFS(TableDailySummary[Órdenes primer cliente],TableDailySummary[Fecha],"&gt;="&amp;TableWeeklySummary[[#This Row],[Desde]],TableDailySummary[Fecha],"&lt;="&amp;TableWeeklySummary[[#This Row],[Hasta]])</f>
        <v>0</v>
      </c>
      <c r="L451" s="11">
        <f>SUMIFS(TableDailySummary[Online Store_net_sales],TableDailySummary[Fecha],"&gt;="&amp;TableWeeklySummary[[#This Row],[Desde]],TableDailySummary[Fecha],"&lt;="&amp;TableWeeklySummary[[#This Row],[Hasta]])</f>
        <v>0</v>
      </c>
      <c r="M451" s="11">
        <f>SUMIFS(TableDailySummary[Online Store_orders],TableDailySummary[Fecha],"&gt;="&amp;TableWeeklySummary[[#This Row],[Desde]],TableDailySummary[Fecha],"&lt;="&amp;TableWeeklySummary[[#This Row],[Hasta]])</f>
        <v>0</v>
      </c>
      <c r="N451" s="11">
        <f>SUMIFS(TableDailySummary[Tienda 81_net_sales],TableDailySummary[Fecha],"&gt;="&amp;TableWeeklySummary[[#This Row],[Desde]],TableDailySummary[Fecha],"&lt;="&amp;TableWeeklySummary[[#This Row],[Hasta]])</f>
        <v>0</v>
      </c>
      <c r="O451" s="11">
        <f>SUMIFS(TableDailySummary[Tienda 81_orders],TableDailySummary[Fecha],"&gt;="&amp;TableWeeklySummary[[#This Row],[Desde]],TableDailySummary[Fecha],"&lt;="&amp;TableWeeklySummary[[#This Row],[Hasta]])</f>
        <v>0</v>
      </c>
      <c r="P451" s="11">
        <f>SUMIFS(TableDailySummary[Rappi_net_sales],TableDailySummary[Fecha],"&gt;="&amp;TableWeeklySummary[[#This Row],[Desde]],TableDailySummary[Fecha],"&lt;="&amp;TableWeeklySummary[[#This Row],[Hasta]])</f>
        <v>0</v>
      </c>
      <c r="Q451" s="11">
        <f>SUMIFS(TableDailySummary[Rappi_orders],TableDailySummary[Fecha],"&gt;="&amp;TableWeeklySummary[[#This Row],[Desde]],TableDailySummary[Fecha],"&lt;="&amp;TableWeeklySummary[[#This Row],[Hasta]])</f>
        <v>0</v>
      </c>
      <c r="R45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1" s="11">
        <f>SUMIFS(TableDailySummary[Corporativo no tienda_orders],TableDailySummary[Fecha],"&gt;="&amp;TableWeeklySummary[[#This Row],[Desde]],TableDailySummary[Fecha],"&lt;="&amp;TableWeeklySummary[[#This Row],[Hasta]])</f>
        <v>0</v>
      </c>
      <c r="T451" s="11">
        <f>SUMIFS(TableDailySummary[Inversión google ads],TableDailySummary[Fecha],"&gt;="&amp;TableWeeklySummary[[#This Row],[Desde]],TableDailySummary[Fecha],"&lt;="&amp;TableWeeklySummary[[#This Row],[Hasta]])</f>
        <v>0</v>
      </c>
      <c r="U451" s="11">
        <f>SUMIFS(TableDailySummary[Ventas google ads],TableDailySummary[Fecha],"&gt;="&amp;TableWeeklySummary[[#This Row],[Desde]],TableDailySummary[Fecha],"&lt;="&amp;TableWeeklySummary[[#This Row],[Hasta]])</f>
        <v>0</v>
      </c>
      <c r="V451" s="11">
        <f>SUMIFS(TableDailySummary[Inversión meta ads],TableDailySummary[Fecha],"&gt;="&amp;TableWeeklySummary[[#This Row],[Desde]],TableDailySummary[Fecha],"&lt;="&amp;TableWeeklySummary[[#This Row],[Hasta]])</f>
        <v>0</v>
      </c>
      <c r="W451" s="11">
        <f>SUMIFS(TableDailySummary[Ventas meta ads],TableDailySummary[Fecha],"&gt;="&amp;TableWeeklySummary[[#This Row],[Desde]],TableDailySummary[Fecha],"&lt;="&amp;TableWeeklySummary[[#This Row],[Hasta]])</f>
        <v>0</v>
      </c>
      <c r="X451" s="11">
        <f>TableWeeklySummary[[#This Row],[Inversión google ads]]+TableWeeklySummary[[#This Row],[Inversión meta ads]]</f>
        <v>0</v>
      </c>
      <c r="Y451" s="11">
        <f>TableWeeklySummary[[#This Row],[Ventas google ads]]+TableWeeklySummary[[#This Row],[Ventas meta ads]]</f>
        <v>0</v>
      </c>
      <c r="Z451" s="14">
        <f>IFERROR(TableWeeklySummary[[#This Row],[Ventas publicidad]]/TableWeeklySummary[[#This Row],[Inversión publicidad]],0)</f>
        <v>0</v>
      </c>
      <c r="AA451" s="14">
        <f>IFERROR(TableWeeklySummary[[#This Row],[Ventas primer cliente]]/TableWeeklySummary[[#This Row],[Inversión publicidad]],0)</f>
        <v>0</v>
      </c>
      <c r="AB451" s="14"/>
      <c r="AC451" s="11"/>
      <c r="AI45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1" s="11">
        <f>SUMIFS(TableDailySummary[Costo de ventas registrado],TableDailySummary[Fecha],"&gt;="&amp;TableWeeklySummary[[#This Row],[Desde]],TableDailySummary[Fecha],"&lt;="&amp;TableWeeklySummary[[#This Row],[Hasta]])</f>
        <v>0</v>
      </c>
      <c r="AK451" s="11">
        <f>SUMIFS(TableDailySummary[Utilidad bruta],TableDailySummary[Fecha],"&gt;="&amp;TableWeeklySummary[[#This Row],[Desde]],TableDailySummary[Fecha],"&lt;="&amp;TableWeeklySummary[[#This Row],[Hasta]])</f>
        <v>0</v>
      </c>
      <c r="AL451" s="18">
        <f>IFERROR(TableWeeklySummary[[#This Row],[Utilidad bruta]]/TableWeeklySummary[[#This Row],[Ventas netas con costo registrado]],0)</f>
        <v>0</v>
      </c>
    </row>
    <row r="452" spans="2:38" x14ac:dyDescent="0.2">
      <c r="B452" s="16">
        <f>_xlfn.ISOWEEKNUM(TableWeeklySummary[[#This Row],[Hasta]])</f>
        <v>24</v>
      </c>
      <c r="C452" s="6">
        <f t="shared" si="9"/>
        <v>47641</v>
      </c>
      <c r="D452" s="6">
        <f>TableWeeklySummary[[#This Row],[Desde]]+7-1</f>
        <v>47647</v>
      </c>
      <c r="E452" s="11">
        <f>SUMIFS(TableDailySummary[Ventas netas totales],TableDailySummary[Fecha],"&gt;="&amp;TableWeeklySummary[[#This Row],[Desde]],TableDailySummary[Fecha],"&lt;="&amp;TableWeeklySummary[[#This Row],[Hasta]])</f>
        <v>0</v>
      </c>
      <c r="F452" s="11">
        <f>SUMIFS(TableDailySummary[Órdenes totales],TableDailySummary[Fecha],"&gt;="&amp;TableWeeklySummary[[#This Row],[Desde]],TableDailySummary[Fecha],"&lt;="&amp;TableWeeklySummary[[#This Row],[Hasta]])</f>
        <v>0</v>
      </c>
      <c r="G452" s="11">
        <f>IFERROR(TableWeeklySummary[[#This Row],[Ventas netas totales]]/TableWeeklySummary[[#This Row],[Órdenes totales]],0)</f>
        <v>0</v>
      </c>
      <c r="H45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2" s="11">
        <f>TableWeeklySummary[[#This Row],[Órden promedio totales]]*TableWeeklySummary[[#This Row],[CR totales]]</f>
        <v>0</v>
      </c>
      <c r="J452" s="11">
        <f>SUMIFS(TableDailySummary[Ventas primer cliente],TableDailySummary[Fecha],"&gt;="&amp;TableWeeklySummary[[#This Row],[Desde]],TableDailySummary[Fecha],"&lt;="&amp;TableWeeklySummary[[#This Row],[Hasta]])</f>
        <v>0</v>
      </c>
      <c r="K452" s="11">
        <f>SUMIFS(TableDailySummary[Órdenes primer cliente],TableDailySummary[Fecha],"&gt;="&amp;TableWeeklySummary[[#This Row],[Desde]],TableDailySummary[Fecha],"&lt;="&amp;TableWeeklySummary[[#This Row],[Hasta]])</f>
        <v>0</v>
      </c>
      <c r="L452" s="11">
        <f>SUMIFS(TableDailySummary[Online Store_net_sales],TableDailySummary[Fecha],"&gt;="&amp;TableWeeklySummary[[#This Row],[Desde]],TableDailySummary[Fecha],"&lt;="&amp;TableWeeklySummary[[#This Row],[Hasta]])</f>
        <v>0</v>
      </c>
      <c r="M452" s="11">
        <f>SUMIFS(TableDailySummary[Online Store_orders],TableDailySummary[Fecha],"&gt;="&amp;TableWeeklySummary[[#This Row],[Desde]],TableDailySummary[Fecha],"&lt;="&amp;TableWeeklySummary[[#This Row],[Hasta]])</f>
        <v>0</v>
      </c>
      <c r="N452" s="11">
        <f>SUMIFS(TableDailySummary[Tienda 81_net_sales],TableDailySummary[Fecha],"&gt;="&amp;TableWeeklySummary[[#This Row],[Desde]],TableDailySummary[Fecha],"&lt;="&amp;TableWeeklySummary[[#This Row],[Hasta]])</f>
        <v>0</v>
      </c>
      <c r="O452" s="11">
        <f>SUMIFS(TableDailySummary[Tienda 81_orders],TableDailySummary[Fecha],"&gt;="&amp;TableWeeklySummary[[#This Row],[Desde]],TableDailySummary[Fecha],"&lt;="&amp;TableWeeklySummary[[#This Row],[Hasta]])</f>
        <v>0</v>
      </c>
      <c r="P452" s="11">
        <f>SUMIFS(TableDailySummary[Rappi_net_sales],TableDailySummary[Fecha],"&gt;="&amp;TableWeeklySummary[[#This Row],[Desde]],TableDailySummary[Fecha],"&lt;="&amp;TableWeeklySummary[[#This Row],[Hasta]])</f>
        <v>0</v>
      </c>
      <c r="Q452" s="11">
        <f>SUMIFS(TableDailySummary[Rappi_orders],TableDailySummary[Fecha],"&gt;="&amp;TableWeeklySummary[[#This Row],[Desde]],TableDailySummary[Fecha],"&lt;="&amp;TableWeeklySummary[[#This Row],[Hasta]])</f>
        <v>0</v>
      </c>
      <c r="R45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2" s="11">
        <f>SUMIFS(TableDailySummary[Corporativo no tienda_orders],TableDailySummary[Fecha],"&gt;="&amp;TableWeeklySummary[[#This Row],[Desde]],TableDailySummary[Fecha],"&lt;="&amp;TableWeeklySummary[[#This Row],[Hasta]])</f>
        <v>0</v>
      </c>
      <c r="T452" s="11">
        <f>SUMIFS(TableDailySummary[Inversión google ads],TableDailySummary[Fecha],"&gt;="&amp;TableWeeklySummary[[#This Row],[Desde]],TableDailySummary[Fecha],"&lt;="&amp;TableWeeklySummary[[#This Row],[Hasta]])</f>
        <v>0</v>
      </c>
      <c r="U452" s="11">
        <f>SUMIFS(TableDailySummary[Ventas google ads],TableDailySummary[Fecha],"&gt;="&amp;TableWeeklySummary[[#This Row],[Desde]],TableDailySummary[Fecha],"&lt;="&amp;TableWeeklySummary[[#This Row],[Hasta]])</f>
        <v>0</v>
      </c>
      <c r="V452" s="11">
        <f>SUMIFS(TableDailySummary[Inversión meta ads],TableDailySummary[Fecha],"&gt;="&amp;TableWeeklySummary[[#This Row],[Desde]],TableDailySummary[Fecha],"&lt;="&amp;TableWeeklySummary[[#This Row],[Hasta]])</f>
        <v>0</v>
      </c>
      <c r="W452" s="11">
        <f>SUMIFS(TableDailySummary[Ventas meta ads],TableDailySummary[Fecha],"&gt;="&amp;TableWeeklySummary[[#This Row],[Desde]],TableDailySummary[Fecha],"&lt;="&amp;TableWeeklySummary[[#This Row],[Hasta]])</f>
        <v>0</v>
      </c>
      <c r="X452" s="11">
        <f>TableWeeklySummary[[#This Row],[Inversión google ads]]+TableWeeklySummary[[#This Row],[Inversión meta ads]]</f>
        <v>0</v>
      </c>
      <c r="Y452" s="11">
        <f>TableWeeklySummary[[#This Row],[Ventas google ads]]+TableWeeklySummary[[#This Row],[Ventas meta ads]]</f>
        <v>0</v>
      </c>
      <c r="Z452" s="14">
        <f>IFERROR(TableWeeklySummary[[#This Row],[Ventas publicidad]]/TableWeeklySummary[[#This Row],[Inversión publicidad]],0)</f>
        <v>0</v>
      </c>
      <c r="AA452" s="14">
        <f>IFERROR(TableWeeklySummary[[#This Row],[Ventas primer cliente]]/TableWeeklySummary[[#This Row],[Inversión publicidad]],0)</f>
        <v>0</v>
      </c>
      <c r="AB452" s="14"/>
      <c r="AC452" s="11"/>
      <c r="AI45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2" s="11">
        <f>SUMIFS(TableDailySummary[Costo de ventas registrado],TableDailySummary[Fecha],"&gt;="&amp;TableWeeklySummary[[#This Row],[Desde]],TableDailySummary[Fecha],"&lt;="&amp;TableWeeklySummary[[#This Row],[Hasta]])</f>
        <v>0</v>
      </c>
      <c r="AK452" s="11">
        <f>SUMIFS(TableDailySummary[Utilidad bruta],TableDailySummary[Fecha],"&gt;="&amp;TableWeeklySummary[[#This Row],[Desde]],TableDailySummary[Fecha],"&lt;="&amp;TableWeeklySummary[[#This Row],[Hasta]])</f>
        <v>0</v>
      </c>
      <c r="AL452" s="18">
        <f>IFERROR(TableWeeklySummary[[#This Row],[Utilidad bruta]]/TableWeeklySummary[[#This Row],[Ventas netas con costo registrado]],0)</f>
        <v>0</v>
      </c>
    </row>
    <row r="453" spans="2:38" x14ac:dyDescent="0.2">
      <c r="B453" s="16">
        <f>_xlfn.ISOWEEKNUM(TableWeeklySummary[[#This Row],[Hasta]])</f>
        <v>25</v>
      </c>
      <c r="C453" s="6">
        <f t="shared" si="9"/>
        <v>47648</v>
      </c>
      <c r="D453" s="6">
        <f>TableWeeklySummary[[#This Row],[Desde]]+7-1</f>
        <v>47654</v>
      </c>
      <c r="E453" s="11">
        <f>SUMIFS(TableDailySummary[Ventas netas totales],TableDailySummary[Fecha],"&gt;="&amp;TableWeeklySummary[[#This Row],[Desde]],TableDailySummary[Fecha],"&lt;="&amp;TableWeeklySummary[[#This Row],[Hasta]])</f>
        <v>0</v>
      </c>
      <c r="F453" s="11">
        <f>SUMIFS(TableDailySummary[Órdenes totales],TableDailySummary[Fecha],"&gt;="&amp;TableWeeklySummary[[#This Row],[Desde]],TableDailySummary[Fecha],"&lt;="&amp;TableWeeklySummary[[#This Row],[Hasta]])</f>
        <v>0</v>
      </c>
      <c r="G453" s="11">
        <f>IFERROR(TableWeeklySummary[[#This Row],[Ventas netas totales]]/TableWeeklySummary[[#This Row],[Órdenes totales]],0)</f>
        <v>0</v>
      </c>
      <c r="H45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3" s="11">
        <f>TableWeeklySummary[[#This Row],[Órden promedio totales]]*TableWeeklySummary[[#This Row],[CR totales]]</f>
        <v>0</v>
      </c>
      <c r="J453" s="11">
        <f>SUMIFS(TableDailySummary[Ventas primer cliente],TableDailySummary[Fecha],"&gt;="&amp;TableWeeklySummary[[#This Row],[Desde]],TableDailySummary[Fecha],"&lt;="&amp;TableWeeklySummary[[#This Row],[Hasta]])</f>
        <v>0</v>
      </c>
      <c r="K453" s="11">
        <f>SUMIFS(TableDailySummary[Órdenes primer cliente],TableDailySummary[Fecha],"&gt;="&amp;TableWeeklySummary[[#This Row],[Desde]],TableDailySummary[Fecha],"&lt;="&amp;TableWeeklySummary[[#This Row],[Hasta]])</f>
        <v>0</v>
      </c>
      <c r="L453" s="11">
        <f>SUMIFS(TableDailySummary[Online Store_net_sales],TableDailySummary[Fecha],"&gt;="&amp;TableWeeklySummary[[#This Row],[Desde]],TableDailySummary[Fecha],"&lt;="&amp;TableWeeklySummary[[#This Row],[Hasta]])</f>
        <v>0</v>
      </c>
      <c r="M453" s="11">
        <f>SUMIFS(TableDailySummary[Online Store_orders],TableDailySummary[Fecha],"&gt;="&amp;TableWeeklySummary[[#This Row],[Desde]],TableDailySummary[Fecha],"&lt;="&amp;TableWeeklySummary[[#This Row],[Hasta]])</f>
        <v>0</v>
      </c>
      <c r="N453" s="11">
        <f>SUMIFS(TableDailySummary[Tienda 81_net_sales],TableDailySummary[Fecha],"&gt;="&amp;TableWeeklySummary[[#This Row],[Desde]],TableDailySummary[Fecha],"&lt;="&amp;TableWeeklySummary[[#This Row],[Hasta]])</f>
        <v>0</v>
      </c>
      <c r="O453" s="11">
        <f>SUMIFS(TableDailySummary[Tienda 81_orders],TableDailySummary[Fecha],"&gt;="&amp;TableWeeklySummary[[#This Row],[Desde]],TableDailySummary[Fecha],"&lt;="&amp;TableWeeklySummary[[#This Row],[Hasta]])</f>
        <v>0</v>
      </c>
      <c r="P453" s="11">
        <f>SUMIFS(TableDailySummary[Rappi_net_sales],TableDailySummary[Fecha],"&gt;="&amp;TableWeeklySummary[[#This Row],[Desde]],TableDailySummary[Fecha],"&lt;="&amp;TableWeeklySummary[[#This Row],[Hasta]])</f>
        <v>0</v>
      </c>
      <c r="Q453" s="11">
        <f>SUMIFS(TableDailySummary[Rappi_orders],TableDailySummary[Fecha],"&gt;="&amp;TableWeeklySummary[[#This Row],[Desde]],TableDailySummary[Fecha],"&lt;="&amp;TableWeeklySummary[[#This Row],[Hasta]])</f>
        <v>0</v>
      </c>
      <c r="R45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3" s="11">
        <f>SUMIFS(TableDailySummary[Corporativo no tienda_orders],TableDailySummary[Fecha],"&gt;="&amp;TableWeeklySummary[[#This Row],[Desde]],TableDailySummary[Fecha],"&lt;="&amp;TableWeeklySummary[[#This Row],[Hasta]])</f>
        <v>0</v>
      </c>
      <c r="T453" s="11">
        <f>SUMIFS(TableDailySummary[Inversión google ads],TableDailySummary[Fecha],"&gt;="&amp;TableWeeklySummary[[#This Row],[Desde]],TableDailySummary[Fecha],"&lt;="&amp;TableWeeklySummary[[#This Row],[Hasta]])</f>
        <v>0</v>
      </c>
      <c r="U453" s="11">
        <f>SUMIFS(TableDailySummary[Ventas google ads],TableDailySummary[Fecha],"&gt;="&amp;TableWeeklySummary[[#This Row],[Desde]],TableDailySummary[Fecha],"&lt;="&amp;TableWeeklySummary[[#This Row],[Hasta]])</f>
        <v>0</v>
      </c>
      <c r="V453" s="11">
        <f>SUMIFS(TableDailySummary[Inversión meta ads],TableDailySummary[Fecha],"&gt;="&amp;TableWeeklySummary[[#This Row],[Desde]],TableDailySummary[Fecha],"&lt;="&amp;TableWeeklySummary[[#This Row],[Hasta]])</f>
        <v>0</v>
      </c>
      <c r="W453" s="11">
        <f>SUMIFS(TableDailySummary[Ventas meta ads],TableDailySummary[Fecha],"&gt;="&amp;TableWeeklySummary[[#This Row],[Desde]],TableDailySummary[Fecha],"&lt;="&amp;TableWeeklySummary[[#This Row],[Hasta]])</f>
        <v>0</v>
      </c>
      <c r="X453" s="11">
        <f>TableWeeklySummary[[#This Row],[Inversión google ads]]+TableWeeklySummary[[#This Row],[Inversión meta ads]]</f>
        <v>0</v>
      </c>
      <c r="Y453" s="11">
        <f>TableWeeklySummary[[#This Row],[Ventas google ads]]+TableWeeklySummary[[#This Row],[Ventas meta ads]]</f>
        <v>0</v>
      </c>
      <c r="Z453" s="14">
        <f>IFERROR(TableWeeklySummary[[#This Row],[Ventas publicidad]]/TableWeeklySummary[[#This Row],[Inversión publicidad]],0)</f>
        <v>0</v>
      </c>
      <c r="AA453" s="14">
        <f>IFERROR(TableWeeklySummary[[#This Row],[Ventas primer cliente]]/TableWeeklySummary[[#This Row],[Inversión publicidad]],0)</f>
        <v>0</v>
      </c>
      <c r="AB453" s="14"/>
      <c r="AC453" s="11"/>
      <c r="AI45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3" s="11">
        <f>SUMIFS(TableDailySummary[Costo de ventas registrado],TableDailySummary[Fecha],"&gt;="&amp;TableWeeklySummary[[#This Row],[Desde]],TableDailySummary[Fecha],"&lt;="&amp;TableWeeklySummary[[#This Row],[Hasta]])</f>
        <v>0</v>
      </c>
      <c r="AK453" s="11">
        <f>SUMIFS(TableDailySummary[Utilidad bruta],TableDailySummary[Fecha],"&gt;="&amp;TableWeeklySummary[[#This Row],[Desde]],TableDailySummary[Fecha],"&lt;="&amp;TableWeeklySummary[[#This Row],[Hasta]])</f>
        <v>0</v>
      </c>
      <c r="AL453" s="18">
        <f>IFERROR(TableWeeklySummary[[#This Row],[Utilidad bruta]]/TableWeeklySummary[[#This Row],[Ventas netas con costo registrado]],0)</f>
        <v>0</v>
      </c>
    </row>
    <row r="454" spans="2:38" x14ac:dyDescent="0.2">
      <c r="B454" s="16">
        <f>_xlfn.ISOWEEKNUM(TableWeeklySummary[[#This Row],[Hasta]])</f>
        <v>26</v>
      </c>
      <c r="C454" s="6">
        <f t="shared" si="9"/>
        <v>47655</v>
      </c>
      <c r="D454" s="6">
        <f>TableWeeklySummary[[#This Row],[Desde]]+7-1</f>
        <v>47661</v>
      </c>
      <c r="E454" s="11">
        <f>SUMIFS(TableDailySummary[Ventas netas totales],TableDailySummary[Fecha],"&gt;="&amp;TableWeeklySummary[[#This Row],[Desde]],TableDailySummary[Fecha],"&lt;="&amp;TableWeeklySummary[[#This Row],[Hasta]])</f>
        <v>0</v>
      </c>
      <c r="F454" s="11">
        <f>SUMIFS(TableDailySummary[Órdenes totales],TableDailySummary[Fecha],"&gt;="&amp;TableWeeklySummary[[#This Row],[Desde]],TableDailySummary[Fecha],"&lt;="&amp;TableWeeklySummary[[#This Row],[Hasta]])</f>
        <v>0</v>
      </c>
      <c r="G454" s="11">
        <f>IFERROR(TableWeeklySummary[[#This Row],[Ventas netas totales]]/TableWeeklySummary[[#This Row],[Órdenes totales]],0)</f>
        <v>0</v>
      </c>
      <c r="H45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4" s="11">
        <f>TableWeeklySummary[[#This Row],[Órden promedio totales]]*TableWeeklySummary[[#This Row],[CR totales]]</f>
        <v>0</v>
      </c>
      <c r="J454" s="11">
        <f>SUMIFS(TableDailySummary[Ventas primer cliente],TableDailySummary[Fecha],"&gt;="&amp;TableWeeklySummary[[#This Row],[Desde]],TableDailySummary[Fecha],"&lt;="&amp;TableWeeklySummary[[#This Row],[Hasta]])</f>
        <v>0</v>
      </c>
      <c r="K454" s="11">
        <f>SUMIFS(TableDailySummary[Órdenes primer cliente],TableDailySummary[Fecha],"&gt;="&amp;TableWeeklySummary[[#This Row],[Desde]],TableDailySummary[Fecha],"&lt;="&amp;TableWeeklySummary[[#This Row],[Hasta]])</f>
        <v>0</v>
      </c>
      <c r="L454" s="11">
        <f>SUMIFS(TableDailySummary[Online Store_net_sales],TableDailySummary[Fecha],"&gt;="&amp;TableWeeklySummary[[#This Row],[Desde]],TableDailySummary[Fecha],"&lt;="&amp;TableWeeklySummary[[#This Row],[Hasta]])</f>
        <v>0</v>
      </c>
      <c r="M454" s="11">
        <f>SUMIFS(TableDailySummary[Online Store_orders],TableDailySummary[Fecha],"&gt;="&amp;TableWeeklySummary[[#This Row],[Desde]],TableDailySummary[Fecha],"&lt;="&amp;TableWeeklySummary[[#This Row],[Hasta]])</f>
        <v>0</v>
      </c>
      <c r="N454" s="11">
        <f>SUMIFS(TableDailySummary[Tienda 81_net_sales],TableDailySummary[Fecha],"&gt;="&amp;TableWeeklySummary[[#This Row],[Desde]],TableDailySummary[Fecha],"&lt;="&amp;TableWeeklySummary[[#This Row],[Hasta]])</f>
        <v>0</v>
      </c>
      <c r="O454" s="11">
        <f>SUMIFS(TableDailySummary[Tienda 81_orders],TableDailySummary[Fecha],"&gt;="&amp;TableWeeklySummary[[#This Row],[Desde]],TableDailySummary[Fecha],"&lt;="&amp;TableWeeklySummary[[#This Row],[Hasta]])</f>
        <v>0</v>
      </c>
      <c r="P454" s="11">
        <f>SUMIFS(TableDailySummary[Rappi_net_sales],TableDailySummary[Fecha],"&gt;="&amp;TableWeeklySummary[[#This Row],[Desde]],TableDailySummary[Fecha],"&lt;="&amp;TableWeeklySummary[[#This Row],[Hasta]])</f>
        <v>0</v>
      </c>
      <c r="Q454" s="11">
        <f>SUMIFS(TableDailySummary[Rappi_orders],TableDailySummary[Fecha],"&gt;="&amp;TableWeeklySummary[[#This Row],[Desde]],TableDailySummary[Fecha],"&lt;="&amp;TableWeeklySummary[[#This Row],[Hasta]])</f>
        <v>0</v>
      </c>
      <c r="R45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4" s="11">
        <f>SUMIFS(TableDailySummary[Corporativo no tienda_orders],TableDailySummary[Fecha],"&gt;="&amp;TableWeeklySummary[[#This Row],[Desde]],TableDailySummary[Fecha],"&lt;="&amp;TableWeeklySummary[[#This Row],[Hasta]])</f>
        <v>0</v>
      </c>
      <c r="T454" s="11">
        <f>SUMIFS(TableDailySummary[Inversión google ads],TableDailySummary[Fecha],"&gt;="&amp;TableWeeklySummary[[#This Row],[Desde]],TableDailySummary[Fecha],"&lt;="&amp;TableWeeklySummary[[#This Row],[Hasta]])</f>
        <v>0</v>
      </c>
      <c r="U454" s="11">
        <f>SUMIFS(TableDailySummary[Ventas google ads],TableDailySummary[Fecha],"&gt;="&amp;TableWeeklySummary[[#This Row],[Desde]],TableDailySummary[Fecha],"&lt;="&amp;TableWeeklySummary[[#This Row],[Hasta]])</f>
        <v>0</v>
      </c>
      <c r="V454" s="11">
        <f>SUMIFS(TableDailySummary[Inversión meta ads],TableDailySummary[Fecha],"&gt;="&amp;TableWeeklySummary[[#This Row],[Desde]],TableDailySummary[Fecha],"&lt;="&amp;TableWeeklySummary[[#This Row],[Hasta]])</f>
        <v>0</v>
      </c>
      <c r="W454" s="11">
        <f>SUMIFS(TableDailySummary[Ventas meta ads],TableDailySummary[Fecha],"&gt;="&amp;TableWeeklySummary[[#This Row],[Desde]],TableDailySummary[Fecha],"&lt;="&amp;TableWeeklySummary[[#This Row],[Hasta]])</f>
        <v>0</v>
      </c>
      <c r="X454" s="11">
        <f>TableWeeklySummary[[#This Row],[Inversión google ads]]+TableWeeklySummary[[#This Row],[Inversión meta ads]]</f>
        <v>0</v>
      </c>
      <c r="Y454" s="11">
        <f>TableWeeklySummary[[#This Row],[Ventas google ads]]+TableWeeklySummary[[#This Row],[Ventas meta ads]]</f>
        <v>0</v>
      </c>
      <c r="Z454" s="14">
        <f>IFERROR(TableWeeklySummary[[#This Row],[Ventas publicidad]]/TableWeeklySummary[[#This Row],[Inversión publicidad]],0)</f>
        <v>0</v>
      </c>
      <c r="AA454" s="14">
        <f>IFERROR(TableWeeklySummary[[#This Row],[Ventas primer cliente]]/TableWeeklySummary[[#This Row],[Inversión publicidad]],0)</f>
        <v>0</v>
      </c>
      <c r="AB454" s="14"/>
      <c r="AC454" s="11"/>
      <c r="AI45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4" s="11">
        <f>SUMIFS(TableDailySummary[Costo de ventas registrado],TableDailySummary[Fecha],"&gt;="&amp;TableWeeklySummary[[#This Row],[Desde]],TableDailySummary[Fecha],"&lt;="&amp;TableWeeklySummary[[#This Row],[Hasta]])</f>
        <v>0</v>
      </c>
      <c r="AK454" s="11">
        <f>SUMIFS(TableDailySummary[Utilidad bruta],TableDailySummary[Fecha],"&gt;="&amp;TableWeeklySummary[[#This Row],[Desde]],TableDailySummary[Fecha],"&lt;="&amp;TableWeeklySummary[[#This Row],[Hasta]])</f>
        <v>0</v>
      </c>
      <c r="AL454" s="18">
        <f>IFERROR(TableWeeklySummary[[#This Row],[Utilidad bruta]]/TableWeeklySummary[[#This Row],[Ventas netas con costo registrado]],0)</f>
        <v>0</v>
      </c>
    </row>
    <row r="455" spans="2:38" x14ac:dyDescent="0.2">
      <c r="B455" s="16">
        <f>_xlfn.ISOWEEKNUM(TableWeeklySummary[[#This Row],[Hasta]])</f>
        <v>27</v>
      </c>
      <c r="C455" s="6">
        <f t="shared" si="9"/>
        <v>47662</v>
      </c>
      <c r="D455" s="6">
        <f>TableWeeklySummary[[#This Row],[Desde]]+7-1</f>
        <v>47668</v>
      </c>
      <c r="E455" s="11">
        <f>SUMIFS(TableDailySummary[Ventas netas totales],TableDailySummary[Fecha],"&gt;="&amp;TableWeeklySummary[[#This Row],[Desde]],TableDailySummary[Fecha],"&lt;="&amp;TableWeeklySummary[[#This Row],[Hasta]])</f>
        <v>0</v>
      </c>
      <c r="F455" s="11">
        <f>SUMIFS(TableDailySummary[Órdenes totales],TableDailySummary[Fecha],"&gt;="&amp;TableWeeklySummary[[#This Row],[Desde]],TableDailySummary[Fecha],"&lt;="&amp;TableWeeklySummary[[#This Row],[Hasta]])</f>
        <v>0</v>
      </c>
      <c r="G455" s="11">
        <f>IFERROR(TableWeeklySummary[[#This Row],[Ventas netas totales]]/TableWeeklySummary[[#This Row],[Órdenes totales]],0)</f>
        <v>0</v>
      </c>
      <c r="H45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5" s="11">
        <f>TableWeeklySummary[[#This Row],[Órden promedio totales]]*TableWeeklySummary[[#This Row],[CR totales]]</f>
        <v>0</v>
      </c>
      <c r="J455" s="11">
        <f>SUMIFS(TableDailySummary[Ventas primer cliente],TableDailySummary[Fecha],"&gt;="&amp;TableWeeklySummary[[#This Row],[Desde]],TableDailySummary[Fecha],"&lt;="&amp;TableWeeklySummary[[#This Row],[Hasta]])</f>
        <v>0</v>
      </c>
      <c r="K455" s="11">
        <f>SUMIFS(TableDailySummary[Órdenes primer cliente],TableDailySummary[Fecha],"&gt;="&amp;TableWeeklySummary[[#This Row],[Desde]],TableDailySummary[Fecha],"&lt;="&amp;TableWeeklySummary[[#This Row],[Hasta]])</f>
        <v>0</v>
      </c>
      <c r="L455" s="11">
        <f>SUMIFS(TableDailySummary[Online Store_net_sales],TableDailySummary[Fecha],"&gt;="&amp;TableWeeklySummary[[#This Row],[Desde]],TableDailySummary[Fecha],"&lt;="&amp;TableWeeklySummary[[#This Row],[Hasta]])</f>
        <v>0</v>
      </c>
      <c r="M455" s="11">
        <f>SUMIFS(TableDailySummary[Online Store_orders],TableDailySummary[Fecha],"&gt;="&amp;TableWeeklySummary[[#This Row],[Desde]],TableDailySummary[Fecha],"&lt;="&amp;TableWeeklySummary[[#This Row],[Hasta]])</f>
        <v>0</v>
      </c>
      <c r="N455" s="11">
        <f>SUMIFS(TableDailySummary[Tienda 81_net_sales],TableDailySummary[Fecha],"&gt;="&amp;TableWeeklySummary[[#This Row],[Desde]],TableDailySummary[Fecha],"&lt;="&amp;TableWeeklySummary[[#This Row],[Hasta]])</f>
        <v>0</v>
      </c>
      <c r="O455" s="11">
        <f>SUMIFS(TableDailySummary[Tienda 81_orders],TableDailySummary[Fecha],"&gt;="&amp;TableWeeklySummary[[#This Row],[Desde]],TableDailySummary[Fecha],"&lt;="&amp;TableWeeklySummary[[#This Row],[Hasta]])</f>
        <v>0</v>
      </c>
      <c r="P455" s="11">
        <f>SUMIFS(TableDailySummary[Rappi_net_sales],TableDailySummary[Fecha],"&gt;="&amp;TableWeeklySummary[[#This Row],[Desde]],TableDailySummary[Fecha],"&lt;="&amp;TableWeeklySummary[[#This Row],[Hasta]])</f>
        <v>0</v>
      </c>
      <c r="Q455" s="11">
        <f>SUMIFS(TableDailySummary[Rappi_orders],TableDailySummary[Fecha],"&gt;="&amp;TableWeeklySummary[[#This Row],[Desde]],TableDailySummary[Fecha],"&lt;="&amp;TableWeeklySummary[[#This Row],[Hasta]])</f>
        <v>0</v>
      </c>
      <c r="R45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5" s="11">
        <f>SUMIFS(TableDailySummary[Corporativo no tienda_orders],TableDailySummary[Fecha],"&gt;="&amp;TableWeeklySummary[[#This Row],[Desde]],TableDailySummary[Fecha],"&lt;="&amp;TableWeeklySummary[[#This Row],[Hasta]])</f>
        <v>0</v>
      </c>
      <c r="T455" s="11">
        <f>SUMIFS(TableDailySummary[Inversión google ads],TableDailySummary[Fecha],"&gt;="&amp;TableWeeklySummary[[#This Row],[Desde]],TableDailySummary[Fecha],"&lt;="&amp;TableWeeklySummary[[#This Row],[Hasta]])</f>
        <v>0</v>
      </c>
      <c r="U455" s="11">
        <f>SUMIFS(TableDailySummary[Ventas google ads],TableDailySummary[Fecha],"&gt;="&amp;TableWeeklySummary[[#This Row],[Desde]],TableDailySummary[Fecha],"&lt;="&amp;TableWeeklySummary[[#This Row],[Hasta]])</f>
        <v>0</v>
      </c>
      <c r="V455" s="11">
        <f>SUMIFS(TableDailySummary[Inversión meta ads],TableDailySummary[Fecha],"&gt;="&amp;TableWeeklySummary[[#This Row],[Desde]],TableDailySummary[Fecha],"&lt;="&amp;TableWeeklySummary[[#This Row],[Hasta]])</f>
        <v>0</v>
      </c>
      <c r="W455" s="11">
        <f>SUMIFS(TableDailySummary[Ventas meta ads],TableDailySummary[Fecha],"&gt;="&amp;TableWeeklySummary[[#This Row],[Desde]],TableDailySummary[Fecha],"&lt;="&amp;TableWeeklySummary[[#This Row],[Hasta]])</f>
        <v>0</v>
      </c>
      <c r="X455" s="11">
        <f>TableWeeklySummary[[#This Row],[Inversión google ads]]+TableWeeklySummary[[#This Row],[Inversión meta ads]]</f>
        <v>0</v>
      </c>
      <c r="Y455" s="11">
        <f>TableWeeklySummary[[#This Row],[Ventas google ads]]+TableWeeklySummary[[#This Row],[Ventas meta ads]]</f>
        <v>0</v>
      </c>
      <c r="Z455" s="14">
        <f>IFERROR(TableWeeklySummary[[#This Row],[Ventas publicidad]]/TableWeeklySummary[[#This Row],[Inversión publicidad]],0)</f>
        <v>0</v>
      </c>
      <c r="AA455" s="14">
        <f>IFERROR(TableWeeklySummary[[#This Row],[Ventas primer cliente]]/TableWeeklySummary[[#This Row],[Inversión publicidad]],0)</f>
        <v>0</v>
      </c>
      <c r="AB455" s="14"/>
      <c r="AC455" s="11"/>
      <c r="AI45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5" s="11">
        <f>SUMIFS(TableDailySummary[Costo de ventas registrado],TableDailySummary[Fecha],"&gt;="&amp;TableWeeklySummary[[#This Row],[Desde]],TableDailySummary[Fecha],"&lt;="&amp;TableWeeklySummary[[#This Row],[Hasta]])</f>
        <v>0</v>
      </c>
      <c r="AK455" s="11">
        <f>SUMIFS(TableDailySummary[Utilidad bruta],TableDailySummary[Fecha],"&gt;="&amp;TableWeeklySummary[[#This Row],[Desde]],TableDailySummary[Fecha],"&lt;="&amp;TableWeeklySummary[[#This Row],[Hasta]])</f>
        <v>0</v>
      </c>
      <c r="AL455" s="18">
        <f>IFERROR(TableWeeklySummary[[#This Row],[Utilidad bruta]]/TableWeeklySummary[[#This Row],[Ventas netas con costo registrado]],0)</f>
        <v>0</v>
      </c>
    </row>
    <row r="456" spans="2:38" x14ac:dyDescent="0.2">
      <c r="B456" s="16">
        <f>_xlfn.ISOWEEKNUM(TableWeeklySummary[[#This Row],[Hasta]])</f>
        <v>28</v>
      </c>
      <c r="C456" s="6">
        <f t="shared" si="9"/>
        <v>47669</v>
      </c>
      <c r="D456" s="6">
        <f>TableWeeklySummary[[#This Row],[Desde]]+7-1</f>
        <v>47675</v>
      </c>
      <c r="E456" s="11">
        <f>SUMIFS(TableDailySummary[Ventas netas totales],TableDailySummary[Fecha],"&gt;="&amp;TableWeeklySummary[[#This Row],[Desde]],TableDailySummary[Fecha],"&lt;="&amp;TableWeeklySummary[[#This Row],[Hasta]])</f>
        <v>0</v>
      </c>
      <c r="F456" s="11">
        <f>SUMIFS(TableDailySummary[Órdenes totales],TableDailySummary[Fecha],"&gt;="&amp;TableWeeklySummary[[#This Row],[Desde]],TableDailySummary[Fecha],"&lt;="&amp;TableWeeklySummary[[#This Row],[Hasta]])</f>
        <v>0</v>
      </c>
      <c r="G456" s="11">
        <f>IFERROR(TableWeeklySummary[[#This Row],[Ventas netas totales]]/TableWeeklySummary[[#This Row],[Órdenes totales]],0)</f>
        <v>0</v>
      </c>
      <c r="H45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6" s="11">
        <f>TableWeeklySummary[[#This Row],[Órden promedio totales]]*TableWeeklySummary[[#This Row],[CR totales]]</f>
        <v>0</v>
      </c>
      <c r="J456" s="11">
        <f>SUMIFS(TableDailySummary[Ventas primer cliente],TableDailySummary[Fecha],"&gt;="&amp;TableWeeklySummary[[#This Row],[Desde]],TableDailySummary[Fecha],"&lt;="&amp;TableWeeklySummary[[#This Row],[Hasta]])</f>
        <v>0</v>
      </c>
      <c r="K456" s="11">
        <f>SUMIFS(TableDailySummary[Órdenes primer cliente],TableDailySummary[Fecha],"&gt;="&amp;TableWeeklySummary[[#This Row],[Desde]],TableDailySummary[Fecha],"&lt;="&amp;TableWeeklySummary[[#This Row],[Hasta]])</f>
        <v>0</v>
      </c>
      <c r="L456" s="11">
        <f>SUMIFS(TableDailySummary[Online Store_net_sales],TableDailySummary[Fecha],"&gt;="&amp;TableWeeklySummary[[#This Row],[Desde]],TableDailySummary[Fecha],"&lt;="&amp;TableWeeklySummary[[#This Row],[Hasta]])</f>
        <v>0</v>
      </c>
      <c r="M456" s="11">
        <f>SUMIFS(TableDailySummary[Online Store_orders],TableDailySummary[Fecha],"&gt;="&amp;TableWeeklySummary[[#This Row],[Desde]],TableDailySummary[Fecha],"&lt;="&amp;TableWeeklySummary[[#This Row],[Hasta]])</f>
        <v>0</v>
      </c>
      <c r="N456" s="11">
        <f>SUMIFS(TableDailySummary[Tienda 81_net_sales],TableDailySummary[Fecha],"&gt;="&amp;TableWeeklySummary[[#This Row],[Desde]],TableDailySummary[Fecha],"&lt;="&amp;TableWeeklySummary[[#This Row],[Hasta]])</f>
        <v>0</v>
      </c>
      <c r="O456" s="11">
        <f>SUMIFS(TableDailySummary[Tienda 81_orders],TableDailySummary[Fecha],"&gt;="&amp;TableWeeklySummary[[#This Row],[Desde]],TableDailySummary[Fecha],"&lt;="&amp;TableWeeklySummary[[#This Row],[Hasta]])</f>
        <v>0</v>
      </c>
      <c r="P456" s="11">
        <f>SUMIFS(TableDailySummary[Rappi_net_sales],TableDailySummary[Fecha],"&gt;="&amp;TableWeeklySummary[[#This Row],[Desde]],TableDailySummary[Fecha],"&lt;="&amp;TableWeeklySummary[[#This Row],[Hasta]])</f>
        <v>0</v>
      </c>
      <c r="Q456" s="11">
        <f>SUMIFS(TableDailySummary[Rappi_orders],TableDailySummary[Fecha],"&gt;="&amp;TableWeeklySummary[[#This Row],[Desde]],TableDailySummary[Fecha],"&lt;="&amp;TableWeeklySummary[[#This Row],[Hasta]])</f>
        <v>0</v>
      </c>
      <c r="R45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6" s="11">
        <f>SUMIFS(TableDailySummary[Corporativo no tienda_orders],TableDailySummary[Fecha],"&gt;="&amp;TableWeeklySummary[[#This Row],[Desde]],TableDailySummary[Fecha],"&lt;="&amp;TableWeeklySummary[[#This Row],[Hasta]])</f>
        <v>0</v>
      </c>
      <c r="T456" s="11">
        <f>SUMIFS(TableDailySummary[Inversión google ads],TableDailySummary[Fecha],"&gt;="&amp;TableWeeklySummary[[#This Row],[Desde]],TableDailySummary[Fecha],"&lt;="&amp;TableWeeklySummary[[#This Row],[Hasta]])</f>
        <v>0</v>
      </c>
      <c r="U456" s="11">
        <f>SUMIFS(TableDailySummary[Ventas google ads],TableDailySummary[Fecha],"&gt;="&amp;TableWeeklySummary[[#This Row],[Desde]],TableDailySummary[Fecha],"&lt;="&amp;TableWeeklySummary[[#This Row],[Hasta]])</f>
        <v>0</v>
      </c>
      <c r="V456" s="11">
        <f>SUMIFS(TableDailySummary[Inversión meta ads],TableDailySummary[Fecha],"&gt;="&amp;TableWeeklySummary[[#This Row],[Desde]],TableDailySummary[Fecha],"&lt;="&amp;TableWeeklySummary[[#This Row],[Hasta]])</f>
        <v>0</v>
      </c>
      <c r="W456" s="11">
        <f>SUMIFS(TableDailySummary[Ventas meta ads],TableDailySummary[Fecha],"&gt;="&amp;TableWeeklySummary[[#This Row],[Desde]],TableDailySummary[Fecha],"&lt;="&amp;TableWeeklySummary[[#This Row],[Hasta]])</f>
        <v>0</v>
      </c>
      <c r="X456" s="11">
        <f>TableWeeklySummary[[#This Row],[Inversión google ads]]+TableWeeklySummary[[#This Row],[Inversión meta ads]]</f>
        <v>0</v>
      </c>
      <c r="Y456" s="11">
        <f>TableWeeklySummary[[#This Row],[Ventas google ads]]+TableWeeklySummary[[#This Row],[Ventas meta ads]]</f>
        <v>0</v>
      </c>
      <c r="Z456" s="14">
        <f>IFERROR(TableWeeklySummary[[#This Row],[Ventas publicidad]]/TableWeeklySummary[[#This Row],[Inversión publicidad]],0)</f>
        <v>0</v>
      </c>
      <c r="AA456" s="14">
        <f>IFERROR(TableWeeklySummary[[#This Row],[Ventas primer cliente]]/TableWeeklySummary[[#This Row],[Inversión publicidad]],0)</f>
        <v>0</v>
      </c>
      <c r="AB456" s="14"/>
      <c r="AC456" s="11"/>
      <c r="AI45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6" s="11">
        <f>SUMIFS(TableDailySummary[Costo de ventas registrado],TableDailySummary[Fecha],"&gt;="&amp;TableWeeklySummary[[#This Row],[Desde]],TableDailySummary[Fecha],"&lt;="&amp;TableWeeklySummary[[#This Row],[Hasta]])</f>
        <v>0</v>
      </c>
      <c r="AK456" s="11">
        <f>SUMIFS(TableDailySummary[Utilidad bruta],TableDailySummary[Fecha],"&gt;="&amp;TableWeeklySummary[[#This Row],[Desde]],TableDailySummary[Fecha],"&lt;="&amp;TableWeeklySummary[[#This Row],[Hasta]])</f>
        <v>0</v>
      </c>
      <c r="AL456" s="18">
        <f>IFERROR(TableWeeklySummary[[#This Row],[Utilidad bruta]]/TableWeeklySummary[[#This Row],[Ventas netas con costo registrado]],0)</f>
        <v>0</v>
      </c>
    </row>
    <row r="457" spans="2:38" x14ac:dyDescent="0.2">
      <c r="B457" s="16">
        <f>_xlfn.ISOWEEKNUM(TableWeeklySummary[[#This Row],[Hasta]])</f>
        <v>29</v>
      </c>
      <c r="C457" s="6">
        <f t="shared" si="9"/>
        <v>47676</v>
      </c>
      <c r="D457" s="6">
        <f>TableWeeklySummary[[#This Row],[Desde]]+7-1</f>
        <v>47682</v>
      </c>
      <c r="E457" s="11">
        <f>SUMIFS(TableDailySummary[Ventas netas totales],TableDailySummary[Fecha],"&gt;="&amp;TableWeeklySummary[[#This Row],[Desde]],TableDailySummary[Fecha],"&lt;="&amp;TableWeeklySummary[[#This Row],[Hasta]])</f>
        <v>0</v>
      </c>
      <c r="F457" s="11">
        <f>SUMIFS(TableDailySummary[Órdenes totales],TableDailySummary[Fecha],"&gt;="&amp;TableWeeklySummary[[#This Row],[Desde]],TableDailySummary[Fecha],"&lt;="&amp;TableWeeklySummary[[#This Row],[Hasta]])</f>
        <v>0</v>
      </c>
      <c r="G457" s="11">
        <f>IFERROR(TableWeeklySummary[[#This Row],[Ventas netas totales]]/TableWeeklySummary[[#This Row],[Órdenes totales]],0)</f>
        <v>0</v>
      </c>
      <c r="H45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7" s="11">
        <f>TableWeeklySummary[[#This Row],[Órden promedio totales]]*TableWeeklySummary[[#This Row],[CR totales]]</f>
        <v>0</v>
      </c>
      <c r="J457" s="11">
        <f>SUMIFS(TableDailySummary[Ventas primer cliente],TableDailySummary[Fecha],"&gt;="&amp;TableWeeklySummary[[#This Row],[Desde]],TableDailySummary[Fecha],"&lt;="&amp;TableWeeklySummary[[#This Row],[Hasta]])</f>
        <v>0</v>
      </c>
      <c r="K457" s="11">
        <f>SUMIFS(TableDailySummary[Órdenes primer cliente],TableDailySummary[Fecha],"&gt;="&amp;TableWeeklySummary[[#This Row],[Desde]],TableDailySummary[Fecha],"&lt;="&amp;TableWeeklySummary[[#This Row],[Hasta]])</f>
        <v>0</v>
      </c>
      <c r="L457" s="11">
        <f>SUMIFS(TableDailySummary[Online Store_net_sales],TableDailySummary[Fecha],"&gt;="&amp;TableWeeklySummary[[#This Row],[Desde]],TableDailySummary[Fecha],"&lt;="&amp;TableWeeklySummary[[#This Row],[Hasta]])</f>
        <v>0</v>
      </c>
      <c r="M457" s="11">
        <f>SUMIFS(TableDailySummary[Online Store_orders],TableDailySummary[Fecha],"&gt;="&amp;TableWeeklySummary[[#This Row],[Desde]],TableDailySummary[Fecha],"&lt;="&amp;TableWeeklySummary[[#This Row],[Hasta]])</f>
        <v>0</v>
      </c>
      <c r="N457" s="11">
        <f>SUMIFS(TableDailySummary[Tienda 81_net_sales],TableDailySummary[Fecha],"&gt;="&amp;TableWeeklySummary[[#This Row],[Desde]],TableDailySummary[Fecha],"&lt;="&amp;TableWeeklySummary[[#This Row],[Hasta]])</f>
        <v>0</v>
      </c>
      <c r="O457" s="11">
        <f>SUMIFS(TableDailySummary[Tienda 81_orders],TableDailySummary[Fecha],"&gt;="&amp;TableWeeklySummary[[#This Row],[Desde]],TableDailySummary[Fecha],"&lt;="&amp;TableWeeklySummary[[#This Row],[Hasta]])</f>
        <v>0</v>
      </c>
      <c r="P457" s="11">
        <f>SUMIFS(TableDailySummary[Rappi_net_sales],TableDailySummary[Fecha],"&gt;="&amp;TableWeeklySummary[[#This Row],[Desde]],TableDailySummary[Fecha],"&lt;="&amp;TableWeeklySummary[[#This Row],[Hasta]])</f>
        <v>0</v>
      </c>
      <c r="Q457" s="11">
        <f>SUMIFS(TableDailySummary[Rappi_orders],TableDailySummary[Fecha],"&gt;="&amp;TableWeeklySummary[[#This Row],[Desde]],TableDailySummary[Fecha],"&lt;="&amp;TableWeeklySummary[[#This Row],[Hasta]])</f>
        <v>0</v>
      </c>
      <c r="R45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7" s="11">
        <f>SUMIFS(TableDailySummary[Corporativo no tienda_orders],TableDailySummary[Fecha],"&gt;="&amp;TableWeeklySummary[[#This Row],[Desde]],TableDailySummary[Fecha],"&lt;="&amp;TableWeeklySummary[[#This Row],[Hasta]])</f>
        <v>0</v>
      </c>
      <c r="T457" s="11">
        <f>SUMIFS(TableDailySummary[Inversión google ads],TableDailySummary[Fecha],"&gt;="&amp;TableWeeklySummary[[#This Row],[Desde]],TableDailySummary[Fecha],"&lt;="&amp;TableWeeklySummary[[#This Row],[Hasta]])</f>
        <v>0</v>
      </c>
      <c r="U457" s="11">
        <f>SUMIFS(TableDailySummary[Ventas google ads],TableDailySummary[Fecha],"&gt;="&amp;TableWeeklySummary[[#This Row],[Desde]],TableDailySummary[Fecha],"&lt;="&amp;TableWeeklySummary[[#This Row],[Hasta]])</f>
        <v>0</v>
      </c>
      <c r="V457" s="11">
        <f>SUMIFS(TableDailySummary[Inversión meta ads],TableDailySummary[Fecha],"&gt;="&amp;TableWeeklySummary[[#This Row],[Desde]],TableDailySummary[Fecha],"&lt;="&amp;TableWeeklySummary[[#This Row],[Hasta]])</f>
        <v>0</v>
      </c>
      <c r="W457" s="11">
        <f>SUMIFS(TableDailySummary[Ventas meta ads],TableDailySummary[Fecha],"&gt;="&amp;TableWeeklySummary[[#This Row],[Desde]],TableDailySummary[Fecha],"&lt;="&amp;TableWeeklySummary[[#This Row],[Hasta]])</f>
        <v>0</v>
      </c>
      <c r="X457" s="11">
        <f>TableWeeklySummary[[#This Row],[Inversión google ads]]+TableWeeklySummary[[#This Row],[Inversión meta ads]]</f>
        <v>0</v>
      </c>
      <c r="Y457" s="11">
        <f>TableWeeklySummary[[#This Row],[Ventas google ads]]+TableWeeklySummary[[#This Row],[Ventas meta ads]]</f>
        <v>0</v>
      </c>
      <c r="Z457" s="14">
        <f>IFERROR(TableWeeklySummary[[#This Row],[Ventas publicidad]]/TableWeeklySummary[[#This Row],[Inversión publicidad]],0)</f>
        <v>0</v>
      </c>
      <c r="AA457" s="14">
        <f>IFERROR(TableWeeklySummary[[#This Row],[Ventas primer cliente]]/TableWeeklySummary[[#This Row],[Inversión publicidad]],0)</f>
        <v>0</v>
      </c>
      <c r="AB457" s="14"/>
      <c r="AC457" s="11"/>
      <c r="AI45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7" s="11">
        <f>SUMIFS(TableDailySummary[Costo de ventas registrado],TableDailySummary[Fecha],"&gt;="&amp;TableWeeklySummary[[#This Row],[Desde]],TableDailySummary[Fecha],"&lt;="&amp;TableWeeklySummary[[#This Row],[Hasta]])</f>
        <v>0</v>
      </c>
      <c r="AK457" s="11">
        <f>SUMIFS(TableDailySummary[Utilidad bruta],TableDailySummary[Fecha],"&gt;="&amp;TableWeeklySummary[[#This Row],[Desde]],TableDailySummary[Fecha],"&lt;="&amp;TableWeeklySummary[[#This Row],[Hasta]])</f>
        <v>0</v>
      </c>
      <c r="AL457" s="18">
        <f>IFERROR(TableWeeklySummary[[#This Row],[Utilidad bruta]]/TableWeeklySummary[[#This Row],[Ventas netas con costo registrado]],0)</f>
        <v>0</v>
      </c>
    </row>
    <row r="458" spans="2:38" x14ac:dyDescent="0.2">
      <c r="B458" s="16">
        <f>_xlfn.ISOWEEKNUM(TableWeeklySummary[[#This Row],[Hasta]])</f>
        <v>30</v>
      </c>
      <c r="C458" s="6">
        <f t="shared" si="9"/>
        <v>47683</v>
      </c>
      <c r="D458" s="6">
        <f>TableWeeklySummary[[#This Row],[Desde]]+7-1</f>
        <v>47689</v>
      </c>
      <c r="E458" s="11">
        <f>SUMIFS(TableDailySummary[Ventas netas totales],TableDailySummary[Fecha],"&gt;="&amp;TableWeeklySummary[[#This Row],[Desde]],TableDailySummary[Fecha],"&lt;="&amp;TableWeeklySummary[[#This Row],[Hasta]])</f>
        <v>0</v>
      </c>
      <c r="F458" s="11">
        <f>SUMIFS(TableDailySummary[Órdenes totales],TableDailySummary[Fecha],"&gt;="&amp;TableWeeklySummary[[#This Row],[Desde]],TableDailySummary[Fecha],"&lt;="&amp;TableWeeklySummary[[#This Row],[Hasta]])</f>
        <v>0</v>
      </c>
      <c r="G458" s="11">
        <f>IFERROR(TableWeeklySummary[[#This Row],[Ventas netas totales]]/TableWeeklySummary[[#This Row],[Órdenes totales]],0)</f>
        <v>0</v>
      </c>
      <c r="H45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8" s="11">
        <f>TableWeeklySummary[[#This Row],[Órden promedio totales]]*TableWeeklySummary[[#This Row],[CR totales]]</f>
        <v>0</v>
      </c>
      <c r="J458" s="11">
        <f>SUMIFS(TableDailySummary[Ventas primer cliente],TableDailySummary[Fecha],"&gt;="&amp;TableWeeklySummary[[#This Row],[Desde]],TableDailySummary[Fecha],"&lt;="&amp;TableWeeklySummary[[#This Row],[Hasta]])</f>
        <v>0</v>
      </c>
      <c r="K458" s="11">
        <f>SUMIFS(TableDailySummary[Órdenes primer cliente],TableDailySummary[Fecha],"&gt;="&amp;TableWeeklySummary[[#This Row],[Desde]],TableDailySummary[Fecha],"&lt;="&amp;TableWeeklySummary[[#This Row],[Hasta]])</f>
        <v>0</v>
      </c>
      <c r="L458" s="11">
        <f>SUMIFS(TableDailySummary[Online Store_net_sales],TableDailySummary[Fecha],"&gt;="&amp;TableWeeklySummary[[#This Row],[Desde]],TableDailySummary[Fecha],"&lt;="&amp;TableWeeklySummary[[#This Row],[Hasta]])</f>
        <v>0</v>
      </c>
      <c r="M458" s="11">
        <f>SUMIFS(TableDailySummary[Online Store_orders],TableDailySummary[Fecha],"&gt;="&amp;TableWeeklySummary[[#This Row],[Desde]],TableDailySummary[Fecha],"&lt;="&amp;TableWeeklySummary[[#This Row],[Hasta]])</f>
        <v>0</v>
      </c>
      <c r="N458" s="11">
        <f>SUMIFS(TableDailySummary[Tienda 81_net_sales],TableDailySummary[Fecha],"&gt;="&amp;TableWeeklySummary[[#This Row],[Desde]],TableDailySummary[Fecha],"&lt;="&amp;TableWeeklySummary[[#This Row],[Hasta]])</f>
        <v>0</v>
      </c>
      <c r="O458" s="11">
        <f>SUMIFS(TableDailySummary[Tienda 81_orders],TableDailySummary[Fecha],"&gt;="&amp;TableWeeklySummary[[#This Row],[Desde]],TableDailySummary[Fecha],"&lt;="&amp;TableWeeklySummary[[#This Row],[Hasta]])</f>
        <v>0</v>
      </c>
      <c r="P458" s="11">
        <f>SUMIFS(TableDailySummary[Rappi_net_sales],TableDailySummary[Fecha],"&gt;="&amp;TableWeeklySummary[[#This Row],[Desde]],TableDailySummary[Fecha],"&lt;="&amp;TableWeeklySummary[[#This Row],[Hasta]])</f>
        <v>0</v>
      </c>
      <c r="Q458" s="11">
        <f>SUMIFS(TableDailySummary[Rappi_orders],TableDailySummary[Fecha],"&gt;="&amp;TableWeeklySummary[[#This Row],[Desde]],TableDailySummary[Fecha],"&lt;="&amp;TableWeeklySummary[[#This Row],[Hasta]])</f>
        <v>0</v>
      </c>
      <c r="R45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8" s="11">
        <f>SUMIFS(TableDailySummary[Corporativo no tienda_orders],TableDailySummary[Fecha],"&gt;="&amp;TableWeeklySummary[[#This Row],[Desde]],TableDailySummary[Fecha],"&lt;="&amp;TableWeeklySummary[[#This Row],[Hasta]])</f>
        <v>0</v>
      </c>
      <c r="T458" s="11">
        <f>SUMIFS(TableDailySummary[Inversión google ads],TableDailySummary[Fecha],"&gt;="&amp;TableWeeklySummary[[#This Row],[Desde]],TableDailySummary[Fecha],"&lt;="&amp;TableWeeklySummary[[#This Row],[Hasta]])</f>
        <v>0</v>
      </c>
      <c r="U458" s="11">
        <f>SUMIFS(TableDailySummary[Ventas google ads],TableDailySummary[Fecha],"&gt;="&amp;TableWeeklySummary[[#This Row],[Desde]],TableDailySummary[Fecha],"&lt;="&amp;TableWeeklySummary[[#This Row],[Hasta]])</f>
        <v>0</v>
      </c>
      <c r="V458" s="11">
        <f>SUMIFS(TableDailySummary[Inversión meta ads],TableDailySummary[Fecha],"&gt;="&amp;TableWeeklySummary[[#This Row],[Desde]],TableDailySummary[Fecha],"&lt;="&amp;TableWeeklySummary[[#This Row],[Hasta]])</f>
        <v>0</v>
      </c>
      <c r="W458" s="11">
        <f>SUMIFS(TableDailySummary[Ventas meta ads],TableDailySummary[Fecha],"&gt;="&amp;TableWeeklySummary[[#This Row],[Desde]],TableDailySummary[Fecha],"&lt;="&amp;TableWeeklySummary[[#This Row],[Hasta]])</f>
        <v>0</v>
      </c>
      <c r="X458" s="11">
        <f>TableWeeklySummary[[#This Row],[Inversión google ads]]+TableWeeklySummary[[#This Row],[Inversión meta ads]]</f>
        <v>0</v>
      </c>
      <c r="Y458" s="11">
        <f>TableWeeklySummary[[#This Row],[Ventas google ads]]+TableWeeklySummary[[#This Row],[Ventas meta ads]]</f>
        <v>0</v>
      </c>
      <c r="Z458" s="14">
        <f>IFERROR(TableWeeklySummary[[#This Row],[Ventas publicidad]]/TableWeeklySummary[[#This Row],[Inversión publicidad]],0)</f>
        <v>0</v>
      </c>
      <c r="AA458" s="14">
        <f>IFERROR(TableWeeklySummary[[#This Row],[Ventas primer cliente]]/TableWeeklySummary[[#This Row],[Inversión publicidad]],0)</f>
        <v>0</v>
      </c>
      <c r="AB458" s="14"/>
      <c r="AC458" s="11"/>
      <c r="AI45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8" s="11">
        <f>SUMIFS(TableDailySummary[Costo de ventas registrado],TableDailySummary[Fecha],"&gt;="&amp;TableWeeklySummary[[#This Row],[Desde]],TableDailySummary[Fecha],"&lt;="&amp;TableWeeklySummary[[#This Row],[Hasta]])</f>
        <v>0</v>
      </c>
      <c r="AK458" s="11">
        <f>SUMIFS(TableDailySummary[Utilidad bruta],TableDailySummary[Fecha],"&gt;="&amp;TableWeeklySummary[[#This Row],[Desde]],TableDailySummary[Fecha],"&lt;="&amp;TableWeeklySummary[[#This Row],[Hasta]])</f>
        <v>0</v>
      </c>
      <c r="AL458" s="18">
        <f>IFERROR(TableWeeklySummary[[#This Row],[Utilidad bruta]]/TableWeeklySummary[[#This Row],[Ventas netas con costo registrado]],0)</f>
        <v>0</v>
      </c>
    </row>
    <row r="459" spans="2:38" x14ac:dyDescent="0.2">
      <c r="B459" s="16">
        <f>_xlfn.ISOWEEKNUM(TableWeeklySummary[[#This Row],[Hasta]])</f>
        <v>31</v>
      </c>
      <c r="C459" s="6">
        <f t="shared" si="9"/>
        <v>47690</v>
      </c>
      <c r="D459" s="6">
        <f>TableWeeklySummary[[#This Row],[Desde]]+7-1</f>
        <v>47696</v>
      </c>
      <c r="E459" s="11">
        <f>SUMIFS(TableDailySummary[Ventas netas totales],TableDailySummary[Fecha],"&gt;="&amp;TableWeeklySummary[[#This Row],[Desde]],TableDailySummary[Fecha],"&lt;="&amp;TableWeeklySummary[[#This Row],[Hasta]])</f>
        <v>0</v>
      </c>
      <c r="F459" s="11">
        <f>SUMIFS(TableDailySummary[Órdenes totales],TableDailySummary[Fecha],"&gt;="&amp;TableWeeklySummary[[#This Row],[Desde]],TableDailySummary[Fecha],"&lt;="&amp;TableWeeklySummary[[#This Row],[Hasta]])</f>
        <v>0</v>
      </c>
      <c r="G459" s="11">
        <f>IFERROR(TableWeeklySummary[[#This Row],[Ventas netas totales]]/TableWeeklySummary[[#This Row],[Órdenes totales]],0)</f>
        <v>0</v>
      </c>
      <c r="H45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59" s="11">
        <f>TableWeeklySummary[[#This Row],[Órden promedio totales]]*TableWeeklySummary[[#This Row],[CR totales]]</f>
        <v>0</v>
      </c>
      <c r="J459" s="11">
        <f>SUMIFS(TableDailySummary[Ventas primer cliente],TableDailySummary[Fecha],"&gt;="&amp;TableWeeklySummary[[#This Row],[Desde]],TableDailySummary[Fecha],"&lt;="&amp;TableWeeklySummary[[#This Row],[Hasta]])</f>
        <v>0</v>
      </c>
      <c r="K459" s="11">
        <f>SUMIFS(TableDailySummary[Órdenes primer cliente],TableDailySummary[Fecha],"&gt;="&amp;TableWeeklySummary[[#This Row],[Desde]],TableDailySummary[Fecha],"&lt;="&amp;TableWeeklySummary[[#This Row],[Hasta]])</f>
        <v>0</v>
      </c>
      <c r="L459" s="11">
        <f>SUMIFS(TableDailySummary[Online Store_net_sales],TableDailySummary[Fecha],"&gt;="&amp;TableWeeklySummary[[#This Row],[Desde]],TableDailySummary[Fecha],"&lt;="&amp;TableWeeklySummary[[#This Row],[Hasta]])</f>
        <v>0</v>
      </c>
      <c r="M459" s="11">
        <f>SUMIFS(TableDailySummary[Online Store_orders],TableDailySummary[Fecha],"&gt;="&amp;TableWeeklySummary[[#This Row],[Desde]],TableDailySummary[Fecha],"&lt;="&amp;TableWeeklySummary[[#This Row],[Hasta]])</f>
        <v>0</v>
      </c>
      <c r="N459" s="11">
        <f>SUMIFS(TableDailySummary[Tienda 81_net_sales],TableDailySummary[Fecha],"&gt;="&amp;TableWeeklySummary[[#This Row],[Desde]],TableDailySummary[Fecha],"&lt;="&amp;TableWeeklySummary[[#This Row],[Hasta]])</f>
        <v>0</v>
      </c>
      <c r="O459" s="11">
        <f>SUMIFS(TableDailySummary[Tienda 81_orders],TableDailySummary[Fecha],"&gt;="&amp;TableWeeklySummary[[#This Row],[Desde]],TableDailySummary[Fecha],"&lt;="&amp;TableWeeklySummary[[#This Row],[Hasta]])</f>
        <v>0</v>
      </c>
      <c r="P459" s="11">
        <f>SUMIFS(TableDailySummary[Rappi_net_sales],TableDailySummary[Fecha],"&gt;="&amp;TableWeeklySummary[[#This Row],[Desde]],TableDailySummary[Fecha],"&lt;="&amp;TableWeeklySummary[[#This Row],[Hasta]])</f>
        <v>0</v>
      </c>
      <c r="Q459" s="11">
        <f>SUMIFS(TableDailySummary[Rappi_orders],TableDailySummary[Fecha],"&gt;="&amp;TableWeeklySummary[[#This Row],[Desde]],TableDailySummary[Fecha],"&lt;="&amp;TableWeeklySummary[[#This Row],[Hasta]])</f>
        <v>0</v>
      </c>
      <c r="R45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59" s="11">
        <f>SUMIFS(TableDailySummary[Corporativo no tienda_orders],TableDailySummary[Fecha],"&gt;="&amp;TableWeeklySummary[[#This Row],[Desde]],TableDailySummary[Fecha],"&lt;="&amp;TableWeeklySummary[[#This Row],[Hasta]])</f>
        <v>0</v>
      </c>
      <c r="T459" s="11">
        <f>SUMIFS(TableDailySummary[Inversión google ads],TableDailySummary[Fecha],"&gt;="&amp;TableWeeklySummary[[#This Row],[Desde]],TableDailySummary[Fecha],"&lt;="&amp;TableWeeklySummary[[#This Row],[Hasta]])</f>
        <v>0</v>
      </c>
      <c r="U459" s="11">
        <f>SUMIFS(TableDailySummary[Ventas google ads],TableDailySummary[Fecha],"&gt;="&amp;TableWeeklySummary[[#This Row],[Desde]],TableDailySummary[Fecha],"&lt;="&amp;TableWeeklySummary[[#This Row],[Hasta]])</f>
        <v>0</v>
      </c>
      <c r="V459" s="11">
        <f>SUMIFS(TableDailySummary[Inversión meta ads],TableDailySummary[Fecha],"&gt;="&amp;TableWeeklySummary[[#This Row],[Desde]],TableDailySummary[Fecha],"&lt;="&amp;TableWeeklySummary[[#This Row],[Hasta]])</f>
        <v>0</v>
      </c>
      <c r="W459" s="11">
        <f>SUMIFS(TableDailySummary[Ventas meta ads],TableDailySummary[Fecha],"&gt;="&amp;TableWeeklySummary[[#This Row],[Desde]],TableDailySummary[Fecha],"&lt;="&amp;TableWeeklySummary[[#This Row],[Hasta]])</f>
        <v>0</v>
      </c>
      <c r="X459" s="11">
        <f>TableWeeklySummary[[#This Row],[Inversión google ads]]+TableWeeklySummary[[#This Row],[Inversión meta ads]]</f>
        <v>0</v>
      </c>
      <c r="Y459" s="11">
        <f>TableWeeklySummary[[#This Row],[Ventas google ads]]+TableWeeklySummary[[#This Row],[Ventas meta ads]]</f>
        <v>0</v>
      </c>
      <c r="Z459" s="14">
        <f>IFERROR(TableWeeklySummary[[#This Row],[Ventas publicidad]]/TableWeeklySummary[[#This Row],[Inversión publicidad]],0)</f>
        <v>0</v>
      </c>
      <c r="AA459" s="14">
        <f>IFERROR(TableWeeklySummary[[#This Row],[Ventas primer cliente]]/TableWeeklySummary[[#This Row],[Inversión publicidad]],0)</f>
        <v>0</v>
      </c>
      <c r="AB459" s="14"/>
      <c r="AC459" s="11"/>
      <c r="AI45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59" s="11">
        <f>SUMIFS(TableDailySummary[Costo de ventas registrado],TableDailySummary[Fecha],"&gt;="&amp;TableWeeklySummary[[#This Row],[Desde]],TableDailySummary[Fecha],"&lt;="&amp;TableWeeklySummary[[#This Row],[Hasta]])</f>
        <v>0</v>
      </c>
      <c r="AK459" s="11">
        <f>SUMIFS(TableDailySummary[Utilidad bruta],TableDailySummary[Fecha],"&gt;="&amp;TableWeeklySummary[[#This Row],[Desde]],TableDailySummary[Fecha],"&lt;="&amp;TableWeeklySummary[[#This Row],[Hasta]])</f>
        <v>0</v>
      </c>
      <c r="AL459" s="18">
        <f>IFERROR(TableWeeklySummary[[#This Row],[Utilidad bruta]]/TableWeeklySummary[[#This Row],[Ventas netas con costo registrado]],0)</f>
        <v>0</v>
      </c>
    </row>
    <row r="460" spans="2:38" x14ac:dyDescent="0.2">
      <c r="B460" s="16">
        <f>_xlfn.ISOWEEKNUM(TableWeeklySummary[[#This Row],[Hasta]])</f>
        <v>32</v>
      </c>
      <c r="C460" s="6">
        <f t="shared" si="9"/>
        <v>47697</v>
      </c>
      <c r="D460" s="6">
        <f>TableWeeklySummary[[#This Row],[Desde]]+7-1</f>
        <v>47703</v>
      </c>
      <c r="E460" s="11">
        <f>SUMIFS(TableDailySummary[Ventas netas totales],TableDailySummary[Fecha],"&gt;="&amp;TableWeeklySummary[[#This Row],[Desde]],TableDailySummary[Fecha],"&lt;="&amp;TableWeeklySummary[[#This Row],[Hasta]])</f>
        <v>0</v>
      </c>
      <c r="F460" s="11">
        <f>SUMIFS(TableDailySummary[Órdenes totales],TableDailySummary[Fecha],"&gt;="&amp;TableWeeklySummary[[#This Row],[Desde]],TableDailySummary[Fecha],"&lt;="&amp;TableWeeklySummary[[#This Row],[Hasta]])</f>
        <v>0</v>
      </c>
      <c r="G460" s="11">
        <f>IFERROR(TableWeeklySummary[[#This Row],[Ventas netas totales]]/TableWeeklySummary[[#This Row],[Órdenes totales]],0)</f>
        <v>0</v>
      </c>
      <c r="H46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0" s="11">
        <f>TableWeeklySummary[[#This Row],[Órden promedio totales]]*TableWeeklySummary[[#This Row],[CR totales]]</f>
        <v>0</v>
      </c>
      <c r="J460" s="11">
        <f>SUMIFS(TableDailySummary[Ventas primer cliente],TableDailySummary[Fecha],"&gt;="&amp;TableWeeklySummary[[#This Row],[Desde]],TableDailySummary[Fecha],"&lt;="&amp;TableWeeklySummary[[#This Row],[Hasta]])</f>
        <v>0</v>
      </c>
      <c r="K460" s="11">
        <f>SUMIFS(TableDailySummary[Órdenes primer cliente],TableDailySummary[Fecha],"&gt;="&amp;TableWeeklySummary[[#This Row],[Desde]],TableDailySummary[Fecha],"&lt;="&amp;TableWeeklySummary[[#This Row],[Hasta]])</f>
        <v>0</v>
      </c>
      <c r="L460" s="11">
        <f>SUMIFS(TableDailySummary[Online Store_net_sales],TableDailySummary[Fecha],"&gt;="&amp;TableWeeklySummary[[#This Row],[Desde]],TableDailySummary[Fecha],"&lt;="&amp;TableWeeklySummary[[#This Row],[Hasta]])</f>
        <v>0</v>
      </c>
      <c r="M460" s="11">
        <f>SUMIFS(TableDailySummary[Online Store_orders],TableDailySummary[Fecha],"&gt;="&amp;TableWeeklySummary[[#This Row],[Desde]],TableDailySummary[Fecha],"&lt;="&amp;TableWeeklySummary[[#This Row],[Hasta]])</f>
        <v>0</v>
      </c>
      <c r="N460" s="11">
        <f>SUMIFS(TableDailySummary[Tienda 81_net_sales],TableDailySummary[Fecha],"&gt;="&amp;TableWeeklySummary[[#This Row],[Desde]],TableDailySummary[Fecha],"&lt;="&amp;TableWeeklySummary[[#This Row],[Hasta]])</f>
        <v>0</v>
      </c>
      <c r="O460" s="11">
        <f>SUMIFS(TableDailySummary[Tienda 81_orders],TableDailySummary[Fecha],"&gt;="&amp;TableWeeklySummary[[#This Row],[Desde]],TableDailySummary[Fecha],"&lt;="&amp;TableWeeklySummary[[#This Row],[Hasta]])</f>
        <v>0</v>
      </c>
      <c r="P460" s="11">
        <f>SUMIFS(TableDailySummary[Rappi_net_sales],TableDailySummary[Fecha],"&gt;="&amp;TableWeeklySummary[[#This Row],[Desde]],TableDailySummary[Fecha],"&lt;="&amp;TableWeeklySummary[[#This Row],[Hasta]])</f>
        <v>0</v>
      </c>
      <c r="Q460" s="11">
        <f>SUMIFS(TableDailySummary[Rappi_orders],TableDailySummary[Fecha],"&gt;="&amp;TableWeeklySummary[[#This Row],[Desde]],TableDailySummary[Fecha],"&lt;="&amp;TableWeeklySummary[[#This Row],[Hasta]])</f>
        <v>0</v>
      </c>
      <c r="R46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0" s="11">
        <f>SUMIFS(TableDailySummary[Corporativo no tienda_orders],TableDailySummary[Fecha],"&gt;="&amp;TableWeeklySummary[[#This Row],[Desde]],TableDailySummary[Fecha],"&lt;="&amp;TableWeeklySummary[[#This Row],[Hasta]])</f>
        <v>0</v>
      </c>
      <c r="T460" s="11">
        <f>SUMIFS(TableDailySummary[Inversión google ads],TableDailySummary[Fecha],"&gt;="&amp;TableWeeklySummary[[#This Row],[Desde]],TableDailySummary[Fecha],"&lt;="&amp;TableWeeklySummary[[#This Row],[Hasta]])</f>
        <v>0</v>
      </c>
      <c r="U460" s="11">
        <f>SUMIFS(TableDailySummary[Ventas google ads],TableDailySummary[Fecha],"&gt;="&amp;TableWeeklySummary[[#This Row],[Desde]],TableDailySummary[Fecha],"&lt;="&amp;TableWeeklySummary[[#This Row],[Hasta]])</f>
        <v>0</v>
      </c>
      <c r="V460" s="11">
        <f>SUMIFS(TableDailySummary[Inversión meta ads],TableDailySummary[Fecha],"&gt;="&amp;TableWeeklySummary[[#This Row],[Desde]],TableDailySummary[Fecha],"&lt;="&amp;TableWeeklySummary[[#This Row],[Hasta]])</f>
        <v>0</v>
      </c>
      <c r="W460" s="11">
        <f>SUMIFS(TableDailySummary[Ventas meta ads],TableDailySummary[Fecha],"&gt;="&amp;TableWeeklySummary[[#This Row],[Desde]],TableDailySummary[Fecha],"&lt;="&amp;TableWeeklySummary[[#This Row],[Hasta]])</f>
        <v>0</v>
      </c>
      <c r="X460" s="11">
        <f>TableWeeklySummary[[#This Row],[Inversión google ads]]+TableWeeklySummary[[#This Row],[Inversión meta ads]]</f>
        <v>0</v>
      </c>
      <c r="Y460" s="11">
        <f>TableWeeklySummary[[#This Row],[Ventas google ads]]+TableWeeklySummary[[#This Row],[Ventas meta ads]]</f>
        <v>0</v>
      </c>
      <c r="Z460" s="14">
        <f>IFERROR(TableWeeklySummary[[#This Row],[Ventas publicidad]]/TableWeeklySummary[[#This Row],[Inversión publicidad]],0)</f>
        <v>0</v>
      </c>
      <c r="AA460" s="14">
        <f>IFERROR(TableWeeklySummary[[#This Row],[Ventas primer cliente]]/TableWeeklySummary[[#This Row],[Inversión publicidad]],0)</f>
        <v>0</v>
      </c>
      <c r="AB460" s="14"/>
      <c r="AC460" s="11"/>
      <c r="AI46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0" s="11">
        <f>SUMIFS(TableDailySummary[Costo de ventas registrado],TableDailySummary[Fecha],"&gt;="&amp;TableWeeklySummary[[#This Row],[Desde]],TableDailySummary[Fecha],"&lt;="&amp;TableWeeklySummary[[#This Row],[Hasta]])</f>
        <v>0</v>
      </c>
      <c r="AK460" s="11">
        <f>SUMIFS(TableDailySummary[Utilidad bruta],TableDailySummary[Fecha],"&gt;="&amp;TableWeeklySummary[[#This Row],[Desde]],TableDailySummary[Fecha],"&lt;="&amp;TableWeeklySummary[[#This Row],[Hasta]])</f>
        <v>0</v>
      </c>
      <c r="AL460" s="18">
        <f>IFERROR(TableWeeklySummary[[#This Row],[Utilidad bruta]]/TableWeeklySummary[[#This Row],[Ventas netas con costo registrado]],0)</f>
        <v>0</v>
      </c>
    </row>
    <row r="461" spans="2:38" x14ac:dyDescent="0.2">
      <c r="B461" s="16">
        <f>_xlfn.ISOWEEKNUM(TableWeeklySummary[[#This Row],[Hasta]])</f>
        <v>33</v>
      </c>
      <c r="C461" s="6">
        <f t="shared" si="9"/>
        <v>47704</v>
      </c>
      <c r="D461" s="6">
        <f>TableWeeklySummary[[#This Row],[Desde]]+7-1</f>
        <v>47710</v>
      </c>
      <c r="E461" s="11">
        <f>SUMIFS(TableDailySummary[Ventas netas totales],TableDailySummary[Fecha],"&gt;="&amp;TableWeeklySummary[[#This Row],[Desde]],TableDailySummary[Fecha],"&lt;="&amp;TableWeeklySummary[[#This Row],[Hasta]])</f>
        <v>0</v>
      </c>
      <c r="F461" s="11">
        <f>SUMIFS(TableDailySummary[Órdenes totales],TableDailySummary[Fecha],"&gt;="&amp;TableWeeklySummary[[#This Row],[Desde]],TableDailySummary[Fecha],"&lt;="&amp;TableWeeklySummary[[#This Row],[Hasta]])</f>
        <v>0</v>
      </c>
      <c r="G461" s="11">
        <f>IFERROR(TableWeeklySummary[[#This Row],[Ventas netas totales]]/TableWeeklySummary[[#This Row],[Órdenes totales]],0)</f>
        <v>0</v>
      </c>
      <c r="H46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1" s="11">
        <f>TableWeeklySummary[[#This Row],[Órden promedio totales]]*TableWeeklySummary[[#This Row],[CR totales]]</f>
        <v>0</v>
      </c>
      <c r="J461" s="11">
        <f>SUMIFS(TableDailySummary[Ventas primer cliente],TableDailySummary[Fecha],"&gt;="&amp;TableWeeklySummary[[#This Row],[Desde]],TableDailySummary[Fecha],"&lt;="&amp;TableWeeklySummary[[#This Row],[Hasta]])</f>
        <v>0</v>
      </c>
      <c r="K461" s="11">
        <f>SUMIFS(TableDailySummary[Órdenes primer cliente],TableDailySummary[Fecha],"&gt;="&amp;TableWeeklySummary[[#This Row],[Desde]],TableDailySummary[Fecha],"&lt;="&amp;TableWeeklySummary[[#This Row],[Hasta]])</f>
        <v>0</v>
      </c>
      <c r="L461" s="11">
        <f>SUMIFS(TableDailySummary[Online Store_net_sales],TableDailySummary[Fecha],"&gt;="&amp;TableWeeklySummary[[#This Row],[Desde]],TableDailySummary[Fecha],"&lt;="&amp;TableWeeklySummary[[#This Row],[Hasta]])</f>
        <v>0</v>
      </c>
      <c r="M461" s="11">
        <f>SUMIFS(TableDailySummary[Online Store_orders],TableDailySummary[Fecha],"&gt;="&amp;TableWeeklySummary[[#This Row],[Desde]],TableDailySummary[Fecha],"&lt;="&amp;TableWeeklySummary[[#This Row],[Hasta]])</f>
        <v>0</v>
      </c>
      <c r="N461" s="11">
        <f>SUMIFS(TableDailySummary[Tienda 81_net_sales],TableDailySummary[Fecha],"&gt;="&amp;TableWeeklySummary[[#This Row],[Desde]],TableDailySummary[Fecha],"&lt;="&amp;TableWeeklySummary[[#This Row],[Hasta]])</f>
        <v>0</v>
      </c>
      <c r="O461" s="11">
        <f>SUMIFS(TableDailySummary[Tienda 81_orders],TableDailySummary[Fecha],"&gt;="&amp;TableWeeklySummary[[#This Row],[Desde]],TableDailySummary[Fecha],"&lt;="&amp;TableWeeklySummary[[#This Row],[Hasta]])</f>
        <v>0</v>
      </c>
      <c r="P461" s="11">
        <f>SUMIFS(TableDailySummary[Rappi_net_sales],TableDailySummary[Fecha],"&gt;="&amp;TableWeeklySummary[[#This Row],[Desde]],TableDailySummary[Fecha],"&lt;="&amp;TableWeeklySummary[[#This Row],[Hasta]])</f>
        <v>0</v>
      </c>
      <c r="Q461" s="11">
        <f>SUMIFS(TableDailySummary[Rappi_orders],TableDailySummary[Fecha],"&gt;="&amp;TableWeeklySummary[[#This Row],[Desde]],TableDailySummary[Fecha],"&lt;="&amp;TableWeeklySummary[[#This Row],[Hasta]])</f>
        <v>0</v>
      </c>
      <c r="R46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1" s="11">
        <f>SUMIFS(TableDailySummary[Corporativo no tienda_orders],TableDailySummary[Fecha],"&gt;="&amp;TableWeeklySummary[[#This Row],[Desde]],TableDailySummary[Fecha],"&lt;="&amp;TableWeeklySummary[[#This Row],[Hasta]])</f>
        <v>0</v>
      </c>
      <c r="T461" s="11">
        <f>SUMIFS(TableDailySummary[Inversión google ads],TableDailySummary[Fecha],"&gt;="&amp;TableWeeklySummary[[#This Row],[Desde]],TableDailySummary[Fecha],"&lt;="&amp;TableWeeklySummary[[#This Row],[Hasta]])</f>
        <v>0</v>
      </c>
      <c r="U461" s="11">
        <f>SUMIFS(TableDailySummary[Ventas google ads],TableDailySummary[Fecha],"&gt;="&amp;TableWeeklySummary[[#This Row],[Desde]],TableDailySummary[Fecha],"&lt;="&amp;TableWeeklySummary[[#This Row],[Hasta]])</f>
        <v>0</v>
      </c>
      <c r="V461" s="11">
        <f>SUMIFS(TableDailySummary[Inversión meta ads],TableDailySummary[Fecha],"&gt;="&amp;TableWeeklySummary[[#This Row],[Desde]],TableDailySummary[Fecha],"&lt;="&amp;TableWeeklySummary[[#This Row],[Hasta]])</f>
        <v>0</v>
      </c>
      <c r="W461" s="11">
        <f>SUMIFS(TableDailySummary[Ventas meta ads],TableDailySummary[Fecha],"&gt;="&amp;TableWeeklySummary[[#This Row],[Desde]],TableDailySummary[Fecha],"&lt;="&amp;TableWeeklySummary[[#This Row],[Hasta]])</f>
        <v>0</v>
      </c>
      <c r="X461" s="11">
        <f>TableWeeklySummary[[#This Row],[Inversión google ads]]+TableWeeklySummary[[#This Row],[Inversión meta ads]]</f>
        <v>0</v>
      </c>
      <c r="Y461" s="11">
        <f>TableWeeklySummary[[#This Row],[Ventas google ads]]+TableWeeklySummary[[#This Row],[Ventas meta ads]]</f>
        <v>0</v>
      </c>
      <c r="Z461" s="14">
        <f>IFERROR(TableWeeklySummary[[#This Row],[Ventas publicidad]]/TableWeeklySummary[[#This Row],[Inversión publicidad]],0)</f>
        <v>0</v>
      </c>
      <c r="AA461" s="14">
        <f>IFERROR(TableWeeklySummary[[#This Row],[Ventas primer cliente]]/TableWeeklySummary[[#This Row],[Inversión publicidad]],0)</f>
        <v>0</v>
      </c>
      <c r="AB461" s="14"/>
      <c r="AC461" s="11"/>
      <c r="AI46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1" s="11">
        <f>SUMIFS(TableDailySummary[Costo de ventas registrado],TableDailySummary[Fecha],"&gt;="&amp;TableWeeklySummary[[#This Row],[Desde]],TableDailySummary[Fecha],"&lt;="&amp;TableWeeklySummary[[#This Row],[Hasta]])</f>
        <v>0</v>
      </c>
      <c r="AK461" s="11">
        <f>SUMIFS(TableDailySummary[Utilidad bruta],TableDailySummary[Fecha],"&gt;="&amp;TableWeeklySummary[[#This Row],[Desde]],TableDailySummary[Fecha],"&lt;="&amp;TableWeeklySummary[[#This Row],[Hasta]])</f>
        <v>0</v>
      </c>
      <c r="AL461" s="18">
        <f>IFERROR(TableWeeklySummary[[#This Row],[Utilidad bruta]]/TableWeeklySummary[[#This Row],[Ventas netas con costo registrado]],0)</f>
        <v>0</v>
      </c>
    </row>
    <row r="462" spans="2:38" x14ac:dyDescent="0.2">
      <c r="B462" s="16">
        <f>_xlfn.ISOWEEKNUM(TableWeeklySummary[[#This Row],[Hasta]])</f>
        <v>34</v>
      </c>
      <c r="C462" s="6">
        <f t="shared" si="9"/>
        <v>47711</v>
      </c>
      <c r="D462" s="6">
        <f>TableWeeklySummary[[#This Row],[Desde]]+7-1</f>
        <v>47717</v>
      </c>
      <c r="E462" s="11">
        <f>SUMIFS(TableDailySummary[Ventas netas totales],TableDailySummary[Fecha],"&gt;="&amp;TableWeeklySummary[[#This Row],[Desde]],TableDailySummary[Fecha],"&lt;="&amp;TableWeeklySummary[[#This Row],[Hasta]])</f>
        <v>0</v>
      </c>
      <c r="F462" s="11">
        <f>SUMIFS(TableDailySummary[Órdenes totales],TableDailySummary[Fecha],"&gt;="&amp;TableWeeklySummary[[#This Row],[Desde]],TableDailySummary[Fecha],"&lt;="&amp;TableWeeklySummary[[#This Row],[Hasta]])</f>
        <v>0</v>
      </c>
      <c r="G462" s="11">
        <f>IFERROR(TableWeeklySummary[[#This Row],[Ventas netas totales]]/TableWeeklySummary[[#This Row],[Órdenes totales]],0)</f>
        <v>0</v>
      </c>
      <c r="H46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2" s="11">
        <f>TableWeeklySummary[[#This Row],[Órden promedio totales]]*TableWeeklySummary[[#This Row],[CR totales]]</f>
        <v>0</v>
      </c>
      <c r="J462" s="11">
        <f>SUMIFS(TableDailySummary[Ventas primer cliente],TableDailySummary[Fecha],"&gt;="&amp;TableWeeklySummary[[#This Row],[Desde]],TableDailySummary[Fecha],"&lt;="&amp;TableWeeklySummary[[#This Row],[Hasta]])</f>
        <v>0</v>
      </c>
      <c r="K462" s="11">
        <f>SUMIFS(TableDailySummary[Órdenes primer cliente],TableDailySummary[Fecha],"&gt;="&amp;TableWeeklySummary[[#This Row],[Desde]],TableDailySummary[Fecha],"&lt;="&amp;TableWeeklySummary[[#This Row],[Hasta]])</f>
        <v>0</v>
      </c>
      <c r="L462" s="11">
        <f>SUMIFS(TableDailySummary[Online Store_net_sales],TableDailySummary[Fecha],"&gt;="&amp;TableWeeklySummary[[#This Row],[Desde]],TableDailySummary[Fecha],"&lt;="&amp;TableWeeklySummary[[#This Row],[Hasta]])</f>
        <v>0</v>
      </c>
      <c r="M462" s="11">
        <f>SUMIFS(TableDailySummary[Online Store_orders],TableDailySummary[Fecha],"&gt;="&amp;TableWeeklySummary[[#This Row],[Desde]],TableDailySummary[Fecha],"&lt;="&amp;TableWeeklySummary[[#This Row],[Hasta]])</f>
        <v>0</v>
      </c>
      <c r="N462" s="11">
        <f>SUMIFS(TableDailySummary[Tienda 81_net_sales],TableDailySummary[Fecha],"&gt;="&amp;TableWeeklySummary[[#This Row],[Desde]],TableDailySummary[Fecha],"&lt;="&amp;TableWeeklySummary[[#This Row],[Hasta]])</f>
        <v>0</v>
      </c>
      <c r="O462" s="11">
        <f>SUMIFS(TableDailySummary[Tienda 81_orders],TableDailySummary[Fecha],"&gt;="&amp;TableWeeklySummary[[#This Row],[Desde]],TableDailySummary[Fecha],"&lt;="&amp;TableWeeklySummary[[#This Row],[Hasta]])</f>
        <v>0</v>
      </c>
      <c r="P462" s="11">
        <f>SUMIFS(TableDailySummary[Rappi_net_sales],TableDailySummary[Fecha],"&gt;="&amp;TableWeeklySummary[[#This Row],[Desde]],TableDailySummary[Fecha],"&lt;="&amp;TableWeeklySummary[[#This Row],[Hasta]])</f>
        <v>0</v>
      </c>
      <c r="Q462" s="11">
        <f>SUMIFS(TableDailySummary[Rappi_orders],TableDailySummary[Fecha],"&gt;="&amp;TableWeeklySummary[[#This Row],[Desde]],TableDailySummary[Fecha],"&lt;="&amp;TableWeeklySummary[[#This Row],[Hasta]])</f>
        <v>0</v>
      </c>
      <c r="R46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2" s="11">
        <f>SUMIFS(TableDailySummary[Corporativo no tienda_orders],TableDailySummary[Fecha],"&gt;="&amp;TableWeeklySummary[[#This Row],[Desde]],TableDailySummary[Fecha],"&lt;="&amp;TableWeeklySummary[[#This Row],[Hasta]])</f>
        <v>0</v>
      </c>
      <c r="T462" s="11">
        <f>SUMIFS(TableDailySummary[Inversión google ads],TableDailySummary[Fecha],"&gt;="&amp;TableWeeklySummary[[#This Row],[Desde]],TableDailySummary[Fecha],"&lt;="&amp;TableWeeklySummary[[#This Row],[Hasta]])</f>
        <v>0</v>
      </c>
      <c r="U462" s="11">
        <f>SUMIFS(TableDailySummary[Ventas google ads],TableDailySummary[Fecha],"&gt;="&amp;TableWeeklySummary[[#This Row],[Desde]],TableDailySummary[Fecha],"&lt;="&amp;TableWeeklySummary[[#This Row],[Hasta]])</f>
        <v>0</v>
      </c>
      <c r="V462" s="11">
        <f>SUMIFS(TableDailySummary[Inversión meta ads],TableDailySummary[Fecha],"&gt;="&amp;TableWeeklySummary[[#This Row],[Desde]],TableDailySummary[Fecha],"&lt;="&amp;TableWeeklySummary[[#This Row],[Hasta]])</f>
        <v>0</v>
      </c>
      <c r="W462" s="11">
        <f>SUMIFS(TableDailySummary[Ventas meta ads],TableDailySummary[Fecha],"&gt;="&amp;TableWeeklySummary[[#This Row],[Desde]],TableDailySummary[Fecha],"&lt;="&amp;TableWeeklySummary[[#This Row],[Hasta]])</f>
        <v>0</v>
      </c>
      <c r="X462" s="11">
        <f>TableWeeklySummary[[#This Row],[Inversión google ads]]+TableWeeklySummary[[#This Row],[Inversión meta ads]]</f>
        <v>0</v>
      </c>
      <c r="Y462" s="11">
        <f>TableWeeklySummary[[#This Row],[Ventas google ads]]+TableWeeklySummary[[#This Row],[Ventas meta ads]]</f>
        <v>0</v>
      </c>
      <c r="Z462" s="14">
        <f>IFERROR(TableWeeklySummary[[#This Row],[Ventas publicidad]]/TableWeeklySummary[[#This Row],[Inversión publicidad]],0)</f>
        <v>0</v>
      </c>
      <c r="AA462" s="14">
        <f>IFERROR(TableWeeklySummary[[#This Row],[Ventas primer cliente]]/TableWeeklySummary[[#This Row],[Inversión publicidad]],0)</f>
        <v>0</v>
      </c>
      <c r="AB462" s="14"/>
      <c r="AC462" s="11"/>
      <c r="AI46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2" s="11">
        <f>SUMIFS(TableDailySummary[Costo de ventas registrado],TableDailySummary[Fecha],"&gt;="&amp;TableWeeklySummary[[#This Row],[Desde]],TableDailySummary[Fecha],"&lt;="&amp;TableWeeklySummary[[#This Row],[Hasta]])</f>
        <v>0</v>
      </c>
      <c r="AK462" s="11">
        <f>SUMIFS(TableDailySummary[Utilidad bruta],TableDailySummary[Fecha],"&gt;="&amp;TableWeeklySummary[[#This Row],[Desde]],TableDailySummary[Fecha],"&lt;="&amp;TableWeeklySummary[[#This Row],[Hasta]])</f>
        <v>0</v>
      </c>
      <c r="AL462" s="18">
        <f>IFERROR(TableWeeklySummary[[#This Row],[Utilidad bruta]]/TableWeeklySummary[[#This Row],[Ventas netas con costo registrado]],0)</f>
        <v>0</v>
      </c>
    </row>
    <row r="463" spans="2:38" x14ac:dyDescent="0.2">
      <c r="B463" s="16">
        <f>_xlfn.ISOWEEKNUM(TableWeeklySummary[[#This Row],[Hasta]])</f>
        <v>35</v>
      </c>
      <c r="C463" s="6">
        <f t="shared" si="9"/>
        <v>47718</v>
      </c>
      <c r="D463" s="6">
        <f>TableWeeklySummary[[#This Row],[Desde]]+7-1</f>
        <v>47724</v>
      </c>
      <c r="E463" s="11">
        <f>SUMIFS(TableDailySummary[Ventas netas totales],TableDailySummary[Fecha],"&gt;="&amp;TableWeeklySummary[[#This Row],[Desde]],TableDailySummary[Fecha],"&lt;="&amp;TableWeeklySummary[[#This Row],[Hasta]])</f>
        <v>0</v>
      </c>
      <c r="F463" s="11">
        <f>SUMIFS(TableDailySummary[Órdenes totales],TableDailySummary[Fecha],"&gt;="&amp;TableWeeklySummary[[#This Row],[Desde]],TableDailySummary[Fecha],"&lt;="&amp;TableWeeklySummary[[#This Row],[Hasta]])</f>
        <v>0</v>
      </c>
      <c r="G463" s="11">
        <f>IFERROR(TableWeeklySummary[[#This Row],[Ventas netas totales]]/TableWeeklySummary[[#This Row],[Órdenes totales]],0)</f>
        <v>0</v>
      </c>
      <c r="H46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3" s="11">
        <f>TableWeeklySummary[[#This Row],[Órden promedio totales]]*TableWeeklySummary[[#This Row],[CR totales]]</f>
        <v>0</v>
      </c>
      <c r="J463" s="11">
        <f>SUMIFS(TableDailySummary[Ventas primer cliente],TableDailySummary[Fecha],"&gt;="&amp;TableWeeklySummary[[#This Row],[Desde]],TableDailySummary[Fecha],"&lt;="&amp;TableWeeklySummary[[#This Row],[Hasta]])</f>
        <v>0</v>
      </c>
      <c r="K463" s="11">
        <f>SUMIFS(TableDailySummary[Órdenes primer cliente],TableDailySummary[Fecha],"&gt;="&amp;TableWeeklySummary[[#This Row],[Desde]],TableDailySummary[Fecha],"&lt;="&amp;TableWeeklySummary[[#This Row],[Hasta]])</f>
        <v>0</v>
      </c>
      <c r="L463" s="11">
        <f>SUMIFS(TableDailySummary[Online Store_net_sales],TableDailySummary[Fecha],"&gt;="&amp;TableWeeklySummary[[#This Row],[Desde]],TableDailySummary[Fecha],"&lt;="&amp;TableWeeklySummary[[#This Row],[Hasta]])</f>
        <v>0</v>
      </c>
      <c r="M463" s="11">
        <f>SUMIFS(TableDailySummary[Online Store_orders],TableDailySummary[Fecha],"&gt;="&amp;TableWeeklySummary[[#This Row],[Desde]],TableDailySummary[Fecha],"&lt;="&amp;TableWeeklySummary[[#This Row],[Hasta]])</f>
        <v>0</v>
      </c>
      <c r="N463" s="11">
        <f>SUMIFS(TableDailySummary[Tienda 81_net_sales],TableDailySummary[Fecha],"&gt;="&amp;TableWeeklySummary[[#This Row],[Desde]],TableDailySummary[Fecha],"&lt;="&amp;TableWeeklySummary[[#This Row],[Hasta]])</f>
        <v>0</v>
      </c>
      <c r="O463" s="11">
        <f>SUMIFS(TableDailySummary[Tienda 81_orders],TableDailySummary[Fecha],"&gt;="&amp;TableWeeklySummary[[#This Row],[Desde]],TableDailySummary[Fecha],"&lt;="&amp;TableWeeklySummary[[#This Row],[Hasta]])</f>
        <v>0</v>
      </c>
      <c r="P463" s="11">
        <f>SUMIFS(TableDailySummary[Rappi_net_sales],TableDailySummary[Fecha],"&gt;="&amp;TableWeeklySummary[[#This Row],[Desde]],TableDailySummary[Fecha],"&lt;="&amp;TableWeeklySummary[[#This Row],[Hasta]])</f>
        <v>0</v>
      </c>
      <c r="Q463" s="11">
        <f>SUMIFS(TableDailySummary[Rappi_orders],TableDailySummary[Fecha],"&gt;="&amp;TableWeeklySummary[[#This Row],[Desde]],TableDailySummary[Fecha],"&lt;="&amp;TableWeeklySummary[[#This Row],[Hasta]])</f>
        <v>0</v>
      </c>
      <c r="R46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3" s="11">
        <f>SUMIFS(TableDailySummary[Corporativo no tienda_orders],TableDailySummary[Fecha],"&gt;="&amp;TableWeeklySummary[[#This Row],[Desde]],TableDailySummary[Fecha],"&lt;="&amp;TableWeeklySummary[[#This Row],[Hasta]])</f>
        <v>0</v>
      </c>
      <c r="T463" s="11">
        <f>SUMIFS(TableDailySummary[Inversión google ads],TableDailySummary[Fecha],"&gt;="&amp;TableWeeklySummary[[#This Row],[Desde]],TableDailySummary[Fecha],"&lt;="&amp;TableWeeklySummary[[#This Row],[Hasta]])</f>
        <v>0</v>
      </c>
      <c r="U463" s="11">
        <f>SUMIFS(TableDailySummary[Ventas google ads],TableDailySummary[Fecha],"&gt;="&amp;TableWeeklySummary[[#This Row],[Desde]],TableDailySummary[Fecha],"&lt;="&amp;TableWeeklySummary[[#This Row],[Hasta]])</f>
        <v>0</v>
      </c>
      <c r="V463" s="11">
        <f>SUMIFS(TableDailySummary[Inversión meta ads],TableDailySummary[Fecha],"&gt;="&amp;TableWeeklySummary[[#This Row],[Desde]],TableDailySummary[Fecha],"&lt;="&amp;TableWeeklySummary[[#This Row],[Hasta]])</f>
        <v>0</v>
      </c>
      <c r="W463" s="11">
        <f>SUMIFS(TableDailySummary[Ventas meta ads],TableDailySummary[Fecha],"&gt;="&amp;TableWeeklySummary[[#This Row],[Desde]],TableDailySummary[Fecha],"&lt;="&amp;TableWeeklySummary[[#This Row],[Hasta]])</f>
        <v>0</v>
      </c>
      <c r="X463" s="11">
        <f>TableWeeklySummary[[#This Row],[Inversión google ads]]+TableWeeklySummary[[#This Row],[Inversión meta ads]]</f>
        <v>0</v>
      </c>
      <c r="Y463" s="11">
        <f>TableWeeklySummary[[#This Row],[Ventas google ads]]+TableWeeklySummary[[#This Row],[Ventas meta ads]]</f>
        <v>0</v>
      </c>
      <c r="Z463" s="14">
        <f>IFERROR(TableWeeklySummary[[#This Row],[Ventas publicidad]]/TableWeeklySummary[[#This Row],[Inversión publicidad]],0)</f>
        <v>0</v>
      </c>
      <c r="AA463" s="14">
        <f>IFERROR(TableWeeklySummary[[#This Row],[Ventas primer cliente]]/TableWeeklySummary[[#This Row],[Inversión publicidad]],0)</f>
        <v>0</v>
      </c>
      <c r="AB463" s="14"/>
      <c r="AC463" s="11"/>
      <c r="AI46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3" s="11">
        <f>SUMIFS(TableDailySummary[Costo de ventas registrado],TableDailySummary[Fecha],"&gt;="&amp;TableWeeklySummary[[#This Row],[Desde]],TableDailySummary[Fecha],"&lt;="&amp;TableWeeklySummary[[#This Row],[Hasta]])</f>
        <v>0</v>
      </c>
      <c r="AK463" s="11">
        <f>SUMIFS(TableDailySummary[Utilidad bruta],TableDailySummary[Fecha],"&gt;="&amp;TableWeeklySummary[[#This Row],[Desde]],TableDailySummary[Fecha],"&lt;="&amp;TableWeeklySummary[[#This Row],[Hasta]])</f>
        <v>0</v>
      </c>
      <c r="AL463" s="18">
        <f>IFERROR(TableWeeklySummary[[#This Row],[Utilidad bruta]]/TableWeeklySummary[[#This Row],[Ventas netas con costo registrado]],0)</f>
        <v>0</v>
      </c>
    </row>
    <row r="464" spans="2:38" x14ac:dyDescent="0.2">
      <c r="B464" s="16">
        <f>_xlfn.ISOWEEKNUM(TableWeeklySummary[[#This Row],[Hasta]])</f>
        <v>36</v>
      </c>
      <c r="C464" s="6">
        <f t="shared" si="9"/>
        <v>47725</v>
      </c>
      <c r="D464" s="6">
        <f>TableWeeklySummary[[#This Row],[Desde]]+7-1</f>
        <v>47731</v>
      </c>
      <c r="E464" s="11">
        <f>SUMIFS(TableDailySummary[Ventas netas totales],TableDailySummary[Fecha],"&gt;="&amp;TableWeeklySummary[[#This Row],[Desde]],TableDailySummary[Fecha],"&lt;="&amp;TableWeeklySummary[[#This Row],[Hasta]])</f>
        <v>0</v>
      </c>
      <c r="F464" s="11">
        <f>SUMIFS(TableDailySummary[Órdenes totales],TableDailySummary[Fecha],"&gt;="&amp;TableWeeklySummary[[#This Row],[Desde]],TableDailySummary[Fecha],"&lt;="&amp;TableWeeklySummary[[#This Row],[Hasta]])</f>
        <v>0</v>
      </c>
      <c r="G464" s="11">
        <f>IFERROR(TableWeeklySummary[[#This Row],[Ventas netas totales]]/TableWeeklySummary[[#This Row],[Órdenes totales]],0)</f>
        <v>0</v>
      </c>
      <c r="H46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4" s="11">
        <f>TableWeeklySummary[[#This Row],[Órden promedio totales]]*TableWeeklySummary[[#This Row],[CR totales]]</f>
        <v>0</v>
      </c>
      <c r="J464" s="11">
        <f>SUMIFS(TableDailySummary[Ventas primer cliente],TableDailySummary[Fecha],"&gt;="&amp;TableWeeklySummary[[#This Row],[Desde]],TableDailySummary[Fecha],"&lt;="&amp;TableWeeklySummary[[#This Row],[Hasta]])</f>
        <v>0</v>
      </c>
      <c r="K464" s="11">
        <f>SUMIFS(TableDailySummary[Órdenes primer cliente],TableDailySummary[Fecha],"&gt;="&amp;TableWeeklySummary[[#This Row],[Desde]],TableDailySummary[Fecha],"&lt;="&amp;TableWeeklySummary[[#This Row],[Hasta]])</f>
        <v>0</v>
      </c>
      <c r="L464" s="11">
        <f>SUMIFS(TableDailySummary[Online Store_net_sales],TableDailySummary[Fecha],"&gt;="&amp;TableWeeklySummary[[#This Row],[Desde]],TableDailySummary[Fecha],"&lt;="&amp;TableWeeklySummary[[#This Row],[Hasta]])</f>
        <v>0</v>
      </c>
      <c r="M464" s="11">
        <f>SUMIFS(TableDailySummary[Online Store_orders],TableDailySummary[Fecha],"&gt;="&amp;TableWeeklySummary[[#This Row],[Desde]],TableDailySummary[Fecha],"&lt;="&amp;TableWeeklySummary[[#This Row],[Hasta]])</f>
        <v>0</v>
      </c>
      <c r="N464" s="11">
        <f>SUMIFS(TableDailySummary[Tienda 81_net_sales],TableDailySummary[Fecha],"&gt;="&amp;TableWeeklySummary[[#This Row],[Desde]],TableDailySummary[Fecha],"&lt;="&amp;TableWeeklySummary[[#This Row],[Hasta]])</f>
        <v>0</v>
      </c>
      <c r="O464" s="11">
        <f>SUMIFS(TableDailySummary[Tienda 81_orders],TableDailySummary[Fecha],"&gt;="&amp;TableWeeklySummary[[#This Row],[Desde]],TableDailySummary[Fecha],"&lt;="&amp;TableWeeklySummary[[#This Row],[Hasta]])</f>
        <v>0</v>
      </c>
      <c r="P464" s="11">
        <f>SUMIFS(TableDailySummary[Rappi_net_sales],TableDailySummary[Fecha],"&gt;="&amp;TableWeeklySummary[[#This Row],[Desde]],TableDailySummary[Fecha],"&lt;="&amp;TableWeeklySummary[[#This Row],[Hasta]])</f>
        <v>0</v>
      </c>
      <c r="Q464" s="11">
        <f>SUMIFS(TableDailySummary[Rappi_orders],TableDailySummary[Fecha],"&gt;="&amp;TableWeeklySummary[[#This Row],[Desde]],TableDailySummary[Fecha],"&lt;="&amp;TableWeeklySummary[[#This Row],[Hasta]])</f>
        <v>0</v>
      </c>
      <c r="R46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4" s="11">
        <f>SUMIFS(TableDailySummary[Corporativo no tienda_orders],TableDailySummary[Fecha],"&gt;="&amp;TableWeeklySummary[[#This Row],[Desde]],TableDailySummary[Fecha],"&lt;="&amp;TableWeeklySummary[[#This Row],[Hasta]])</f>
        <v>0</v>
      </c>
      <c r="T464" s="11">
        <f>SUMIFS(TableDailySummary[Inversión google ads],TableDailySummary[Fecha],"&gt;="&amp;TableWeeklySummary[[#This Row],[Desde]],TableDailySummary[Fecha],"&lt;="&amp;TableWeeklySummary[[#This Row],[Hasta]])</f>
        <v>0</v>
      </c>
      <c r="U464" s="11">
        <f>SUMIFS(TableDailySummary[Ventas google ads],TableDailySummary[Fecha],"&gt;="&amp;TableWeeklySummary[[#This Row],[Desde]],TableDailySummary[Fecha],"&lt;="&amp;TableWeeklySummary[[#This Row],[Hasta]])</f>
        <v>0</v>
      </c>
      <c r="V464" s="11">
        <f>SUMIFS(TableDailySummary[Inversión meta ads],TableDailySummary[Fecha],"&gt;="&amp;TableWeeklySummary[[#This Row],[Desde]],TableDailySummary[Fecha],"&lt;="&amp;TableWeeklySummary[[#This Row],[Hasta]])</f>
        <v>0</v>
      </c>
      <c r="W464" s="11">
        <f>SUMIFS(TableDailySummary[Ventas meta ads],TableDailySummary[Fecha],"&gt;="&amp;TableWeeklySummary[[#This Row],[Desde]],TableDailySummary[Fecha],"&lt;="&amp;TableWeeklySummary[[#This Row],[Hasta]])</f>
        <v>0</v>
      </c>
      <c r="X464" s="11">
        <f>TableWeeklySummary[[#This Row],[Inversión google ads]]+TableWeeklySummary[[#This Row],[Inversión meta ads]]</f>
        <v>0</v>
      </c>
      <c r="Y464" s="11">
        <f>TableWeeklySummary[[#This Row],[Ventas google ads]]+TableWeeklySummary[[#This Row],[Ventas meta ads]]</f>
        <v>0</v>
      </c>
      <c r="Z464" s="14">
        <f>IFERROR(TableWeeklySummary[[#This Row],[Ventas publicidad]]/TableWeeklySummary[[#This Row],[Inversión publicidad]],0)</f>
        <v>0</v>
      </c>
      <c r="AA464" s="14">
        <f>IFERROR(TableWeeklySummary[[#This Row],[Ventas primer cliente]]/TableWeeklySummary[[#This Row],[Inversión publicidad]],0)</f>
        <v>0</v>
      </c>
      <c r="AB464" s="14"/>
      <c r="AC464" s="11"/>
      <c r="AI46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4" s="11">
        <f>SUMIFS(TableDailySummary[Costo de ventas registrado],TableDailySummary[Fecha],"&gt;="&amp;TableWeeklySummary[[#This Row],[Desde]],TableDailySummary[Fecha],"&lt;="&amp;TableWeeklySummary[[#This Row],[Hasta]])</f>
        <v>0</v>
      </c>
      <c r="AK464" s="11">
        <f>SUMIFS(TableDailySummary[Utilidad bruta],TableDailySummary[Fecha],"&gt;="&amp;TableWeeklySummary[[#This Row],[Desde]],TableDailySummary[Fecha],"&lt;="&amp;TableWeeklySummary[[#This Row],[Hasta]])</f>
        <v>0</v>
      </c>
      <c r="AL464" s="18">
        <f>IFERROR(TableWeeklySummary[[#This Row],[Utilidad bruta]]/TableWeeklySummary[[#This Row],[Ventas netas con costo registrado]],0)</f>
        <v>0</v>
      </c>
    </row>
    <row r="465" spans="2:38" x14ac:dyDescent="0.2">
      <c r="B465" s="16">
        <f>_xlfn.ISOWEEKNUM(TableWeeklySummary[[#This Row],[Hasta]])</f>
        <v>37</v>
      </c>
      <c r="C465" s="6">
        <f t="shared" si="9"/>
        <v>47732</v>
      </c>
      <c r="D465" s="6">
        <f>TableWeeklySummary[[#This Row],[Desde]]+7-1</f>
        <v>47738</v>
      </c>
      <c r="E465" s="11">
        <f>SUMIFS(TableDailySummary[Ventas netas totales],TableDailySummary[Fecha],"&gt;="&amp;TableWeeklySummary[[#This Row],[Desde]],TableDailySummary[Fecha],"&lt;="&amp;TableWeeklySummary[[#This Row],[Hasta]])</f>
        <v>0</v>
      </c>
      <c r="F465" s="11">
        <f>SUMIFS(TableDailySummary[Órdenes totales],TableDailySummary[Fecha],"&gt;="&amp;TableWeeklySummary[[#This Row],[Desde]],TableDailySummary[Fecha],"&lt;="&amp;TableWeeklySummary[[#This Row],[Hasta]])</f>
        <v>0</v>
      </c>
      <c r="G465" s="11">
        <f>IFERROR(TableWeeklySummary[[#This Row],[Ventas netas totales]]/TableWeeklySummary[[#This Row],[Órdenes totales]],0)</f>
        <v>0</v>
      </c>
      <c r="H46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5" s="11">
        <f>TableWeeklySummary[[#This Row],[Órden promedio totales]]*TableWeeklySummary[[#This Row],[CR totales]]</f>
        <v>0</v>
      </c>
      <c r="J465" s="11">
        <f>SUMIFS(TableDailySummary[Ventas primer cliente],TableDailySummary[Fecha],"&gt;="&amp;TableWeeklySummary[[#This Row],[Desde]],TableDailySummary[Fecha],"&lt;="&amp;TableWeeklySummary[[#This Row],[Hasta]])</f>
        <v>0</v>
      </c>
      <c r="K465" s="11">
        <f>SUMIFS(TableDailySummary[Órdenes primer cliente],TableDailySummary[Fecha],"&gt;="&amp;TableWeeklySummary[[#This Row],[Desde]],TableDailySummary[Fecha],"&lt;="&amp;TableWeeklySummary[[#This Row],[Hasta]])</f>
        <v>0</v>
      </c>
      <c r="L465" s="11">
        <f>SUMIFS(TableDailySummary[Online Store_net_sales],TableDailySummary[Fecha],"&gt;="&amp;TableWeeklySummary[[#This Row],[Desde]],TableDailySummary[Fecha],"&lt;="&amp;TableWeeklySummary[[#This Row],[Hasta]])</f>
        <v>0</v>
      </c>
      <c r="M465" s="11">
        <f>SUMIFS(TableDailySummary[Online Store_orders],TableDailySummary[Fecha],"&gt;="&amp;TableWeeklySummary[[#This Row],[Desde]],TableDailySummary[Fecha],"&lt;="&amp;TableWeeklySummary[[#This Row],[Hasta]])</f>
        <v>0</v>
      </c>
      <c r="N465" s="11">
        <f>SUMIFS(TableDailySummary[Tienda 81_net_sales],TableDailySummary[Fecha],"&gt;="&amp;TableWeeklySummary[[#This Row],[Desde]],TableDailySummary[Fecha],"&lt;="&amp;TableWeeklySummary[[#This Row],[Hasta]])</f>
        <v>0</v>
      </c>
      <c r="O465" s="11">
        <f>SUMIFS(TableDailySummary[Tienda 81_orders],TableDailySummary[Fecha],"&gt;="&amp;TableWeeklySummary[[#This Row],[Desde]],TableDailySummary[Fecha],"&lt;="&amp;TableWeeklySummary[[#This Row],[Hasta]])</f>
        <v>0</v>
      </c>
      <c r="P465" s="11">
        <f>SUMIFS(TableDailySummary[Rappi_net_sales],TableDailySummary[Fecha],"&gt;="&amp;TableWeeklySummary[[#This Row],[Desde]],TableDailySummary[Fecha],"&lt;="&amp;TableWeeklySummary[[#This Row],[Hasta]])</f>
        <v>0</v>
      </c>
      <c r="Q465" s="11">
        <f>SUMIFS(TableDailySummary[Rappi_orders],TableDailySummary[Fecha],"&gt;="&amp;TableWeeklySummary[[#This Row],[Desde]],TableDailySummary[Fecha],"&lt;="&amp;TableWeeklySummary[[#This Row],[Hasta]])</f>
        <v>0</v>
      </c>
      <c r="R46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5" s="11">
        <f>SUMIFS(TableDailySummary[Corporativo no tienda_orders],TableDailySummary[Fecha],"&gt;="&amp;TableWeeklySummary[[#This Row],[Desde]],TableDailySummary[Fecha],"&lt;="&amp;TableWeeklySummary[[#This Row],[Hasta]])</f>
        <v>0</v>
      </c>
      <c r="T465" s="11">
        <f>SUMIFS(TableDailySummary[Inversión google ads],TableDailySummary[Fecha],"&gt;="&amp;TableWeeklySummary[[#This Row],[Desde]],TableDailySummary[Fecha],"&lt;="&amp;TableWeeklySummary[[#This Row],[Hasta]])</f>
        <v>0</v>
      </c>
      <c r="U465" s="11">
        <f>SUMIFS(TableDailySummary[Ventas google ads],TableDailySummary[Fecha],"&gt;="&amp;TableWeeklySummary[[#This Row],[Desde]],TableDailySummary[Fecha],"&lt;="&amp;TableWeeklySummary[[#This Row],[Hasta]])</f>
        <v>0</v>
      </c>
      <c r="V465" s="11">
        <f>SUMIFS(TableDailySummary[Inversión meta ads],TableDailySummary[Fecha],"&gt;="&amp;TableWeeklySummary[[#This Row],[Desde]],TableDailySummary[Fecha],"&lt;="&amp;TableWeeklySummary[[#This Row],[Hasta]])</f>
        <v>0</v>
      </c>
      <c r="W465" s="11">
        <f>SUMIFS(TableDailySummary[Ventas meta ads],TableDailySummary[Fecha],"&gt;="&amp;TableWeeklySummary[[#This Row],[Desde]],TableDailySummary[Fecha],"&lt;="&amp;TableWeeklySummary[[#This Row],[Hasta]])</f>
        <v>0</v>
      </c>
      <c r="X465" s="11">
        <f>TableWeeklySummary[[#This Row],[Inversión google ads]]+TableWeeklySummary[[#This Row],[Inversión meta ads]]</f>
        <v>0</v>
      </c>
      <c r="Y465" s="11">
        <f>TableWeeklySummary[[#This Row],[Ventas google ads]]+TableWeeklySummary[[#This Row],[Ventas meta ads]]</f>
        <v>0</v>
      </c>
      <c r="Z465" s="14">
        <f>IFERROR(TableWeeklySummary[[#This Row],[Ventas publicidad]]/TableWeeklySummary[[#This Row],[Inversión publicidad]],0)</f>
        <v>0</v>
      </c>
      <c r="AA465" s="14">
        <f>IFERROR(TableWeeklySummary[[#This Row],[Ventas primer cliente]]/TableWeeklySummary[[#This Row],[Inversión publicidad]],0)</f>
        <v>0</v>
      </c>
      <c r="AB465" s="14"/>
      <c r="AC465" s="11"/>
      <c r="AI46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5" s="11">
        <f>SUMIFS(TableDailySummary[Costo de ventas registrado],TableDailySummary[Fecha],"&gt;="&amp;TableWeeklySummary[[#This Row],[Desde]],TableDailySummary[Fecha],"&lt;="&amp;TableWeeklySummary[[#This Row],[Hasta]])</f>
        <v>0</v>
      </c>
      <c r="AK465" s="11">
        <f>SUMIFS(TableDailySummary[Utilidad bruta],TableDailySummary[Fecha],"&gt;="&amp;TableWeeklySummary[[#This Row],[Desde]],TableDailySummary[Fecha],"&lt;="&amp;TableWeeklySummary[[#This Row],[Hasta]])</f>
        <v>0</v>
      </c>
      <c r="AL465" s="18">
        <f>IFERROR(TableWeeklySummary[[#This Row],[Utilidad bruta]]/TableWeeklySummary[[#This Row],[Ventas netas con costo registrado]],0)</f>
        <v>0</v>
      </c>
    </row>
    <row r="466" spans="2:38" x14ac:dyDescent="0.2">
      <c r="B466" s="16">
        <f>_xlfn.ISOWEEKNUM(TableWeeklySummary[[#This Row],[Hasta]])</f>
        <v>38</v>
      </c>
      <c r="C466" s="6">
        <f t="shared" si="9"/>
        <v>47739</v>
      </c>
      <c r="D466" s="6">
        <f>TableWeeklySummary[[#This Row],[Desde]]+7-1</f>
        <v>47745</v>
      </c>
      <c r="E466" s="11">
        <f>SUMIFS(TableDailySummary[Ventas netas totales],TableDailySummary[Fecha],"&gt;="&amp;TableWeeklySummary[[#This Row],[Desde]],TableDailySummary[Fecha],"&lt;="&amp;TableWeeklySummary[[#This Row],[Hasta]])</f>
        <v>0</v>
      </c>
      <c r="F466" s="11">
        <f>SUMIFS(TableDailySummary[Órdenes totales],TableDailySummary[Fecha],"&gt;="&amp;TableWeeklySummary[[#This Row],[Desde]],TableDailySummary[Fecha],"&lt;="&amp;TableWeeklySummary[[#This Row],[Hasta]])</f>
        <v>0</v>
      </c>
      <c r="G466" s="11">
        <f>IFERROR(TableWeeklySummary[[#This Row],[Ventas netas totales]]/TableWeeklySummary[[#This Row],[Órdenes totales]],0)</f>
        <v>0</v>
      </c>
      <c r="H46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6" s="11">
        <f>TableWeeklySummary[[#This Row],[Órden promedio totales]]*TableWeeklySummary[[#This Row],[CR totales]]</f>
        <v>0</v>
      </c>
      <c r="J466" s="11">
        <f>SUMIFS(TableDailySummary[Ventas primer cliente],TableDailySummary[Fecha],"&gt;="&amp;TableWeeklySummary[[#This Row],[Desde]],TableDailySummary[Fecha],"&lt;="&amp;TableWeeklySummary[[#This Row],[Hasta]])</f>
        <v>0</v>
      </c>
      <c r="K466" s="11">
        <f>SUMIFS(TableDailySummary[Órdenes primer cliente],TableDailySummary[Fecha],"&gt;="&amp;TableWeeklySummary[[#This Row],[Desde]],TableDailySummary[Fecha],"&lt;="&amp;TableWeeklySummary[[#This Row],[Hasta]])</f>
        <v>0</v>
      </c>
      <c r="L466" s="11">
        <f>SUMIFS(TableDailySummary[Online Store_net_sales],TableDailySummary[Fecha],"&gt;="&amp;TableWeeklySummary[[#This Row],[Desde]],TableDailySummary[Fecha],"&lt;="&amp;TableWeeklySummary[[#This Row],[Hasta]])</f>
        <v>0</v>
      </c>
      <c r="M466" s="11">
        <f>SUMIFS(TableDailySummary[Online Store_orders],TableDailySummary[Fecha],"&gt;="&amp;TableWeeklySummary[[#This Row],[Desde]],TableDailySummary[Fecha],"&lt;="&amp;TableWeeklySummary[[#This Row],[Hasta]])</f>
        <v>0</v>
      </c>
      <c r="N466" s="11">
        <f>SUMIFS(TableDailySummary[Tienda 81_net_sales],TableDailySummary[Fecha],"&gt;="&amp;TableWeeklySummary[[#This Row],[Desde]],TableDailySummary[Fecha],"&lt;="&amp;TableWeeklySummary[[#This Row],[Hasta]])</f>
        <v>0</v>
      </c>
      <c r="O466" s="11">
        <f>SUMIFS(TableDailySummary[Tienda 81_orders],TableDailySummary[Fecha],"&gt;="&amp;TableWeeklySummary[[#This Row],[Desde]],TableDailySummary[Fecha],"&lt;="&amp;TableWeeklySummary[[#This Row],[Hasta]])</f>
        <v>0</v>
      </c>
      <c r="P466" s="11">
        <f>SUMIFS(TableDailySummary[Rappi_net_sales],TableDailySummary[Fecha],"&gt;="&amp;TableWeeklySummary[[#This Row],[Desde]],TableDailySummary[Fecha],"&lt;="&amp;TableWeeklySummary[[#This Row],[Hasta]])</f>
        <v>0</v>
      </c>
      <c r="Q466" s="11">
        <f>SUMIFS(TableDailySummary[Rappi_orders],TableDailySummary[Fecha],"&gt;="&amp;TableWeeklySummary[[#This Row],[Desde]],TableDailySummary[Fecha],"&lt;="&amp;TableWeeklySummary[[#This Row],[Hasta]])</f>
        <v>0</v>
      </c>
      <c r="R46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6" s="11">
        <f>SUMIFS(TableDailySummary[Corporativo no tienda_orders],TableDailySummary[Fecha],"&gt;="&amp;TableWeeklySummary[[#This Row],[Desde]],TableDailySummary[Fecha],"&lt;="&amp;TableWeeklySummary[[#This Row],[Hasta]])</f>
        <v>0</v>
      </c>
      <c r="T466" s="11">
        <f>SUMIFS(TableDailySummary[Inversión google ads],TableDailySummary[Fecha],"&gt;="&amp;TableWeeklySummary[[#This Row],[Desde]],TableDailySummary[Fecha],"&lt;="&amp;TableWeeklySummary[[#This Row],[Hasta]])</f>
        <v>0</v>
      </c>
      <c r="U466" s="11">
        <f>SUMIFS(TableDailySummary[Ventas google ads],TableDailySummary[Fecha],"&gt;="&amp;TableWeeklySummary[[#This Row],[Desde]],TableDailySummary[Fecha],"&lt;="&amp;TableWeeklySummary[[#This Row],[Hasta]])</f>
        <v>0</v>
      </c>
      <c r="V466" s="11">
        <f>SUMIFS(TableDailySummary[Inversión meta ads],TableDailySummary[Fecha],"&gt;="&amp;TableWeeklySummary[[#This Row],[Desde]],TableDailySummary[Fecha],"&lt;="&amp;TableWeeklySummary[[#This Row],[Hasta]])</f>
        <v>0</v>
      </c>
      <c r="W466" s="11">
        <f>SUMIFS(TableDailySummary[Ventas meta ads],TableDailySummary[Fecha],"&gt;="&amp;TableWeeklySummary[[#This Row],[Desde]],TableDailySummary[Fecha],"&lt;="&amp;TableWeeklySummary[[#This Row],[Hasta]])</f>
        <v>0</v>
      </c>
      <c r="X466" s="11">
        <f>TableWeeklySummary[[#This Row],[Inversión google ads]]+TableWeeklySummary[[#This Row],[Inversión meta ads]]</f>
        <v>0</v>
      </c>
      <c r="Y466" s="11">
        <f>TableWeeklySummary[[#This Row],[Ventas google ads]]+TableWeeklySummary[[#This Row],[Ventas meta ads]]</f>
        <v>0</v>
      </c>
      <c r="Z466" s="14">
        <f>IFERROR(TableWeeklySummary[[#This Row],[Ventas publicidad]]/TableWeeklySummary[[#This Row],[Inversión publicidad]],0)</f>
        <v>0</v>
      </c>
      <c r="AA466" s="14">
        <f>IFERROR(TableWeeklySummary[[#This Row],[Ventas primer cliente]]/TableWeeklySummary[[#This Row],[Inversión publicidad]],0)</f>
        <v>0</v>
      </c>
      <c r="AB466" s="14"/>
      <c r="AC466" s="11"/>
      <c r="AI46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6" s="11">
        <f>SUMIFS(TableDailySummary[Costo de ventas registrado],TableDailySummary[Fecha],"&gt;="&amp;TableWeeklySummary[[#This Row],[Desde]],TableDailySummary[Fecha],"&lt;="&amp;TableWeeklySummary[[#This Row],[Hasta]])</f>
        <v>0</v>
      </c>
      <c r="AK466" s="11">
        <f>SUMIFS(TableDailySummary[Utilidad bruta],TableDailySummary[Fecha],"&gt;="&amp;TableWeeklySummary[[#This Row],[Desde]],TableDailySummary[Fecha],"&lt;="&amp;TableWeeklySummary[[#This Row],[Hasta]])</f>
        <v>0</v>
      </c>
      <c r="AL466" s="18">
        <f>IFERROR(TableWeeklySummary[[#This Row],[Utilidad bruta]]/TableWeeklySummary[[#This Row],[Ventas netas con costo registrado]],0)</f>
        <v>0</v>
      </c>
    </row>
    <row r="467" spans="2:38" x14ac:dyDescent="0.2">
      <c r="B467" s="16">
        <f>_xlfn.ISOWEEKNUM(TableWeeklySummary[[#This Row],[Hasta]])</f>
        <v>39</v>
      </c>
      <c r="C467" s="6">
        <f t="shared" si="9"/>
        <v>47746</v>
      </c>
      <c r="D467" s="6">
        <f>TableWeeklySummary[[#This Row],[Desde]]+7-1</f>
        <v>47752</v>
      </c>
      <c r="E467" s="11">
        <f>SUMIFS(TableDailySummary[Ventas netas totales],TableDailySummary[Fecha],"&gt;="&amp;TableWeeklySummary[[#This Row],[Desde]],TableDailySummary[Fecha],"&lt;="&amp;TableWeeklySummary[[#This Row],[Hasta]])</f>
        <v>0</v>
      </c>
      <c r="F467" s="11">
        <f>SUMIFS(TableDailySummary[Órdenes totales],TableDailySummary[Fecha],"&gt;="&amp;TableWeeklySummary[[#This Row],[Desde]],TableDailySummary[Fecha],"&lt;="&amp;TableWeeklySummary[[#This Row],[Hasta]])</f>
        <v>0</v>
      </c>
      <c r="G467" s="11">
        <f>IFERROR(TableWeeklySummary[[#This Row],[Ventas netas totales]]/TableWeeklySummary[[#This Row],[Órdenes totales]],0)</f>
        <v>0</v>
      </c>
      <c r="H46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7" s="11">
        <f>TableWeeklySummary[[#This Row],[Órden promedio totales]]*TableWeeklySummary[[#This Row],[CR totales]]</f>
        <v>0</v>
      </c>
      <c r="J467" s="11">
        <f>SUMIFS(TableDailySummary[Ventas primer cliente],TableDailySummary[Fecha],"&gt;="&amp;TableWeeklySummary[[#This Row],[Desde]],TableDailySummary[Fecha],"&lt;="&amp;TableWeeklySummary[[#This Row],[Hasta]])</f>
        <v>0</v>
      </c>
      <c r="K467" s="11">
        <f>SUMIFS(TableDailySummary[Órdenes primer cliente],TableDailySummary[Fecha],"&gt;="&amp;TableWeeklySummary[[#This Row],[Desde]],TableDailySummary[Fecha],"&lt;="&amp;TableWeeklySummary[[#This Row],[Hasta]])</f>
        <v>0</v>
      </c>
      <c r="L467" s="11">
        <f>SUMIFS(TableDailySummary[Online Store_net_sales],TableDailySummary[Fecha],"&gt;="&amp;TableWeeklySummary[[#This Row],[Desde]],TableDailySummary[Fecha],"&lt;="&amp;TableWeeklySummary[[#This Row],[Hasta]])</f>
        <v>0</v>
      </c>
      <c r="M467" s="11">
        <f>SUMIFS(TableDailySummary[Online Store_orders],TableDailySummary[Fecha],"&gt;="&amp;TableWeeklySummary[[#This Row],[Desde]],TableDailySummary[Fecha],"&lt;="&amp;TableWeeklySummary[[#This Row],[Hasta]])</f>
        <v>0</v>
      </c>
      <c r="N467" s="11">
        <f>SUMIFS(TableDailySummary[Tienda 81_net_sales],TableDailySummary[Fecha],"&gt;="&amp;TableWeeklySummary[[#This Row],[Desde]],TableDailySummary[Fecha],"&lt;="&amp;TableWeeklySummary[[#This Row],[Hasta]])</f>
        <v>0</v>
      </c>
      <c r="O467" s="11">
        <f>SUMIFS(TableDailySummary[Tienda 81_orders],TableDailySummary[Fecha],"&gt;="&amp;TableWeeklySummary[[#This Row],[Desde]],TableDailySummary[Fecha],"&lt;="&amp;TableWeeklySummary[[#This Row],[Hasta]])</f>
        <v>0</v>
      </c>
      <c r="P467" s="11">
        <f>SUMIFS(TableDailySummary[Rappi_net_sales],TableDailySummary[Fecha],"&gt;="&amp;TableWeeklySummary[[#This Row],[Desde]],TableDailySummary[Fecha],"&lt;="&amp;TableWeeklySummary[[#This Row],[Hasta]])</f>
        <v>0</v>
      </c>
      <c r="Q467" s="11">
        <f>SUMIFS(TableDailySummary[Rappi_orders],TableDailySummary[Fecha],"&gt;="&amp;TableWeeklySummary[[#This Row],[Desde]],TableDailySummary[Fecha],"&lt;="&amp;TableWeeklySummary[[#This Row],[Hasta]])</f>
        <v>0</v>
      </c>
      <c r="R46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7" s="11">
        <f>SUMIFS(TableDailySummary[Corporativo no tienda_orders],TableDailySummary[Fecha],"&gt;="&amp;TableWeeklySummary[[#This Row],[Desde]],TableDailySummary[Fecha],"&lt;="&amp;TableWeeklySummary[[#This Row],[Hasta]])</f>
        <v>0</v>
      </c>
      <c r="T467" s="11">
        <f>SUMIFS(TableDailySummary[Inversión google ads],TableDailySummary[Fecha],"&gt;="&amp;TableWeeklySummary[[#This Row],[Desde]],TableDailySummary[Fecha],"&lt;="&amp;TableWeeklySummary[[#This Row],[Hasta]])</f>
        <v>0</v>
      </c>
      <c r="U467" s="11">
        <f>SUMIFS(TableDailySummary[Ventas google ads],TableDailySummary[Fecha],"&gt;="&amp;TableWeeklySummary[[#This Row],[Desde]],TableDailySummary[Fecha],"&lt;="&amp;TableWeeklySummary[[#This Row],[Hasta]])</f>
        <v>0</v>
      </c>
      <c r="V467" s="11">
        <f>SUMIFS(TableDailySummary[Inversión meta ads],TableDailySummary[Fecha],"&gt;="&amp;TableWeeklySummary[[#This Row],[Desde]],TableDailySummary[Fecha],"&lt;="&amp;TableWeeklySummary[[#This Row],[Hasta]])</f>
        <v>0</v>
      </c>
      <c r="W467" s="11">
        <f>SUMIFS(TableDailySummary[Ventas meta ads],TableDailySummary[Fecha],"&gt;="&amp;TableWeeklySummary[[#This Row],[Desde]],TableDailySummary[Fecha],"&lt;="&amp;TableWeeklySummary[[#This Row],[Hasta]])</f>
        <v>0</v>
      </c>
      <c r="X467" s="11">
        <f>TableWeeklySummary[[#This Row],[Inversión google ads]]+TableWeeklySummary[[#This Row],[Inversión meta ads]]</f>
        <v>0</v>
      </c>
      <c r="Y467" s="11">
        <f>TableWeeklySummary[[#This Row],[Ventas google ads]]+TableWeeklySummary[[#This Row],[Ventas meta ads]]</f>
        <v>0</v>
      </c>
      <c r="Z467" s="14">
        <f>IFERROR(TableWeeklySummary[[#This Row],[Ventas publicidad]]/TableWeeklySummary[[#This Row],[Inversión publicidad]],0)</f>
        <v>0</v>
      </c>
      <c r="AA467" s="14">
        <f>IFERROR(TableWeeklySummary[[#This Row],[Ventas primer cliente]]/TableWeeklySummary[[#This Row],[Inversión publicidad]],0)</f>
        <v>0</v>
      </c>
      <c r="AB467" s="14"/>
      <c r="AC467" s="11"/>
      <c r="AI46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7" s="11">
        <f>SUMIFS(TableDailySummary[Costo de ventas registrado],TableDailySummary[Fecha],"&gt;="&amp;TableWeeklySummary[[#This Row],[Desde]],TableDailySummary[Fecha],"&lt;="&amp;TableWeeklySummary[[#This Row],[Hasta]])</f>
        <v>0</v>
      </c>
      <c r="AK467" s="11">
        <f>SUMIFS(TableDailySummary[Utilidad bruta],TableDailySummary[Fecha],"&gt;="&amp;TableWeeklySummary[[#This Row],[Desde]],TableDailySummary[Fecha],"&lt;="&amp;TableWeeklySummary[[#This Row],[Hasta]])</f>
        <v>0</v>
      </c>
      <c r="AL467" s="18">
        <f>IFERROR(TableWeeklySummary[[#This Row],[Utilidad bruta]]/TableWeeklySummary[[#This Row],[Ventas netas con costo registrado]],0)</f>
        <v>0</v>
      </c>
    </row>
    <row r="468" spans="2:38" x14ac:dyDescent="0.2">
      <c r="B468" s="16">
        <f>_xlfn.ISOWEEKNUM(TableWeeklySummary[[#This Row],[Hasta]])</f>
        <v>40</v>
      </c>
      <c r="C468" s="6">
        <f t="shared" si="9"/>
        <v>47753</v>
      </c>
      <c r="D468" s="6">
        <f>TableWeeklySummary[[#This Row],[Desde]]+7-1</f>
        <v>47759</v>
      </c>
      <c r="E468" s="11">
        <f>SUMIFS(TableDailySummary[Ventas netas totales],TableDailySummary[Fecha],"&gt;="&amp;TableWeeklySummary[[#This Row],[Desde]],TableDailySummary[Fecha],"&lt;="&amp;TableWeeklySummary[[#This Row],[Hasta]])</f>
        <v>0</v>
      </c>
      <c r="F468" s="11">
        <f>SUMIFS(TableDailySummary[Órdenes totales],TableDailySummary[Fecha],"&gt;="&amp;TableWeeklySummary[[#This Row],[Desde]],TableDailySummary[Fecha],"&lt;="&amp;TableWeeklySummary[[#This Row],[Hasta]])</f>
        <v>0</v>
      </c>
      <c r="G468" s="11">
        <f>IFERROR(TableWeeklySummary[[#This Row],[Ventas netas totales]]/TableWeeklySummary[[#This Row],[Órdenes totales]],0)</f>
        <v>0</v>
      </c>
      <c r="H46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8" s="11">
        <f>TableWeeklySummary[[#This Row],[Órden promedio totales]]*TableWeeklySummary[[#This Row],[CR totales]]</f>
        <v>0</v>
      </c>
      <c r="J468" s="11">
        <f>SUMIFS(TableDailySummary[Ventas primer cliente],TableDailySummary[Fecha],"&gt;="&amp;TableWeeklySummary[[#This Row],[Desde]],TableDailySummary[Fecha],"&lt;="&amp;TableWeeklySummary[[#This Row],[Hasta]])</f>
        <v>0</v>
      </c>
      <c r="K468" s="11">
        <f>SUMIFS(TableDailySummary[Órdenes primer cliente],TableDailySummary[Fecha],"&gt;="&amp;TableWeeklySummary[[#This Row],[Desde]],TableDailySummary[Fecha],"&lt;="&amp;TableWeeklySummary[[#This Row],[Hasta]])</f>
        <v>0</v>
      </c>
      <c r="L468" s="11">
        <f>SUMIFS(TableDailySummary[Online Store_net_sales],TableDailySummary[Fecha],"&gt;="&amp;TableWeeklySummary[[#This Row],[Desde]],TableDailySummary[Fecha],"&lt;="&amp;TableWeeklySummary[[#This Row],[Hasta]])</f>
        <v>0</v>
      </c>
      <c r="M468" s="11">
        <f>SUMIFS(TableDailySummary[Online Store_orders],TableDailySummary[Fecha],"&gt;="&amp;TableWeeklySummary[[#This Row],[Desde]],TableDailySummary[Fecha],"&lt;="&amp;TableWeeklySummary[[#This Row],[Hasta]])</f>
        <v>0</v>
      </c>
      <c r="N468" s="11">
        <f>SUMIFS(TableDailySummary[Tienda 81_net_sales],TableDailySummary[Fecha],"&gt;="&amp;TableWeeklySummary[[#This Row],[Desde]],TableDailySummary[Fecha],"&lt;="&amp;TableWeeklySummary[[#This Row],[Hasta]])</f>
        <v>0</v>
      </c>
      <c r="O468" s="11">
        <f>SUMIFS(TableDailySummary[Tienda 81_orders],TableDailySummary[Fecha],"&gt;="&amp;TableWeeklySummary[[#This Row],[Desde]],TableDailySummary[Fecha],"&lt;="&amp;TableWeeklySummary[[#This Row],[Hasta]])</f>
        <v>0</v>
      </c>
      <c r="P468" s="11">
        <f>SUMIFS(TableDailySummary[Rappi_net_sales],TableDailySummary[Fecha],"&gt;="&amp;TableWeeklySummary[[#This Row],[Desde]],TableDailySummary[Fecha],"&lt;="&amp;TableWeeklySummary[[#This Row],[Hasta]])</f>
        <v>0</v>
      </c>
      <c r="Q468" s="11">
        <f>SUMIFS(TableDailySummary[Rappi_orders],TableDailySummary[Fecha],"&gt;="&amp;TableWeeklySummary[[#This Row],[Desde]],TableDailySummary[Fecha],"&lt;="&amp;TableWeeklySummary[[#This Row],[Hasta]])</f>
        <v>0</v>
      </c>
      <c r="R46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8" s="11">
        <f>SUMIFS(TableDailySummary[Corporativo no tienda_orders],TableDailySummary[Fecha],"&gt;="&amp;TableWeeklySummary[[#This Row],[Desde]],TableDailySummary[Fecha],"&lt;="&amp;TableWeeklySummary[[#This Row],[Hasta]])</f>
        <v>0</v>
      </c>
      <c r="T468" s="11">
        <f>SUMIFS(TableDailySummary[Inversión google ads],TableDailySummary[Fecha],"&gt;="&amp;TableWeeklySummary[[#This Row],[Desde]],TableDailySummary[Fecha],"&lt;="&amp;TableWeeklySummary[[#This Row],[Hasta]])</f>
        <v>0</v>
      </c>
      <c r="U468" s="11">
        <f>SUMIFS(TableDailySummary[Ventas google ads],TableDailySummary[Fecha],"&gt;="&amp;TableWeeklySummary[[#This Row],[Desde]],TableDailySummary[Fecha],"&lt;="&amp;TableWeeklySummary[[#This Row],[Hasta]])</f>
        <v>0</v>
      </c>
      <c r="V468" s="11">
        <f>SUMIFS(TableDailySummary[Inversión meta ads],TableDailySummary[Fecha],"&gt;="&amp;TableWeeklySummary[[#This Row],[Desde]],TableDailySummary[Fecha],"&lt;="&amp;TableWeeklySummary[[#This Row],[Hasta]])</f>
        <v>0</v>
      </c>
      <c r="W468" s="11">
        <f>SUMIFS(TableDailySummary[Ventas meta ads],TableDailySummary[Fecha],"&gt;="&amp;TableWeeklySummary[[#This Row],[Desde]],TableDailySummary[Fecha],"&lt;="&amp;TableWeeklySummary[[#This Row],[Hasta]])</f>
        <v>0</v>
      </c>
      <c r="X468" s="11">
        <f>TableWeeklySummary[[#This Row],[Inversión google ads]]+TableWeeklySummary[[#This Row],[Inversión meta ads]]</f>
        <v>0</v>
      </c>
      <c r="Y468" s="11">
        <f>TableWeeklySummary[[#This Row],[Ventas google ads]]+TableWeeklySummary[[#This Row],[Ventas meta ads]]</f>
        <v>0</v>
      </c>
      <c r="Z468" s="14">
        <f>IFERROR(TableWeeklySummary[[#This Row],[Ventas publicidad]]/TableWeeklySummary[[#This Row],[Inversión publicidad]],0)</f>
        <v>0</v>
      </c>
      <c r="AA468" s="14">
        <f>IFERROR(TableWeeklySummary[[#This Row],[Ventas primer cliente]]/TableWeeklySummary[[#This Row],[Inversión publicidad]],0)</f>
        <v>0</v>
      </c>
      <c r="AB468" s="14"/>
      <c r="AC468" s="11"/>
      <c r="AI46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8" s="11">
        <f>SUMIFS(TableDailySummary[Costo de ventas registrado],TableDailySummary[Fecha],"&gt;="&amp;TableWeeklySummary[[#This Row],[Desde]],TableDailySummary[Fecha],"&lt;="&amp;TableWeeklySummary[[#This Row],[Hasta]])</f>
        <v>0</v>
      </c>
      <c r="AK468" s="11">
        <f>SUMIFS(TableDailySummary[Utilidad bruta],TableDailySummary[Fecha],"&gt;="&amp;TableWeeklySummary[[#This Row],[Desde]],TableDailySummary[Fecha],"&lt;="&amp;TableWeeklySummary[[#This Row],[Hasta]])</f>
        <v>0</v>
      </c>
      <c r="AL468" s="18">
        <f>IFERROR(TableWeeklySummary[[#This Row],[Utilidad bruta]]/TableWeeklySummary[[#This Row],[Ventas netas con costo registrado]],0)</f>
        <v>0</v>
      </c>
    </row>
    <row r="469" spans="2:38" x14ac:dyDescent="0.2">
      <c r="B469" s="16">
        <f>_xlfn.ISOWEEKNUM(TableWeeklySummary[[#This Row],[Hasta]])</f>
        <v>41</v>
      </c>
      <c r="C469" s="6">
        <f t="shared" si="9"/>
        <v>47760</v>
      </c>
      <c r="D469" s="6">
        <f>TableWeeklySummary[[#This Row],[Desde]]+7-1</f>
        <v>47766</v>
      </c>
      <c r="E469" s="11">
        <f>SUMIFS(TableDailySummary[Ventas netas totales],TableDailySummary[Fecha],"&gt;="&amp;TableWeeklySummary[[#This Row],[Desde]],TableDailySummary[Fecha],"&lt;="&amp;TableWeeklySummary[[#This Row],[Hasta]])</f>
        <v>0</v>
      </c>
      <c r="F469" s="11">
        <f>SUMIFS(TableDailySummary[Órdenes totales],TableDailySummary[Fecha],"&gt;="&amp;TableWeeklySummary[[#This Row],[Desde]],TableDailySummary[Fecha],"&lt;="&amp;TableWeeklySummary[[#This Row],[Hasta]])</f>
        <v>0</v>
      </c>
      <c r="G469" s="11">
        <f>IFERROR(TableWeeklySummary[[#This Row],[Ventas netas totales]]/TableWeeklySummary[[#This Row],[Órdenes totales]],0)</f>
        <v>0</v>
      </c>
      <c r="H46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69" s="11">
        <f>TableWeeklySummary[[#This Row],[Órden promedio totales]]*TableWeeklySummary[[#This Row],[CR totales]]</f>
        <v>0</v>
      </c>
      <c r="J469" s="11">
        <f>SUMIFS(TableDailySummary[Ventas primer cliente],TableDailySummary[Fecha],"&gt;="&amp;TableWeeklySummary[[#This Row],[Desde]],TableDailySummary[Fecha],"&lt;="&amp;TableWeeklySummary[[#This Row],[Hasta]])</f>
        <v>0</v>
      </c>
      <c r="K469" s="11">
        <f>SUMIFS(TableDailySummary[Órdenes primer cliente],TableDailySummary[Fecha],"&gt;="&amp;TableWeeklySummary[[#This Row],[Desde]],TableDailySummary[Fecha],"&lt;="&amp;TableWeeklySummary[[#This Row],[Hasta]])</f>
        <v>0</v>
      </c>
      <c r="L469" s="11">
        <f>SUMIFS(TableDailySummary[Online Store_net_sales],TableDailySummary[Fecha],"&gt;="&amp;TableWeeklySummary[[#This Row],[Desde]],TableDailySummary[Fecha],"&lt;="&amp;TableWeeklySummary[[#This Row],[Hasta]])</f>
        <v>0</v>
      </c>
      <c r="M469" s="11">
        <f>SUMIFS(TableDailySummary[Online Store_orders],TableDailySummary[Fecha],"&gt;="&amp;TableWeeklySummary[[#This Row],[Desde]],TableDailySummary[Fecha],"&lt;="&amp;TableWeeklySummary[[#This Row],[Hasta]])</f>
        <v>0</v>
      </c>
      <c r="N469" s="11">
        <f>SUMIFS(TableDailySummary[Tienda 81_net_sales],TableDailySummary[Fecha],"&gt;="&amp;TableWeeklySummary[[#This Row],[Desde]],TableDailySummary[Fecha],"&lt;="&amp;TableWeeklySummary[[#This Row],[Hasta]])</f>
        <v>0</v>
      </c>
      <c r="O469" s="11">
        <f>SUMIFS(TableDailySummary[Tienda 81_orders],TableDailySummary[Fecha],"&gt;="&amp;TableWeeklySummary[[#This Row],[Desde]],TableDailySummary[Fecha],"&lt;="&amp;TableWeeklySummary[[#This Row],[Hasta]])</f>
        <v>0</v>
      </c>
      <c r="P469" s="11">
        <f>SUMIFS(TableDailySummary[Rappi_net_sales],TableDailySummary[Fecha],"&gt;="&amp;TableWeeklySummary[[#This Row],[Desde]],TableDailySummary[Fecha],"&lt;="&amp;TableWeeklySummary[[#This Row],[Hasta]])</f>
        <v>0</v>
      </c>
      <c r="Q469" s="11">
        <f>SUMIFS(TableDailySummary[Rappi_orders],TableDailySummary[Fecha],"&gt;="&amp;TableWeeklySummary[[#This Row],[Desde]],TableDailySummary[Fecha],"&lt;="&amp;TableWeeklySummary[[#This Row],[Hasta]])</f>
        <v>0</v>
      </c>
      <c r="R46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69" s="11">
        <f>SUMIFS(TableDailySummary[Corporativo no tienda_orders],TableDailySummary[Fecha],"&gt;="&amp;TableWeeklySummary[[#This Row],[Desde]],TableDailySummary[Fecha],"&lt;="&amp;TableWeeklySummary[[#This Row],[Hasta]])</f>
        <v>0</v>
      </c>
      <c r="T469" s="11">
        <f>SUMIFS(TableDailySummary[Inversión google ads],TableDailySummary[Fecha],"&gt;="&amp;TableWeeklySummary[[#This Row],[Desde]],TableDailySummary[Fecha],"&lt;="&amp;TableWeeklySummary[[#This Row],[Hasta]])</f>
        <v>0</v>
      </c>
      <c r="U469" s="11">
        <f>SUMIFS(TableDailySummary[Ventas google ads],TableDailySummary[Fecha],"&gt;="&amp;TableWeeklySummary[[#This Row],[Desde]],TableDailySummary[Fecha],"&lt;="&amp;TableWeeklySummary[[#This Row],[Hasta]])</f>
        <v>0</v>
      </c>
      <c r="V469" s="11">
        <f>SUMIFS(TableDailySummary[Inversión meta ads],TableDailySummary[Fecha],"&gt;="&amp;TableWeeklySummary[[#This Row],[Desde]],TableDailySummary[Fecha],"&lt;="&amp;TableWeeklySummary[[#This Row],[Hasta]])</f>
        <v>0</v>
      </c>
      <c r="W469" s="11">
        <f>SUMIFS(TableDailySummary[Ventas meta ads],TableDailySummary[Fecha],"&gt;="&amp;TableWeeklySummary[[#This Row],[Desde]],TableDailySummary[Fecha],"&lt;="&amp;TableWeeklySummary[[#This Row],[Hasta]])</f>
        <v>0</v>
      </c>
      <c r="X469" s="11">
        <f>TableWeeklySummary[[#This Row],[Inversión google ads]]+TableWeeklySummary[[#This Row],[Inversión meta ads]]</f>
        <v>0</v>
      </c>
      <c r="Y469" s="11">
        <f>TableWeeklySummary[[#This Row],[Ventas google ads]]+TableWeeklySummary[[#This Row],[Ventas meta ads]]</f>
        <v>0</v>
      </c>
      <c r="Z469" s="14">
        <f>IFERROR(TableWeeklySummary[[#This Row],[Ventas publicidad]]/TableWeeklySummary[[#This Row],[Inversión publicidad]],0)</f>
        <v>0</v>
      </c>
      <c r="AA469" s="14">
        <f>IFERROR(TableWeeklySummary[[#This Row],[Ventas primer cliente]]/TableWeeklySummary[[#This Row],[Inversión publicidad]],0)</f>
        <v>0</v>
      </c>
      <c r="AB469" s="14"/>
      <c r="AC469" s="11"/>
      <c r="AI46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69" s="11">
        <f>SUMIFS(TableDailySummary[Costo de ventas registrado],TableDailySummary[Fecha],"&gt;="&amp;TableWeeklySummary[[#This Row],[Desde]],TableDailySummary[Fecha],"&lt;="&amp;TableWeeklySummary[[#This Row],[Hasta]])</f>
        <v>0</v>
      </c>
      <c r="AK469" s="11">
        <f>SUMIFS(TableDailySummary[Utilidad bruta],TableDailySummary[Fecha],"&gt;="&amp;TableWeeklySummary[[#This Row],[Desde]],TableDailySummary[Fecha],"&lt;="&amp;TableWeeklySummary[[#This Row],[Hasta]])</f>
        <v>0</v>
      </c>
      <c r="AL469" s="18">
        <f>IFERROR(TableWeeklySummary[[#This Row],[Utilidad bruta]]/TableWeeklySummary[[#This Row],[Ventas netas con costo registrado]],0)</f>
        <v>0</v>
      </c>
    </row>
    <row r="470" spans="2:38" x14ac:dyDescent="0.2">
      <c r="B470" s="16">
        <f>_xlfn.ISOWEEKNUM(TableWeeklySummary[[#This Row],[Hasta]])</f>
        <v>42</v>
      </c>
      <c r="C470" s="6">
        <f t="shared" si="9"/>
        <v>47767</v>
      </c>
      <c r="D470" s="6">
        <f>TableWeeklySummary[[#This Row],[Desde]]+7-1</f>
        <v>47773</v>
      </c>
      <c r="E470" s="11">
        <f>SUMIFS(TableDailySummary[Ventas netas totales],TableDailySummary[Fecha],"&gt;="&amp;TableWeeklySummary[[#This Row],[Desde]],TableDailySummary[Fecha],"&lt;="&amp;TableWeeklySummary[[#This Row],[Hasta]])</f>
        <v>0</v>
      </c>
      <c r="F470" s="11">
        <f>SUMIFS(TableDailySummary[Órdenes totales],TableDailySummary[Fecha],"&gt;="&amp;TableWeeklySummary[[#This Row],[Desde]],TableDailySummary[Fecha],"&lt;="&amp;TableWeeklySummary[[#This Row],[Hasta]])</f>
        <v>0</v>
      </c>
      <c r="G470" s="11">
        <f>IFERROR(TableWeeklySummary[[#This Row],[Ventas netas totales]]/TableWeeklySummary[[#This Row],[Órdenes totales]],0)</f>
        <v>0</v>
      </c>
      <c r="H47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0" s="11">
        <f>TableWeeklySummary[[#This Row],[Órden promedio totales]]*TableWeeklySummary[[#This Row],[CR totales]]</f>
        <v>0</v>
      </c>
      <c r="J470" s="11">
        <f>SUMIFS(TableDailySummary[Ventas primer cliente],TableDailySummary[Fecha],"&gt;="&amp;TableWeeklySummary[[#This Row],[Desde]],TableDailySummary[Fecha],"&lt;="&amp;TableWeeklySummary[[#This Row],[Hasta]])</f>
        <v>0</v>
      </c>
      <c r="K470" s="11">
        <f>SUMIFS(TableDailySummary[Órdenes primer cliente],TableDailySummary[Fecha],"&gt;="&amp;TableWeeklySummary[[#This Row],[Desde]],TableDailySummary[Fecha],"&lt;="&amp;TableWeeklySummary[[#This Row],[Hasta]])</f>
        <v>0</v>
      </c>
      <c r="L470" s="11">
        <f>SUMIFS(TableDailySummary[Online Store_net_sales],TableDailySummary[Fecha],"&gt;="&amp;TableWeeklySummary[[#This Row],[Desde]],TableDailySummary[Fecha],"&lt;="&amp;TableWeeklySummary[[#This Row],[Hasta]])</f>
        <v>0</v>
      </c>
      <c r="M470" s="11">
        <f>SUMIFS(TableDailySummary[Online Store_orders],TableDailySummary[Fecha],"&gt;="&amp;TableWeeklySummary[[#This Row],[Desde]],TableDailySummary[Fecha],"&lt;="&amp;TableWeeklySummary[[#This Row],[Hasta]])</f>
        <v>0</v>
      </c>
      <c r="N470" s="11">
        <f>SUMIFS(TableDailySummary[Tienda 81_net_sales],TableDailySummary[Fecha],"&gt;="&amp;TableWeeklySummary[[#This Row],[Desde]],TableDailySummary[Fecha],"&lt;="&amp;TableWeeklySummary[[#This Row],[Hasta]])</f>
        <v>0</v>
      </c>
      <c r="O470" s="11">
        <f>SUMIFS(TableDailySummary[Tienda 81_orders],TableDailySummary[Fecha],"&gt;="&amp;TableWeeklySummary[[#This Row],[Desde]],TableDailySummary[Fecha],"&lt;="&amp;TableWeeklySummary[[#This Row],[Hasta]])</f>
        <v>0</v>
      </c>
      <c r="P470" s="11">
        <f>SUMIFS(TableDailySummary[Rappi_net_sales],TableDailySummary[Fecha],"&gt;="&amp;TableWeeklySummary[[#This Row],[Desde]],TableDailySummary[Fecha],"&lt;="&amp;TableWeeklySummary[[#This Row],[Hasta]])</f>
        <v>0</v>
      </c>
      <c r="Q470" s="11">
        <f>SUMIFS(TableDailySummary[Rappi_orders],TableDailySummary[Fecha],"&gt;="&amp;TableWeeklySummary[[#This Row],[Desde]],TableDailySummary[Fecha],"&lt;="&amp;TableWeeklySummary[[#This Row],[Hasta]])</f>
        <v>0</v>
      </c>
      <c r="R47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0" s="11">
        <f>SUMIFS(TableDailySummary[Corporativo no tienda_orders],TableDailySummary[Fecha],"&gt;="&amp;TableWeeklySummary[[#This Row],[Desde]],TableDailySummary[Fecha],"&lt;="&amp;TableWeeklySummary[[#This Row],[Hasta]])</f>
        <v>0</v>
      </c>
      <c r="T470" s="11">
        <f>SUMIFS(TableDailySummary[Inversión google ads],TableDailySummary[Fecha],"&gt;="&amp;TableWeeklySummary[[#This Row],[Desde]],TableDailySummary[Fecha],"&lt;="&amp;TableWeeklySummary[[#This Row],[Hasta]])</f>
        <v>0</v>
      </c>
      <c r="U470" s="11">
        <f>SUMIFS(TableDailySummary[Ventas google ads],TableDailySummary[Fecha],"&gt;="&amp;TableWeeklySummary[[#This Row],[Desde]],TableDailySummary[Fecha],"&lt;="&amp;TableWeeklySummary[[#This Row],[Hasta]])</f>
        <v>0</v>
      </c>
      <c r="V470" s="11">
        <f>SUMIFS(TableDailySummary[Inversión meta ads],TableDailySummary[Fecha],"&gt;="&amp;TableWeeklySummary[[#This Row],[Desde]],TableDailySummary[Fecha],"&lt;="&amp;TableWeeklySummary[[#This Row],[Hasta]])</f>
        <v>0</v>
      </c>
      <c r="W470" s="11">
        <f>SUMIFS(TableDailySummary[Ventas meta ads],TableDailySummary[Fecha],"&gt;="&amp;TableWeeklySummary[[#This Row],[Desde]],TableDailySummary[Fecha],"&lt;="&amp;TableWeeklySummary[[#This Row],[Hasta]])</f>
        <v>0</v>
      </c>
      <c r="X470" s="11">
        <f>TableWeeklySummary[[#This Row],[Inversión google ads]]+TableWeeklySummary[[#This Row],[Inversión meta ads]]</f>
        <v>0</v>
      </c>
      <c r="Y470" s="11">
        <f>TableWeeklySummary[[#This Row],[Ventas google ads]]+TableWeeklySummary[[#This Row],[Ventas meta ads]]</f>
        <v>0</v>
      </c>
      <c r="Z470" s="14">
        <f>IFERROR(TableWeeklySummary[[#This Row],[Ventas publicidad]]/TableWeeklySummary[[#This Row],[Inversión publicidad]],0)</f>
        <v>0</v>
      </c>
      <c r="AA470" s="14">
        <f>IFERROR(TableWeeklySummary[[#This Row],[Ventas primer cliente]]/TableWeeklySummary[[#This Row],[Inversión publicidad]],0)</f>
        <v>0</v>
      </c>
      <c r="AB470" s="14"/>
      <c r="AC470" s="11"/>
      <c r="AI47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0" s="11">
        <f>SUMIFS(TableDailySummary[Costo de ventas registrado],TableDailySummary[Fecha],"&gt;="&amp;TableWeeklySummary[[#This Row],[Desde]],TableDailySummary[Fecha],"&lt;="&amp;TableWeeklySummary[[#This Row],[Hasta]])</f>
        <v>0</v>
      </c>
      <c r="AK470" s="11">
        <f>SUMIFS(TableDailySummary[Utilidad bruta],TableDailySummary[Fecha],"&gt;="&amp;TableWeeklySummary[[#This Row],[Desde]],TableDailySummary[Fecha],"&lt;="&amp;TableWeeklySummary[[#This Row],[Hasta]])</f>
        <v>0</v>
      </c>
      <c r="AL470" s="18">
        <f>IFERROR(TableWeeklySummary[[#This Row],[Utilidad bruta]]/TableWeeklySummary[[#This Row],[Ventas netas con costo registrado]],0)</f>
        <v>0</v>
      </c>
    </row>
    <row r="471" spans="2:38" x14ac:dyDescent="0.2">
      <c r="B471" s="16">
        <f>_xlfn.ISOWEEKNUM(TableWeeklySummary[[#This Row],[Hasta]])</f>
        <v>43</v>
      </c>
      <c r="C471" s="6">
        <f t="shared" si="9"/>
        <v>47774</v>
      </c>
      <c r="D471" s="6">
        <f>TableWeeklySummary[[#This Row],[Desde]]+7-1</f>
        <v>47780</v>
      </c>
      <c r="E471" s="11">
        <f>SUMIFS(TableDailySummary[Ventas netas totales],TableDailySummary[Fecha],"&gt;="&amp;TableWeeklySummary[[#This Row],[Desde]],TableDailySummary[Fecha],"&lt;="&amp;TableWeeklySummary[[#This Row],[Hasta]])</f>
        <v>0</v>
      </c>
      <c r="F471" s="11">
        <f>SUMIFS(TableDailySummary[Órdenes totales],TableDailySummary[Fecha],"&gt;="&amp;TableWeeklySummary[[#This Row],[Desde]],TableDailySummary[Fecha],"&lt;="&amp;TableWeeklySummary[[#This Row],[Hasta]])</f>
        <v>0</v>
      </c>
      <c r="G471" s="11">
        <f>IFERROR(TableWeeklySummary[[#This Row],[Ventas netas totales]]/TableWeeklySummary[[#This Row],[Órdenes totales]],0)</f>
        <v>0</v>
      </c>
      <c r="H47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1" s="11">
        <f>TableWeeklySummary[[#This Row],[Órden promedio totales]]*TableWeeklySummary[[#This Row],[CR totales]]</f>
        <v>0</v>
      </c>
      <c r="J471" s="11">
        <f>SUMIFS(TableDailySummary[Ventas primer cliente],TableDailySummary[Fecha],"&gt;="&amp;TableWeeklySummary[[#This Row],[Desde]],TableDailySummary[Fecha],"&lt;="&amp;TableWeeklySummary[[#This Row],[Hasta]])</f>
        <v>0</v>
      </c>
      <c r="K471" s="11">
        <f>SUMIFS(TableDailySummary[Órdenes primer cliente],TableDailySummary[Fecha],"&gt;="&amp;TableWeeklySummary[[#This Row],[Desde]],TableDailySummary[Fecha],"&lt;="&amp;TableWeeklySummary[[#This Row],[Hasta]])</f>
        <v>0</v>
      </c>
      <c r="L471" s="11">
        <f>SUMIFS(TableDailySummary[Online Store_net_sales],TableDailySummary[Fecha],"&gt;="&amp;TableWeeklySummary[[#This Row],[Desde]],TableDailySummary[Fecha],"&lt;="&amp;TableWeeklySummary[[#This Row],[Hasta]])</f>
        <v>0</v>
      </c>
      <c r="M471" s="11">
        <f>SUMIFS(TableDailySummary[Online Store_orders],TableDailySummary[Fecha],"&gt;="&amp;TableWeeklySummary[[#This Row],[Desde]],TableDailySummary[Fecha],"&lt;="&amp;TableWeeklySummary[[#This Row],[Hasta]])</f>
        <v>0</v>
      </c>
      <c r="N471" s="11">
        <f>SUMIFS(TableDailySummary[Tienda 81_net_sales],TableDailySummary[Fecha],"&gt;="&amp;TableWeeklySummary[[#This Row],[Desde]],TableDailySummary[Fecha],"&lt;="&amp;TableWeeklySummary[[#This Row],[Hasta]])</f>
        <v>0</v>
      </c>
      <c r="O471" s="11">
        <f>SUMIFS(TableDailySummary[Tienda 81_orders],TableDailySummary[Fecha],"&gt;="&amp;TableWeeklySummary[[#This Row],[Desde]],TableDailySummary[Fecha],"&lt;="&amp;TableWeeklySummary[[#This Row],[Hasta]])</f>
        <v>0</v>
      </c>
      <c r="P471" s="11">
        <f>SUMIFS(TableDailySummary[Rappi_net_sales],TableDailySummary[Fecha],"&gt;="&amp;TableWeeklySummary[[#This Row],[Desde]],TableDailySummary[Fecha],"&lt;="&amp;TableWeeklySummary[[#This Row],[Hasta]])</f>
        <v>0</v>
      </c>
      <c r="Q471" s="11">
        <f>SUMIFS(TableDailySummary[Rappi_orders],TableDailySummary[Fecha],"&gt;="&amp;TableWeeklySummary[[#This Row],[Desde]],TableDailySummary[Fecha],"&lt;="&amp;TableWeeklySummary[[#This Row],[Hasta]])</f>
        <v>0</v>
      </c>
      <c r="R47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1" s="11">
        <f>SUMIFS(TableDailySummary[Corporativo no tienda_orders],TableDailySummary[Fecha],"&gt;="&amp;TableWeeklySummary[[#This Row],[Desde]],TableDailySummary[Fecha],"&lt;="&amp;TableWeeklySummary[[#This Row],[Hasta]])</f>
        <v>0</v>
      </c>
      <c r="T471" s="11">
        <f>SUMIFS(TableDailySummary[Inversión google ads],TableDailySummary[Fecha],"&gt;="&amp;TableWeeklySummary[[#This Row],[Desde]],TableDailySummary[Fecha],"&lt;="&amp;TableWeeklySummary[[#This Row],[Hasta]])</f>
        <v>0</v>
      </c>
      <c r="U471" s="11">
        <f>SUMIFS(TableDailySummary[Ventas google ads],TableDailySummary[Fecha],"&gt;="&amp;TableWeeklySummary[[#This Row],[Desde]],TableDailySummary[Fecha],"&lt;="&amp;TableWeeklySummary[[#This Row],[Hasta]])</f>
        <v>0</v>
      </c>
      <c r="V471" s="11">
        <f>SUMIFS(TableDailySummary[Inversión meta ads],TableDailySummary[Fecha],"&gt;="&amp;TableWeeklySummary[[#This Row],[Desde]],TableDailySummary[Fecha],"&lt;="&amp;TableWeeklySummary[[#This Row],[Hasta]])</f>
        <v>0</v>
      </c>
      <c r="W471" s="11">
        <f>SUMIFS(TableDailySummary[Ventas meta ads],TableDailySummary[Fecha],"&gt;="&amp;TableWeeklySummary[[#This Row],[Desde]],TableDailySummary[Fecha],"&lt;="&amp;TableWeeklySummary[[#This Row],[Hasta]])</f>
        <v>0</v>
      </c>
      <c r="X471" s="11">
        <f>TableWeeklySummary[[#This Row],[Inversión google ads]]+TableWeeklySummary[[#This Row],[Inversión meta ads]]</f>
        <v>0</v>
      </c>
      <c r="Y471" s="11">
        <f>TableWeeklySummary[[#This Row],[Ventas google ads]]+TableWeeklySummary[[#This Row],[Ventas meta ads]]</f>
        <v>0</v>
      </c>
      <c r="Z471" s="14">
        <f>IFERROR(TableWeeklySummary[[#This Row],[Ventas publicidad]]/TableWeeklySummary[[#This Row],[Inversión publicidad]],0)</f>
        <v>0</v>
      </c>
      <c r="AA471" s="14">
        <f>IFERROR(TableWeeklySummary[[#This Row],[Ventas primer cliente]]/TableWeeklySummary[[#This Row],[Inversión publicidad]],0)</f>
        <v>0</v>
      </c>
      <c r="AB471" s="14"/>
      <c r="AC471" s="11"/>
      <c r="AI47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1" s="11">
        <f>SUMIFS(TableDailySummary[Costo de ventas registrado],TableDailySummary[Fecha],"&gt;="&amp;TableWeeklySummary[[#This Row],[Desde]],TableDailySummary[Fecha],"&lt;="&amp;TableWeeklySummary[[#This Row],[Hasta]])</f>
        <v>0</v>
      </c>
      <c r="AK471" s="11">
        <f>SUMIFS(TableDailySummary[Utilidad bruta],TableDailySummary[Fecha],"&gt;="&amp;TableWeeklySummary[[#This Row],[Desde]],TableDailySummary[Fecha],"&lt;="&amp;TableWeeklySummary[[#This Row],[Hasta]])</f>
        <v>0</v>
      </c>
      <c r="AL471" s="18">
        <f>IFERROR(TableWeeklySummary[[#This Row],[Utilidad bruta]]/TableWeeklySummary[[#This Row],[Ventas netas con costo registrado]],0)</f>
        <v>0</v>
      </c>
    </row>
    <row r="472" spans="2:38" x14ac:dyDescent="0.2">
      <c r="B472" s="16">
        <f>_xlfn.ISOWEEKNUM(TableWeeklySummary[[#This Row],[Hasta]])</f>
        <v>44</v>
      </c>
      <c r="C472" s="6">
        <f t="shared" si="9"/>
        <v>47781</v>
      </c>
      <c r="D472" s="6">
        <f>TableWeeklySummary[[#This Row],[Desde]]+7-1</f>
        <v>47787</v>
      </c>
      <c r="E472" s="11">
        <f>SUMIFS(TableDailySummary[Ventas netas totales],TableDailySummary[Fecha],"&gt;="&amp;TableWeeklySummary[[#This Row],[Desde]],TableDailySummary[Fecha],"&lt;="&amp;TableWeeklySummary[[#This Row],[Hasta]])</f>
        <v>0</v>
      </c>
      <c r="F472" s="11">
        <f>SUMIFS(TableDailySummary[Órdenes totales],TableDailySummary[Fecha],"&gt;="&amp;TableWeeklySummary[[#This Row],[Desde]],TableDailySummary[Fecha],"&lt;="&amp;TableWeeklySummary[[#This Row],[Hasta]])</f>
        <v>0</v>
      </c>
      <c r="G472" s="11">
        <f>IFERROR(TableWeeklySummary[[#This Row],[Ventas netas totales]]/TableWeeklySummary[[#This Row],[Órdenes totales]],0)</f>
        <v>0</v>
      </c>
      <c r="H47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2" s="11">
        <f>TableWeeklySummary[[#This Row],[Órden promedio totales]]*TableWeeklySummary[[#This Row],[CR totales]]</f>
        <v>0</v>
      </c>
      <c r="J472" s="11">
        <f>SUMIFS(TableDailySummary[Ventas primer cliente],TableDailySummary[Fecha],"&gt;="&amp;TableWeeklySummary[[#This Row],[Desde]],TableDailySummary[Fecha],"&lt;="&amp;TableWeeklySummary[[#This Row],[Hasta]])</f>
        <v>0</v>
      </c>
      <c r="K472" s="11">
        <f>SUMIFS(TableDailySummary[Órdenes primer cliente],TableDailySummary[Fecha],"&gt;="&amp;TableWeeklySummary[[#This Row],[Desde]],TableDailySummary[Fecha],"&lt;="&amp;TableWeeklySummary[[#This Row],[Hasta]])</f>
        <v>0</v>
      </c>
      <c r="L472" s="11">
        <f>SUMIFS(TableDailySummary[Online Store_net_sales],TableDailySummary[Fecha],"&gt;="&amp;TableWeeklySummary[[#This Row],[Desde]],TableDailySummary[Fecha],"&lt;="&amp;TableWeeklySummary[[#This Row],[Hasta]])</f>
        <v>0</v>
      </c>
      <c r="M472" s="11">
        <f>SUMIFS(TableDailySummary[Online Store_orders],TableDailySummary[Fecha],"&gt;="&amp;TableWeeklySummary[[#This Row],[Desde]],TableDailySummary[Fecha],"&lt;="&amp;TableWeeklySummary[[#This Row],[Hasta]])</f>
        <v>0</v>
      </c>
      <c r="N472" s="11">
        <f>SUMIFS(TableDailySummary[Tienda 81_net_sales],TableDailySummary[Fecha],"&gt;="&amp;TableWeeklySummary[[#This Row],[Desde]],TableDailySummary[Fecha],"&lt;="&amp;TableWeeklySummary[[#This Row],[Hasta]])</f>
        <v>0</v>
      </c>
      <c r="O472" s="11">
        <f>SUMIFS(TableDailySummary[Tienda 81_orders],TableDailySummary[Fecha],"&gt;="&amp;TableWeeklySummary[[#This Row],[Desde]],TableDailySummary[Fecha],"&lt;="&amp;TableWeeklySummary[[#This Row],[Hasta]])</f>
        <v>0</v>
      </c>
      <c r="P472" s="11">
        <f>SUMIFS(TableDailySummary[Rappi_net_sales],TableDailySummary[Fecha],"&gt;="&amp;TableWeeklySummary[[#This Row],[Desde]],TableDailySummary[Fecha],"&lt;="&amp;TableWeeklySummary[[#This Row],[Hasta]])</f>
        <v>0</v>
      </c>
      <c r="Q472" s="11">
        <f>SUMIFS(TableDailySummary[Rappi_orders],TableDailySummary[Fecha],"&gt;="&amp;TableWeeklySummary[[#This Row],[Desde]],TableDailySummary[Fecha],"&lt;="&amp;TableWeeklySummary[[#This Row],[Hasta]])</f>
        <v>0</v>
      </c>
      <c r="R47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2" s="11">
        <f>SUMIFS(TableDailySummary[Corporativo no tienda_orders],TableDailySummary[Fecha],"&gt;="&amp;TableWeeklySummary[[#This Row],[Desde]],TableDailySummary[Fecha],"&lt;="&amp;TableWeeklySummary[[#This Row],[Hasta]])</f>
        <v>0</v>
      </c>
      <c r="T472" s="11">
        <f>SUMIFS(TableDailySummary[Inversión google ads],TableDailySummary[Fecha],"&gt;="&amp;TableWeeklySummary[[#This Row],[Desde]],TableDailySummary[Fecha],"&lt;="&amp;TableWeeklySummary[[#This Row],[Hasta]])</f>
        <v>0</v>
      </c>
      <c r="U472" s="11">
        <f>SUMIFS(TableDailySummary[Ventas google ads],TableDailySummary[Fecha],"&gt;="&amp;TableWeeklySummary[[#This Row],[Desde]],TableDailySummary[Fecha],"&lt;="&amp;TableWeeklySummary[[#This Row],[Hasta]])</f>
        <v>0</v>
      </c>
      <c r="V472" s="11">
        <f>SUMIFS(TableDailySummary[Inversión meta ads],TableDailySummary[Fecha],"&gt;="&amp;TableWeeklySummary[[#This Row],[Desde]],TableDailySummary[Fecha],"&lt;="&amp;TableWeeklySummary[[#This Row],[Hasta]])</f>
        <v>0</v>
      </c>
      <c r="W472" s="11">
        <f>SUMIFS(TableDailySummary[Ventas meta ads],TableDailySummary[Fecha],"&gt;="&amp;TableWeeklySummary[[#This Row],[Desde]],TableDailySummary[Fecha],"&lt;="&amp;TableWeeklySummary[[#This Row],[Hasta]])</f>
        <v>0</v>
      </c>
      <c r="X472" s="11">
        <f>TableWeeklySummary[[#This Row],[Inversión google ads]]+TableWeeklySummary[[#This Row],[Inversión meta ads]]</f>
        <v>0</v>
      </c>
      <c r="Y472" s="11">
        <f>TableWeeklySummary[[#This Row],[Ventas google ads]]+TableWeeklySummary[[#This Row],[Ventas meta ads]]</f>
        <v>0</v>
      </c>
      <c r="Z472" s="14">
        <f>IFERROR(TableWeeklySummary[[#This Row],[Ventas publicidad]]/TableWeeklySummary[[#This Row],[Inversión publicidad]],0)</f>
        <v>0</v>
      </c>
      <c r="AA472" s="14">
        <f>IFERROR(TableWeeklySummary[[#This Row],[Ventas primer cliente]]/TableWeeklySummary[[#This Row],[Inversión publicidad]],0)</f>
        <v>0</v>
      </c>
      <c r="AB472" s="14"/>
      <c r="AC472" s="11"/>
      <c r="AI47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2" s="11">
        <f>SUMIFS(TableDailySummary[Costo de ventas registrado],TableDailySummary[Fecha],"&gt;="&amp;TableWeeklySummary[[#This Row],[Desde]],TableDailySummary[Fecha],"&lt;="&amp;TableWeeklySummary[[#This Row],[Hasta]])</f>
        <v>0</v>
      </c>
      <c r="AK472" s="11">
        <f>SUMIFS(TableDailySummary[Utilidad bruta],TableDailySummary[Fecha],"&gt;="&amp;TableWeeklySummary[[#This Row],[Desde]],TableDailySummary[Fecha],"&lt;="&amp;TableWeeklySummary[[#This Row],[Hasta]])</f>
        <v>0</v>
      </c>
      <c r="AL472" s="18">
        <f>IFERROR(TableWeeklySummary[[#This Row],[Utilidad bruta]]/TableWeeklySummary[[#This Row],[Ventas netas con costo registrado]],0)</f>
        <v>0</v>
      </c>
    </row>
    <row r="473" spans="2:38" x14ac:dyDescent="0.2">
      <c r="B473" s="16">
        <f>_xlfn.ISOWEEKNUM(TableWeeklySummary[[#This Row],[Hasta]])</f>
        <v>45</v>
      </c>
      <c r="C473" s="6">
        <f t="shared" si="9"/>
        <v>47788</v>
      </c>
      <c r="D473" s="6">
        <f>TableWeeklySummary[[#This Row],[Desde]]+7-1</f>
        <v>47794</v>
      </c>
      <c r="E473" s="11">
        <f>SUMIFS(TableDailySummary[Ventas netas totales],TableDailySummary[Fecha],"&gt;="&amp;TableWeeklySummary[[#This Row],[Desde]],TableDailySummary[Fecha],"&lt;="&amp;TableWeeklySummary[[#This Row],[Hasta]])</f>
        <v>0</v>
      </c>
      <c r="F473" s="11">
        <f>SUMIFS(TableDailySummary[Órdenes totales],TableDailySummary[Fecha],"&gt;="&amp;TableWeeklySummary[[#This Row],[Desde]],TableDailySummary[Fecha],"&lt;="&amp;TableWeeklySummary[[#This Row],[Hasta]])</f>
        <v>0</v>
      </c>
      <c r="G473" s="11">
        <f>IFERROR(TableWeeklySummary[[#This Row],[Ventas netas totales]]/TableWeeklySummary[[#This Row],[Órdenes totales]],0)</f>
        <v>0</v>
      </c>
      <c r="H47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3" s="11">
        <f>TableWeeklySummary[[#This Row],[Órden promedio totales]]*TableWeeklySummary[[#This Row],[CR totales]]</f>
        <v>0</v>
      </c>
      <c r="J473" s="11">
        <f>SUMIFS(TableDailySummary[Ventas primer cliente],TableDailySummary[Fecha],"&gt;="&amp;TableWeeklySummary[[#This Row],[Desde]],TableDailySummary[Fecha],"&lt;="&amp;TableWeeklySummary[[#This Row],[Hasta]])</f>
        <v>0</v>
      </c>
      <c r="K473" s="11">
        <f>SUMIFS(TableDailySummary[Órdenes primer cliente],TableDailySummary[Fecha],"&gt;="&amp;TableWeeklySummary[[#This Row],[Desde]],TableDailySummary[Fecha],"&lt;="&amp;TableWeeklySummary[[#This Row],[Hasta]])</f>
        <v>0</v>
      </c>
      <c r="L473" s="11">
        <f>SUMIFS(TableDailySummary[Online Store_net_sales],TableDailySummary[Fecha],"&gt;="&amp;TableWeeklySummary[[#This Row],[Desde]],TableDailySummary[Fecha],"&lt;="&amp;TableWeeklySummary[[#This Row],[Hasta]])</f>
        <v>0</v>
      </c>
      <c r="M473" s="11">
        <f>SUMIFS(TableDailySummary[Online Store_orders],TableDailySummary[Fecha],"&gt;="&amp;TableWeeklySummary[[#This Row],[Desde]],TableDailySummary[Fecha],"&lt;="&amp;TableWeeklySummary[[#This Row],[Hasta]])</f>
        <v>0</v>
      </c>
      <c r="N473" s="11">
        <f>SUMIFS(TableDailySummary[Tienda 81_net_sales],TableDailySummary[Fecha],"&gt;="&amp;TableWeeklySummary[[#This Row],[Desde]],TableDailySummary[Fecha],"&lt;="&amp;TableWeeklySummary[[#This Row],[Hasta]])</f>
        <v>0</v>
      </c>
      <c r="O473" s="11">
        <f>SUMIFS(TableDailySummary[Tienda 81_orders],TableDailySummary[Fecha],"&gt;="&amp;TableWeeklySummary[[#This Row],[Desde]],TableDailySummary[Fecha],"&lt;="&amp;TableWeeklySummary[[#This Row],[Hasta]])</f>
        <v>0</v>
      </c>
      <c r="P473" s="11">
        <f>SUMIFS(TableDailySummary[Rappi_net_sales],TableDailySummary[Fecha],"&gt;="&amp;TableWeeklySummary[[#This Row],[Desde]],TableDailySummary[Fecha],"&lt;="&amp;TableWeeklySummary[[#This Row],[Hasta]])</f>
        <v>0</v>
      </c>
      <c r="Q473" s="11">
        <f>SUMIFS(TableDailySummary[Rappi_orders],TableDailySummary[Fecha],"&gt;="&amp;TableWeeklySummary[[#This Row],[Desde]],TableDailySummary[Fecha],"&lt;="&amp;TableWeeklySummary[[#This Row],[Hasta]])</f>
        <v>0</v>
      </c>
      <c r="R47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3" s="11">
        <f>SUMIFS(TableDailySummary[Corporativo no tienda_orders],TableDailySummary[Fecha],"&gt;="&amp;TableWeeklySummary[[#This Row],[Desde]],TableDailySummary[Fecha],"&lt;="&amp;TableWeeklySummary[[#This Row],[Hasta]])</f>
        <v>0</v>
      </c>
      <c r="T473" s="11">
        <f>SUMIFS(TableDailySummary[Inversión google ads],TableDailySummary[Fecha],"&gt;="&amp;TableWeeklySummary[[#This Row],[Desde]],TableDailySummary[Fecha],"&lt;="&amp;TableWeeklySummary[[#This Row],[Hasta]])</f>
        <v>0</v>
      </c>
      <c r="U473" s="11">
        <f>SUMIFS(TableDailySummary[Ventas google ads],TableDailySummary[Fecha],"&gt;="&amp;TableWeeklySummary[[#This Row],[Desde]],TableDailySummary[Fecha],"&lt;="&amp;TableWeeklySummary[[#This Row],[Hasta]])</f>
        <v>0</v>
      </c>
      <c r="V473" s="11">
        <f>SUMIFS(TableDailySummary[Inversión meta ads],TableDailySummary[Fecha],"&gt;="&amp;TableWeeklySummary[[#This Row],[Desde]],TableDailySummary[Fecha],"&lt;="&amp;TableWeeklySummary[[#This Row],[Hasta]])</f>
        <v>0</v>
      </c>
      <c r="W473" s="11">
        <f>SUMIFS(TableDailySummary[Ventas meta ads],TableDailySummary[Fecha],"&gt;="&amp;TableWeeklySummary[[#This Row],[Desde]],TableDailySummary[Fecha],"&lt;="&amp;TableWeeklySummary[[#This Row],[Hasta]])</f>
        <v>0</v>
      </c>
      <c r="X473" s="11">
        <f>TableWeeklySummary[[#This Row],[Inversión google ads]]+TableWeeklySummary[[#This Row],[Inversión meta ads]]</f>
        <v>0</v>
      </c>
      <c r="Y473" s="11">
        <f>TableWeeklySummary[[#This Row],[Ventas google ads]]+TableWeeklySummary[[#This Row],[Ventas meta ads]]</f>
        <v>0</v>
      </c>
      <c r="Z473" s="14">
        <f>IFERROR(TableWeeklySummary[[#This Row],[Ventas publicidad]]/TableWeeklySummary[[#This Row],[Inversión publicidad]],0)</f>
        <v>0</v>
      </c>
      <c r="AA473" s="14">
        <f>IFERROR(TableWeeklySummary[[#This Row],[Ventas primer cliente]]/TableWeeklySummary[[#This Row],[Inversión publicidad]],0)</f>
        <v>0</v>
      </c>
      <c r="AB473" s="14"/>
      <c r="AC473" s="11"/>
      <c r="AI47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3" s="11">
        <f>SUMIFS(TableDailySummary[Costo de ventas registrado],TableDailySummary[Fecha],"&gt;="&amp;TableWeeklySummary[[#This Row],[Desde]],TableDailySummary[Fecha],"&lt;="&amp;TableWeeklySummary[[#This Row],[Hasta]])</f>
        <v>0</v>
      </c>
      <c r="AK473" s="11">
        <f>SUMIFS(TableDailySummary[Utilidad bruta],TableDailySummary[Fecha],"&gt;="&amp;TableWeeklySummary[[#This Row],[Desde]],TableDailySummary[Fecha],"&lt;="&amp;TableWeeklySummary[[#This Row],[Hasta]])</f>
        <v>0</v>
      </c>
      <c r="AL473" s="18">
        <f>IFERROR(TableWeeklySummary[[#This Row],[Utilidad bruta]]/TableWeeklySummary[[#This Row],[Ventas netas con costo registrado]],0)</f>
        <v>0</v>
      </c>
    </row>
    <row r="474" spans="2:38" x14ac:dyDescent="0.2">
      <c r="B474" s="16">
        <f>_xlfn.ISOWEEKNUM(TableWeeklySummary[[#This Row],[Hasta]])</f>
        <v>46</v>
      </c>
      <c r="C474" s="6">
        <f t="shared" si="9"/>
        <v>47795</v>
      </c>
      <c r="D474" s="6">
        <f>TableWeeklySummary[[#This Row],[Desde]]+7-1</f>
        <v>47801</v>
      </c>
      <c r="E474" s="11">
        <f>SUMIFS(TableDailySummary[Ventas netas totales],TableDailySummary[Fecha],"&gt;="&amp;TableWeeklySummary[[#This Row],[Desde]],TableDailySummary[Fecha],"&lt;="&amp;TableWeeklySummary[[#This Row],[Hasta]])</f>
        <v>0</v>
      </c>
      <c r="F474" s="11">
        <f>SUMIFS(TableDailySummary[Órdenes totales],TableDailySummary[Fecha],"&gt;="&amp;TableWeeklySummary[[#This Row],[Desde]],TableDailySummary[Fecha],"&lt;="&amp;TableWeeklySummary[[#This Row],[Hasta]])</f>
        <v>0</v>
      </c>
      <c r="G474" s="11">
        <f>IFERROR(TableWeeklySummary[[#This Row],[Ventas netas totales]]/TableWeeklySummary[[#This Row],[Órdenes totales]],0)</f>
        <v>0</v>
      </c>
      <c r="H47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4" s="11">
        <f>TableWeeklySummary[[#This Row],[Órden promedio totales]]*TableWeeklySummary[[#This Row],[CR totales]]</f>
        <v>0</v>
      </c>
      <c r="J474" s="11">
        <f>SUMIFS(TableDailySummary[Ventas primer cliente],TableDailySummary[Fecha],"&gt;="&amp;TableWeeklySummary[[#This Row],[Desde]],TableDailySummary[Fecha],"&lt;="&amp;TableWeeklySummary[[#This Row],[Hasta]])</f>
        <v>0</v>
      </c>
      <c r="K474" s="11">
        <f>SUMIFS(TableDailySummary[Órdenes primer cliente],TableDailySummary[Fecha],"&gt;="&amp;TableWeeklySummary[[#This Row],[Desde]],TableDailySummary[Fecha],"&lt;="&amp;TableWeeklySummary[[#This Row],[Hasta]])</f>
        <v>0</v>
      </c>
      <c r="L474" s="11">
        <f>SUMIFS(TableDailySummary[Online Store_net_sales],TableDailySummary[Fecha],"&gt;="&amp;TableWeeklySummary[[#This Row],[Desde]],TableDailySummary[Fecha],"&lt;="&amp;TableWeeklySummary[[#This Row],[Hasta]])</f>
        <v>0</v>
      </c>
      <c r="M474" s="11">
        <f>SUMIFS(TableDailySummary[Online Store_orders],TableDailySummary[Fecha],"&gt;="&amp;TableWeeklySummary[[#This Row],[Desde]],TableDailySummary[Fecha],"&lt;="&amp;TableWeeklySummary[[#This Row],[Hasta]])</f>
        <v>0</v>
      </c>
      <c r="N474" s="11">
        <f>SUMIFS(TableDailySummary[Tienda 81_net_sales],TableDailySummary[Fecha],"&gt;="&amp;TableWeeklySummary[[#This Row],[Desde]],TableDailySummary[Fecha],"&lt;="&amp;TableWeeklySummary[[#This Row],[Hasta]])</f>
        <v>0</v>
      </c>
      <c r="O474" s="11">
        <f>SUMIFS(TableDailySummary[Tienda 81_orders],TableDailySummary[Fecha],"&gt;="&amp;TableWeeklySummary[[#This Row],[Desde]],TableDailySummary[Fecha],"&lt;="&amp;TableWeeklySummary[[#This Row],[Hasta]])</f>
        <v>0</v>
      </c>
      <c r="P474" s="11">
        <f>SUMIFS(TableDailySummary[Rappi_net_sales],TableDailySummary[Fecha],"&gt;="&amp;TableWeeklySummary[[#This Row],[Desde]],TableDailySummary[Fecha],"&lt;="&amp;TableWeeklySummary[[#This Row],[Hasta]])</f>
        <v>0</v>
      </c>
      <c r="Q474" s="11">
        <f>SUMIFS(TableDailySummary[Rappi_orders],TableDailySummary[Fecha],"&gt;="&amp;TableWeeklySummary[[#This Row],[Desde]],TableDailySummary[Fecha],"&lt;="&amp;TableWeeklySummary[[#This Row],[Hasta]])</f>
        <v>0</v>
      </c>
      <c r="R47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4" s="11">
        <f>SUMIFS(TableDailySummary[Corporativo no tienda_orders],TableDailySummary[Fecha],"&gt;="&amp;TableWeeklySummary[[#This Row],[Desde]],TableDailySummary[Fecha],"&lt;="&amp;TableWeeklySummary[[#This Row],[Hasta]])</f>
        <v>0</v>
      </c>
      <c r="T474" s="11">
        <f>SUMIFS(TableDailySummary[Inversión google ads],TableDailySummary[Fecha],"&gt;="&amp;TableWeeklySummary[[#This Row],[Desde]],TableDailySummary[Fecha],"&lt;="&amp;TableWeeklySummary[[#This Row],[Hasta]])</f>
        <v>0</v>
      </c>
      <c r="U474" s="11">
        <f>SUMIFS(TableDailySummary[Ventas google ads],TableDailySummary[Fecha],"&gt;="&amp;TableWeeklySummary[[#This Row],[Desde]],TableDailySummary[Fecha],"&lt;="&amp;TableWeeklySummary[[#This Row],[Hasta]])</f>
        <v>0</v>
      </c>
      <c r="V474" s="11">
        <f>SUMIFS(TableDailySummary[Inversión meta ads],TableDailySummary[Fecha],"&gt;="&amp;TableWeeklySummary[[#This Row],[Desde]],TableDailySummary[Fecha],"&lt;="&amp;TableWeeklySummary[[#This Row],[Hasta]])</f>
        <v>0</v>
      </c>
      <c r="W474" s="11">
        <f>SUMIFS(TableDailySummary[Ventas meta ads],TableDailySummary[Fecha],"&gt;="&amp;TableWeeklySummary[[#This Row],[Desde]],TableDailySummary[Fecha],"&lt;="&amp;TableWeeklySummary[[#This Row],[Hasta]])</f>
        <v>0</v>
      </c>
      <c r="X474" s="11">
        <f>TableWeeklySummary[[#This Row],[Inversión google ads]]+TableWeeklySummary[[#This Row],[Inversión meta ads]]</f>
        <v>0</v>
      </c>
      <c r="Y474" s="11">
        <f>TableWeeklySummary[[#This Row],[Ventas google ads]]+TableWeeklySummary[[#This Row],[Ventas meta ads]]</f>
        <v>0</v>
      </c>
      <c r="Z474" s="14">
        <f>IFERROR(TableWeeklySummary[[#This Row],[Ventas publicidad]]/TableWeeklySummary[[#This Row],[Inversión publicidad]],0)</f>
        <v>0</v>
      </c>
      <c r="AA474" s="14">
        <f>IFERROR(TableWeeklySummary[[#This Row],[Ventas primer cliente]]/TableWeeklySummary[[#This Row],[Inversión publicidad]],0)</f>
        <v>0</v>
      </c>
      <c r="AB474" s="14"/>
      <c r="AC474" s="11"/>
      <c r="AI47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4" s="11">
        <f>SUMIFS(TableDailySummary[Costo de ventas registrado],TableDailySummary[Fecha],"&gt;="&amp;TableWeeklySummary[[#This Row],[Desde]],TableDailySummary[Fecha],"&lt;="&amp;TableWeeklySummary[[#This Row],[Hasta]])</f>
        <v>0</v>
      </c>
      <c r="AK474" s="11">
        <f>SUMIFS(TableDailySummary[Utilidad bruta],TableDailySummary[Fecha],"&gt;="&amp;TableWeeklySummary[[#This Row],[Desde]],TableDailySummary[Fecha],"&lt;="&amp;TableWeeklySummary[[#This Row],[Hasta]])</f>
        <v>0</v>
      </c>
      <c r="AL474" s="18">
        <f>IFERROR(TableWeeklySummary[[#This Row],[Utilidad bruta]]/TableWeeklySummary[[#This Row],[Ventas netas con costo registrado]],0)</f>
        <v>0</v>
      </c>
    </row>
    <row r="475" spans="2:38" x14ac:dyDescent="0.2">
      <c r="B475" s="16">
        <f>_xlfn.ISOWEEKNUM(TableWeeklySummary[[#This Row],[Hasta]])</f>
        <v>47</v>
      </c>
      <c r="C475" s="6">
        <f t="shared" si="9"/>
        <v>47802</v>
      </c>
      <c r="D475" s="6">
        <f>TableWeeklySummary[[#This Row],[Desde]]+7-1</f>
        <v>47808</v>
      </c>
      <c r="E475" s="11">
        <f>SUMIFS(TableDailySummary[Ventas netas totales],TableDailySummary[Fecha],"&gt;="&amp;TableWeeklySummary[[#This Row],[Desde]],TableDailySummary[Fecha],"&lt;="&amp;TableWeeklySummary[[#This Row],[Hasta]])</f>
        <v>0</v>
      </c>
      <c r="F475" s="11">
        <f>SUMIFS(TableDailySummary[Órdenes totales],TableDailySummary[Fecha],"&gt;="&amp;TableWeeklySummary[[#This Row],[Desde]],TableDailySummary[Fecha],"&lt;="&amp;TableWeeklySummary[[#This Row],[Hasta]])</f>
        <v>0</v>
      </c>
      <c r="G475" s="11">
        <f>IFERROR(TableWeeklySummary[[#This Row],[Ventas netas totales]]/TableWeeklySummary[[#This Row],[Órdenes totales]],0)</f>
        <v>0</v>
      </c>
      <c r="H47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5" s="11">
        <f>TableWeeklySummary[[#This Row],[Órden promedio totales]]*TableWeeklySummary[[#This Row],[CR totales]]</f>
        <v>0</v>
      </c>
      <c r="J475" s="11">
        <f>SUMIFS(TableDailySummary[Ventas primer cliente],TableDailySummary[Fecha],"&gt;="&amp;TableWeeklySummary[[#This Row],[Desde]],TableDailySummary[Fecha],"&lt;="&amp;TableWeeklySummary[[#This Row],[Hasta]])</f>
        <v>0</v>
      </c>
      <c r="K475" s="11">
        <f>SUMIFS(TableDailySummary[Órdenes primer cliente],TableDailySummary[Fecha],"&gt;="&amp;TableWeeklySummary[[#This Row],[Desde]],TableDailySummary[Fecha],"&lt;="&amp;TableWeeklySummary[[#This Row],[Hasta]])</f>
        <v>0</v>
      </c>
      <c r="L475" s="11">
        <f>SUMIFS(TableDailySummary[Online Store_net_sales],TableDailySummary[Fecha],"&gt;="&amp;TableWeeklySummary[[#This Row],[Desde]],TableDailySummary[Fecha],"&lt;="&amp;TableWeeklySummary[[#This Row],[Hasta]])</f>
        <v>0</v>
      </c>
      <c r="M475" s="11">
        <f>SUMIFS(TableDailySummary[Online Store_orders],TableDailySummary[Fecha],"&gt;="&amp;TableWeeklySummary[[#This Row],[Desde]],TableDailySummary[Fecha],"&lt;="&amp;TableWeeklySummary[[#This Row],[Hasta]])</f>
        <v>0</v>
      </c>
      <c r="N475" s="11">
        <f>SUMIFS(TableDailySummary[Tienda 81_net_sales],TableDailySummary[Fecha],"&gt;="&amp;TableWeeklySummary[[#This Row],[Desde]],TableDailySummary[Fecha],"&lt;="&amp;TableWeeklySummary[[#This Row],[Hasta]])</f>
        <v>0</v>
      </c>
      <c r="O475" s="11">
        <f>SUMIFS(TableDailySummary[Tienda 81_orders],TableDailySummary[Fecha],"&gt;="&amp;TableWeeklySummary[[#This Row],[Desde]],TableDailySummary[Fecha],"&lt;="&amp;TableWeeklySummary[[#This Row],[Hasta]])</f>
        <v>0</v>
      </c>
      <c r="P475" s="11">
        <f>SUMIFS(TableDailySummary[Rappi_net_sales],TableDailySummary[Fecha],"&gt;="&amp;TableWeeklySummary[[#This Row],[Desde]],TableDailySummary[Fecha],"&lt;="&amp;TableWeeklySummary[[#This Row],[Hasta]])</f>
        <v>0</v>
      </c>
      <c r="Q475" s="11">
        <f>SUMIFS(TableDailySummary[Rappi_orders],TableDailySummary[Fecha],"&gt;="&amp;TableWeeklySummary[[#This Row],[Desde]],TableDailySummary[Fecha],"&lt;="&amp;TableWeeklySummary[[#This Row],[Hasta]])</f>
        <v>0</v>
      </c>
      <c r="R47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5" s="11">
        <f>SUMIFS(TableDailySummary[Corporativo no tienda_orders],TableDailySummary[Fecha],"&gt;="&amp;TableWeeklySummary[[#This Row],[Desde]],TableDailySummary[Fecha],"&lt;="&amp;TableWeeklySummary[[#This Row],[Hasta]])</f>
        <v>0</v>
      </c>
      <c r="T475" s="11">
        <f>SUMIFS(TableDailySummary[Inversión google ads],TableDailySummary[Fecha],"&gt;="&amp;TableWeeklySummary[[#This Row],[Desde]],TableDailySummary[Fecha],"&lt;="&amp;TableWeeklySummary[[#This Row],[Hasta]])</f>
        <v>0</v>
      </c>
      <c r="U475" s="11">
        <f>SUMIFS(TableDailySummary[Ventas google ads],TableDailySummary[Fecha],"&gt;="&amp;TableWeeklySummary[[#This Row],[Desde]],TableDailySummary[Fecha],"&lt;="&amp;TableWeeklySummary[[#This Row],[Hasta]])</f>
        <v>0</v>
      </c>
      <c r="V475" s="11">
        <f>SUMIFS(TableDailySummary[Inversión meta ads],TableDailySummary[Fecha],"&gt;="&amp;TableWeeklySummary[[#This Row],[Desde]],TableDailySummary[Fecha],"&lt;="&amp;TableWeeklySummary[[#This Row],[Hasta]])</f>
        <v>0</v>
      </c>
      <c r="W475" s="11">
        <f>SUMIFS(TableDailySummary[Ventas meta ads],TableDailySummary[Fecha],"&gt;="&amp;TableWeeklySummary[[#This Row],[Desde]],TableDailySummary[Fecha],"&lt;="&amp;TableWeeklySummary[[#This Row],[Hasta]])</f>
        <v>0</v>
      </c>
      <c r="X475" s="11">
        <f>TableWeeklySummary[[#This Row],[Inversión google ads]]+TableWeeklySummary[[#This Row],[Inversión meta ads]]</f>
        <v>0</v>
      </c>
      <c r="Y475" s="11">
        <f>TableWeeklySummary[[#This Row],[Ventas google ads]]+TableWeeklySummary[[#This Row],[Ventas meta ads]]</f>
        <v>0</v>
      </c>
      <c r="Z475" s="14">
        <f>IFERROR(TableWeeklySummary[[#This Row],[Ventas publicidad]]/TableWeeklySummary[[#This Row],[Inversión publicidad]],0)</f>
        <v>0</v>
      </c>
      <c r="AA475" s="14">
        <f>IFERROR(TableWeeklySummary[[#This Row],[Ventas primer cliente]]/TableWeeklySummary[[#This Row],[Inversión publicidad]],0)</f>
        <v>0</v>
      </c>
      <c r="AB475" s="14"/>
      <c r="AC475" s="11"/>
      <c r="AI47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5" s="11">
        <f>SUMIFS(TableDailySummary[Costo de ventas registrado],TableDailySummary[Fecha],"&gt;="&amp;TableWeeklySummary[[#This Row],[Desde]],TableDailySummary[Fecha],"&lt;="&amp;TableWeeklySummary[[#This Row],[Hasta]])</f>
        <v>0</v>
      </c>
      <c r="AK475" s="11">
        <f>SUMIFS(TableDailySummary[Utilidad bruta],TableDailySummary[Fecha],"&gt;="&amp;TableWeeklySummary[[#This Row],[Desde]],TableDailySummary[Fecha],"&lt;="&amp;TableWeeklySummary[[#This Row],[Hasta]])</f>
        <v>0</v>
      </c>
      <c r="AL475" s="18">
        <f>IFERROR(TableWeeklySummary[[#This Row],[Utilidad bruta]]/TableWeeklySummary[[#This Row],[Ventas netas con costo registrado]],0)</f>
        <v>0</v>
      </c>
    </row>
    <row r="476" spans="2:38" x14ac:dyDescent="0.2">
      <c r="B476" s="16">
        <f>_xlfn.ISOWEEKNUM(TableWeeklySummary[[#This Row],[Hasta]])</f>
        <v>48</v>
      </c>
      <c r="C476" s="6">
        <f t="shared" si="9"/>
        <v>47809</v>
      </c>
      <c r="D476" s="6">
        <f>TableWeeklySummary[[#This Row],[Desde]]+7-1</f>
        <v>47815</v>
      </c>
      <c r="E476" s="11">
        <f>SUMIFS(TableDailySummary[Ventas netas totales],TableDailySummary[Fecha],"&gt;="&amp;TableWeeklySummary[[#This Row],[Desde]],TableDailySummary[Fecha],"&lt;="&amp;TableWeeklySummary[[#This Row],[Hasta]])</f>
        <v>0</v>
      </c>
      <c r="F476" s="11">
        <f>SUMIFS(TableDailySummary[Órdenes totales],TableDailySummary[Fecha],"&gt;="&amp;TableWeeklySummary[[#This Row],[Desde]],TableDailySummary[Fecha],"&lt;="&amp;TableWeeklySummary[[#This Row],[Hasta]])</f>
        <v>0</v>
      </c>
      <c r="G476" s="11">
        <f>IFERROR(TableWeeklySummary[[#This Row],[Ventas netas totales]]/TableWeeklySummary[[#This Row],[Órdenes totales]],0)</f>
        <v>0</v>
      </c>
      <c r="H47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6" s="11">
        <f>TableWeeklySummary[[#This Row],[Órden promedio totales]]*TableWeeklySummary[[#This Row],[CR totales]]</f>
        <v>0</v>
      </c>
      <c r="J476" s="11">
        <f>SUMIFS(TableDailySummary[Ventas primer cliente],TableDailySummary[Fecha],"&gt;="&amp;TableWeeklySummary[[#This Row],[Desde]],TableDailySummary[Fecha],"&lt;="&amp;TableWeeklySummary[[#This Row],[Hasta]])</f>
        <v>0</v>
      </c>
      <c r="K476" s="11">
        <f>SUMIFS(TableDailySummary[Órdenes primer cliente],TableDailySummary[Fecha],"&gt;="&amp;TableWeeklySummary[[#This Row],[Desde]],TableDailySummary[Fecha],"&lt;="&amp;TableWeeklySummary[[#This Row],[Hasta]])</f>
        <v>0</v>
      </c>
      <c r="L476" s="11">
        <f>SUMIFS(TableDailySummary[Online Store_net_sales],TableDailySummary[Fecha],"&gt;="&amp;TableWeeklySummary[[#This Row],[Desde]],TableDailySummary[Fecha],"&lt;="&amp;TableWeeklySummary[[#This Row],[Hasta]])</f>
        <v>0</v>
      </c>
      <c r="M476" s="11">
        <f>SUMIFS(TableDailySummary[Online Store_orders],TableDailySummary[Fecha],"&gt;="&amp;TableWeeklySummary[[#This Row],[Desde]],TableDailySummary[Fecha],"&lt;="&amp;TableWeeklySummary[[#This Row],[Hasta]])</f>
        <v>0</v>
      </c>
      <c r="N476" s="11">
        <f>SUMIFS(TableDailySummary[Tienda 81_net_sales],TableDailySummary[Fecha],"&gt;="&amp;TableWeeklySummary[[#This Row],[Desde]],TableDailySummary[Fecha],"&lt;="&amp;TableWeeklySummary[[#This Row],[Hasta]])</f>
        <v>0</v>
      </c>
      <c r="O476" s="11">
        <f>SUMIFS(TableDailySummary[Tienda 81_orders],TableDailySummary[Fecha],"&gt;="&amp;TableWeeklySummary[[#This Row],[Desde]],TableDailySummary[Fecha],"&lt;="&amp;TableWeeklySummary[[#This Row],[Hasta]])</f>
        <v>0</v>
      </c>
      <c r="P476" s="11">
        <f>SUMIFS(TableDailySummary[Rappi_net_sales],TableDailySummary[Fecha],"&gt;="&amp;TableWeeklySummary[[#This Row],[Desde]],TableDailySummary[Fecha],"&lt;="&amp;TableWeeklySummary[[#This Row],[Hasta]])</f>
        <v>0</v>
      </c>
      <c r="Q476" s="11">
        <f>SUMIFS(TableDailySummary[Rappi_orders],TableDailySummary[Fecha],"&gt;="&amp;TableWeeklySummary[[#This Row],[Desde]],TableDailySummary[Fecha],"&lt;="&amp;TableWeeklySummary[[#This Row],[Hasta]])</f>
        <v>0</v>
      </c>
      <c r="R47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6" s="11">
        <f>SUMIFS(TableDailySummary[Corporativo no tienda_orders],TableDailySummary[Fecha],"&gt;="&amp;TableWeeklySummary[[#This Row],[Desde]],TableDailySummary[Fecha],"&lt;="&amp;TableWeeklySummary[[#This Row],[Hasta]])</f>
        <v>0</v>
      </c>
      <c r="T476" s="11">
        <f>SUMIFS(TableDailySummary[Inversión google ads],TableDailySummary[Fecha],"&gt;="&amp;TableWeeklySummary[[#This Row],[Desde]],TableDailySummary[Fecha],"&lt;="&amp;TableWeeklySummary[[#This Row],[Hasta]])</f>
        <v>0</v>
      </c>
      <c r="U476" s="11">
        <f>SUMIFS(TableDailySummary[Ventas google ads],TableDailySummary[Fecha],"&gt;="&amp;TableWeeklySummary[[#This Row],[Desde]],TableDailySummary[Fecha],"&lt;="&amp;TableWeeklySummary[[#This Row],[Hasta]])</f>
        <v>0</v>
      </c>
      <c r="V476" s="11">
        <f>SUMIFS(TableDailySummary[Inversión meta ads],TableDailySummary[Fecha],"&gt;="&amp;TableWeeklySummary[[#This Row],[Desde]],TableDailySummary[Fecha],"&lt;="&amp;TableWeeklySummary[[#This Row],[Hasta]])</f>
        <v>0</v>
      </c>
      <c r="W476" s="11">
        <f>SUMIFS(TableDailySummary[Ventas meta ads],TableDailySummary[Fecha],"&gt;="&amp;TableWeeklySummary[[#This Row],[Desde]],TableDailySummary[Fecha],"&lt;="&amp;TableWeeklySummary[[#This Row],[Hasta]])</f>
        <v>0</v>
      </c>
      <c r="X476" s="11">
        <f>TableWeeklySummary[[#This Row],[Inversión google ads]]+TableWeeklySummary[[#This Row],[Inversión meta ads]]</f>
        <v>0</v>
      </c>
      <c r="Y476" s="11">
        <f>TableWeeklySummary[[#This Row],[Ventas google ads]]+TableWeeklySummary[[#This Row],[Ventas meta ads]]</f>
        <v>0</v>
      </c>
      <c r="Z476" s="14">
        <f>IFERROR(TableWeeklySummary[[#This Row],[Ventas publicidad]]/TableWeeklySummary[[#This Row],[Inversión publicidad]],0)</f>
        <v>0</v>
      </c>
      <c r="AA476" s="14">
        <f>IFERROR(TableWeeklySummary[[#This Row],[Ventas primer cliente]]/TableWeeklySummary[[#This Row],[Inversión publicidad]],0)</f>
        <v>0</v>
      </c>
      <c r="AB476" s="14"/>
      <c r="AC476" s="11"/>
      <c r="AI47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6" s="11">
        <f>SUMIFS(TableDailySummary[Costo de ventas registrado],TableDailySummary[Fecha],"&gt;="&amp;TableWeeklySummary[[#This Row],[Desde]],TableDailySummary[Fecha],"&lt;="&amp;TableWeeklySummary[[#This Row],[Hasta]])</f>
        <v>0</v>
      </c>
      <c r="AK476" s="11">
        <f>SUMIFS(TableDailySummary[Utilidad bruta],TableDailySummary[Fecha],"&gt;="&amp;TableWeeklySummary[[#This Row],[Desde]],TableDailySummary[Fecha],"&lt;="&amp;TableWeeklySummary[[#This Row],[Hasta]])</f>
        <v>0</v>
      </c>
      <c r="AL476" s="18">
        <f>IFERROR(TableWeeklySummary[[#This Row],[Utilidad bruta]]/TableWeeklySummary[[#This Row],[Ventas netas con costo registrado]],0)</f>
        <v>0</v>
      </c>
    </row>
    <row r="477" spans="2:38" x14ac:dyDescent="0.2">
      <c r="B477" s="16">
        <f>_xlfn.ISOWEEKNUM(TableWeeklySummary[[#This Row],[Hasta]])</f>
        <v>49</v>
      </c>
      <c r="C477" s="6">
        <f t="shared" si="9"/>
        <v>47816</v>
      </c>
      <c r="D477" s="6">
        <f>TableWeeklySummary[[#This Row],[Desde]]+7-1</f>
        <v>47822</v>
      </c>
      <c r="E477" s="11">
        <f>SUMIFS(TableDailySummary[Ventas netas totales],TableDailySummary[Fecha],"&gt;="&amp;TableWeeklySummary[[#This Row],[Desde]],TableDailySummary[Fecha],"&lt;="&amp;TableWeeklySummary[[#This Row],[Hasta]])</f>
        <v>0</v>
      </c>
      <c r="F477" s="11">
        <f>SUMIFS(TableDailySummary[Órdenes totales],TableDailySummary[Fecha],"&gt;="&amp;TableWeeklySummary[[#This Row],[Desde]],TableDailySummary[Fecha],"&lt;="&amp;TableWeeklySummary[[#This Row],[Hasta]])</f>
        <v>0</v>
      </c>
      <c r="G477" s="11">
        <f>IFERROR(TableWeeklySummary[[#This Row],[Ventas netas totales]]/TableWeeklySummary[[#This Row],[Órdenes totales]],0)</f>
        <v>0</v>
      </c>
      <c r="H47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7" s="11">
        <f>TableWeeklySummary[[#This Row],[Órden promedio totales]]*TableWeeklySummary[[#This Row],[CR totales]]</f>
        <v>0</v>
      </c>
      <c r="J477" s="11">
        <f>SUMIFS(TableDailySummary[Ventas primer cliente],TableDailySummary[Fecha],"&gt;="&amp;TableWeeklySummary[[#This Row],[Desde]],TableDailySummary[Fecha],"&lt;="&amp;TableWeeklySummary[[#This Row],[Hasta]])</f>
        <v>0</v>
      </c>
      <c r="K477" s="11">
        <f>SUMIFS(TableDailySummary[Órdenes primer cliente],TableDailySummary[Fecha],"&gt;="&amp;TableWeeklySummary[[#This Row],[Desde]],TableDailySummary[Fecha],"&lt;="&amp;TableWeeklySummary[[#This Row],[Hasta]])</f>
        <v>0</v>
      </c>
      <c r="L477" s="11">
        <f>SUMIFS(TableDailySummary[Online Store_net_sales],TableDailySummary[Fecha],"&gt;="&amp;TableWeeklySummary[[#This Row],[Desde]],TableDailySummary[Fecha],"&lt;="&amp;TableWeeklySummary[[#This Row],[Hasta]])</f>
        <v>0</v>
      </c>
      <c r="M477" s="11">
        <f>SUMIFS(TableDailySummary[Online Store_orders],TableDailySummary[Fecha],"&gt;="&amp;TableWeeklySummary[[#This Row],[Desde]],TableDailySummary[Fecha],"&lt;="&amp;TableWeeklySummary[[#This Row],[Hasta]])</f>
        <v>0</v>
      </c>
      <c r="N477" s="11">
        <f>SUMIFS(TableDailySummary[Tienda 81_net_sales],TableDailySummary[Fecha],"&gt;="&amp;TableWeeklySummary[[#This Row],[Desde]],TableDailySummary[Fecha],"&lt;="&amp;TableWeeklySummary[[#This Row],[Hasta]])</f>
        <v>0</v>
      </c>
      <c r="O477" s="11">
        <f>SUMIFS(TableDailySummary[Tienda 81_orders],TableDailySummary[Fecha],"&gt;="&amp;TableWeeklySummary[[#This Row],[Desde]],TableDailySummary[Fecha],"&lt;="&amp;TableWeeklySummary[[#This Row],[Hasta]])</f>
        <v>0</v>
      </c>
      <c r="P477" s="11">
        <f>SUMIFS(TableDailySummary[Rappi_net_sales],TableDailySummary[Fecha],"&gt;="&amp;TableWeeklySummary[[#This Row],[Desde]],TableDailySummary[Fecha],"&lt;="&amp;TableWeeklySummary[[#This Row],[Hasta]])</f>
        <v>0</v>
      </c>
      <c r="Q477" s="11">
        <f>SUMIFS(TableDailySummary[Rappi_orders],TableDailySummary[Fecha],"&gt;="&amp;TableWeeklySummary[[#This Row],[Desde]],TableDailySummary[Fecha],"&lt;="&amp;TableWeeklySummary[[#This Row],[Hasta]])</f>
        <v>0</v>
      </c>
      <c r="R47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7" s="11">
        <f>SUMIFS(TableDailySummary[Corporativo no tienda_orders],TableDailySummary[Fecha],"&gt;="&amp;TableWeeklySummary[[#This Row],[Desde]],TableDailySummary[Fecha],"&lt;="&amp;TableWeeklySummary[[#This Row],[Hasta]])</f>
        <v>0</v>
      </c>
      <c r="T477" s="11">
        <f>SUMIFS(TableDailySummary[Inversión google ads],TableDailySummary[Fecha],"&gt;="&amp;TableWeeklySummary[[#This Row],[Desde]],TableDailySummary[Fecha],"&lt;="&amp;TableWeeklySummary[[#This Row],[Hasta]])</f>
        <v>0</v>
      </c>
      <c r="U477" s="11">
        <f>SUMIFS(TableDailySummary[Ventas google ads],TableDailySummary[Fecha],"&gt;="&amp;TableWeeklySummary[[#This Row],[Desde]],TableDailySummary[Fecha],"&lt;="&amp;TableWeeklySummary[[#This Row],[Hasta]])</f>
        <v>0</v>
      </c>
      <c r="V477" s="11">
        <f>SUMIFS(TableDailySummary[Inversión meta ads],TableDailySummary[Fecha],"&gt;="&amp;TableWeeklySummary[[#This Row],[Desde]],TableDailySummary[Fecha],"&lt;="&amp;TableWeeklySummary[[#This Row],[Hasta]])</f>
        <v>0</v>
      </c>
      <c r="W477" s="11">
        <f>SUMIFS(TableDailySummary[Ventas meta ads],TableDailySummary[Fecha],"&gt;="&amp;TableWeeklySummary[[#This Row],[Desde]],TableDailySummary[Fecha],"&lt;="&amp;TableWeeklySummary[[#This Row],[Hasta]])</f>
        <v>0</v>
      </c>
      <c r="X477" s="11">
        <f>TableWeeklySummary[[#This Row],[Inversión google ads]]+TableWeeklySummary[[#This Row],[Inversión meta ads]]</f>
        <v>0</v>
      </c>
      <c r="Y477" s="11">
        <f>TableWeeklySummary[[#This Row],[Ventas google ads]]+TableWeeklySummary[[#This Row],[Ventas meta ads]]</f>
        <v>0</v>
      </c>
      <c r="Z477" s="14">
        <f>IFERROR(TableWeeklySummary[[#This Row],[Ventas publicidad]]/TableWeeklySummary[[#This Row],[Inversión publicidad]],0)</f>
        <v>0</v>
      </c>
      <c r="AA477" s="14">
        <f>IFERROR(TableWeeklySummary[[#This Row],[Ventas primer cliente]]/TableWeeklySummary[[#This Row],[Inversión publicidad]],0)</f>
        <v>0</v>
      </c>
      <c r="AB477" s="14"/>
      <c r="AC477" s="11"/>
      <c r="AI47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7" s="11">
        <f>SUMIFS(TableDailySummary[Costo de ventas registrado],TableDailySummary[Fecha],"&gt;="&amp;TableWeeklySummary[[#This Row],[Desde]],TableDailySummary[Fecha],"&lt;="&amp;TableWeeklySummary[[#This Row],[Hasta]])</f>
        <v>0</v>
      </c>
      <c r="AK477" s="11">
        <f>SUMIFS(TableDailySummary[Utilidad bruta],TableDailySummary[Fecha],"&gt;="&amp;TableWeeklySummary[[#This Row],[Desde]],TableDailySummary[Fecha],"&lt;="&amp;TableWeeklySummary[[#This Row],[Hasta]])</f>
        <v>0</v>
      </c>
      <c r="AL477" s="18">
        <f>IFERROR(TableWeeklySummary[[#This Row],[Utilidad bruta]]/TableWeeklySummary[[#This Row],[Ventas netas con costo registrado]],0)</f>
        <v>0</v>
      </c>
    </row>
    <row r="478" spans="2:38" x14ac:dyDescent="0.2">
      <c r="B478" s="16">
        <f>_xlfn.ISOWEEKNUM(TableWeeklySummary[[#This Row],[Hasta]])</f>
        <v>50</v>
      </c>
      <c r="C478" s="6">
        <f t="shared" si="9"/>
        <v>47823</v>
      </c>
      <c r="D478" s="6">
        <f>TableWeeklySummary[[#This Row],[Desde]]+7-1</f>
        <v>47829</v>
      </c>
      <c r="E478" s="11">
        <f>SUMIFS(TableDailySummary[Ventas netas totales],TableDailySummary[Fecha],"&gt;="&amp;TableWeeklySummary[[#This Row],[Desde]],TableDailySummary[Fecha],"&lt;="&amp;TableWeeklySummary[[#This Row],[Hasta]])</f>
        <v>0</v>
      </c>
      <c r="F478" s="11">
        <f>SUMIFS(TableDailySummary[Órdenes totales],TableDailySummary[Fecha],"&gt;="&amp;TableWeeklySummary[[#This Row],[Desde]],TableDailySummary[Fecha],"&lt;="&amp;TableWeeklySummary[[#This Row],[Hasta]])</f>
        <v>0</v>
      </c>
      <c r="G478" s="11">
        <f>IFERROR(TableWeeklySummary[[#This Row],[Ventas netas totales]]/TableWeeklySummary[[#This Row],[Órdenes totales]],0)</f>
        <v>0</v>
      </c>
      <c r="H47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8" s="11">
        <f>TableWeeklySummary[[#This Row],[Órden promedio totales]]*TableWeeklySummary[[#This Row],[CR totales]]</f>
        <v>0</v>
      </c>
      <c r="J478" s="11">
        <f>SUMIFS(TableDailySummary[Ventas primer cliente],TableDailySummary[Fecha],"&gt;="&amp;TableWeeklySummary[[#This Row],[Desde]],TableDailySummary[Fecha],"&lt;="&amp;TableWeeklySummary[[#This Row],[Hasta]])</f>
        <v>0</v>
      </c>
      <c r="K478" s="11">
        <f>SUMIFS(TableDailySummary[Órdenes primer cliente],TableDailySummary[Fecha],"&gt;="&amp;TableWeeklySummary[[#This Row],[Desde]],TableDailySummary[Fecha],"&lt;="&amp;TableWeeklySummary[[#This Row],[Hasta]])</f>
        <v>0</v>
      </c>
      <c r="L478" s="11">
        <f>SUMIFS(TableDailySummary[Online Store_net_sales],TableDailySummary[Fecha],"&gt;="&amp;TableWeeklySummary[[#This Row],[Desde]],TableDailySummary[Fecha],"&lt;="&amp;TableWeeklySummary[[#This Row],[Hasta]])</f>
        <v>0</v>
      </c>
      <c r="M478" s="11">
        <f>SUMIFS(TableDailySummary[Online Store_orders],TableDailySummary[Fecha],"&gt;="&amp;TableWeeklySummary[[#This Row],[Desde]],TableDailySummary[Fecha],"&lt;="&amp;TableWeeklySummary[[#This Row],[Hasta]])</f>
        <v>0</v>
      </c>
      <c r="N478" s="11">
        <f>SUMIFS(TableDailySummary[Tienda 81_net_sales],TableDailySummary[Fecha],"&gt;="&amp;TableWeeklySummary[[#This Row],[Desde]],TableDailySummary[Fecha],"&lt;="&amp;TableWeeklySummary[[#This Row],[Hasta]])</f>
        <v>0</v>
      </c>
      <c r="O478" s="11">
        <f>SUMIFS(TableDailySummary[Tienda 81_orders],TableDailySummary[Fecha],"&gt;="&amp;TableWeeklySummary[[#This Row],[Desde]],TableDailySummary[Fecha],"&lt;="&amp;TableWeeklySummary[[#This Row],[Hasta]])</f>
        <v>0</v>
      </c>
      <c r="P478" s="11">
        <f>SUMIFS(TableDailySummary[Rappi_net_sales],TableDailySummary[Fecha],"&gt;="&amp;TableWeeklySummary[[#This Row],[Desde]],TableDailySummary[Fecha],"&lt;="&amp;TableWeeklySummary[[#This Row],[Hasta]])</f>
        <v>0</v>
      </c>
      <c r="Q478" s="11">
        <f>SUMIFS(TableDailySummary[Rappi_orders],TableDailySummary[Fecha],"&gt;="&amp;TableWeeklySummary[[#This Row],[Desde]],TableDailySummary[Fecha],"&lt;="&amp;TableWeeklySummary[[#This Row],[Hasta]])</f>
        <v>0</v>
      </c>
      <c r="R47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8" s="11">
        <f>SUMIFS(TableDailySummary[Corporativo no tienda_orders],TableDailySummary[Fecha],"&gt;="&amp;TableWeeklySummary[[#This Row],[Desde]],TableDailySummary[Fecha],"&lt;="&amp;TableWeeklySummary[[#This Row],[Hasta]])</f>
        <v>0</v>
      </c>
      <c r="T478" s="11">
        <f>SUMIFS(TableDailySummary[Inversión google ads],TableDailySummary[Fecha],"&gt;="&amp;TableWeeklySummary[[#This Row],[Desde]],TableDailySummary[Fecha],"&lt;="&amp;TableWeeklySummary[[#This Row],[Hasta]])</f>
        <v>0</v>
      </c>
      <c r="U478" s="11">
        <f>SUMIFS(TableDailySummary[Ventas google ads],TableDailySummary[Fecha],"&gt;="&amp;TableWeeklySummary[[#This Row],[Desde]],TableDailySummary[Fecha],"&lt;="&amp;TableWeeklySummary[[#This Row],[Hasta]])</f>
        <v>0</v>
      </c>
      <c r="V478" s="11">
        <f>SUMIFS(TableDailySummary[Inversión meta ads],TableDailySummary[Fecha],"&gt;="&amp;TableWeeklySummary[[#This Row],[Desde]],TableDailySummary[Fecha],"&lt;="&amp;TableWeeklySummary[[#This Row],[Hasta]])</f>
        <v>0</v>
      </c>
      <c r="W478" s="11">
        <f>SUMIFS(TableDailySummary[Ventas meta ads],TableDailySummary[Fecha],"&gt;="&amp;TableWeeklySummary[[#This Row],[Desde]],TableDailySummary[Fecha],"&lt;="&amp;TableWeeklySummary[[#This Row],[Hasta]])</f>
        <v>0</v>
      </c>
      <c r="X478" s="11">
        <f>TableWeeklySummary[[#This Row],[Inversión google ads]]+TableWeeklySummary[[#This Row],[Inversión meta ads]]</f>
        <v>0</v>
      </c>
      <c r="Y478" s="11">
        <f>TableWeeklySummary[[#This Row],[Ventas google ads]]+TableWeeklySummary[[#This Row],[Ventas meta ads]]</f>
        <v>0</v>
      </c>
      <c r="Z478" s="14">
        <f>IFERROR(TableWeeklySummary[[#This Row],[Ventas publicidad]]/TableWeeklySummary[[#This Row],[Inversión publicidad]],0)</f>
        <v>0</v>
      </c>
      <c r="AA478" s="14">
        <f>IFERROR(TableWeeklySummary[[#This Row],[Ventas primer cliente]]/TableWeeklySummary[[#This Row],[Inversión publicidad]],0)</f>
        <v>0</v>
      </c>
      <c r="AB478" s="14"/>
      <c r="AC478" s="11"/>
      <c r="AI47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8" s="11">
        <f>SUMIFS(TableDailySummary[Costo de ventas registrado],TableDailySummary[Fecha],"&gt;="&amp;TableWeeklySummary[[#This Row],[Desde]],TableDailySummary[Fecha],"&lt;="&amp;TableWeeklySummary[[#This Row],[Hasta]])</f>
        <v>0</v>
      </c>
      <c r="AK478" s="11">
        <f>SUMIFS(TableDailySummary[Utilidad bruta],TableDailySummary[Fecha],"&gt;="&amp;TableWeeklySummary[[#This Row],[Desde]],TableDailySummary[Fecha],"&lt;="&amp;TableWeeklySummary[[#This Row],[Hasta]])</f>
        <v>0</v>
      </c>
      <c r="AL478" s="18">
        <f>IFERROR(TableWeeklySummary[[#This Row],[Utilidad bruta]]/TableWeeklySummary[[#This Row],[Ventas netas con costo registrado]],0)</f>
        <v>0</v>
      </c>
    </row>
    <row r="479" spans="2:38" x14ac:dyDescent="0.2">
      <c r="B479" s="16">
        <f>_xlfn.ISOWEEKNUM(TableWeeklySummary[[#This Row],[Hasta]])</f>
        <v>51</v>
      </c>
      <c r="C479" s="6">
        <f t="shared" si="9"/>
        <v>47830</v>
      </c>
      <c r="D479" s="6">
        <f>TableWeeklySummary[[#This Row],[Desde]]+7-1</f>
        <v>47836</v>
      </c>
      <c r="E479" s="11">
        <f>SUMIFS(TableDailySummary[Ventas netas totales],TableDailySummary[Fecha],"&gt;="&amp;TableWeeklySummary[[#This Row],[Desde]],TableDailySummary[Fecha],"&lt;="&amp;TableWeeklySummary[[#This Row],[Hasta]])</f>
        <v>0</v>
      </c>
      <c r="F479" s="11">
        <f>SUMIFS(TableDailySummary[Órdenes totales],TableDailySummary[Fecha],"&gt;="&amp;TableWeeklySummary[[#This Row],[Desde]],TableDailySummary[Fecha],"&lt;="&amp;TableWeeklySummary[[#This Row],[Hasta]])</f>
        <v>0</v>
      </c>
      <c r="G479" s="11">
        <f>IFERROR(TableWeeklySummary[[#This Row],[Ventas netas totales]]/TableWeeklySummary[[#This Row],[Órdenes totales]],0)</f>
        <v>0</v>
      </c>
      <c r="H47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79" s="11">
        <f>TableWeeklySummary[[#This Row],[Órden promedio totales]]*TableWeeklySummary[[#This Row],[CR totales]]</f>
        <v>0</v>
      </c>
      <c r="J479" s="11">
        <f>SUMIFS(TableDailySummary[Ventas primer cliente],TableDailySummary[Fecha],"&gt;="&amp;TableWeeklySummary[[#This Row],[Desde]],TableDailySummary[Fecha],"&lt;="&amp;TableWeeklySummary[[#This Row],[Hasta]])</f>
        <v>0</v>
      </c>
      <c r="K479" s="11">
        <f>SUMIFS(TableDailySummary[Órdenes primer cliente],TableDailySummary[Fecha],"&gt;="&amp;TableWeeklySummary[[#This Row],[Desde]],TableDailySummary[Fecha],"&lt;="&amp;TableWeeklySummary[[#This Row],[Hasta]])</f>
        <v>0</v>
      </c>
      <c r="L479" s="11">
        <f>SUMIFS(TableDailySummary[Online Store_net_sales],TableDailySummary[Fecha],"&gt;="&amp;TableWeeklySummary[[#This Row],[Desde]],TableDailySummary[Fecha],"&lt;="&amp;TableWeeklySummary[[#This Row],[Hasta]])</f>
        <v>0</v>
      </c>
      <c r="M479" s="11">
        <f>SUMIFS(TableDailySummary[Online Store_orders],TableDailySummary[Fecha],"&gt;="&amp;TableWeeklySummary[[#This Row],[Desde]],TableDailySummary[Fecha],"&lt;="&amp;TableWeeklySummary[[#This Row],[Hasta]])</f>
        <v>0</v>
      </c>
      <c r="N479" s="11">
        <f>SUMIFS(TableDailySummary[Tienda 81_net_sales],TableDailySummary[Fecha],"&gt;="&amp;TableWeeklySummary[[#This Row],[Desde]],TableDailySummary[Fecha],"&lt;="&amp;TableWeeklySummary[[#This Row],[Hasta]])</f>
        <v>0</v>
      </c>
      <c r="O479" s="11">
        <f>SUMIFS(TableDailySummary[Tienda 81_orders],TableDailySummary[Fecha],"&gt;="&amp;TableWeeklySummary[[#This Row],[Desde]],TableDailySummary[Fecha],"&lt;="&amp;TableWeeklySummary[[#This Row],[Hasta]])</f>
        <v>0</v>
      </c>
      <c r="P479" s="11">
        <f>SUMIFS(TableDailySummary[Rappi_net_sales],TableDailySummary[Fecha],"&gt;="&amp;TableWeeklySummary[[#This Row],[Desde]],TableDailySummary[Fecha],"&lt;="&amp;TableWeeklySummary[[#This Row],[Hasta]])</f>
        <v>0</v>
      </c>
      <c r="Q479" s="11">
        <f>SUMIFS(TableDailySummary[Rappi_orders],TableDailySummary[Fecha],"&gt;="&amp;TableWeeklySummary[[#This Row],[Desde]],TableDailySummary[Fecha],"&lt;="&amp;TableWeeklySummary[[#This Row],[Hasta]])</f>
        <v>0</v>
      </c>
      <c r="R47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79" s="11">
        <f>SUMIFS(TableDailySummary[Corporativo no tienda_orders],TableDailySummary[Fecha],"&gt;="&amp;TableWeeklySummary[[#This Row],[Desde]],TableDailySummary[Fecha],"&lt;="&amp;TableWeeklySummary[[#This Row],[Hasta]])</f>
        <v>0</v>
      </c>
      <c r="T479" s="11">
        <f>SUMIFS(TableDailySummary[Inversión google ads],TableDailySummary[Fecha],"&gt;="&amp;TableWeeklySummary[[#This Row],[Desde]],TableDailySummary[Fecha],"&lt;="&amp;TableWeeklySummary[[#This Row],[Hasta]])</f>
        <v>0</v>
      </c>
      <c r="U479" s="11">
        <f>SUMIFS(TableDailySummary[Ventas google ads],TableDailySummary[Fecha],"&gt;="&amp;TableWeeklySummary[[#This Row],[Desde]],TableDailySummary[Fecha],"&lt;="&amp;TableWeeklySummary[[#This Row],[Hasta]])</f>
        <v>0</v>
      </c>
      <c r="V479" s="11">
        <f>SUMIFS(TableDailySummary[Inversión meta ads],TableDailySummary[Fecha],"&gt;="&amp;TableWeeklySummary[[#This Row],[Desde]],TableDailySummary[Fecha],"&lt;="&amp;TableWeeklySummary[[#This Row],[Hasta]])</f>
        <v>0</v>
      </c>
      <c r="W479" s="11">
        <f>SUMIFS(TableDailySummary[Ventas meta ads],TableDailySummary[Fecha],"&gt;="&amp;TableWeeklySummary[[#This Row],[Desde]],TableDailySummary[Fecha],"&lt;="&amp;TableWeeklySummary[[#This Row],[Hasta]])</f>
        <v>0</v>
      </c>
      <c r="X479" s="11">
        <f>TableWeeklySummary[[#This Row],[Inversión google ads]]+TableWeeklySummary[[#This Row],[Inversión meta ads]]</f>
        <v>0</v>
      </c>
      <c r="Y479" s="11">
        <f>TableWeeklySummary[[#This Row],[Ventas google ads]]+TableWeeklySummary[[#This Row],[Ventas meta ads]]</f>
        <v>0</v>
      </c>
      <c r="Z479" s="14">
        <f>IFERROR(TableWeeklySummary[[#This Row],[Ventas publicidad]]/TableWeeklySummary[[#This Row],[Inversión publicidad]],0)</f>
        <v>0</v>
      </c>
      <c r="AA479" s="14">
        <f>IFERROR(TableWeeklySummary[[#This Row],[Ventas primer cliente]]/TableWeeklySummary[[#This Row],[Inversión publicidad]],0)</f>
        <v>0</v>
      </c>
      <c r="AB479" s="14"/>
      <c r="AC479" s="11"/>
      <c r="AI47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79" s="11">
        <f>SUMIFS(TableDailySummary[Costo de ventas registrado],TableDailySummary[Fecha],"&gt;="&amp;TableWeeklySummary[[#This Row],[Desde]],TableDailySummary[Fecha],"&lt;="&amp;TableWeeklySummary[[#This Row],[Hasta]])</f>
        <v>0</v>
      </c>
      <c r="AK479" s="11">
        <f>SUMIFS(TableDailySummary[Utilidad bruta],TableDailySummary[Fecha],"&gt;="&amp;TableWeeklySummary[[#This Row],[Desde]],TableDailySummary[Fecha],"&lt;="&amp;TableWeeklySummary[[#This Row],[Hasta]])</f>
        <v>0</v>
      </c>
      <c r="AL479" s="18">
        <f>IFERROR(TableWeeklySummary[[#This Row],[Utilidad bruta]]/TableWeeklySummary[[#This Row],[Ventas netas con costo registrado]],0)</f>
        <v>0</v>
      </c>
    </row>
    <row r="480" spans="2:38" x14ac:dyDescent="0.2">
      <c r="B480" s="16">
        <f>_xlfn.ISOWEEKNUM(TableWeeklySummary[[#This Row],[Hasta]])</f>
        <v>52</v>
      </c>
      <c r="C480" s="6">
        <f t="shared" si="9"/>
        <v>47837</v>
      </c>
      <c r="D480" s="6">
        <f>TableWeeklySummary[[#This Row],[Desde]]+7-1</f>
        <v>47843</v>
      </c>
      <c r="E480" s="11">
        <f>SUMIFS(TableDailySummary[Ventas netas totales],TableDailySummary[Fecha],"&gt;="&amp;TableWeeklySummary[[#This Row],[Desde]],TableDailySummary[Fecha],"&lt;="&amp;TableWeeklySummary[[#This Row],[Hasta]])</f>
        <v>0</v>
      </c>
      <c r="F480" s="11">
        <f>SUMIFS(TableDailySummary[Órdenes totales],TableDailySummary[Fecha],"&gt;="&amp;TableWeeklySummary[[#This Row],[Desde]],TableDailySummary[Fecha],"&lt;="&amp;TableWeeklySummary[[#This Row],[Hasta]])</f>
        <v>0</v>
      </c>
      <c r="G480" s="11">
        <f>IFERROR(TableWeeklySummary[[#This Row],[Ventas netas totales]]/TableWeeklySummary[[#This Row],[Órdenes totales]],0)</f>
        <v>0</v>
      </c>
      <c r="H48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0" s="11">
        <f>TableWeeklySummary[[#This Row],[Órden promedio totales]]*TableWeeklySummary[[#This Row],[CR totales]]</f>
        <v>0</v>
      </c>
      <c r="J480" s="11">
        <f>SUMIFS(TableDailySummary[Ventas primer cliente],TableDailySummary[Fecha],"&gt;="&amp;TableWeeklySummary[[#This Row],[Desde]],TableDailySummary[Fecha],"&lt;="&amp;TableWeeklySummary[[#This Row],[Hasta]])</f>
        <v>0</v>
      </c>
      <c r="K480" s="11">
        <f>SUMIFS(TableDailySummary[Órdenes primer cliente],TableDailySummary[Fecha],"&gt;="&amp;TableWeeklySummary[[#This Row],[Desde]],TableDailySummary[Fecha],"&lt;="&amp;TableWeeklySummary[[#This Row],[Hasta]])</f>
        <v>0</v>
      </c>
      <c r="L480" s="11">
        <f>SUMIFS(TableDailySummary[Online Store_net_sales],TableDailySummary[Fecha],"&gt;="&amp;TableWeeklySummary[[#This Row],[Desde]],TableDailySummary[Fecha],"&lt;="&amp;TableWeeklySummary[[#This Row],[Hasta]])</f>
        <v>0</v>
      </c>
      <c r="M480" s="11">
        <f>SUMIFS(TableDailySummary[Online Store_orders],TableDailySummary[Fecha],"&gt;="&amp;TableWeeklySummary[[#This Row],[Desde]],TableDailySummary[Fecha],"&lt;="&amp;TableWeeklySummary[[#This Row],[Hasta]])</f>
        <v>0</v>
      </c>
      <c r="N480" s="11">
        <f>SUMIFS(TableDailySummary[Tienda 81_net_sales],TableDailySummary[Fecha],"&gt;="&amp;TableWeeklySummary[[#This Row],[Desde]],TableDailySummary[Fecha],"&lt;="&amp;TableWeeklySummary[[#This Row],[Hasta]])</f>
        <v>0</v>
      </c>
      <c r="O480" s="11">
        <f>SUMIFS(TableDailySummary[Tienda 81_orders],TableDailySummary[Fecha],"&gt;="&amp;TableWeeklySummary[[#This Row],[Desde]],TableDailySummary[Fecha],"&lt;="&amp;TableWeeklySummary[[#This Row],[Hasta]])</f>
        <v>0</v>
      </c>
      <c r="P480" s="11">
        <f>SUMIFS(TableDailySummary[Rappi_net_sales],TableDailySummary[Fecha],"&gt;="&amp;TableWeeklySummary[[#This Row],[Desde]],TableDailySummary[Fecha],"&lt;="&amp;TableWeeklySummary[[#This Row],[Hasta]])</f>
        <v>0</v>
      </c>
      <c r="Q480" s="11">
        <f>SUMIFS(TableDailySummary[Rappi_orders],TableDailySummary[Fecha],"&gt;="&amp;TableWeeklySummary[[#This Row],[Desde]],TableDailySummary[Fecha],"&lt;="&amp;TableWeeklySummary[[#This Row],[Hasta]])</f>
        <v>0</v>
      </c>
      <c r="R48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0" s="11">
        <f>SUMIFS(TableDailySummary[Corporativo no tienda_orders],TableDailySummary[Fecha],"&gt;="&amp;TableWeeklySummary[[#This Row],[Desde]],TableDailySummary[Fecha],"&lt;="&amp;TableWeeklySummary[[#This Row],[Hasta]])</f>
        <v>0</v>
      </c>
      <c r="T480" s="11">
        <f>SUMIFS(TableDailySummary[Inversión google ads],TableDailySummary[Fecha],"&gt;="&amp;TableWeeklySummary[[#This Row],[Desde]],TableDailySummary[Fecha],"&lt;="&amp;TableWeeklySummary[[#This Row],[Hasta]])</f>
        <v>0</v>
      </c>
      <c r="U480" s="11">
        <f>SUMIFS(TableDailySummary[Ventas google ads],TableDailySummary[Fecha],"&gt;="&amp;TableWeeklySummary[[#This Row],[Desde]],TableDailySummary[Fecha],"&lt;="&amp;TableWeeklySummary[[#This Row],[Hasta]])</f>
        <v>0</v>
      </c>
      <c r="V480" s="11">
        <f>SUMIFS(TableDailySummary[Inversión meta ads],TableDailySummary[Fecha],"&gt;="&amp;TableWeeklySummary[[#This Row],[Desde]],TableDailySummary[Fecha],"&lt;="&amp;TableWeeklySummary[[#This Row],[Hasta]])</f>
        <v>0</v>
      </c>
      <c r="W480" s="11">
        <f>SUMIFS(TableDailySummary[Ventas meta ads],TableDailySummary[Fecha],"&gt;="&amp;TableWeeklySummary[[#This Row],[Desde]],TableDailySummary[Fecha],"&lt;="&amp;TableWeeklySummary[[#This Row],[Hasta]])</f>
        <v>0</v>
      </c>
      <c r="X480" s="11">
        <f>TableWeeklySummary[[#This Row],[Inversión google ads]]+TableWeeklySummary[[#This Row],[Inversión meta ads]]</f>
        <v>0</v>
      </c>
      <c r="Y480" s="11">
        <f>TableWeeklySummary[[#This Row],[Ventas google ads]]+TableWeeklySummary[[#This Row],[Ventas meta ads]]</f>
        <v>0</v>
      </c>
      <c r="Z480" s="14">
        <f>IFERROR(TableWeeklySummary[[#This Row],[Ventas publicidad]]/TableWeeklySummary[[#This Row],[Inversión publicidad]],0)</f>
        <v>0</v>
      </c>
      <c r="AA480" s="14">
        <f>IFERROR(TableWeeklySummary[[#This Row],[Ventas primer cliente]]/TableWeeklySummary[[#This Row],[Inversión publicidad]],0)</f>
        <v>0</v>
      </c>
      <c r="AB480" s="14"/>
      <c r="AC480" s="11"/>
      <c r="AI48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0" s="11">
        <f>SUMIFS(TableDailySummary[Costo de ventas registrado],TableDailySummary[Fecha],"&gt;="&amp;TableWeeklySummary[[#This Row],[Desde]],TableDailySummary[Fecha],"&lt;="&amp;TableWeeklySummary[[#This Row],[Hasta]])</f>
        <v>0</v>
      </c>
      <c r="AK480" s="11">
        <f>SUMIFS(TableDailySummary[Utilidad bruta],TableDailySummary[Fecha],"&gt;="&amp;TableWeeklySummary[[#This Row],[Desde]],TableDailySummary[Fecha],"&lt;="&amp;TableWeeklySummary[[#This Row],[Hasta]])</f>
        <v>0</v>
      </c>
      <c r="AL480" s="18">
        <f>IFERROR(TableWeeklySummary[[#This Row],[Utilidad bruta]]/TableWeeklySummary[[#This Row],[Ventas netas con costo registrado]],0)</f>
        <v>0</v>
      </c>
    </row>
    <row r="481" spans="2:38" x14ac:dyDescent="0.2">
      <c r="B481" s="16">
        <f>_xlfn.ISOWEEKNUM(TableWeeklySummary[[#This Row],[Hasta]])</f>
        <v>1</v>
      </c>
      <c r="C481" s="6">
        <f t="shared" si="9"/>
        <v>47844</v>
      </c>
      <c r="D481" s="6">
        <f>TableWeeklySummary[[#This Row],[Desde]]+7-1</f>
        <v>47850</v>
      </c>
      <c r="E481" s="11">
        <f>SUMIFS(TableDailySummary[Ventas netas totales],TableDailySummary[Fecha],"&gt;="&amp;TableWeeklySummary[[#This Row],[Desde]],TableDailySummary[Fecha],"&lt;="&amp;TableWeeklySummary[[#This Row],[Hasta]])</f>
        <v>0</v>
      </c>
      <c r="F481" s="11">
        <f>SUMIFS(TableDailySummary[Órdenes totales],TableDailySummary[Fecha],"&gt;="&amp;TableWeeklySummary[[#This Row],[Desde]],TableDailySummary[Fecha],"&lt;="&amp;TableWeeklySummary[[#This Row],[Hasta]])</f>
        <v>0</v>
      </c>
      <c r="G481" s="11">
        <f>IFERROR(TableWeeklySummary[[#This Row],[Ventas netas totales]]/TableWeeklySummary[[#This Row],[Órdenes totales]],0)</f>
        <v>0</v>
      </c>
      <c r="H48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1" s="11">
        <f>TableWeeklySummary[[#This Row],[Órden promedio totales]]*TableWeeklySummary[[#This Row],[CR totales]]</f>
        <v>0</v>
      </c>
      <c r="J481" s="11">
        <f>SUMIFS(TableDailySummary[Ventas primer cliente],TableDailySummary[Fecha],"&gt;="&amp;TableWeeklySummary[[#This Row],[Desde]],TableDailySummary[Fecha],"&lt;="&amp;TableWeeklySummary[[#This Row],[Hasta]])</f>
        <v>0</v>
      </c>
      <c r="K481" s="11">
        <f>SUMIFS(TableDailySummary[Órdenes primer cliente],TableDailySummary[Fecha],"&gt;="&amp;TableWeeklySummary[[#This Row],[Desde]],TableDailySummary[Fecha],"&lt;="&amp;TableWeeklySummary[[#This Row],[Hasta]])</f>
        <v>0</v>
      </c>
      <c r="L481" s="11">
        <f>SUMIFS(TableDailySummary[Online Store_net_sales],TableDailySummary[Fecha],"&gt;="&amp;TableWeeklySummary[[#This Row],[Desde]],TableDailySummary[Fecha],"&lt;="&amp;TableWeeklySummary[[#This Row],[Hasta]])</f>
        <v>0</v>
      </c>
      <c r="M481" s="11">
        <f>SUMIFS(TableDailySummary[Online Store_orders],TableDailySummary[Fecha],"&gt;="&amp;TableWeeklySummary[[#This Row],[Desde]],TableDailySummary[Fecha],"&lt;="&amp;TableWeeklySummary[[#This Row],[Hasta]])</f>
        <v>0</v>
      </c>
      <c r="N481" s="11">
        <f>SUMIFS(TableDailySummary[Tienda 81_net_sales],TableDailySummary[Fecha],"&gt;="&amp;TableWeeklySummary[[#This Row],[Desde]],TableDailySummary[Fecha],"&lt;="&amp;TableWeeklySummary[[#This Row],[Hasta]])</f>
        <v>0</v>
      </c>
      <c r="O481" s="11">
        <f>SUMIFS(TableDailySummary[Tienda 81_orders],TableDailySummary[Fecha],"&gt;="&amp;TableWeeklySummary[[#This Row],[Desde]],TableDailySummary[Fecha],"&lt;="&amp;TableWeeklySummary[[#This Row],[Hasta]])</f>
        <v>0</v>
      </c>
      <c r="P481" s="11">
        <f>SUMIFS(TableDailySummary[Rappi_net_sales],TableDailySummary[Fecha],"&gt;="&amp;TableWeeklySummary[[#This Row],[Desde]],TableDailySummary[Fecha],"&lt;="&amp;TableWeeklySummary[[#This Row],[Hasta]])</f>
        <v>0</v>
      </c>
      <c r="Q481" s="11">
        <f>SUMIFS(TableDailySummary[Rappi_orders],TableDailySummary[Fecha],"&gt;="&amp;TableWeeklySummary[[#This Row],[Desde]],TableDailySummary[Fecha],"&lt;="&amp;TableWeeklySummary[[#This Row],[Hasta]])</f>
        <v>0</v>
      </c>
      <c r="R48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1" s="11">
        <f>SUMIFS(TableDailySummary[Corporativo no tienda_orders],TableDailySummary[Fecha],"&gt;="&amp;TableWeeklySummary[[#This Row],[Desde]],TableDailySummary[Fecha],"&lt;="&amp;TableWeeklySummary[[#This Row],[Hasta]])</f>
        <v>0</v>
      </c>
      <c r="T481" s="11">
        <f>SUMIFS(TableDailySummary[Inversión google ads],TableDailySummary[Fecha],"&gt;="&amp;TableWeeklySummary[[#This Row],[Desde]],TableDailySummary[Fecha],"&lt;="&amp;TableWeeklySummary[[#This Row],[Hasta]])</f>
        <v>0</v>
      </c>
      <c r="U481" s="11">
        <f>SUMIFS(TableDailySummary[Ventas google ads],TableDailySummary[Fecha],"&gt;="&amp;TableWeeklySummary[[#This Row],[Desde]],TableDailySummary[Fecha],"&lt;="&amp;TableWeeklySummary[[#This Row],[Hasta]])</f>
        <v>0</v>
      </c>
      <c r="V481" s="11">
        <f>SUMIFS(TableDailySummary[Inversión meta ads],TableDailySummary[Fecha],"&gt;="&amp;TableWeeklySummary[[#This Row],[Desde]],TableDailySummary[Fecha],"&lt;="&amp;TableWeeklySummary[[#This Row],[Hasta]])</f>
        <v>0</v>
      </c>
      <c r="W481" s="11">
        <f>SUMIFS(TableDailySummary[Ventas meta ads],TableDailySummary[Fecha],"&gt;="&amp;TableWeeklySummary[[#This Row],[Desde]],TableDailySummary[Fecha],"&lt;="&amp;TableWeeklySummary[[#This Row],[Hasta]])</f>
        <v>0</v>
      </c>
      <c r="X481" s="11">
        <f>TableWeeklySummary[[#This Row],[Inversión google ads]]+TableWeeklySummary[[#This Row],[Inversión meta ads]]</f>
        <v>0</v>
      </c>
      <c r="Y481" s="11">
        <f>TableWeeklySummary[[#This Row],[Ventas google ads]]+TableWeeklySummary[[#This Row],[Ventas meta ads]]</f>
        <v>0</v>
      </c>
      <c r="Z481" s="14">
        <f>IFERROR(TableWeeklySummary[[#This Row],[Ventas publicidad]]/TableWeeklySummary[[#This Row],[Inversión publicidad]],0)</f>
        <v>0</v>
      </c>
      <c r="AA481" s="14">
        <f>IFERROR(TableWeeklySummary[[#This Row],[Ventas primer cliente]]/TableWeeklySummary[[#This Row],[Inversión publicidad]],0)</f>
        <v>0</v>
      </c>
      <c r="AB481" s="14"/>
      <c r="AC481" s="11"/>
      <c r="AI48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1" s="11">
        <f>SUMIFS(TableDailySummary[Costo de ventas registrado],TableDailySummary[Fecha],"&gt;="&amp;TableWeeklySummary[[#This Row],[Desde]],TableDailySummary[Fecha],"&lt;="&amp;TableWeeklySummary[[#This Row],[Hasta]])</f>
        <v>0</v>
      </c>
      <c r="AK481" s="11">
        <f>SUMIFS(TableDailySummary[Utilidad bruta],TableDailySummary[Fecha],"&gt;="&amp;TableWeeklySummary[[#This Row],[Desde]],TableDailySummary[Fecha],"&lt;="&amp;TableWeeklySummary[[#This Row],[Hasta]])</f>
        <v>0</v>
      </c>
      <c r="AL481" s="18">
        <f>IFERROR(TableWeeklySummary[[#This Row],[Utilidad bruta]]/TableWeeklySummary[[#This Row],[Ventas netas con costo registrado]],0)</f>
        <v>0</v>
      </c>
    </row>
    <row r="482" spans="2:38" x14ac:dyDescent="0.2">
      <c r="B482" s="16">
        <f>_xlfn.ISOWEEKNUM(TableWeeklySummary[[#This Row],[Hasta]])</f>
        <v>2</v>
      </c>
      <c r="C482" s="6">
        <f t="shared" si="9"/>
        <v>47851</v>
      </c>
      <c r="D482" s="6">
        <f>TableWeeklySummary[[#This Row],[Desde]]+7-1</f>
        <v>47857</v>
      </c>
      <c r="E482" s="11">
        <f>SUMIFS(TableDailySummary[Ventas netas totales],TableDailySummary[Fecha],"&gt;="&amp;TableWeeklySummary[[#This Row],[Desde]],TableDailySummary[Fecha],"&lt;="&amp;TableWeeklySummary[[#This Row],[Hasta]])</f>
        <v>0</v>
      </c>
      <c r="F482" s="11">
        <f>SUMIFS(TableDailySummary[Órdenes totales],TableDailySummary[Fecha],"&gt;="&amp;TableWeeklySummary[[#This Row],[Desde]],TableDailySummary[Fecha],"&lt;="&amp;TableWeeklySummary[[#This Row],[Hasta]])</f>
        <v>0</v>
      </c>
      <c r="G482" s="11">
        <f>IFERROR(TableWeeklySummary[[#This Row],[Ventas netas totales]]/TableWeeklySummary[[#This Row],[Órdenes totales]],0)</f>
        <v>0</v>
      </c>
      <c r="H48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2" s="11">
        <f>TableWeeklySummary[[#This Row],[Órden promedio totales]]*TableWeeklySummary[[#This Row],[CR totales]]</f>
        <v>0</v>
      </c>
      <c r="J482" s="11">
        <f>SUMIFS(TableDailySummary[Ventas primer cliente],TableDailySummary[Fecha],"&gt;="&amp;TableWeeklySummary[[#This Row],[Desde]],TableDailySummary[Fecha],"&lt;="&amp;TableWeeklySummary[[#This Row],[Hasta]])</f>
        <v>0</v>
      </c>
      <c r="K482" s="11">
        <f>SUMIFS(TableDailySummary[Órdenes primer cliente],TableDailySummary[Fecha],"&gt;="&amp;TableWeeklySummary[[#This Row],[Desde]],TableDailySummary[Fecha],"&lt;="&amp;TableWeeklySummary[[#This Row],[Hasta]])</f>
        <v>0</v>
      </c>
      <c r="L482" s="11">
        <f>SUMIFS(TableDailySummary[Online Store_net_sales],TableDailySummary[Fecha],"&gt;="&amp;TableWeeklySummary[[#This Row],[Desde]],TableDailySummary[Fecha],"&lt;="&amp;TableWeeklySummary[[#This Row],[Hasta]])</f>
        <v>0</v>
      </c>
      <c r="M482" s="11">
        <f>SUMIFS(TableDailySummary[Online Store_orders],TableDailySummary[Fecha],"&gt;="&amp;TableWeeklySummary[[#This Row],[Desde]],TableDailySummary[Fecha],"&lt;="&amp;TableWeeklySummary[[#This Row],[Hasta]])</f>
        <v>0</v>
      </c>
      <c r="N482" s="11">
        <f>SUMIFS(TableDailySummary[Tienda 81_net_sales],TableDailySummary[Fecha],"&gt;="&amp;TableWeeklySummary[[#This Row],[Desde]],TableDailySummary[Fecha],"&lt;="&amp;TableWeeklySummary[[#This Row],[Hasta]])</f>
        <v>0</v>
      </c>
      <c r="O482" s="11">
        <f>SUMIFS(TableDailySummary[Tienda 81_orders],TableDailySummary[Fecha],"&gt;="&amp;TableWeeklySummary[[#This Row],[Desde]],TableDailySummary[Fecha],"&lt;="&amp;TableWeeklySummary[[#This Row],[Hasta]])</f>
        <v>0</v>
      </c>
      <c r="P482" s="11">
        <f>SUMIFS(TableDailySummary[Rappi_net_sales],TableDailySummary[Fecha],"&gt;="&amp;TableWeeklySummary[[#This Row],[Desde]],TableDailySummary[Fecha],"&lt;="&amp;TableWeeklySummary[[#This Row],[Hasta]])</f>
        <v>0</v>
      </c>
      <c r="Q482" s="11">
        <f>SUMIFS(TableDailySummary[Rappi_orders],TableDailySummary[Fecha],"&gt;="&amp;TableWeeklySummary[[#This Row],[Desde]],TableDailySummary[Fecha],"&lt;="&amp;TableWeeklySummary[[#This Row],[Hasta]])</f>
        <v>0</v>
      </c>
      <c r="R48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2" s="11">
        <f>SUMIFS(TableDailySummary[Corporativo no tienda_orders],TableDailySummary[Fecha],"&gt;="&amp;TableWeeklySummary[[#This Row],[Desde]],TableDailySummary[Fecha],"&lt;="&amp;TableWeeklySummary[[#This Row],[Hasta]])</f>
        <v>0</v>
      </c>
      <c r="T482" s="11">
        <f>SUMIFS(TableDailySummary[Inversión google ads],TableDailySummary[Fecha],"&gt;="&amp;TableWeeklySummary[[#This Row],[Desde]],TableDailySummary[Fecha],"&lt;="&amp;TableWeeklySummary[[#This Row],[Hasta]])</f>
        <v>0</v>
      </c>
      <c r="U482" s="11">
        <f>SUMIFS(TableDailySummary[Ventas google ads],TableDailySummary[Fecha],"&gt;="&amp;TableWeeklySummary[[#This Row],[Desde]],TableDailySummary[Fecha],"&lt;="&amp;TableWeeklySummary[[#This Row],[Hasta]])</f>
        <v>0</v>
      </c>
      <c r="V482" s="11">
        <f>SUMIFS(TableDailySummary[Inversión meta ads],TableDailySummary[Fecha],"&gt;="&amp;TableWeeklySummary[[#This Row],[Desde]],TableDailySummary[Fecha],"&lt;="&amp;TableWeeklySummary[[#This Row],[Hasta]])</f>
        <v>0</v>
      </c>
      <c r="W482" s="11">
        <f>SUMIFS(TableDailySummary[Ventas meta ads],TableDailySummary[Fecha],"&gt;="&amp;TableWeeklySummary[[#This Row],[Desde]],TableDailySummary[Fecha],"&lt;="&amp;TableWeeklySummary[[#This Row],[Hasta]])</f>
        <v>0</v>
      </c>
      <c r="X482" s="11">
        <f>TableWeeklySummary[[#This Row],[Inversión google ads]]+TableWeeklySummary[[#This Row],[Inversión meta ads]]</f>
        <v>0</v>
      </c>
      <c r="Y482" s="11">
        <f>TableWeeklySummary[[#This Row],[Ventas google ads]]+TableWeeklySummary[[#This Row],[Ventas meta ads]]</f>
        <v>0</v>
      </c>
      <c r="Z482" s="14">
        <f>IFERROR(TableWeeklySummary[[#This Row],[Ventas publicidad]]/TableWeeklySummary[[#This Row],[Inversión publicidad]],0)</f>
        <v>0</v>
      </c>
      <c r="AA482" s="14">
        <f>IFERROR(TableWeeklySummary[[#This Row],[Ventas primer cliente]]/TableWeeklySummary[[#This Row],[Inversión publicidad]],0)</f>
        <v>0</v>
      </c>
      <c r="AB482" s="14"/>
      <c r="AC482" s="11"/>
      <c r="AI48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2" s="11">
        <f>SUMIFS(TableDailySummary[Costo de ventas registrado],TableDailySummary[Fecha],"&gt;="&amp;TableWeeklySummary[[#This Row],[Desde]],TableDailySummary[Fecha],"&lt;="&amp;TableWeeklySummary[[#This Row],[Hasta]])</f>
        <v>0</v>
      </c>
      <c r="AK482" s="11">
        <f>SUMIFS(TableDailySummary[Utilidad bruta],TableDailySummary[Fecha],"&gt;="&amp;TableWeeklySummary[[#This Row],[Desde]],TableDailySummary[Fecha],"&lt;="&amp;TableWeeklySummary[[#This Row],[Hasta]])</f>
        <v>0</v>
      </c>
      <c r="AL482" s="18">
        <f>IFERROR(TableWeeklySummary[[#This Row],[Utilidad bruta]]/TableWeeklySummary[[#This Row],[Ventas netas con costo registrado]],0)</f>
        <v>0</v>
      </c>
    </row>
    <row r="483" spans="2:38" x14ac:dyDescent="0.2">
      <c r="B483" s="16">
        <f>_xlfn.ISOWEEKNUM(TableWeeklySummary[[#This Row],[Hasta]])</f>
        <v>3</v>
      </c>
      <c r="C483" s="6">
        <f t="shared" si="9"/>
        <v>47858</v>
      </c>
      <c r="D483" s="6">
        <f>TableWeeklySummary[[#This Row],[Desde]]+7-1</f>
        <v>47864</v>
      </c>
      <c r="E483" s="11">
        <f>SUMIFS(TableDailySummary[Ventas netas totales],TableDailySummary[Fecha],"&gt;="&amp;TableWeeklySummary[[#This Row],[Desde]],TableDailySummary[Fecha],"&lt;="&amp;TableWeeklySummary[[#This Row],[Hasta]])</f>
        <v>0</v>
      </c>
      <c r="F483" s="11">
        <f>SUMIFS(TableDailySummary[Órdenes totales],TableDailySummary[Fecha],"&gt;="&amp;TableWeeklySummary[[#This Row],[Desde]],TableDailySummary[Fecha],"&lt;="&amp;TableWeeklySummary[[#This Row],[Hasta]])</f>
        <v>0</v>
      </c>
      <c r="G483" s="11">
        <f>IFERROR(TableWeeklySummary[[#This Row],[Ventas netas totales]]/TableWeeklySummary[[#This Row],[Órdenes totales]],0)</f>
        <v>0</v>
      </c>
      <c r="H48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3" s="11">
        <f>TableWeeklySummary[[#This Row],[Órden promedio totales]]*TableWeeklySummary[[#This Row],[CR totales]]</f>
        <v>0</v>
      </c>
      <c r="J483" s="11">
        <f>SUMIFS(TableDailySummary[Ventas primer cliente],TableDailySummary[Fecha],"&gt;="&amp;TableWeeklySummary[[#This Row],[Desde]],TableDailySummary[Fecha],"&lt;="&amp;TableWeeklySummary[[#This Row],[Hasta]])</f>
        <v>0</v>
      </c>
      <c r="K483" s="11">
        <f>SUMIFS(TableDailySummary[Órdenes primer cliente],TableDailySummary[Fecha],"&gt;="&amp;TableWeeklySummary[[#This Row],[Desde]],TableDailySummary[Fecha],"&lt;="&amp;TableWeeklySummary[[#This Row],[Hasta]])</f>
        <v>0</v>
      </c>
      <c r="L483" s="11">
        <f>SUMIFS(TableDailySummary[Online Store_net_sales],TableDailySummary[Fecha],"&gt;="&amp;TableWeeklySummary[[#This Row],[Desde]],TableDailySummary[Fecha],"&lt;="&amp;TableWeeklySummary[[#This Row],[Hasta]])</f>
        <v>0</v>
      </c>
      <c r="M483" s="11">
        <f>SUMIFS(TableDailySummary[Online Store_orders],TableDailySummary[Fecha],"&gt;="&amp;TableWeeklySummary[[#This Row],[Desde]],TableDailySummary[Fecha],"&lt;="&amp;TableWeeklySummary[[#This Row],[Hasta]])</f>
        <v>0</v>
      </c>
      <c r="N483" s="11">
        <f>SUMIFS(TableDailySummary[Tienda 81_net_sales],TableDailySummary[Fecha],"&gt;="&amp;TableWeeklySummary[[#This Row],[Desde]],TableDailySummary[Fecha],"&lt;="&amp;TableWeeklySummary[[#This Row],[Hasta]])</f>
        <v>0</v>
      </c>
      <c r="O483" s="11">
        <f>SUMIFS(TableDailySummary[Tienda 81_orders],TableDailySummary[Fecha],"&gt;="&amp;TableWeeklySummary[[#This Row],[Desde]],TableDailySummary[Fecha],"&lt;="&amp;TableWeeklySummary[[#This Row],[Hasta]])</f>
        <v>0</v>
      </c>
      <c r="P483" s="11">
        <f>SUMIFS(TableDailySummary[Rappi_net_sales],TableDailySummary[Fecha],"&gt;="&amp;TableWeeklySummary[[#This Row],[Desde]],TableDailySummary[Fecha],"&lt;="&amp;TableWeeklySummary[[#This Row],[Hasta]])</f>
        <v>0</v>
      </c>
      <c r="Q483" s="11">
        <f>SUMIFS(TableDailySummary[Rappi_orders],TableDailySummary[Fecha],"&gt;="&amp;TableWeeklySummary[[#This Row],[Desde]],TableDailySummary[Fecha],"&lt;="&amp;TableWeeklySummary[[#This Row],[Hasta]])</f>
        <v>0</v>
      </c>
      <c r="R48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3" s="11">
        <f>SUMIFS(TableDailySummary[Corporativo no tienda_orders],TableDailySummary[Fecha],"&gt;="&amp;TableWeeklySummary[[#This Row],[Desde]],TableDailySummary[Fecha],"&lt;="&amp;TableWeeklySummary[[#This Row],[Hasta]])</f>
        <v>0</v>
      </c>
      <c r="T483" s="11">
        <f>SUMIFS(TableDailySummary[Inversión google ads],TableDailySummary[Fecha],"&gt;="&amp;TableWeeklySummary[[#This Row],[Desde]],TableDailySummary[Fecha],"&lt;="&amp;TableWeeklySummary[[#This Row],[Hasta]])</f>
        <v>0</v>
      </c>
      <c r="U483" s="11">
        <f>SUMIFS(TableDailySummary[Ventas google ads],TableDailySummary[Fecha],"&gt;="&amp;TableWeeklySummary[[#This Row],[Desde]],TableDailySummary[Fecha],"&lt;="&amp;TableWeeklySummary[[#This Row],[Hasta]])</f>
        <v>0</v>
      </c>
      <c r="V483" s="11">
        <f>SUMIFS(TableDailySummary[Inversión meta ads],TableDailySummary[Fecha],"&gt;="&amp;TableWeeklySummary[[#This Row],[Desde]],TableDailySummary[Fecha],"&lt;="&amp;TableWeeklySummary[[#This Row],[Hasta]])</f>
        <v>0</v>
      </c>
      <c r="W483" s="11">
        <f>SUMIFS(TableDailySummary[Ventas meta ads],TableDailySummary[Fecha],"&gt;="&amp;TableWeeklySummary[[#This Row],[Desde]],TableDailySummary[Fecha],"&lt;="&amp;TableWeeklySummary[[#This Row],[Hasta]])</f>
        <v>0</v>
      </c>
      <c r="X483" s="11">
        <f>TableWeeklySummary[[#This Row],[Inversión google ads]]+TableWeeklySummary[[#This Row],[Inversión meta ads]]</f>
        <v>0</v>
      </c>
      <c r="Y483" s="11">
        <f>TableWeeklySummary[[#This Row],[Ventas google ads]]+TableWeeklySummary[[#This Row],[Ventas meta ads]]</f>
        <v>0</v>
      </c>
      <c r="Z483" s="14">
        <f>IFERROR(TableWeeklySummary[[#This Row],[Ventas publicidad]]/TableWeeklySummary[[#This Row],[Inversión publicidad]],0)</f>
        <v>0</v>
      </c>
      <c r="AA483" s="14">
        <f>IFERROR(TableWeeklySummary[[#This Row],[Ventas primer cliente]]/TableWeeklySummary[[#This Row],[Inversión publicidad]],0)</f>
        <v>0</v>
      </c>
      <c r="AB483" s="14"/>
      <c r="AC483" s="11"/>
      <c r="AI48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3" s="11">
        <f>SUMIFS(TableDailySummary[Costo de ventas registrado],TableDailySummary[Fecha],"&gt;="&amp;TableWeeklySummary[[#This Row],[Desde]],TableDailySummary[Fecha],"&lt;="&amp;TableWeeklySummary[[#This Row],[Hasta]])</f>
        <v>0</v>
      </c>
      <c r="AK483" s="11">
        <f>SUMIFS(TableDailySummary[Utilidad bruta],TableDailySummary[Fecha],"&gt;="&amp;TableWeeklySummary[[#This Row],[Desde]],TableDailySummary[Fecha],"&lt;="&amp;TableWeeklySummary[[#This Row],[Hasta]])</f>
        <v>0</v>
      </c>
      <c r="AL483" s="18">
        <f>IFERROR(TableWeeklySummary[[#This Row],[Utilidad bruta]]/TableWeeklySummary[[#This Row],[Ventas netas con costo registrado]],0)</f>
        <v>0</v>
      </c>
    </row>
    <row r="484" spans="2:38" x14ac:dyDescent="0.2">
      <c r="B484" s="16">
        <f>_xlfn.ISOWEEKNUM(TableWeeklySummary[[#This Row],[Hasta]])</f>
        <v>4</v>
      </c>
      <c r="C484" s="6">
        <f t="shared" si="9"/>
        <v>47865</v>
      </c>
      <c r="D484" s="6">
        <f>TableWeeklySummary[[#This Row],[Desde]]+7-1</f>
        <v>47871</v>
      </c>
      <c r="E484" s="11">
        <f>SUMIFS(TableDailySummary[Ventas netas totales],TableDailySummary[Fecha],"&gt;="&amp;TableWeeklySummary[[#This Row],[Desde]],TableDailySummary[Fecha],"&lt;="&amp;TableWeeklySummary[[#This Row],[Hasta]])</f>
        <v>0</v>
      </c>
      <c r="F484" s="11">
        <f>SUMIFS(TableDailySummary[Órdenes totales],TableDailySummary[Fecha],"&gt;="&amp;TableWeeklySummary[[#This Row],[Desde]],TableDailySummary[Fecha],"&lt;="&amp;TableWeeklySummary[[#This Row],[Hasta]])</f>
        <v>0</v>
      </c>
      <c r="G484" s="11">
        <f>IFERROR(TableWeeklySummary[[#This Row],[Ventas netas totales]]/TableWeeklySummary[[#This Row],[Órdenes totales]],0)</f>
        <v>0</v>
      </c>
      <c r="H48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4" s="11">
        <f>TableWeeklySummary[[#This Row],[Órden promedio totales]]*TableWeeklySummary[[#This Row],[CR totales]]</f>
        <v>0</v>
      </c>
      <c r="J484" s="11">
        <f>SUMIFS(TableDailySummary[Ventas primer cliente],TableDailySummary[Fecha],"&gt;="&amp;TableWeeklySummary[[#This Row],[Desde]],TableDailySummary[Fecha],"&lt;="&amp;TableWeeklySummary[[#This Row],[Hasta]])</f>
        <v>0</v>
      </c>
      <c r="K484" s="11">
        <f>SUMIFS(TableDailySummary[Órdenes primer cliente],TableDailySummary[Fecha],"&gt;="&amp;TableWeeklySummary[[#This Row],[Desde]],TableDailySummary[Fecha],"&lt;="&amp;TableWeeklySummary[[#This Row],[Hasta]])</f>
        <v>0</v>
      </c>
      <c r="L484" s="11">
        <f>SUMIFS(TableDailySummary[Online Store_net_sales],TableDailySummary[Fecha],"&gt;="&amp;TableWeeklySummary[[#This Row],[Desde]],TableDailySummary[Fecha],"&lt;="&amp;TableWeeklySummary[[#This Row],[Hasta]])</f>
        <v>0</v>
      </c>
      <c r="M484" s="11">
        <f>SUMIFS(TableDailySummary[Online Store_orders],TableDailySummary[Fecha],"&gt;="&amp;TableWeeklySummary[[#This Row],[Desde]],TableDailySummary[Fecha],"&lt;="&amp;TableWeeklySummary[[#This Row],[Hasta]])</f>
        <v>0</v>
      </c>
      <c r="N484" s="11">
        <f>SUMIFS(TableDailySummary[Tienda 81_net_sales],TableDailySummary[Fecha],"&gt;="&amp;TableWeeklySummary[[#This Row],[Desde]],TableDailySummary[Fecha],"&lt;="&amp;TableWeeklySummary[[#This Row],[Hasta]])</f>
        <v>0</v>
      </c>
      <c r="O484" s="11">
        <f>SUMIFS(TableDailySummary[Tienda 81_orders],TableDailySummary[Fecha],"&gt;="&amp;TableWeeklySummary[[#This Row],[Desde]],TableDailySummary[Fecha],"&lt;="&amp;TableWeeklySummary[[#This Row],[Hasta]])</f>
        <v>0</v>
      </c>
      <c r="P484" s="11">
        <f>SUMIFS(TableDailySummary[Rappi_net_sales],TableDailySummary[Fecha],"&gt;="&amp;TableWeeklySummary[[#This Row],[Desde]],TableDailySummary[Fecha],"&lt;="&amp;TableWeeklySummary[[#This Row],[Hasta]])</f>
        <v>0</v>
      </c>
      <c r="Q484" s="11">
        <f>SUMIFS(TableDailySummary[Rappi_orders],TableDailySummary[Fecha],"&gt;="&amp;TableWeeklySummary[[#This Row],[Desde]],TableDailySummary[Fecha],"&lt;="&amp;TableWeeklySummary[[#This Row],[Hasta]])</f>
        <v>0</v>
      </c>
      <c r="R48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4" s="11">
        <f>SUMIFS(TableDailySummary[Corporativo no tienda_orders],TableDailySummary[Fecha],"&gt;="&amp;TableWeeklySummary[[#This Row],[Desde]],TableDailySummary[Fecha],"&lt;="&amp;TableWeeklySummary[[#This Row],[Hasta]])</f>
        <v>0</v>
      </c>
      <c r="T484" s="11">
        <f>SUMIFS(TableDailySummary[Inversión google ads],TableDailySummary[Fecha],"&gt;="&amp;TableWeeklySummary[[#This Row],[Desde]],TableDailySummary[Fecha],"&lt;="&amp;TableWeeklySummary[[#This Row],[Hasta]])</f>
        <v>0</v>
      </c>
      <c r="U484" s="11">
        <f>SUMIFS(TableDailySummary[Ventas google ads],TableDailySummary[Fecha],"&gt;="&amp;TableWeeklySummary[[#This Row],[Desde]],TableDailySummary[Fecha],"&lt;="&amp;TableWeeklySummary[[#This Row],[Hasta]])</f>
        <v>0</v>
      </c>
      <c r="V484" s="11">
        <f>SUMIFS(TableDailySummary[Inversión meta ads],TableDailySummary[Fecha],"&gt;="&amp;TableWeeklySummary[[#This Row],[Desde]],TableDailySummary[Fecha],"&lt;="&amp;TableWeeklySummary[[#This Row],[Hasta]])</f>
        <v>0</v>
      </c>
      <c r="W484" s="11">
        <f>SUMIFS(TableDailySummary[Ventas meta ads],TableDailySummary[Fecha],"&gt;="&amp;TableWeeklySummary[[#This Row],[Desde]],TableDailySummary[Fecha],"&lt;="&amp;TableWeeklySummary[[#This Row],[Hasta]])</f>
        <v>0</v>
      </c>
      <c r="X484" s="11">
        <f>TableWeeklySummary[[#This Row],[Inversión google ads]]+TableWeeklySummary[[#This Row],[Inversión meta ads]]</f>
        <v>0</v>
      </c>
      <c r="Y484" s="11">
        <f>TableWeeklySummary[[#This Row],[Ventas google ads]]+TableWeeklySummary[[#This Row],[Ventas meta ads]]</f>
        <v>0</v>
      </c>
      <c r="Z484" s="14">
        <f>IFERROR(TableWeeklySummary[[#This Row],[Ventas publicidad]]/TableWeeklySummary[[#This Row],[Inversión publicidad]],0)</f>
        <v>0</v>
      </c>
      <c r="AA484" s="14">
        <f>IFERROR(TableWeeklySummary[[#This Row],[Ventas primer cliente]]/TableWeeklySummary[[#This Row],[Inversión publicidad]],0)</f>
        <v>0</v>
      </c>
      <c r="AB484" s="14"/>
      <c r="AC484" s="11"/>
      <c r="AI48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4" s="11">
        <f>SUMIFS(TableDailySummary[Costo de ventas registrado],TableDailySummary[Fecha],"&gt;="&amp;TableWeeklySummary[[#This Row],[Desde]],TableDailySummary[Fecha],"&lt;="&amp;TableWeeklySummary[[#This Row],[Hasta]])</f>
        <v>0</v>
      </c>
      <c r="AK484" s="11">
        <f>SUMIFS(TableDailySummary[Utilidad bruta],TableDailySummary[Fecha],"&gt;="&amp;TableWeeklySummary[[#This Row],[Desde]],TableDailySummary[Fecha],"&lt;="&amp;TableWeeklySummary[[#This Row],[Hasta]])</f>
        <v>0</v>
      </c>
      <c r="AL484" s="18">
        <f>IFERROR(TableWeeklySummary[[#This Row],[Utilidad bruta]]/TableWeeklySummary[[#This Row],[Ventas netas con costo registrado]],0)</f>
        <v>0</v>
      </c>
    </row>
    <row r="485" spans="2:38" x14ac:dyDescent="0.2">
      <c r="B485" s="16">
        <f>_xlfn.ISOWEEKNUM(TableWeeklySummary[[#This Row],[Hasta]])</f>
        <v>5</v>
      </c>
      <c r="C485" s="6">
        <f t="shared" si="9"/>
        <v>47872</v>
      </c>
      <c r="D485" s="6">
        <f>TableWeeklySummary[[#This Row],[Desde]]+7-1</f>
        <v>47878</v>
      </c>
      <c r="E485" s="11">
        <f>SUMIFS(TableDailySummary[Ventas netas totales],TableDailySummary[Fecha],"&gt;="&amp;TableWeeklySummary[[#This Row],[Desde]],TableDailySummary[Fecha],"&lt;="&amp;TableWeeklySummary[[#This Row],[Hasta]])</f>
        <v>0</v>
      </c>
      <c r="F485" s="11">
        <f>SUMIFS(TableDailySummary[Órdenes totales],TableDailySummary[Fecha],"&gt;="&amp;TableWeeklySummary[[#This Row],[Desde]],TableDailySummary[Fecha],"&lt;="&amp;TableWeeklySummary[[#This Row],[Hasta]])</f>
        <v>0</v>
      </c>
      <c r="G485" s="11">
        <f>IFERROR(TableWeeklySummary[[#This Row],[Ventas netas totales]]/TableWeeklySummary[[#This Row],[Órdenes totales]],0)</f>
        <v>0</v>
      </c>
      <c r="H48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5" s="11">
        <f>TableWeeklySummary[[#This Row],[Órden promedio totales]]*TableWeeklySummary[[#This Row],[CR totales]]</f>
        <v>0</v>
      </c>
      <c r="J485" s="11">
        <f>SUMIFS(TableDailySummary[Ventas primer cliente],TableDailySummary[Fecha],"&gt;="&amp;TableWeeklySummary[[#This Row],[Desde]],TableDailySummary[Fecha],"&lt;="&amp;TableWeeklySummary[[#This Row],[Hasta]])</f>
        <v>0</v>
      </c>
      <c r="K485" s="11">
        <f>SUMIFS(TableDailySummary[Órdenes primer cliente],TableDailySummary[Fecha],"&gt;="&amp;TableWeeklySummary[[#This Row],[Desde]],TableDailySummary[Fecha],"&lt;="&amp;TableWeeklySummary[[#This Row],[Hasta]])</f>
        <v>0</v>
      </c>
      <c r="L485" s="11">
        <f>SUMIFS(TableDailySummary[Online Store_net_sales],TableDailySummary[Fecha],"&gt;="&amp;TableWeeklySummary[[#This Row],[Desde]],TableDailySummary[Fecha],"&lt;="&amp;TableWeeklySummary[[#This Row],[Hasta]])</f>
        <v>0</v>
      </c>
      <c r="M485" s="11">
        <f>SUMIFS(TableDailySummary[Online Store_orders],TableDailySummary[Fecha],"&gt;="&amp;TableWeeklySummary[[#This Row],[Desde]],TableDailySummary[Fecha],"&lt;="&amp;TableWeeklySummary[[#This Row],[Hasta]])</f>
        <v>0</v>
      </c>
      <c r="N485" s="11">
        <f>SUMIFS(TableDailySummary[Tienda 81_net_sales],TableDailySummary[Fecha],"&gt;="&amp;TableWeeklySummary[[#This Row],[Desde]],TableDailySummary[Fecha],"&lt;="&amp;TableWeeklySummary[[#This Row],[Hasta]])</f>
        <v>0</v>
      </c>
      <c r="O485" s="11">
        <f>SUMIFS(TableDailySummary[Tienda 81_orders],TableDailySummary[Fecha],"&gt;="&amp;TableWeeklySummary[[#This Row],[Desde]],TableDailySummary[Fecha],"&lt;="&amp;TableWeeklySummary[[#This Row],[Hasta]])</f>
        <v>0</v>
      </c>
      <c r="P485" s="11">
        <f>SUMIFS(TableDailySummary[Rappi_net_sales],TableDailySummary[Fecha],"&gt;="&amp;TableWeeklySummary[[#This Row],[Desde]],TableDailySummary[Fecha],"&lt;="&amp;TableWeeklySummary[[#This Row],[Hasta]])</f>
        <v>0</v>
      </c>
      <c r="Q485" s="11">
        <f>SUMIFS(TableDailySummary[Rappi_orders],TableDailySummary[Fecha],"&gt;="&amp;TableWeeklySummary[[#This Row],[Desde]],TableDailySummary[Fecha],"&lt;="&amp;TableWeeklySummary[[#This Row],[Hasta]])</f>
        <v>0</v>
      </c>
      <c r="R48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5" s="11">
        <f>SUMIFS(TableDailySummary[Corporativo no tienda_orders],TableDailySummary[Fecha],"&gt;="&amp;TableWeeklySummary[[#This Row],[Desde]],TableDailySummary[Fecha],"&lt;="&amp;TableWeeklySummary[[#This Row],[Hasta]])</f>
        <v>0</v>
      </c>
      <c r="T485" s="11">
        <f>SUMIFS(TableDailySummary[Inversión google ads],TableDailySummary[Fecha],"&gt;="&amp;TableWeeklySummary[[#This Row],[Desde]],TableDailySummary[Fecha],"&lt;="&amp;TableWeeklySummary[[#This Row],[Hasta]])</f>
        <v>0</v>
      </c>
      <c r="U485" s="11">
        <f>SUMIFS(TableDailySummary[Ventas google ads],TableDailySummary[Fecha],"&gt;="&amp;TableWeeklySummary[[#This Row],[Desde]],TableDailySummary[Fecha],"&lt;="&amp;TableWeeklySummary[[#This Row],[Hasta]])</f>
        <v>0</v>
      </c>
      <c r="V485" s="11">
        <f>SUMIFS(TableDailySummary[Inversión meta ads],TableDailySummary[Fecha],"&gt;="&amp;TableWeeklySummary[[#This Row],[Desde]],TableDailySummary[Fecha],"&lt;="&amp;TableWeeklySummary[[#This Row],[Hasta]])</f>
        <v>0</v>
      </c>
      <c r="W485" s="11">
        <f>SUMIFS(TableDailySummary[Ventas meta ads],TableDailySummary[Fecha],"&gt;="&amp;TableWeeklySummary[[#This Row],[Desde]],TableDailySummary[Fecha],"&lt;="&amp;TableWeeklySummary[[#This Row],[Hasta]])</f>
        <v>0</v>
      </c>
      <c r="X485" s="11">
        <f>TableWeeklySummary[[#This Row],[Inversión google ads]]+TableWeeklySummary[[#This Row],[Inversión meta ads]]</f>
        <v>0</v>
      </c>
      <c r="Y485" s="11">
        <f>TableWeeklySummary[[#This Row],[Ventas google ads]]+TableWeeklySummary[[#This Row],[Ventas meta ads]]</f>
        <v>0</v>
      </c>
      <c r="Z485" s="14">
        <f>IFERROR(TableWeeklySummary[[#This Row],[Ventas publicidad]]/TableWeeklySummary[[#This Row],[Inversión publicidad]],0)</f>
        <v>0</v>
      </c>
      <c r="AA485" s="14">
        <f>IFERROR(TableWeeklySummary[[#This Row],[Ventas primer cliente]]/TableWeeklySummary[[#This Row],[Inversión publicidad]],0)</f>
        <v>0</v>
      </c>
      <c r="AB485" s="14"/>
      <c r="AC485" s="11"/>
      <c r="AI48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5" s="11">
        <f>SUMIFS(TableDailySummary[Costo de ventas registrado],TableDailySummary[Fecha],"&gt;="&amp;TableWeeklySummary[[#This Row],[Desde]],TableDailySummary[Fecha],"&lt;="&amp;TableWeeklySummary[[#This Row],[Hasta]])</f>
        <v>0</v>
      </c>
      <c r="AK485" s="11">
        <f>SUMIFS(TableDailySummary[Utilidad bruta],TableDailySummary[Fecha],"&gt;="&amp;TableWeeklySummary[[#This Row],[Desde]],TableDailySummary[Fecha],"&lt;="&amp;TableWeeklySummary[[#This Row],[Hasta]])</f>
        <v>0</v>
      </c>
      <c r="AL485" s="18">
        <f>IFERROR(TableWeeklySummary[[#This Row],[Utilidad bruta]]/TableWeeklySummary[[#This Row],[Ventas netas con costo registrado]],0)</f>
        <v>0</v>
      </c>
    </row>
    <row r="486" spans="2:38" x14ac:dyDescent="0.2">
      <c r="B486" s="16">
        <f>_xlfn.ISOWEEKNUM(TableWeeklySummary[[#This Row],[Hasta]])</f>
        <v>6</v>
      </c>
      <c r="C486" s="6">
        <f t="shared" si="9"/>
        <v>47879</v>
      </c>
      <c r="D486" s="6">
        <f>TableWeeklySummary[[#This Row],[Desde]]+7-1</f>
        <v>47885</v>
      </c>
      <c r="E486" s="11">
        <f>SUMIFS(TableDailySummary[Ventas netas totales],TableDailySummary[Fecha],"&gt;="&amp;TableWeeklySummary[[#This Row],[Desde]],TableDailySummary[Fecha],"&lt;="&amp;TableWeeklySummary[[#This Row],[Hasta]])</f>
        <v>0</v>
      </c>
      <c r="F486" s="11">
        <f>SUMIFS(TableDailySummary[Órdenes totales],TableDailySummary[Fecha],"&gt;="&amp;TableWeeklySummary[[#This Row],[Desde]],TableDailySummary[Fecha],"&lt;="&amp;TableWeeklySummary[[#This Row],[Hasta]])</f>
        <v>0</v>
      </c>
      <c r="G486" s="11">
        <f>IFERROR(TableWeeklySummary[[#This Row],[Ventas netas totales]]/TableWeeklySummary[[#This Row],[Órdenes totales]],0)</f>
        <v>0</v>
      </c>
      <c r="H48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6" s="11">
        <f>TableWeeklySummary[[#This Row],[Órden promedio totales]]*TableWeeklySummary[[#This Row],[CR totales]]</f>
        <v>0</v>
      </c>
      <c r="J486" s="11">
        <f>SUMIFS(TableDailySummary[Ventas primer cliente],TableDailySummary[Fecha],"&gt;="&amp;TableWeeklySummary[[#This Row],[Desde]],TableDailySummary[Fecha],"&lt;="&amp;TableWeeklySummary[[#This Row],[Hasta]])</f>
        <v>0</v>
      </c>
      <c r="K486" s="11">
        <f>SUMIFS(TableDailySummary[Órdenes primer cliente],TableDailySummary[Fecha],"&gt;="&amp;TableWeeklySummary[[#This Row],[Desde]],TableDailySummary[Fecha],"&lt;="&amp;TableWeeklySummary[[#This Row],[Hasta]])</f>
        <v>0</v>
      </c>
      <c r="L486" s="11">
        <f>SUMIFS(TableDailySummary[Online Store_net_sales],TableDailySummary[Fecha],"&gt;="&amp;TableWeeklySummary[[#This Row],[Desde]],TableDailySummary[Fecha],"&lt;="&amp;TableWeeklySummary[[#This Row],[Hasta]])</f>
        <v>0</v>
      </c>
      <c r="M486" s="11">
        <f>SUMIFS(TableDailySummary[Online Store_orders],TableDailySummary[Fecha],"&gt;="&amp;TableWeeklySummary[[#This Row],[Desde]],TableDailySummary[Fecha],"&lt;="&amp;TableWeeklySummary[[#This Row],[Hasta]])</f>
        <v>0</v>
      </c>
      <c r="N486" s="11">
        <f>SUMIFS(TableDailySummary[Tienda 81_net_sales],TableDailySummary[Fecha],"&gt;="&amp;TableWeeklySummary[[#This Row],[Desde]],TableDailySummary[Fecha],"&lt;="&amp;TableWeeklySummary[[#This Row],[Hasta]])</f>
        <v>0</v>
      </c>
      <c r="O486" s="11">
        <f>SUMIFS(TableDailySummary[Tienda 81_orders],TableDailySummary[Fecha],"&gt;="&amp;TableWeeklySummary[[#This Row],[Desde]],TableDailySummary[Fecha],"&lt;="&amp;TableWeeklySummary[[#This Row],[Hasta]])</f>
        <v>0</v>
      </c>
      <c r="P486" s="11">
        <f>SUMIFS(TableDailySummary[Rappi_net_sales],TableDailySummary[Fecha],"&gt;="&amp;TableWeeklySummary[[#This Row],[Desde]],TableDailySummary[Fecha],"&lt;="&amp;TableWeeklySummary[[#This Row],[Hasta]])</f>
        <v>0</v>
      </c>
      <c r="Q486" s="11">
        <f>SUMIFS(TableDailySummary[Rappi_orders],TableDailySummary[Fecha],"&gt;="&amp;TableWeeklySummary[[#This Row],[Desde]],TableDailySummary[Fecha],"&lt;="&amp;TableWeeklySummary[[#This Row],[Hasta]])</f>
        <v>0</v>
      </c>
      <c r="R48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6" s="11">
        <f>SUMIFS(TableDailySummary[Corporativo no tienda_orders],TableDailySummary[Fecha],"&gt;="&amp;TableWeeklySummary[[#This Row],[Desde]],TableDailySummary[Fecha],"&lt;="&amp;TableWeeklySummary[[#This Row],[Hasta]])</f>
        <v>0</v>
      </c>
      <c r="T486" s="11">
        <f>SUMIFS(TableDailySummary[Inversión google ads],TableDailySummary[Fecha],"&gt;="&amp;TableWeeklySummary[[#This Row],[Desde]],TableDailySummary[Fecha],"&lt;="&amp;TableWeeklySummary[[#This Row],[Hasta]])</f>
        <v>0</v>
      </c>
      <c r="U486" s="11">
        <f>SUMIFS(TableDailySummary[Ventas google ads],TableDailySummary[Fecha],"&gt;="&amp;TableWeeklySummary[[#This Row],[Desde]],TableDailySummary[Fecha],"&lt;="&amp;TableWeeklySummary[[#This Row],[Hasta]])</f>
        <v>0</v>
      </c>
      <c r="V486" s="11">
        <f>SUMIFS(TableDailySummary[Inversión meta ads],TableDailySummary[Fecha],"&gt;="&amp;TableWeeklySummary[[#This Row],[Desde]],TableDailySummary[Fecha],"&lt;="&amp;TableWeeklySummary[[#This Row],[Hasta]])</f>
        <v>0</v>
      </c>
      <c r="W486" s="11">
        <f>SUMIFS(TableDailySummary[Ventas meta ads],TableDailySummary[Fecha],"&gt;="&amp;TableWeeklySummary[[#This Row],[Desde]],TableDailySummary[Fecha],"&lt;="&amp;TableWeeklySummary[[#This Row],[Hasta]])</f>
        <v>0</v>
      </c>
      <c r="X486" s="11">
        <f>TableWeeklySummary[[#This Row],[Inversión google ads]]+TableWeeklySummary[[#This Row],[Inversión meta ads]]</f>
        <v>0</v>
      </c>
      <c r="Y486" s="11">
        <f>TableWeeklySummary[[#This Row],[Ventas google ads]]+TableWeeklySummary[[#This Row],[Ventas meta ads]]</f>
        <v>0</v>
      </c>
      <c r="Z486" s="14">
        <f>IFERROR(TableWeeklySummary[[#This Row],[Ventas publicidad]]/TableWeeklySummary[[#This Row],[Inversión publicidad]],0)</f>
        <v>0</v>
      </c>
      <c r="AA486" s="14">
        <f>IFERROR(TableWeeklySummary[[#This Row],[Ventas primer cliente]]/TableWeeklySummary[[#This Row],[Inversión publicidad]],0)</f>
        <v>0</v>
      </c>
      <c r="AB486" s="14"/>
      <c r="AC486" s="11"/>
      <c r="AI48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6" s="11">
        <f>SUMIFS(TableDailySummary[Costo de ventas registrado],TableDailySummary[Fecha],"&gt;="&amp;TableWeeklySummary[[#This Row],[Desde]],TableDailySummary[Fecha],"&lt;="&amp;TableWeeklySummary[[#This Row],[Hasta]])</f>
        <v>0</v>
      </c>
      <c r="AK486" s="11">
        <f>SUMIFS(TableDailySummary[Utilidad bruta],TableDailySummary[Fecha],"&gt;="&amp;TableWeeklySummary[[#This Row],[Desde]],TableDailySummary[Fecha],"&lt;="&amp;TableWeeklySummary[[#This Row],[Hasta]])</f>
        <v>0</v>
      </c>
      <c r="AL486" s="18">
        <f>IFERROR(TableWeeklySummary[[#This Row],[Utilidad bruta]]/TableWeeklySummary[[#This Row],[Ventas netas con costo registrado]],0)</f>
        <v>0</v>
      </c>
    </row>
    <row r="487" spans="2:38" x14ac:dyDescent="0.2">
      <c r="B487" s="16">
        <f>_xlfn.ISOWEEKNUM(TableWeeklySummary[[#This Row],[Hasta]])</f>
        <v>7</v>
      </c>
      <c r="C487" s="6">
        <f t="shared" si="9"/>
        <v>47886</v>
      </c>
      <c r="D487" s="6">
        <f>TableWeeklySummary[[#This Row],[Desde]]+7-1</f>
        <v>47892</v>
      </c>
      <c r="E487" s="11">
        <f>SUMIFS(TableDailySummary[Ventas netas totales],TableDailySummary[Fecha],"&gt;="&amp;TableWeeklySummary[[#This Row],[Desde]],TableDailySummary[Fecha],"&lt;="&amp;TableWeeklySummary[[#This Row],[Hasta]])</f>
        <v>0</v>
      </c>
      <c r="F487" s="11">
        <f>SUMIFS(TableDailySummary[Órdenes totales],TableDailySummary[Fecha],"&gt;="&amp;TableWeeklySummary[[#This Row],[Desde]],TableDailySummary[Fecha],"&lt;="&amp;TableWeeklySummary[[#This Row],[Hasta]])</f>
        <v>0</v>
      </c>
      <c r="G487" s="11">
        <f>IFERROR(TableWeeklySummary[[#This Row],[Ventas netas totales]]/TableWeeklySummary[[#This Row],[Órdenes totales]],0)</f>
        <v>0</v>
      </c>
      <c r="H48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7" s="11">
        <f>TableWeeklySummary[[#This Row],[Órden promedio totales]]*TableWeeklySummary[[#This Row],[CR totales]]</f>
        <v>0</v>
      </c>
      <c r="J487" s="11">
        <f>SUMIFS(TableDailySummary[Ventas primer cliente],TableDailySummary[Fecha],"&gt;="&amp;TableWeeklySummary[[#This Row],[Desde]],TableDailySummary[Fecha],"&lt;="&amp;TableWeeklySummary[[#This Row],[Hasta]])</f>
        <v>0</v>
      </c>
      <c r="K487" s="11">
        <f>SUMIFS(TableDailySummary[Órdenes primer cliente],TableDailySummary[Fecha],"&gt;="&amp;TableWeeklySummary[[#This Row],[Desde]],TableDailySummary[Fecha],"&lt;="&amp;TableWeeklySummary[[#This Row],[Hasta]])</f>
        <v>0</v>
      </c>
      <c r="L487" s="11">
        <f>SUMIFS(TableDailySummary[Online Store_net_sales],TableDailySummary[Fecha],"&gt;="&amp;TableWeeklySummary[[#This Row],[Desde]],TableDailySummary[Fecha],"&lt;="&amp;TableWeeklySummary[[#This Row],[Hasta]])</f>
        <v>0</v>
      </c>
      <c r="M487" s="11">
        <f>SUMIFS(TableDailySummary[Online Store_orders],TableDailySummary[Fecha],"&gt;="&amp;TableWeeklySummary[[#This Row],[Desde]],TableDailySummary[Fecha],"&lt;="&amp;TableWeeklySummary[[#This Row],[Hasta]])</f>
        <v>0</v>
      </c>
      <c r="N487" s="11">
        <f>SUMIFS(TableDailySummary[Tienda 81_net_sales],TableDailySummary[Fecha],"&gt;="&amp;TableWeeklySummary[[#This Row],[Desde]],TableDailySummary[Fecha],"&lt;="&amp;TableWeeklySummary[[#This Row],[Hasta]])</f>
        <v>0</v>
      </c>
      <c r="O487" s="11">
        <f>SUMIFS(TableDailySummary[Tienda 81_orders],TableDailySummary[Fecha],"&gt;="&amp;TableWeeklySummary[[#This Row],[Desde]],TableDailySummary[Fecha],"&lt;="&amp;TableWeeklySummary[[#This Row],[Hasta]])</f>
        <v>0</v>
      </c>
      <c r="P487" s="11">
        <f>SUMIFS(TableDailySummary[Rappi_net_sales],TableDailySummary[Fecha],"&gt;="&amp;TableWeeklySummary[[#This Row],[Desde]],TableDailySummary[Fecha],"&lt;="&amp;TableWeeklySummary[[#This Row],[Hasta]])</f>
        <v>0</v>
      </c>
      <c r="Q487" s="11">
        <f>SUMIFS(TableDailySummary[Rappi_orders],TableDailySummary[Fecha],"&gt;="&amp;TableWeeklySummary[[#This Row],[Desde]],TableDailySummary[Fecha],"&lt;="&amp;TableWeeklySummary[[#This Row],[Hasta]])</f>
        <v>0</v>
      </c>
      <c r="R48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7" s="11">
        <f>SUMIFS(TableDailySummary[Corporativo no tienda_orders],TableDailySummary[Fecha],"&gt;="&amp;TableWeeklySummary[[#This Row],[Desde]],TableDailySummary[Fecha],"&lt;="&amp;TableWeeklySummary[[#This Row],[Hasta]])</f>
        <v>0</v>
      </c>
      <c r="T487" s="11">
        <f>SUMIFS(TableDailySummary[Inversión google ads],TableDailySummary[Fecha],"&gt;="&amp;TableWeeklySummary[[#This Row],[Desde]],TableDailySummary[Fecha],"&lt;="&amp;TableWeeklySummary[[#This Row],[Hasta]])</f>
        <v>0</v>
      </c>
      <c r="U487" s="11">
        <f>SUMIFS(TableDailySummary[Ventas google ads],TableDailySummary[Fecha],"&gt;="&amp;TableWeeklySummary[[#This Row],[Desde]],TableDailySummary[Fecha],"&lt;="&amp;TableWeeklySummary[[#This Row],[Hasta]])</f>
        <v>0</v>
      </c>
      <c r="V487" s="11">
        <f>SUMIFS(TableDailySummary[Inversión meta ads],TableDailySummary[Fecha],"&gt;="&amp;TableWeeklySummary[[#This Row],[Desde]],TableDailySummary[Fecha],"&lt;="&amp;TableWeeklySummary[[#This Row],[Hasta]])</f>
        <v>0</v>
      </c>
      <c r="W487" s="11">
        <f>SUMIFS(TableDailySummary[Ventas meta ads],TableDailySummary[Fecha],"&gt;="&amp;TableWeeklySummary[[#This Row],[Desde]],TableDailySummary[Fecha],"&lt;="&amp;TableWeeklySummary[[#This Row],[Hasta]])</f>
        <v>0</v>
      </c>
      <c r="X487" s="11">
        <f>TableWeeklySummary[[#This Row],[Inversión google ads]]+TableWeeklySummary[[#This Row],[Inversión meta ads]]</f>
        <v>0</v>
      </c>
      <c r="Y487" s="11">
        <f>TableWeeklySummary[[#This Row],[Ventas google ads]]+TableWeeklySummary[[#This Row],[Ventas meta ads]]</f>
        <v>0</v>
      </c>
      <c r="Z487" s="14">
        <f>IFERROR(TableWeeklySummary[[#This Row],[Ventas publicidad]]/TableWeeklySummary[[#This Row],[Inversión publicidad]],0)</f>
        <v>0</v>
      </c>
      <c r="AA487" s="14">
        <f>IFERROR(TableWeeklySummary[[#This Row],[Ventas primer cliente]]/TableWeeklySummary[[#This Row],[Inversión publicidad]],0)</f>
        <v>0</v>
      </c>
      <c r="AB487" s="14"/>
      <c r="AC487" s="11"/>
      <c r="AI48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7" s="11">
        <f>SUMIFS(TableDailySummary[Costo de ventas registrado],TableDailySummary[Fecha],"&gt;="&amp;TableWeeklySummary[[#This Row],[Desde]],TableDailySummary[Fecha],"&lt;="&amp;TableWeeklySummary[[#This Row],[Hasta]])</f>
        <v>0</v>
      </c>
      <c r="AK487" s="11">
        <f>SUMIFS(TableDailySummary[Utilidad bruta],TableDailySummary[Fecha],"&gt;="&amp;TableWeeklySummary[[#This Row],[Desde]],TableDailySummary[Fecha],"&lt;="&amp;TableWeeklySummary[[#This Row],[Hasta]])</f>
        <v>0</v>
      </c>
      <c r="AL487" s="18">
        <f>IFERROR(TableWeeklySummary[[#This Row],[Utilidad bruta]]/TableWeeklySummary[[#This Row],[Ventas netas con costo registrado]],0)</f>
        <v>0</v>
      </c>
    </row>
    <row r="488" spans="2:38" x14ac:dyDescent="0.2">
      <c r="B488" s="16">
        <f>_xlfn.ISOWEEKNUM(TableWeeklySummary[[#This Row],[Hasta]])</f>
        <v>8</v>
      </c>
      <c r="C488" s="6">
        <f t="shared" si="9"/>
        <v>47893</v>
      </c>
      <c r="D488" s="6">
        <f>TableWeeklySummary[[#This Row],[Desde]]+7-1</f>
        <v>47899</v>
      </c>
      <c r="E488" s="11">
        <f>SUMIFS(TableDailySummary[Ventas netas totales],TableDailySummary[Fecha],"&gt;="&amp;TableWeeklySummary[[#This Row],[Desde]],TableDailySummary[Fecha],"&lt;="&amp;TableWeeklySummary[[#This Row],[Hasta]])</f>
        <v>0</v>
      </c>
      <c r="F488" s="11">
        <f>SUMIFS(TableDailySummary[Órdenes totales],TableDailySummary[Fecha],"&gt;="&amp;TableWeeklySummary[[#This Row],[Desde]],TableDailySummary[Fecha],"&lt;="&amp;TableWeeklySummary[[#This Row],[Hasta]])</f>
        <v>0</v>
      </c>
      <c r="G488" s="11">
        <f>IFERROR(TableWeeklySummary[[#This Row],[Ventas netas totales]]/TableWeeklySummary[[#This Row],[Órdenes totales]],0)</f>
        <v>0</v>
      </c>
      <c r="H48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8" s="11">
        <f>TableWeeklySummary[[#This Row],[Órden promedio totales]]*TableWeeklySummary[[#This Row],[CR totales]]</f>
        <v>0</v>
      </c>
      <c r="J488" s="11">
        <f>SUMIFS(TableDailySummary[Ventas primer cliente],TableDailySummary[Fecha],"&gt;="&amp;TableWeeklySummary[[#This Row],[Desde]],TableDailySummary[Fecha],"&lt;="&amp;TableWeeklySummary[[#This Row],[Hasta]])</f>
        <v>0</v>
      </c>
      <c r="K488" s="11">
        <f>SUMIFS(TableDailySummary[Órdenes primer cliente],TableDailySummary[Fecha],"&gt;="&amp;TableWeeklySummary[[#This Row],[Desde]],TableDailySummary[Fecha],"&lt;="&amp;TableWeeklySummary[[#This Row],[Hasta]])</f>
        <v>0</v>
      </c>
      <c r="L488" s="11">
        <f>SUMIFS(TableDailySummary[Online Store_net_sales],TableDailySummary[Fecha],"&gt;="&amp;TableWeeklySummary[[#This Row],[Desde]],TableDailySummary[Fecha],"&lt;="&amp;TableWeeklySummary[[#This Row],[Hasta]])</f>
        <v>0</v>
      </c>
      <c r="M488" s="11">
        <f>SUMIFS(TableDailySummary[Online Store_orders],TableDailySummary[Fecha],"&gt;="&amp;TableWeeklySummary[[#This Row],[Desde]],TableDailySummary[Fecha],"&lt;="&amp;TableWeeklySummary[[#This Row],[Hasta]])</f>
        <v>0</v>
      </c>
      <c r="N488" s="11">
        <f>SUMIFS(TableDailySummary[Tienda 81_net_sales],TableDailySummary[Fecha],"&gt;="&amp;TableWeeklySummary[[#This Row],[Desde]],TableDailySummary[Fecha],"&lt;="&amp;TableWeeklySummary[[#This Row],[Hasta]])</f>
        <v>0</v>
      </c>
      <c r="O488" s="11">
        <f>SUMIFS(TableDailySummary[Tienda 81_orders],TableDailySummary[Fecha],"&gt;="&amp;TableWeeklySummary[[#This Row],[Desde]],TableDailySummary[Fecha],"&lt;="&amp;TableWeeklySummary[[#This Row],[Hasta]])</f>
        <v>0</v>
      </c>
      <c r="P488" s="11">
        <f>SUMIFS(TableDailySummary[Rappi_net_sales],TableDailySummary[Fecha],"&gt;="&amp;TableWeeklySummary[[#This Row],[Desde]],TableDailySummary[Fecha],"&lt;="&amp;TableWeeklySummary[[#This Row],[Hasta]])</f>
        <v>0</v>
      </c>
      <c r="Q488" s="11">
        <f>SUMIFS(TableDailySummary[Rappi_orders],TableDailySummary[Fecha],"&gt;="&amp;TableWeeklySummary[[#This Row],[Desde]],TableDailySummary[Fecha],"&lt;="&amp;TableWeeklySummary[[#This Row],[Hasta]])</f>
        <v>0</v>
      </c>
      <c r="R48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8" s="11">
        <f>SUMIFS(TableDailySummary[Corporativo no tienda_orders],TableDailySummary[Fecha],"&gt;="&amp;TableWeeklySummary[[#This Row],[Desde]],TableDailySummary[Fecha],"&lt;="&amp;TableWeeklySummary[[#This Row],[Hasta]])</f>
        <v>0</v>
      </c>
      <c r="T488" s="11">
        <f>SUMIFS(TableDailySummary[Inversión google ads],TableDailySummary[Fecha],"&gt;="&amp;TableWeeklySummary[[#This Row],[Desde]],TableDailySummary[Fecha],"&lt;="&amp;TableWeeklySummary[[#This Row],[Hasta]])</f>
        <v>0</v>
      </c>
      <c r="U488" s="11">
        <f>SUMIFS(TableDailySummary[Ventas google ads],TableDailySummary[Fecha],"&gt;="&amp;TableWeeklySummary[[#This Row],[Desde]],TableDailySummary[Fecha],"&lt;="&amp;TableWeeklySummary[[#This Row],[Hasta]])</f>
        <v>0</v>
      </c>
      <c r="V488" s="11">
        <f>SUMIFS(TableDailySummary[Inversión meta ads],TableDailySummary[Fecha],"&gt;="&amp;TableWeeklySummary[[#This Row],[Desde]],TableDailySummary[Fecha],"&lt;="&amp;TableWeeklySummary[[#This Row],[Hasta]])</f>
        <v>0</v>
      </c>
      <c r="W488" s="11">
        <f>SUMIFS(TableDailySummary[Ventas meta ads],TableDailySummary[Fecha],"&gt;="&amp;TableWeeklySummary[[#This Row],[Desde]],TableDailySummary[Fecha],"&lt;="&amp;TableWeeklySummary[[#This Row],[Hasta]])</f>
        <v>0</v>
      </c>
      <c r="X488" s="11">
        <f>TableWeeklySummary[[#This Row],[Inversión google ads]]+TableWeeklySummary[[#This Row],[Inversión meta ads]]</f>
        <v>0</v>
      </c>
      <c r="Y488" s="11">
        <f>TableWeeklySummary[[#This Row],[Ventas google ads]]+TableWeeklySummary[[#This Row],[Ventas meta ads]]</f>
        <v>0</v>
      </c>
      <c r="Z488" s="14">
        <f>IFERROR(TableWeeklySummary[[#This Row],[Ventas publicidad]]/TableWeeklySummary[[#This Row],[Inversión publicidad]],0)</f>
        <v>0</v>
      </c>
      <c r="AA488" s="14">
        <f>IFERROR(TableWeeklySummary[[#This Row],[Ventas primer cliente]]/TableWeeklySummary[[#This Row],[Inversión publicidad]],0)</f>
        <v>0</v>
      </c>
      <c r="AB488" s="14"/>
      <c r="AC488" s="11"/>
      <c r="AI48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8" s="11">
        <f>SUMIFS(TableDailySummary[Costo de ventas registrado],TableDailySummary[Fecha],"&gt;="&amp;TableWeeklySummary[[#This Row],[Desde]],TableDailySummary[Fecha],"&lt;="&amp;TableWeeklySummary[[#This Row],[Hasta]])</f>
        <v>0</v>
      </c>
      <c r="AK488" s="11">
        <f>SUMIFS(TableDailySummary[Utilidad bruta],TableDailySummary[Fecha],"&gt;="&amp;TableWeeklySummary[[#This Row],[Desde]],TableDailySummary[Fecha],"&lt;="&amp;TableWeeklySummary[[#This Row],[Hasta]])</f>
        <v>0</v>
      </c>
      <c r="AL488" s="18">
        <f>IFERROR(TableWeeklySummary[[#This Row],[Utilidad bruta]]/TableWeeklySummary[[#This Row],[Ventas netas con costo registrado]],0)</f>
        <v>0</v>
      </c>
    </row>
    <row r="489" spans="2:38" x14ac:dyDescent="0.2">
      <c r="B489" s="16">
        <f>_xlfn.ISOWEEKNUM(TableWeeklySummary[[#This Row],[Hasta]])</f>
        <v>9</v>
      </c>
      <c r="C489" s="6">
        <f t="shared" si="9"/>
        <v>47900</v>
      </c>
      <c r="D489" s="6">
        <f>TableWeeklySummary[[#This Row],[Desde]]+7-1</f>
        <v>47906</v>
      </c>
      <c r="E489" s="11">
        <f>SUMIFS(TableDailySummary[Ventas netas totales],TableDailySummary[Fecha],"&gt;="&amp;TableWeeklySummary[[#This Row],[Desde]],TableDailySummary[Fecha],"&lt;="&amp;TableWeeklySummary[[#This Row],[Hasta]])</f>
        <v>0</v>
      </c>
      <c r="F489" s="11">
        <f>SUMIFS(TableDailySummary[Órdenes totales],TableDailySummary[Fecha],"&gt;="&amp;TableWeeklySummary[[#This Row],[Desde]],TableDailySummary[Fecha],"&lt;="&amp;TableWeeklySummary[[#This Row],[Hasta]])</f>
        <v>0</v>
      </c>
      <c r="G489" s="11">
        <f>IFERROR(TableWeeklySummary[[#This Row],[Ventas netas totales]]/TableWeeklySummary[[#This Row],[Órdenes totales]],0)</f>
        <v>0</v>
      </c>
      <c r="H48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89" s="11">
        <f>TableWeeklySummary[[#This Row],[Órden promedio totales]]*TableWeeklySummary[[#This Row],[CR totales]]</f>
        <v>0</v>
      </c>
      <c r="J489" s="11">
        <f>SUMIFS(TableDailySummary[Ventas primer cliente],TableDailySummary[Fecha],"&gt;="&amp;TableWeeklySummary[[#This Row],[Desde]],TableDailySummary[Fecha],"&lt;="&amp;TableWeeklySummary[[#This Row],[Hasta]])</f>
        <v>0</v>
      </c>
      <c r="K489" s="11">
        <f>SUMIFS(TableDailySummary[Órdenes primer cliente],TableDailySummary[Fecha],"&gt;="&amp;TableWeeklySummary[[#This Row],[Desde]],TableDailySummary[Fecha],"&lt;="&amp;TableWeeklySummary[[#This Row],[Hasta]])</f>
        <v>0</v>
      </c>
      <c r="L489" s="11">
        <f>SUMIFS(TableDailySummary[Online Store_net_sales],TableDailySummary[Fecha],"&gt;="&amp;TableWeeklySummary[[#This Row],[Desde]],TableDailySummary[Fecha],"&lt;="&amp;TableWeeklySummary[[#This Row],[Hasta]])</f>
        <v>0</v>
      </c>
      <c r="M489" s="11">
        <f>SUMIFS(TableDailySummary[Online Store_orders],TableDailySummary[Fecha],"&gt;="&amp;TableWeeklySummary[[#This Row],[Desde]],TableDailySummary[Fecha],"&lt;="&amp;TableWeeklySummary[[#This Row],[Hasta]])</f>
        <v>0</v>
      </c>
      <c r="N489" s="11">
        <f>SUMIFS(TableDailySummary[Tienda 81_net_sales],TableDailySummary[Fecha],"&gt;="&amp;TableWeeklySummary[[#This Row],[Desde]],TableDailySummary[Fecha],"&lt;="&amp;TableWeeklySummary[[#This Row],[Hasta]])</f>
        <v>0</v>
      </c>
      <c r="O489" s="11">
        <f>SUMIFS(TableDailySummary[Tienda 81_orders],TableDailySummary[Fecha],"&gt;="&amp;TableWeeklySummary[[#This Row],[Desde]],TableDailySummary[Fecha],"&lt;="&amp;TableWeeklySummary[[#This Row],[Hasta]])</f>
        <v>0</v>
      </c>
      <c r="P489" s="11">
        <f>SUMIFS(TableDailySummary[Rappi_net_sales],TableDailySummary[Fecha],"&gt;="&amp;TableWeeklySummary[[#This Row],[Desde]],TableDailySummary[Fecha],"&lt;="&amp;TableWeeklySummary[[#This Row],[Hasta]])</f>
        <v>0</v>
      </c>
      <c r="Q489" s="11">
        <f>SUMIFS(TableDailySummary[Rappi_orders],TableDailySummary[Fecha],"&gt;="&amp;TableWeeklySummary[[#This Row],[Desde]],TableDailySummary[Fecha],"&lt;="&amp;TableWeeklySummary[[#This Row],[Hasta]])</f>
        <v>0</v>
      </c>
      <c r="R48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89" s="11">
        <f>SUMIFS(TableDailySummary[Corporativo no tienda_orders],TableDailySummary[Fecha],"&gt;="&amp;TableWeeklySummary[[#This Row],[Desde]],TableDailySummary[Fecha],"&lt;="&amp;TableWeeklySummary[[#This Row],[Hasta]])</f>
        <v>0</v>
      </c>
      <c r="T489" s="11">
        <f>SUMIFS(TableDailySummary[Inversión google ads],TableDailySummary[Fecha],"&gt;="&amp;TableWeeklySummary[[#This Row],[Desde]],TableDailySummary[Fecha],"&lt;="&amp;TableWeeklySummary[[#This Row],[Hasta]])</f>
        <v>0</v>
      </c>
      <c r="U489" s="11">
        <f>SUMIFS(TableDailySummary[Ventas google ads],TableDailySummary[Fecha],"&gt;="&amp;TableWeeklySummary[[#This Row],[Desde]],TableDailySummary[Fecha],"&lt;="&amp;TableWeeklySummary[[#This Row],[Hasta]])</f>
        <v>0</v>
      </c>
      <c r="V489" s="11">
        <f>SUMIFS(TableDailySummary[Inversión meta ads],TableDailySummary[Fecha],"&gt;="&amp;TableWeeklySummary[[#This Row],[Desde]],TableDailySummary[Fecha],"&lt;="&amp;TableWeeklySummary[[#This Row],[Hasta]])</f>
        <v>0</v>
      </c>
      <c r="W489" s="11">
        <f>SUMIFS(TableDailySummary[Ventas meta ads],TableDailySummary[Fecha],"&gt;="&amp;TableWeeklySummary[[#This Row],[Desde]],TableDailySummary[Fecha],"&lt;="&amp;TableWeeklySummary[[#This Row],[Hasta]])</f>
        <v>0</v>
      </c>
      <c r="X489" s="11">
        <f>TableWeeklySummary[[#This Row],[Inversión google ads]]+TableWeeklySummary[[#This Row],[Inversión meta ads]]</f>
        <v>0</v>
      </c>
      <c r="Y489" s="11">
        <f>TableWeeklySummary[[#This Row],[Ventas google ads]]+TableWeeklySummary[[#This Row],[Ventas meta ads]]</f>
        <v>0</v>
      </c>
      <c r="Z489" s="14">
        <f>IFERROR(TableWeeklySummary[[#This Row],[Ventas publicidad]]/TableWeeklySummary[[#This Row],[Inversión publicidad]],0)</f>
        <v>0</v>
      </c>
      <c r="AA489" s="14">
        <f>IFERROR(TableWeeklySummary[[#This Row],[Ventas primer cliente]]/TableWeeklySummary[[#This Row],[Inversión publicidad]],0)</f>
        <v>0</v>
      </c>
      <c r="AB489" s="14"/>
      <c r="AC489" s="11"/>
      <c r="AI48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89" s="11">
        <f>SUMIFS(TableDailySummary[Costo de ventas registrado],TableDailySummary[Fecha],"&gt;="&amp;TableWeeklySummary[[#This Row],[Desde]],TableDailySummary[Fecha],"&lt;="&amp;TableWeeklySummary[[#This Row],[Hasta]])</f>
        <v>0</v>
      </c>
      <c r="AK489" s="11">
        <f>SUMIFS(TableDailySummary[Utilidad bruta],TableDailySummary[Fecha],"&gt;="&amp;TableWeeklySummary[[#This Row],[Desde]],TableDailySummary[Fecha],"&lt;="&amp;TableWeeklySummary[[#This Row],[Hasta]])</f>
        <v>0</v>
      </c>
      <c r="AL489" s="18">
        <f>IFERROR(TableWeeklySummary[[#This Row],[Utilidad bruta]]/TableWeeklySummary[[#This Row],[Ventas netas con costo registrado]],0)</f>
        <v>0</v>
      </c>
    </row>
    <row r="490" spans="2:38" x14ac:dyDescent="0.2">
      <c r="B490" s="16">
        <f>_xlfn.ISOWEEKNUM(TableWeeklySummary[[#This Row],[Hasta]])</f>
        <v>10</v>
      </c>
      <c r="C490" s="6">
        <f t="shared" si="9"/>
        <v>47907</v>
      </c>
      <c r="D490" s="6">
        <f>TableWeeklySummary[[#This Row],[Desde]]+7-1</f>
        <v>47913</v>
      </c>
      <c r="E490" s="11">
        <f>SUMIFS(TableDailySummary[Ventas netas totales],TableDailySummary[Fecha],"&gt;="&amp;TableWeeklySummary[[#This Row],[Desde]],TableDailySummary[Fecha],"&lt;="&amp;TableWeeklySummary[[#This Row],[Hasta]])</f>
        <v>0</v>
      </c>
      <c r="F490" s="11">
        <f>SUMIFS(TableDailySummary[Órdenes totales],TableDailySummary[Fecha],"&gt;="&amp;TableWeeklySummary[[#This Row],[Desde]],TableDailySummary[Fecha],"&lt;="&amp;TableWeeklySummary[[#This Row],[Hasta]])</f>
        <v>0</v>
      </c>
      <c r="G490" s="11">
        <f>IFERROR(TableWeeklySummary[[#This Row],[Ventas netas totales]]/TableWeeklySummary[[#This Row],[Órdenes totales]],0)</f>
        <v>0</v>
      </c>
      <c r="H49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0" s="11">
        <f>TableWeeklySummary[[#This Row],[Órden promedio totales]]*TableWeeklySummary[[#This Row],[CR totales]]</f>
        <v>0</v>
      </c>
      <c r="J490" s="11">
        <f>SUMIFS(TableDailySummary[Ventas primer cliente],TableDailySummary[Fecha],"&gt;="&amp;TableWeeklySummary[[#This Row],[Desde]],TableDailySummary[Fecha],"&lt;="&amp;TableWeeklySummary[[#This Row],[Hasta]])</f>
        <v>0</v>
      </c>
      <c r="K490" s="11">
        <f>SUMIFS(TableDailySummary[Órdenes primer cliente],TableDailySummary[Fecha],"&gt;="&amp;TableWeeklySummary[[#This Row],[Desde]],TableDailySummary[Fecha],"&lt;="&amp;TableWeeklySummary[[#This Row],[Hasta]])</f>
        <v>0</v>
      </c>
      <c r="L490" s="11">
        <f>SUMIFS(TableDailySummary[Online Store_net_sales],TableDailySummary[Fecha],"&gt;="&amp;TableWeeklySummary[[#This Row],[Desde]],TableDailySummary[Fecha],"&lt;="&amp;TableWeeklySummary[[#This Row],[Hasta]])</f>
        <v>0</v>
      </c>
      <c r="M490" s="11">
        <f>SUMIFS(TableDailySummary[Online Store_orders],TableDailySummary[Fecha],"&gt;="&amp;TableWeeklySummary[[#This Row],[Desde]],TableDailySummary[Fecha],"&lt;="&amp;TableWeeklySummary[[#This Row],[Hasta]])</f>
        <v>0</v>
      </c>
      <c r="N490" s="11">
        <f>SUMIFS(TableDailySummary[Tienda 81_net_sales],TableDailySummary[Fecha],"&gt;="&amp;TableWeeklySummary[[#This Row],[Desde]],TableDailySummary[Fecha],"&lt;="&amp;TableWeeklySummary[[#This Row],[Hasta]])</f>
        <v>0</v>
      </c>
      <c r="O490" s="11">
        <f>SUMIFS(TableDailySummary[Tienda 81_orders],TableDailySummary[Fecha],"&gt;="&amp;TableWeeklySummary[[#This Row],[Desde]],TableDailySummary[Fecha],"&lt;="&amp;TableWeeklySummary[[#This Row],[Hasta]])</f>
        <v>0</v>
      </c>
      <c r="P490" s="11">
        <f>SUMIFS(TableDailySummary[Rappi_net_sales],TableDailySummary[Fecha],"&gt;="&amp;TableWeeklySummary[[#This Row],[Desde]],TableDailySummary[Fecha],"&lt;="&amp;TableWeeklySummary[[#This Row],[Hasta]])</f>
        <v>0</v>
      </c>
      <c r="Q490" s="11">
        <f>SUMIFS(TableDailySummary[Rappi_orders],TableDailySummary[Fecha],"&gt;="&amp;TableWeeklySummary[[#This Row],[Desde]],TableDailySummary[Fecha],"&lt;="&amp;TableWeeklySummary[[#This Row],[Hasta]])</f>
        <v>0</v>
      </c>
      <c r="R49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0" s="11">
        <f>SUMIFS(TableDailySummary[Corporativo no tienda_orders],TableDailySummary[Fecha],"&gt;="&amp;TableWeeklySummary[[#This Row],[Desde]],TableDailySummary[Fecha],"&lt;="&amp;TableWeeklySummary[[#This Row],[Hasta]])</f>
        <v>0</v>
      </c>
      <c r="T490" s="11">
        <f>SUMIFS(TableDailySummary[Inversión google ads],TableDailySummary[Fecha],"&gt;="&amp;TableWeeklySummary[[#This Row],[Desde]],TableDailySummary[Fecha],"&lt;="&amp;TableWeeklySummary[[#This Row],[Hasta]])</f>
        <v>0</v>
      </c>
      <c r="U490" s="11">
        <f>SUMIFS(TableDailySummary[Ventas google ads],TableDailySummary[Fecha],"&gt;="&amp;TableWeeklySummary[[#This Row],[Desde]],TableDailySummary[Fecha],"&lt;="&amp;TableWeeklySummary[[#This Row],[Hasta]])</f>
        <v>0</v>
      </c>
      <c r="V490" s="11">
        <f>SUMIFS(TableDailySummary[Inversión meta ads],TableDailySummary[Fecha],"&gt;="&amp;TableWeeklySummary[[#This Row],[Desde]],TableDailySummary[Fecha],"&lt;="&amp;TableWeeklySummary[[#This Row],[Hasta]])</f>
        <v>0</v>
      </c>
      <c r="W490" s="11">
        <f>SUMIFS(TableDailySummary[Ventas meta ads],TableDailySummary[Fecha],"&gt;="&amp;TableWeeklySummary[[#This Row],[Desde]],TableDailySummary[Fecha],"&lt;="&amp;TableWeeklySummary[[#This Row],[Hasta]])</f>
        <v>0</v>
      </c>
      <c r="X490" s="11">
        <f>TableWeeklySummary[[#This Row],[Inversión google ads]]+TableWeeklySummary[[#This Row],[Inversión meta ads]]</f>
        <v>0</v>
      </c>
      <c r="Y490" s="11">
        <f>TableWeeklySummary[[#This Row],[Ventas google ads]]+TableWeeklySummary[[#This Row],[Ventas meta ads]]</f>
        <v>0</v>
      </c>
      <c r="Z490" s="14">
        <f>IFERROR(TableWeeklySummary[[#This Row],[Ventas publicidad]]/TableWeeklySummary[[#This Row],[Inversión publicidad]],0)</f>
        <v>0</v>
      </c>
      <c r="AA490" s="14">
        <f>IFERROR(TableWeeklySummary[[#This Row],[Ventas primer cliente]]/TableWeeklySummary[[#This Row],[Inversión publicidad]],0)</f>
        <v>0</v>
      </c>
      <c r="AB490" s="14"/>
      <c r="AC490" s="11"/>
      <c r="AI49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0" s="11">
        <f>SUMIFS(TableDailySummary[Costo de ventas registrado],TableDailySummary[Fecha],"&gt;="&amp;TableWeeklySummary[[#This Row],[Desde]],TableDailySummary[Fecha],"&lt;="&amp;TableWeeklySummary[[#This Row],[Hasta]])</f>
        <v>0</v>
      </c>
      <c r="AK490" s="11">
        <f>SUMIFS(TableDailySummary[Utilidad bruta],TableDailySummary[Fecha],"&gt;="&amp;TableWeeklySummary[[#This Row],[Desde]],TableDailySummary[Fecha],"&lt;="&amp;TableWeeklySummary[[#This Row],[Hasta]])</f>
        <v>0</v>
      </c>
      <c r="AL490" s="18">
        <f>IFERROR(TableWeeklySummary[[#This Row],[Utilidad bruta]]/TableWeeklySummary[[#This Row],[Ventas netas con costo registrado]],0)</f>
        <v>0</v>
      </c>
    </row>
    <row r="491" spans="2:38" x14ac:dyDescent="0.2">
      <c r="B491" s="16">
        <f>_xlfn.ISOWEEKNUM(TableWeeklySummary[[#This Row],[Hasta]])</f>
        <v>11</v>
      </c>
      <c r="C491" s="6">
        <f t="shared" si="9"/>
        <v>47914</v>
      </c>
      <c r="D491" s="6">
        <f>TableWeeklySummary[[#This Row],[Desde]]+7-1</f>
        <v>47920</v>
      </c>
      <c r="E491" s="11">
        <f>SUMIFS(TableDailySummary[Ventas netas totales],TableDailySummary[Fecha],"&gt;="&amp;TableWeeklySummary[[#This Row],[Desde]],TableDailySummary[Fecha],"&lt;="&amp;TableWeeklySummary[[#This Row],[Hasta]])</f>
        <v>0</v>
      </c>
      <c r="F491" s="11">
        <f>SUMIFS(TableDailySummary[Órdenes totales],TableDailySummary[Fecha],"&gt;="&amp;TableWeeklySummary[[#This Row],[Desde]],TableDailySummary[Fecha],"&lt;="&amp;TableWeeklySummary[[#This Row],[Hasta]])</f>
        <v>0</v>
      </c>
      <c r="G491" s="11">
        <f>IFERROR(TableWeeklySummary[[#This Row],[Ventas netas totales]]/TableWeeklySummary[[#This Row],[Órdenes totales]],0)</f>
        <v>0</v>
      </c>
      <c r="H49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1" s="11">
        <f>TableWeeklySummary[[#This Row],[Órden promedio totales]]*TableWeeklySummary[[#This Row],[CR totales]]</f>
        <v>0</v>
      </c>
      <c r="J491" s="11">
        <f>SUMIFS(TableDailySummary[Ventas primer cliente],TableDailySummary[Fecha],"&gt;="&amp;TableWeeklySummary[[#This Row],[Desde]],TableDailySummary[Fecha],"&lt;="&amp;TableWeeklySummary[[#This Row],[Hasta]])</f>
        <v>0</v>
      </c>
      <c r="K491" s="11">
        <f>SUMIFS(TableDailySummary[Órdenes primer cliente],TableDailySummary[Fecha],"&gt;="&amp;TableWeeklySummary[[#This Row],[Desde]],TableDailySummary[Fecha],"&lt;="&amp;TableWeeklySummary[[#This Row],[Hasta]])</f>
        <v>0</v>
      </c>
      <c r="L491" s="11">
        <f>SUMIFS(TableDailySummary[Online Store_net_sales],TableDailySummary[Fecha],"&gt;="&amp;TableWeeklySummary[[#This Row],[Desde]],TableDailySummary[Fecha],"&lt;="&amp;TableWeeklySummary[[#This Row],[Hasta]])</f>
        <v>0</v>
      </c>
      <c r="M491" s="11">
        <f>SUMIFS(TableDailySummary[Online Store_orders],TableDailySummary[Fecha],"&gt;="&amp;TableWeeklySummary[[#This Row],[Desde]],TableDailySummary[Fecha],"&lt;="&amp;TableWeeklySummary[[#This Row],[Hasta]])</f>
        <v>0</v>
      </c>
      <c r="N491" s="11">
        <f>SUMIFS(TableDailySummary[Tienda 81_net_sales],TableDailySummary[Fecha],"&gt;="&amp;TableWeeklySummary[[#This Row],[Desde]],TableDailySummary[Fecha],"&lt;="&amp;TableWeeklySummary[[#This Row],[Hasta]])</f>
        <v>0</v>
      </c>
      <c r="O491" s="11">
        <f>SUMIFS(TableDailySummary[Tienda 81_orders],TableDailySummary[Fecha],"&gt;="&amp;TableWeeklySummary[[#This Row],[Desde]],TableDailySummary[Fecha],"&lt;="&amp;TableWeeklySummary[[#This Row],[Hasta]])</f>
        <v>0</v>
      </c>
      <c r="P491" s="11">
        <f>SUMIFS(TableDailySummary[Rappi_net_sales],TableDailySummary[Fecha],"&gt;="&amp;TableWeeklySummary[[#This Row],[Desde]],TableDailySummary[Fecha],"&lt;="&amp;TableWeeklySummary[[#This Row],[Hasta]])</f>
        <v>0</v>
      </c>
      <c r="Q491" s="11">
        <f>SUMIFS(TableDailySummary[Rappi_orders],TableDailySummary[Fecha],"&gt;="&amp;TableWeeklySummary[[#This Row],[Desde]],TableDailySummary[Fecha],"&lt;="&amp;TableWeeklySummary[[#This Row],[Hasta]])</f>
        <v>0</v>
      </c>
      <c r="R49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1" s="11">
        <f>SUMIFS(TableDailySummary[Corporativo no tienda_orders],TableDailySummary[Fecha],"&gt;="&amp;TableWeeklySummary[[#This Row],[Desde]],TableDailySummary[Fecha],"&lt;="&amp;TableWeeklySummary[[#This Row],[Hasta]])</f>
        <v>0</v>
      </c>
      <c r="T491" s="11">
        <f>SUMIFS(TableDailySummary[Inversión google ads],TableDailySummary[Fecha],"&gt;="&amp;TableWeeklySummary[[#This Row],[Desde]],TableDailySummary[Fecha],"&lt;="&amp;TableWeeklySummary[[#This Row],[Hasta]])</f>
        <v>0</v>
      </c>
      <c r="U491" s="11">
        <f>SUMIFS(TableDailySummary[Ventas google ads],TableDailySummary[Fecha],"&gt;="&amp;TableWeeklySummary[[#This Row],[Desde]],TableDailySummary[Fecha],"&lt;="&amp;TableWeeklySummary[[#This Row],[Hasta]])</f>
        <v>0</v>
      </c>
      <c r="V491" s="11">
        <f>SUMIFS(TableDailySummary[Inversión meta ads],TableDailySummary[Fecha],"&gt;="&amp;TableWeeklySummary[[#This Row],[Desde]],TableDailySummary[Fecha],"&lt;="&amp;TableWeeklySummary[[#This Row],[Hasta]])</f>
        <v>0</v>
      </c>
      <c r="W491" s="11">
        <f>SUMIFS(TableDailySummary[Ventas meta ads],TableDailySummary[Fecha],"&gt;="&amp;TableWeeklySummary[[#This Row],[Desde]],TableDailySummary[Fecha],"&lt;="&amp;TableWeeklySummary[[#This Row],[Hasta]])</f>
        <v>0</v>
      </c>
      <c r="X491" s="11">
        <f>TableWeeklySummary[[#This Row],[Inversión google ads]]+TableWeeklySummary[[#This Row],[Inversión meta ads]]</f>
        <v>0</v>
      </c>
      <c r="Y491" s="11">
        <f>TableWeeklySummary[[#This Row],[Ventas google ads]]+TableWeeklySummary[[#This Row],[Ventas meta ads]]</f>
        <v>0</v>
      </c>
      <c r="Z491" s="14">
        <f>IFERROR(TableWeeklySummary[[#This Row],[Ventas publicidad]]/TableWeeklySummary[[#This Row],[Inversión publicidad]],0)</f>
        <v>0</v>
      </c>
      <c r="AA491" s="14">
        <f>IFERROR(TableWeeklySummary[[#This Row],[Ventas primer cliente]]/TableWeeklySummary[[#This Row],[Inversión publicidad]],0)</f>
        <v>0</v>
      </c>
      <c r="AB491" s="14"/>
      <c r="AC491" s="11"/>
      <c r="AI49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1" s="11">
        <f>SUMIFS(TableDailySummary[Costo de ventas registrado],TableDailySummary[Fecha],"&gt;="&amp;TableWeeklySummary[[#This Row],[Desde]],TableDailySummary[Fecha],"&lt;="&amp;TableWeeklySummary[[#This Row],[Hasta]])</f>
        <v>0</v>
      </c>
      <c r="AK491" s="11">
        <f>SUMIFS(TableDailySummary[Utilidad bruta],TableDailySummary[Fecha],"&gt;="&amp;TableWeeklySummary[[#This Row],[Desde]],TableDailySummary[Fecha],"&lt;="&amp;TableWeeklySummary[[#This Row],[Hasta]])</f>
        <v>0</v>
      </c>
      <c r="AL491" s="18">
        <f>IFERROR(TableWeeklySummary[[#This Row],[Utilidad bruta]]/TableWeeklySummary[[#This Row],[Ventas netas con costo registrado]],0)</f>
        <v>0</v>
      </c>
    </row>
    <row r="492" spans="2:38" x14ac:dyDescent="0.2">
      <c r="B492" s="16">
        <f>_xlfn.ISOWEEKNUM(TableWeeklySummary[[#This Row],[Hasta]])</f>
        <v>12</v>
      </c>
      <c r="C492" s="6">
        <f t="shared" si="9"/>
        <v>47921</v>
      </c>
      <c r="D492" s="6">
        <f>TableWeeklySummary[[#This Row],[Desde]]+7-1</f>
        <v>47927</v>
      </c>
      <c r="E492" s="11">
        <f>SUMIFS(TableDailySummary[Ventas netas totales],TableDailySummary[Fecha],"&gt;="&amp;TableWeeklySummary[[#This Row],[Desde]],TableDailySummary[Fecha],"&lt;="&amp;TableWeeklySummary[[#This Row],[Hasta]])</f>
        <v>0</v>
      </c>
      <c r="F492" s="11">
        <f>SUMIFS(TableDailySummary[Órdenes totales],TableDailySummary[Fecha],"&gt;="&amp;TableWeeklySummary[[#This Row],[Desde]],TableDailySummary[Fecha],"&lt;="&amp;TableWeeklySummary[[#This Row],[Hasta]])</f>
        <v>0</v>
      </c>
      <c r="G492" s="11">
        <f>IFERROR(TableWeeklySummary[[#This Row],[Ventas netas totales]]/TableWeeklySummary[[#This Row],[Órdenes totales]],0)</f>
        <v>0</v>
      </c>
      <c r="H49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2" s="11">
        <f>TableWeeklySummary[[#This Row],[Órden promedio totales]]*TableWeeklySummary[[#This Row],[CR totales]]</f>
        <v>0</v>
      </c>
      <c r="J492" s="11">
        <f>SUMIFS(TableDailySummary[Ventas primer cliente],TableDailySummary[Fecha],"&gt;="&amp;TableWeeklySummary[[#This Row],[Desde]],TableDailySummary[Fecha],"&lt;="&amp;TableWeeklySummary[[#This Row],[Hasta]])</f>
        <v>0</v>
      </c>
      <c r="K492" s="11">
        <f>SUMIFS(TableDailySummary[Órdenes primer cliente],TableDailySummary[Fecha],"&gt;="&amp;TableWeeklySummary[[#This Row],[Desde]],TableDailySummary[Fecha],"&lt;="&amp;TableWeeklySummary[[#This Row],[Hasta]])</f>
        <v>0</v>
      </c>
      <c r="L492" s="11">
        <f>SUMIFS(TableDailySummary[Online Store_net_sales],TableDailySummary[Fecha],"&gt;="&amp;TableWeeklySummary[[#This Row],[Desde]],TableDailySummary[Fecha],"&lt;="&amp;TableWeeklySummary[[#This Row],[Hasta]])</f>
        <v>0</v>
      </c>
      <c r="M492" s="11">
        <f>SUMIFS(TableDailySummary[Online Store_orders],TableDailySummary[Fecha],"&gt;="&amp;TableWeeklySummary[[#This Row],[Desde]],TableDailySummary[Fecha],"&lt;="&amp;TableWeeklySummary[[#This Row],[Hasta]])</f>
        <v>0</v>
      </c>
      <c r="N492" s="11">
        <f>SUMIFS(TableDailySummary[Tienda 81_net_sales],TableDailySummary[Fecha],"&gt;="&amp;TableWeeklySummary[[#This Row],[Desde]],TableDailySummary[Fecha],"&lt;="&amp;TableWeeklySummary[[#This Row],[Hasta]])</f>
        <v>0</v>
      </c>
      <c r="O492" s="11">
        <f>SUMIFS(TableDailySummary[Tienda 81_orders],TableDailySummary[Fecha],"&gt;="&amp;TableWeeklySummary[[#This Row],[Desde]],TableDailySummary[Fecha],"&lt;="&amp;TableWeeklySummary[[#This Row],[Hasta]])</f>
        <v>0</v>
      </c>
      <c r="P492" s="11">
        <f>SUMIFS(TableDailySummary[Rappi_net_sales],TableDailySummary[Fecha],"&gt;="&amp;TableWeeklySummary[[#This Row],[Desde]],TableDailySummary[Fecha],"&lt;="&amp;TableWeeklySummary[[#This Row],[Hasta]])</f>
        <v>0</v>
      </c>
      <c r="Q492" s="11">
        <f>SUMIFS(TableDailySummary[Rappi_orders],TableDailySummary[Fecha],"&gt;="&amp;TableWeeklySummary[[#This Row],[Desde]],TableDailySummary[Fecha],"&lt;="&amp;TableWeeklySummary[[#This Row],[Hasta]])</f>
        <v>0</v>
      </c>
      <c r="R49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2" s="11">
        <f>SUMIFS(TableDailySummary[Corporativo no tienda_orders],TableDailySummary[Fecha],"&gt;="&amp;TableWeeklySummary[[#This Row],[Desde]],TableDailySummary[Fecha],"&lt;="&amp;TableWeeklySummary[[#This Row],[Hasta]])</f>
        <v>0</v>
      </c>
      <c r="T492" s="11">
        <f>SUMIFS(TableDailySummary[Inversión google ads],TableDailySummary[Fecha],"&gt;="&amp;TableWeeklySummary[[#This Row],[Desde]],TableDailySummary[Fecha],"&lt;="&amp;TableWeeklySummary[[#This Row],[Hasta]])</f>
        <v>0</v>
      </c>
      <c r="U492" s="11">
        <f>SUMIFS(TableDailySummary[Ventas google ads],TableDailySummary[Fecha],"&gt;="&amp;TableWeeklySummary[[#This Row],[Desde]],TableDailySummary[Fecha],"&lt;="&amp;TableWeeklySummary[[#This Row],[Hasta]])</f>
        <v>0</v>
      </c>
      <c r="V492" s="11">
        <f>SUMIFS(TableDailySummary[Inversión meta ads],TableDailySummary[Fecha],"&gt;="&amp;TableWeeklySummary[[#This Row],[Desde]],TableDailySummary[Fecha],"&lt;="&amp;TableWeeklySummary[[#This Row],[Hasta]])</f>
        <v>0</v>
      </c>
      <c r="W492" s="11">
        <f>SUMIFS(TableDailySummary[Ventas meta ads],TableDailySummary[Fecha],"&gt;="&amp;TableWeeklySummary[[#This Row],[Desde]],TableDailySummary[Fecha],"&lt;="&amp;TableWeeklySummary[[#This Row],[Hasta]])</f>
        <v>0</v>
      </c>
      <c r="X492" s="11">
        <f>TableWeeklySummary[[#This Row],[Inversión google ads]]+TableWeeklySummary[[#This Row],[Inversión meta ads]]</f>
        <v>0</v>
      </c>
      <c r="Y492" s="11">
        <f>TableWeeklySummary[[#This Row],[Ventas google ads]]+TableWeeklySummary[[#This Row],[Ventas meta ads]]</f>
        <v>0</v>
      </c>
      <c r="Z492" s="14">
        <f>IFERROR(TableWeeklySummary[[#This Row],[Ventas publicidad]]/TableWeeklySummary[[#This Row],[Inversión publicidad]],0)</f>
        <v>0</v>
      </c>
      <c r="AA492" s="14">
        <f>IFERROR(TableWeeklySummary[[#This Row],[Ventas primer cliente]]/TableWeeklySummary[[#This Row],[Inversión publicidad]],0)</f>
        <v>0</v>
      </c>
      <c r="AB492" s="14"/>
      <c r="AC492" s="11"/>
      <c r="AI49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2" s="11">
        <f>SUMIFS(TableDailySummary[Costo de ventas registrado],TableDailySummary[Fecha],"&gt;="&amp;TableWeeklySummary[[#This Row],[Desde]],TableDailySummary[Fecha],"&lt;="&amp;TableWeeklySummary[[#This Row],[Hasta]])</f>
        <v>0</v>
      </c>
      <c r="AK492" s="11">
        <f>SUMIFS(TableDailySummary[Utilidad bruta],TableDailySummary[Fecha],"&gt;="&amp;TableWeeklySummary[[#This Row],[Desde]],TableDailySummary[Fecha],"&lt;="&amp;TableWeeklySummary[[#This Row],[Hasta]])</f>
        <v>0</v>
      </c>
      <c r="AL492" s="18">
        <f>IFERROR(TableWeeklySummary[[#This Row],[Utilidad bruta]]/TableWeeklySummary[[#This Row],[Ventas netas con costo registrado]],0)</f>
        <v>0</v>
      </c>
    </row>
    <row r="493" spans="2:38" x14ac:dyDescent="0.2">
      <c r="B493" s="16">
        <f>_xlfn.ISOWEEKNUM(TableWeeklySummary[[#This Row],[Hasta]])</f>
        <v>13</v>
      </c>
      <c r="C493" s="6">
        <f t="shared" si="9"/>
        <v>47928</v>
      </c>
      <c r="D493" s="6">
        <f>TableWeeklySummary[[#This Row],[Desde]]+7-1</f>
        <v>47934</v>
      </c>
      <c r="E493" s="11">
        <f>SUMIFS(TableDailySummary[Ventas netas totales],TableDailySummary[Fecha],"&gt;="&amp;TableWeeklySummary[[#This Row],[Desde]],TableDailySummary[Fecha],"&lt;="&amp;TableWeeklySummary[[#This Row],[Hasta]])</f>
        <v>0</v>
      </c>
      <c r="F493" s="11">
        <f>SUMIFS(TableDailySummary[Órdenes totales],TableDailySummary[Fecha],"&gt;="&amp;TableWeeklySummary[[#This Row],[Desde]],TableDailySummary[Fecha],"&lt;="&amp;TableWeeklySummary[[#This Row],[Hasta]])</f>
        <v>0</v>
      </c>
      <c r="G493" s="11">
        <f>IFERROR(TableWeeklySummary[[#This Row],[Ventas netas totales]]/TableWeeklySummary[[#This Row],[Órdenes totales]],0)</f>
        <v>0</v>
      </c>
      <c r="H49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3" s="11">
        <f>TableWeeklySummary[[#This Row],[Órden promedio totales]]*TableWeeklySummary[[#This Row],[CR totales]]</f>
        <v>0</v>
      </c>
      <c r="J493" s="11">
        <f>SUMIFS(TableDailySummary[Ventas primer cliente],TableDailySummary[Fecha],"&gt;="&amp;TableWeeklySummary[[#This Row],[Desde]],TableDailySummary[Fecha],"&lt;="&amp;TableWeeklySummary[[#This Row],[Hasta]])</f>
        <v>0</v>
      </c>
      <c r="K493" s="11">
        <f>SUMIFS(TableDailySummary[Órdenes primer cliente],TableDailySummary[Fecha],"&gt;="&amp;TableWeeklySummary[[#This Row],[Desde]],TableDailySummary[Fecha],"&lt;="&amp;TableWeeklySummary[[#This Row],[Hasta]])</f>
        <v>0</v>
      </c>
      <c r="L493" s="11">
        <f>SUMIFS(TableDailySummary[Online Store_net_sales],TableDailySummary[Fecha],"&gt;="&amp;TableWeeklySummary[[#This Row],[Desde]],TableDailySummary[Fecha],"&lt;="&amp;TableWeeklySummary[[#This Row],[Hasta]])</f>
        <v>0</v>
      </c>
      <c r="M493" s="11">
        <f>SUMIFS(TableDailySummary[Online Store_orders],TableDailySummary[Fecha],"&gt;="&amp;TableWeeklySummary[[#This Row],[Desde]],TableDailySummary[Fecha],"&lt;="&amp;TableWeeklySummary[[#This Row],[Hasta]])</f>
        <v>0</v>
      </c>
      <c r="N493" s="11">
        <f>SUMIFS(TableDailySummary[Tienda 81_net_sales],TableDailySummary[Fecha],"&gt;="&amp;TableWeeklySummary[[#This Row],[Desde]],TableDailySummary[Fecha],"&lt;="&amp;TableWeeklySummary[[#This Row],[Hasta]])</f>
        <v>0</v>
      </c>
      <c r="O493" s="11">
        <f>SUMIFS(TableDailySummary[Tienda 81_orders],TableDailySummary[Fecha],"&gt;="&amp;TableWeeklySummary[[#This Row],[Desde]],TableDailySummary[Fecha],"&lt;="&amp;TableWeeklySummary[[#This Row],[Hasta]])</f>
        <v>0</v>
      </c>
      <c r="P493" s="11">
        <f>SUMIFS(TableDailySummary[Rappi_net_sales],TableDailySummary[Fecha],"&gt;="&amp;TableWeeklySummary[[#This Row],[Desde]],TableDailySummary[Fecha],"&lt;="&amp;TableWeeklySummary[[#This Row],[Hasta]])</f>
        <v>0</v>
      </c>
      <c r="Q493" s="11">
        <f>SUMIFS(TableDailySummary[Rappi_orders],TableDailySummary[Fecha],"&gt;="&amp;TableWeeklySummary[[#This Row],[Desde]],TableDailySummary[Fecha],"&lt;="&amp;TableWeeklySummary[[#This Row],[Hasta]])</f>
        <v>0</v>
      </c>
      <c r="R49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3" s="11">
        <f>SUMIFS(TableDailySummary[Corporativo no tienda_orders],TableDailySummary[Fecha],"&gt;="&amp;TableWeeklySummary[[#This Row],[Desde]],TableDailySummary[Fecha],"&lt;="&amp;TableWeeklySummary[[#This Row],[Hasta]])</f>
        <v>0</v>
      </c>
      <c r="T493" s="11">
        <f>SUMIFS(TableDailySummary[Inversión google ads],TableDailySummary[Fecha],"&gt;="&amp;TableWeeklySummary[[#This Row],[Desde]],TableDailySummary[Fecha],"&lt;="&amp;TableWeeklySummary[[#This Row],[Hasta]])</f>
        <v>0</v>
      </c>
      <c r="U493" s="11">
        <f>SUMIFS(TableDailySummary[Ventas google ads],TableDailySummary[Fecha],"&gt;="&amp;TableWeeklySummary[[#This Row],[Desde]],TableDailySummary[Fecha],"&lt;="&amp;TableWeeklySummary[[#This Row],[Hasta]])</f>
        <v>0</v>
      </c>
      <c r="V493" s="11">
        <f>SUMIFS(TableDailySummary[Inversión meta ads],TableDailySummary[Fecha],"&gt;="&amp;TableWeeklySummary[[#This Row],[Desde]],TableDailySummary[Fecha],"&lt;="&amp;TableWeeklySummary[[#This Row],[Hasta]])</f>
        <v>0</v>
      </c>
      <c r="W493" s="11">
        <f>SUMIFS(TableDailySummary[Ventas meta ads],TableDailySummary[Fecha],"&gt;="&amp;TableWeeklySummary[[#This Row],[Desde]],TableDailySummary[Fecha],"&lt;="&amp;TableWeeklySummary[[#This Row],[Hasta]])</f>
        <v>0</v>
      </c>
      <c r="X493" s="11">
        <f>TableWeeklySummary[[#This Row],[Inversión google ads]]+TableWeeklySummary[[#This Row],[Inversión meta ads]]</f>
        <v>0</v>
      </c>
      <c r="Y493" s="11">
        <f>TableWeeklySummary[[#This Row],[Ventas google ads]]+TableWeeklySummary[[#This Row],[Ventas meta ads]]</f>
        <v>0</v>
      </c>
      <c r="Z493" s="14">
        <f>IFERROR(TableWeeklySummary[[#This Row],[Ventas publicidad]]/TableWeeklySummary[[#This Row],[Inversión publicidad]],0)</f>
        <v>0</v>
      </c>
      <c r="AA493" s="14">
        <f>IFERROR(TableWeeklySummary[[#This Row],[Ventas primer cliente]]/TableWeeklySummary[[#This Row],[Inversión publicidad]],0)</f>
        <v>0</v>
      </c>
      <c r="AB493" s="14"/>
      <c r="AC493" s="11"/>
      <c r="AI49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3" s="11">
        <f>SUMIFS(TableDailySummary[Costo de ventas registrado],TableDailySummary[Fecha],"&gt;="&amp;TableWeeklySummary[[#This Row],[Desde]],TableDailySummary[Fecha],"&lt;="&amp;TableWeeklySummary[[#This Row],[Hasta]])</f>
        <v>0</v>
      </c>
      <c r="AK493" s="11">
        <f>SUMIFS(TableDailySummary[Utilidad bruta],TableDailySummary[Fecha],"&gt;="&amp;TableWeeklySummary[[#This Row],[Desde]],TableDailySummary[Fecha],"&lt;="&amp;TableWeeklySummary[[#This Row],[Hasta]])</f>
        <v>0</v>
      </c>
      <c r="AL493" s="18">
        <f>IFERROR(TableWeeklySummary[[#This Row],[Utilidad bruta]]/TableWeeklySummary[[#This Row],[Ventas netas con costo registrado]],0)</f>
        <v>0</v>
      </c>
    </row>
    <row r="494" spans="2:38" x14ac:dyDescent="0.2">
      <c r="B494" s="16">
        <f>_xlfn.ISOWEEKNUM(TableWeeklySummary[[#This Row],[Hasta]])</f>
        <v>14</v>
      </c>
      <c r="C494" s="6">
        <f t="shared" si="9"/>
        <v>47935</v>
      </c>
      <c r="D494" s="6">
        <f>TableWeeklySummary[[#This Row],[Desde]]+7-1</f>
        <v>47941</v>
      </c>
      <c r="E494" s="11">
        <f>SUMIFS(TableDailySummary[Ventas netas totales],TableDailySummary[Fecha],"&gt;="&amp;TableWeeklySummary[[#This Row],[Desde]],TableDailySummary[Fecha],"&lt;="&amp;TableWeeklySummary[[#This Row],[Hasta]])</f>
        <v>0</v>
      </c>
      <c r="F494" s="11">
        <f>SUMIFS(TableDailySummary[Órdenes totales],TableDailySummary[Fecha],"&gt;="&amp;TableWeeklySummary[[#This Row],[Desde]],TableDailySummary[Fecha],"&lt;="&amp;TableWeeklySummary[[#This Row],[Hasta]])</f>
        <v>0</v>
      </c>
      <c r="G494" s="11">
        <f>IFERROR(TableWeeklySummary[[#This Row],[Ventas netas totales]]/TableWeeklySummary[[#This Row],[Órdenes totales]],0)</f>
        <v>0</v>
      </c>
      <c r="H49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4" s="11">
        <f>TableWeeklySummary[[#This Row],[Órden promedio totales]]*TableWeeklySummary[[#This Row],[CR totales]]</f>
        <v>0</v>
      </c>
      <c r="J494" s="11">
        <f>SUMIFS(TableDailySummary[Ventas primer cliente],TableDailySummary[Fecha],"&gt;="&amp;TableWeeklySummary[[#This Row],[Desde]],TableDailySummary[Fecha],"&lt;="&amp;TableWeeklySummary[[#This Row],[Hasta]])</f>
        <v>0</v>
      </c>
      <c r="K494" s="11">
        <f>SUMIFS(TableDailySummary[Órdenes primer cliente],TableDailySummary[Fecha],"&gt;="&amp;TableWeeklySummary[[#This Row],[Desde]],TableDailySummary[Fecha],"&lt;="&amp;TableWeeklySummary[[#This Row],[Hasta]])</f>
        <v>0</v>
      </c>
      <c r="L494" s="11">
        <f>SUMIFS(TableDailySummary[Online Store_net_sales],TableDailySummary[Fecha],"&gt;="&amp;TableWeeklySummary[[#This Row],[Desde]],TableDailySummary[Fecha],"&lt;="&amp;TableWeeklySummary[[#This Row],[Hasta]])</f>
        <v>0</v>
      </c>
      <c r="M494" s="11">
        <f>SUMIFS(TableDailySummary[Online Store_orders],TableDailySummary[Fecha],"&gt;="&amp;TableWeeklySummary[[#This Row],[Desde]],TableDailySummary[Fecha],"&lt;="&amp;TableWeeklySummary[[#This Row],[Hasta]])</f>
        <v>0</v>
      </c>
      <c r="N494" s="11">
        <f>SUMIFS(TableDailySummary[Tienda 81_net_sales],TableDailySummary[Fecha],"&gt;="&amp;TableWeeklySummary[[#This Row],[Desde]],TableDailySummary[Fecha],"&lt;="&amp;TableWeeklySummary[[#This Row],[Hasta]])</f>
        <v>0</v>
      </c>
      <c r="O494" s="11">
        <f>SUMIFS(TableDailySummary[Tienda 81_orders],TableDailySummary[Fecha],"&gt;="&amp;TableWeeklySummary[[#This Row],[Desde]],TableDailySummary[Fecha],"&lt;="&amp;TableWeeklySummary[[#This Row],[Hasta]])</f>
        <v>0</v>
      </c>
      <c r="P494" s="11">
        <f>SUMIFS(TableDailySummary[Rappi_net_sales],TableDailySummary[Fecha],"&gt;="&amp;TableWeeklySummary[[#This Row],[Desde]],TableDailySummary[Fecha],"&lt;="&amp;TableWeeklySummary[[#This Row],[Hasta]])</f>
        <v>0</v>
      </c>
      <c r="Q494" s="11">
        <f>SUMIFS(TableDailySummary[Rappi_orders],TableDailySummary[Fecha],"&gt;="&amp;TableWeeklySummary[[#This Row],[Desde]],TableDailySummary[Fecha],"&lt;="&amp;TableWeeklySummary[[#This Row],[Hasta]])</f>
        <v>0</v>
      </c>
      <c r="R49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4" s="11">
        <f>SUMIFS(TableDailySummary[Corporativo no tienda_orders],TableDailySummary[Fecha],"&gt;="&amp;TableWeeklySummary[[#This Row],[Desde]],TableDailySummary[Fecha],"&lt;="&amp;TableWeeklySummary[[#This Row],[Hasta]])</f>
        <v>0</v>
      </c>
      <c r="T494" s="11">
        <f>SUMIFS(TableDailySummary[Inversión google ads],TableDailySummary[Fecha],"&gt;="&amp;TableWeeklySummary[[#This Row],[Desde]],TableDailySummary[Fecha],"&lt;="&amp;TableWeeklySummary[[#This Row],[Hasta]])</f>
        <v>0</v>
      </c>
      <c r="U494" s="11">
        <f>SUMIFS(TableDailySummary[Ventas google ads],TableDailySummary[Fecha],"&gt;="&amp;TableWeeklySummary[[#This Row],[Desde]],TableDailySummary[Fecha],"&lt;="&amp;TableWeeklySummary[[#This Row],[Hasta]])</f>
        <v>0</v>
      </c>
      <c r="V494" s="11">
        <f>SUMIFS(TableDailySummary[Inversión meta ads],TableDailySummary[Fecha],"&gt;="&amp;TableWeeklySummary[[#This Row],[Desde]],TableDailySummary[Fecha],"&lt;="&amp;TableWeeklySummary[[#This Row],[Hasta]])</f>
        <v>0</v>
      </c>
      <c r="W494" s="11">
        <f>SUMIFS(TableDailySummary[Ventas meta ads],TableDailySummary[Fecha],"&gt;="&amp;TableWeeklySummary[[#This Row],[Desde]],TableDailySummary[Fecha],"&lt;="&amp;TableWeeklySummary[[#This Row],[Hasta]])</f>
        <v>0</v>
      </c>
      <c r="X494" s="11">
        <f>TableWeeklySummary[[#This Row],[Inversión google ads]]+TableWeeklySummary[[#This Row],[Inversión meta ads]]</f>
        <v>0</v>
      </c>
      <c r="Y494" s="11">
        <f>TableWeeklySummary[[#This Row],[Ventas google ads]]+TableWeeklySummary[[#This Row],[Ventas meta ads]]</f>
        <v>0</v>
      </c>
      <c r="Z494" s="14">
        <f>IFERROR(TableWeeklySummary[[#This Row],[Ventas publicidad]]/TableWeeklySummary[[#This Row],[Inversión publicidad]],0)</f>
        <v>0</v>
      </c>
      <c r="AA494" s="14">
        <f>IFERROR(TableWeeklySummary[[#This Row],[Ventas primer cliente]]/TableWeeklySummary[[#This Row],[Inversión publicidad]],0)</f>
        <v>0</v>
      </c>
      <c r="AB494" s="14"/>
      <c r="AC494" s="11"/>
      <c r="AI49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4" s="11">
        <f>SUMIFS(TableDailySummary[Costo de ventas registrado],TableDailySummary[Fecha],"&gt;="&amp;TableWeeklySummary[[#This Row],[Desde]],TableDailySummary[Fecha],"&lt;="&amp;TableWeeklySummary[[#This Row],[Hasta]])</f>
        <v>0</v>
      </c>
      <c r="AK494" s="11">
        <f>SUMIFS(TableDailySummary[Utilidad bruta],TableDailySummary[Fecha],"&gt;="&amp;TableWeeklySummary[[#This Row],[Desde]],TableDailySummary[Fecha],"&lt;="&amp;TableWeeklySummary[[#This Row],[Hasta]])</f>
        <v>0</v>
      </c>
      <c r="AL494" s="18">
        <f>IFERROR(TableWeeklySummary[[#This Row],[Utilidad bruta]]/TableWeeklySummary[[#This Row],[Ventas netas con costo registrado]],0)</f>
        <v>0</v>
      </c>
    </row>
    <row r="495" spans="2:38" x14ac:dyDescent="0.2">
      <c r="B495" s="16">
        <f>_xlfn.ISOWEEKNUM(TableWeeklySummary[[#This Row],[Hasta]])</f>
        <v>15</v>
      </c>
      <c r="C495" s="6">
        <f t="shared" si="9"/>
        <v>47942</v>
      </c>
      <c r="D495" s="6">
        <f>TableWeeklySummary[[#This Row],[Desde]]+7-1</f>
        <v>47948</v>
      </c>
      <c r="E495" s="11">
        <f>SUMIFS(TableDailySummary[Ventas netas totales],TableDailySummary[Fecha],"&gt;="&amp;TableWeeklySummary[[#This Row],[Desde]],TableDailySummary[Fecha],"&lt;="&amp;TableWeeklySummary[[#This Row],[Hasta]])</f>
        <v>0</v>
      </c>
      <c r="F495" s="11">
        <f>SUMIFS(TableDailySummary[Órdenes totales],TableDailySummary[Fecha],"&gt;="&amp;TableWeeklySummary[[#This Row],[Desde]],TableDailySummary[Fecha],"&lt;="&amp;TableWeeklySummary[[#This Row],[Hasta]])</f>
        <v>0</v>
      </c>
      <c r="G495" s="11">
        <f>IFERROR(TableWeeklySummary[[#This Row],[Ventas netas totales]]/TableWeeklySummary[[#This Row],[Órdenes totales]],0)</f>
        <v>0</v>
      </c>
      <c r="H49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5" s="11">
        <f>TableWeeklySummary[[#This Row],[Órden promedio totales]]*TableWeeklySummary[[#This Row],[CR totales]]</f>
        <v>0</v>
      </c>
      <c r="J495" s="11">
        <f>SUMIFS(TableDailySummary[Ventas primer cliente],TableDailySummary[Fecha],"&gt;="&amp;TableWeeklySummary[[#This Row],[Desde]],TableDailySummary[Fecha],"&lt;="&amp;TableWeeklySummary[[#This Row],[Hasta]])</f>
        <v>0</v>
      </c>
      <c r="K495" s="11">
        <f>SUMIFS(TableDailySummary[Órdenes primer cliente],TableDailySummary[Fecha],"&gt;="&amp;TableWeeklySummary[[#This Row],[Desde]],TableDailySummary[Fecha],"&lt;="&amp;TableWeeklySummary[[#This Row],[Hasta]])</f>
        <v>0</v>
      </c>
      <c r="L495" s="11">
        <f>SUMIFS(TableDailySummary[Online Store_net_sales],TableDailySummary[Fecha],"&gt;="&amp;TableWeeklySummary[[#This Row],[Desde]],TableDailySummary[Fecha],"&lt;="&amp;TableWeeklySummary[[#This Row],[Hasta]])</f>
        <v>0</v>
      </c>
      <c r="M495" s="11">
        <f>SUMIFS(TableDailySummary[Online Store_orders],TableDailySummary[Fecha],"&gt;="&amp;TableWeeklySummary[[#This Row],[Desde]],TableDailySummary[Fecha],"&lt;="&amp;TableWeeklySummary[[#This Row],[Hasta]])</f>
        <v>0</v>
      </c>
      <c r="N495" s="11">
        <f>SUMIFS(TableDailySummary[Tienda 81_net_sales],TableDailySummary[Fecha],"&gt;="&amp;TableWeeklySummary[[#This Row],[Desde]],TableDailySummary[Fecha],"&lt;="&amp;TableWeeklySummary[[#This Row],[Hasta]])</f>
        <v>0</v>
      </c>
      <c r="O495" s="11">
        <f>SUMIFS(TableDailySummary[Tienda 81_orders],TableDailySummary[Fecha],"&gt;="&amp;TableWeeklySummary[[#This Row],[Desde]],TableDailySummary[Fecha],"&lt;="&amp;TableWeeklySummary[[#This Row],[Hasta]])</f>
        <v>0</v>
      </c>
      <c r="P495" s="11">
        <f>SUMIFS(TableDailySummary[Rappi_net_sales],TableDailySummary[Fecha],"&gt;="&amp;TableWeeklySummary[[#This Row],[Desde]],TableDailySummary[Fecha],"&lt;="&amp;TableWeeklySummary[[#This Row],[Hasta]])</f>
        <v>0</v>
      </c>
      <c r="Q495" s="11">
        <f>SUMIFS(TableDailySummary[Rappi_orders],TableDailySummary[Fecha],"&gt;="&amp;TableWeeklySummary[[#This Row],[Desde]],TableDailySummary[Fecha],"&lt;="&amp;TableWeeklySummary[[#This Row],[Hasta]])</f>
        <v>0</v>
      </c>
      <c r="R49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5" s="11">
        <f>SUMIFS(TableDailySummary[Corporativo no tienda_orders],TableDailySummary[Fecha],"&gt;="&amp;TableWeeklySummary[[#This Row],[Desde]],TableDailySummary[Fecha],"&lt;="&amp;TableWeeklySummary[[#This Row],[Hasta]])</f>
        <v>0</v>
      </c>
      <c r="T495" s="11">
        <f>SUMIFS(TableDailySummary[Inversión google ads],TableDailySummary[Fecha],"&gt;="&amp;TableWeeklySummary[[#This Row],[Desde]],TableDailySummary[Fecha],"&lt;="&amp;TableWeeklySummary[[#This Row],[Hasta]])</f>
        <v>0</v>
      </c>
      <c r="U495" s="11">
        <f>SUMIFS(TableDailySummary[Ventas google ads],TableDailySummary[Fecha],"&gt;="&amp;TableWeeklySummary[[#This Row],[Desde]],TableDailySummary[Fecha],"&lt;="&amp;TableWeeklySummary[[#This Row],[Hasta]])</f>
        <v>0</v>
      </c>
      <c r="V495" s="11">
        <f>SUMIFS(TableDailySummary[Inversión meta ads],TableDailySummary[Fecha],"&gt;="&amp;TableWeeklySummary[[#This Row],[Desde]],TableDailySummary[Fecha],"&lt;="&amp;TableWeeklySummary[[#This Row],[Hasta]])</f>
        <v>0</v>
      </c>
      <c r="W495" s="11">
        <f>SUMIFS(TableDailySummary[Ventas meta ads],TableDailySummary[Fecha],"&gt;="&amp;TableWeeklySummary[[#This Row],[Desde]],TableDailySummary[Fecha],"&lt;="&amp;TableWeeklySummary[[#This Row],[Hasta]])</f>
        <v>0</v>
      </c>
      <c r="X495" s="11">
        <f>TableWeeklySummary[[#This Row],[Inversión google ads]]+TableWeeklySummary[[#This Row],[Inversión meta ads]]</f>
        <v>0</v>
      </c>
      <c r="Y495" s="11">
        <f>TableWeeklySummary[[#This Row],[Ventas google ads]]+TableWeeklySummary[[#This Row],[Ventas meta ads]]</f>
        <v>0</v>
      </c>
      <c r="Z495" s="14">
        <f>IFERROR(TableWeeklySummary[[#This Row],[Ventas publicidad]]/TableWeeklySummary[[#This Row],[Inversión publicidad]],0)</f>
        <v>0</v>
      </c>
      <c r="AA495" s="14">
        <f>IFERROR(TableWeeklySummary[[#This Row],[Ventas primer cliente]]/TableWeeklySummary[[#This Row],[Inversión publicidad]],0)</f>
        <v>0</v>
      </c>
      <c r="AB495" s="14"/>
      <c r="AC495" s="11"/>
      <c r="AI49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5" s="11">
        <f>SUMIFS(TableDailySummary[Costo de ventas registrado],TableDailySummary[Fecha],"&gt;="&amp;TableWeeklySummary[[#This Row],[Desde]],TableDailySummary[Fecha],"&lt;="&amp;TableWeeklySummary[[#This Row],[Hasta]])</f>
        <v>0</v>
      </c>
      <c r="AK495" s="11">
        <f>SUMIFS(TableDailySummary[Utilidad bruta],TableDailySummary[Fecha],"&gt;="&amp;TableWeeklySummary[[#This Row],[Desde]],TableDailySummary[Fecha],"&lt;="&amp;TableWeeklySummary[[#This Row],[Hasta]])</f>
        <v>0</v>
      </c>
      <c r="AL495" s="18">
        <f>IFERROR(TableWeeklySummary[[#This Row],[Utilidad bruta]]/TableWeeklySummary[[#This Row],[Ventas netas con costo registrado]],0)</f>
        <v>0</v>
      </c>
    </row>
    <row r="496" spans="2:38" x14ac:dyDescent="0.2">
      <c r="B496" s="16">
        <f>_xlfn.ISOWEEKNUM(TableWeeklySummary[[#This Row],[Hasta]])</f>
        <v>16</v>
      </c>
      <c r="C496" s="6">
        <f t="shared" si="9"/>
        <v>47949</v>
      </c>
      <c r="D496" s="6">
        <f>TableWeeklySummary[[#This Row],[Desde]]+7-1</f>
        <v>47955</v>
      </c>
      <c r="E496" s="11">
        <f>SUMIFS(TableDailySummary[Ventas netas totales],TableDailySummary[Fecha],"&gt;="&amp;TableWeeklySummary[[#This Row],[Desde]],TableDailySummary[Fecha],"&lt;="&amp;TableWeeklySummary[[#This Row],[Hasta]])</f>
        <v>0</v>
      </c>
      <c r="F496" s="11">
        <f>SUMIFS(TableDailySummary[Órdenes totales],TableDailySummary[Fecha],"&gt;="&amp;TableWeeklySummary[[#This Row],[Desde]],TableDailySummary[Fecha],"&lt;="&amp;TableWeeklySummary[[#This Row],[Hasta]])</f>
        <v>0</v>
      </c>
      <c r="G496" s="11">
        <f>IFERROR(TableWeeklySummary[[#This Row],[Ventas netas totales]]/TableWeeklySummary[[#This Row],[Órdenes totales]],0)</f>
        <v>0</v>
      </c>
      <c r="H496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6" s="11">
        <f>TableWeeklySummary[[#This Row],[Órden promedio totales]]*TableWeeklySummary[[#This Row],[CR totales]]</f>
        <v>0</v>
      </c>
      <c r="J496" s="11">
        <f>SUMIFS(TableDailySummary[Ventas primer cliente],TableDailySummary[Fecha],"&gt;="&amp;TableWeeklySummary[[#This Row],[Desde]],TableDailySummary[Fecha],"&lt;="&amp;TableWeeklySummary[[#This Row],[Hasta]])</f>
        <v>0</v>
      </c>
      <c r="K496" s="11">
        <f>SUMIFS(TableDailySummary[Órdenes primer cliente],TableDailySummary[Fecha],"&gt;="&amp;TableWeeklySummary[[#This Row],[Desde]],TableDailySummary[Fecha],"&lt;="&amp;TableWeeklySummary[[#This Row],[Hasta]])</f>
        <v>0</v>
      </c>
      <c r="L496" s="11">
        <f>SUMIFS(TableDailySummary[Online Store_net_sales],TableDailySummary[Fecha],"&gt;="&amp;TableWeeklySummary[[#This Row],[Desde]],TableDailySummary[Fecha],"&lt;="&amp;TableWeeklySummary[[#This Row],[Hasta]])</f>
        <v>0</v>
      </c>
      <c r="M496" s="11">
        <f>SUMIFS(TableDailySummary[Online Store_orders],TableDailySummary[Fecha],"&gt;="&amp;TableWeeklySummary[[#This Row],[Desde]],TableDailySummary[Fecha],"&lt;="&amp;TableWeeklySummary[[#This Row],[Hasta]])</f>
        <v>0</v>
      </c>
      <c r="N496" s="11">
        <f>SUMIFS(TableDailySummary[Tienda 81_net_sales],TableDailySummary[Fecha],"&gt;="&amp;TableWeeklySummary[[#This Row],[Desde]],TableDailySummary[Fecha],"&lt;="&amp;TableWeeklySummary[[#This Row],[Hasta]])</f>
        <v>0</v>
      </c>
      <c r="O496" s="11">
        <f>SUMIFS(TableDailySummary[Tienda 81_orders],TableDailySummary[Fecha],"&gt;="&amp;TableWeeklySummary[[#This Row],[Desde]],TableDailySummary[Fecha],"&lt;="&amp;TableWeeklySummary[[#This Row],[Hasta]])</f>
        <v>0</v>
      </c>
      <c r="P496" s="11">
        <f>SUMIFS(TableDailySummary[Rappi_net_sales],TableDailySummary[Fecha],"&gt;="&amp;TableWeeklySummary[[#This Row],[Desde]],TableDailySummary[Fecha],"&lt;="&amp;TableWeeklySummary[[#This Row],[Hasta]])</f>
        <v>0</v>
      </c>
      <c r="Q496" s="11">
        <f>SUMIFS(TableDailySummary[Rappi_orders],TableDailySummary[Fecha],"&gt;="&amp;TableWeeklySummary[[#This Row],[Desde]],TableDailySummary[Fecha],"&lt;="&amp;TableWeeklySummary[[#This Row],[Hasta]])</f>
        <v>0</v>
      </c>
      <c r="R496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6" s="11">
        <f>SUMIFS(TableDailySummary[Corporativo no tienda_orders],TableDailySummary[Fecha],"&gt;="&amp;TableWeeklySummary[[#This Row],[Desde]],TableDailySummary[Fecha],"&lt;="&amp;TableWeeklySummary[[#This Row],[Hasta]])</f>
        <v>0</v>
      </c>
      <c r="T496" s="11">
        <f>SUMIFS(TableDailySummary[Inversión google ads],TableDailySummary[Fecha],"&gt;="&amp;TableWeeklySummary[[#This Row],[Desde]],TableDailySummary[Fecha],"&lt;="&amp;TableWeeklySummary[[#This Row],[Hasta]])</f>
        <v>0</v>
      </c>
      <c r="U496" s="11">
        <f>SUMIFS(TableDailySummary[Ventas google ads],TableDailySummary[Fecha],"&gt;="&amp;TableWeeklySummary[[#This Row],[Desde]],TableDailySummary[Fecha],"&lt;="&amp;TableWeeklySummary[[#This Row],[Hasta]])</f>
        <v>0</v>
      </c>
      <c r="V496" s="11">
        <f>SUMIFS(TableDailySummary[Inversión meta ads],TableDailySummary[Fecha],"&gt;="&amp;TableWeeklySummary[[#This Row],[Desde]],TableDailySummary[Fecha],"&lt;="&amp;TableWeeklySummary[[#This Row],[Hasta]])</f>
        <v>0</v>
      </c>
      <c r="W496" s="11">
        <f>SUMIFS(TableDailySummary[Ventas meta ads],TableDailySummary[Fecha],"&gt;="&amp;TableWeeklySummary[[#This Row],[Desde]],TableDailySummary[Fecha],"&lt;="&amp;TableWeeklySummary[[#This Row],[Hasta]])</f>
        <v>0</v>
      </c>
      <c r="X496" s="11">
        <f>TableWeeklySummary[[#This Row],[Inversión google ads]]+TableWeeklySummary[[#This Row],[Inversión meta ads]]</f>
        <v>0</v>
      </c>
      <c r="Y496" s="11">
        <f>TableWeeklySummary[[#This Row],[Ventas google ads]]+TableWeeklySummary[[#This Row],[Ventas meta ads]]</f>
        <v>0</v>
      </c>
      <c r="Z496" s="14">
        <f>IFERROR(TableWeeklySummary[[#This Row],[Ventas publicidad]]/TableWeeklySummary[[#This Row],[Inversión publicidad]],0)</f>
        <v>0</v>
      </c>
      <c r="AA496" s="14">
        <f>IFERROR(TableWeeklySummary[[#This Row],[Ventas primer cliente]]/TableWeeklySummary[[#This Row],[Inversión publicidad]],0)</f>
        <v>0</v>
      </c>
      <c r="AB496" s="14"/>
      <c r="AC496" s="11"/>
      <c r="AI496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6" s="11">
        <f>SUMIFS(TableDailySummary[Costo de ventas registrado],TableDailySummary[Fecha],"&gt;="&amp;TableWeeklySummary[[#This Row],[Desde]],TableDailySummary[Fecha],"&lt;="&amp;TableWeeklySummary[[#This Row],[Hasta]])</f>
        <v>0</v>
      </c>
      <c r="AK496" s="11">
        <f>SUMIFS(TableDailySummary[Utilidad bruta],TableDailySummary[Fecha],"&gt;="&amp;TableWeeklySummary[[#This Row],[Desde]],TableDailySummary[Fecha],"&lt;="&amp;TableWeeklySummary[[#This Row],[Hasta]])</f>
        <v>0</v>
      </c>
      <c r="AL496" s="18">
        <f>IFERROR(TableWeeklySummary[[#This Row],[Utilidad bruta]]/TableWeeklySummary[[#This Row],[Ventas netas con costo registrado]],0)</f>
        <v>0</v>
      </c>
    </row>
    <row r="497" spans="2:38" x14ac:dyDescent="0.2">
      <c r="B497" s="16">
        <f>_xlfn.ISOWEEKNUM(TableWeeklySummary[[#This Row],[Hasta]])</f>
        <v>17</v>
      </c>
      <c r="C497" s="6">
        <f t="shared" si="9"/>
        <v>47956</v>
      </c>
      <c r="D497" s="6">
        <f>TableWeeklySummary[[#This Row],[Desde]]+7-1</f>
        <v>47962</v>
      </c>
      <c r="E497" s="11">
        <f>SUMIFS(TableDailySummary[Ventas netas totales],TableDailySummary[Fecha],"&gt;="&amp;TableWeeklySummary[[#This Row],[Desde]],TableDailySummary[Fecha],"&lt;="&amp;TableWeeklySummary[[#This Row],[Hasta]])</f>
        <v>0</v>
      </c>
      <c r="F497" s="11">
        <f>SUMIFS(TableDailySummary[Órdenes totales],TableDailySummary[Fecha],"&gt;="&amp;TableWeeklySummary[[#This Row],[Desde]],TableDailySummary[Fecha],"&lt;="&amp;TableWeeklySummary[[#This Row],[Hasta]])</f>
        <v>0</v>
      </c>
      <c r="G497" s="11">
        <f>IFERROR(TableWeeklySummary[[#This Row],[Ventas netas totales]]/TableWeeklySummary[[#This Row],[Órdenes totales]],0)</f>
        <v>0</v>
      </c>
      <c r="H497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7" s="11">
        <f>TableWeeklySummary[[#This Row],[Órden promedio totales]]*TableWeeklySummary[[#This Row],[CR totales]]</f>
        <v>0</v>
      </c>
      <c r="J497" s="11">
        <f>SUMIFS(TableDailySummary[Ventas primer cliente],TableDailySummary[Fecha],"&gt;="&amp;TableWeeklySummary[[#This Row],[Desde]],TableDailySummary[Fecha],"&lt;="&amp;TableWeeklySummary[[#This Row],[Hasta]])</f>
        <v>0</v>
      </c>
      <c r="K497" s="11">
        <f>SUMIFS(TableDailySummary[Órdenes primer cliente],TableDailySummary[Fecha],"&gt;="&amp;TableWeeklySummary[[#This Row],[Desde]],TableDailySummary[Fecha],"&lt;="&amp;TableWeeklySummary[[#This Row],[Hasta]])</f>
        <v>0</v>
      </c>
      <c r="L497" s="11">
        <f>SUMIFS(TableDailySummary[Online Store_net_sales],TableDailySummary[Fecha],"&gt;="&amp;TableWeeklySummary[[#This Row],[Desde]],TableDailySummary[Fecha],"&lt;="&amp;TableWeeklySummary[[#This Row],[Hasta]])</f>
        <v>0</v>
      </c>
      <c r="M497" s="11">
        <f>SUMIFS(TableDailySummary[Online Store_orders],TableDailySummary[Fecha],"&gt;="&amp;TableWeeklySummary[[#This Row],[Desde]],TableDailySummary[Fecha],"&lt;="&amp;TableWeeklySummary[[#This Row],[Hasta]])</f>
        <v>0</v>
      </c>
      <c r="N497" s="11">
        <f>SUMIFS(TableDailySummary[Tienda 81_net_sales],TableDailySummary[Fecha],"&gt;="&amp;TableWeeklySummary[[#This Row],[Desde]],TableDailySummary[Fecha],"&lt;="&amp;TableWeeklySummary[[#This Row],[Hasta]])</f>
        <v>0</v>
      </c>
      <c r="O497" s="11">
        <f>SUMIFS(TableDailySummary[Tienda 81_orders],TableDailySummary[Fecha],"&gt;="&amp;TableWeeklySummary[[#This Row],[Desde]],TableDailySummary[Fecha],"&lt;="&amp;TableWeeklySummary[[#This Row],[Hasta]])</f>
        <v>0</v>
      </c>
      <c r="P497" s="11">
        <f>SUMIFS(TableDailySummary[Rappi_net_sales],TableDailySummary[Fecha],"&gt;="&amp;TableWeeklySummary[[#This Row],[Desde]],TableDailySummary[Fecha],"&lt;="&amp;TableWeeklySummary[[#This Row],[Hasta]])</f>
        <v>0</v>
      </c>
      <c r="Q497" s="11">
        <f>SUMIFS(TableDailySummary[Rappi_orders],TableDailySummary[Fecha],"&gt;="&amp;TableWeeklySummary[[#This Row],[Desde]],TableDailySummary[Fecha],"&lt;="&amp;TableWeeklySummary[[#This Row],[Hasta]])</f>
        <v>0</v>
      </c>
      <c r="R497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7" s="11">
        <f>SUMIFS(TableDailySummary[Corporativo no tienda_orders],TableDailySummary[Fecha],"&gt;="&amp;TableWeeklySummary[[#This Row],[Desde]],TableDailySummary[Fecha],"&lt;="&amp;TableWeeklySummary[[#This Row],[Hasta]])</f>
        <v>0</v>
      </c>
      <c r="T497" s="11">
        <f>SUMIFS(TableDailySummary[Inversión google ads],TableDailySummary[Fecha],"&gt;="&amp;TableWeeklySummary[[#This Row],[Desde]],TableDailySummary[Fecha],"&lt;="&amp;TableWeeklySummary[[#This Row],[Hasta]])</f>
        <v>0</v>
      </c>
      <c r="U497" s="11">
        <f>SUMIFS(TableDailySummary[Ventas google ads],TableDailySummary[Fecha],"&gt;="&amp;TableWeeklySummary[[#This Row],[Desde]],TableDailySummary[Fecha],"&lt;="&amp;TableWeeklySummary[[#This Row],[Hasta]])</f>
        <v>0</v>
      </c>
      <c r="V497" s="11">
        <f>SUMIFS(TableDailySummary[Inversión meta ads],TableDailySummary[Fecha],"&gt;="&amp;TableWeeklySummary[[#This Row],[Desde]],TableDailySummary[Fecha],"&lt;="&amp;TableWeeklySummary[[#This Row],[Hasta]])</f>
        <v>0</v>
      </c>
      <c r="W497" s="11">
        <f>SUMIFS(TableDailySummary[Ventas meta ads],TableDailySummary[Fecha],"&gt;="&amp;TableWeeklySummary[[#This Row],[Desde]],TableDailySummary[Fecha],"&lt;="&amp;TableWeeklySummary[[#This Row],[Hasta]])</f>
        <v>0</v>
      </c>
      <c r="X497" s="11">
        <f>TableWeeklySummary[[#This Row],[Inversión google ads]]+TableWeeklySummary[[#This Row],[Inversión meta ads]]</f>
        <v>0</v>
      </c>
      <c r="Y497" s="11">
        <f>TableWeeklySummary[[#This Row],[Ventas google ads]]+TableWeeklySummary[[#This Row],[Ventas meta ads]]</f>
        <v>0</v>
      </c>
      <c r="Z497" s="14">
        <f>IFERROR(TableWeeklySummary[[#This Row],[Ventas publicidad]]/TableWeeklySummary[[#This Row],[Inversión publicidad]],0)</f>
        <v>0</v>
      </c>
      <c r="AA497" s="14">
        <f>IFERROR(TableWeeklySummary[[#This Row],[Ventas primer cliente]]/TableWeeklySummary[[#This Row],[Inversión publicidad]],0)</f>
        <v>0</v>
      </c>
      <c r="AB497" s="14"/>
      <c r="AC497" s="11"/>
      <c r="AI497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7" s="11">
        <f>SUMIFS(TableDailySummary[Costo de ventas registrado],TableDailySummary[Fecha],"&gt;="&amp;TableWeeklySummary[[#This Row],[Desde]],TableDailySummary[Fecha],"&lt;="&amp;TableWeeklySummary[[#This Row],[Hasta]])</f>
        <v>0</v>
      </c>
      <c r="AK497" s="11">
        <f>SUMIFS(TableDailySummary[Utilidad bruta],TableDailySummary[Fecha],"&gt;="&amp;TableWeeklySummary[[#This Row],[Desde]],TableDailySummary[Fecha],"&lt;="&amp;TableWeeklySummary[[#This Row],[Hasta]])</f>
        <v>0</v>
      </c>
      <c r="AL497" s="18">
        <f>IFERROR(TableWeeklySummary[[#This Row],[Utilidad bruta]]/TableWeeklySummary[[#This Row],[Ventas netas con costo registrado]],0)</f>
        <v>0</v>
      </c>
    </row>
    <row r="498" spans="2:38" x14ac:dyDescent="0.2">
      <c r="B498" s="16">
        <f>_xlfn.ISOWEEKNUM(TableWeeklySummary[[#This Row],[Hasta]])</f>
        <v>18</v>
      </c>
      <c r="C498" s="6">
        <f t="shared" si="9"/>
        <v>47963</v>
      </c>
      <c r="D498" s="6">
        <f>TableWeeklySummary[[#This Row],[Desde]]+7-1</f>
        <v>47969</v>
      </c>
      <c r="E498" s="11">
        <f>SUMIFS(TableDailySummary[Ventas netas totales],TableDailySummary[Fecha],"&gt;="&amp;TableWeeklySummary[[#This Row],[Desde]],TableDailySummary[Fecha],"&lt;="&amp;TableWeeklySummary[[#This Row],[Hasta]])</f>
        <v>0</v>
      </c>
      <c r="F498" s="11">
        <f>SUMIFS(TableDailySummary[Órdenes totales],TableDailySummary[Fecha],"&gt;="&amp;TableWeeklySummary[[#This Row],[Desde]],TableDailySummary[Fecha],"&lt;="&amp;TableWeeklySummary[[#This Row],[Hasta]])</f>
        <v>0</v>
      </c>
      <c r="G498" s="11">
        <f>IFERROR(TableWeeklySummary[[#This Row],[Ventas netas totales]]/TableWeeklySummary[[#This Row],[Órdenes totales]],0)</f>
        <v>0</v>
      </c>
      <c r="H498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8" s="11">
        <f>TableWeeklySummary[[#This Row],[Órden promedio totales]]*TableWeeklySummary[[#This Row],[CR totales]]</f>
        <v>0</v>
      </c>
      <c r="J498" s="11">
        <f>SUMIFS(TableDailySummary[Ventas primer cliente],TableDailySummary[Fecha],"&gt;="&amp;TableWeeklySummary[[#This Row],[Desde]],TableDailySummary[Fecha],"&lt;="&amp;TableWeeklySummary[[#This Row],[Hasta]])</f>
        <v>0</v>
      </c>
      <c r="K498" s="11">
        <f>SUMIFS(TableDailySummary[Órdenes primer cliente],TableDailySummary[Fecha],"&gt;="&amp;TableWeeklySummary[[#This Row],[Desde]],TableDailySummary[Fecha],"&lt;="&amp;TableWeeklySummary[[#This Row],[Hasta]])</f>
        <v>0</v>
      </c>
      <c r="L498" s="11">
        <f>SUMIFS(TableDailySummary[Online Store_net_sales],TableDailySummary[Fecha],"&gt;="&amp;TableWeeklySummary[[#This Row],[Desde]],TableDailySummary[Fecha],"&lt;="&amp;TableWeeklySummary[[#This Row],[Hasta]])</f>
        <v>0</v>
      </c>
      <c r="M498" s="11">
        <f>SUMIFS(TableDailySummary[Online Store_orders],TableDailySummary[Fecha],"&gt;="&amp;TableWeeklySummary[[#This Row],[Desde]],TableDailySummary[Fecha],"&lt;="&amp;TableWeeklySummary[[#This Row],[Hasta]])</f>
        <v>0</v>
      </c>
      <c r="N498" s="11">
        <f>SUMIFS(TableDailySummary[Tienda 81_net_sales],TableDailySummary[Fecha],"&gt;="&amp;TableWeeklySummary[[#This Row],[Desde]],TableDailySummary[Fecha],"&lt;="&amp;TableWeeklySummary[[#This Row],[Hasta]])</f>
        <v>0</v>
      </c>
      <c r="O498" s="11">
        <f>SUMIFS(TableDailySummary[Tienda 81_orders],TableDailySummary[Fecha],"&gt;="&amp;TableWeeklySummary[[#This Row],[Desde]],TableDailySummary[Fecha],"&lt;="&amp;TableWeeklySummary[[#This Row],[Hasta]])</f>
        <v>0</v>
      </c>
      <c r="P498" s="11">
        <f>SUMIFS(TableDailySummary[Rappi_net_sales],TableDailySummary[Fecha],"&gt;="&amp;TableWeeklySummary[[#This Row],[Desde]],TableDailySummary[Fecha],"&lt;="&amp;TableWeeklySummary[[#This Row],[Hasta]])</f>
        <v>0</v>
      </c>
      <c r="Q498" s="11">
        <f>SUMIFS(TableDailySummary[Rappi_orders],TableDailySummary[Fecha],"&gt;="&amp;TableWeeklySummary[[#This Row],[Desde]],TableDailySummary[Fecha],"&lt;="&amp;TableWeeklySummary[[#This Row],[Hasta]])</f>
        <v>0</v>
      </c>
      <c r="R498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8" s="11">
        <f>SUMIFS(TableDailySummary[Corporativo no tienda_orders],TableDailySummary[Fecha],"&gt;="&amp;TableWeeklySummary[[#This Row],[Desde]],TableDailySummary[Fecha],"&lt;="&amp;TableWeeklySummary[[#This Row],[Hasta]])</f>
        <v>0</v>
      </c>
      <c r="T498" s="11">
        <f>SUMIFS(TableDailySummary[Inversión google ads],TableDailySummary[Fecha],"&gt;="&amp;TableWeeklySummary[[#This Row],[Desde]],TableDailySummary[Fecha],"&lt;="&amp;TableWeeklySummary[[#This Row],[Hasta]])</f>
        <v>0</v>
      </c>
      <c r="U498" s="11">
        <f>SUMIFS(TableDailySummary[Ventas google ads],TableDailySummary[Fecha],"&gt;="&amp;TableWeeklySummary[[#This Row],[Desde]],TableDailySummary[Fecha],"&lt;="&amp;TableWeeklySummary[[#This Row],[Hasta]])</f>
        <v>0</v>
      </c>
      <c r="V498" s="11">
        <f>SUMIFS(TableDailySummary[Inversión meta ads],TableDailySummary[Fecha],"&gt;="&amp;TableWeeklySummary[[#This Row],[Desde]],TableDailySummary[Fecha],"&lt;="&amp;TableWeeklySummary[[#This Row],[Hasta]])</f>
        <v>0</v>
      </c>
      <c r="W498" s="11">
        <f>SUMIFS(TableDailySummary[Ventas meta ads],TableDailySummary[Fecha],"&gt;="&amp;TableWeeklySummary[[#This Row],[Desde]],TableDailySummary[Fecha],"&lt;="&amp;TableWeeklySummary[[#This Row],[Hasta]])</f>
        <v>0</v>
      </c>
      <c r="X498" s="11">
        <f>TableWeeklySummary[[#This Row],[Inversión google ads]]+TableWeeklySummary[[#This Row],[Inversión meta ads]]</f>
        <v>0</v>
      </c>
      <c r="Y498" s="11">
        <f>TableWeeklySummary[[#This Row],[Ventas google ads]]+TableWeeklySummary[[#This Row],[Ventas meta ads]]</f>
        <v>0</v>
      </c>
      <c r="Z498" s="14">
        <f>IFERROR(TableWeeklySummary[[#This Row],[Ventas publicidad]]/TableWeeklySummary[[#This Row],[Inversión publicidad]],0)</f>
        <v>0</v>
      </c>
      <c r="AA498" s="14">
        <f>IFERROR(TableWeeklySummary[[#This Row],[Ventas primer cliente]]/TableWeeklySummary[[#This Row],[Inversión publicidad]],0)</f>
        <v>0</v>
      </c>
      <c r="AB498" s="14"/>
      <c r="AC498" s="11"/>
      <c r="AI498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8" s="11">
        <f>SUMIFS(TableDailySummary[Costo de ventas registrado],TableDailySummary[Fecha],"&gt;="&amp;TableWeeklySummary[[#This Row],[Desde]],TableDailySummary[Fecha],"&lt;="&amp;TableWeeklySummary[[#This Row],[Hasta]])</f>
        <v>0</v>
      </c>
      <c r="AK498" s="11">
        <f>SUMIFS(TableDailySummary[Utilidad bruta],TableDailySummary[Fecha],"&gt;="&amp;TableWeeklySummary[[#This Row],[Desde]],TableDailySummary[Fecha],"&lt;="&amp;TableWeeklySummary[[#This Row],[Hasta]])</f>
        <v>0</v>
      </c>
      <c r="AL498" s="18">
        <f>IFERROR(TableWeeklySummary[[#This Row],[Utilidad bruta]]/TableWeeklySummary[[#This Row],[Ventas netas con costo registrado]],0)</f>
        <v>0</v>
      </c>
    </row>
    <row r="499" spans="2:38" x14ac:dyDescent="0.2">
      <c r="B499" s="16">
        <f>_xlfn.ISOWEEKNUM(TableWeeklySummary[[#This Row],[Hasta]])</f>
        <v>19</v>
      </c>
      <c r="C499" s="6">
        <f t="shared" si="9"/>
        <v>47970</v>
      </c>
      <c r="D499" s="6">
        <f>TableWeeklySummary[[#This Row],[Desde]]+7-1</f>
        <v>47976</v>
      </c>
      <c r="E499" s="11">
        <f>SUMIFS(TableDailySummary[Ventas netas totales],TableDailySummary[Fecha],"&gt;="&amp;TableWeeklySummary[[#This Row],[Desde]],TableDailySummary[Fecha],"&lt;="&amp;TableWeeklySummary[[#This Row],[Hasta]])</f>
        <v>0</v>
      </c>
      <c r="F499" s="11">
        <f>SUMIFS(TableDailySummary[Órdenes totales],TableDailySummary[Fecha],"&gt;="&amp;TableWeeklySummary[[#This Row],[Desde]],TableDailySummary[Fecha],"&lt;="&amp;TableWeeklySummary[[#This Row],[Hasta]])</f>
        <v>0</v>
      </c>
      <c r="G499" s="11">
        <f>IFERROR(TableWeeklySummary[[#This Row],[Ventas netas totales]]/TableWeeklySummary[[#This Row],[Órdenes totales]],0)</f>
        <v>0</v>
      </c>
      <c r="H499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499" s="11">
        <f>TableWeeklySummary[[#This Row],[Órden promedio totales]]*TableWeeklySummary[[#This Row],[CR totales]]</f>
        <v>0</v>
      </c>
      <c r="J499" s="11">
        <f>SUMIFS(TableDailySummary[Ventas primer cliente],TableDailySummary[Fecha],"&gt;="&amp;TableWeeklySummary[[#This Row],[Desde]],TableDailySummary[Fecha],"&lt;="&amp;TableWeeklySummary[[#This Row],[Hasta]])</f>
        <v>0</v>
      </c>
      <c r="K499" s="11">
        <f>SUMIFS(TableDailySummary[Órdenes primer cliente],TableDailySummary[Fecha],"&gt;="&amp;TableWeeklySummary[[#This Row],[Desde]],TableDailySummary[Fecha],"&lt;="&amp;TableWeeklySummary[[#This Row],[Hasta]])</f>
        <v>0</v>
      </c>
      <c r="L499" s="11">
        <f>SUMIFS(TableDailySummary[Online Store_net_sales],TableDailySummary[Fecha],"&gt;="&amp;TableWeeklySummary[[#This Row],[Desde]],TableDailySummary[Fecha],"&lt;="&amp;TableWeeklySummary[[#This Row],[Hasta]])</f>
        <v>0</v>
      </c>
      <c r="M499" s="11">
        <f>SUMIFS(TableDailySummary[Online Store_orders],TableDailySummary[Fecha],"&gt;="&amp;TableWeeklySummary[[#This Row],[Desde]],TableDailySummary[Fecha],"&lt;="&amp;TableWeeklySummary[[#This Row],[Hasta]])</f>
        <v>0</v>
      </c>
      <c r="N499" s="11">
        <f>SUMIFS(TableDailySummary[Tienda 81_net_sales],TableDailySummary[Fecha],"&gt;="&amp;TableWeeklySummary[[#This Row],[Desde]],TableDailySummary[Fecha],"&lt;="&amp;TableWeeklySummary[[#This Row],[Hasta]])</f>
        <v>0</v>
      </c>
      <c r="O499" s="11">
        <f>SUMIFS(TableDailySummary[Tienda 81_orders],TableDailySummary[Fecha],"&gt;="&amp;TableWeeklySummary[[#This Row],[Desde]],TableDailySummary[Fecha],"&lt;="&amp;TableWeeklySummary[[#This Row],[Hasta]])</f>
        <v>0</v>
      </c>
      <c r="P499" s="11">
        <f>SUMIFS(TableDailySummary[Rappi_net_sales],TableDailySummary[Fecha],"&gt;="&amp;TableWeeklySummary[[#This Row],[Desde]],TableDailySummary[Fecha],"&lt;="&amp;TableWeeklySummary[[#This Row],[Hasta]])</f>
        <v>0</v>
      </c>
      <c r="Q499" s="11">
        <f>SUMIFS(TableDailySummary[Rappi_orders],TableDailySummary[Fecha],"&gt;="&amp;TableWeeklySummary[[#This Row],[Desde]],TableDailySummary[Fecha],"&lt;="&amp;TableWeeklySummary[[#This Row],[Hasta]])</f>
        <v>0</v>
      </c>
      <c r="R499" s="11">
        <f>SUMIFS(TableDailySummary[Corporativo no tienda_net_sales],TableDailySummary[Fecha],"&gt;="&amp;TableWeeklySummary[[#This Row],[Desde]],TableDailySummary[Fecha],"&lt;="&amp;TableWeeklySummary[[#This Row],[Hasta]])</f>
        <v>0</v>
      </c>
      <c r="S499" s="11">
        <f>SUMIFS(TableDailySummary[Corporativo no tienda_orders],TableDailySummary[Fecha],"&gt;="&amp;TableWeeklySummary[[#This Row],[Desde]],TableDailySummary[Fecha],"&lt;="&amp;TableWeeklySummary[[#This Row],[Hasta]])</f>
        <v>0</v>
      </c>
      <c r="T499" s="11">
        <f>SUMIFS(TableDailySummary[Inversión google ads],TableDailySummary[Fecha],"&gt;="&amp;TableWeeklySummary[[#This Row],[Desde]],TableDailySummary[Fecha],"&lt;="&amp;TableWeeklySummary[[#This Row],[Hasta]])</f>
        <v>0</v>
      </c>
      <c r="U499" s="11">
        <f>SUMIFS(TableDailySummary[Ventas google ads],TableDailySummary[Fecha],"&gt;="&amp;TableWeeklySummary[[#This Row],[Desde]],TableDailySummary[Fecha],"&lt;="&amp;TableWeeklySummary[[#This Row],[Hasta]])</f>
        <v>0</v>
      </c>
      <c r="V499" s="11">
        <f>SUMIFS(TableDailySummary[Inversión meta ads],TableDailySummary[Fecha],"&gt;="&amp;TableWeeklySummary[[#This Row],[Desde]],TableDailySummary[Fecha],"&lt;="&amp;TableWeeklySummary[[#This Row],[Hasta]])</f>
        <v>0</v>
      </c>
      <c r="W499" s="11">
        <f>SUMIFS(TableDailySummary[Ventas meta ads],TableDailySummary[Fecha],"&gt;="&amp;TableWeeklySummary[[#This Row],[Desde]],TableDailySummary[Fecha],"&lt;="&amp;TableWeeklySummary[[#This Row],[Hasta]])</f>
        <v>0</v>
      </c>
      <c r="X499" s="11">
        <f>TableWeeklySummary[[#This Row],[Inversión google ads]]+TableWeeklySummary[[#This Row],[Inversión meta ads]]</f>
        <v>0</v>
      </c>
      <c r="Y499" s="11">
        <f>TableWeeklySummary[[#This Row],[Ventas google ads]]+TableWeeklySummary[[#This Row],[Ventas meta ads]]</f>
        <v>0</v>
      </c>
      <c r="Z499" s="14">
        <f>IFERROR(TableWeeklySummary[[#This Row],[Ventas publicidad]]/TableWeeklySummary[[#This Row],[Inversión publicidad]],0)</f>
        <v>0</v>
      </c>
      <c r="AA499" s="14">
        <f>IFERROR(TableWeeklySummary[[#This Row],[Ventas primer cliente]]/TableWeeklySummary[[#This Row],[Inversión publicidad]],0)</f>
        <v>0</v>
      </c>
      <c r="AB499" s="14"/>
      <c r="AC499" s="11"/>
      <c r="AI499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499" s="11">
        <f>SUMIFS(TableDailySummary[Costo de ventas registrado],TableDailySummary[Fecha],"&gt;="&amp;TableWeeklySummary[[#This Row],[Desde]],TableDailySummary[Fecha],"&lt;="&amp;TableWeeklySummary[[#This Row],[Hasta]])</f>
        <v>0</v>
      </c>
      <c r="AK499" s="11">
        <f>SUMIFS(TableDailySummary[Utilidad bruta],TableDailySummary[Fecha],"&gt;="&amp;TableWeeklySummary[[#This Row],[Desde]],TableDailySummary[Fecha],"&lt;="&amp;TableWeeklySummary[[#This Row],[Hasta]])</f>
        <v>0</v>
      </c>
      <c r="AL499" s="18">
        <f>IFERROR(TableWeeklySummary[[#This Row],[Utilidad bruta]]/TableWeeklySummary[[#This Row],[Ventas netas con costo registrado]],0)</f>
        <v>0</v>
      </c>
    </row>
    <row r="500" spans="2:38" x14ac:dyDescent="0.2">
      <c r="B500" s="16">
        <f>_xlfn.ISOWEEKNUM(TableWeeklySummary[[#This Row],[Hasta]])</f>
        <v>20</v>
      </c>
      <c r="C500" s="6">
        <f t="shared" si="9"/>
        <v>47977</v>
      </c>
      <c r="D500" s="6">
        <f>TableWeeklySummary[[#This Row],[Desde]]+7-1</f>
        <v>47983</v>
      </c>
      <c r="E500" s="11">
        <f>SUMIFS(TableDailySummary[Ventas netas totales],TableDailySummary[Fecha],"&gt;="&amp;TableWeeklySummary[[#This Row],[Desde]],TableDailySummary[Fecha],"&lt;="&amp;TableWeeklySummary[[#This Row],[Hasta]])</f>
        <v>0</v>
      </c>
      <c r="F500" s="11">
        <f>SUMIFS(TableDailySummary[Órdenes totales],TableDailySummary[Fecha],"&gt;="&amp;TableWeeklySummary[[#This Row],[Desde]],TableDailySummary[Fecha],"&lt;="&amp;TableWeeklySummary[[#This Row],[Hasta]])</f>
        <v>0</v>
      </c>
      <c r="G500" s="11">
        <f>IFERROR(TableWeeklySummary[[#This Row],[Ventas netas totales]]/TableWeeklySummary[[#This Row],[Órdenes totales]],0)</f>
        <v>0</v>
      </c>
      <c r="H500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00" s="11">
        <f>TableWeeklySummary[[#This Row],[Órden promedio totales]]*TableWeeklySummary[[#This Row],[CR totales]]</f>
        <v>0</v>
      </c>
      <c r="J500" s="11">
        <f>SUMIFS(TableDailySummary[Ventas primer cliente],TableDailySummary[Fecha],"&gt;="&amp;TableWeeklySummary[[#This Row],[Desde]],TableDailySummary[Fecha],"&lt;="&amp;TableWeeklySummary[[#This Row],[Hasta]])</f>
        <v>0</v>
      </c>
      <c r="K500" s="11">
        <f>SUMIFS(TableDailySummary[Órdenes primer cliente],TableDailySummary[Fecha],"&gt;="&amp;TableWeeklySummary[[#This Row],[Desde]],TableDailySummary[Fecha],"&lt;="&amp;TableWeeklySummary[[#This Row],[Hasta]])</f>
        <v>0</v>
      </c>
      <c r="L500" s="11">
        <f>SUMIFS(TableDailySummary[Online Store_net_sales],TableDailySummary[Fecha],"&gt;="&amp;TableWeeklySummary[[#This Row],[Desde]],TableDailySummary[Fecha],"&lt;="&amp;TableWeeklySummary[[#This Row],[Hasta]])</f>
        <v>0</v>
      </c>
      <c r="M500" s="11">
        <f>SUMIFS(TableDailySummary[Online Store_orders],TableDailySummary[Fecha],"&gt;="&amp;TableWeeklySummary[[#This Row],[Desde]],TableDailySummary[Fecha],"&lt;="&amp;TableWeeklySummary[[#This Row],[Hasta]])</f>
        <v>0</v>
      </c>
      <c r="N500" s="11">
        <f>SUMIFS(TableDailySummary[Tienda 81_net_sales],TableDailySummary[Fecha],"&gt;="&amp;TableWeeklySummary[[#This Row],[Desde]],TableDailySummary[Fecha],"&lt;="&amp;TableWeeklySummary[[#This Row],[Hasta]])</f>
        <v>0</v>
      </c>
      <c r="O500" s="11">
        <f>SUMIFS(TableDailySummary[Tienda 81_orders],TableDailySummary[Fecha],"&gt;="&amp;TableWeeklySummary[[#This Row],[Desde]],TableDailySummary[Fecha],"&lt;="&amp;TableWeeklySummary[[#This Row],[Hasta]])</f>
        <v>0</v>
      </c>
      <c r="P500" s="11">
        <f>SUMIFS(TableDailySummary[Rappi_net_sales],TableDailySummary[Fecha],"&gt;="&amp;TableWeeklySummary[[#This Row],[Desde]],TableDailySummary[Fecha],"&lt;="&amp;TableWeeklySummary[[#This Row],[Hasta]])</f>
        <v>0</v>
      </c>
      <c r="Q500" s="11">
        <f>SUMIFS(TableDailySummary[Rappi_orders],TableDailySummary[Fecha],"&gt;="&amp;TableWeeklySummary[[#This Row],[Desde]],TableDailySummary[Fecha],"&lt;="&amp;TableWeeklySummary[[#This Row],[Hasta]])</f>
        <v>0</v>
      </c>
      <c r="R500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00" s="11">
        <f>SUMIFS(TableDailySummary[Corporativo no tienda_orders],TableDailySummary[Fecha],"&gt;="&amp;TableWeeklySummary[[#This Row],[Desde]],TableDailySummary[Fecha],"&lt;="&amp;TableWeeklySummary[[#This Row],[Hasta]])</f>
        <v>0</v>
      </c>
      <c r="T500" s="11">
        <f>SUMIFS(TableDailySummary[Inversión google ads],TableDailySummary[Fecha],"&gt;="&amp;TableWeeklySummary[[#This Row],[Desde]],TableDailySummary[Fecha],"&lt;="&amp;TableWeeklySummary[[#This Row],[Hasta]])</f>
        <v>0</v>
      </c>
      <c r="U500" s="11">
        <f>SUMIFS(TableDailySummary[Ventas google ads],TableDailySummary[Fecha],"&gt;="&amp;TableWeeklySummary[[#This Row],[Desde]],TableDailySummary[Fecha],"&lt;="&amp;TableWeeklySummary[[#This Row],[Hasta]])</f>
        <v>0</v>
      </c>
      <c r="V500" s="11">
        <f>SUMIFS(TableDailySummary[Inversión meta ads],TableDailySummary[Fecha],"&gt;="&amp;TableWeeklySummary[[#This Row],[Desde]],TableDailySummary[Fecha],"&lt;="&amp;TableWeeklySummary[[#This Row],[Hasta]])</f>
        <v>0</v>
      </c>
      <c r="W500" s="11">
        <f>SUMIFS(TableDailySummary[Ventas meta ads],TableDailySummary[Fecha],"&gt;="&amp;TableWeeklySummary[[#This Row],[Desde]],TableDailySummary[Fecha],"&lt;="&amp;TableWeeklySummary[[#This Row],[Hasta]])</f>
        <v>0</v>
      </c>
      <c r="X500" s="11">
        <f>TableWeeklySummary[[#This Row],[Inversión google ads]]+TableWeeklySummary[[#This Row],[Inversión meta ads]]</f>
        <v>0</v>
      </c>
      <c r="Y500" s="11">
        <f>TableWeeklySummary[[#This Row],[Ventas google ads]]+TableWeeklySummary[[#This Row],[Ventas meta ads]]</f>
        <v>0</v>
      </c>
      <c r="Z500" s="14">
        <f>IFERROR(TableWeeklySummary[[#This Row],[Ventas publicidad]]/TableWeeklySummary[[#This Row],[Inversión publicidad]],0)</f>
        <v>0</v>
      </c>
      <c r="AA500" s="14">
        <f>IFERROR(TableWeeklySummary[[#This Row],[Ventas primer cliente]]/TableWeeklySummary[[#This Row],[Inversión publicidad]],0)</f>
        <v>0</v>
      </c>
      <c r="AB500" s="14"/>
      <c r="AC500" s="11"/>
      <c r="AI500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00" s="11">
        <f>SUMIFS(TableDailySummary[Costo de ventas registrado],TableDailySummary[Fecha],"&gt;="&amp;TableWeeklySummary[[#This Row],[Desde]],TableDailySummary[Fecha],"&lt;="&amp;TableWeeklySummary[[#This Row],[Hasta]])</f>
        <v>0</v>
      </c>
      <c r="AK500" s="11">
        <f>SUMIFS(TableDailySummary[Utilidad bruta],TableDailySummary[Fecha],"&gt;="&amp;TableWeeklySummary[[#This Row],[Desde]],TableDailySummary[Fecha],"&lt;="&amp;TableWeeklySummary[[#This Row],[Hasta]])</f>
        <v>0</v>
      </c>
      <c r="AL500" s="18">
        <f>IFERROR(TableWeeklySummary[[#This Row],[Utilidad bruta]]/TableWeeklySummary[[#This Row],[Ventas netas con costo registrado]],0)</f>
        <v>0</v>
      </c>
    </row>
    <row r="501" spans="2:38" x14ac:dyDescent="0.2">
      <c r="B501" s="16">
        <f>_xlfn.ISOWEEKNUM(TableWeeklySummary[[#This Row],[Hasta]])</f>
        <v>21</v>
      </c>
      <c r="C501" s="6">
        <f t="shared" si="9"/>
        <v>47984</v>
      </c>
      <c r="D501" s="6">
        <f>TableWeeklySummary[[#This Row],[Desde]]+7-1</f>
        <v>47990</v>
      </c>
      <c r="E501" s="11">
        <f>SUMIFS(TableDailySummary[Ventas netas totales],TableDailySummary[Fecha],"&gt;="&amp;TableWeeklySummary[[#This Row],[Desde]],TableDailySummary[Fecha],"&lt;="&amp;TableWeeklySummary[[#This Row],[Hasta]])</f>
        <v>0</v>
      </c>
      <c r="F501" s="11">
        <f>SUMIFS(TableDailySummary[Órdenes totales],TableDailySummary[Fecha],"&gt;="&amp;TableWeeklySummary[[#This Row],[Desde]],TableDailySummary[Fecha],"&lt;="&amp;TableWeeklySummary[[#This Row],[Hasta]])</f>
        <v>0</v>
      </c>
      <c r="G501" s="11">
        <f>IFERROR(TableWeeklySummary[[#This Row],[Ventas netas totales]]/TableWeeklySummary[[#This Row],[Órdenes totales]],0)</f>
        <v>0</v>
      </c>
      <c r="H501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01" s="11">
        <f>TableWeeklySummary[[#This Row],[Órden promedio totales]]*TableWeeklySummary[[#This Row],[CR totales]]</f>
        <v>0</v>
      </c>
      <c r="J501" s="11">
        <f>SUMIFS(TableDailySummary[Ventas primer cliente],TableDailySummary[Fecha],"&gt;="&amp;TableWeeklySummary[[#This Row],[Desde]],TableDailySummary[Fecha],"&lt;="&amp;TableWeeklySummary[[#This Row],[Hasta]])</f>
        <v>0</v>
      </c>
      <c r="K501" s="11">
        <f>SUMIFS(TableDailySummary[Órdenes primer cliente],TableDailySummary[Fecha],"&gt;="&amp;TableWeeklySummary[[#This Row],[Desde]],TableDailySummary[Fecha],"&lt;="&amp;TableWeeklySummary[[#This Row],[Hasta]])</f>
        <v>0</v>
      </c>
      <c r="L501" s="11">
        <f>SUMIFS(TableDailySummary[Online Store_net_sales],TableDailySummary[Fecha],"&gt;="&amp;TableWeeklySummary[[#This Row],[Desde]],TableDailySummary[Fecha],"&lt;="&amp;TableWeeklySummary[[#This Row],[Hasta]])</f>
        <v>0</v>
      </c>
      <c r="M501" s="11">
        <f>SUMIFS(TableDailySummary[Online Store_orders],TableDailySummary[Fecha],"&gt;="&amp;TableWeeklySummary[[#This Row],[Desde]],TableDailySummary[Fecha],"&lt;="&amp;TableWeeklySummary[[#This Row],[Hasta]])</f>
        <v>0</v>
      </c>
      <c r="N501" s="11">
        <f>SUMIFS(TableDailySummary[Tienda 81_net_sales],TableDailySummary[Fecha],"&gt;="&amp;TableWeeklySummary[[#This Row],[Desde]],TableDailySummary[Fecha],"&lt;="&amp;TableWeeklySummary[[#This Row],[Hasta]])</f>
        <v>0</v>
      </c>
      <c r="O501" s="11">
        <f>SUMIFS(TableDailySummary[Tienda 81_orders],TableDailySummary[Fecha],"&gt;="&amp;TableWeeklySummary[[#This Row],[Desde]],TableDailySummary[Fecha],"&lt;="&amp;TableWeeklySummary[[#This Row],[Hasta]])</f>
        <v>0</v>
      </c>
      <c r="P501" s="11">
        <f>SUMIFS(TableDailySummary[Rappi_net_sales],TableDailySummary[Fecha],"&gt;="&amp;TableWeeklySummary[[#This Row],[Desde]],TableDailySummary[Fecha],"&lt;="&amp;TableWeeklySummary[[#This Row],[Hasta]])</f>
        <v>0</v>
      </c>
      <c r="Q501" s="11">
        <f>SUMIFS(TableDailySummary[Rappi_orders],TableDailySummary[Fecha],"&gt;="&amp;TableWeeklySummary[[#This Row],[Desde]],TableDailySummary[Fecha],"&lt;="&amp;TableWeeklySummary[[#This Row],[Hasta]])</f>
        <v>0</v>
      </c>
      <c r="R501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01" s="11">
        <f>SUMIFS(TableDailySummary[Corporativo no tienda_orders],TableDailySummary[Fecha],"&gt;="&amp;TableWeeklySummary[[#This Row],[Desde]],TableDailySummary[Fecha],"&lt;="&amp;TableWeeklySummary[[#This Row],[Hasta]])</f>
        <v>0</v>
      </c>
      <c r="T501" s="11">
        <f>SUMIFS(TableDailySummary[Inversión google ads],TableDailySummary[Fecha],"&gt;="&amp;TableWeeklySummary[[#This Row],[Desde]],TableDailySummary[Fecha],"&lt;="&amp;TableWeeklySummary[[#This Row],[Hasta]])</f>
        <v>0</v>
      </c>
      <c r="U501" s="11">
        <f>SUMIFS(TableDailySummary[Ventas google ads],TableDailySummary[Fecha],"&gt;="&amp;TableWeeklySummary[[#This Row],[Desde]],TableDailySummary[Fecha],"&lt;="&amp;TableWeeklySummary[[#This Row],[Hasta]])</f>
        <v>0</v>
      </c>
      <c r="V501" s="11">
        <f>SUMIFS(TableDailySummary[Inversión meta ads],TableDailySummary[Fecha],"&gt;="&amp;TableWeeklySummary[[#This Row],[Desde]],TableDailySummary[Fecha],"&lt;="&amp;TableWeeklySummary[[#This Row],[Hasta]])</f>
        <v>0</v>
      </c>
      <c r="W501" s="11">
        <f>SUMIFS(TableDailySummary[Ventas meta ads],TableDailySummary[Fecha],"&gt;="&amp;TableWeeklySummary[[#This Row],[Desde]],TableDailySummary[Fecha],"&lt;="&amp;TableWeeklySummary[[#This Row],[Hasta]])</f>
        <v>0</v>
      </c>
      <c r="X501" s="11">
        <f>TableWeeklySummary[[#This Row],[Inversión google ads]]+TableWeeklySummary[[#This Row],[Inversión meta ads]]</f>
        <v>0</v>
      </c>
      <c r="Y501" s="11">
        <f>TableWeeklySummary[[#This Row],[Ventas google ads]]+TableWeeklySummary[[#This Row],[Ventas meta ads]]</f>
        <v>0</v>
      </c>
      <c r="Z501" s="14">
        <f>IFERROR(TableWeeklySummary[[#This Row],[Ventas publicidad]]/TableWeeklySummary[[#This Row],[Inversión publicidad]],0)</f>
        <v>0</v>
      </c>
      <c r="AA501" s="14">
        <f>IFERROR(TableWeeklySummary[[#This Row],[Ventas primer cliente]]/TableWeeklySummary[[#This Row],[Inversión publicidad]],0)</f>
        <v>0</v>
      </c>
      <c r="AB501" s="14"/>
      <c r="AC501" s="11"/>
      <c r="AI501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01" s="11">
        <f>SUMIFS(TableDailySummary[Costo de ventas registrado],TableDailySummary[Fecha],"&gt;="&amp;TableWeeklySummary[[#This Row],[Desde]],TableDailySummary[Fecha],"&lt;="&amp;TableWeeklySummary[[#This Row],[Hasta]])</f>
        <v>0</v>
      </c>
      <c r="AK501" s="11">
        <f>SUMIFS(TableDailySummary[Utilidad bruta],TableDailySummary[Fecha],"&gt;="&amp;TableWeeklySummary[[#This Row],[Desde]],TableDailySummary[Fecha],"&lt;="&amp;TableWeeklySummary[[#This Row],[Hasta]])</f>
        <v>0</v>
      </c>
      <c r="AL501" s="18">
        <f>IFERROR(TableWeeklySummary[[#This Row],[Utilidad bruta]]/TableWeeklySummary[[#This Row],[Ventas netas con costo registrado]],0)</f>
        <v>0</v>
      </c>
    </row>
    <row r="502" spans="2:38" x14ac:dyDescent="0.2">
      <c r="B502" s="16">
        <f>_xlfn.ISOWEEKNUM(TableWeeklySummary[[#This Row],[Hasta]])</f>
        <v>22</v>
      </c>
      <c r="C502" s="6">
        <f t="shared" si="9"/>
        <v>47991</v>
      </c>
      <c r="D502" s="6">
        <f>TableWeeklySummary[[#This Row],[Desde]]+7-1</f>
        <v>47997</v>
      </c>
      <c r="E502" s="11">
        <f>SUMIFS(TableDailySummary[Ventas netas totales],TableDailySummary[Fecha],"&gt;="&amp;TableWeeklySummary[[#This Row],[Desde]],TableDailySummary[Fecha],"&lt;="&amp;TableWeeklySummary[[#This Row],[Hasta]])</f>
        <v>0</v>
      </c>
      <c r="F502" s="11">
        <f>SUMIFS(TableDailySummary[Órdenes totales],TableDailySummary[Fecha],"&gt;="&amp;TableWeeklySummary[[#This Row],[Desde]],TableDailySummary[Fecha],"&lt;="&amp;TableWeeklySummary[[#This Row],[Hasta]])</f>
        <v>0</v>
      </c>
      <c r="G502" s="11">
        <f>IFERROR(TableWeeklySummary[[#This Row],[Ventas netas totales]]/TableWeeklySummary[[#This Row],[Órdenes totales]],0)</f>
        <v>0</v>
      </c>
      <c r="H502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02" s="11">
        <f>TableWeeklySummary[[#This Row],[Órden promedio totales]]*TableWeeklySummary[[#This Row],[CR totales]]</f>
        <v>0</v>
      </c>
      <c r="J502" s="11">
        <f>SUMIFS(TableDailySummary[Ventas primer cliente],TableDailySummary[Fecha],"&gt;="&amp;TableWeeklySummary[[#This Row],[Desde]],TableDailySummary[Fecha],"&lt;="&amp;TableWeeklySummary[[#This Row],[Hasta]])</f>
        <v>0</v>
      </c>
      <c r="K502" s="11">
        <f>SUMIFS(TableDailySummary[Órdenes primer cliente],TableDailySummary[Fecha],"&gt;="&amp;TableWeeklySummary[[#This Row],[Desde]],TableDailySummary[Fecha],"&lt;="&amp;TableWeeklySummary[[#This Row],[Hasta]])</f>
        <v>0</v>
      </c>
      <c r="L502" s="11">
        <f>SUMIFS(TableDailySummary[Online Store_net_sales],TableDailySummary[Fecha],"&gt;="&amp;TableWeeklySummary[[#This Row],[Desde]],TableDailySummary[Fecha],"&lt;="&amp;TableWeeklySummary[[#This Row],[Hasta]])</f>
        <v>0</v>
      </c>
      <c r="M502" s="11">
        <f>SUMIFS(TableDailySummary[Online Store_orders],TableDailySummary[Fecha],"&gt;="&amp;TableWeeklySummary[[#This Row],[Desde]],TableDailySummary[Fecha],"&lt;="&amp;TableWeeklySummary[[#This Row],[Hasta]])</f>
        <v>0</v>
      </c>
      <c r="N502" s="11">
        <f>SUMIFS(TableDailySummary[Tienda 81_net_sales],TableDailySummary[Fecha],"&gt;="&amp;TableWeeklySummary[[#This Row],[Desde]],TableDailySummary[Fecha],"&lt;="&amp;TableWeeklySummary[[#This Row],[Hasta]])</f>
        <v>0</v>
      </c>
      <c r="O502" s="11">
        <f>SUMIFS(TableDailySummary[Tienda 81_orders],TableDailySummary[Fecha],"&gt;="&amp;TableWeeklySummary[[#This Row],[Desde]],TableDailySummary[Fecha],"&lt;="&amp;TableWeeklySummary[[#This Row],[Hasta]])</f>
        <v>0</v>
      </c>
      <c r="P502" s="11">
        <f>SUMIFS(TableDailySummary[Rappi_net_sales],TableDailySummary[Fecha],"&gt;="&amp;TableWeeklySummary[[#This Row],[Desde]],TableDailySummary[Fecha],"&lt;="&amp;TableWeeklySummary[[#This Row],[Hasta]])</f>
        <v>0</v>
      </c>
      <c r="Q502" s="11">
        <f>SUMIFS(TableDailySummary[Rappi_orders],TableDailySummary[Fecha],"&gt;="&amp;TableWeeklySummary[[#This Row],[Desde]],TableDailySummary[Fecha],"&lt;="&amp;TableWeeklySummary[[#This Row],[Hasta]])</f>
        <v>0</v>
      </c>
      <c r="R502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02" s="11">
        <f>SUMIFS(TableDailySummary[Corporativo no tienda_orders],TableDailySummary[Fecha],"&gt;="&amp;TableWeeklySummary[[#This Row],[Desde]],TableDailySummary[Fecha],"&lt;="&amp;TableWeeklySummary[[#This Row],[Hasta]])</f>
        <v>0</v>
      </c>
      <c r="T502" s="11">
        <f>SUMIFS(TableDailySummary[Inversión google ads],TableDailySummary[Fecha],"&gt;="&amp;TableWeeklySummary[[#This Row],[Desde]],TableDailySummary[Fecha],"&lt;="&amp;TableWeeklySummary[[#This Row],[Hasta]])</f>
        <v>0</v>
      </c>
      <c r="U502" s="11">
        <f>SUMIFS(TableDailySummary[Ventas google ads],TableDailySummary[Fecha],"&gt;="&amp;TableWeeklySummary[[#This Row],[Desde]],TableDailySummary[Fecha],"&lt;="&amp;TableWeeklySummary[[#This Row],[Hasta]])</f>
        <v>0</v>
      </c>
      <c r="V502" s="11">
        <f>SUMIFS(TableDailySummary[Inversión meta ads],TableDailySummary[Fecha],"&gt;="&amp;TableWeeklySummary[[#This Row],[Desde]],TableDailySummary[Fecha],"&lt;="&amp;TableWeeklySummary[[#This Row],[Hasta]])</f>
        <v>0</v>
      </c>
      <c r="W502" s="11">
        <f>SUMIFS(TableDailySummary[Ventas meta ads],TableDailySummary[Fecha],"&gt;="&amp;TableWeeklySummary[[#This Row],[Desde]],TableDailySummary[Fecha],"&lt;="&amp;TableWeeklySummary[[#This Row],[Hasta]])</f>
        <v>0</v>
      </c>
      <c r="X502" s="11">
        <f>TableWeeklySummary[[#This Row],[Inversión google ads]]+TableWeeklySummary[[#This Row],[Inversión meta ads]]</f>
        <v>0</v>
      </c>
      <c r="Y502" s="11">
        <f>TableWeeklySummary[[#This Row],[Ventas google ads]]+TableWeeklySummary[[#This Row],[Ventas meta ads]]</f>
        <v>0</v>
      </c>
      <c r="Z502" s="14">
        <f>IFERROR(TableWeeklySummary[[#This Row],[Ventas publicidad]]/TableWeeklySummary[[#This Row],[Inversión publicidad]],0)</f>
        <v>0</v>
      </c>
      <c r="AA502" s="14">
        <f>IFERROR(TableWeeklySummary[[#This Row],[Ventas primer cliente]]/TableWeeklySummary[[#This Row],[Inversión publicidad]],0)</f>
        <v>0</v>
      </c>
      <c r="AB502" s="14"/>
      <c r="AC502" s="11"/>
      <c r="AI502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02" s="11">
        <f>SUMIFS(TableDailySummary[Costo de ventas registrado],TableDailySummary[Fecha],"&gt;="&amp;TableWeeklySummary[[#This Row],[Desde]],TableDailySummary[Fecha],"&lt;="&amp;TableWeeklySummary[[#This Row],[Hasta]])</f>
        <v>0</v>
      </c>
      <c r="AK502" s="11">
        <f>SUMIFS(TableDailySummary[Utilidad bruta],TableDailySummary[Fecha],"&gt;="&amp;TableWeeklySummary[[#This Row],[Desde]],TableDailySummary[Fecha],"&lt;="&amp;TableWeeklySummary[[#This Row],[Hasta]])</f>
        <v>0</v>
      </c>
      <c r="AL502" s="18">
        <f>IFERROR(TableWeeklySummary[[#This Row],[Utilidad bruta]]/TableWeeklySummary[[#This Row],[Ventas netas con costo registrado]],0)</f>
        <v>0</v>
      </c>
    </row>
    <row r="503" spans="2:38" x14ac:dyDescent="0.2">
      <c r="B503" s="16">
        <f>_xlfn.ISOWEEKNUM(TableWeeklySummary[[#This Row],[Hasta]])</f>
        <v>23</v>
      </c>
      <c r="C503" s="6">
        <f t="shared" si="9"/>
        <v>47998</v>
      </c>
      <c r="D503" s="6">
        <f>TableWeeklySummary[[#This Row],[Desde]]+7-1</f>
        <v>48004</v>
      </c>
      <c r="E503" s="11">
        <f>SUMIFS(TableDailySummary[Ventas netas totales],TableDailySummary[Fecha],"&gt;="&amp;TableWeeklySummary[[#This Row],[Desde]],TableDailySummary[Fecha],"&lt;="&amp;TableWeeklySummary[[#This Row],[Hasta]])</f>
        <v>0</v>
      </c>
      <c r="F503" s="11">
        <f>SUMIFS(TableDailySummary[Órdenes totales],TableDailySummary[Fecha],"&gt;="&amp;TableWeeklySummary[[#This Row],[Desde]],TableDailySummary[Fecha],"&lt;="&amp;TableWeeklySummary[[#This Row],[Hasta]])</f>
        <v>0</v>
      </c>
      <c r="G503" s="11">
        <f>IFERROR(TableWeeklySummary[[#This Row],[Ventas netas totales]]/TableWeeklySummary[[#This Row],[Órdenes totales]],0)</f>
        <v>0</v>
      </c>
      <c r="H503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03" s="11">
        <f>TableWeeklySummary[[#This Row],[Órden promedio totales]]*TableWeeklySummary[[#This Row],[CR totales]]</f>
        <v>0</v>
      </c>
      <c r="J503" s="11">
        <f>SUMIFS(TableDailySummary[Ventas primer cliente],TableDailySummary[Fecha],"&gt;="&amp;TableWeeklySummary[[#This Row],[Desde]],TableDailySummary[Fecha],"&lt;="&amp;TableWeeklySummary[[#This Row],[Hasta]])</f>
        <v>0</v>
      </c>
      <c r="K503" s="11">
        <f>SUMIFS(TableDailySummary[Órdenes primer cliente],TableDailySummary[Fecha],"&gt;="&amp;TableWeeklySummary[[#This Row],[Desde]],TableDailySummary[Fecha],"&lt;="&amp;TableWeeklySummary[[#This Row],[Hasta]])</f>
        <v>0</v>
      </c>
      <c r="L503" s="11">
        <f>SUMIFS(TableDailySummary[Online Store_net_sales],TableDailySummary[Fecha],"&gt;="&amp;TableWeeklySummary[[#This Row],[Desde]],TableDailySummary[Fecha],"&lt;="&amp;TableWeeklySummary[[#This Row],[Hasta]])</f>
        <v>0</v>
      </c>
      <c r="M503" s="11">
        <f>SUMIFS(TableDailySummary[Online Store_orders],TableDailySummary[Fecha],"&gt;="&amp;TableWeeklySummary[[#This Row],[Desde]],TableDailySummary[Fecha],"&lt;="&amp;TableWeeklySummary[[#This Row],[Hasta]])</f>
        <v>0</v>
      </c>
      <c r="N503" s="11">
        <f>SUMIFS(TableDailySummary[Tienda 81_net_sales],TableDailySummary[Fecha],"&gt;="&amp;TableWeeklySummary[[#This Row],[Desde]],TableDailySummary[Fecha],"&lt;="&amp;TableWeeklySummary[[#This Row],[Hasta]])</f>
        <v>0</v>
      </c>
      <c r="O503" s="11">
        <f>SUMIFS(TableDailySummary[Tienda 81_orders],TableDailySummary[Fecha],"&gt;="&amp;TableWeeklySummary[[#This Row],[Desde]],TableDailySummary[Fecha],"&lt;="&amp;TableWeeklySummary[[#This Row],[Hasta]])</f>
        <v>0</v>
      </c>
      <c r="P503" s="11">
        <f>SUMIFS(TableDailySummary[Rappi_net_sales],TableDailySummary[Fecha],"&gt;="&amp;TableWeeklySummary[[#This Row],[Desde]],TableDailySummary[Fecha],"&lt;="&amp;TableWeeklySummary[[#This Row],[Hasta]])</f>
        <v>0</v>
      </c>
      <c r="Q503" s="11">
        <f>SUMIFS(TableDailySummary[Rappi_orders],TableDailySummary[Fecha],"&gt;="&amp;TableWeeklySummary[[#This Row],[Desde]],TableDailySummary[Fecha],"&lt;="&amp;TableWeeklySummary[[#This Row],[Hasta]])</f>
        <v>0</v>
      </c>
      <c r="R503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03" s="11">
        <f>SUMIFS(TableDailySummary[Corporativo no tienda_orders],TableDailySummary[Fecha],"&gt;="&amp;TableWeeklySummary[[#This Row],[Desde]],TableDailySummary[Fecha],"&lt;="&amp;TableWeeklySummary[[#This Row],[Hasta]])</f>
        <v>0</v>
      </c>
      <c r="T503" s="11">
        <f>SUMIFS(TableDailySummary[Inversión google ads],TableDailySummary[Fecha],"&gt;="&amp;TableWeeklySummary[[#This Row],[Desde]],TableDailySummary[Fecha],"&lt;="&amp;TableWeeklySummary[[#This Row],[Hasta]])</f>
        <v>0</v>
      </c>
      <c r="U503" s="11">
        <f>SUMIFS(TableDailySummary[Ventas google ads],TableDailySummary[Fecha],"&gt;="&amp;TableWeeklySummary[[#This Row],[Desde]],TableDailySummary[Fecha],"&lt;="&amp;TableWeeklySummary[[#This Row],[Hasta]])</f>
        <v>0</v>
      </c>
      <c r="V503" s="11">
        <f>SUMIFS(TableDailySummary[Inversión meta ads],TableDailySummary[Fecha],"&gt;="&amp;TableWeeklySummary[[#This Row],[Desde]],TableDailySummary[Fecha],"&lt;="&amp;TableWeeklySummary[[#This Row],[Hasta]])</f>
        <v>0</v>
      </c>
      <c r="W503" s="11">
        <f>SUMIFS(TableDailySummary[Ventas meta ads],TableDailySummary[Fecha],"&gt;="&amp;TableWeeklySummary[[#This Row],[Desde]],TableDailySummary[Fecha],"&lt;="&amp;TableWeeklySummary[[#This Row],[Hasta]])</f>
        <v>0</v>
      </c>
      <c r="X503" s="11">
        <f>TableWeeklySummary[[#This Row],[Inversión google ads]]+TableWeeklySummary[[#This Row],[Inversión meta ads]]</f>
        <v>0</v>
      </c>
      <c r="Y503" s="11">
        <f>TableWeeklySummary[[#This Row],[Ventas google ads]]+TableWeeklySummary[[#This Row],[Ventas meta ads]]</f>
        <v>0</v>
      </c>
      <c r="Z503" s="14">
        <f>IFERROR(TableWeeklySummary[[#This Row],[Ventas publicidad]]/TableWeeklySummary[[#This Row],[Inversión publicidad]],0)</f>
        <v>0</v>
      </c>
      <c r="AA503" s="14">
        <f>IFERROR(TableWeeklySummary[[#This Row],[Ventas primer cliente]]/TableWeeklySummary[[#This Row],[Inversión publicidad]],0)</f>
        <v>0</v>
      </c>
      <c r="AB503" s="14"/>
      <c r="AC503" s="11"/>
      <c r="AI503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03" s="11">
        <f>SUMIFS(TableDailySummary[Costo de ventas registrado],TableDailySummary[Fecha],"&gt;="&amp;TableWeeklySummary[[#This Row],[Desde]],TableDailySummary[Fecha],"&lt;="&amp;TableWeeklySummary[[#This Row],[Hasta]])</f>
        <v>0</v>
      </c>
      <c r="AK503" s="11">
        <f>SUMIFS(TableDailySummary[Utilidad bruta],TableDailySummary[Fecha],"&gt;="&amp;TableWeeklySummary[[#This Row],[Desde]],TableDailySummary[Fecha],"&lt;="&amp;TableWeeklySummary[[#This Row],[Hasta]])</f>
        <v>0</v>
      </c>
      <c r="AL503" s="18">
        <f>IFERROR(TableWeeklySummary[[#This Row],[Utilidad bruta]]/TableWeeklySummary[[#This Row],[Ventas netas con costo registrado]],0)</f>
        <v>0</v>
      </c>
    </row>
    <row r="504" spans="2:38" x14ac:dyDescent="0.2">
      <c r="B504" s="16">
        <f>_xlfn.ISOWEEKNUM(TableWeeklySummary[[#This Row],[Hasta]])</f>
        <v>24</v>
      </c>
      <c r="C504" s="6">
        <f t="shared" si="9"/>
        <v>48005</v>
      </c>
      <c r="D504" s="6">
        <f>TableWeeklySummary[[#This Row],[Desde]]+7-1</f>
        <v>48011</v>
      </c>
      <c r="E504" s="11">
        <f>SUMIFS(TableDailySummary[Ventas netas totales],TableDailySummary[Fecha],"&gt;="&amp;TableWeeklySummary[[#This Row],[Desde]],TableDailySummary[Fecha],"&lt;="&amp;TableWeeklySummary[[#This Row],[Hasta]])</f>
        <v>0</v>
      </c>
      <c r="F504" s="11">
        <f>SUMIFS(TableDailySummary[Órdenes totales],TableDailySummary[Fecha],"&gt;="&amp;TableWeeklySummary[[#This Row],[Desde]],TableDailySummary[Fecha],"&lt;="&amp;TableWeeklySummary[[#This Row],[Hasta]])</f>
        <v>0</v>
      </c>
      <c r="G504" s="11">
        <f>IFERROR(TableWeeklySummary[[#This Row],[Ventas netas totales]]/TableWeeklySummary[[#This Row],[Órdenes totales]],0)</f>
        <v>0</v>
      </c>
      <c r="H504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04" s="11">
        <f>TableWeeklySummary[[#This Row],[Órden promedio totales]]*TableWeeklySummary[[#This Row],[CR totales]]</f>
        <v>0</v>
      </c>
      <c r="J504" s="11">
        <f>SUMIFS(TableDailySummary[Ventas primer cliente],TableDailySummary[Fecha],"&gt;="&amp;TableWeeklySummary[[#This Row],[Desde]],TableDailySummary[Fecha],"&lt;="&amp;TableWeeklySummary[[#This Row],[Hasta]])</f>
        <v>0</v>
      </c>
      <c r="K504" s="11">
        <f>SUMIFS(TableDailySummary[Órdenes primer cliente],TableDailySummary[Fecha],"&gt;="&amp;TableWeeklySummary[[#This Row],[Desde]],TableDailySummary[Fecha],"&lt;="&amp;TableWeeklySummary[[#This Row],[Hasta]])</f>
        <v>0</v>
      </c>
      <c r="L504" s="11">
        <f>SUMIFS(TableDailySummary[Online Store_net_sales],TableDailySummary[Fecha],"&gt;="&amp;TableWeeklySummary[[#This Row],[Desde]],TableDailySummary[Fecha],"&lt;="&amp;TableWeeklySummary[[#This Row],[Hasta]])</f>
        <v>0</v>
      </c>
      <c r="M504" s="11">
        <f>SUMIFS(TableDailySummary[Online Store_orders],TableDailySummary[Fecha],"&gt;="&amp;TableWeeklySummary[[#This Row],[Desde]],TableDailySummary[Fecha],"&lt;="&amp;TableWeeklySummary[[#This Row],[Hasta]])</f>
        <v>0</v>
      </c>
      <c r="N504" s="11">
        <f>SUMIFS(TableDailySummary[Tienda 81_net_sales],TableDailySummary[Fecha],"&gt;="&amp;TableWeeklySummary[[#This Row],[Desde]],TableDailySummary[Fecha],"&lt;="&amp;TableWeeklySummary[[#This Row],[Hasta]])</f>
        <v>0</v>
      </c>
      <c r="O504" s="11">
        <f>SUMIFS(TableDailySummary[Tienda 81_orders],TableDailySummary[Fecha],"&gt;="&amp;TableWeeklySummary[[#This Row],[Desde]],TableDailySummary[Fecha],"&lt;="&amp;TableWeeklySummary[[#This Row],[Hasta]])</f>
        <v>0</v>
      </c>
      <c r="P504" s="11">
        <f>SUMIFS(TableDailySummary[Rappi_net_sales],TableDailySummary[Fecha],"&gt;="&amp;TableWeeklySummary[[#This Row],[Desde]],TableDailySummary[Fecha],"&lt;="&amp;TableWeeklySummary[[#This Row],[Hasta]])</f>
        <v>0</v>
      </c>
      <c r="Q504" s="11">
        <f>SUMIFS(TableDailySummary[Rappi_orders],TableDailySummary[Fecha],"&gt;="&amp;TableWeeklySummary[[#This Row],[Desde]],TableDailySummary[Fecha],"&lt;="&amp;TableWeeklySummary[[#This Row],[Hasta]])</f>
        <v>0</v>
      </c>
      <c r="R504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04" s="11">
        <f>SUMIFS(TableDailySummary[Corporativo no tienda_orders],TableDailySummary[Fecha],"&gt;="&amp;TableWeeklySummary[[#This Row],[Desde]],TableDailySummary[Fecha],"&lt;="&amp;TableWeeklySummary[[#This Row],[Hasta]])</f>
        <v>0</v>
      </c>
      <c r="T504" s="11">
        <f>SUMIFS(TableDailySummary[Inversión google ads],TableDailySummary[Fecha],"&gt;="&amp;TableWeeklySummary[[#This Row],[Desde]],TableDailySummary[Fecha],"&lt;="&amp;TableWeeklySummary[[#This Row],[Hasta]])</f>
        <v>0</v>
      </c>
      <c r="U504" s="11">
        <f>SUMIFS(TableDailySummary[Ventas google ads],TableDailySummary[Fecha],"&gt;="&amp;TableWeeklySummary[[#This Row],[Desde]],TableDailySummary[Fecha],"&lt;="&amp;TableWeeklySummary[[#This Row],[Hasta]])</f>
        <v>0</v>
      </c>
      <c r="V504" s="11">
        <f>SUMIFS(TableDailySummary[Inversión meta ads],TableDailySummary[Fecha],"&gt;="&amp;TableWeeklySummary[[#This Row],[Desde]],TableDailySummary[Fecha],"&lt;="&amp;TableWeeklySummary[[#This Row],[Hasta]])</f>
        <v>0</v>
      </c>
      <c r="W504" s="11">
        <f>SUMIFS(TableDailySummary[Ventas meta ads],TableDailySummary[Fecha],"&gt;="&amp;TableWeeklySummary[[#This Row],[Desde]],TableDailySummary[Fecha],"&lt;="&amp;TableWeeklySummary[[#This Row],[Hasta]])</f>
        <v>0</v>
      </c>
      <c r="X504" s="11">
        <f>TableWeeklySummary[[#This Row],[Inversión google ads]]+TableWeeklySummary[[#This Row],[Inversión meta ads]]</f>
        <v>0</v>
      </c>
      <c r="Y504" s="11">
        <f>TableWeeklySummary[[#This Row],[Ventas google ads]]+TableWeeklySummary[[#This Row],[Ventas meta ads]]</f>
        <v>0</v>
      </c>
      <c r="Z504" s="14">
        <f>IFERROR(TableWeeklySummary[[#This Row],[Ventas publicidad]]/TableWeeklySummary[[#This Row],[Inversión publicidad]],0)</f>
        <v>0</v>
      </c>
      <c r="AA504" s="14">
        <f>IFERROR(TableWeeklySummary[[#This Row],[Ventas primer cliente]]/TableWeeklySummary[[#This Row],[Inversión publicidad]],0)</f>
        <v>0</v>
      </c>
      <c r="AB504" s="14"/>
      <c r="AC504" s="11"/>
      <c r="AI504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04" s="11">
        <f>SUMIFS(TableDailySummary[Costo de ventas registrado],TableDailySummary[Fecha],"&gt;="&amp;TableWeeklySummary[[#This Row],[Desde]],TableDailySummary[Fecha],"&lt;="&amp;TableWeeklySummary[[#This Row],[Hasta]])</f>
        <v>0</v>
      </c>
      <c r="AK504" s="11">
        <f>SUMIFS(TableDailySummary[Utilidad bruta],TableDailySummary[Fecha],"&gt;="&amp;TableWeeklySummary[[#This Row],[Desde]],TableDailySummary[Fecha],"&lt;="&amp;TableWeeklySummary[[#This Row],[Hasta]])</f>
        <v>0</v>
      </c>
      <c r="AL504" s="18">
        <f>IFERROR(TableWeeklySummary[[#This Row],[Utilidad bruta]]/TableWeeklySummary[[#This Row],[Ventas netas con costo registrado]],0)</f>
        <v>0</v>
      </c>
    </row>
    <row r="505" spans="2:38" x14ac:dyDescent="0.2">
      <c r="B505" s="16">
        <f>_xlfn.ISOWEEKNUM(TableWeeklySummary[[#This Row],[Hasta]])</f>
        <v>25</v>
      </c>
      <c r="C505" s="6">
        <f t="shared" si="9"/>
        <v>48012</v>
      </c>
      <c r="D505" s="6">
        <f>TableWeeklySummary[[#This Row],[Desde]]+7-1</f>
        <v>48018</v>
      </c>
      <c r="E505" s="11">
        <f>SUMIFS(TableDailySummary[Ventas netas totales],TableDailySummary[Fecha],"&gt;="&amp;TableWeeklySummary[[#This Row],[Desde]],TableDailySummary[Fecha],"&lt;="&amp;TableWeeklySummary[[#This Row],[Hasta]])</f>
        <v>0</v>
      </c>
      <c r="F505" s="11">
        <f>SUMIFS(TableDailySummary[Órdenes totales],TableDailySummary[Fecha],"&gt;="&amp;TableWeeklySummary[[#This Row],[Desde]],TableDailySummary[Fecha],"&lt;="&amp;TableWeeklySummary[[#This Row],[Hasta]])</f>
        <v>0</v>
      </c>
      <c r="G505" s="11">
        <f>IFERROR(TableWeeklySummary[[#This Row],[Ventas netas totales]]/TableWeeklySummary[[#This Row],[Órdenes totales]],0)</f>
        <v>0</v>
      </c>
      <c r="H505" s="24">
        <f>IFERROR(SUMIFS(ConversionRateByReferral[sessions_that_completed_checkout],ConversionRateByReferral[referrer_source],"Total site",ConversionRateByReferral[day],"&gt;="&amp;TableWeeklySummary[[#This Row],[Desde]],ConversionRateByReferral[day],"&lt;="&amp;TableWeeklySummary[[#This Row],[Hasta]]) /
SUMIFS(ConversionRateByReferral[sessions],ConversionRateByReferral[referrer_source],"Total site",ConversionRateByReferral[day],"&gt;="&amp;TableWeeklySummary[[#This Row],[Desde]],ConversionRateByReferral[day],"&lt;="&amp;TableWeeklySummary[[#This Row],[Hasta]]),0)</f>
        <v>0</v>
      </c>
      <c r="I505" s="11">
        <f>TableWeeklySummary[[#This Row],[Órden promedio totales]]*TableWeeklySummary[[#This Row],[CR totales]]</f>
        <v>0</v>
      </c>
      <c r="J505" s="11">
        <f>SUMIFS(TableDailySummary[Ventas primer cliente],TableDailySummary[Fecha],"&gt;="&amp;TableWeeklySummary[[#This Row],[Desde]],TableDailySummary[Fecha],"&lt;="&amp;TableWeeklySummary[[#This Row],[Hasta]])</f>
        <v>0</v>
      </c>
      <c r="K505" s="11">
        <f>SUMIFS(TableDailySummary[Órdenes primer cliente],TableDailySummary[Fecha],"&gt;="&amp;TableWeeklySummary[[#This Row],[Desde]],TableDailySummary[Fecha],"&lt;="&amp;TableWeeklySummary[[#This Row],[Hasta]])</f>
        <v>0</v>
      </c>
      <c r="L505" s="11">
        <f>SUMIFS(TableDailySummary[Online Store_net_sales],TableDailySummary[Fecha],"&gt;="&amp;TableWeeklySummary[[#This Row],[Desde]],TableDailySummary[Fecha],"&lt;="&amp;TableWeeklySummary[[#This Row],[Hasta]])</f>
        <v>0</v>
      </c>
      <c r="M505" s="11">
        <f>SUMIFS(TableDailySummary[Online Store_orders],TableDailySummary[Fecha],"&gt;="&amp;TableWeeklySummary[[#This Row],[Desde]],TableDailySummary[Fecha],"&lt;="&amp;TableWeeklySummary[[#This Row],[Hasta]])</f>
        <v>0</v>
      </c>
      <c r="N505" s="11">
        <f>SUMIFS(TableDailySummary[Tienda 81_net_sales],TableDailySummary[Fecha],"&gt;="&amp;TableWeeklySummary[[#This Row],[Desde]],TableDailySummary[Fecha],"&lt;="&amp;TableWeeklySummary[[#This Row],[Hasta]])</f>
        <v>0</v>
      </c>
      <c r="O505" s="11">
        <f>SUMIFS(TableDailySummary[Tienda 81_orders],TableDailySummary[Fecha],"&gt;="&amp;TableWeeklySummary[[#This Row],[Desde]],TableDailySummary[Fecha],"&lt;="&amp;TableWeeklySummary[[#This Row],[Hasta]])</f>
        <v>0</v>
      </c>
      <c r="P505" s="11">
        <f>SUMIFS(TableDailySummary[Rappi_net_sales],TableDailySummary[Fecha],"&gt;="&amp;TableWeeklySummary[[#This Row],[Desde]],TableDailySummary[Fecha],"&lt;="&amp;TableWeeklySummary[[#This Row],[Hasta]])</f>
        <v>0</v>
      </c>
      <c r="Q505" s="11">
        <f>SUMIFS(TableDailySummary[Rappi_orders],TableDailySummary[Fecha],"&gt;="&amp;TableWeeklySummary[[#This Row],[Desde]],TableDailySummary[Fecha],"&lt;="&amp;TableWeeklySummary[[#This Row],[Hasta]])</f>
        <v>0</v>
      </c>
      <c r="R505" s="11">
        <f>SUMIFS(TableDailySummary[Corporativo no tienda_net_sales],TableDailySummary[Fecha],"&gt;="&amp;TableWeeklySummary[[#This Row],[Desde]],TableDailySummary[Fecha],"&lt;="&amp;TableWeeklySummary[[#This Row],[Hasta]])</f>
        <v>0</v>
      </c>
      <c r="S505" s="11">
        <f>SUMIFS(TableDailySummary[Corporativo no tienda_orders],TableDailySummary[Fecha],"&gt;="&amp;TableWeeklySummary[[#This Row],[Desde]],TableDailySummary[Fecha],"&lt;="&amp;TableWeeklySummary[[#This Row],[Hasta]])</f>
        <v>0</v>
      </c>
      <c r="T505" s="11">
        <f>SUMIFS(TableDailySummary[Inversión google ads],TableDailySummary[Fecha],"&gt;="&amp;TableWeeklySummary[[#This Row],[Desde]],TableDailySummary[Fecha],"&lt;="&amp;TableWeeklySummary[[#This Row],[Hasta]])</f>
        <v>0</v>
      </c>
      <c r="U505" s="11">
        <f>SUMIFS(TableDailySummary[Ventas google ads],TableDailySummary[Fecha],"&gt;="&amp;TableWeeklySummary[[#This Row],[Desde]],TableDailySummary[Fecha],"&lt;="&amp;TableWeeklySummary[[#This Row],[Hasta]])</f>
        <v>0</v>
      </c>
      <c r="V505" s="11">
        <f>SUMIFS(TableDailySummary[Inversión meta ads],TableDailySummary[Fecha],"&gt;="&amp;TableWeeklySummary[[#This Row],[Desde]],TableDailySummary[Fecha],"&lt;="&amp;TableWeeklySummary[[#This Row],[Hasta]])</f>
        <v>0</v>
      </c>
      <c r="W505" s="11">
        <f>SUMIFS(TableDailySummary[Ventas meta ads],TableDailySummary[Fecha],"&gt;="&amp;TableWeeklySummary[[#This Row],[Desde]],TableDailySummary[Fecha],"&lt;="&amp;TableWeeklySummary[[#This Row],[Hasta]])</f>
        <v>0</v>
      </c>
      <c r="X505" s="11">
        <f>TableWeeklySummary[[#This Row],[Inversión google ads]]+TableWeeklySummary[[#This Row],[Inversión meta ads]]</f>
        <v>0</v>
      </c>
      <c r="Y505" s="11">
        <f>TableWeeklySummary[[#This Row],[Ventas google ads]]+TableWeeklySummary[[#This Row],[Ventas meta ads]]</f>
        <v>0</v>
      </c>
      <c r="Z505" s="14">
        <f>IFERROR(TableWeeklySummary[[#This Row],[Ventas publicidad]]/TableWeeklySummary[[#This Row],[Inversión publicidad]],0)</f>
        <v>0</v>
      </c>
      <c r="AA505" s="14">
        <f>IFERROR(TableWeeklySummary[[#This Row],[Ventas primer cliente]]/TableWeeklySummary[[#This Row],[Inversión publicidad]],0)</f>
        <v>0</v>
      </c>
      <c r="AB505" s="14"/>
      <c r="AC505" s="11"/>
      <c r="AI505" s="11">
        <f>SUMIFS(TableDailySummary[Ventas netas con costo registrado],TableDailySummary[Fecha],"&gt;="&amp;TableWeeklySummary[[#This Row],[Desde]],TableDailySummary[Fecha],"&lt;="&amp;TableWeeklySummary[[#This Row],[Hasta]])</f>
        <v>0</v>
      </c>
      <c r="AJ505" s="11">
        <f>SUMIFS(TableDailySummary[Costo de ventas registrado],TableDailySummary[Fecha],"&gt;="&amp;TableWeeklySummary[[#This Row],[Desde]],TableDailySummary[Fecha],"&lt;="&amp;TableWeeklySummary[[#This Row],[Hasta]])</f>
        <v>0</v>
      </c>
      <c r="AK505" s="11">
        <f>SUMIFS(TableDailySummary[Utilidad bruta],TableDailySummary[Fecha],"&gt;="&amp;TableWeeklySummary[[#This Row],[Desde]],TableDailySummary[Fecha],"&lt;="&amp;TableWeeklySummary[[#This Row],[Hasta]])</f>
        <v>0</v>
      </c>
      <c r="AL505" s="18">
        <f>IFERROR(TableWeeklySummary[[#This Row],[Utilidad bruta]]/TableWeeklySummary[[#This Row],[Ventas netas con costo registrado]],0)</f>
        <v>0</v>
      </c>
    </row>
  </sheetData>
  <phoneticPr fontId="49" type="noConversion"/>
  <pageMargins left="0.7" right="0.7" top="0.75" bottom="0.75" header="0.3" footer="0.3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DF3E-80F8-42CA-BB35-F0AA836A58E3}">
  <dimension ref="B3:AP1005"/>
  <sheetViews>
    <sheetView showGridLines="0" topLeftCell="V1" zoomScaleNormal="100" workbookViewId="0">
      <selection activeCell="X11" sqref="X11"/>
    </sheetView>
  </sheetViews>
  <sheetFormatPr defaultRowHeight="12" outlineLevelRow="1" outlineLevelCol="1" x14ac:dyDescent="0.2"/>
  <cols>
    <col min="1" max="1" width="3.83203125" customWidth="1"/>
    <col min="2" max="2" width="12.1640625" customWidth="1"/>
    <col min="3" max="3" width="11.83203125" bestFit="1" customWidth="1"/>
    <col min="4" max="11" width="12" customWidth="1"/>
    <col min="12" max="23" width="11.83203125" customWidth="1" outlineLevel="1"/>
    <col min="24" max="29" width="12" customWidth="1"/>
    <col min="30" max="31" width="12.5" customWidth="1"/>
    <col min="32" max="32" width="12" customWidth="1"/>
    <col min="33" max="33" width="26.6640625" customWidth="1"/>
    <col min="34" max="34" width="26.5" customWidth="1"/>
    <col min="39" max="41" width="12" customWidth="1"/>
    <col min="43" max="43" width="23.1640625" customWidth="1"/>
    <col min="44" max="44" width="13" customWidth="1"/>
    <col min="45" max="45" width="13.83203125" customWidth="1"/>
    <col min="47" max="49" width="11.5" bestFit="1" customWidth="1"/>
  </cols>
  <sheetData>
    <row r="3" spans="2:42" ht="15" x14ac:dyDescent="0.2">
      <c r="B3" s="8" t="s">
        <v>32</v>
      </c>
    </row>
    <row r="5" spans="2:42" x14ac:dyDescent="0.2">
      <c r="D5" s="2" t="s">
        <v>2</v>
      </c>
      <c r="E5" s="2"/>
      <c r="F5" s="2"/>
      <c r="G5" s="2"/>
      <c r="H5" s="2"/>
      <c r="I5" s="3" t="s">
        <v>5</v>
      </c>
      <c r="J5" s="3"/>
      <c r="K5" s="3"/>
      <c r="L5" s="22" t="s">
        <v>121</v>
      </c>
      <c r="M5" s="22"/>
      <c r="N5" s="22"/>
      <c r="O5" s="21" t="s">
        <v>109</v>
      </c>
      <c r="P5" s="21"/>
      <c r="Q5" s="21"/>
      <c r="R5" s="20" t="s">
        <v>110</v>
      </c>
      <c r="S5" s="20"/>
      <c r="T5" s="20"/>
      <c r="U5" s="19" t="s">
        <v>108</v>
      </c>
      <c r="V5" s="19"/>
      <c r="W5" s="19"/>
      <c r="X5" s="4" t="s">
        <v>6</v>
      </c>
      <c r="Y5" s="4"/>
      <c r="Z5" s="4" t="s">
        <v>7</v>
      </c>
      <c r="AA5" s="4"/>
      <c r="AB5" s="3" t="s">
        <v>907</v>
      </c>
      <c r="AC5" s="3"/>
      <c r="AD5" s="7" t="s">
        <v>9</v>
      </c>
      <c r="AE5" s="7" t="s">
        <v>837</v>
      </c>
      <c r="AF5" t="s">
        <v>30</v>
      </c>
    </row>
    <row r="6" spans="2:42" ht="24" customHeight="1" x14ac:dyDescent="0.2">
      <c r="B6" s="26" t="s">
        <v>0</v>
      </c>
      <c r="C6" s="27" t="s">
        <v>1</v>
      </c>
      <c r="D6" s="27" t="s">
        <v>34</v>
      </c>
      <c r="E6" s="27" t="s">
        <v>4</v>
      </c>
      <c r="F6" s="27" t="s">
        <v>848</v>
      </c>
      <c r="G6" s="27" t="s">
        <v>880</v>
      </c>
      <c r="H6" s="27" t="s">
        <v>881</v>
      </c>
      <c r="I6" s="27" t="s">
        <v>3</v>
      </c>
      <c r="J6" s="27" t="s">
        <v>4</v>
      </c>
      <c r="K6" s="27" t="s">
        <v>848</v>
      </c>
      <c r="L6" s="27" t="s">
        <v>3</v>
      </c>
      <c r="M6" s="27" t="s">
        <v>4</v>
      </c>
      <c r="N6" s="27" t="s">
        <v>848</v>
      </c>
      <c r="O6" s="27" t="s">
        <v>3</v>
      </c>
      <c r="P6" s="27" t="s">
        <v>4</v>
      </c>
      <c r="Q6" s="27" t="s">
        <v>848</v>
      </c>
      <c r="R6" s="27" t="s">
        <v>3</v>
      </c>
      <c r="S6" s="27" t="s">
        <v>4</v>
      </c>
      <c r="T6" s="27" t="s">
        <v>848</v>
      </c>
      <c r="U6" s="27" t="s">
        <v>3</v>
      </c>
      <c r="V6" s="27" t="s">
        <v>4</v>
      </c>
      <c r="W6" s="27" t="s">
        <v>848</v>
      </c>
      <c r="X6" s="27" t="s">
        <v>8</v>
      </c>
      <c r="Y6" s="27" t="s">
        <v>3</v>
      </c>
      <c r="Z6" s="27" t="s">
        <v>8</v>
      </c>
      <c r="AA6" s="27" t="s">
        <v>3</v>
      </c>
      <c r="AB6" s="27" t="s">
        <v>8</v>
      </c>
      <c r="AC6" s="27" t="s">
        <v>3</v>
      </c>
      <c r="AD6" s="27" t="s">
        <v>10</v>
      </c>
      <c r="AE6" s="27" t="s">
        <v>11</v>
      </c>
      <c r="AF6" s="27" t="s">
        <v>12</v>
      </c>
      <c r="AG6" s="27" t="s">
        <v>13</v>
      </c>
      <c r="AH6" s="27" t="s">
        <v>14</v>
      </c>
      <c r="AI6" s="27" t="s">
        <v>15</v>
      </c>
      <c r="AJ6" s="27" t="s">
        <v>16</v>
      </c>
      <c r="AK6" s="28" t="s">
        <v>17</v>
      </c>
      <c r="AL6" s="28" t="s">
        <v>18</v>
      </c>
      <c r="AM6" s="29" t="s">
        <v>96</v>
      </c>
      <c r="AN6" s="29" t="s">
        <v>97</v>
      </c>
      <c r="AO6" s="29" t="s">
        <v>98</v>
      </c>
      <c r="AP6" s="29" t="s">
        <v>99</v>
      </c>
    </row>
    <row r="7" spans="2:42" outlineLevel="1" x14ac:dyDescent="0.2">
      <c r="B7" t="s">
        <v>0</v>
      </c>
      <c r="C7" t="s">
        <v>1</v>
      </c>
      <c r="D7" t="s">
        <v>35</v>
      </c>
      <c r="E7" t="s">
        <v>19</v>
      </c>
      <c r="F7" t="s">
        <v>849</v>
      </c>
      <c r="G7" t="s">
        <v>882</v>
      </c>
      <c r="H7" t="s">
        <v>883</v>
      </c>
      <c r="I7" t="s">
        <v>20</v>
      </c>
      <c r="J7" t="s">
        <v>21</v>
      </c>
      <c r="K7" t="s">
        <v>850</v>
      </c>
      <c r="L7" t="s">
        <v>113</v>
      </c>
      <c r="M7" t="s">
        <v>114</v>
      </c>
      <c r="N7" t="s">
        <v>851</v>
      </c>
      <c r="O7" t="s">
        <v>115</v>
      </c>
      <c r="P7" t="s">
        <v>116</v>
      </c>
      <c r="Q7" t="s">
        <v>852</v>
      </c>
      <c r="R7" t="s">
        <v>117</v>
      </c>
      <c r="S7" t="s">
        <v>118</v>
      </c>
      <c r="T7" t="s">
        <v>853</v>
      </c>
      <c r="U7" t="s">
        <v>119</v>
      </c>
      <c r="V7" t="s">
        <v>120</v>
      </c>
      <c r="W7" t="s">
        <v>854</v>
      </c>
      <c r="X7" t="s">
        <v>22</v>
      </c>
      <c r="Y7" t="s">
        <v>23</v>
      </c>
      <c r="Z7" t="s">
        <v>24</v>
      </c>
      <c r="AA7" t="s">
        <v>25</v>
      </c>
      <c r="AB7" t="s">
        <v>26</v>
      </c>
      <c r="AC7" t="s">
        <v>27</v>
      </c>
      <c r="AD7" t="s">
        <v>28</v>
      </c>
      <c r="AE7" t="s">
        <v>29</v>
      </c>
      <c r="AF7" t="s">
        <v>12</v>
      </c>
      <c r="AG7" t="s">
        <v>13</v>
      </c>
      <c r="AH7" t="s">
        <v>14</v>
      </c>
      <c r="AI7" t="s">
        <v>15</v>
      </c>
      <c r="AJ7" t="s">
        <v>16</v>
      </c>
      <c r="AK7" t="s">
        <v>17</v>
      </c>
      <c r="AL7" t="s">
        <v>18</v>
      </c>
      <c r="AM7" t="s">
        <v>95</v>
      </c>
      <c r="AN7" t="s">
        <v>97</v>
      </c>
      <c r="AO7" t="s">
        <v>98</v>
      </c>
      <c r="AP7" t="s">
        <v>99</v>
      </c>
    </row>
    <row r="8" spans="2:42" x14ac:dyDescent="0.2">
      <c r="B8" s="15" cm="1">
        <f t="array" ref="B8">ParamFechaInicioReporte + (ROW(TableDailySummary[#This Row]) - ROW(TableDailySummary[[#Headers],[Dia]]) - 1)</f>
        <v>44535</v>
      </c>
      <c r="C8" s="6">
        <f>TableDailySummary[[#This Row],[Dia]]</f>
        <v>44535</v>
      </c>
      <c r="D8" s="11">
        <f>_xlfn.XLOOKUP(TableDailySummary[[#This Row],[Fecha]],SummaryDaily[day],SummaryDaily[net_sales],0)</f>
        <v>0</v>
      </c>
      <c r="E8" s="11">
        <f>_xlfn.XLOOKUP(TableDailySummary[[#This Row],[Fecha]],SummaryDaily[day],SummaryDaily[orders],0)</f>
        <v>0</v>
      </c>
      <c r="F8" s="11">
        <f>_xlfn.XLOOKUP(TableDailySummary[[#This Row],[Fecha]],SummaryDaily[day],SummaryDaily[average_order_value],0)</f>
        <v>0</v>
      </c>
      <c r="G8" s="24" cm="1">
        <f t="array" ref="G8">_xlfn.XLOOKUP(TableDailySummary[[#This Row],[Fecha]]&amp;"Total site",ConversionRateByReferral[day]&amp;ConversionRateByReferral[referrer_source],ConversionRateByReferral[conversion_rate],0)</f>
        <v>0</v>
      </c>
      <c r="H8" s="11">
        <f>TableDailySummary[[#This Row],[Órden promedio totales]]*TableDailySummary[[#This Row],[CR totales]]</f>
        <v>0</v>
      </c>
      <c r="I8" s="11">
        <f>_xlfn.XLOOKUP(TableDailySummary[[#This Row],[Fecha]],SummaryDaily[day],SummaryDaily[new_net_sales],0)</f>
        <v>0</v>
      </c>
      <c r="J8" s="11">
        <f>_xlfn.XLOOKUP(TableDailySummary[[#This Row],[Fecha]],SummaryDaily[day],SummaryDaily[new_orders],0)</f>
        <v>0</v>
      </c>
      <c r="K8" s="11">
        <f>_xlfn.XLOOKUP(TableDailySummary[[#This Row],[Fecha]],SummaryDaily[day],SummaryDaily[new_average_order_value],0)</f>
        <v>0</v>
      </c>
      <c r="L8" s="11">
        <f>_xlfn.XLOOKUP(TableDailySummary[[#This Row],[Fecha]],SummaryDaily[day],SummaryDaily[Online Store_net_sales],0)</f>
        <v>0</v>
      </c>
      <c r="M8" s="11">
        <f>_xlfn.XLOOKUP(TableDailySummary[[#This Row],[Fecha]],SummaryDaily[day],SummaryDaily[Online Store_orders],0)</f>
        <v>0</v>
      </c>
      <c r="N8" s="11">
        <f>_xlfn.XLOOKUP(TableDailySummary[[#This Row],[Fecha]],SummaryDaily[day],SummaryDaily[Online Store_average_order_value],0)</f>
        <v>0</v>
      </c>
      <c r="O8" s="11">
        <f>_xlfn.XLOOKUP(TableDailySummary[[#This Row],[Fecha]],SummaryDaily[day],SummaryDaily[Tienda 81_net_sales],0)</f>
        <v>0</v>
      </c>
      <c r="P8" s="11">
        <f>_xlfn.XLOOKUP(TableDailySummary[[#This Row],[Fecha]],SummaryDaily[day],SummaryDaily[Tienda 81_orders],0)</f>
        <v>0</v>
      </c>
      <c r="Q8" s="11">
        <f>_xlfn.XLOOKUP(TableDailySummary[[#This Row],[Fecha]],SummaryDaily[day],SummaryDaily[Tienda 81_average_order_value],0)</f>
        <v>0</v>
      </c>
      <c r="R8" s="11">
        <f>_xlfn.XLOOKUP(TableDailySummary[[#This Row],[Fecha]],SummaryDaily[day],SummaryDaily[Rappi_net_sales],0)</f>
        <v>0</v>
      </c>
      <c r="S8" s="11">
        <f>_xlfn.XLOOKUP(TableDailySummary[[#This Row],[Fecha]],SummaryDaily[day],SummaryDaily[Rappi_orders],0)</f>
        <v>0</v>
      </c>
      <c r="T8" s="11">
        <f>_xlfn.XLOOKUP(TableDailySummary[[#This Row],[Fecha]],SummaryDaily[day],SummaryDaily[Rappi_average_order_value],0)</f>
        <v>0</v>
      </c>
      <c r="U8" s="11">
        <f>_xlfn.XLOOKUP(TableDailySummary[[#This Row],[Fecha]],SummaryDaily[day],SummaryDaily[Corporativo no tienda_net_sales],0)</f>
        <v>0</v>
      </c>
      <c r="V8" s="11">
        <f>_xlfn.XLOOKUP(TableDailySummary[[#This Row],[Fecha]],SummaryDaily[day],SummaryDaily[Corporativo no tienda_orders],0)</f>
        <v>0</v>
      </c>
      <c r="W8" s="11">
        <f>_xlfn.XLOOKUP(TableDailySummary[[#This Row],[Fecha]],SummaryDaily[day],SummaryDaily[Corporativo no tienda_average_order_value],0)</f>
        <v>0</v>
      </c>
      <c r="X8" s="11">
        <f>_xlfn.XLOOKUP(TableDailySummary[[#This Row],[Fecha]],SummaryDaily[day],SummaryDaily[GoogleAdsOperation.Cost],0)</f>
        <v>0</v>
      </c>
      <c r="Y8" s="11">
        <f>SUMIFS(SalesByUTMDaily[google],SalesByUTMDaily[day],TableDailySummary[[#This Row],[Fecha]])</f>
        <v>0</v>
      </c>
      <c r="Z8" s="11">
        <f>_xlfn.XLOOKUP(TableDailySummary[[#This Row],[Fecha]],SummaryDaily[day],SummaryDaily[MetaAdsOperation.spend],0)</f>
        <v>0</v>
      </c>
      <c r="AA8" s="11">
        <f>SUMIFS(SalesByUTMDaily[facebook],SalesByUTMDaily[day],TableDailySummary[[#This Row],[Fecha]])</f>
        <v>0</v>
      </c>
      <c r="AB8" s="11">
        <f>TableDailySummary[[#This Row],[Inversión google ads]]+TableDailySummary[[#This Row],[Inversión meta ads]]</f>
        <v>0</v>
      </c>
      <c r="AC8" s="11">
        <f>TableDailySummary[[#This Row],[Ventas google ads]]+TableDailySummary[[#This Row],[Ventas meta ads]]</f>
        <v>0</v>
      </c>
      <c r="AD8" s="14">
        <f>IFERROR(TableDailySummary[[#This Row],[Ventas publicidad]]/TableDailySummary[[#This Row],[Inversión publicidad]],0)</f>
        <v>0</v>
      </c>
      <c r="AE8" s="14">
        <f>IFERROR(TableDailySummary[[#This Row],[Ventas primer cliente]]/TableDailySummary[[#This Row],[Inversión publicidad]],0)</f>
        <v>0</v>
      </c>
      <c r="AF8" s="14"/>
      <c r="AG8" s="11"/>
      <c r="AM8" s="11">
        <f>_xlfn.XLOOKUP(TableDailySummary[[#This Row],[Fecha]],SummaryDaily[day],SummaryDaily[net_sales_with_cost_recorded],0)</f>
        <v>0</v>
      </c>
      <c r="AN8" s="11">
        <f>_xlfn.XLOOKUP(TableDailySummary[[#This Row],[Fecha]],SummaryDaily[day],SummaryDaily[cost_of_goods_sold],0)</f>
        <v>0</v>
      </c>
      <c r="AO8" s="11">
        <f>_xlfn.XLOOKUP(TableDailySummary[[#This Row],[Fecha]],SummaryDaily[day],SummaryDaily[gross_profit],0)</f>
        <v>0</v>
      </c>
      <c r="AP8" s="18">
        <f>IFERROR(TableDailySummary[[#This Row],[Utilidad bruta]]/TableDailySummary[[#This Row],[Ventas netas con costo registrado]],0)</f>
        <v>0</v>
      </c>
    </row>
    <row r="9" spans="2:42" x14ac:dyDescent="0.2">
      <c r="B9" s="15" cm="1">
        <f t="array" ref="B9">ParamFechaInicioReporte + (ROW(TableDailySummary[#This Row]) - ROW(TableDailySummary[[#Headers],[Dia]]) - 1)</f>
        <v>44536</v>
      </c>
      <c r="C9" s="6">
        <f>TableDailySummary[[#This Row],[Dia]]</f>
        <v>44536</v>
      </c>
      <c r="D9" s="11">
        <f>_xlfn.XLOOKUP(TableDailySummary[[#This Row],[Fecha]],SummaryDaily[day],SummaryDaily[net_sales],0)</f>
        <v>0</v>
      </c>
      <c r="E9" s="11">
        <f>_xlfn.XLOOKUP(TableDailySummary[[#This Row],[Fecha]],SummaryDaily[day],SummaryDaily[orders],0)</f>
        <v>0</v>
      </c>
      <c r="F9" s="11">
        <f>_xlfn.XLOOKUP(TableDailySummary[[#This Row],[Fecha]],SummaryDaily[day],SummaryDaily[average_order_value],0)</f>
        <v>0</v>
      </c>
      <c r="G9" s="24" cm="1">
        <f t="array" ref="G9">_xlfn.XLOOKUP(TableDailySummary[[#This Row],[Fecha]]&amp;"Total site",ConversionRateByReferral[day]&amp;ConversionRateByReferral[referrer_source],ConversionRateByReferral[conversion_rate],0)</f>
        <v>0</v>
      </c>
      <c r="H9" s="11">
        <f>TableDailySummary[[#This Row],[Órden promedio totales]]*TableDailySummary[[#This Row],[CR totales]]</f>
        <v>0</v>
      </c>
      <c r="I9" s="11">
        <f>_xlfn.XLOOKUP(TableDailySummary[[#This Row],[Fecha]],SummaryDaily[day],SummaryDaily[new_net_sales],0)</f>
        <v>0</v>
      </c>
      <c r="J9" s="11">
        <f>_xlfn.XLOOKUP(TableDailySummary[[#This Row],[Fecha]],SummaryDaily[day],SummaryDaily[new_orders],0)</f>
        <v>0</v>
      </c>
      <c r="K9" s="11">
        <f>_xlfn.XLOOKUP(TableDailySummary[[#This Row],[Fecha]],SummaryDaily[day],SummaryDaily[new_average_order_value],0)</f>
        <v>0</v>
      </c>
      <c r="L9" s="11">
        <f>_xlfn.XLOOKUP(TableDailySummary[[#This Row],[Fecha]],SummaryDaily[day],SummaryDaily[Online Store_net_sales],0)</f>
        <v>0</v>
      </c>
      <c r="M9" s="11">
        <f>_xlfn.XLOOKUP(TableDailySummary[[#This Row],[Fecha]],SummaryDaily[day],SummaryDaily[Online Store_orders],0)</f>
        <v>0</v>
      </c>
      <c r="N9" s="11">
        <f>_xlfn.XLOOKUP(TableDailySummary[[#This Row],[Fecha]],SummaryDaily[day],SummaryDaily[Online Store_average_order_value],0)</f>
        <v>0</v>
      </c>
      <c r="O9" s="11">
        <f>_xlfn.XLOOKUP(TableDailySummary[[#This Row],[Fecha]],SummaryDaily[day],SummaryDaily[Tienda 81_net_sales],0)</f>
        <v>0</v>
      </c>
      <c r="P9" s="11">
        <f>_xlfn.XLOOKUP(TableDailySummary[[#This Row],[Fecha]],SummaryDaily[day],SummaryDaily[Tienda 81_orders],0)</f>
        <v>0</v>
      </c>
      <c r="Q9" s="11">
        <f>_xlfn.XLOOKUP(TableDailySummary[[#This Row],[Fecha]],SummaryDaily[day],SummaryDaily[Tienda 81_average_order_value],0)</f>
        <v>0</v>
      </c>
      <c r="R9" s="11">
        <f>_xlfn.XLOOKUP(TableDailySummary[[#This Row],[Fecha]],SummaryDaily[day],SummaryDaily[Rappi_net_sales],0)</f>
        <v>0</v>
      </c>
      <c r="S9" s="11">
        <f>_xlfn.XLOOKUP(TableDailySummary[[#This Row],[Fecha]],SummaryDaily[day],SummaryDaily[Rappi_orders],0)</f>
        <v>0</v>
      </c>
      <c r="T9" s="11">
        <f>_xlfn.XLOOKUP(TableDailySummary[[#This Row],[Fecha]],SummaryDaily[day],SummaryDaily[Rappi_average_order_value],0)</f>
        <v>0</v>
      </c>
      <c r="U9" s="11">
        <f>_xlfn.XLOOKUP(TableDailySummary[[#This Row],[Fecha]],SummaryDaily[day],SummaryDaily[Corporativo no tienda_net_sales],0)</f>
        <v>0</v>
      </c>
      <c r="V9" s="11">
        <f>_xlfn.XLOOKUP(TableDailySummary[[#This Row],[Fecha]],SummaryDaily[day],SummaryDaily[Corporativo no tienda_orders],0)</f>
        <v>0</v>
      </c>
      <c r="W9" s="11">
        <f>_xlfn.XLOOKUP(TableDailySummary[[#This Row],[Fecha]],SummaryDaily[day],SummaryDaily[Corporativo no tienda_average_order_value],0)</f>
        <v>0</v>
      </c>
      <c r="X9" s="11">
        <f>_xlfn.XLOOKUP(TableDailySummary[[#This Row],[Fecha]],SummaryDaily[day],SummaryDaily[GoogleAdsOperation.Cost],0)</f>
        <v>0</v>
      </c>
      <c r="Y9" s="11">
        <f>SUMIFS(SalesByUTMDaily[google],SalesByUTMDaily[day],TableDailySummary[[#This Row],[Fecha]])</f>
        <v>0</v>
      </c>
      <c r="Z9" s="11">
        <f>_xlfn.XLOOKUP(TableDailySummary[[#This Row],[Fecha]],SummaryDaily[day],SummaryDaily[MetaAdsOperation.spend],0)</f>
        <v>0</v>
      </c>
      <c r="AA9" s="11">
        <f>SUMIFS(SalesByUTMDaily[facebook],SalesByUTMDaily[day],TableDailySummary[[#This Row],[Fecha]])</f>
        <v>0</v>
      </c>
      <c r="AB9" s="11">
        <f>TableDailySummary[[#This Row],[Inversión google ads]]+TableDailySummary[[#This Row],[Inversión meta ads]]</f>
        <v>0</v>
      </c>
      <c r="AC9" s="11">
        <f>TableDailySummary[[#This Row],[Ventas google ads]]+TableDailySummary[[#This Row],[Ventas meta ads]]</f>
        <v>0</v>
      </c>
      <c r="AD9" s="14">
        <f>IFERROR(TableDailySummary[[#This Row],[Ventas publicidad]]/TableDailySummary[[#This Row],[Inversión publicidad]],0)</f>
        <v>0</v>
      </c>
      <c r="AE9" s="14">
        <f>IFERROR(TableDailySummary[[#This Row],[Ventas primer cliente]]/TableDailySummary[[#This Row],[Inversión publicidad]],0)</f>
        <v>0</v>
      </c>
      <c r="AF9" s="14"/>
      <c r="AG9" s="11"/>
      <c r="AM9" s="11">
        <f>_xlfn.XLOOKUP(TableDailySummary[[#This Row],[Fecha]],SummaryDaily[day],SummaryDaily[net_sales_with_cost_recorded],0)</f>
        <v>0</v>
      </c>
      <c r="AN9" s="11">
        <f>_xlfn.XLOOKUP(TableDailySummary[[#This Row],[Fecha]],SummaryDaily[day],SummaryDaily[cost_of_goods_sold],0)</f>
        <v>0</v>
      </c>
      <c r="AO9" s="11">
        <f>_xlfn.XLOOKUP(TableDailySummary[[#This Row],[Fecha]],SummaryDaily[day],SummaryDaily[gross_profit],0)</f>
        <v>0</v>
      </c>
      <c r="AP9" s="18">
        <f>IFERROR(TableDailySummary[[#This Row],[Utilidad bruta]]/TableDailySummary[[#This Row],[Ventas netas con costo registrado]],0)</f>
        <v>0</v>
      </c>
    </row>
    <row r="10" spans="2:42" x14ac:dyDescent="0.2">
      <c r="B10" s="15" cm="1">
        <f t="array" ref="B10">ParamFechaInicioReporte + (ROW(TableDailySummary[#This Row]) - ROW(TableDailySummary[[#Headers],[Dia]]) - 1)</f>
        <v>44537</v>
      </c>
      <c r="C10" s="6">
        <f>TableDailySummary[[#This Row],[Dia]]</f>
        <v>44537</v>
      </c>
      <c r="D10" s="11">
        <f>_xlfn.XLOOKUP(TableDailySummary[[#This Row],[Fecha]],SummaryDaily[day],SummaryDaily[net_sales],0)</f>
        <v>0</v>
      </c>
      <c r="E10" s="11">
        <f>_xlfn.XLOOKUP(TableDailySummary[[#This Row],[Fecha]],SummaryDaily[day],SummaryDaily[orders],0)</f>
        <v>0</v>
      </c>
      <c r="F10" s="11">
        <f>_xlfn.XLOOKUP(TableDailySummary[[#This Row],[Fecha]],SummaryDaily[day],SummaryDaily[average_order_value],0)</f>
        <v>0</v>
      </c>
      <c r="G10" s="24" cm="1">
        <f t="array" ref="G10">_xlfn.XLOOKUP(TableDailySummary[[#This Row],[Fecha]]&amp;"Total site",ConversionRateByReferral[day]&amp;ConversionRateByReferral[referrer_source],ConversionRateByReferral[conversion_rate],0)</f>
        <v>0</v>
      </c>
      <c r="H10" s="11">
        <f>TableDailySummary[[#This Row],[Órden promedio totales]]*TableDailySummary[[#This Row],[CR totales]]</f>
        <v>0</v>
      </c>
      <c r="I10" s="11">
        <f>_xlfn.XLOOKUP(TableDailySummary[[#This Row],[Fecha]],SummaryDaily[day],SummaryDaily[new_net_sales],0)</f>
        <v>0</v>
      </c>
      <c r="J10" s="11">
        <f>_xlfn.XLOOKUP(TableDailySummary[[#This Row],[Fecha]],SummaryDaily[day],SummaryDaily[new_orders],0)</f>
        <v>0</v>
      </c>
      <c r="K10" s="11">
        <f>_xlfn.XLOOKUP(TableDailySummary[[#This Row],[Fecha]],SummaryDaily[day],SummaryDaily[new_average_order_value],0)</f>
        <v>0</v>
      </c>
      <c r="L10" s="11">
        <f>_xlfn.XLOOKUP(TableDailySummary[[#This Row],[Fecha]],SummaryDaily[day],SummaryDaily[Online Store_net_sales],0)</f>
        <v>0</v>
      </c>
      <c r="M10" s="11">
        <f>_xlfn.XLOOKUP(TableDailySummary[[#This Row],[Fecha]],SummaryDaily[day],SummaryDaily[Online Store_orders],0)</f>
        <v>0</v>
      </c>
      <c r="N10" s="11">
        <f>_xlfn.XLOOKUP(TableDailySummary[[#This Row],[Fecha]],SummaryDaily[day],SummaryDaily[Online Store_average_order_value],0)</f>
        <v>0</v>
      </c>
      <c r="O10" s="11">
        <f>_xlfn.XLOOKUP(TableDailySummary[[#This Row],[Fecha]],SummaryDaily[day],SummaryDaily[Tienda 81_net_sales],0)</f>
        <v>0</v>
      </c>
      <c r="P10" s="11">
        <f>_xlfn.XLOOKUP(TableDailySummary[[#This Row],[Fecha]],SummaryDaily[day],SummaryDaily[Tienda 81_orders],0)</f>
        <v>0</v>
      </c>
      <c r="Q10" s="11">
        <f>_xlfn.XLOOKUP(TableDailySummary[[#This Row],[Fecha]],SummaryDaily[day],SummaryDaily[Tienda 81_average_order_value],0)</f>
        <v>0</v>
      </c>
      <c r="R10" s="11">
        <f>_xlfn.XLOOKUP(TableDailySummary[[#This Row],[Fecha]],SummaryDaily[day],SummaryDaily[Rappi_net_sales],0)</f>
        <v>0</v>
      </c>
      <c r="S10" s="11">
        <f>_xlfn.XLOOKUP(TableDailySummary[[#This Row],[Fecha]],SummaryDaily[day],SummaryDaily[Rappi_orders],0)</f>
        <v>0</v>
      </c>
      <c r="T10" s="11">
        <f>_xlfn.XLOOKUP(TableDailySummary[[#This Row],[Fecha]],SummaryDaily[day],SummaryDaily[Rappi_average_order_value],0)</f>
        <v>0</v>
      </c>
      <c r="U10" s="11">
        <f>_xlfn.XLOOKUP(TableDailySummary[[#This Row],[Fecha]],SummaryDaily[day],SummaryDaily[Corporativo no tienda_net_sales],0)</f>
        <v>0</v>
      </c>
      <c r="V10" s="11">
        <f>_xlfn.XLOOKUP(TableDailySummary[[#This Row],[Fecha]],SummaryDaily[day],SummaryDaily[Corporativo no tienda_orders],0)</f>
        <v>0</v>
      </c>
      <c r="W10" s="11">
        <f>_xlfn.XLOOKUP(TableDailySummary[[#This Row],[Fecha]],SummaryDaily[day],SummaryDaily[Corporativo no tienda_average_order_value],0)</f>
        <v>0</v>
      </c>
      <c r="X10" s="11">
        <f>_xlfn.XLOOKUP(TableDailySummary[[#This Row],[Fecha]],SummaryDaily[day],SummaryDaily[GoogleAdsOperation.Cost],0)</f>
        <v>0</v>
      </c>
      <c r="Y10" s="11">
        <f>SUMIFS(SalesByUTMDaily[google],SalesByUTMDaily[day],TableDailySummary[[#This Row],[Fecha]])</f>
        <v>0</v>
      </c>
      <c r="Z10" s="11">
        <f>_xlfn.XLOOKUP(TableDailySummary[[#This Row],[Fecha]],SummaryDaily[day],SummaryDaily[MetaAdsOperation.spend],0)</f>
        <v>0</v>
      </c>
      <c r="AA10" s="11">
        <f>SUMIFS(SalesByUTMDaily[facebook],SalesByUTMDaily[day],TableDailySummary[[#This Row],[Fecha]])</f>
        <v>0</v>
      </c>
      <c r="AB10" s="11">
        <f>TableDailySummary[[#This Row],[Inversión google ads]]+TableDailySummary[[#This Row],[Inversión meta ads]]</f>
        <v>0</v>
      </c>
      <c r="AC10" s="11">
        <f>TableDailySummary[[#This Row],[Ventas google ads]]+TableDailySummary[[#This Row],[Ventas meta ads]]</f>
        <v>0</v>
      </c>
      <c r="AD10" s="14">
        <f>IFERROR(TableDailySummary[[#This Row],[Ventas publicidad]]/TableDailySummary[[#This Row],[Inversión publicidad]],0)</f>
        <v>0</v>
      </c>
      <c r="AE10" s="14">
        <f>IFERROR(TableDailySummary[[#This Row],[Ventas primer cliente]]/TableDailySummary[[#This Row],[Inversión publicidad]],0)</f>
        <v>0</v>
      </c>
      <c r="AF10" s="14"/>
      <c r="AG10" s="11"/>
      <c r="AM10" s="11">
        <f>_xlfn.XLOOKUP(TableDailySummary[[#This Row],[Fecha]],SummaryDaily[day],SummaryDaily[net_sales_with_cost_recorded],0)</f>
        <v>0</v>
      </c>
      <c r="AN10" s="11">
        <f>_xlfn.XLOOKUP(TableDailySummary[[#This Row],[Fecha]],SummaryDaily[day],SummaryDaily[cost_of_goods_sold],0)</f>
        <v>0</v>
      </c>
      <c r="AO10" s="11">
        <f>_xlfn.XLOOKUP(TableDailySummary[[#This Row],[Fecha]],SummaryDaily[day],SummaryDaily[gross_profit],0)</f>
        <v>0</v>
      </c>
      <c r="AP10" s="18">
        <f>IFERROR(TableDailySummary[[#This Row],[Utilidad bruta]]/TableDailySummary[[#This Row],[Ventas netas con costo registrado]],0)</f>
        <v>0</v>
      </c>
    </row>
    <row r="11" spans="2:42" x14ac:dyDescent="0.2">
      <c r="B11" s="15" cm="1">
        <f t="array" ref="B11">ParamFechaInicioReporte + (ROW(TableDailySummary[#This Row]) - ROW(TableDailySummary[[#Headers],[Dia]]) - 1)</f>
        <v>44538</v>
      </c>
      <c r="C11" s="6">
        <f>TableDailySummary[[#This Row],[Dia]]</f>
        <v>44538</v>
      </c>
      <c r="D11" s="11">
        <f>_xlfn.XLOOKUP(TableDailySummary[[#This Row],[Fecha]],SummaryDaily[day],SummaryDaily[net_sales],0)</f>
        <v>0</v>
      </c>
      <c r="E11" s="11">
        <f>_xlfn.XLOOKUP(TableDailySummary[[#This Row],[Fecha]],SummaryDaily[day],SummaryDaily[orders],0)</f>
        <v>0</v>
      </c>
      <c r="F11" s="11">
        <f>_xlfn.XLOOKUP(TableDailySummary[[#This Row],[Fecha]],SummaryDaily[day],SummaryDaily[average_order_value],0)</f>
        <v>0</v>
      </c>
      <c r="G11" s="24" cm="1">
        <f t="array" ref="G11">_xlfn.XLOOKUP(TableDailySummary[[#This Row],[Fecha]]&amp;"Total site",ConversionRateByReferral[day]&amp;ConversionRateByReferral[referrer_source],ConversionRateByReferral[conversion_rate],0)</f>
        <v>0</v>
      </c>
      <c r="H11" s="11">
        <f>TableDailySummary[[#This Row],[Órden promedio totales]]*TableDailySummary[[#This Row],[CR totales]]</f>
        <v>0</v>
      </c>
      <c r="I11" s="11">
        <f>_xlfn.XLOOKUP(TableDailySummary[[#This Row],[Fecha]],SummaryDaily[day],SummaryDaily[new_net_sales],0)</f>
        <v>0</v>
      </c>
      <c r="J11" s="11">
        <f>_xlfn.XLOOKUP(TableDailySummary[[#This Row],[Fecha]],SummaryDaily[day],SummaryDaily[new_orders],0)</f>
        <v>0</v>
      </c>
      <c r="K11" s="11">
        <f>_xlfn.XLOOKUP(TableDailySummary[[#This Row],[Fecha]],SummaryDaily[day],SummaryDaily[new_average_order_value],0)</f>
        <v>0</v>
      </c>
      <c r="L11" s="11">
        <f>_xlfn.XLOOKUP(TableDailySummary[[#This Row],[Fecha]],SummaryDaily[day],SummaryDaily[Online Store_net_sales],0)</f>
        <v>0</v>
      </c>
      <c r="M11" s="11">
        <f>_xlfn.XLOOKUP(TableDailySummary[[#This Row],[Fecha]],SummaryDaily[day],SummaryDaily[Online Store_orders],0)</f>
        <v>0</v>
      </c>
      <c r="N11" s="11">
        <f>_xlfn.XLOOKUP(TableDailySummary[[#This Row],[Fecha]],SummaryDaily[day],SummaryDaily[Online Store_average_order_value],0)</f>
        <v>0</v>
      </c>
      <c r="O11" s="11">
        <f>_xlfn.XLOOKUP(TableDailySummary[[#This Row],[Fecha]],SummaryDaily[day],SummaryDaily[Tienda 81_net_sales],0)</f>
        <v>0</v>
      </c>
      <c r="P11" s="11">
        <f>_xlfn.XLOOKUP(TableDailySummary[[#This Row],[Fecha]],SummaryDaily[day],SummaryDaily[Tienda 81_orders],0)</f>
        <v>0</v>
      </c>
      <c r="Q11" s="11">
        <f>_xlfn.XLOOKUP(TableDailySummary[[#This Row],[Fecha]],SummaryDaily[day],SummaryDaily[Tienda 81_average_order_value],0)</f>
        <v>0</v>
      </c>
      <c r="R11" s="11">
        <f>_xlfn.XLOOKUP(TableDailySummary[[#This Row],[Fecha]],SummaryDaily[day],SummaryDaily[Rappi_net_sales],0)</f>
        <v>0</v>
      </c>
      <c r="S11" s="11">
        <f>_xlfn.XLOOKUP(TableDailySummary[[#This Row],[Fecha]],SummaryDaily[day],SummaryDaily[Rappi_orders],0)</f>
        <v>0</v>
      </c>
      <c r="T11" s="11">
        <f>_xlfn.XLOOKUP(TableDailySummary[[#This Row],[Fecha]],SummaryDaily[day],SummaryDaily[Rappi_average_order_value],0)</f>
        <v>0</v>
      </c>
      <c r="U11" s="11">
        <f>_xlfn.XLOOKUP(TableDailySummary[[#This Row],[Fecha]],SummaryDaily[day],SummaryDaily[Corporativo no tienda_net_sales],0)</f>
        <v>0</v>
      </c>
      <c r="V11" s="11">
        <f>_xlfn.XLOOKUP(TableDailySummary[[#This Row],[Fecha]],SummaryDaily[day],SummaryDaily[Corporativo no tienda_orders],0)</f>
        <v>0</v>
      </c>
      <c r="W11" s="11">
        <f>_xlfn.XLOOKUP(TableDailySummary[[#This Row],[Fecha]],SummaryDaily[day],SummaryDaily[Corporativo no tienda_average_order_value],0)</f>
        <v>0</v>
      </c>
      <c r="X11" s="11">
        <f>_xlfn.XLOOKUP(TableDailySummary[[#This Row],[Fecha]],SummaryDaily[day],SummaryDaily[GoogleAdsOperation.Cost],0)</f>
        <v>0</v>
      </c>
      <c r="Y11" s="11">
        <f>SUMIFS(SalesByUTMDaily[google],SalesByUTMDaily[day],TableDailySummary[[#This Row],[Fecha]])</f>
        <v>0</v>
      </c>
      <c r="Z11" s="11">
        <f>_xlfn.XLOOKUP(TableDailySummary[[#This Row],[Fecha]],SummaryDaily[day],SummaryDaily[MetaAdsOperation.spend],0)</f>
        <v>0</v>
      </c>
      <c r="AA11" s="11">
        <f>SUMIFS(SalesByUTMDaily[facebook],SalesByUTMDaily[day],TableDailySummary[[#This Row],[Fecha]])</f>
        <v>0</v>
      </c>
      <c r="AB11" s="11">
        <f>TableDailySummary[[#This Row],[Inversión google ads]]+TableDailySummary[[#This Row],[Inversión meta ads]]</f>
        <v>0</v>
      </c>
      <c r="AC11" s="11">
        <f>TableDailySummary[[#This Row],[Ventas google ads]]+TableDailySummary[[#This Row],[Ventas meta ads]]</f>
        <v>0</v>
      </c>
      <c r="AD11" s="14">
        <f>IFERROR(TableDailySummary[[#This Row],[Ventas publicidad]]/TableDailySummary[[#This Row],[Inversión publicidad]],0)</f>
        <v>0</v>
      </c>
      <c r="AE11" s="14">
        <f>IFERROR(TableDailySummary[[#This Row],[Ventas primer cliente]]/TableDailySummary[[#This Row],[Inversión publicidad]],0)</f>
        <v>0</v>
      </c>
      <c r="AF11" s="14"/>
      <c r="AG11" s="11"/>
      <c r="AM11" s="11">
        <f>_xlfn.XLOOKUP(TableDailySummary[[#This Row],[Fecha]],SummaryDaily[day],SummaryDaily[net_sales_with_cost_recorded],0)</f>
        <v>0</v>
      </c>
      <c r="AN11" s="11">
        <f>_xlfn.XLOOKUP(TableDailySummary[[#This Row],[Fecha]],SummaryDaily[day],SummaryDaily[cost_of_goods_sold],0)</f>
        <v>0</v>
      </c>
      <c r="AO11" s="11">
        <f>_xlfn.XLOOKUP(TableDailySummary[[#This Row],[Fecha]],SummaryDaily[day],SummaryDaily[gross_profit],0)</f>
        <v>0</v>
      </c>
      <c r="AP11" s="18">
        <f>IFERROR(TableDailySummary[[#This Row],[Utilidad bruta]]/TableDailySummary[[#This Row],[Ventas netas con costo registrado]],0)</f>
        <v>0</v>
      </c>
    </row>
    <row r="12" spans="2:42" x14ac:dyDescent="0.2">
      <c r="B12" s="15" cm="1">
        <f t="array" ref="B12">ParamFechaInicioReporte + (ROW(TableDailySummary[#This Row]) - ROW(TableDailySummary[[#Headers],[Dia]]) - 1)</f>
        <v>44539</v>
      </c>
      <c r="C12" s="6">
        <f>TableDailySummary[[#This Row],[Dia]]</f>
        <v>44539</v>
      </c>
      <c r="D12" s="11">
        <f>_xlfn.XLOOKUP(TableDailySummary[[#This Row],[Fecha]],SummaryDaily[day],SummaryDaily[net_sales],0)</f>
        <v>0</v>
      </c>
      <c r="E12" s="11">
        <f>_xlfn.XLOOKUP(TableDailySummary[[#This Row],[Fecha]],SummaryDaily[day],SummaryDaily[orders],0)</f>
        <v>0</v>
      </c>
      <c r="F12" s="11">
        <f>_xlfn.XLOOKUP(TableDailySummary[[#This Row],[Fecha]],SummaryDaily[day],SummaryDaily[average_order_value],0)</f>
        <v>0</v>
      </c>
      <c r="G12" s="24" cm="1">
        <f t="array" ref="G12">_xlfn.XLOOKUP(TableDailySummary[[#This Row],[Fecha]]&amp;"Total site",ConversionRateByReferral[day]&amp;ConversionRateByReferral[referrer_source],ConversionRateByReferral[conversion_rate],0)</f>
        <v>0</v>
      </c>
      <c r="H12" s="11">
        <f>TableDailySummary[[#This Row],[Órden promedio totales]]*TableDailySummary[[#This Row],[CR totales]]</f>
        <v>0</v>
      </c>
      <c r="I12" s="11">
        <f>_xlfn.XLOOKUP(TableDailySummary[[#This Row],[Fecha]],SummaryDaily[day],SummaryDaily[new_net_sales],0)</f>
        <v>0</v>
      </c>
      <c r="J12" s="11">
        <f>_xlfn.XLOOKUP(TableDailySummary[[#This Row],[Fecha]],SummaryDaily[day],SummaryDaily[new_orders],0)</f>
        <v>0</v>
      </c>
      <c r="K12" s="11">
        <f>_xlfn.XLOOKUP(TableDailySummary[[#This Row],[Fecha]],SummaryDaily[day],SummaryDaily[new_average_order_value],0)</f>
        <v>0</v>
      </c>
      <c r="L12" s="11">
        <f>_xlfn.XLOOKUP(TableDailySummary[[#This Row],[Fecha]],SummaryDaily[day],SummaryDaily[Online Store_net_sales],0)</f>
        <v>0</v>
      </c>
      <c r="M12" s="11">
        <f>_xlfn.XLOOKUP(TableDailySummary[[#This Row],[Fecha]],SummaryDaily[day],SummaryDaily[Online Store_orders],0)</f>
        <v>0</v>
      </c>
      <c r="N12" s="11">
        <f>_xlfn.XLOOKUP(TableDailySummary[[#This Row],[Fecha]],SummaryDaily[day],SummaryDaily[Online Store_average_order_value],0)</f>
        <v>0</v>
      </c>
      <c r="O12" s="11">
        <f>_xlfn.XLOOKUP(TableDailySummary[[#This Row],[Fecha]],SummaryDaily[day],SummaryDaily[Tienda 81_net_sales],0)</f>
        <v>0</v>
      </c>
      <c r="P12" s="11">
        <f>_xlfn.XLOOKUP(TableDailySummary[[#This Row],[Fecha]],SummaryDaily[day],SummaryDaily[Tienda 81_orders],0)</f>
        <v>0</v>
      </c>
      <c r="Q12" s="11">
        <f>_xlfn.XLOOKUP(TableDailySummary[[#This Row],[Fecha]],SummaryDaily[day],SummaryDaily[Tienda 81_average_order_value],0)</f>
        <v>0</v>
      </c>
      <c r="R12" s="11">
        <f>_xlfn.XLOOKUP(TableDailySummary[[#This Row],[Fecha]],SummaryDaily[day],SummaryDaily[Rappi_net_sales],0)</f>
        <v>0</v>
      </c>
      <c r="S12" s="11">
        <f>_xlfn.XLOOKUP(TableDailySummary[[#This Row],[Fecha]],SummaryDaily[day],SummaryDaily[Rappi_orders],0)</f>
        <v>0</v>
      </c>
      <c r="T12" s="11">
        <f>_xlfn.XLOOKUP(TableDailySummary[[#This Row],[Fecha]],SummaryDaily[day],SummaryDaily[Rappi_average_order_value],0)</f>
        <v>0</v>
      </c>
      <c r="U12" s="11">
        <f>_xlfn.XLOOKUP(TableDailySummary[[#This Row],[Fecha]],SummaryDaily[day],SummaryDaily[Corporativo no tienda_net_sales],0)</f>
        <v>0</v>
      </c>
      <c r="V12" s="11">
        <f>_xlfn.XLOOKUP(TableDailySummary[[#This Row],[Fecha]],SummaryDaily[day],SummaryDaily[Corporativo no tienda_orders],0)</f>
        <v>0</v>
      </c>
      <c r="W12" s="11">
        <f>_xlfn.XLOOKUP(TableDailySummary[[#This Row],[Fecha]],SummaryDaily[day],SummaryDaily[Corporativo no tienda_average_order_value],0)</f>
        <v>0</v>
      </c>
      <c r="X12" s="11">
        <f>_xlfn.XLOOKUP(TableDailySummary[[#This Row],[Fecha]],SummaryDaily[day],SummaryDaily[GoogleAdsOperation.Cost],0)</f>
        <v>0</v>
      </c>
      <c r="Y12" s="11">
        <f>SUMIFS(SalesByUTMDaily[google],SalesByUTMDaily[day],TableDailySummary[[#This Row],[Fecha]])</f>
        <v>0</v>
      </c>
      <c r="Z12" s="11">
        <f>_xlfn.XLOOKUP(TableDailySummary[[#This Row],[Fecha]],SummaryDaily[day],SummaryDaily[MetaAdsOperation.spend],0)</f>
        <v>0</v>
      </c>
      <c r="AA12" s="11">
        <f>SUMIFS(SalesByUTMDaily[facebook],SalesByUTMDaily[day],TableDailySummary[[#This Row],[Fecha]])</f>
        <v>0</v>
      </c>
      <c r="AB12" s="11">
        <f>TableDailySummary[[#This Row],[Inversión google ads]]+TableDailySummary[[#This Row],[Inversión meta ads]]</f>
        <v>0</v>
      </c>
      <c r="AC12" s="11">
        <f>TableDailySummary[[#This Row],[Ventas google ads]]+TableDailySummary[[#This Row],[Ventas meta ads]]</f>
        <v>0</v>
      </c>
      <c r="AD12" s="14">
        <f>IFERROR(TableDailySummary[[#This Row],[Ventas publicidad]]/TableDailySummary[[#This Row],[Inversión publicidad]],0)</f>
        <v>0</v>
      </c>
      <c r="AE12" s="14">
        <f>IFERROR(TableDailySummary[[#This Row],[Ventas primer cliente]]/TableDailySummary[[#This Row],[Inversión publicidad]],0)</f>
        <v>0</v>
      </c>
      <c r="AF12" s="14"/>
      <c r="AG12" s="11"/>
      <c r="AM12" s="11">
        <f>_xlfn.XLOOKUP(TableDailySummary[[#This Row],[Fecha]],SummaryDaily[day],SummaryDaily[net_sales_with_cost_recorded],0)</f>
        <v>0</v>
      </c>
      <c r="AN12" s="11">
        <f>_xlfn.XLOOKUP(TableDailySummary[[#This Row],[Fecha]],SummaryDaily[day],SummaryDaily[cost_of_goods_sold],0)</f>
        <v>0</v>
      </c>
      <c r="AO12" s="11">
        <f>_xlfn.XLOOKUP(TableDailySummary[[#This Row],[Fecha]],SummaryDaily[day],SummaryDaily[gross_profit],0)</f>
        <v>0</v>
      </c>
      <c r="AP12" s="18">
        <f>IFERROR(TableDailySummary[[#This Row],[Utilidad bruta]]/TableDailySummary[[#This Row],[Ventas netas con costo registrado]],0)</f>
        <v>0</v>
      </c>
    </row>
    <row r="13" spans="2:42" x14ac:dyDescent="0.2">
      <c r="B13" s="15" cm="1">
        <f t="array" ref="B13">ParamFechaInicioReporte + (ROW(TableDailySummary[#This Row]) - ROW(TableDailySummary[[#Headers],[Dia]]) - 1)</f>
        <v>44540</v>
      </c>
      <c r="C13" s="6">
        <f>TableDailySummary[[#This Row],[Dia]]</f>
        <v>44540</v>
      </c>
      <c r="D13" s="11">
        <f>_xlfn.XLOOKUP(TableDailySummary[[#This Row],[Fecha]],SummaryDaily[day],SummaryDaily[net_sales],0)</f>
        <v>0</v>
      </c>
      <c r="E13" s="11">
        <f>_xlfn.XLOOKUP(TableDailySummary[[#This Row],[Fecha]],SummaryDaily[day],SummaryDaily[orders],0)</f>
        <v>0</v>
      </c>
      <c r="F13" s="11">
        <f>_xlfn.XLOOKUP(TableDailySummary[[#This Row],[Fecha]],SummaryDaily[day],SummaryDaily[average_order_value],0)</f>
        <v>0</v>
      </c>
      <c r="G13" s="24" cm="1">
        <f t="array" ref="G13">_xlfn.XLOOKUP(TableDailySummary[[#This Row],[Fecha]]&amp;"Total site",ConversionRateByReferral[day]&amp;ConversionRateByReferral[referrer_source],ConversionRateByReferral[conversion_rate],0)</f>
        <v>0</v>
      </c>
      <c r="H13" s="11">
        <f>TableDailySummary[[#This Row],[Órden promedio totales]]*TableDailySummary[[#This Row],[CR totales]]</f>
        <v>0</v>
      </c>
      <c r="I13" s="11">
        <f>_xlfn.XLOOKUP(TableDailySummary[[#This Row],[Fecha]],SummaryDaily[day],SummaryDaily[new_net_sales],0)</f>
        <v>0</v>
      </c>
      <c r="J13" s="11">
        <f>_xlfn.XLOOKUP(TableDailySummary[[#This Row],[Fecha]],SummaryDaily[day],SummaryDaily[new_orders],0)</f>
        <v>0</v>
      </c>
      <c r="K13" s="11">
        <f>_xlfn.XLOOKUP(TableDailySummary[[#This Row],[Fecha]],SummaryDaily[day],SummaryDaily[new_average_order_value],0)</f>
        <v>0</v>
      </c>
      <c r="L13" s="11">
        <f>_xlfn.XLOOKUP(TableDailySummary[[#This Row],[Fecha]],SummaryDaily[day],SummaryDaily[Online Store_net_sales],0)</f>
        <v>0</v>
      </c>
      <c r="M13" s="11">
        <f>_xlfn.XLOOKUP(TableDailySummary[[#This Row],[Fecha]],SummaryDaily[day],SummaryDaily[Online Store_orders],0)</f>
        <v>0</v>
      </c>
      <c r="N13" s="11">
        <f>_xlfn.XLOOKUP(TableDailySummary[[#This Row],[Fecha]],SummaryDaily[day],SummaryDaily[Online Store_average_order_value],0)</f>
        <v>0</v>
      </c>
      <c r="O13" s="11">
        <f>_xlfn.XLOOKUP(TableDailySummary[[#This Row],[Fecha]],SummaryDaily[day],SummaryDaily[Tienda 81_net_sales],0)</f>
        <v>0</v>
      </c>
      <c r="P13" s="11">
        <f>_xlfn.XLOOKUP(TableDailySummary[[#This Row],[Fecha]],SummaryDaily[day],SummaryDaily[Tienda 81_orders],0)</f>
        <v>0</v>
      </c>
      <c r="Q13" s="11">
        <f>_xlfn.XLOOKUP(TableDailySummary[[#This Row],[Fecha]],SummaryDaily[day],SummaryDaily[Tienda 81_average_order_value],0)</f>
        <v>0</v>
      </c>
      <c r="R13" s="11">
        <f>_xlfn.XLOOKUP(TableDailySummary[[#This Row],[Fecha]],SummaryDaily[day],SummaryDaily[Rappi_net_sales],0)</f>
        <v>0</v>
      </c>
      <c r="S13" s="11">
        <f>_xlfn.XLOOKUP(TableDailySummary[[#This Row],[Fecha]],SummaryDaily[day],SummaryDaily[Rappi_orders],0)</f>
        <v>0</v>
      </c>
      <c r="T13" s="11">
        <f>_xlfn.XLOOKUP(TableDailySummary[[#This Row],[Fecha]],SummaryDaily[day],SummaryDaily[Rappi_average_order_value],0)</f>
        <v>0</v>
      </c>
      <c r="U13" s="11">
        <f>_xlfn.XLOOKUP(TableDailySummary[[#This Row],[Fecha]],SummaryDaily[day],SummaryDaily[Corporativo no tienda_net_sales],0)</f>
        <v>0</v>
      </c>
      <c r="V13" s="11">
        <f>_xlfn.XLOOKUP(TableDailySummary[[#This Row],[Fecha]],SummaryDaily[day],SummaryDaily[Corporativo no tienda_orders],0)</f>
        <v>0</v>
      </c>
      <c r="W13" s="11">
        <f>_xlfn.XLOOKUP(TableDailySummary[[#This Row],[Fecha]],SummaryDaily[day],SummaryDaily[Corporativo no tienda_average_order_value],0)</f>
        <v>0</v>
      </c>
      <c r="X13" s="11">
        <f>_xlfn.XLOOKUP(TableDailySummary[[#This Row],[Fecha]],SummaryDaily[day],SummaryDaily[GoogleAdsOperation.Cost],0)</f>
        <v>0</v>
      </c>
      <c r="Y13" s="11">
        <f>SUMIFS(SalesByUTMDaily[google],SalesByUTMDaily[day],TableDailySummary[[#This Row],[Fecha]])</f>
        <v>0</v>
      </c>
      <c r="Z13" s="11">
        <f>_xlfn.XLOOKUP(TableDailySummary[[#This Row],[Fecha]],SummaryDaily[day],SummaryDaily[MetaAdsOperation.spend],0)</f>
        <v>0</v>
      </c>
      <c r="AA13" s="11">
        <f>SUMIFS(SalesByUTMDaily[facebook],SalesByUTMDaily[day],TableDailySummary[[#This Row],[Fecha]])</f>
        <v>0</v>
      </c>
      <c r="AB13" s="11">
        <f>TableDailySummary[[#This Row],[Inversión google ads]]+TableDailySummary[[#This Row],[Inversión meta ads]]</f>
        <v>0</v>
      </c>
      <c r="AC13" s="11">
        <f>TableDailySummary[[#This Row],[Ventas google ads]]+TableDailySummary[[#This Row],[Ventas meta ads]]</f>
        <v>0</v>
      </c>
      <c r="AD13" s="14">
        <f>IFERROR(TableDailySummary[[#This Row],[Ventas publicidad]]/TableDailySummary[[#This Row],[Inversión publicidad]],0)</f>
        <v>0</v>
      </c>
      <c r="AE13" s="14">
        <f>IFERROR(TableDailySummary[[#This Row],[Ventas primer cliente]]/TableDailySummary[[#This Row],[Inversión publicidad]],0)</f>
        <v>0</v>
      </c>
      <c r="AF13" s="14"/>
      <c r="AG13" s="11"/>
      <c r="AM13" s="11">
        <f>_xlfn.XLOOKUP(TableDailySummary[[#This Row],[Fecha]],SummaryDaily[day],SummaryDaily[net_sales_with_cost_recorded],0)</f>
        <v>0</v>
      </c>
      <c r="AN13" s="11">
        <f>_xlfn.XLOOKUP(TableDailySummary[[#This Row],[Fecha]],SummaryDaily[day],SummaryDaily[cost_of_goods_sold],0)</f>
        <v>0</v>
      </c>
      <c r="AO13" s="11">
        <f>_xlfn.XLOOKUP(TableDailySummary[[#This Row],[Fecha]],SummaryDaily[day],SummaryDaily[gross_profit],0)</f>
        <v>0</v>
      </c>
      <c r="AP13" s="18">
        <f>IFERROR(TableDailySummary[[#This Row],[Utilidad bruta]]/TableDailySummary[[#This Row],[Ventas netas con costo registrado]],0)</f>
        <v>0</v>
      </c>
    </row>
    <row r="14" spans="2:42" x14ac:dyDescent="0.2">
      <c r="B14" s="15" cm="1">
        <f t="array" ref="B14">ParamFechaInicioReporte + (ROW(TableDailySummary[#This Row]) - ROW(TableDailySummary[[#Headers],[Dia]]) - 1)</f>
        <v>44541</v>
      </c>
      <c r="C14" s="6">
        <f>TableDailySummary[[#This Row],[Dia]]</f>
        <v>44541</v>
      </c>
      <c r="D14" s="11">
        <f>_xlfn.XLOOKUP(TableDailySummary[[#This Row],[Fecha]],SummaryDaily[day],SummaryDaily[net_sales],0)</f>
        <v>0</v>
      </c>
      <c r="E14" s="11">
        <f>_xlfn.XLOOKUP(TableDailySummary[[#This Row],[Fecha]],SummaryDaily[day],SummaryDaily[orders],0)</f>
        <v>0</v>
      </c>
      <c r="F14" s="11">
        <f>_xlfn.XLOOKUP(TableDailySummary[[#This Row],[Fecha]],SummaryDaily[day],SummaryDaily[average_order_value],0)</f>
        <v>0</v>
      </c>
      <c r="G14" s="24" cm="1">
        <f t="array" ref="G14">_xlfn.XLOOKUP(TableDailySummary[[#This Row],[Fecha]]&amp;"Total site",ConversionRateByReferral[day]&amp;ConversionRateByReferral[referrer_source],ConversionRateByReferral[conversion_rate],0)</f>
        <v>0</v>
      </c>
      <c r="H14" s="11">
        <f>TableDailySummary[[#This Row],[Órden promedio totales]]*TableDailySummary[[#This Row],[CR totales]]</f>
        <v>0</v>
      </c>
      <c r="I14" s="11">
        <f>_xlfn.XLOOKUP(TableDailySummary[[#This Row],[Fecha]],SummaryDaily[day],SummaryDaily[new_net_sales],0)</f>
        <v>0</v>
      </c>
      <c r="J14" s="11">
        <f>_xlfn.XLOOKUP(TableDailySummary[[#This Row],[Fecha]],SummaryDaily[day],SummaryDaily[new_orders],0)</f>
        <v>0</v>
      </c>
      <c r="K14" s="11">
        <f>_xlfn.XLOOKUP(TableDailySummary[[#This Row],[Fecha]],SummaryDaily[day],SummaryDaily[new_average_order_value],0)</f>
        <v>0</v>
      </c>
      <c r="L14" s="11">
        <f>_xlfn.XLOOKUP(TableDailySummary[[#This Row],[Fecha]],SummaryDaily[day],SummaryDaily[Online Store_net_sales],0)</f>
        <v>0</v>
      </c>
      <c r="M14" s="11">
        <f>_xlfn.XLOOKUP(TableDailySummary[[#This Row],[Fecha]],SummaryDaily[day],SummaryDaily[Online Store_orders],0)</f>
        <v>0</v>
      </c>
      <c r="N14" s="11">
        <f>_xlfn.XLOOKUP(TableDailySummary[[#This Row],[Fecha]],SummaryDaily[day],SummaryDaily[Online Store_average_order_value],0)</f>
        <v>0</v>
      </c>
      <c r="O14" s="11">
        <f>_xlfn.XLOOKUP(TableDailySummary[[#This Row],[Fecha]],SummaryDaily[day],SummaryDaily[Tienda 81_net_sales],0)</f>
        <v>0</v>
      </c>
      <c r="P14" s="11">
        <f>_xlfn.XLOOKUP(TableDailySummary[[#This Row],[Fecha]],SummaryDaily[day],SummaryDaily[Tienda 81_orders],0)</f>
        <v>0</v>
      </c>
      <c r="Q14" s="11">
        <f>_xlfn.XLOOKUP(TableDailySummary[[#This Row],[Fecha]],SummaryDaily[day],SummaryDaily[Tienda 81_average_order_value],0)</f>
        <v>0</v>
      </c>
      <c r="R14" s="11">
        <f>_xlfn.XLOOKUP(TableDailySummary[[#This Row],[Fecha]],SummaryDaily[day],SummaryDaily[Rappi_net_sales],0)</f>
        <v>0</v>
      </c>
      <c r="S14" s="11">
        <f>_xlfn.XLOOKUP(TableDailySummary[[#This Row],[Fecha]],SummaryDaily[day],SummaryDaily[Rappi_orders],0)</f>
        <v>0</v>
      </c>
      <c r="T14" s="11">
        <f>_xlfn.XLOOKUP(TableDailySummary[[#This Row],[Fecha]],SummaryDaily[day],SummaryDaily[Rappi_average_order_value],0)</f>
        <v>0</v>
      </c>
      <c r="U14" s="11">
        <f>_xlfn.XLOOKUP(TableDailySummary[[#This Row],[Fecha]],SummaryDaily[day],SummaryDaily[Corporativo no tienda_net_sales],0)</f>
        <v>0</v>
      </c>
      <c r="V14" s="11">
        <f>_xlfn.XLOOKUP(TableDailySummary[[#This Row],[Fecha]],SummaryDaily[day],SummaryDaily[Corporativo no tienda_orders],0)</f>
        <v>0</v>
      </c>
      <c r="W14" s="11">
        <f>_xlfn.XLOOKUP(TableDailySummary[[#This Row],[Fecha]],SummaryDaily[day],SummaryDaily[Corporativo no tienda_average_order_value],0)</f>
        <v>0</v>
      </c>
      <c r="X14" s="11">
        <f>_xlfn.XLOOKUP(TableDailySummary[[#This Row],[Fecha]],SummaryDaily[day],SummaryDaily[GoogleAdsOperation.Cost],0)</f>
        <v>0</v>
      </c>
      <c r="Y14" s="11">
        <f>SUMIFS(SalesByUTMDaily[google],SalesByUTMDaily[day],TableDailySummary[[#This Row],[Fecha]])</f>
        <v>0</v>
      </c>
      <c r="Z14" s="11">
        <f>_xlfn.XLOOKUP(TableDailySummary[[#This Row],[Fecha]],SummaryDaily[day],SummaryDaily[MetaAdsOperation.spend],0)</f>
        <v>0</v>
      </c>
      <c r="AA14" s="11">
        <f>SUMIFS(SalesByUTMDaily[facebook],SalesByUTMDaily[day],TableDailySummary[[#This Row],[Fecha]])</f>
        <v>0</v>
      </c>
      <c r="AB14" s="11">
        <f>TableDailySummary[[#This Row],[Inversión google ads]]+TableDailySummary[[#This Row],[Inversión meta ads]]</f>
        <v>0</v>
      </c>
      <c r="AC14" s="11">
        <f>TableDailySummary[[#This Row],[Ventas google ads]]+TableDailySummary[[#This Row],[Ventas meta ads]]</f>
        <v>0</v>
      </c>
      <c r="AD14" s="14">
        <f>IFERROR(TableDailySummary[[#This Row],[Ventas publicidad]]/TableDailySummary[[#This Row],[Inversión publicidad]],0)</f>
        <v>0</v>
      </c>
      <c r="AE14" s="14">
        <f>IFERROR(TableDailySummary[[#This Row],[Ventas primer cliente]]/TableDailySummary[[#This Row],[Inversión publicidad]],0)</f>
        <v>0</v>
      </c>
      <c r="AF14" s="14"/>
      <c r="AG14" s="11"/>
      <c r="AM14" s="11">
        <f>_xlfn.XLOOKUP(TableDailySummary[[#This Row],[Fecha]],SummaryDaily[day],SummaryDaily[net_sales_with_cost_recorded],0)</f>
        <v>0</v>
      </c>
      <c r="AN14" s="11">
        <f>_xlfn.XLOOKUP(TableDailySummary[[#This Row],[Fecha]],SummaryDaily[day],SummaryDaily[cost_of_goods_sold],0)</f>
        <v>0</v>
      </c>
      <c r="AO14" s="11">
        <f>_xlfn.XLOOKUP(TableDailySummary[[#This Row],[Fecha]],SummaryDaily[day],SummaryDaily[gross_profit],0)</f>
        <v>0</v>
      </c>
      <c r="AP14" s="18">
        <f>IFERROR(TableDailySummary[[#This Row],[Utilidad bruta]]/TableDailySummary[[#This Row],[Ventas netas con costo registrado]],0)</f>
        <v>0</v>
      </c>
    </row>
    <row r="15" spans="2:42" x14ac:dyDescent="0.2">
      <c r="B15" s="15" cm="1">
        <f t="array" ref="B15">ParamFechaInicioReporte + (ROW(TableDailySummary[#This Row]) - ROW(TableDailySummary[[#Headers],[Dia]]) - 1)</f>
        <v>44542</v>
      </c>
      <c r="C15" s="6">
        <f>TableDailySummary[[#This Row],[Dia]]</f>
        <v>44542</v>
      </c>
      <c r="D15" s="11">
        <f>_xlfn.XLOOKUP(TableDailySummary[[#This Row],[Fecha]],SummaryDaily[day],SummaryDaily[net_sales],0)</f>
        <v>0</v>
      </c>
      <c r="E15" s="11">
        <f>_xlfn.XLOOKUP(TableDailySummary[[#This Row],[Fecha]],SummaryDaily[day],SummaryDaily[orders],0)</f>
        <v>0</v>
      </c>
      <c r="F15" s="11">
        <f>_xlfn.XLOOKUP(TableDailySummary[[#This Row],[Fecha]],SummaryDaily[day],SummaryDaily[average_order_value],0)</f>
        <v>0</v>
      </c>
      <c r="G15" s="24" cm="1">
        <f t="array" ref="G15">_xlfn.XLOOKUP(TableDailySummary[[#This Row],[Fecha]]&amp;"Total site",ConversionRateByReferral[day]&amp;ConversionRateByReferral[referrer_source],ConversionRateByReferral[conversion_rate],0)</f>
        <v>0</v>
      </c>
      <c r="H15" s="11">
        <f>TableDailySummary[[#This Row],[Órden promedio totales]]*TableDailySummary[[#This Row],[CR totales]]</f>
        <v>0</v>
      </c>
      <c r="I15" s="11">
        <f>_xlfn.XLOOKUP(TableDailySummary[[#This Row],[Fecha]],SummaryDaily[day],SummaryDaily[new_net_sales],0)</f>
        <v>0</v>
      </c>
      <c r="J15" s="11">
        <f>_xlfn.XLOOKUP(TableDailySummary[[#This Row],[Fecha]],SummaryDaily[day],SummaryDaily[new_orders],0)</f>
        <v>0</v>
      </c>
      <c r="K15" s="11">
        <f>_xlfn.XLOOKUP(TableDailySummary[[#This Row],[Fecha]],SummaryDaily[day],SummaryDaily[new_average_order_value],0)</f>
        <v>0</v>
      </c>
      <c r="L15" s="11">
        <f>_xlfn.XLOOKUP(TableDailySummary[[#This Row],[Fecha]],SummaryDaily[day],SummaryDaily[Online Store_net_sales],0)</f>
        <v>0</v>
      </c>
      <c r="M15" s="11">
        <f>_xlfn.XLOOKUP(TableDailySummary[[#This Row],[Fecha]],SummaryDaily[day],SummaryDaily[Online Store_orders],0)</f>
        <v>0</v>
      </c>
      <c r="N15" s="11">
        <f>_xlfn.XLOOKUP(TableDailySummary[[#This Row],[Fecha]],SummaryDaily[day],SummaryDaily[Online Store_average_order_value],0)</f>
        <v>0</v>
      </c>
      <c r="O15" s="11">
        <f>_xlfn.XLOOKUP(TableDailySummary[[#This Row],[Fecha]],SummaryDaily[day],SummaryDaily[Tienda 81_net_sales],0)</f>
        <v>0</v>
      </c>
      <c r="P15" s="11">
        <f>_xlfn.XLOOKUP(TableDailySummary[[#This Row],[Fecha]],SummaryDaily[day],SummaryDaily[Tienda 81_orders],0)</f>
        <v>0</v>
      </c>
      <c r="Q15" s="11">
        <f>_xlfn.XLOOKUP(TableDailySummary[[#This Row],[Fecha]],SummaryDaily[day],SummaryDaily[Tienda 81_average_order_value],0)</f>
        <v>0</v>
      </c>
      <c r="R15" s="11">
        <f>_xlfn.XLOOKUP(TableDailySummary[[#This Row],[Fecha]],SummaryDaily[day],SummaryDaily[Rappi_net_sales],0)</f>
        <v>0</v>
      </c>
      <c r="S15" s="11">
        <f>_xlfn.XLOOKUP(TableDailySummary[[#This Row],[Fecha]],SummaryDaily[day],SummaryDaily[Rappi_orders],0)</f>
        <v>0</v>
      </c>
      <c r="T15" s="11">
        <f>_xlfn.XLOOKUP(TableDailySummary[[#This Row],[Fecha]],SummaryDaily[day],SummaryDaily[Rappi_average_order_value],0)</f>
        <v>0</v>
      </c>
      <c r="U15" s="11">
        <f>_xlfn.XLOOKUP(TableDailySummary[[#This Row],[Fecha]],SummaryDaily[day],SummaryDaily[Corporativo no tienda_net_sales],0)</f>
        <v>0</v>
      </c>
      <c r="V15" s="11">
        <f>_xlfn.XLOOKUP(TableDailySummary[[#This Row],[Fecha]],SummaryDaily[day],SummaryDaily[Corporativo no tienda_orders],0)</f>
        <v>0</v>
      </c>
      <c r="W15" s="11">
        <f>_xlfn.XLOOKUP(TableDailySummary[[#This Row],[Fecha]],SummaryDaily[day],SummaryDaily[Corporativo no tienda_average_order_value],0)</f>
        <v>0</v>
      </c>
      <c r="X15" s="11">
        <f>_xlfn.XLOOKUP(TableDailySummary[[#This Row],[Fecha]],SummaryDaily[day],SummaryDaily[GoogleAdsOperation.Cost],0)</f>
        <v>0</v>
      </c>
      <c r="Y15" s="11">
        <f>SUMIFS(SalesByUTMDaily[google],SalesByUTMDaily[day],TableDailySummary[[#This Row],[Fecha]])</f>
        <v>0</v>
      </c>
      <c r="Z15" s="11">
        <f>_xlfn.XLOOKUP(TableDailySummary[[#This Row],[Fecha]],SummaryDaily[day],SummaryDaily[MetaAdsOperation.spend],0)</f>
        <v>0</v>
      </c>
      <c r="AA15" s="11">
        <f>SUMIFS(SalesByUTMDaily[facebook],SalesByUTMDaily[day],TableDailySummary[[#This Row],[Fecha]])</f>
        <v>0</v>
      </c>
      <c r="AB15" s="11">
        <f>TableDailySummary[[#This Row],[Inversión google ads]]+TableDailySummary[[#This Row],[Inversión meta ads]]</f>
        <v>0</v>
      </c>
      <c r="AC15" s="11">
        <f>TableDailySummary[[#This Row],[Ventas google ads]]+TableDailySummary[[#This Row],[Ventas meta ads]]</f>
        <v>0</v>
      </c>
      <c r="AD15" s="14">
        <f>IFERROR(TableDailySummary[[#This Row],[Ventas publicidad]]/TableDailySummary[[#This Row],[Inversión publicidad]],0)</f>
        <v>0</v>
      </c>
      <c r="AE15" s="14">
        <f>IFERROR(TableDailySummary[[#This Row],[Ventas primer cliente]]/TableDailySummary[[#This Row],[Inversión publicidad]],0)</f>
        <v>0</v>
      </c>
      <c r="AF15" s="14"/>
      <c r="AG15" s="11"/>
      <c r="AM15" s="11">
        <f>_xlfn.XLOOKUP(TableDailySummary[[#This Row],[Fecha]],SummaryDaily[day],SummaryDaily[net_sales_with_cost_recorded],0)</f>
        <v>0</v>
      </c>
      <c r="AN15" s="11">
        <f>_xlfn.XLOOKUP(TableDailySummary[[#This Row],[Fecha]],SummaryDaily[day],SummaryDaily[cost_of_goods_sold],0)</f>
        <v>0</v>
      </c>
      <c r="AO15" s="11">
        <f>_xlfn.XLOOKUP(TableDailySummary[[#This Row],[Fecha]],SummaryDaily[day],SummaryDaily[gross_profit],0)</f>
        <v>0</v>
      </c>
      <c r="AP15" s="18">
        <f>IFERROR(TableDailySummary[[#This Row],[Utilidad bruta]]/TableDailySummary[[#This Row],[Ventas netas con costo registrado]],0)</f>
        <v>0</v>
      </c>
    </row>
    <row r="16" spans="2:42" x14ac:dyDescent="0.2">
      <c r="B16" s="15" cm="1">
        <f t="array" ref="B16">ParamFechaInicioReporte + (ROW(TableDailySummary[#This Row]) - ROW(TableDailySummary[[#Headers],[Dia]]) - 1)</f>
        <v>44543</v>
      </c>
      <c r="C16" s="6">
        <f>TableDailySummary[[#This Row],[Dia]]</f>
        <v>44543</v>
      </c>
      <c r="D16" s="11">
        <f>_xlfn.XLOOKUP(TableDailySummary[[#This Row],[Fecha]],SummaryDaily[day],SummaryDaily[net_sales],0)</f>
        <v>0</v>
      </c>
      <c r="E16" s="11">
        <f>_xlfn.XLOOKUP(TableDailySummary[[#This Row],[Fecha]],SummaryDaily[day],SummaryDaily[orders],0)</f>
        <v>0</v>
      </c>
      <c r="F16" s="11">
        <f>_xlfn.XLOOKUP(TableDailySummary[[#This Row],[Fecha]],SummaryDaily[day],SummaryDaily[average_order_value],0)</f>
        <v>0</v>
      </c>
      <c r="G16" s="24" cm="1">
        <f t="array" ref="G16">_xlfn.XLOOKUP(TableDailySummary[[#This Row],[Fecha]]&amp;"Total site",ConversionRateByReferral[day]&amp;ConversionRateByReferral[referrer_source],ConversionRateByReferral[conversion_rate],0)</f>
        <v>0</v>
      </c>
      <c r="H16" s="11">
        <f>TableDailySummary[[#This Row],[Órden promedio totales]]*TableDailySummary[[#This Row],[CR totales]]</f>
        <v>0</v>
      </c>
      <c r="I16" s="11">
        <f>_xlfn.XLOOKUP(TableDailySummary[[#This Row],[Fecha]],SummaryDaily[day],SummaryDaily[new_net_sales],0)</f>
        <v>0</v>
      </c>
      <c r="J16" s="11">
        <f>_xlfn.XLOOKUP(TableDailySummary[[#This Row],[Fecha]],SummaryDaily[day],SummaryDaily[new_orders],0)</f>
        <v>0</v>
      </c>
      <c r="K16" s="11">
        <f>_xlfn.XLOOKUP(TableDailySummary[[#This Row],[Fecha]],SummaryDaily[day],SummaryDaily[new_average_order_value],0)</f>
        <v>0</v>
      </c>
      <c r="L16" s="11">
        <f>_xlfn.XLOOKUP(TableDailySummary[[#This Row],[Fecha]],SummaryDaily[day],SummaryDaily[Online Store_net_sales],0)</f>
        <v>0</v>
      </c>
      <c r="M16" s="11">
        <f>_xlfn.XLOOKUP(TableDailySummary[[#This Row],[Fecha]],SummaryDaily[day],SummaryDaily[Online Store_orders],0)</f>
        <v>0</v>
      </c>
      <c r="N16" s="11">
        <f>_xlfn.XLOOKUP(TableDailySummary[[#This Row],[Fecha]],SummaryDaily[day],SummaryDaily[Online Store_average_order_value],0)</f>
        <v>0</v>
      </c>
      <c r="O16" s="11">
        <f>_xlfn.XLOOKUP(TableDailySummary[[#This Row],[Fecha]],SummaryDaily[day],SummaryDaily[Tienda 81_net_sales],0)</f>
        <v>0</v>
      </c>
      <c r="P16" s="11">
        <f>_xlfn.XLOOKUP(TableDailySummary[[#This Row],[Fecha]],SummaryDaily[day],SummaryDaily[Tienda 81_orders],0)</f>
        <v>0</v>
      </c>
      <c r="Q16" s="11">
        <f>_xlfn.XLOOKUP(TableDailySummary[[#This Row],[Fecha]],SummaryDaily[day],SummaryDaily[Tienda 81_average_order_value],0)</f>
        <v>0</v>
      </c>
      <c r="R16" s="11">
        <f>_xlfn.XLOOKUP(TableDailySummary[[#This Row],[Fecha]],SummaryDaily[day],SummaryDaily[Rappi_net_sales],0)</f>
        <v>0</v>
      </c>
      <c r="S16" s="11">
        <f>_xlfn.XLOOKUP(TableDailySummary[[#This Row],[Fecha]],SummaryDaily[day],SummaryDaily[Rappi_orders],0)</f>
        <v>0</v>
      </c>
      <c r="T16" s="11">
        <f>_xlfn.XLOOKUP(TableDailySummary[[#This Row],[Fecha]],SummaryDaily[day],SummaryDaily[Rappi_average_order_value],0)</f>
        <v>0</v>
      </c>
      <c r="U16" s="11">
        <f>_xlfn.XLOOKUP(TableDailySummary[[#This Row],[Fecha]],SummaryDaily[day],SummaryDaily[Corporativo no tienda_net_sales],0)</f>
        <v>0</v>
      </c>
      <c r="V16" s="11">
        <f>_xlfn.XLOOKUP(TableDailySummary[[#This Row],[Fecha]],SummaryDaily[day],SummaryDaily[Corporativo no tienda_orders],0)</f>
        <v>0</v>
      </c>
      <c r="W16" s="11">
        <f>_xlfn.XLOOKUP(TableDailySummary[[#This Row],[Fecha]],SummaryDaily[day],SummaryDaily[Corporativo no tienda_average_order_value],0)</f>
        <v>0</v>
      </c>
      <c r="X16" s="11">
        <f>_xlfn.XLOOKUP(TableDailySummary[[#This Row],[Fecha]],SummaryDaily[day],SummaryDaily[GoogleAdsOperation.Cost],0)</f>
        <v>0</v>
      </c>
      <c r="Y16" s="11">
        <f>SUMIFS(SalesByUTMDaily[google],SalesByUTMDaily[day],TableDailySummary[[#This Row],[Fecha]])</f>
        <v>0</v>
      </c>
      <c r="Z16" s="11">
        <f>_xlfn.XLOOKUP(TableDailySummary[[#This Row],[Fecha]],SummaryDaily[day],SummaryDaily[MetaAdsOperation.spend],0)</f>
        <v>0</v>
      </c>
      <c r="AA16" s="11">
        <f>SUMIFS(SalesByUTMDaily[facebook],SalesByUTMDaily[day],TableDailySummary[[#This Row],[Fecha]])</f>
        <v>0</v>
      </c>
      <c r="AB16" s="11">
        <f>TableDailySummary[[#This Row],[Inversión google ads]]+TableDailySummary[[#This Row],[Inversión meta ads]]</f>
        <v>0</v>
      </c>
      <c r="AC16" s="11">
        <f>TableDailySummary[[#This Row],[Ventas google ads]]+TableDailySummary[[#This Row],[Ventas meta ads]]</f>
        <v>0</v>
      </c>
      <c r="AD16" s="14">
        <f>IFERROR(TableDailySummary[[#This Row],[Ventas publicidad]]/TableDailySummary[[#This Row],[Inversión publicidad]],0)</f>
        <v>0</v>
      </c>
      <c r="AE16" s="14">
        <f>IFERROR(TableDailySummary[[#This Row],[Ventas primer cliente]]/TableDailySummary[[#This Row],[Inversión publicidad]],0)</f>
        <v>0</v>
      </c>
      <c r="AF16" s="14"/>
      <c r="AG16" s="11"/>
      <c r="AM16" s="11">
        <f>_xlfn.XLOOKUP(TableDailySummary[[#This Row],[Fecha]],SummaryDaily[day],SummaryDaily[net_sales_with_cost_recorded],0)</f>
        <v>0</v>
      </c>
      <c r="AN16" s="11">
        <f>_xlfn.XLOOKUP(TableDailySummary[[#This Row],[Fecha]],SummaryDaily[day],SummaryDaily[cost_of_goods_sold],0)</f>
        <v>0</v>
      </c>
      <c r="AO16" s="11">
        <f>_xlfn.XLOOKUP(TableDailySummary[[#This Row],[Fecha]],SummaryDaily[day],SummaryDaily[gross_profit],0)</f>
        <v>0</v>
      </c>
      <c r="AP16" s="18">
        <f>IFERROR(TableDailySummary[[#This Row],[Utilidad bruta]]/TableDailySummary[[#This Row],[Ventas netas con costo registrado]],0)</f>
        <v>0</v>
      </c>
    </row>
    <row r="17" spans="2:42" x14ac:dyDescent="0.2">
      <c r="B17" s="15" cm="1">
        <f t="array" ref="B17">ParamFechaInicioReporte + (ROW(TableDailySummary[#This Row]) - ROW(TableDailySummary[[#Headers],[Dia]]) - 1)</f>
        <v>44544</v>
      </c>
      <c r="C17" s="6">
        <f>TableDailySummary[[#This Row],[Dia]]</f>
        <v>44544</v>
      </c>
      <c r="D17" s="11">
        <f>_xlfn.XLOOKUP(TableDailySummary[[#This Row],[Fecha]],SummaryDaily[day],SummaryDaily[net_sales],0)</f>
        <v>0</v>
      </c>
      <c r="E17" s="11">
        <f>_xlfn.XLOOKUP(TableDailySummary[[#This Row],[Fecha]],SummaryDaily[day],SummaryDaily[orders],0)</f>
        <v>0</v>
      </c>
      <c r="F17" s="11">
        <f>_xlfn.XLOOKUP(TableDailySummary[[#This Row],[Fecha]],SummaryDaily[day],SummaryDaily[average_order_value],0)</f>
        <v>0</v>
      </c>
      <c r="G17" s="24" cm="1">
        <f t="array" ref="G17">_xlfn.XLOOKUP(TableDailySummary[[#This Row],[Fecha]]&amp;"Total site",ConversionRateByReferral[day]&amp;ConversionRateByReferral[referrer_source],ConversionRateByReferral[conversion_rate],0)</f>
        <v>0</v>
      </c>
      <c r="H17" s="11">
        <f>TableDailySummary[[#This Row],[Órden promedio totales]]*TableDailySummary[[#This Row],[CR totales]]</f>
        <v>0</v>
      </c>
      <c r="I17" s="11">
        <f>_xlfn.XLOOKUP(TableDailySummary[[#This Row],[Fecha]],SummaryDaily[day],SummaryDaily[new_net_sales],0)</f>
        <v>0</v>
      </c>
      <c r="J17" s="11">
        <f>_xlfn.XLOOKUP(TableDailySummary[[#This Row],[Fecha]],SummaryDaily[day],SummaryDaily[new_orders],0)</f>
        <v>0</v>
      </c>
      <c r="K17" s="11">
        <f>_xlfn.XLOOKUP(TableDailySummary[[#This Row],[Fecha]],SummaryDaily[day],SummaryDaily[new_average_order_value],0)</f>
        <v>0</v>
      </c>
      <c r="L17" s="11">
        <f>_xlfn.XLOOKUP(TableDailySummary[[#This Row],[Fecha]],SummaryDaily[day],SummaryDaily[Online Store_net_sales],0)</f>
        <v>0</v>
      </c>
      <c r="M17" s="11">
        <f>_xlfn.XLOOKUP(TableDailySummary[[#This Row],[Fecha]],SummaryDaily[day],SummaryDaily[Online Store_orders],0)</f>
        <v>0</v>
      </c>
      <c r="N17" s="11">
        <f>_xlfn.XLOOKUP(TableDailySummary[[#This Row],[Fecha]],SummaryDaily[day],SummaryDaily[Online Store_average_order_value],0)</f>
        <v>0</v>
      </c>
      <c r="O17" s="11">
        <f>_xlfn.XLOOKUP(TableDailySummary[[#This Row],[Fecha]],SummaryDaily[day],SummaryDaily[Tienda 81_net_sales],0)</f>
        <v>0</v>
      </c>
      <c r="P17" s="11">
        <f>_xlfn.XLOOKUP(TableDailySummary[[#This Row],[Fecha]],SummaryDaily[day],SummaryDaily[Tienda 81_orders],0)</f>
        <v>0</v>
      </c>
      <c r="Q17" s="11">
        <f>_xlfn.XLOOKUP(TableDailySummary[[#This Row],[Fecha]],SummaryDaily[day],SummaryDaily[Tienda 81_average_order_value],0)</f>
        <v>0</v>
      </c>
      <c r="R17" s="11">
        <f>_xlfn.XLOOKUP(TableDailySummary[[#This Row],[Fecha]],SummaryDaily[day],SummaryDaily[Rappi_net_sales],0)</f>
        <v>0</v>
      </c>
      <c r="S17" s="11">
        <f>_xlfn.XLOOKUP(TableDailySummary[[#This Row],[Fecha]],SummaryDaily[day],SummaryDaily[Rappi_orders],0)</f>
        <v>0</v>
      </c>
      <c r="T17" s="11">
        <f>_xlfn.XLOOKUP(TableDailySummary[[#This Row],[Fecha]],SummaryDaily[day],SummaryDaily[Rappi_average_order_value],0)</f>
        <v>0</v>
      </c>
      <c r="U17" s="11">
        <f>_xlfn.XLOOKUP(TableDailySummary[[#This Row],[Fecha]],SummaryDaily[day],SummaryDaily[Corporativo no tienda_net_sales],0)</f>
        <v>0</v>
      </c>
      <c r="V17" s="11">
        <f>_xlfn.XLOOKUP(TableDailySummary[[#This Row],[Fecha]],SummaryDaily[day],SummaryDaily[Corporativo no tienda_orders],0)</f>
        <v>0</v>
      </c>
      <c r="W17" s="11">
        <f>_xlfn.XLOOKUP(TableDailySummary[[#This Row],[Fecha]],SummaryDaily[day],SummaryDaily[Corporativo no tienda_average_order_value],0)</f>
        <v>0</v>
      </c>
      <c r="X17" s="11">
        <f>_xlfn.XLOOKUP(TableDailySummary[[#This Row],[Fecha]],SummaryDaily[day],SummaryDaily[GoogleAdsOperation.Cost],0)</f>
        <v>0</v>
      </c>
      <c r="Y17" s="11">
        <f>SUMIFS(SalesByUTMDaily[google],SalesByUTMDaily[day],TableDailySummary[[#This Row],[Fecha]])</f>
        <v>0</v>
      </c>
      <c r="Z17" s="11">
        <f>_xlfn.XLOOKUP(TableDailySummary[[#This Row],[Fecha]],SummaryDaily[day],SummaryDaily[MetaAdsOperation.spend],0)</f>
        <v>0</v>
      </c>
      <c r="AA17" s="11">
        <f>SUMIFS(SalesByUTMDaily[facebook],SalesByUTMDaily[day],TableDailySummary[[#This Row],[Fecha]])</f>
        <v>0</v>
      </c>
      <c r="AB17" s="11">
        <f>TableDailySummary[[#This Row],[Inversión google ads]]+TableDailySummary[[#This Row],[Inversión meta ads]]</f>
        <v>0</v>
      </c>
      <c r="AC17" s="11">
        <f>TableDailySummary[[#This Row],[Ventas google ads]]+TableDailySummary[[#This Row],[Ventas meta ads]]</f>
        <v>0</v>
      </c>
      <c r="AD17" s="14">
        <f>IFERROR(TableDailySummary[[#This Row],[Ventas publicidad]]/TableDailySummary[[#This Row],[Inversión publicidad]],0)</f>
        <v>0</v>
      </c>
      <c r="AE17" s="14">
        <f>IFERROR(TableDailySummary[[#This Row],[Ventas primer cliente]]/TableDailySummary[[#This Row],[Inversión publicidad]],0)</f>
        <v>0</v>
      </c>
      <c r="AF17" s="14"/>
      <c r="AG17" s="11"/>
      <c r="AM17" s="11">
        <f>_xlfn.XLOOKUP(TableDailySummary[[#This Row],[Fecha]],SummaryDaily[day],SummaryDaily[net_sales_with_cost_recorded],0)</f>
        <v>0</v>
      </c>
      <c r="AN17" s="11">
        <f>_xlfn.XLOOKUP(TableDailySummary[[#This Row],[Fecha]],SummaryDaily[day],SummaryDaily[cost_of_goods_sold],0)</f>
        <v>0</v>
      </c>
      <c r="AO17" s="11">
        <f>_xlfn.XLOOKUP(TableDailySummary[[#This Row],[Fecha]],SummaryDaily[day],SummaryDaily[gross_profit],0)</f>
        <v>0</v>
      </c>
      <c r="AP17" s="18">
        <f>IFERROR(TableDailySummary[[#This Row],[Utilidad bruta]]/TableDailySummary[[#This Row],[Ventas netas con costo registrado]],0)</f>
        <v>0</v>
      </c>
    </row>
    <row r="18" spans="2:42" x14ac:dyDescent="0.2">
      <c r="B18" s="15" cm="1">
        <f t="array" ref="B18">ParamFechaInicioReporte + (ROW(TableDailySummary[#This Row]) - ROW(TableDailySummary[[#Headers],[Dia]]) - 1)</f>
        <v>44545</v>
      </c>
      <c r="C18" s="6">
        <f>TableDailySummary[[#This Row],[Dia]]</f>
        <v>44545</v>
      </c>
      <c r="D18" s="11">
        <f>_xlfn.XLOOKUP(TableDailySummary[[#This Row],[Fecha]],SummaryDaily[day],SummaryDaily[net_sales],0)</f>
        <v>0</v>
      </c>
      <c r="E18" s="11">
        <f>_xlfn.XLOOKUP(TableDailySummary[[#This Row],[Fecha]],SummaryDaily[day],SummaryDaily[orders],0)</f>
        <v>0</v>
      </c>
      <c r="F18" s="11">
        <f>_xlfn.XLOOKUP(TableDailySummary[[#This Row],[Fecha]],SummaryDaily[day],SummaryDaily[average_order_value],0)</f>
        <v>0</v>
      </c>
      <c r="G18" s="24" cm="1">
        <f t="array" ref="G18">_xlfn.XLOOKUP(TableDailySummary[[#This Row],[Fecha]]&amp;"Total site",ConversionRateByReferral[day]&amp;ConversionRateByReferral[referrer_source],ConversionRateByReferral[conversion_rate],0)</f>
        <v>0</v>
      </c>
      <c r="H18" s="11">
        <f>TableDailySummary[[#This Row],[Órden promedio totales]]*TableDailySummary[[#This Row],[CR totales]]</f>
        <v>0</v>
      </c>
      <c r="I18" s="11">
        <f>_xlfn.XLOOKUP(TableDailySummary[[#This Row],[Fecha]],SummaryDaily[day],SummaryDaily[new_net_sales],0)</f>
        <v>0</v>
      </c>
      <c r="J18" s="11">
        <f>_xlfn.XLOOKUP(TableDailySummary[[#This Row],[Fecha]],SummaryDaily[day],SummaryDaily[new_orders],0)</f>
        <v>0</v>
      </c>
      <c r="K18" s="11">
        <f>_xlfn.XLOOKUP(TableDailySummary[[#This Row],[Fecha]],SummaryDaily[day],SummaryDaily[new_average_order_value],0)</f>
        <v>0</v>
      </c>
      <c r="L18" s="11">
        <f>_xlfn.XLOOKUP(TableDailySummary[[#This Row],[Fecha]],SummaryDaily[day],SummaryDaily[Online Store_net_sales],0)</f>
        <v>0</v>
      </c>
      <c r="M18" s="11">
        <f>_xlfn.XLOOKUP(TableDailySummary[[#This Row],[Fecha]],SummaryDaily[day],SummaryDaily[Online Store_orders],0)</f>
        <v>0</v>
      </c>
      <c r="N18" s="11">
        <f>_xlfn.XLOOKUP(TableDailySummary[[#This Row],[Fecha]],SummaryDaily[day],SummaryDaily[Online Store_average_order_value],0)</f>
        <v>0</v>
      </c>
      <c r="O18" s="11">
        <f>_xlfn.XLOOKUP(TableDailySummary[[#This Row],[Fecha]],SummaryDaily[day],SummaryDaily[Tienda 81_net_sales],0)</f>
        <v>0</v>
      </c>
      <c r="P18" s="11">
        <f>_xlfn.XLOOKUP(TableDailySummary[[#This Row],[Fecha]],SummaryDaily[day],SummaryDaily[Tienda 81_orders],0)</f>
        <v>0</v>
      </c>
      <c r="Q18" s="11">
        <f>_xlfn.XLOOKUP(TableDailySummary[[#This Row],[Fecha]],SummaryDaily[day],SummaryDaily[Tienda 81_average_order_value],0)</f>
        <v>0</v>
      </c>
      <c r="R18" s="11">
        <f>_xlfn.XLOOKUP(TableDailySummary[[#This Row],[Fecha]],SummaryDaily[day],SummaryDaily[Rappi_net_sales],0)</f>
        <v>0</v>
      </c>
      <c r="S18" s="11">
        <f>_xlfn.XLOOKUP(TableDailySummary[[#This Row],[Fecha]],SummaryDaily[day],SummaryDaily[Rappi_orders],0)</f>
        <v>0</v>
      </c>
      <c r="T18" s="11">
        <f>_xlfn.XLOOKUP(TableDailySummary[[#This Row],[Fecha]],SummaryDaily[day],SummaryDaily[Rappi_average_order_value],0)</f>
        <v>0</v>
      </c>
      <c r="U18" s="11">
        <f>_xlfn.XLOOKUP(TableDailySummary[[#This Row],[Fecha]],SummaryDaily[day],SummaryDaily[Corporativo no tienda_net_sales],0)</f>
        <v>0</v>
      </c>
      <c r="V18" s="11">
        <f>_xlfn.XLOOKUP(TableDailySummary[[#This Row],[Fecha]],SummaryDaily[day],SummaryDaily[Corporativo no tienda_orders],0)</f>
        <v>0</v>
      </c>
      <c r="W18" s="11">
        <f>_xlfn.XLOOKUP(TableDailySummary[[#This Row],[Fecha]],SummaryDaily[day],SummaryDaily[Corporativo no tienda_average_order_value],0)</f>
        <v>0</v>
      </c>
      <c r="X18" s="11">
        <f>_xlfn.XLOOKUP(TableDailySummary[[#This Row],[Fecha]],SummaryDaily[day],SummaryDaily[GoogleAdsOperation.Cost],0)</f>
        <v>0</v>
      </c>
      <c r="Y18" s="11">
        <f>SUMIFS(SalesByUTMDaily[google],SalesByUTMDaily[day],TableDailySummary[[#This Row],[Fecha]])</f>
        <v>0</v>
      </c>
      <c r="Z18" s="11">
        <f>_xlfn.XLOOKUP(TableDailySummary[[#This Row],[Fecha]],SummaryDaily[day],SummaryDaily[MetaAdsOperation.spend],0)</f>
        <v>0</v>
      </c>
      <c r="AA18" s="11">
        <f>SUMIFS(SalesByUTMDaily[facebook],SalesByUTMDaily[day],TableDailySummary[[#This Row],[Fecha]])</f>
        <v>0</v>
      </c>
      <c r="AB18" s="11">
        <f>TableDailySummary[[#This Row],[Inversión google ads]]+TableDailySummary[[#This Row],[Inversión meta ads]]</f>
        <v>0</v>
      </c>
      <c r="AC18" s="11">
        <f>TableDailySummary[[#This Row],[Ventas google ads]]+TableDailySummary[[#This Row],[Ventas meta ads]]</f>
        <v>0</v>
      </c>
      <c r="AD18" s="14">
        <f>IFERROR(TableDailySummary[[#This Row],[Ventas publicidad]]/TableDailySummary[[#This Row],[Inversión publicidad]],0)</f>
        <v>0</v>
      </c>
      <c r="AE18" s="14">
        <f>IFERROR(TableDailySummary[[#This Row],[Ventas primer cliente]]/TableDailySummary[[#This Row],[Inversión publicidad]],0)</f>
        <v>0</v>
      </c>
      <c r="AF18" s="14"/>
      <c r="AG18" s="11"/>
      <c r="AM18" s="11">
        <f>_xlfn.XLOOKUP(TableDailySummary[[#This Row],[Fecha]],SummaryDaily[day],SummaryDaily[net_sales_with_cost_recorded],0)</f>
        <v>0</v>
      </c>
      <c r="AN18" s="11">
        <f>_xlfn.XLOOKUP(TableDailySummary[[#This Row],[Fecha]],SummaryDaily[day],SummaryDaily[cost_of_goods_sold],0)</f>
        <v>0</v>
      </c>
      <c r="AO18" s="11">
        <f>_xlfn.XLOOKUP(TableDailySummary[[#This Row],[Fecha]],SummaryDaily[day],SummaryDaily[gross_profit],0)</f>
        <v>0</v>
      </c>
      <c r="AP18" s="18">
        <f>IFERROR(TableDailySummary[[#This Row],[Utilidad bruta]]/TableDailySummary[[#This Row],[Ventas netas con costo registrado]],0)</f>
        <v>0</v>
      </c>
    </row>
    <row r="19" spans="2:42" x14ac:dyDescent="0.2">
      <c r="B19" s="15" cm="1">
        <f t="array" ref="B19">ParamFechaInicioReporte + (ROW(TableDailySummary[#This Row]) - ROW(TableDailySummary[[#Headers],[Dia]]) - 1)</f>
        <v>44546</v>
      </c>
      <c r="C19" s="6">
        <f>TableDailySummary[[#This Row],[Dia]]</f>
        <v>44546</v>
      </c>
      <c r="D19" s="11">
        <f>_xlfn.XLOOKUP(TableDailySummary[[#This Row],[Fecha]],SummaryDaily[day],SummaryDaily[net_sales],0)</f>
        <v>0</v>
      </c>
      <c r="E19" s="11">
        <f>_xlfn.XLOOKUP(TableDailySummary[[#This Row],[Fecha]],SummaryDaily[day],SummaryDaily[orders],0)</f>
        <v>0</v>
      </c>
      <c r="F19" s="11">
        <f>_xlfn.XLOOKUP(TableDailySummary[[#This Row],[Fecha]],SummaryDaily[day],SummaryDaily[average_order_value],0)</f>
        <v>0</v>
      </c>
      <c r="G19" s="24" cm="1">
        <f t="array" ref="G19">_xlfn.XLOOKUP(TableDailySummary[[#This Row],[Fecha]]&amp;"Total site",ConversionRateByReferral[day]&amp;ConversionRateByReferral[referrer_source],ConversionRateByReferral[conversion_rate],0)</f>
        <v>0</v>
      </c>
      <c r="H19" s="11">
        <f>TableDailySummary[[#This Row],[Órden promedio totales]]*TableDailySummary[[#This Row],[CR totales]]</f>
        <v>0</v>
      </c>
      <c r="I19" s="11">
        <f>_xlfn.XLOOKUP(TableDailySummary[[#This Row],[Fecha]],SummaryDaily[day],SummaryDaily[new_net_sales],0)</f>
        <v>0</v>
      </c>
      <c r="J19" s="11">
        <f>_xlfn.XLOOKUP(TableDailySummary[[#This Row],[Fecha]],SummaryDaily[day],SummaryDaily[new_orders],0)</f>
        <v>0</v>
      </c>
      <c r="K19" s="11">
        <f>_xlfn.XLOOKUP(TableDailySummary[[#This Row],[Fecha]],SummaryDaily[day],SummaryDaily[new_average_order_value],0)</f>
        <v>0</v>
      </c>
      <c r="L19" s="11">
        <f>_xlfn.XLOOKUP(TableDailySummary[[#This Row],[Fecha]],SummaryDaily[day],SummaryDaily[Online Store_net_sales],0)</f>
        <v>0</v>
      </c>
      <c r="M19" s="11">
        <f>_xlfn.XLOOKUP(TableDailySummary[[#This Row],[Fecha]],SummaryDaily[day],SummaryDaily[Online Store_orders],0)</f>
        <v>0</v>
      </c>
      <c r="N19" s="11">
        <f>_xlfn.XLOOKUP(TableDailySummary[[#This Row],[Fecha]],SummaryDaily[day],SummaryDaily[Online Store_average_order_value],0)</f>
        <v>0</v>
      </c>
      <c r="O19" s="11">
        <f>_xlfn.XLOOKUP(TableDailySummary[[#This Row],[Fecha]],SummaryDaily[day],SummaryDaily[Tienda 81_net_sales],0)</f>
        <v>0</v>
      </c>
      <c r="P19" s="11">
        <f>_xlfn.XLOOKUP(TableDailySummary[[#This Row],[Fecha]],SummaryDaily[day],SummaryDaily[Tienda 81_orders],0)</f>
        <v>0</v>
      </c>
      <c r="Q19" s="11">
        <f>_xlfn.XLOOKUP(TableDailySummary[[#This Row],[Fecha]],SummaryDaily[day],SummaryDaily[Tienda 81_average_order_value],0)</f>
        <v>0</v>
      </c>
      <c r="R19" s="11">
        <f>_xlfn.XLOOKUP(TableDailySummary[[#This Row],[Fecha]],SummaryDaily[day],SummaryDaily[Rappi_net_sales],0)</f>
        <v>0</v>
      </c>
      <c r="S19" s="11">
        <f>_xlfn.XLOOKUP(TableDailySummary[[#This Row],[Fecha]],SummaryDaily[day],SummaryDaily[Rappi_orders],0)</f>
        <v>0</v>
      </c>
      <c r="T19" s="11">
        <f>_xlfn.XLOOKUP(TableDailySummary[[#This Row],[Fecha]],SummaryDaily[day],SummaryDaily[Rappi_average_order_value],0)</f>
        <v>0</v>
      </c>
      <c r="U19" s="11">
        <f>_xlfn.XLOOKUP(TableDailySummary[[#This Row],[Fecha]],SummaryDaily[day],SummaryDaily[Corporativo no tienda_net_sales],0)</f>
        <v>0</v>
      </c>
      <c r="V19" s="11">
        <f>_xlfn.XLOOKUP(TableDailySummary[[#This Row],[Fecha]],SummaryDaily[day],SummaryDaily[Corporativo no tienda_orders],0)</f>
        <v>0</v>
      </c>
      <c r="W19" s="11">
        <f>_xlfn.XLOOKUP(TableDailySummary[[#This Row],[Fecha]],SummaryDaily[day],SummaryDaily[Corporativo no tienda_average_order_value],0)</f>
        <v>0</v>
      </c>
      <c r="X19" s="11">
        <f>_xlfn.XLOOKUP(TableDailySummary[[#This Row],[Fecha]],SummaryDaily[day],SummaryDaily[GoogleAdsOperation.Cost],0)</f>
        <v>0</v>
      </c>
      <c r="Y19" s="11">
        <f>SUMIFS(SalesByUTMDaily[google],SalesByUTMDaily[day],TableDailySummary[[#This Row],[Fecha]])</f>
        <v>0</v>
      </c>
      <c r="Z19" s="11">
        <f>_xlfn.XLOOKUP(TableDailySummary[[#This Row],[Fecha]],SummaryDaily[day],SummaryDaily[MetaAdsOperation.spend],0)</f>
        <v>0</v>
      </c>
      <c r="AA19" s="11">
        <f>SUMIFS(SalesByUTMDaily[facebook],SalesByUTMDaily[day],TableDailySummary[[#This Row],[Fecha]])</f>
        <v>0</v>
      </c>
      <c r="AB19" s="11">
        <f>TableDailySummary[[#This Row],[Inversión google ads]]+TableDailySummary[[#This Row],[Inversión meta ads]]</f>
        <v>0</v>
      </c>
      <c r="AC19" s="11">
        <f>TableDailySummary[[#This Row],[Ventas google ads]]+TableDailySummary[[#This Row],[Ventas meta ads]]</f>
        <v>0</v>
      </c>
      <c r="AD19" s="14">
        <f>IFERROR(TableDailySummary[[#This Row],[Ventas publicidad]]/TableDailySummary[[#This Row],[Inversión publicidad]],0)</f>
        <v>0</v>
      </c>
      <c r="AE19" s="14">
        <f>IFERROR(TableDailySummary[[#This Row],[Ventas primer cliente]]/TableDailySummary[[#This Row],[Inversión publicidad]],0)</f>
        <v>0</v>
      </c>
      <c r="AF19" s="14"/>
      <c r="AG19" s="11"/>
      <c r="AM19" s="11">
        <f>_xlfn.XLOOKUP(TableDailySummary[[#This Row],[Fecha]],SummaryDaily[day],SummaryDaily[net_sales_with_cost_recorded],0)</f>
        <v>0</v>
      </c>
      <c r="AN19" s="11">
        <f>_xlfn.XLOOKUP(TableDailySummary[[#This Row],[Fecha]],SummaryDaily[day],SummaryDaily[cost_of_goods_sold],0)</f>
        <v>0</v>
      </c>
      <c r="AO19" s="11">
        <f>_xlfn.XLOOKUP(TableDailySummary[[#This Row],[Fecha]],SummaryDaily[day],SummaryDaily[gross_profit],0)</f>
        <v>0</v>
      </c>
      <c r="AP19" s="18">
        <f>IFERROR(TableDailySummary[[#This Row],[Utilidad bruta]]/TableDailySummary[[#This Row],[Ventas netas con costo registrado]],0)</f>
        <v>0</v>
      </c>
    </row>
    <row r="20" spans="2:42" x14ac:dyDescent="0.2">
      <c r="B20" s="15" cm="1">
        <f t="array" ref="B20">ParamFechaInicioReporte + (ROW(TableDailySummary[#This Row]) - ROW(TableDailySummary[[#Headers],[Dia]]) - 1)</f>
        <v>44547</v>
      </c>
      <c r="C20" s="6">
        <f>TableDailySummary[[#This Row],[Dia]]</f>
        <v>44547</v>
      </c>
      <c r="D20" s="11">
        <f>_xlfn.XLOOKUP(TableDailySummary[[#This Row],[Fecha]],SummaryDaily[day],SummaryDaily[net_sales],0)</f>
        <v>0</v>
      </c>
      <c r="E20" s="11">
        <f>_xlfn.XLOOKUP(TableDailySummary[[#This Row],[Fecha]],SummaryDaily[day],SummaryDaily[orders],0)</f>
        <v>0</v>
      </c>
      <c r="F20" s="11">
        <f>_xlfn.XLOOKUP(TableDailySummary[[#This Row],[Fecha]],SummaryDaily[day],SummaryDaily[average_order_value],0)</f>
        <v>0</v>
      </c>
      <c r="G20" s="24" cm="1">
        <f t="array" ref="G20">_xlfn.XLOOKUP(TableDailySummary[[#This Row],[Fecha]]&amp;"Total site",ConversionRateByReferral[day]&amp;ConversionRateByReferral[referrer_source],ConversionRateByReferral[conversion_rate],0)</f>
        <v>0</v>
      </c>
      <c r="H20" s="11">
        <f>TableDailySummary[[#This Row],[Órden promedio totales]]*TableDailySummary[[#This Row],[CR totales]]</f>
        <v>0</v>
      </c>
      <c r="I20" s="11">
        <f>_xlfn.XLOOKUP(TableDailySummary[[#This Row],[Fecha]],SummaryDaily[day],SummaryDaily[new_net_sales],0)</f>
        <v>0</v>
      </c>
      <c r="J20" s="11">
        <f>_xlfn.XLOOKUP(TableDailySummary[[#This Row],[Fecha]],SummaryDaily[day],SummaryDaily[new_orders],0)</f>
        <v>0</v>
      </c>
      <c r="K20" s="11">
        <f>_xlfn.XLOOKUP(TableDailySummary[[#This Row],[Fecha]],SummaryDaily[day],SummaryDaily[new_average_order_value],0)</f>
        <v>0</v>
      </c>
      <c r="L20" s="11">
        <f>_xlfn.XLOOKUP(TableDailySummary[[#This Row],[Fecha]],SummaryDaily[day],SummaryDaily[Online Store_net_sales],0)</f>
        <v>0</v>
      </c>
      <c r="M20" s="11">
        <f>_xlfn.XLOOKUP(TableDailySummary[[#This Row],[Fecha]],SummaryDaily[day],SummaryDaily[Online Store_orders],0)</f>
        <v>0</v>
      </c>
      <c r="N20" s="11">
        <f>_xlfn.XLOOKUP(TableDailySummary[[#This Row],[Fecha]],SummaryDaily[day],SummaryDaily[Online Store_average_order_value],0)</f>
        <v>0</v>
      </c>
      <c r="O20" s="11">
        <f>_xlfn.XLOOKUP(TableDailySummary[[#This Row],[Fecha]],SummaryDaily[day],SummaryDaily[Tienda 81_net_sales],0)</f>
        <v>0</v>
      </c>
      <c r="P20" s="11">
        <f>_xlfn.XLOOKUP(TableDailySummary[[#This Row],[Fecha]],SummaryDaily[day],SummaryDaily[Tienda 81_orders],0)</f>
        <v>0</v>
      </c>
      <c r="Q20" s="11">
        <f>_xlfn.XLOOKUP(TableDailySummary[[#This Row],[Fecha]],SummaryDaily[day],SummaryDaily[Tienda 81_average_order_value],0)</f>
        <v>0</v>
      </c>
      <c r="R20" s="11">
        <f>_xlfn.XLOOKUP(TableDailySummary[[#This Row],[Fecha]],SummaryDaily[day],SummaryDaily[Rappi_net_sales],0)</f>
        <v>0</v>
      </c>
      <c r="S20" s="11">
        <f>_xlfn.XLOOKUP(TableDailySummary[[#This Row],[Fecha]],SummaryDaily[day],SummaryDaily[Rappi_orders],0)</f>
        <v>0</v>
      </c>
      <c r="T20" s="11">
        <f>_xlfn.XLOOKUP(TableDailySummary[[#This Row],[Fecha]],SummaryDaily[day],SummaryDaily[Rappi_average_order_value],0)</f>
        <v>0</v>
      </c>
      <c r="U20" s="11">
        <f>_xlfn.XLOOKUP(TableDailySummary[[#This Row],[Fecha]],SummaryDaily[day],SummaryDaily[Corporativo no tienda_net_sales],0)</f>
        <v>0</v>
      </c>
      <c r="V20" s="11">
        <f>_xlfn.XLOOKUP(TableDailySummary[[#This Row],[Fecha]],SummaryDaily[day],SummaryDaily[Corporativo no tienda_orders],0)</f>
        <v>0</v>
      </c>
      <c r="W20" s="11">
        <f>_xlfn.XLOOKUP(TableDailySummary[[#This Row],[Fecha]],SummaryDaily[day],SummaryDaily[Corporativo no tienda_average_order_value],0)</f>
        <v>0</v>
      </c>
      <c r="X20" s="11">
        <f>_xlfn.XLOOKUP(TableDailySummary[[#This Row],[Fecha]],SummaryDaily[day],SummaryDaily[GoogleAdsOperation.Cost],0)</f>
        <v>0</v>
      </c>
      <c r="Y20" s="11">
        <f>SUMIFS(SalesByUTMDaily[google],SalesByUTMDaily[day],TableDailySummary[[#This Row],[Fecha]])</f>
        <v>0</v>
      </c>
      <c r="Z20" s="11">
        <f>_xlfn.XLOOKUP(TableDailySummary[[#This Row],[Fecha]],SummaryDaily[day],SummaryDaily[MetaAdsOperation.spend],0)</f>
        <v>0</v>
      </c>
      <c r="AA20" s="11">
        <f>SUMIFS(SalesByUTMDaily[facebook],SalesByUTMDaily[day],TableDailySummary[[#This Row],[Fecha]])</f>
        <v>0</v>
      </c>
      <c r="AB20" s="11">
        <f>TableDailySummary[[#This Row],[Inversión google ads]]+TableDailySummary[[#This Row],[Inversión meta ads]]</f>
        <v>0</v>
      </c>
      <c r="AC20" s="11">
        <f>TableDailySummary[[#This Row],[Ventas google ads]]+TableDailySummary[[#This Row],[Ventas meta ads]]</f>
        <v>0</v>
      </c>
      <c r="AD20" s="14">
        <f>IFERROR(TableDailySummary[[#This Row],[Ventas publicidad]]/TableDailySummary[[#This Row],[Inversión publicidad]],0)</f>
        <v>0</v>
      </c>
      <c r="AE20" s="14">
        <f>IFERROR(TableDailySummary[[#This Row],[Ventas primer cliente]]/TableDailySummary[[#This Row],[Inversión publicidad]],0)</f>
        <v>0</v>
      </c>
      <c r="AF20" s="14"/>
      <c r="AG20" s="11"/>
      <c r="AM20" s="11">
        <f>_xlfn.XLOOKUP(TableDailySummary[[#This Row],[Fecha]],SummaryDaily[day],SummaryDaily[net_sales_with_cost_recorded],0)</f>
        <v>0</v>
      </c>
      <c r="AN20" s="11">
        <f>_xlfn.XLOOKUP(TableDailySummary[[#This Row],[Fecha]],SummaryDaily[day],SummaryDaily[cost_of_goods_sold],0)</f>
        <v>0</v>
      </c>
      <c r="AO20" s="11">
        <f>_xlfn.XLOOKUP(TableDailySummary[[#This Row],[Fecha]],SummaryDaily[day],SummaryDaily[gross_profit],0)</f>
        <v>0</v>
      </c>
      <c r="AP20" s="18">
        <f>IFERROR(TableDailySummary[[#This Row],[Utilidad bruta]]/TableDailySummary[[#This Row],[Ventas netas con costo registrado]],0)</f>
        <v>0</v>
      </c>
    </row>
    <row r="21" spans="2:42" x14ac:dyDescent="0.2">
      <c r="B21" s="15" cm="1">
        <f t="array" ref="B21">ParamFechaInicioReporte + (ROW(TableDailySummary[#This Row]) - ROW(TableDailySummary[[#Headers],[Dia]]) - 1)</f>
        <v>44548</v>
      </c>
      <c r="C21" s="6">
        <f>TableDailySummary[[#This Row],[Dia]]</f>
        <v>44548</v>
      </c>
      <c r="D21" s="11">
        <f>_xlfn.XLOOKUP(TableDailySummary[[#This Row],[Fecha]],SummaryDaily[day],SummaryDaily[net_sales],0)</f>
        <v>0</v>
      </c>
      <c r="E21" s="11">
        <f>_xlfn.XLOOKUP(TableDailySummary[[#This Row],[Fecha]],SummaryDaily[day],SummaryDaily[orders],0)</f>
        <v>0</v>
      </c>
      <c r="F21" s="11">
        <f>_xlfn.XLOOKUP(TableDailySummary[[#This Row],[Fecha]],SummaryDaily[day],SummaryDaily[average_order_value],0)</f>
        <v>0</v>
      </c>
      <c r="G21" s="24" cm="1">
        <f t="array" ref="G21">_xlfn.XLOOKUP(TableDailySummary[[#This Row],[Fecha]]&amp;"Total site",ConversionRateByReferral[day]&amp;ConversionRateByReferral[referrer_source],ConversionRateByReferral[conversion_rate],0)</f>
        <v>0</v>
      </c>
      <c r="H21" s="11">
        <f>TableDailySummary[[#This Row],[Órden promedio totales]]*TableDailySummary[[#This Row],[CR totales]]</f>
        <v>0</v>
      </c>
      <c r="I21" s="11">
        <f>_xlfn.XLOOKUP(TableDailySummary[[#This Row],[Fecha]],SummaryDaily[day],SummaryDaily[new_net_sales],0)</f>
        <v>0</v>
      </c>
      <c r="J21" s="11">
        <f>_xlfn.XLOOKUP(TableDailySummary[[#This Row],[Fecha]],SummaryDaily[day],SummaryDaily[new_orders],0)</f>
        <v>0</v>
      </c>
      <c r="K21" s="11">
        <f>_xlfn.XLOOKUP(TableDailySummary[[#This Row],[Fecha]],SummaryDaily[day],SummaryDaily[new_average_order_value],0)</f>
        <v>0</v>
      </c>
      <c r="L21" s="11">
        <f>_xlfn.XLOOKUP(TableDailySummary[[#This Row],[Fecha]],SummaryDaily[day],SummaryDaily[Online Store_net_sales],0)</f>
        <v>0</v>
      </c>
      <c r="M21" s="11">
        <f>_xlfn.XLOOKUP(TableDailySummary[[#This Row],[Fecha]],SummaryDaily[day],SummaryDaily[Online Store_orders],0)</f>
        <v>0</v>
      </c>
      <c r="N21" s="11">
        <f>_xlfn.XLOOKUP(TableDailySummary[[#This Row],[Fecha]],SummaryDaily[day],SummaryDaily[Online Store_average_order_value],0)</f>
        <v>0</v>
      </c>
      <c r="O21" s="11">
        <f>_xlfn.XLOOKUP(TableDailySummary[[#This Row],[Fecha]],SummaryDaily[day],SummaryDaily[Tienda 81_net_sales],0)</f>
        <v>0</v>
      </c>
      <c r="P21" s="11">
        <f>_xlfn.XLOOKUP(TableDailySummary[[#This Row],[Fecha]],SummaryDaily[day],SummaryDaily[Tienda 81_orders],0)</f>
        <v>0</v>
      </c>
      <c r="Q21" s="11">
        <f>_xlfn.XLOOKUP(TableDailySummary[[#This Row],[Fecha]],SummaryDaily[day],SummaryDaily[Tienda 81_average_order_value],0)</f>
        <v>0</v>
      </c>
      <c r="R21" s="11">
        <f>_xlfn.XLOOKUP(TableDailySummary[[#This Row],[Fecha]],SummaryDaily[day],SummaryDaily[Rappi_net_sales],0)</f>
        <v>0</v>
      </c>
      <c r="S21" s="11">
        <f>_xlfn.XLOOKUP(TableDailySummary[[#This Row],[Fecha]],SummaryDaily[day],SummaryDaily[Rappi_orders],0)</f>
        <v>0</v>
      </c>
      <c r="T21" s="11">
        <f>_xlfn.XLOOKUP(TableDailySummary[[#This Row],[Fecha]],SummaryDaily[day],SummaryDaily[Rappi_average_order_value],0)</f>
        <v>0</v>
      </c>
      <c r="U21" s="11">
        <f>_xlfn.XLOOKUP(TableDailySummary[[#This Row],[Fecha]],SummaryDaily[day],SummaryDaily[Corporativo no tienda_net_sales],0)</f>
        <v>0</v>
      </c>
      <c r="V21" s="11">
        <f>_xlfn.XLOOKUP(TableDailySummary[[#This Row],[Fecha]],SummaryDaily[day],SummaryDaily[Corporativo no tienda_orders],0)</f>
        <v>0</v>
      </c>
      <c r="W21" s="11">
        <f>_xlfn.XLOOKUP(TableDailySummary[[#This Row],[Fecha]],SummaryDaily[day],SummaryDaily[Corporativo no tienda_average_order_value],0)</f>
        <v>0</v>
      </c>
      <c r="X21" s="11">
        <f>_xlfn.XLOOKUP(TableDailySummary[[#This Row],[Fecha]],SummaryDaily[day],SummaryDaily[GoogleAdsOperation.Cost],0)</f>
        <v>0</v>
      </c>
      <c r="Y21" s="11">
        <f>SUMIFS(SalesByUTMDaily[google],SalesByUTMDaily[day],TableDailySummary[[#This Row],[Fecha]])</f>
        <v>0</v>
      </c>
      <c r="Z21" s="11">
        <f>_xlfn.XLOOKUP(TableDailySummary[[#This Row],[Fecha]],SummaryDaily[day],SummaryDaily[MetaAdsOperation.spend],0)</f>
        <v>0</v>
      </c>
      <c r="AA21" s="11">
        <f>SUMIFS(SalesByUTMDaily[facebook],SalesByUTMDaily[day],TableDailySummary[[#This Row],[Fecha]])</f>
        <v>0</v>
      </c>
      <c r="AB21" s="11">
        <f>TableDailySummary[[#This Row],[Inversión google ads]]+TableDailySummary[[#This Row],[Inversión meta ads]]</f>
        <v>0</v>
      </c>
      <c r="AC21" s="11">
        <f>TableDailySummary[[#This Row],[Ventas google ads]]+TableDailySummary[[#This Row],[Ventas meta ads]]</f>
        <v>0</v>
      </c>
      <c r="AD21" s="14">
        <f>IFERROR(TableDailySummary[[#This Row],[Ventas publicidad]]/TableDailySummary[[#This Row],[Inversión publicidad]],0)</f>
        <v>0</v>
      </c>
      <c r="AE21" s="14">
        <f>IFERROR(TableDailySummary[[#This Row],[Ventas primer cliente]]/TableDailySummary[[#This Row],[Inversión publicidad]],0)</f>
        <v>0</v>
      </c>
      <c r="AF21" s="14"/>
      <c r="AG21" s="11"/>
      <c r="AM21" s="11">
        <f>_xlfn.XLOOKUP(TableDailySummary[[#This Row],[Fecha]],SummaryDaily[day],SummaryDaily[net_sales_with_cost_recorded],0)</f>
        <v>0</v>
      </c>
      <c r="AN21" s="11">
        <f>_xlfn.XLOOKUP(TableDailySummary[[#This Row],[Fecha]],SummaryDaily[day],SummaryDaily[cost_of_goods_sold],0)</f>
        <v>0</v>
      </c>
      <c r="AO21" s="11">
        <f>_xlfn.XLOOKUP(TableDailySummary[[#This Row],[Fecha]],SummaryDaily[day],SummaryDaily[gross_profit],0)</f>
        <v>0</v>
      </c>
      <c r="AP21" s="18">
        <f>IFERROR(TableDailySummary[[#This Row],[Utilidad bruta]]/TableDailySummary[[#This Row],[Ventas netas con costo registrado]],0)</f>
        <v>0</v>
      </c>
    </row>
    <row r="22" spans="2:42" x14ac:dyDescent="0.2">
      <c r="B22" s="15" cm="1">
        <f t="array" ref="B22">ParamFechaInicioReporte + (ROW(TableDailySummary[#This Row]) - ROW(TableDailySummary[[#Headers],[Dia]]) - 1)</f>
        <v>44549</v>
      </c>
      <c r="C22" s="6">
        <f>TableDailySummary[[#This Row],[Dia]]</f>
        <v>44549</v>
      </c>
      <c r="D22" s="11">
        <f>_xlfn.XLOOKUP(TableDailySummary[[#This Row],[Fecha]],SummaryDaily[day],SummaryDaily[net_sales],0)</f>
        <v>0</v>
      </c>
      <c r="E22" s="11">
        <f>_xlfn.XLOOKUP(TableDailySummary[[#This Row],[Fecha]],SummaryDaily[day],SummaryDaily[orders],0)</f>
        <v>0</v>
      </c>
      <c r="F22" s="11">
        <f>_xlfn.XLOOKUP(TableDailySummary[[#This Row],[Fecha]],SummaryDaily[day],SummaryDaily[average_order_value],0)</f>
        <v>0</v>
      </c>
      <c r="G22" s="24" cm="1">
        <f t="array" ref="G22">_xlfn.XLOOKUP(TableDailySummary[[#This Row],[Fecha]]&amp;"Total site",ConversionRateByReferral[day]&amp;ConversionRateByReferral[referrer_source],ConversionRateByReferral[conversion_rate],0)</f>
        <v>0</v>
      </c>
      <c r="H22" s="11">
        <f>TableDailySummary[[#This Row],[Órden promedio totales]]*TableDailySummary[[#This Row],[CR totales]]</f>
        <v>0</v>
      </c>
      <c r="I22" s="11">
        <f>_xlfn.XLOOKUP(TableDailySummary[[#This Row],[Fecha]],SummaryDaily[day],SummaryDaily[new_net_sales],0)</f>
        <v>0</v>
      </c>
      <c r="J22" s="11">
        <f>_xlfn.XLOOKUP(TableDailySummary[[#This Row],[Fecha]],SummaryDaily[day],SummaryDaily[new_orders],0)</f>
        <v>0</v>
      </c>
      <c r="K22" s="11">
        <f>_xlfn.XLOOKUP(TableDailySummary[[#This Row],[Fecha]],SummaryDaily[day],SummaryDaily[new_average_order_value],0)</f>
        <v>0</v>
      </c>
      <c r="L22" s="11">
        <f>_xlfn.XLOOKUP(TableDailySummary[[#This Row],[Fecha]],SummaryDaily[day],SummaryDaily[Online Store_net_sales],0)</f>
        <v>0</v>
      </c>
      <c r="M22" s="11">
        <f>_xlfn.XLOOKUP(TableDailySummary[[#This Row],[Fecha]],SummaryDaily[day],SummaryDaily[Online Store_orders],0)</f>
        <v>0</v>
      </c>
      <c r="N22" s="11">
        <f>_xlfn.XLOOKUP(TableDailySummary[[#This Row],[Fecha]],SummaryDaily[day],SummaryDaily[Online Store_average_order_value],0)</f>
        <v>0</v>
      </c>
      <c r="O22" s="11">
        <f>_xlfn.XLOOKUP(TableDailySummary[[#This Row],[Fecha]],SummaryDaily[day],SummaryDaily[Tienda 81_net_sales],0)</f>
        <v>0</v>
      </c>
      <c r="P22" s="11">
        <f>_xlfn.XLOOKUP(TableDailySummary[[#This Row],[Fecha]],SummaryDaily[day],SummaryDaily[Tienda 81_orders],0)</f>
        <v>0</v>
      </c>
      <c r="Q22" s="11">
        <f>_xlfn.XLOOKUP(TableDailySummary[[#This Row],[Fecha]],SummaryDaily[day],SummaryDaily[Tienda 81_average_order_value],0)</f>
        <v>0</v>
      </c>
      <c r="R22" s="11">
        <f>_xlfn.XLOOKUP(TableDailySummary[[#This Row],[Fecha]],SummaryDaily[day],SummaryDaily[Rappi_net_sales],0)</f>
        <v>0</v>
      </c>
      <c r="S22" s="11">
        <f>_xlfn.XLOOKUP(TableDailySummary[[#This Row],[Fecha]],SummaryDaily[day],SummaryDaily[Rappi_orders],0)</f>
        <v>0</v>
      </c>
      <c r="T22" s="11">
        <f>_xlfn.XLOOKUP(TableDailySummary[[#This Row],[Fecha]],SummaryDaily[day],SummaryDaily[Rappi_average_order_value],0)</f>
        <v>0</v>
      </c>
      <c r="U22" s="11">
        <f>_xlfn.XLOOKUP(TableDailySummary[[#This Row],[Fecha]],SummaryDaily[day],SummaryDaily[Corporativo no tienda_net_sales],0)</f>
        <v>0</v>
      </c>
      <c r="V22" s="11">
        <f>_xlfn.XLOOKUP(TableDailySummary[[#This Row],[Fecha]],SummaryDaily[day],SummaryDaily[Corporativo no tienda_orders],0)</f>
        <v>0</v>
      </c>
      <c r="W22" s="11">
        <f>_xlfn.XLOOKUP(TableDailySummary[[#This Row],[Fecha]],SummaryDaily[day],SummaryDaily[Corporativo no tienda_average_order_value],0)</f>
        <v>0</v>
      </c>
      <c r="X22" s="11">
        <f>_xlfn.XLOOKUP(TableDailySummary[[#This Row],[Fecha]],SummaryDaily[day],SummaryDaily[GoogleAdsOperation.Cost],0)</f>
        <v>0</v>
      </c>
      <c r="Y22" s="11">
        <f>SUMIFS(SalesByUTMDaily[google],SalesByUTMDaily[day],TableDailySummary[[#This Row],[Fecha]])</f>
        <v>0</v>
      </c>
      <c r="Z22" s="11">
        <f>_xlfn.XLOOKUP(TableDailySummary[[#This Row],[Fecha]],SummaryDaily[day],SummaryDaily[MetaAdsOperation.spend],0)</f>
        <v>0</v>
      </c>
      <c r="AA22" s="11">
        <f>SUMIFS(SalesByUTMDaily[facebook],SalesByUTMDaily[day],TableDailySummary[[#This Row],[Fecha]])</f>
        <v>0</v>
      </c>
      <c r="AB22" s="11">
        <f>TableDailySummary[[#This Row],[Inversión google ads]]+TableDailySummary[[#This Row],[Inversión meta ads]]</f>
        <v>0</v>
      </c>
      <c r="AC22" s="11">
        <f>TableDailySummary[[#This Row],[Ventas google ads]]+TableDailySummary[[#This Row],[Ventas meta ads]]</f>
        <v>0</v>
      </c>
      <c r="AD22" s="14">
        <f>IFERROR(TableDailySummary[[#This Row],[Ventas publicidad]]/TableDailySummary[[#This Row],[Inversión publicidad]],0)</f>
        <v>0</v>
      </c>
      <c r="AE22" s="14">
        <f>IFERROR(TableDailySummary[[#This Row],[Ventas primer cliente]]/TableDailySummary[[#This Row],[Inversión publicidad]],0)</f>
        <v>0</v>
      </c>
      <c r="AF22" s="14"/>
      <c r="AG22" s="11"/>
      <c r="AM22" s="11">
        <f>_xlfn.XLOOKUP(TableDailySummary[[#This Row],[Fecha]],SummaryDaily[day],SummaryDaily[net_sales_with_cost_recorded],0)</f>
        <v>0</v>
      </c>
      <c r="AN22" s="11">
        <f>_xlfn.XLOOKUP(TableDailySummary[[#This Row],[Fecha]],SummaryDaily[day],SummaryDaily[cost_of_goods_sold],0)</f>
        <v>0</v>
      </c>
      <c r="AO22" s="11">
        <f>_xlfn.XLOOKUP(TableDailySummary[[#This Row],[Fecha]],SummaryDaily[day],SummaryDaily[gross_profit],0)</f>
        <v>0</v>
      </c>
      <c r="AP22" s="18">
        <f>IFERROR(TableDailySummary[[#This Row],[Utilidad bruta]]/TableDailySummary[[#This Row],[Ventas netas con costo registrado]],0)</f>
        <v>0</v>
      </c>
    </row>
    <row r="23" spans="2:42" x14ac:dyDescent="0.2">
      <c r="B23" s="15" cm="1">
        <f t="array" ref="B23">ParamFechaInicioReporte + (ROW(TableDailySummary[#This Row]) - ROW(TableDailySummary[[#Headers],[Dia]]) - 1)</f>
        <v>44550</v>
      </c>
      <c r="C23" s="6">
        <f>TableDailySummary[[#This Row],[Dia]]</f>
        <v>44550</v>
      </c>
      <c r="D23" s="11">
        <f>_xlfn.XLOOKUP(TableDailySummary[[#This Row],[Fecha]],SummaryDaily[day],SummaryDaily[net_sales],0)</f>
        <v>0</v>
      </c>
      <c r="E23" s="11">
        <f>_xlfn.XLOOKUP(TableDailySummary[[#This Row],[Fecha]],SummaryDaily[day],SummaryDaily[orders],0)</f>
        <v>0</v>
      </c>
      <c r="F23" s="11">
        <f>_xlfn.XLOOKUP(TableDailySummary[[#This Row],[Fecha]],SummaryDaily[day],SummaryDaily[average_order_value],0)</f>
        <v>0</v>
      </c>
      <c r="G23" s="24" cm="1">
        <f t="array" ref="G23">_xlfn.XLOOKUP(TableDailySummary[[#This Row],[Fecha]]&amp;"Total site",ConversionRateByReferral[day]&amp;ConversionRateByReferral[referrer_source],ConversionRateByReferral[conversion_rate],0)</f>
        <v>0</v>
      </c>
      <c r="H23" s="11">
        <f>TableDailySummary[[#This Row],[Órden promedio totales]]*TableDailySummary[[#This Row],[CR totales]]</f>
        <v>0</v>
      </c>
      <c r="I23" s="11">
        <f>_xlfn.XLOOKUP(TableDailySummary[[#This Row],[Fecha]],SummaryDaily[day],SummaryDaily[new_net_sales],0)</f>
        <v>0</v>
      </c>
      <c r="J23" s="11">
        <f>_xlfn.XLOOKUP(TableDailySummary[[#This Row],[Fecha]],SummaryDaily[day],SummaryDaily[new_orders],0)</f>
        <v>0</v>
      </c>
      <c r="K23" s="11">
        <f>_xlfn.XLOOKUP(TableDailySummary[[#This Row],[Fecha]],SummaryDaily[day],SummaryDaily[new_average_order_value],0)</f>
        <v>0</v>
      </c>
      <c r="L23" s="11">
        <f>_xlfn.XLOOKUP(TableDailySummary[[#This Row],[Fecha]],SummaryDaily[day],SummaryDaily[Online Store_net_sales],0)</f>
        <v>0</v>
      </c>
      <c r="M23" s="11">
        <f>_xlfn.XLOOKUP(TableDailySummary[[#This Row],[Fecha]],SummaryDaily[day],SummaryDaily[Online Store_orders],0)</f>
        <v>0</v>
      </c>
      <c r="N23" s="11">
        <f>_xlfn.XLOOKUP(TableDailySummary[[#This Row],[Fecha]],SummaryDaily[day],SummaryDaily[Online Store_average_order_value],0)</f>
        <v>0</v>
      </c>
      <c r="O23" s="11">
        <f>_xlfn.XLOOKUP(TableDailySummary[[#This Row],[Fecha]],SummaryDaily[day],SummaryDaily[Tienda 81_net_sales],0)</f>
        <v>0</v>
      </c>
      <c r="P23" s="11">
        <f>_xlfn.XLOOKUP(TableDailySummary[[#This Row],[Fecha]],SummaryDaily[day],SummaryDaily[Tienda 81_orders],0)</f>
        <v>0</v>
      </c>
      <c r="Q23" s="11">
        <f>_xlfn.XLOOKUP(TableDailySummary[[#This Row],[Fecha]],SummaryDaily[day],SummaryDaily[Tienda 81_average_order_value],0)</f>
        <v>0</v>
      </c>
      <c r="R23" s="11">
        <f>_xlfn.XLOOKUP(TableDailySummary[[#This Row],[Fecha]],SummaryDaily[day],SummaryDaily[Rappi_net_sales],0)</f>
        <v>0</v>
      </c>
      <c r="S23" s="11">
        <f>_xlfn.XLOOKUP(TableDailySummary[[#This Row],[Fecha]],SummaryDaily[day],SummaryDaily[Rappi_orders],0)</f>
        <v>0</v>
      </c>
      <c r="T23" s="11">
        <f>_xlfn.XLOOKUP(TableDailySummary[[#This Row],[Fecha]],SummaryDaily[day],SummaryDaily[Rappi_average_order_value],0)</f>
        <v>0</v>
      </c>
      <c r="U23" s="11">
        <f>_xlfn.XLOOKUP(TableDailySummary[[#This Row],[Fecha]],SummaryDaily[day],SummaryDaily[Corporativo no tienda_net_sales],0)</f>
        <v>0</v>
      </c>
      <c r="V23" s="11">
        <f>_xlfn.XLOOKUP(TableDailySummary[[#This Row],[Fecha]],SummaryDaily[day],SummaryDaily[Corporativo no tienda_orders],0)</f>
        <v>0</v>
      </c>
      <c r="W23" s="11">
        <f>_xlfn.XLOOKUP(TableDailySummary[[#This Row],[Fecha]],SummaryDaily[day],SummaryDaily[Corporativo no tienda_average_order_value],0)</f>
        <v>0</v>
      </c>
      <c r="X23" s="11">
        <f>_xlfn.XLOOKUP(TableDailySummary[[#This Row],[Fecha]],SummaryDaily[day],SummaryDaily[GoogleAdsOperation.Cost],0)</f>
        <v>0</v>
      </c>
      <c r="Y23" s="11">
        <f>SUMIFS(SalesByUTMDaily[google],SalesByUTMDaily[day],TableDailySummary[[#This Row],[Fecha]])</f>
        <v>0</v>
      </c>
      <c r="Z23" s="11">
        <f>_xlfn.XLOOKUP(TableDailySummary[[#This Row],[Fecha]],SummaryDaily[day],SummaryDaily[MetaAdsOperation.spend],0)</f>
        <v>0</v>
      </c>
      <c r="AA23" s="11">
        <f>SUMIFS(SalesByUTMDaily[facebook],SalesByUTMDaily[day],TableDailySummary[[#This Row],[Fecha]])</f>
        <v>0</v>
      </c>
      <c r="AB23" s="11">
        <f>TableDailySummary[[#This Row],[Inversión google ads]]+TableDailySummary[[#This Row],[Inversión meta ads]]</f>
        <v>0</v>
      </c>
      <c r="AC23" s="11">
        <f>TableDailySummary[[#This Row],[Ventas google ads]]+TableDailySummary[[#This Row],[Ventas meta ads]]</f>
        <v>0</v>
      </c>
      <c r="AD23" s="14">
        <f>IFERROR(TableDailySummary[[#This Row],[Ventas publicidad]]/TableDailySummary[[#This Row],[Inversión publicidad]],0)</f>
        <v>0</v>
      </c>
      <c r="AE23" s="14">
        <f>IFERROR(TableDailySummary[[#This Row],[Ventas primer cliente]]/TableDailySummary[[#This Row],[Inversión publicidad]],0)</f>
        <v>0</v>
      </c>
      <c r="AF23" s="14"/>
      <c r="AG23" s="11"/>
      <c r="AM23" s="11">
        <f>_xlfn.XLOOKUP(TableDailySummary[[#This Row],[Fecha]],SummaryDaily[day],SummaryDaily[net_sales_with_cost_recorded],0)</f>
        <v>0</v>
      </c>
      <c r="AN23" s="11">
        <f>_xlfn.XLOOKUP(TableDailySummary[[#This Row],[Fecha]],SummaryDaily[day],SummaryDaily[cost_of_goods_sold],0)</f>
        <v>0</v>
      </c>
      <c r="AO23" s="11">
        <f>_xlfn.XLOOKUP(TableDailySummary[[#This Row],[Fecha]],SummaryDaily[day],SummaryDaily[gross_profit],0)</f>
        <v>0</v>
      </c>
      <c r="AP23" s="18">
        <f>IFERROR(TableDailySummary[[#This Row],[Utilidad bruta]]/TableDailySummary[[#This Row],[Ventas netas con costo registrado]],0)</f>
        <v>0</v>
      </c>
    </row>
    <row r="24" spans="2:42" x14ac:dyDescent="0.2">
      <c r="B24" s="15" cm="1">
        <f t="array" ref="B24">ParamFechaInicioReporte + (ROW(TableDailySummary[#This Row]) - ROW(TableDailySummary[[#Headers],[Dia]]) - 1)</f>
        <v>44551</v>
      </c>
      <c r="C24" s="6">
        <f>TableDailySummary[[#This Row],[Dia]]</f>
        <v>44551</v>
      </c>
      <c r="D24" s="11">
        <f>_xlfn.XLOOKUP(TableDailySummary[[#This Row],[Fecha]],SummaryDaily[day],SummaryDaily[net_sales],0)</f>
        <v>0</v>
      </c>
      <c r="E24" s="11">
        <f>_xlfn.XLOOKUP(TableDailySummary[[#This Row],[Fecha]],SummaryDaily[day],SummaryDaily[orders],0)</f>
        <v>0</v>
      </c>
      <c r="F24" s="11">
        <f>_xlfn.XLOOKUP(TableDailySummary[[#This Row],[Fecha]],SummaryDaily[day],SummaryDaily[average_order_value],0)</f>
        <v>0</v>
      </c>
      <c r="G24" s="24" cm="1">
        <f t="array" ref="G24">_xlfn.XLOOKUP(TableDailySummary[[#This Row],[Fecha]]&amp;"Total site",ConversionRateByReferral[day]&amp;ConversionRateByReferral[referrer_source],ConversionRateByReferral[conversion_rate],0)</f>
        <v>0</v>
      </c>
      <c r="H24" s="11">
        <f>TableDailySummary[[#This Row],[Órden promedio totales]]*TableDailySummary[[#This Row],[CR totales]]</f>
        <v>0</v>
      </c>
      <c r="I24" s="11">
        <f>_xlfn.XLOOKUP(TableDailySummary[[#This Row],[Fecha]],SummaryDaily[day],SummaryDaily[new_net_sales],0)</f>
        <v>0</v>
      </c>
      <c r="J24" s="11">
        <f>_xlfn.XLOOKUP(TableDailySummary[[#This Row],[Fecha]],SummaryDaily[day],SummaryDaily[new_orders],0)</f>
        <v>0</v>
      </c>
      <c r="K24" s="11">
        <f>_xlfn.XLOOKUP(TableDailySummary[[#This Row],[Fecha]],SummaryDaily[day],SummaryDaily[new_average_order_value],0)</f>
        <v>0</v>
      </c>
      <c r="L24" s="11">
        <f>_xlfn.XLOOKUP(TableDailySummary[[#This Row],[Fecha]],SummaryDaily[day],SummaryDaily[Online Store_net_sales],0)</f>
        <v>0</v>
      </c>
      <c r="M24" s="11">
        <f>_xlfn.XLOOKUP(TableDailySummary[[#This Row],[Fecha]],SummaryDaily[day],SummaryDaily[Online Store_orders],0)</f>
        <v>0</v>
      </c>
      <c r="N24" s="11">
        <f>_xlfn.XLOOKUP(TableDailySummary[[#This Row],[Fecha]],SummaryDaily[day],SummaryDaily[Online Store_average_order_value],0)</f>
        <v>0</v>
      </c>
      <c r="O24" s="11">
        <f>_xlfn.XLOOKUP(TableDailySummary[[#This Row],[Fecha]],SummaryDaily[day],SummaryDaily[Tienda 81_net_sales],0)</f>
        <v>0</v>
      </c>
      <c r="P24" s="11">
        <f>_xlfn.XLOOKUP(TableDailySummary[[#This Row],[Fecha]],SummaryDaily[day],SummaryDaily[Tienda 81_orders],0)</f>
        <v>0</v>
      </c>
      <c r="Q24" s="11">
        <f>_xlfn.XLOOKUP(TableDailySummary[[#This Row],[Fecha]],SummaryDaily[day],SummaryDaily[Tienda 81_average_order_value],0)</f>
        <v>0</v>
      </c>
      <c r="R24" s="11">
        <f>_xlfn.XLOOKUP(TableDailySummary[[#This Row],[Fecha]],SummaryDaily[day],SummaryDaily[Rappi_net_sales],0)</f>
        <v>0</v>
      </c>
      <c r="S24" s="11">
        <f>_xlfn.XLOOKUP(TableDailySummary[[#This Row],[Fecha]],SummaryDaily[day],SummaryDaily[Rappi_orders],0)</f>
        <v>0</v>
      </c>
      <c r="T24" s="11">
        <f>_xlfn.XLOOKUP(TableDailySummary[[#This Row],[Fecha]],SummaryDaily[day],SummaryDaily[Rappi_average_order_value],0)</f>
        <v>0</v>
      </c>
      <c r="U24" s="11">
        <f>_xlfn.XLOOKUP(TableDailySummary[[#This Row],[Fecha]],SummaryDaily[day],SummaryDaily[Corporativo no tienda_net_sales],0)</f>
        <v>0</v>
      </c>
      <c r="V24" s="11">
        <f>_xlfn.XLOOKUP(TableDailySummary[[#This Row],[Fecha]],SummaryDaily[day],SummaryDaily[Corporativo no tienda_orders],0)</f>
        <v>0</v>
      </c>
      <c r="W24" s="11">
        <f>_xlfn.XLOOKUP(TableDailySummary[[#This Row],[Fecha]],SummaryDaily[day],SummaryDaily[Corporativo no tienda_average_order_value],0)</f>
        <v>0</v>
      </c>
      <c r="X24" s="11">
        <f>_xlfn.XLOOKUP(TableDailySummary[[#This Row],[Fecha]],SummaryDaily[day],SummaryDaily[GoogleAdsOperation.Cost],0)</f>
        <v>0</v>
      </c>
      <c r="Y24" s="11">
        <f>SUMIFS(SalesByUTMDaily[google],SalesByUTMDaily[day],TableDailySummary[[#This Row],[Fecha]])</f>
        <v>0</v>
      </c>
      <c r="Z24" s="11">
        <f>_xlfn.XLOOKUP(TableDailySummary[[#This Row],[Fecha]],SummaryDaily[day],SummaryDaily[MetaAdsOperation.spend],0)</f>
        <v>0</v>
      </c>
      <c r="AA24" s="11">
        <f>SUMIFS(SalesByUTMDaily[facebook],SalesByUTMDaily[day],TableDailySummary[[#This Row],[Fecha]])</f>
        <v>0</v>
      </c>
      <c r="AB24" s="11">
        <f>TableDailySummary[[#This Row],[Inversión google ads]]+TableDailySummary[[#This Row],[Inversión meta ads]]</f>
        <v>0</v>
      </c>
      <c r="AC24" s="11">
        <f>TableDailySummary[[#This Row],[Ventas google ads]]+TableDailySummary[[#This Row],[Ventas meta ads]]</f>
        <v>0</v>
      </c>
      <c r="AD24" s="14">
        <f>IFERROR(TableDailySummary[[#This Row],[Ventas publicidad]]/TableDailySummary[[#This Row],[Inversión publicidad]],0)</f>
        <v>0</v>
      </c>
      <c r="AE24" s="14">
        <f>IFERROR(TableDailySummary[[#This Row],[Ventas primer cliente]]/TableDailySummary[[#This Row],[Inversión publicidad]],0)</f>
        <v>0</v>
      </c>
      <c r="AF24" s="14"/>
      <c r="AG24" s="11"/>
      <c r="AM24" s="11">
        <f>_xlfn.XLOOKUP(TableDailySummary[[#This Row],[Fecha]],SummaryDaily[day],SummaryDaily[net_sales_with_cost_recorded],0)</f>
        <v>0</v>
      </c>
      <c r="AN24" s="11">
        <f>_xlfn.XLOOKUP(TableDailySummary[[#This Row],[Fecha]],SummaryDaily[day],SummaryDaily[cost_of_goods_sold],0)</f>
        <v>0</v>
      </c>
      <c r="AO24" s="11">
        <f>_xlfn.XLOOKUP(TableDailySummary[[#This Row],[Fecha]],SummaryDaily[day],SummaryDaily[gross_profit],0)</f>
        <v>0</v>
      </c>
      <c r="AP24" s="18">
        <f>IFERROR(TableDailySummary[[#This Row],[Utilidad bruta]]/TableDailySummary[[#This Row],[Ventas netas con costo registrado]],0)</f>
        <v>0</v>
      </c>
    </row>
    <row r="25" spans="2:42" x14ac:dyDescent="0.2">
      <c r="B25" s="15" cm="1">
        <f t="array" ref="B25">ParamFechaInicioReporte + (ROW(TableDailySummary[#This Row]) - ROW(TableDailySummary[[#Headers],[Dia]]) - 1)</f>
        <v>44552</v>
      </c>
      <c r="C25" s="6">
        <f>TableDailySummary[[#This Row],[Dia]]</f>
        <v>44552</v>
      </c>
      <c r="D25" s="11">
        <f>_xlfn.XLOOKUP(TableDailySummary[[#This Row],[Fecha]],SummaryDaily[day],SummaryDaily[net_sales],0)</f>
        <v>0</v>
      </c>
      <c r="E25" s="11">
        <f>_xlfn.XLOOKUP(TableDailySummary[[#This Row],[Fecha]],SummaryDaily[day],SummaryDaily[orders],0)</f>
        <v>0</v>
      </c>
      <c r="F25" s="11">
        <f>_xlfn.XLOOKUP(TableDailySummary[[#This Row],[Fecha]],SummaryDaily[day],SummaryDaily[average_order_value],0)</f>
        <v>0</v>
      </c>
      <c r="G25" s="24" cm="1">
        <f t="array" ref="G25">_xlfn.XLOOKUP(TableDailySummary[[#This Row],[Fecha]]&amp;"Total site",ConversionRateByReferral[day]&amp;ConversionRateByReferral[referrer_source],ConversionRateByReferral[conversion_rate],0)</f>
        <v>0</v>
      </c>
      <c r="H25" s="11">
        <f>TableDailySummary[[#This Row],[Órden promedio totales]]*TableDailySummary[[#This Row],[CR totales]]</f>
        <v>0</v>
      </c>
      <c r="I25" s="11">
        <f>_xlfn.XLOOKUP(TableDailySummary[[#This Row],[Fecha]],SummaryDaily[day],SummaryDaily[new_net_sales],0)</f>
        <v>0</v>
      </c>
      <c r="J25" s="11">
        <f>_xlfn.XLOOKUP(TableDailySummary[[#This Row],[Fecha]],SummaryDaily[day],SummaryDaily[new_orders],0)</f>
        <v>0</v>
      </c>
      <c r="K25" s="11">
        <f>_xlfn.XLOOKUP(TableDailySummary[[#This Row],[Fecha]],SummaryDaily[day],SummaryDaily[new_average_order_value],0)</f>
        <v>0</v>
      </c>
      <c r="L25" s="11">
        <f>_xlfn.XLOOKUP(TableDailySummary[[#This Row],[Fecha]],SummaryDaily[day],SummaryDaily[Online Store_net_sales],0)</f>
        <v>0</v>
      </c>
      <c r="M25" s="11">
        <f>_xlfn.XLOOKUP(TableDailySummary[[#This Row],[Fecha]],SummaryDaily[day],SummaryDaily[Online Store_orders],0)</f>
        <v>0</v>
      </c>
      <c r="N25" s="11">
        <f>_xlfn.XLOOKUP(TableDailySummary[[#This Row],[Fecha]],SummaryDaily[day],SummaryDaily[Online Store_average_order_value],0)</f>
        <v>0</v>
      </c>
      <c r="O25" s="11">
        <f>_xlfn.XLOOKUP(TableDailySummary[[#This Row],[Fecha]],SummaryDaily[day],SummaryDaily[Tienda 81_net_sales],0)</f>
        <v>0</v>
      </c>
      <c r="P25" s="11">
        <f>_xlfn.XLOOKUP(TableDailySummary[[#This Row],[Fecha]],SummaryDaily[day],SummaryDaily[Tienda 81_orders],0)</f>
        <v>0</v>
      </c>
      <c r="Q25" s="11">
        <f>_xlfn.XLOOKUP(TableDailySummary[[#This Row],[Fecha]],SummaryDaily[day],SummaryDaily[Tienda 81_average_order_value],0)</f>
        <v>0</v>
      </c>
      <c r="R25" s="11">
        <f>_xlfn.XLOOKUP(TableDailySummary[[#This Row],[Fecha]],SummaryDaily[day],SummaryDaily[Rappi_net_sales],0)</f>
        <v>0</v>
      </c>
      <c r="S25" s="11">
        <f>_xlfn.XLOOKUP(TableDailySummary[[#This Row],[Fecha]],SummaryDaily[day],SummaryDaily[Rappi_orders],0)</f>
        <v>0</v>
      </c>
      <c r="T25" s="11">
        <f>_xlfn.XLOOKUP(TableDailySummary[[#This Row],[Fecha]],SummaryDaily[day],SummaryDaily[Rappi_average_order_value],0)</f>
        <v>0</v>
      </c>
      <c r="U25" s="11">
        <f>_xlfn.XLOOKUP(TableDailySummary[[#This Row],[Fecha]],SummaryDaily[day],SummaryDaily[Corporativo no tienda_net_sales],0)</f>
        <v>0</v>
      </c>
      <c r="V25" s="11">
        <f>_xlfn.XLOOKUP(TableDailySummary[[#This Row],[Fecha]],SummaryDaily[day],SummaryDaily[Corporativo no tienda_orders],0)</f>
        <v>0</v>
      </c>
      <c r="W25" s="11">
        <f>_xlfn.XLOOKUP(TableDailySummary[[#This Row],[Fecha]],SummaryDaily[day],SummaryDaily[Corporativo no tienda_average_order_value],0)</f>
        <v>0</v>
      </c>
      <c r="X25" s="11">
        <f>_xlfn.XLOOKUP(TableDailySummary[[#This Row],[Fecha]],SummaryDaily[day],SummaryDaily[GoogleAdsOperation.Cost],0)</f>
        <v>0</v>
      </c>
      <c r="Y25" s="11">
        <f>SUMIFS(SalesByUTMDaily[google],SalesByUTMDaily[day],TableDailySummary[[#This Row],[Fecha]])</f>
        <v>0</v>
      </c>
      <c r="Z25" s="11">
        <f>_xlfn.XLOOKUP(TableDailySummary[[#This Row],[Fecha]],SummaryDaily[day],SummaryDaily[MetaAdsOperation.spend],0)</f>
        <v>0</v>
      </c>
      <c r="AA25" s="11">
        <f>SUMIFS(SalesByUTMDaily[facebook],SalesByUTMDaily[day],TableDailySummary[[#This Row],[Fecha]])</f>
        <v>0</v>
      </c>
      <c r="AB25" s="11">
        <f>TableDailySummary[[#This Row],[Inversión google ads]]+TableDailySummary[[#This Row],[Inversión meta ads]]</f>
        <v>0</v>
      </c>
      <c r="AC25" s="11">
        <f>TableDailySummary[[#This Row],[Ventas google ads]]+TableDailySummary[[#This Row],[Ventas meta ads]]</f>
        <v>0</v>
      </c>
      <c r="AD25" s="14">
        <f>IFERROR(TableDailySummary[[#This Row],[Ventas publicidad]]/TableDailySummary[[#This Row],[Inversión publicidad]],0)</f>
        <v>0</v>
      </c>
      <c r="AE25" s="14">
        <f>IFERROR(TableDailySummary[[#This Row],[Ventas primer cliente]]/TableDailySummary[[#This Row],[Inversión publicidad]],0)</f>
        <v>0</v>
      </c>
      <c r="AF25" s="14"/>
      <c r="AG25" s="11"/>
      <c r="AM25" s="11">
        <f>_xlfn.XLOOKUP(TableDailySummary[[#This Row],[Fecha]],SummaryDaily[day],SummaryDaily[net_sales_with_cost_recorded],0)</f>
        <v>0</v>
      </c>
      <c r="AN25" s="11">
        <f>_xlfn.XLOOKUP(TableDailySummary[[#This Row],[Fecha]],SummaryDaily[day],SummaryDaily[cost_of_goods_sold],0)</f>
        <v>0</v>
      </c>
      <c r="AO25" s="11">
        <f>_xlfn.XLOOKUP(TableDailySummary[[#This Row],[Fecha]],SummaryDaily[day],SummaryDaily[gross_profit],0)</f>
        <v>0</v>
      </c>
      <c r="AP25" s="18">
        <f>IFERROR(TableDailySummary[[#This Row],[Utilidad bruta]]/TableDailySummary[[#This Row],[Ventas netas con costo registrado]],0)</f>
        <v>0</v>
      </c>
    </row>
    <row r="26" spans="2:42" x14ac:dyDescent="0.2">
      <c r="B26" s="15" cm="1">
        <f t="array" ref="B26">ParamFechaInicioReporte + (ROW(TableDailySummary[#This Row]) - ROW(TableDailySummary[[#Headers],[Dia]]) - 1)</f>
        <v>44553</v>
      </c>
      <c r="C26" s="6">
        <f>TableDailySummary[[#This Row],[Dia]]</f>
        <v>44553</v>
      </c>
      <c r="D26" s="11">
        <f>_xlfn.XLOOKUP(TableDailySummary[[#This Row],[Fecha]],SummaryDaily[day],SummaryDaily[net_sales],0)</f>
        <v>0</v>
      </c>
      <c r="E26" s="11">
        <f>_xlfn.XLOOKUP(TableDailySummary[[#This Row],[Fecha]],SummaryDaily[day],SummaryDaily[orders],0)</f>
        <v>0</v>
      </c>
      <c r="F26" s="11">
        <f>_xlfn.XLOOKUP(TableDailySummary[[#This Row],[Fecha]],SummaryDaily[day],SummaryDaily[average_order_value],0)</f>
        <v>0</v>
      </c>
      <c r="G26" s="24" cm="1">
        <f t="array" ref="G26">_xlfn.XLOOKUP(TableDailySummary[[#This Row],[Fecha]]&amp;"Total site",ConversionRateByReferral[day]&amp;ConversionRateByReferral[referrer_source],ConversionRateByReferral[conversion_rate],0)</f>
        <v>0</v>
      </c>
      <c r="H26" s="11">
        <f>TableDailySummary[[#This Row],[Órden promedio totales]]*TableDailySummary[[#This Row],[CR totales]]</f>
        <v>0</v>
      </c>
      <c r="I26" s="11">
        <f>_xlfn.XLOOKUP(TableDailySummary[[#This Row],[Fecha]],SummaryDaily[day],SummaryDaily[new_net_sales],0)</f>
        <v>0</v>
      </c>
      <c r="J26" s="11">
        <f>_xlfn.XLOOKUP(TableDailySummary[[#This Row],[Fecha]],SummaryDaily[day],SummaryDaily[new_orders],0)</f>
        <v>0</v>
      </c>
      <c r="K26" s="11">
        <f>_xlfn.XLOOKUP(TableDailySummary[[#This Row],[Fecha]],SummaryDaily[day],SummaryDaily[new_average_order_value],0)</f>
        <v>0</v>
      </c>
      <c r="L26" s="11">
        <f>_xlfn.XLOOKUP(TableDailySummary[[#This Row],[Fecha]],SummaryDaily[day],SummaryDaily[Online Store_net_sales],0)</f>
        <v>0</v>
      </c>
      <c r="M26" s="11">
        <f>_xlfn.XLOOKUP(TableDailySummary[[#This Row],[Fecha]],SummaryDaily[day],SummaryDaily[Online Store_orders],0)</f>
        <v>0</v>
      </c>
      <c r="N26" s="11">
        <f>_xlfn.XLOOKUP(TableDailySummary[[#This Row],[Fecha]],SummaryDaily[day],SummaryDaily[Online Store_average_order_value],0)</f>
        <v>0</v>
      </c>
      <c r="O26" s="11">
        <f>_xlfn.XLOOKUP(TableDailySummary[[#This Row],[Fecha]],SummaryDaily[day],SummaryDaily[Tienda 81_net_sales],0)</f>
        <v>0</v>
      </c>
      <c r="P26" s="11">
        <f>_xlfn.XLOOKUP(TableDailySummary[[#This Row],[Fecha]],SummaryDaily[day],SummaryDaily[Tienda 81_orders],0)</f>
        <v>0</v>
      </c>
      <c r="Q26" s="11">
        <f>_xlfn.XLOOKUP(TableDailySummary[[#This Row],[Fecha]],SummaryDaily[day],SummaryDaily[Tienda 81_average_order_value],0)</f>
        <v>0</v>
      </c>
      <c r="R26" s="11">
        <f>_xlfn.XLOOKUP(TableDailySummary[[#This Row],[Fecha]],SummaryDaily[day],SummaryDaily[Rappi_net_sales],0)</f>
        <v>0</v>
      </c>
      <c r="S26" s="11">
        <f>_xlfn.XLOOKUP(TableDailySummary[[#This Row],[Fecha]],SummaryDaily[day],SummaryDaily[Rappi_orders],0)</f>
        <v>0</v>
      </c>
      <c r="T26" s="11">
        <f>_xlfn.XLOOKUP(TableDailySummary[[#This Row],[Fecha]],SummaryDaily[day],SummaryDaily[Rappi_average_order_value],0)</f>
        <v>0</v>
      </c>
      <c r="U26" s="11">
        <f>_xlfn.XLOOKUP(TableDailySummary[[#This Row],[Fecha]],SummaryDaily[day],SummaryDaily[Corporativo no tienda_net_sales],0)</f>
        <v>0</v>
      </c>
      <c r="V26" s="11">
        <f>_xlfn.XLOOKUP(TableDailySummary[[#This Row],[Fecha]],SummaryDaily[day],SummaryDaily[Corporativo no tienda_orders],0)</f>
        <v>0</v>
      </c>
      <c r="W26" s="11">
        <f>_xlfn.XLOOKUP(TableDailySummary[[#This Row],[Fecha]],SummaryDaily[day],SummaryDaily[Corporativo no tienda_average_order_value],0)</f>
        <v>0</v>
      </c>
      <c r="X26" s="11">
        <f>_xlfn.XLOOKUP(TableDailySummary[[#This Row],[Fecha]],SummaryDaily[day],SummaryDaily[GoogleAdsOperation.Cost],0)</f>
        <v>0</v>
      </c>
      <c r="Y26" s="11">
        <f>SUMIFS(SalesByUTMDaily[google],SalesByUTMDaily[day],TableDailySummary[[#This Row],[Fecha]])</f>
        <v>0</v>
      </c>
      <c r="Z26" s="11">
        <f>_xlfn.XLOOKUP(TableDailySummary[[#This Row],[Fecha]],SummaryDaily[day],SummaryDaily[MetaAdsOperation.spend],0)</f>
        <v>0</v>
      </c>
      <c r="AA26" s="11">
        <f>SUMIFS(SalesByUTMDaily[facebook],SalesByUTMDaily[day],TableDailySummary[[#This Row],[Fecha]])</f>
        <v>0</v>
      </c>
      <c r="AB26" s="11">
        <f>TableDailySummary[[#This Row],[Inversión google ads]]+TableDailySummary[[#This Row],[Inversión meta ads]]</f>
        <v>0</v>
      </c>
      <c r="AC26" s="11">
        <f>TableDailySummary[[#This Row],[Ventas google ads]]+TableDailySummary[[#This Row],[Ventas meta ads]]</f>
        <v>0</v>
      </c>
      <c r="AD26" s="14">
        <f>IFERROR(TableDailySummary[[#This Row],[Ventas publicidad]]/TableDailySummary[[#This Row],[Inversión publicidad]],0)</f>
        <v>0</v>
      </c>
      <c r="AE26" s="14">
        <f>IFERROR(TableDailySummary[[#This Row],[Ventas primer cliente]]/TableDailySummary[[#This Row],[Inversión publicidad]],0)</f>
        <v>0</v>
      </c>
      <c r="AF26" s="14"/>
      <c r="AG26" s="11"/>
      <c r="AM26" s="11">
        <f>_xlfn.XLOOKUP(TableDailySummary[[#This Row],[Fecha]],SummaryDaily[day],SummaryDaily[net_sales_with_cost_recorded],0)</f>
        <v>0</v>
      </c>
      <c r="AN26" s="11">
        <f>_xlfn.XLOOKUP(TableDailySummary[[#This Row],[Fecha]],SummaryDaily[day],SummaryDaily[cost_of_goods_sold],0)</f>
        <v>0</v>
      </c>
      <c r="AO26" s="11">
        <f>_xlfn.XLOOKUP(TableDailySummary[[#This Row],[Fecha]],SummaryDaily[day],SummaryDaily[gross_profit],0)</f>
        <v>0</v>
      </c>
      <c r="AP26" s="18">
        <f>IFERROR(TableDailySummary[[#This Row],[Utilidad bruta]]/TableDailySummary[[#This Row],[Ventas netas con costo registrado]],0)</f>
        <v>0</v>
      </c>
    </row>
    <row r="27" spans="2:42" x14ac:dyDescent="0.2">
      <c r="B27" s="15" cm="1">
        <f t="array" ref="B27">ParamFechaInicioReporte + (ROW(TableDailySummary[#This Row]) - ROW(TableDailySummary[[#Headers],[Dia]]) - 1)</f>
        <v>44554</v>
      </c>
      <c r="C27" s="6">
        <f>TableDailySummary[[#This Row],[Dia]]</f>
        <v>44554</v>
      </c>
      <c r="D27" s="11">
        <f>_xlfn.XLOOKUP(TableDailySummary[[#This Row],[Fecha]],SummaryDaily[day],SummaryDaily[net_sales],0)</f>
        <v>0</v>
      </c>
      <c r="E27" s="11">
        <f>_xlfn.XLOOKUP(TableDailySummary[[#This Row],[Fecha]],SummaryDaily[day],SummaryDaily[orders],0)</f>
        <v>0</v>
      </c>
      <c r="F27" s="11">
        <f>_xlfn.XLOOKUP(TableDailySummary[[#This Row],[Fecha]],SummaryDaily[day],SummaryDaily[average_order_value],0)</f>
        <v>0</v>
      </c>
      <c r="G27" s="24" cm="1">
        <f t="array" ref="G27">_xlfn.XLOOKUP(TableDailySummary[[#This Row],[Fecha]]&amp;"Total site",ConversionRateByReferral[day]&amp;ConversionRateByReferral[referrer_source],ConversionRateByReferral[conversion_rate],0)</f>
        <v>0</v>
      </c>
      <c r="H27" s="11">
        <f>TableDailySummary[[#This Row],[Órden promedio totales]]*TableDailySummary[[#This Row],[CR totales]]</f>
        <v>0</v>
      </c>
      <c r="I27" s="11">
        <f>_xlfn.XLOOKUP(TableDailySummary[[#This Row],[Fecha]],SummaryDaily[day],SummaryDaily[new_net_sales],0)</f>
        <v>0</v>
      </c>
      <c r="J27" s="11">
        <f>_xlfn.XLOOKUP(TableDailySummary[[#This Row],[Fecha]],SummaryDaily[day],SummaryDaily[new_orders],0)</f>
        <v>0</v>
      </c>
      <c r="K27" s="11">
        <f>_xlfn.XLOOKUP(TableDailySummary[[#This Row],[Fecha]],SummaryDaily[day],SummaryDaily[new_average_order_value],0)</f>
        <v>0</v>
      </c>
      <c r="L27" s="11">
        <f>_xlfn.XLOOKUP(TableDailySummary[[#This Row],[Fecha]],SummaryDaily[day],SummaryDaily[Online Store_net_sales],0)</f>
        <v>0</v>
      </c>
      <c r="M27" s="11">
        <f>_xlfn.XLOOKUP(TableDailySummary[[#This Row],[Fecha]],SummaryDaily[day],SummaryDaily[Online Store_orders],0)</f>
        <v>0</v>
      </c>
      <c r="N27" s="11">
        <f>_xlfn.XLOOKUP(TableDailySummary[[#This Row],[Fecha]],SummaryDaily[day],SummaryDaily[Online Store_average_order_value],0)</f>
        <v>0</v>
      </c>
      <c r="O27" s="11">
        <f>_xlfn.XLOOKUP(TableDailySummary[[#This Row],[Fecha]],SummaryDaily[day],SummaryDaily[Tienda 81_net_sales],0)</f>
        <v>0</v>
      </c>
      <c r="P27" s="11">
        <f>_xlfn.XLOOKUP(TableDailySummary[[#This Row],[Fecha]],SummaryDaily[day],SummaryDaily[Tienda 81_orders],0)</f>
        <v>0</v>
      </c>
      <c r="Q27" s="11">
        <f>_xlfn.XLOOKUP(TableDailySummary[[#This Row],[Fecha]],SummaryDaily[day],SummaryDaily[Tienda 81_average_order_value],0)</f>
        <v>0</v>
      </c>
      <c r="R27" s="11">
        <f>_xlfn.XLOOKUP(TableDailySummary[[#This Row],[Fecha]],SummaryDaily[day],SummaryDaily[Rappi_net_sales],0)</f>
        <v>0</v>
      </c>
      <c r="S27" s="11">
        <f>_xlfn.XLOOKUP(TableDailySummary[[#This Row],[Fecha]],SummaryDaily[day],SummaryDaily[Rappi_orders],0)</f>
        <v>0</v>
      </c>
      <c r="T27" s="11">
        <f>_xlfn.XLOOKUP(TableDailySummary[[#This Row],[Fecha]],SummaryDaily[day],SummaryDaily[Rappi_average_order_value],0)</f>
        <v>0</v>
      </c>
      <c r="U27" s="11">
        <f>_xlfn.XLOOKUP(TableDailySummary[[#This Row],[Fecha]],SummaryDaily[day],SummaryDaily[Corporativo no tienda_net_sales],0)</f>
        <v>0</v>
      </c>
      <c r="V27" s="11">
        <f>_xlfn.XLOOKUP(TableDailySummary[[#This Row],[Fecha]],SummaryDaily[day],SummaryDaily[Corporativo no tienda_orders],0)</f>
        <v>0</v>
      </c>
      <c r="W27" s="11">
        <f>_xlfn.XLOOKUP(TableDailySummary[[#This Row],[Fecha]],SummaryDaily[day],SummaryDaily[Corporativo no tienda_average_order_value],0)</f>
        <v>0</v>
      </c>
      <c r="X27" s="11">
        <f>_xlfn.XLOOKUP(TableDailySummary[[#This Row],[Fecha]],SummaryDaily[day],SummaryDaily[GoogleAdsOperation.Cost],0)</f>
        <v>0</v>
      </c>
      <c r="Y27" s="11">
        <f>SUMIFS(SalesByUTMDaily[google],SalesByUTMDaily[day],TableDailySummary[[#This Row],[Fecha]])</f>
        <v>0</v>
      </c>
      <c r="Z27" s="11">
        <f>_xlfn.XLOOKUP(TableDailySummary[[#This Row],[Fecha]],SummaryDaily[day],SummaryDaily[MetaAdsOperation.spend],0)</f>
        <v>0</v>
      </c>
      <c r="AA27" s="11">
        <f>SUMIFS(SalesByUTMDaily[facebook],SalesByUTMDaily[day],TableDailySummary[[#This Row],[Fecha]])</f>
        <v>0</v>
      </c>
      <c r="AB27" s="11">
        <f>TableDailySummary[[#This Row],[Inversión google ads]]+TableDailySummary[[#This Row],[Inversión meta ads]]</f>
        <v>0</v>
      </c>
      <c r="AC27" s="11">
        <f>TableDailySummary[[#This Row],[Ventas google ads]]+TableDailySummary[[#This Row],[Ventas meta ads]]</f>
        <v>0</v>
      </c>
      <c r="AD27" s="14">
        <f>IFERROR(TableDailySummary[[#This Row],[Ventas publicidad]]/TableDailySummary[[#This Row],[Inversión publicidad]],0)</f>
        <v>0</v>
      </c>
      <c r="AE27" s="14">
        <f>IFERROR(TableDailySummary[[#This Row],[Ventas primer cliente]]/TableDailySummary[[#This Row],[Inversión publicidad]],0)</f>
        <v>0</v>
      </c>
      <c r="AF27" s="14"/>
      <c r="AG27" s="11"/>
      <c r="AM27" s="11">
        <f>_xlfn.XLOOKUP(TableDailySummary[[#This Row],[Fecha]],SummaryDaily[day],SummaryDaily[net_sales_with_cost_recorded],0)</f>
        <v>0</v>
      </c>
      <c r="AN27" s="11">
        <f>_xlfn.XLOOKUP(TableDailySummary[[#This Row],[Fecha]],SummaryDaily[day],SummaryDaily[cost_of_goods_sold],0)</f>
        <v>0</v>
      </c>
      <c r="AO27" s="11">
        <f>_xlfn.XLOOKUP(TableDailySummary[[#This Row],[Fecha]],SummaryDaily[day],SummaryDaily[gross_profit],0)</f>
        <v>0</v>
      </c>
      <c r="AP27" s="18">
        <f>IFERROR(TableDailySummary[[#This Row],[Utilidad bruta]]/TableDailySummary[[#This Row],[Ventas netas con costo registrado]],0)</f>
        <v>0</v>
      </c>
    </row>
    <row r="28" spans="2:42" x14ac:dyDescent="0.2">
      <c r="B28" s="15" cm="1">
        <f t="array" ref="B28">ParamFechaInicioReporte + (ROW(TableDailySummary[#This Row]) - ROW(TableDailySummary[[#Headers],[Dia]]) - 1)</f>
        <v>44555</v>
      </c>
      <c r="C28" s="6">
        <f>TableDailySummary[[#This Row],[Dia]]</f>
        <v>44555</v>
      </c>
      <c r="D28" s="11">
        <f>_xlfn.XLOOKUP(TableDailySummary[[#This Row],[Fecha]],SummaryDaily[day],SummaryDaily[net_sales],0)</f>
        <v>0</v>
      </c>
      <c r="E28" s="11">
        <f>_xlfn.XLOOKUP(TableDailySummary[[#This Row],[Fecha]],SummaryDaily[day],SummaryDaily[orders],0)</f>
        <v>0</v>
      </c>
      <c r="F28" s="11">
        <f>_xlfn.XLOOKUP(TableDailySummary[[#This Row],[Fecha]],SummaryDaily[day],SummaryDaily[average_order_value],0)</f>
        <v>0</v>
      </c>
      <c r="G28" s="24" cm="1">
        <f t="array" ref="G28">_xlfn.XLOOKUP(TableDailySummary[[#This Row],[Fecha]]&amp;"Total site",ConversionRateByReferral[day]&amp;ConversionRateByReferral[referrer_source],ConversionRateByReferral[conversion_rate],0)</f>
        <v>0</v>
      </c>
      <c r="H28" s="11">
        <f>TableDailySummary[[#This Row],[Órden promedio totales]]*TableDailySummary[[#This Row],[CR totales]]</f>
        <v>0</v>
      </c>
      <c r="I28" s="11">
        <f>_xlfn.XLOOKUP(TableDailySummary[[#This Row],[Fecha]],SummaryDaily[day],SummaryDaily[new_net_sales],0)</f>
        <v>0</v>
      </c>
      <c r="J28" s="11">
        <f>_xlfn.XLOOKUP(TableDailySummary[[#This Row],[Fecha]],SummaryDaily[day],SummaryDaily[new_orders],0)</f>
        <v>0</v>
      </c>
      <c r="K28" s="11">
        <f>_xlfn.XLOOKUP(TableDailySummary[[#This Row],[Fecha]],SummaryDaily[day],SummaryDaily[new_average_order_value],0)</f>
        <v>0</v>
      </c>
      <c r="L28" s="11">
        <f>_xlfn.XLOOKUP(TableDailySummary[[#This Row],[Fecha]],SummaryDaily[day],SummaryDaily[Online Store_net_sales],0)</f>
        <v>0</v>
      </c>
      <c r="M28" s="11">
        <f>_xlfn.XLOOKUP(TableDailySummary[[#This Row],[Fecha]],SummaryDaily[day],SummaryDaily[Online Store_orders],0)</f>
        <v>0</v>
      </c>
      <c r="N28" s="11">
        <f>_xlfn.XLOOKUP(TableDailySummary[[#This Row],[Fecha]],SummaryDaily[day],SummaryDaily[Online Store_average_order_value],0)</f>
        <v>0</v>
      </c>
      <c r="O28" s="11">
        <f>_xlfn.XLOOKUP(TableDailySummary[[#This Row],[Fecha]],SummaryDaily[day],SummaryDaily[Tienda 81_net_sales],0)</f>
        <v>0</v>
      </c>
      <c r="P28" s="11">
        <f>_xlfn.XLOOKUP(TableDailySummary[[#This Row],[Fecha]],SummaryDaily[day],SummaryDaily[Tienda 81_orders],0)</f>
        <v>0</v>
      </c>
      <c r="Q28" s="11">
        <f>_xlfn.XLOOKUP(TableDailySummary[[#This Row],[Fecha]],SummaryDaily[day],SummaryDaily[Tienda 81_average_order_value],0)</f>
        <v>0</v>
      </c>
      <c r="R28" s="11">
        <f>_xlfn.XLOOKUP(TableDailySummary[[#This Row],[Fecha]],SummaryDaily[day],SummaryDaily[Rappi_net_sales],0)</f>
        <v>0</v>
      </c>
      <c r="S28" s="11">
        <f>_xlfn.XLOOKUP(TableDailySummary[[#This Row],[Fecha]],SummaryDaily[day],SummaryDaily[Rappi_orders],0)</f>
        <v>0</v>
      </c>
      <c r="T28" s="11">
        <f>_xlfn.XLOOKUP(TableDailySummary[[#This Row],[Fecha]],SummaryDaily[day],SummaryDaily[Rappi_average_order_value],0)</f>
        <v>0</v>
      </c>
      <c r="U28" s="11">
        <f>_xlfn.XLOOKUP(TableDailySummary[[#This Row],[Fecha]],SummaryDaily[day],SummaryDaily[Corporativo no tienda_net_sales],0)</f>
        <v>0</v>
      </c>
      <c r="V28" s="11">
        <f>_xlfn.XLOOKUP(TableDailySummary[[#This Row],[Fecha]],SummaryDaily[day],SummaryDaily[Corporativo no tienda_orders],0)</f>
        <v>0</v>
      </c>
      <c r="W28" s="11">
        <f>_xlfn.XLOOKUP(TableDailySummary[[#This Row],[Fecha]],SummaryDaily[day],SummaryDaily[Corporativo no tienda_average_order_value],0)</f>
        <v>0</v>
      </c>
      <c r="X28" s="11">
        <f>_xlfn.XLOOKUP(TableDailySummary[[#This Row],[Fecha]],SummaryDaily[day],SummaryDaily[GoogleAdsOperation.Cost],0)</f>
        <v>0</v>
      </c>
      <c r="Y28" s="11">
        <f>SUMIFS(SalesByUTMDaily[google],SalesByUTMDaily[day],TableDailySummary[[#This Row],[Fecha]])</f>
        <v>0</v>
      </c>
      <c r="Z28" s="11">
        <f>_xlfn.XLOOKUP(TableDailySummary[[#This Row],[Fecha]],SummaryDaily[day],SummaryDaily[MetaAdsOperation.spend],0)</f>
        <v>0</v>
      </c>
      <c r="AA28" s="11">
        <f>SUMIFS(SalesByUTMDaily[facebook],SalesByUTMDaily[day],TableDailySummary[[#This Row],[Fecha]])</f>
        <v>0</v>
      </c>
      <c r="AB28" s="11">
        <f>TableDailySummary[[#This Row],[Inversión google ads]]+TableDailySummary[[#This Row],[Inversión meta ads]]</f>
        <v>0</v>
      </c>
      <c r="AC28" s="11">
        <f>TableDailySummary[[#This Row],[Ventas google ads]]+TableDailySummary[[#This Row],[Ventas meta ads]]</f>
        <v>0</v>
      </c>
      <c r="AD28" s="14">
        <f>IFERROR(TableDailySummary[[#This Row],[Ventas publicidad]]/TableDailySummary[[#This Row],[Inversión publicidad]],0)</f>
        <v>0</v>
      </c>
      <c r="AE28" s="14">
        <f>IFERROR(TableDailySummary[[#This Row],[Ventas primer cliente]]/TableDailySummary[[#This Row],[Inversión publicidad]],0)</f>
        <v>0</v>
      </c>
      <c r="AF28" s="14"/>
      <c r="AG28" s="11"/>
      <c r="AM28" s="11">
        <f>_xlfn.XLOOKUP(TableDailySummary[[#This Row],[Fecha]],SummaryDaily[day],SummaryDaily[net_sales_with_cost_recorded],0)</f>
        <v>0</v>
      </c>
      <c r="AN28" s="11">
        <f>_xlfn.XLOOKUP(TableDailySummary[[#This Row],[Fecha]],SummaryDaily[day],SummaryDaily[cost_of_goods_sold],0)</f>
        <v>0</v>
      </c>
      <c r="AO28" s="11">
        <f>_xlfn.XLOOKUP(TableDailySummary[[#This Row],[Fecha]],SummaryDaily[day],SummaryDaily[gross_profit],0)</f>
        <v>0</v>
      </c>
      <c r="AP28" s="18">
        <f>IFERROR(TableDailySummary[[#This Row],[Utilidad bruta]]/TableDailySummary[[#This Row],[Ventas netas con costo registrado]],0)</f>
        <v>0</v>
      </c>
    </row>
    <row r="29" spans="2:42" x14ac:dyDescent="0.2">
      <c r="B29" s="15" cm="1">
        <f t="array" ref="B29">ParamFechaInicioReporte + (ROW(TableDailySummary[#This Row]) - ROW(TableDailySummary[[#Headers],[Dia]]) - 1)</f>
        <v>44556</v>
      </c>
      <c r="C29" s="6">
        <f>TableDailySummary[[#This Row],[Dia]]</f>
        <v>44556</v>
      </c>
      <c r="D29" s="11">
        <f>_xlfn.XLOOKUP(TableDailySummary[[#This Row],[Fecha]],SummaryDaily[day],SummaryDaily[net_sales],0)</f>
        <v>0</v>
      </c>
      <c r="E29" s="11">
        <f>_xlfn.XLOOKUP(TableDailySummary[[#This Row],[Fecha]],SummaryDaily[day],SummaryDaily[orders],0)</f>
        <v>0</v>
      </c>
      <c r="F29" s="11">
        <f>_xlfn.XLOOKUP(TableDailySummary[[#This Row],[Fecha]],SummaryDaily[day],SummaryDaily[average_order_value],0)</f>
        <v>0</v>
      </c>
      <c r="G29" s="24" cm="1">
        <f t="array" ref="G29">_xlfn.XLOOKUP(TableDailySummary[[#This Row],[Fecha]]&amp;"Total site",ConversionRateByReferral[day]&amp;ConversionRateByReferral[referrer_source],ConversionRateByReferral[conversion_rate],0)</f>
        <v>0</v>
      </c>
      <c r="H29" s="11">
        <f>TableDailySummary[[#This Row],[Órden promedio totales]]*TableDailySummary[[#This Row],[CR totales]]</f>
        <v>0</v>
      </c>
      <c r="I29" s="11">
        <f>_xlfn.XLOOKUP(TableDailySummary[[#This Row],[Fecha]],SummaryDaily[day],SummaryDaily[new_net_sales],0)</f>
        <v>0</v>
      </c>
      <c r="J29" s="11">
        <f>_xlfn.XLOOKUP(TableDailySummary[[#This Row],[Fecha]],SummaryDaily[day],SummaryDaily[new_orders],0)</f>
        <v>0</v>
      </c>
      <c r="K29" s="11">
        <f>_xlfn.XLOOKUP(TableDailySummary[[#This Row],[Fecha]],SummaryDaily[day],SummaryDaily[new_average_order_value],0)</f>
        <v>0</v>
      </c>
      <c r="L29" s="11">
        <f>_xlfn.XLOOKUP(TableDailySummary[[#This Row],[Fecha]],SummaryDaily[day],SummaryDaily[Online Store_net_sales],0)</f>
        <v>0</v>
      </c>
      <c r="M29" s="11">
        <f>_xlfn.XLOOKUP(TableDailySummary[[#This Row],[Fecha]],SummaryDaily[day],SummaryDaily[Online Store_orders],0)</f>
        <v>0</v>
      </c>
      <c r="N29" s="11">
        <f>_xlfn.XLOOKUP(TableDailySummary[[#This Row],[Fecha]],SummaryDaily[day],SummaryDaily[Online Store_average_order_value],0)</f>
        <v>0</v>
      </c>
      <c r="O29" s="11">
        <f>_xlfn.XLOOKUP(TableDailySummary[[#This Row],[Fecha]],SummaryDaily[day],SummaryDaily[Tienda 81_net_sales],0)</f>
        <v>0</v>
      </c>
      <c r="P29" s="11">
        <f>_xlfn.XLOOKUP(TableDailySummary[[#This Row],[Fecha]],SummaryDaily[day],SummaryDaily[Tienda 81_orders],0)</f>
        <v>0</v>
      </c>
      <c r="Q29" s="11">
        <f>_xlfn.XLOOKUP(TableDailySummary[[#This Row],[Fecha]],SummaryDaily[day],SummaryDaily[Tienda 81_average_order_value],0)</f>
        <v>0</v>
      </c>
      <c r="R29" s="11">
        <f>_xlfn.XLOOKUP(TableDailySummary[[#This Row],[Fecha]],SummaryDaily[day],SummaryDaily[Rappi_net_sales],0)</f>
        <v>0</v>
      </c>
      <c r="S29" s="11">
        <f>_xlfn.XLOOKUP(TableDailySummary[[#This Row],[Fecha]],SummaryDaily[day],SummaryDaily[Rappi_orders],0)</f>
        <v>0</v>
      </c>
      <c r="T29" s="11">
        <f>_xlfn.XLOOKUP(TableDailySummary[[#This Row],[Fecha]],SummaryDaily[day],SummaryDaily[Rappi_average_order_value],0)</f>
        <v>0</v>
      </c>
      <c r="U29" s="11">
        <f>_xlfn.XLOOKUP(TableDailySummary[[#This Row],[Fecha]],SummaryDaily[day],SummaryDaily[Corporativo no tienda_net_sales],0)</f>
        <v>0</v>
      </c>
      <c r="V29" s="11">
        <f>_xlfn.XLOOKUP(TableDailySummary[[#This Row],[Fecha]],SummaryDaily[day],SummaryDaily[Corporativo no tienda_orders],0)</f>
        <v>0</v>
      </c>
      <c r="W29" s="11">
        <f>_xlfn.XLOOKUP(TableDailySummary[[#This Row],[Fecha]],SummaryDaily[day],SummaryDaily[Corporativo no tienda_average_order_value],0)</f>
        <v>0</v>
      </c>
      <c r="X29" s="11">
        <f>_xlfn.XLOOKUP(TableDailySummary[[#This Row],[Fecha]],SummaryDaily[day],SummaryDaily[GoogleAdsOperation.Cost],0)</f>
        <v>0</v>
      </c>
      <c r="Y29" s="11">
        <f>SUMIFS(SalesByUTMDaily[google],SalesByUTMDaily[day],TableDailySummary[[#This Row],[Fecha]])</f>
        <v>0</v>
      </c>
      <c r="Z29" s="11">
        <f>_xlfn.XLOOKUP(TableDailySummary[[#This Row],[Fecha]],SummaryDaily[day],SummaryDaily[MetaAdsOperation.spend],0)</f>
        <v>0</v>
      </c>
      <c r="AA29" s="11">
        <f>SUMIFS(SalesByUTMDaily[facebook],SalesByUTMDaily[day],TableDailySummary[[#This Row],[Fecha]])</f>
        <v>0</v>
      </c>
      <c r="AB29" s="11">
        <f>TableDailySummary[[#This Row],[Inversión google ads]]+TableDailySummary[[#This Row],[Inversión meta ads]]</f>
        <v>0</v>
      </c>
      <c r="AC29" s="11">
        <f>TableDailySummary[[#This Row],[Ventas google ads]]+TableDailySummary[[#This Row],[Ventas meta ads]]</f>
        <v>0</v>
      </c>
      <c r="AD29" s="14">
        <f>IFERROR(TableDailySummary[[#This Row],[Ventas publicidad]]/TableDailySummary[[#This Row],[Inversión publicidad]],0)</f>
        <v>0</v>
      </c>
      <c r="AE29" s="14">
        <f>IFERROR(TableDailySummary[[#This Row],[Ventas primer cliente]]/TableDailySummary[[#This Row],[Inversión publicidad]],0)</f>
        <v>0</v>
      </c>
      <c r="AF29" s="14"/>
      <c r="AG29" s="11"/>
      <c r="AM29" s="11">
        <f>_xlfn.XLOOKUP(TableDailySummary[[#This Row],[Fecha]],SummaryDaily[day],SummaryDaily[net_sales_with_cost_recorded],0)</f>
        <v>0</v>
      </c>
      <c r="AN29" s="11">
        <f>_xlfn.XLOOKUP(TableDailySummary[[#This Row],[Fecha]],SummaryDaily[day],SummaryDaily[cost_of_goods_sold],0)</f>
        <v>0</v>
      </c>
      <c r="AO29" s="11">
        <f>_xlfn.XLOOKUP(TableDailySummary[[#This Row],[Fecha]],SummaryDaily[day],SummaryDaily[gross_profit],0)</f>
        <v>0</v>
      </c>
      <c r="AP29" s="18">
        <f>IFERROR(TableDailySummary[[#This Row],[Utilidad bruta]]/TableDailySummary[[#This Row],[Ventas netas con costo registrado]],0)</f>
        <v>0</v>
      </c>
    </row>
    <row r="30" spans="2:42" x14ac:dyDescent="0.2">
      <c r="B30" s="15" cm="1">
        <f t="array" ref="B30">ParamFechaInicioReporte + (ROW(TableDailySummary[#This Row]) - ROW(TableDailySummary[[#Headers],[Dia]]) - 1)</f>
        <v>44557</v>
      </c>
      <c r="C30" s="6">
        <f>TableDailySummary[[#This Row],[Dia]]</f>
        <v>44557</v>
      </c>
      <c r="D30" s="11">
        <f>_xlfn.XLOOKUP(TableDailySummary[[#This Row],[Fecha]],SummaryDaily[day],SummaryDaily[net_sales],0)</f>
        <v>0</v>
      </c>
      <c r="E30" s="11">
        <f>_xlfn.XLOOKUP(TableDailySummary[[#This Row],[Fecha]],SummaryDaily[day],SummaryDaily[orders],0)</f>
        <v>0</v>
      </c>
      <c r="F30" s="11">
        <f>_xlfn.XLOOKUP(TableDailySummary[[#This Row],[Fecha]],SummaryDaily[day],SummaryDaily[average_order_value],0)</f>
        <v>0</v>
      </c>
      <c r="G30" s="24" cm="1">
        <f t="array" ref="G30">_xlfn.XLOOKUP(TableDailySummary[[#This Row],[Fecha]]&amp;"Total site",ConversionRateByReferral[day]&amp;ConversionRateByReferral[referrer_source],ConversionRateByReferral[conversion_rate],0)</f>
        <v>0</v>
      </c>
      <c r="H30" s="11">
        <f>TableDailySummary[[#This Row],[Órden promedio totales]]*TableDailySummary[[#This Row],[CR totales]]</f>
        <v>0</v>
      </c>
      <c r="I30" s="11">
        <f>_xlfn.XLOOKUP(TableDailySummary[[#This Row],[Fecha]],SummaryDaily[day],SummaryDaily[new_net_sales],0)</f>
        <v>0</v>
      </c>
      <c r="J30" s="11">
        <f>_xlfn.XLOOKUP(TableDailySummary[[#This Row],[Fecha]],SummaryDaily[day],SummaryDaily[new_orders],0)</f>
        <v>0</v>
      </c>
      <c r="K30" s="11">
        <f>_xlfn.XLOOKUP(TableDailySummary[[#This Row],[Fecha]],SummaryDaily[day],SummaryDaily[new_average_order_value],0)</f>
        <v>0</v>
      </c>
      <c r="L30" s="11">
        <f>_xlfn.XLOOKUP(TableDailySummary[[#This Row],[Fecha]],SummaryDaily[day],SummaryDaily[Online Store_net_sales],0)</f>
        <v>0</v>
      </c>
      <c r="M30" s="11">
        <f>_xlfn.XLOOKUP(TableDailySummary[[#This Row],[Fecha]],SummaryDaily[day],SummaryDaily[Online Store_orders],0)</f>
        <v>0</v>
      </c>
      <c r="N30" s="11">
        <f>_xlfn.XLOOKUP(TableDailySummary[[#This Row],[Fecha]],SummaryDaily[day],SummaryDaily[Online Store_average_order_value],0)</f>
        <v>0</v>
      </c>
      <c r="O30" s="11">
        <f>_xlfn.XLOOKUP(TableDailySummary[[#This Row],[Fecha]],SummaryDaily[day],SummaryDaily[Tienda 81_net_sales],0)</f>
        <v>0</v>
      </c>
      <c r="P30" s="11">
        <f>_xlfn.XLOOKUP(TableDailySummary[[#This Row],[Fecha]],SummaryDaily[day],SummaryDaily[Tienda 81_orders],0)</f>
        <v>0</v>
      </c>
      <c r="Q30" s="11">
        <f>_xlfn.XLOOKUP(TableDailySummary[[#This Row],[Fecha]],SummaryDaily[day],SummaryDaily[Tienda 81_average_order_value],0)</f>
        <v>0</v>
      </c>
      <c r="R30" s="11">
        <f>_xlfn.XLOOKUP(TableDailySummary[[#This Row],[Fecha]],SummaryDaily[day],SummaryDaily[Rappi_net_sales],0)</f>
        <v>0</v>
      </c>
      <c r="S30" s="11">
        <f>_xlfn.XLOOKUP(TableDailySummary[[#This Row],[Fecha]],SummaryDaily[day],SummaryDaily[Rappi_orders],0)</f>
        <v>0</v>
      </c>
      <c r="T30" s="11">
        <f>_xlfn.XLOOKUP(TableDailySummary[[#This Row],[Fecha]],SummaryDaily[day],SummaryDaily[Rappi_average_order_value],0)</f>
        <v>0</v>
      </c>
      <c r="U30" s="11">
        <f>_xlfn.XLOOKUP(TableDailySummary[[#This Row],[Fecha]],SummaryDaily[day],SummaryDaily[Corporativo no tienda_net_sales],0)</f>
        <v>0</v>
      </c>
      <c r="V30" s="11">
        <f>_xlfn.XLOOKUP(TableDailySummary[[#This Row],[Fecha]],SummaryDaily[day],SummaryDaily[Corporativo no tienda_orders],0)</f>
        <v>0</v>
      </c>
      <c r="W30" s="11">
        <f>_xlfn.XLOOKUP(TableDailySummary[[#This Row],[Fecha]],SummaryDaily[day],SummaryDaily[Corporativo no tienda_average_order_value],0)</f>
        <v>0</v>
      </c>
      <c r="X30" s="11">
        <f>_xlfn.XLOOKUP(TableDailySummary[[#This Row],[Fecha]],SummaryDaily[day],SummaryDaily[GoogleAdsOperation.Cost],0)</f>
        <v>0</v>
      </c>
      <c r="Y30" s="11">
        <f>SUMIFS(SalesByUTMDaily[google],SalesByUTMDaily[day],TableDailySummary[[#This Row],[Fecha]])</f>
        <v>0</v>
      </c>
      <c r="Z30" s="11">
        <f>_xlfn.XLOOKUP(TableDailySummary[[#This Row],[Fecha]],SummaryDaily[day],SummaryDaily[MetaAdsOperation.spend],0)</f>
        <v>0</v>
      </c>
      <c r="AA30" s="11">
        <f>SUMIFS(SalesByUTMDaily[facebook],SalesByUTMDaily[day],TableDailySummary[[#This Row],[Fecha]])</f>
        <v>0</v>
      </c>
      <c r="AB30" s="11">
        <f>TableDailySummary[[#This Row],[Inversión google ads]]+TableDailySummary[[#This Row],[Inversión meta ads]]</f>
        <v>0</v>
      </c>
      <c r="AC30" s="11">
        <f>TableDailySummary[[#This Row],[Ventas google ads]]+TableDailySummary[[#This Row],[Ventas meta ads]]</f>
        <v>0</v>
      </c>
      <c r="AD30" s="14">
        <f>IFERROR(TableDailySummary[[#This Row],[Ventas publicidad]]/TableDailySummary[[#This Row],[Inversión publicidad]],0)</f>
        <v>0</v>
      </c>
      <c r="AE30" s="14">
        <f>IFERROR(TableDailySummary[[#This Row],[Ventas primer cliente]]/TableDailySummary[[#This Row],[Inversión publicidad]],0)</f>
        <v>0</v>
      </c>
      <c r="AF30" s="14"/>
      <c r="AG30" s="11"/>
      <c r="AM30" s="11">
        <f>_xlfn.XLOOKUP(TableDailySummary[[#This Row],[Fecha]],SummaryDaily[day],SummaryDaily[net_sales_with_cost_recorded],0)</f>
        <v>0</v>
      </c>
      <c r="AN30" s="11">
        <f>_xlfn.XLOOKUP(TableDailySummary[[#This Row],[Fecha]],SummaryDaily[day],SummaryDaily[cost_of_goods_sold],0)</f>
        <v>0</v>
      </c>
      <c r="AO30" s="11">
        <f>_xlfn.XLOOKUP(TableDailySummary[[#This Row],[Fecha]],SummaryDaily[day],SummaryDaily[gross_profit],0)</f>
        <v>0</v>
      </c>
      <c r="AP30" s="18">
        <f>IFERROR(TableDailySummary[[#This Row],[Utilidad bruta]]/TableDailySummary[[#This Row],[Ventas netas con costo registrado]],0)</f>
        <v>0</v>
      </c>
    </row>
    <row r="31" spans="2:42" x14ac:dyDescent="0.2">
      <c r="B31" s="15" cm="1">
        <f t="array" ref="B31">ParamFechaInicioReporte + (ROW(TableDailySummary[#This Row]) - ROW(TableDailySummary[[#Headers],[Dia]]) - 1)</f>
        <v>44558</v>
      </c>
      <c r="C31" s="6">
        <f>TableDailySummary[[#This Row],[Dia]]</f>
        <v>44558</v>
      </c>
      <c r="D31" s="11">
        <f>_xlfn.XLOOKUP(TableDailySummary[[#This Row],[Fecha]],SummaryDaily[day],SummaryDaily[net_sales],0)</f>
        <v>0</v>
      </c>
      <c r="E31" s="11">
        <f>_xlfn.XLOOKUP(TableDailySummary[[#This Row],[Fecha]],SummaryDaily[day],SummaryDaily[orders],0)</f>
        <v>0</v>
      </c>
      <c r="F31" s="11">
        <f>_xlfn.XLOOKUP(TableDailySummary[[#This Row],[Fecha]],SummaryDaily[day],SummaryDaily[average_order_value],0)</f>
        <v>0</v>
      </c>
      <c r="G31" s="24" cm="1">
        <f t="array" ref="G31">_xlfn.XLOOKUP(TableDailySummary[[#This Row],[Fecha]]&amp;"Total site",ConversionRateByReferral[day]&amp;ConversionRateByReferral[referrer_source],ConversionRateByReferral[conversion_rate],0)</f>
        <v>0</v>
      </c>
      <c r="H31" s="11">
        <f>TableDailySummary[[#This Row],[Órden promedio totales]]*TableDailySummary[[#This Row],[CR totales]]</f>
        <v>0</v>
      </c>
      <c r="I31" s="11">
        <f>_xlfn.XLOOKUP(TableDailySummary[[#This Row],[Fecha]],SummaryDaily[day],SummaryDaily[new_net_sales],0)</f>
        <v>0</v>
      </c>
      <c r="J31" s="11">
        <f>_xlfn.XLOOKUP(TableDailySummary[[#This Row],[Fecha]],SummaryDaily[day],SummaryDaily[new_orders],0)</f>
        <v>0</v>
      </c>
      <c r="K31" s="11">
        <f>_xlfn.XLOOKUP(TableDailySummary[[#This Row],[Fecha]],SummaryDaily[day],SummaryDaily[new_average_order_value],0)</f>
        <v>0</v>
      </c>
      <c r="L31" s="11">
        <f>_xlfn.XLOOKUP(TableDailySummary[[#This Row],[Fecha]],SummaryDaily[day],SummaryDaily[Online Store_net_sales],0)</f>
        <v>0</v>
      </c>
      <c r="M31" s="11">
        <f>_xlfn.XLOOKUP(TableDailySummary[[#This Row],[Fecha]],SummaryDaily[day],SummaryDaily[Online Store_orders],0)</f>
        <v>0</v>
      </c>
      <c r="N31" s="11">
        <f>_xlfn.XLOOKUP(TableDailySummary[[#This Row],[Fecha]],SummaryDaily[day],SummaryDaily[Online Store_average_order_value],0)</f>
        <v>0</v>
      </c>
      <c r="O31" s="11">
        <f>_xlfn.XLOOKUP(TableDailySummary[[#This Row],[Fecha]],SummaryDaily[day],SummaryDaily[Tienda 81_net_sales],0)</f>
        <v>0</v>
      </c>
      <c r="P31" s="11">
        <f>_xlfn.XLOOKUP(TableDailySummary[[#This Row],[Fecha]],SummaryDaily[day],SummaryDaily[Tienda 81_orders],0)</f>
        <v>0</v>
      </c>
      <c r="Q31" s="11">
        <f>_xlfn.XLOOKUP(TableDailySummary[[#This Row],[Fecha]],SummaryDaily[day],SummaryDaily[Tienda 81_average_order_value],0)</f>
        <v>0</v>
      </c>
      <c r="R31" s="11">
        <f>_xlfn.XLOOKUP(TableDailySummary[[#This Row],[Fecha]],SummaryDaily[day],SummaryDaily[Rappi_net_sales],0)</f>
        <v>0</v>
      </c>
      <c r="S31" s="11">
        <f>_xlfn.XLOOKUP(TableDailySummary[[#This Row],[Fecha]],SummaryDaily[day],SummaryDaily[Rappi_orders],0)</f>
        <v>0</v>
      </c>
      <c r="T31" s="11">
        <f>_xlfn.XLOOKUP(TableDailySummary[[#This Row],[Fecha]],SummaryDaily[day],SummaryDaily[Rappi_average_order_value],0)</f>
        <v>0</v>
      </c>
      <c r="U31" s="11">
        <f>_xlfn.XLOOKUP(TableDailySummary[[#This Row],[Fecha]],SummaryDaily[day],SummaryDaily[Corporativo no tienda_net_sales],0)</f>
        <v>0</v>
      </c>
      <c r="V31" s="11">
        <f>_xlfn.XLOOKUP(TableDailySummary[[#This Row],[Fecha]],SummaryDaily[day],SummaryDaily[Corporativo no tienda_orders],0)</f>
        <v>0</v>
      </c>
      <c r="W31" s="11">
        <f>_xlfn.XLOOKUP(TableDailySummary[[#This Row],[Fecha]],SummaryDaily[day],SummaryDaily[Corporativo no tienda_average_order_value],0)</f>
        <v>0</v>
      </c>
      <c r="X31" s="11">
        <f>_xlfn.XLOOKUP(TableDailySummary[[#This Row],[Fecha]],SummaryDaily[day],SummaryDaily[GoogleAdsOperation.Cost],0)</f>
        <v>0</v>
      </c>
      <c r="Y31" s="11">
        <f>SUMIFS(SalesByUTMDaily[google],SalesByUTMDaily[day],TableDailySummary[[#This Row],[Fecha]])</f>
        <v>0</v>
      </c>
      <c r="Z31" s="11">
        <f>_xlfn.XLOOKUP(TableDailySummary[[#This Row],[Fecha]],SummaryDaily[day],SummaryDaily[MetaAdsOperation.spend],0)</f>
        <v>0</v>
      </c>
      <c r="AA31" s="11">
        <f>SUMIFS(SalesByUTMDaily[facebook],SalesByUTMDaily[day],TableDailySummary[[#This Row],[Fecha]])</f>
        <v>0</v>
      </c>
      <c r="AB31" s="11">
        <f>TableDailySummary[[#This Row],[Inversión google ads]]+TableDailySummary[[#This Row],[Inversión meta ads]]</f>
        <v>0</v>
      </c>
      <c r="AC31" s="11">
        <f>TableDailySummary[[#This Row],[Ventas google ads]]+TableDailySummary[[#This Row],[Ventas meta ads]]</f>
        <v>0</v>
      </c>
      <c r="AD31" s="14">
        <f>IFERROR(TableDailySummary[[#This Row],[Ventas publicidad]]/TableDailySummary[[#This Row],[Inversión publicidad]],0)</f>
        <v>0</v>
      </c>
      <c r="AE31" s="14">
        <f>IFERROR(TableDailySummary[[#This Row],[Ventas primer cliente]]/TableDailySummary[[#This Row],[Inversión publicidad]],0)</f>
        <v>0</v>
      </c>
      <c r="AF31" s="14"/>
      <c r="AG31" s="11"/>
      <c r="AM31" s="11">
        <f>_xlfn.XLOOKUP(TableDailySummary[[#This Row],[Fecha]],SummaryDaily[day],SummaryDaily[net_sales_with_cost_recorded],0)</f>
        <v>0</v>
      </c>
      <c r="AN31" s="11">
        <f>_xlfn.XLOOKUP(TableDailySummary[[#This Row],[Fecha]],SummaryDaily[day],SummaryDaily[cost_of_goods_sold],0)</f>
        <v>0</v>
      </c>
      <c r="AO31" s="11">
        <f>_xlfn.XLOOKUP(TableDailySummary[[#This Row],[Fecha]],SummaryDaily[day],SummaryDaily[gross_profit],0)</f>
        <v>0</v>
      </c>
      <c r="AP31" s="18">
        <f>IFERROR(TableDailySummary[[#This Row],[Utilidad bruta]]/TableDailySummary[[#This Row],[Ventas netas con costo registrado]],0)</f>
        <v>0</v>
      </c>
    </row>
    <row r="32" spans="2:42" x14ac:dyDescent="0.2">
      <c r="B32" s="15" cm="1">
        <f t="array" ref="B32">ParamFechaInicioReporte + (ROW(TableDailySummary[#This Row]) - ROW(TableDailySummary[[#Headers],[Dia]]) - 1)</f>
        <v>44559</v>
      </c>
      <c r="C32" s="6">
        <f>TableDailySummary[[#This Row],[Dia]]</f>
        <v>44559</v>
      </c>
      <c r="D32" s="11">
        <f>_xlfn.XLOOKUP(TableDailySummary[[#This Row],[Fecha]],SummaryDaily[day],SummaryDaily[net_sales],0)</f>
        <v>0</v>
      </c>
      <c r="E32" s="11">
        <f>_xlfn.XLOOKUP(TableDailySummary[[#This Row],[Fecha]],SummaryDaily[day],SummaryDaily[orders],0)</f>
        <v>0</v>
      </c>
      <c r="F32" s="11">
        <f>_xlfn.XLOOKUP(TableDailySummary[[#This Row],[Fecha]],SummaryDaily[day],SummaryDaily[average_order_value],0)</f>
        <v>0</v>
      </c>
      <c r="G32" s="24" cm="1">
        <f t="array" ref="G32">_xlfn.XLOOKUP(TableDailySummary[[#This Row],[Fecha]]&amp;"Total site",ConversionRateByReferral[day]&amp;ConversionRateByReferral[referrer_source],ConversionRateByReferral[conversion_rate],0)</f>
        <v>0</v>
      </c>
      <c r="H32" s="11">
        <f>TableDailySummary[[#This Row],[Órden promedio totales]]*TableDailySummary[[#This Row],[CR totales]]</f>
        <v>0</v>
      </c>
      <c r="I32" s="11">
        <f>_xlfn.XLOOKUP(TableDailySummary[[#This Row],[Fecha]],SummaryDaily[day],SummaryDaily[new_net_sales],0)</f>
        <v>0</v>
      </c>
      <c r="J32" s="11">
        <f>_xlfn.XLOOKUP(TableDailySummary[[#This Row],[Fecha]],SummaryDaily[day],SummaryDaily[new_orders],0)</f>
        <v>0</v>
      </c>
      <c r="K32" s="11">
        <f>_xlfn.XLOOKUP(TableDailySummary[[#This Row],[Fecha]],SummaryDaily[day],SummaryDaily[new_average_order_value],0)</f>
        <v>0</v>
      </c>
      <c r="L32" s="11">
        <f>_xlfn.XLOOKUP(TableDailySummary[[#This Row],[Fecha]],SummaryDaily[day],SummaryDaily[Online Store_net_sales],0)</f>
        <v>0</v>
      </c>
      <c r="M32" s="11">
        <f>_xlfn.XLOOKUP(TableDailySummary[[#This Row],[Fecha]],SummaryDaily[day],SummaryDaily[Online Store_orders],0)</f>
        <v>0</v>
      </c>
      <c r="N32" s="11">
        <f>_xlfn.XLOOKUP(TableDailySummary[[#This Row],[Fecha]],SummaryDaily[day],SummaryDaily[Online Store_average_order_value],0)</f>
        <v>0</v>
      </c>
      <c r="O32" s="11">
        <f>_xlfn.XLOOKUP(TableDailySummary[[#This Row],[Fecha]],SummaryDaily[day],SummaryDaily[Tienda 81_net_sales],0)</f>
        <v>0</v>
      </c>
      <c r="P32" s="11">
        <f>_xlfn.XLOOKUP(TableDailySummary[[#This Row],[Fecha]],SummaryDaily[day],SummaryDaily[Tienda 81_orders],0)</f>
        <v>0</v>
      </c>
      <c r="Q32" s="11">
        <f>_xlfn.XLOOKUP(TableDailySummary[[#This Row],[Fecha]],SummaryDaily[day],SummaryDaily[Tienda 81_average_order_value],0)</f>
        <v>0</v>
      </c>
      <c r="R32" s="11">
        <f>_xlfn.XLOOKUP(TableDailySummary[[#This Row],[Fecha]],SummaryDaily[day],SummaryDaily[Rappi_net_sales],0)</f>
        <v>0</v>
      </c>
      <c r="S32" s="11">
        <f>_xlfn.XLOOKUP(TableDailySummary[[#This Row],[Fecha]],SummaryDaily[day],SummaryDaily[Rappi_orders],0)</f>
        <v>0</v>
      </c>
      <c r="T32" s="11">
        <f>_xlfn.XLOOKUP(TableDailySummary[[#This Row],[Fecha]],SummaryDaily[day],SummaryDaily[Rappi_average_order_value],0)</f>
        <v>0</v>
      </c>
      <c r="U32" s="11">
        <f>_xlfn.XLOOKUP(TableDailySummary[[#This Row],[Fecha]],SummaryDaily[day],SummaryDaily[Corporativo no tienda_net_sales],0)</f>
        <v>0</v>
      </c>
      <c r="V32" s="11">
        <f>_xlfn.XLOOKUP(TableDailySummary[[#This Row],[Fecha]],SummaryDaily[day],SummaryDaily[Corporativo no tienda_orders],0)</f>
        <v>0</v>
      </c>
      <c r="W32" s="11">
        <f>_xlfn.XLOOKUP(TableDailySummary[[#This Row],[Fecha]],SummaryDaily[day],SummaryDaily[Corporativo no tienda_average_order_value],0)</f>
        <v>0</v>
      </c>
      <c r="X32" s="11">
        <f>_xlfn.XLOOKUP(TableDailySummary[[#This Row],[Fecha]],SummaryDaily[day],SummaryDaily[GoogleAdsOperation.Cost],0)</f>
        <v>0</v>
      </c>
      <c r="Y32" s="11">
        <f>SUMIFS(SalesByUTMDaily[google],SalesByUTMDaily[day],TableDailySummary[[#This Row],[Fecha]])</f>
        <v>0</v>
      </c>
      <c r="Z32" s="11">
        <f>_xlfn.XLOOKUP(TableDailySummary[[#This Row],[Fecha]],SummaryDaily[day],SummaryDaily[MetaAdsOperation.spend],0)</f>
        <v>0</v>
      </c>
      <c r="AA32" s="11">
        <f>SUMIFS(SalesByUTMDaily[facebook],SalesByUTMDaily[day],TableDailySummary[[#This Row],[Fecha]])</f>
        <v>0</v>
      </c>
      <c r="AB32" s="11">
        <f>TableDailySummary[[#This Row],[Inversión google ads]]+TableDailySummary[[#This Row],[Inversión meta ads]]</f>
        <v>0</v>
      </c>
      <c r="AC32" s="11">
        <f>TableDailySummary[[#This Row],[Ventas google ads]]+TableDailySummary[[#This Row],[Ventas meta ads]]</f>
        <v>0</v>
      </c>
      <c r="AD32" s="14">
        <f>IFERROR(TableDailySummary[[#This Row],[Ventas publicidad]]/TableDailySummary[[#This Row],[Inversión publicidad]],0)</f>
        <v>0</v>
      </c>
      <c r="AE32" s="14">
        <f>IFERROR(TableDailySummary[[#This Row],[Ventas primer cliente]]/TableDailySummary[[#This Row],[Inversión publicidad]],0)</f>
        <v>0</v>
      </c>
      <c r="AF32" s="14"/>
      <c r="AG32" s="11"/>
      <c r="AM32" s="11">
        <f>_xlfn.XLOOKUP(TableDailySummary[[#This Row],[Fecha]],SummaryDaily[day],SummaryDaily[net_sales_with_cost_recorded],0)</f>
        <v>0</v>
      </c>
      <c r="AN32" s="11">
        <f>_xlfn.XLOOKUP(TableDailySummary[[#This Row],[Fecha]],SummaryDaily[day],SummaryDaily[cost_of_goods_sold],0)</f>
        <v>0</v>
      </c>
      <c r="AO32" s="11">
        <f>_xlfn.XLOOKUP(TableDailySummary[[#This Row],[Fecha]],SummaryDaily[day],SummaryDaily[gross_profit],0)</f>
        <v>0</v>
      </c>
      <c r="AP32" s="18">
        <f>IFERROR(TableDailySummary[[#This Row],[Utilidad bruta]]/TableDailySummary[[#This Row],[Ventas netas con costo registrado]],0)</f>
        <v>0</v>
      </c>
    </row>
    <row r="33" spans="2:42" x14ac:dyDescent="0.2">
      <c r="B33" s="15" cm="1">
        <f t="array" ref="B33">ParamFechaInicioReporte + (ROW(TableDailySummary[#This Row]) - ROW(TableDailySummary[[#Headers],[Dia]]) - 1)</f>
        <v>44560</v>
      </c>
      <c r="C33" s="6">
        <f>TableDailySummary[[#This Row],[Dia]]</f>
        <v>44560</v>
      </c>
      <c r="D33" s="11">
        <f>_xlfn.XLOOKUP(TableDailySummary[[#This Row],[Fecha]],SummaryDaily[day],SummaryDaily[net_sales],0)</f>
        <v>0</v>
      </c>
      <c r="E33" s="11">
        <f>_xlfn.XLOOKUP(TableDailySummary[[#This Row],[Fecha]],SummaryDaily[day],SummaryDaily[orders],0)</f>
        <v>0</v>
      </c>
      <c r="F33" s="11">
        <f>_xlfn.XLOOKUP(TableDailySummary[[#This Row],[Fecha]],SummaryDaily[day],SummaryDaily[average_order_value],0)</f>
        <v>0</v>
      </c>
      <c r="G33" s="24" cm="1">
        <f t="array" ref="G33">_xlfn.XLOOKUP(TableDailySummary[[#This Row],[Fecha]]&amp;"Total site",ConversionRateByReferral[day]&amp;ConversionRateByReferral[referrer_source],ConversionRateByReferral[conversion_rate],0)</f>
        <v>0</v>
      </c>
      <c r="H33" s="11">
        <f>TableDailySummary[[#This Row],[Órden promedio totales]]*TableDailySummary[[#This Row],[CR totales]]</f>
        <v>0</v>
      </c>
      <c r="I33" s="11">
        <f>_xlfn.XLOOKUP(TableDailySummary[[#This Row],[Fecha]],SummaryDaily[day],SummaryDaily[new_net_sales],0)</f>
        <v>0</v>
      </c>
      <c r="J33" s="11">
        <f>_xlfn.XLOOKUP(TableDailySummary[[#This Row],[Fecha]],SummaryDaily[day],SummaryDaily[new_orders],0)</f>
        <v>0</v>
      </c>
      <c r="K33" s="11">
        <f>_xlfn.XLOOKUP(TableDailySummary[[#This Row],[Fecha]],SummaryDaily[day],SummaryDaily[new_average_order_value],0)</f>
        <v>0</v>
      </c>
      <c r="L33" s="11">
        <f>_xlfn.XLOOKUP(TableDailySummary[[#This Row],[Fecha]],SummaryDaily[day],SummaryDaily[Online Store_net_sales],0)</f>
        <v>0</v>
      </c>
      <c r="M33" s="11">
        <f>_xlfn.XLOOKUP(TableDailySummary[[#This Row],[Fecha]],SummaryDaily[day],SummaryDaily[Online Store_orders],0)</f>
        <v>0</v>
      </c>
      <c r="N33" s="11">
        <f>_xlfn.XLOOKUP(TableDailySummary[[#This Row],[Fecha]],SummaryDaily[day],SummaryDaily[Online Store_average_order_value],0)</f>
        <v>0</v>
      </c>
      <c r="O33" s="11">
        <f>_xlfn.XLOOKUP(TableDailySummary[[#This Row],[Fecha]],SummaryDaily[day],SummaryDaily[Tienda 81_net_sales],0)</f>
        <v>0</v>
      </c>
      <c r="P33" s="11">
        <f>_xlfn.XLOOKUP(TableDailySummary[[#This Row],[Fecha]],SummaryDaily[day],SummaryDaily[Tienda 81_orders],0)</f>
        <v>0</v>
      </c>
      <c r="Q33" s="11">
        <f>_xlfn.XLOOKUP(TableDailySummary[[#This Row],[Fecha]],SummaryDaily[day],SummaryDaily[Tienda 81_average_order_value],0)</f>
        <v>0</v>
      </c>
      <c r="R33" s="11">
        <f>_xlfn.XLOOKUP(TableDailySummary[[#This Row],[Fecha]],SummaryDaily[day],SummaryDaily[Rappi_net_sales],0)</f>
        <v>0</v>
      </c>
      <c r="S33" s="11">
        <f>_xlfn.XLOOKUP(TableDailySummary[[#This Row],[Fecha]],SummaryDaily[day],SummaryDaily[Rappi_orders],0)</f>
        <v>0</v>
      </c>
      <c r="T33" s="11">
        <f>_xlfn.XLOOKUP(TableDailySummary[[#This Row],[Fecha]],SummaryDaily[day],SummaryDaily[Rappi_average_order_value],0)</f>
        <v>0</v>
      </c>
      <c r="U33" s="11">
        <f>_xlfn.XLOOKUP(TableDailySummary[[#This Row],[Fecha]],SummaryDaily[day],SummaryDaily[Corporativo no tienda_net_sales],0)</f>
        <v>0</v>
      </c>
      <c r="V33" s="11">
        <f>_xlfn.XLOOKUP(TableDailySummary[[#This Row],[Fecha]],SummaryDaily[day],SummaryDaily[Corporativo no tienda_orders],0)</f>
        <v>0</v>
      </c>
      <c r="W33" s="11">
        <f>_xlfn.XLOOKUP(TableDailySummary[[#This Row],[Fecha]],SummaryDaily[day],SummaryDaily[Corporativo no tienda_average_order_value],0)</f>
        <v>0</v>
      </c>
      <c r="X33" s="11">
        <f>_xlfn.XLOOKUP(TableDailySummary[[#This Row],[Fecha]],SummaryDaily[day],SummaryDaily[GoogleAdsOperation.Cost],0)</f>
        <v>0</v>
      </c>
      <c r="Y33" s="11">
        <f>SUMIFS(SalesByUTMDaily[google],SalesByUTMDaily[day],TableDailySummary[[#This Row],[Fecha]])</f>
        <v>0</v>
      </c>
      <c r="Z33" s="11">
        <f>_xlfn.XLOOKUP(TableDailySummary[[#This Row],[Fecha]],SummaryDaily[day],SummaryDaily[MetaAdsOperation.spend],0)</f>
        <v>0</v>
      </c>
      <c r="AA33" s="11">
        <f>SUMIFS(SalesByUTMDaily[facebook],SalesByUTMDaily[day],TableDailySummary[[#This Row],[Fecha]])</f>
        <v>0</v>
      </c>
      <c r="AB33" s="11">
        <f>TableDailySummary[[#This Row],[Inversión google ads]]+TableDailySummary[[#This Row],[Inversión meta ads]]</f>
        <v>0</v>
      </c>
      <c r="AC33" s="11">
        <f>TableDailySummary[[#This Row],[Ventas google ads]]+TableDailySummary[[#This Row],[Ventas meta ads]]</f>
        <v>0</v>
      </c>
      <c r="AD33" s="14">
        <f>IFERROR(TableDailySummary[[#This Row],[Ventas publicidad]]/TableDailySummary[[#This Row],[Inversión publicidad]],0)</f>
        <v>0</v>
      </c>
      <c r="AE33" s="14">
        <f>IFERROR(TableDailySummary[[#This Row],[Ventas primer cliente]]/TableDailySummary[[#This Row],[Inversión publicidad]],0)</f>
        <v>0</v>
      </c>
      <c r="AF33" s="14"/>
      <c r="AG33" s="11"/>
      <c r="AM33" s="11">
        <f>_xlfn.XLOOKUP(TableDailySummary[[#This Row],[Fecha]],SummaryDaily[day],SummaryDaily[net_sales_with_cost_recorded],0)</f>
        <v>0</v>
      </c>
      <c r="AN33" s="11">
        <f>_xlfn.XLOOKUP(TableDailySummary[[#This Row],[Fecha]],SummaryDaily[day],SummaryDaily[cost_of_goods_sold],0)</f>
        <v>0</v>
      </c>
      <c r="AO33" s="11">
        <f>_xlfn.XLOOKUP(TableDailySummary[[#This Row],[Fecha]],SummaryDaily[day],SummaryDaily[gross_profit],0)</f>
        <v>0</v>
      </c>
      <c r="AP33" s="18">
        <f>IFERROR(TableDailySummary[[#This Row],[Utilidad bruta]]/TableDailySummary[[#This Row],[Ventas netas con costo registrado]],0)</f>
        <v>0</v>
      </c>
    </row>
    <row r="34" spans="2:42" x14ac:dyDescent="0.2">
      <c r="B34" s="15" cm="1">
        <f t="array" ref="B34">ParamFechaInicioReporte + (ROW(TableDailySummary[#This Row]) - ROW(TableDailySummary[[#Headers],[Dia]]) - 1)</f>
        <v>44561</v>
      </c>
      <c r="C34" s="6">
        <f>TableDailySummary[[#This Row],[Dia]]</f>
        <v>44561</v>
      </c>
      <c r="D34" s="11">
        <f>_xlfn.XLOOKUP(TableDailySummary[[#This Row],[Fecha]],SummaryDaily[day],SummaryDaily[net_sales],0)</f>
        <v>0</v>
      </c>
      <c r="E34" s="11">
        <f>_xlfn.XLOOKUP(TableDailySummary[[#This Row],[Fecha]],SummaryDaily[day],SummaryDaily[orders],0)</f>
        <v>0</v>
      </c>
      <c r="F34" s="11">
        <f>_xlfn.XLOOKUP(TableDailySummary[[#This Row],[Fecha]],SummaryDaily[day],SummaryDaily[average_order_value],0)</f>
        <v>0</v>
      </c>
      <c r="G34" s="24" cm="1">
        <f t="array" ref="G34">_xlfn.XLOOKUP(TableDailySummary[[#This Row],[Fecha]]&amp;"Total site",ConversionRateByReferral[day]&amp;ConversionRateByReferral[referrer_source],ConversionRateByReferral[conversion_rate],0)</f>
        <v>0</v>
      </c>
      <c r="H34" s="11">
        <f>TableDailySummary[[#This Row],[Órden promedio totales]]*TableDailySummary[[#This Row],[CR totales]]</f>
        <v>0</v>
      </c>
      <c r="I34" s="11">
        <f>_xlfn.XLOOKUP(TableDailySummary[[#This Row],[Fecha]],SummaryDaily[day],SummaryDaily[new_net_sales],0)</f>
        <v>0</v>
      </c>
      <c r="J34" s="11">
        <f>_xlfn.XLOOKUP(TableDailySummary[[#This Row],[Fecha]],SummaryDaily[day],SummaryDaily[new_orders],0)</f>
        <v>0</v>
      </c>
      <c r="K34" s="11">
        <f>_xlfn.XLOOKUP(TableDailySummary[[#This Row],[Fecha]],SummaryDaily[day],SummaryDaily[new_average_order_value],0)</f>
        <v>0</v>
      </c>
      <c r="L34" s="11">
        <f>_xlfn.XLOOKUP(TableDailySummary[[#This Row],[Fecha]],SummaryDaily[day],SummaryDaily[Online Store_net_sales],0)</f>
        <v>0</v>
      </c>
      <c r="M34" s="11">
        <f>_xlfn.XLOOKUP(TableDailySummary[[#This Row],[Fecha]],SummaryDaily[day],SummaryDaily[Online Store_orders],0)</f>
        <v>0</v>
      </c>
      <c r="N34" s="11">
        <f>_xlfn.XLOOKUP(TableDailySummary[[#This Row],[Fecha]],SummaryDaily[day],SummaryDaily[Online Store_average_order_value],0)</f>
        <v>0</v>
      </c>
      <c r="O34" s="11">
        <f>_xlfn.XLOOKUP(TableDailySummary[[#This Row],[Fecha]],SummaryDaily[day],SummaryDaily[Tienda 81_net_sales],0)</f>
        <v>0</v>
      </c>
      <c r="P34" s="11">
        <f>_xlfn.XLOOKUP(TableDailySummary[[#This Row],[Fecha]],SummaryDaily[day],SummaryDaily[Tienda 81_orders],0)</f>
        <v>0</v>
      </c>
      <c r="Q34" s="11">
        <f>_xlfn.XLOOKUP(TableDailySummary[[#This Row],[Fecha]],SummaryDaily[day],SummaryDaily[Tienda 81_average_order_value],0)</f>
        <v>0</v>
      </c>
      <c r="R34" s="11">
        <f>_xlfn.XLOOKUP(TableDailySummary[[#This Row],[Fecha]],SummaryDaily[day],SummaryDaily[Rappi_net_sales],0)</f>
        <v>0</v>
      </c>
      <c r="S34" s="11">
        <f>_xlfn.XLOOKUP(TableDailySummary[[#This Row],[Fecha]],SummaryDaily[day],SummaryDaily[Rappi_orders],0)</f>
        <v>0</v>
      </c>
      <c r="T34" s="11">
        <f>_xlfn.XLOOKUP(TableDailySummary[[#This Row],[Fecha]],SummaryDaily[day],SummaryDaily[Rappi_average_order_value],0)</f>
        <v>0</v>
      </c>
      <c r="U34" s="11">
        <f>_xlfn.XLOOKUP(TableDailySummary[[#This Row],[Fecha]],SummaryDaily[day],SummaryDaily[Corporativo no tienda_net_sales],0)</f>
        <v>0</v>
      </c>
      <c r="V34" s="11">
        <f>_xlfn.XLOOKUP(TableDailySummary[[#This Row],[Fecha]],SummaryDaily[day],SummaryDaily[Corporativo no tienda_orders],0)</f>
        <v>0</v>
      </c>
      <c r="W34" s="11">
        <f>_xlfn.XLOOKUP(TableDailySummary[[#This Row],[Fecha]],SummaryDaily[day],SummaryDaily[Corporativo no tienda_average_order_value],0)</f>
        <v>0</v>
      </c>
      <c r="X34" s="11">
        <f>_xlfn.XLOOKUP(TableDailySummary[[#This Row],[Fecha]],SummaryDaily[day],SummaryDaily[GoogleAdsOperation.Cost],0)</f>
        <v>0</v>
      </c>
      <c r="Y34" s="11">
        <f>SUMIFS(SalesByUTMDaily[google],SalesByUTMDaily[day],TableDailySummary[[#This Row],[Fecha]])</f>
        <v>0</v>
      </c>
      <c r="Z34" s="11">
        <f>_xlfn.XLOOKUP(TableDailySummary[[#This Row],[Fecha]],SummaryDaily[day],SummaryDaily[MetaAdsOperation.spend],0)</f>
        <v>0</v>
      </c>
      <c r="AA34" s="11">
        <f>SUMIFS(SalesByUTMDaily[facebook],SalesByUTMDaily[day],TableDailySummary[[#This Row],[Fecha]])</f>
        <v>0</v>
      </c>
      <c r="AB34" s="11">
        <f>TableDailySummary[[#This Row],[Inversión google ads]]+TableDailySummary[[#This Row],[Inversión meta ads]]</f>
        <v>0</v>
      </c>
      <c r="AC34" s="11">
        <f>TableDailySummary[[#This Row],[Ventas google ads]]+TableDailySummary[[#This Row],[Ventas meta ads]]</f>
        <v>0</v>
      </c>
      <c r="AD34" s="14">
        <f>IFERROR(TableDailySummary[[#This Row],[Ventas publicidad]]/TableDailySummary[[#This Row],[Inversión publicidad]],0)</f>
        <v>0</v>
      </c>
      <c r="AE34" s="14">
        <f>IFERROR(TableDailySummary[[#This Row],[Ventas primer cliente]]/TableDailySummary[[#This Row],[Inversión publicidad]],0)</f>
        <v>0</v>
      </c>
      <c r="AF34" s="14"/>
      <c r="AG34" s="11"/>
      <c r="AM34" s="11">
        <f>_xlfn.XLOOKUP(TableDailySummary[[#This Row],[Fecha]],SummaryDaily[day],SummaryDaily[net_sales_with_cost_recorded],0)</f>
        <v>0</v>
      </c>
      <c r="AN34" s="11">
        <f>_xlfn.XLOOKUP(TableDailySummary[[#This Row],[Fecha]],SummaryDaily[day],SummaryDaily[cost_of_goods_sold],0)</f>
        <v>0</v>
      </c>
      <c r="AO34" s="11">
        <f>_xlfn.XLOOKUP(TableDailySummary[[#This Row],[Fecha]],SummaryDaily[day],SummaryDaily[gross_profit],0)</f>
        <v>0</v>
      </c>
      <c r="AP34" s="18">
        <f>IFERROR(TableDailySummary[[#This Row],[Utilidad bruta]]/TableDailySummary[[#This Row],[Ventas netas con costo registrado]],0)</f>
        <v>0</v>
      </c>
    </row>
    <row r="35" spans="2:42" x14ac:dyDescent="0.2">
      <c r="B35" s="15" cm="1">
        <f t="array" ref="B35">ParamFechaInicioReporte + (ROW(TableDailySummary[#This Row]) - ROW(TableDailySummary[[#Headers],[Dia]]) - 1)</f>
        <v>44562</v>
      </c>
      <c r="C35" s="6">
        <f>TableDailySummary[[#This Row],[Dia]]</f>
        <v>44562</v>
      </c>
      <c r="D35" s="11">
        <f>_xlfn.XLOOKUP(TableDailySummary[[#This Row],[Fecha]],SummaryDaily[day],SummaryDaily[net_sales],0)</f>
        <v>0</v>
      </c>
      <c r="E35" s="11">
        <f>_xlfn.XLOOKUP(TableDailySummary[[#This Row],[Fecha]],SummaryDaily[day],SummaryDaily[orders],0)</f>
        <v>0</v>
      </c>
      <c r="F35" s="11">
        <f>_xlfn.XLOOKUP(TableDailySummary[[#This Row],[Fecha]],SummaryDaily[day],SummaryDaily[average_order_value],0)</f>
        <v>0</v>
      </c>
      <c r="G35" s="24" cm="1">
        <f t="array" ref="G35">_xlfn.XLOOKUP(TableDailySummary[[#This Row],[Fecha]]&amp;"Total site",ConversionRateByReferral[day]&amp;ConversionRateByReferral[referrer_source],ConversionRateByReferral[conversion_rate],0)</f>
        <v>0</v>
      </c>
      <c r="H35" s="11">
        <f>TableDailySummary[[#This Row],[Órden promedio totales]]*TableDailySummary[[#This Row],[CR totales]]</f>
        <v>0</v>
      </c>
      <c r="I35" s="11">
        <f>_xlfn.XLOOKUP(TableDailySummary[[#This Row],[Fecha]],SummaryDaily[day],SummaryDaily[new_net_sales],0)</f>
        <v>0</v>
      </c>
      <c r="J35" s="11">
        <f>_xlfn.XLOOKUP(TableDailySummary[[#This Row],[Fecha]],SummaryDaily[day],SummaryDaily[new_orders],0)</f>
        <v>0</v>
      </c>
      <c r="K35" s="11">
        <f>_xlfn.XLOOKUP(TableDailySummary[[#This Row],[Fecha]],SummaryDaily[day],SummaryDaily[new_average_order_value],0)</f>
        <v>0</v>
      </c>
      <c r="L35" s="11">
        <f>_xlfn.XLOOKUP(TableDailySummary[[#This Row],[Fecha]],SummaryDaily[day],SummaryDaily[Online Store_net_sales],0)</f>
        <v>0</v>
      </c>
      <c r="M35" s="11">
        <f>_xlfn.XLOOKUP(TableDailySummary[[#This Row],[Fecha]],SummaryDaily[day],SummaryDaily[Online Store_orders],0)</f>
        <v>0</v>
      </c>
      <c r="N35" s="11">
        <f>_xlfn.XLOOKUP(TableDailySummary[[#This Row],[Fecha]],SummaryDaily[day],SummaryDaily[Online Store_average_order_value],0)</f>
        <v>0</v>
      </c>
      <c r="O35" s="11">
        <f>_xlfn.XLOOKUP(TableDailySummary[[#This Row],[Fecha]],SummaryDaily[day],SummaryDaily[Tienda 81_net_sales],0)</f>
        <v>0</v>
      </c>
      <c r="P35" s="11">
        <f>_xlfn.XLOOKUP(TableDailySummary[[#This Row],[Fecha]],SummaryDaily[day],SummaryDaily[Tienda 81_orders],0)</f>
        <v>0</v>
      </c>
      <c r="Q35" s="11">
        <f>_xlfn.XLOOKUP(TableDailySummary[[#This Row],[Fecha]],SummaryDaily[day],SummaryDaily[Tienda 81_average_order_value],0)</f>
        <v>0</v>
      </c>
      <c r="R35" s="11">
        <f>_xlfn.XLOOKUP(TableDailySummary[[#This Row],[Fecha]],SummaryDaily[day],SummaryDaily[Rappi_net_sales],0)</f>
        <v>0</v>
      </c>
      <c r="S35" s="11">
        <f>_xlfn.XLOOKUP(TableDailySummary[[#This Row],[Fecha]],SummaryDaily[day],SummaryDaily[Rappi_orders],0)</f>
        <v>0</v>
      </c>
      <c r="T35" s="11">
        <f>_xlfn.XLOOKUP(TableDailySummary[[#This Row],[Fecha]],SummaryDaily[day],SummaryDaily[Rappi_average_order_value],0)</f>
        <v>0</v>
      </c>
      <c r="U35" s="11">
        <f>_xlfn.XLOOKUP(TableDailySummary[[#This Row],[Fecha]],SummaryDaily[day],SummaryDaily[Corporativo no tienda_net_sales],0)</f>
        <v>0</v>
      </c>
      <c r="V35" s="11">
        <f>_xlfn.XLOOKUP(TableDailySummary[[#This Row],[Fecha]],SummaryDaily[day],SummaryDaily[Corporativo no tienda_orders],0)</f>
        <v>0</v>
      </c>
      <c r="W35" s="11">
        <f>_xlfn.XLOOKUP(TableDailySummary[[#This Row],[Fecha]],SummaryDaily[day],SummaryDaily[Corporativo no tienda_average_order_value],0)</f>
        <v>0</v>
      </c>
      <c r="X35" s="11">
        <f>_xlfn.XLOOKUP(TableDailySummary[[#This Row],[Fecha]],SummaryDaily[day],SummaryDaily[GoogleAdsOperation.Cost],0)</f>
        <v>0</v>
      </c>
      <c r="Y35" s="11">
        <f>SUMIFS(SalesByUTMDaily[google],SalesByUTMDaily[day],TableDailySummary[[#This Row],[Fecha]])</f>
        <v>0</v>
      </c>
      <c r="Z35" s="11">
        <f>_xlfn.XLOOKUP(TableDailySummary[[#This Row],[Fecha]],SummaryDaily[day],SummaryDaily[MetaAdsOperation.spend],0)</f>
        <v>0</v>
      </c>
      <c r="AA35" s="11">
        <f>SUMIFS(SalesByUTMDaily[facebook],SalesByUTMDaily[day],TableDailySummary[[#This Row],[Fecha]])</f>
        <v>0</v>
      </c>
      <c r="AB35" s="11">
        <f>TableDailySummary[[#This Row],[Inversión google ads]]+TableDailySummary[[#This Row],[Inversión meta ads]]</f>
        <v>0</v>
      </c>
      <c r="AC35" s="11">
        <f>TableDailySummary[[#This Row],[Ventas google ads]]+TableDailySummary[[#This Row],[Ventas meta ads]]</f>
        <v>0</v>
      </c>
      <c r="AD35" s="14">
        <f>IFERROR(TableDailySummary[[#This Row],[Ventas publicidad]]/TableDailySummary[[#This Row],[Inversión publicidad]],0)</f>
        <v>0</v>
      </c>
      <c r="AE35" s="14">
        <f>IFERROR(TableDailySummary[[#This Row],[Ventas primer cliente]]/TableDailySummary[[#This Row],[Inversión publicidad]],0)</f>
        <v>0</v>
      </c>
      <c r="AF35" s="14"/>
      <c r="AG35" s="11"/>
      <c r="AM35" s="11">
        <f>_xlfn.XLOOKUP(TableDailySummary[[#This Row],[Fecha]],SummaryDaily[day],SummaryDaily[net_sales_with_cost_recorded],0)</f>
        <v>0</v>
      </c>
      <c r="AN35" s="11">
        <f>_xlfn.XLOOKUP(TableDailySummary[[#This Row],[Fecha]],SummaryDaily[day],SummaryDaily[cost_of_goods_sold],0)</f>
        <v>0</v>
      </c>
      <c r="AO35" s="11">
        <f>_xlfn.XLOOKUP(TableDailySummary[[#This Row],[Fecha]],SummaryDaily[day],SummaryDaily[gross_profit],0)</f>
        <v>0</v>
      </c>
      <c r="AP35" s="18">
        <f>IFERROR(TableDailySummary[[#This Row],[Utilidad bruta]]/TableDailySummary[[#This Row],[Ventas netas con costo registrado]],0)</f>
        <v>0</v>
      </c>
    </row>
    <row r="36" spans="2:42" x14ac:dyDescent="0.2">
      <c r="B36" s="15" cm="1">
        <f t="array" ref="B36">ParamFechaInicioReporte + (ROW(TableDailySummary[#This Row]) - ROW(TableDailySummary[[#Headers],[Dia]]) - 1)</f>
        <v>44563</v>
      </c>
      <c r="C36" s="6">
        <f>TableDailySummary[[#This Row],[Dia]]</f>
        <v>44563</v>
      </c>
      <c r="D36" s="11">
        <f>_xlfn.XLOOKUP(TableDailySummary[[#This Row],[Fecha]],SummaryDaily[day],SummaryDaily[net_sales],0)</f>
        <v>0</v>
      </c>
      <c r="E36" s="11">
        <f>_xlfn.XLOOKUP(TableDailySummary[[#This Row],[Fecha]],SummaryDaily[day],SummaryDaily[orders],0)</f>
        <v>0</v>
      </c>
      <c r="F36" s="11">
        <f>_xlfn.XLOOKUP(TableDailySummary[[#This Row],[Fecha]],SummaryDaily[day],SummaryDaily[average_order_value],0)</f>
        <v>0</v>
      </c>
      <c r="G36" s="24" cm="1">
        <f t="array" ref="G36">_xlfn.XLOOKUP(TableDailySummary[[#This Row],[Fecha]]&amp;"Total site",ConversionRateByReferral[day]&amp;ConversionRateByReferral[referrer_source],ConversionRateByReferral[conversion_rate],0)</f>
        <v>0</v>
      </c>
      <c r="H36" s="11">
        <f>TableDailySummary[[#This Row],[Órden promedio totales]]*TableDailySummary[[#This Row],[CR totales]]</f>
        <v>0</v>
      </c>
      <c r="I36" s="11">
        <f>_xlfn.XLOOKUP(TableDailySummary[[#This Row],[Fecha]],SummaryDaily[day],SummaryDaily[new_net_sales],0)</f>
        <v>0</v>
      </c>
      <c r="J36" s="11">
        <f>_xlfn.XLOOKUP(TableDailySummary[[#This Row],[Fecha]],SummaryDaily[day],SummaryDaily[new_orders],0)</f>
        <v>0</v>
      </c>
      <c r="K36" s="11">
        <f>_xlfn.XLOOKUP(TableDailySummary[[#This Row],[Fecha]],SummaryDaily[day],SummaryDaily[new_average_order_value],0)</f>
        <v>0</v>
      </c>
      <c r="L36" s="11">
        <f>_xlfn.XLOOKUP(TableDailySummary[[#This Row],[Fecha]],SummaryDaily[day],SummaryDaily[Online Store_net_sales],0)</f>
        <v>0</v>
      </c>
      <c r="M36" s="11">
        <f>_xlfn.XLOOKUP(TableDailySummary[[#This Row],[Fecha]],SummaryDaily[day],SummaryDaily[Online Store_orders],0)</f>
        <v>0</v>
      </c>
      <c r="N36" s="11">
        <f>_xlfn.XLOOKUP(TableDailySummary[[#This Row],[Fecha]],SummaryDaily[day],SummaryDaily[Online Store_average_order_value],0)</f>
        <v>0</v>
      </c>
      <c r="O36" s="11">
        <f>_xlfn.XLOOKUP(TableDailySummary[[#This Row],[Fecha]],SummaryDaily[day],SummaryDaily[Tienda 81_net_sales],0)</f>
        <v>0</v>
      </c>
      <c r="P36" s="11">
        <f>_xlfn.XLOOKUP(TableDailySummary[[#This Row],[Fecha]],SummaryDaily[day],SummaryDaily[Tienda 81_orders],0)</f>
        <v>0</v>
      </c>
      <c r="Q36" s="11">
        <f>_xlfn.XLOOKUP(TableDailySummary[[#This Row],[Fecha]],SummaryDaily[day],SummaryDaily[Tienda 81_average_order_value],0)</f>
        <v>0</v>
      </c>
      <c r="R36" s="11">
        <f>_xlfn.XLOOKUP(TableDailySummary[[#This Row],[Fecha]],SummaryDaily[day],SummaryDaily[Rappi_net_sales],0)</f>
        <v>0</v>
      </c>
      <c r="S36" s="11">
        <f>_xlfn.XLOOKUP(TableDailySummary[[#This Row],[Fecha]],SummaryDaily[day],SummaryDaily[Rappi_orders],0)</f>
        <v>0</v>
      </c>
      <c r="T36" s="11">
        <f>_xlfn.XLOOKUP(TableDailySummary[[#This Row],[Fecha]],SummaryDaily[day],SummaryDaily[Rappi_average_order_value],0)</f>
        <v>0</v>
      </c>
      <c r="U36" s="11">
        <f>_xlfn.XLOOKUP(TableDailySummary[[#This Row],[Fecha]],SummaryDaily[day],SummaryDaily[Corporativo no tienda_net_sales],0)</f>
        <v>0</v>
      </c>
      <c r="V36" s="11">
        <f>_xlfn.XLOOKUP(TableDailySummary[[#This Row],[Fecha]],SummaryDaily[day],SummaryDaily[Corporativo no tienda_orders],0)</f>
        <v>0</v>
      </c>
      <c r="W36" s="11">
        <f>_xlfn.XLOOKUP(TableDailySummary[[#This Row],[Fecha]],SummaryDaily[day],SummaryDaily[Corporativo no tienda_average_order_value],0)</f>
        <v>0</v>
      </c>
      <c r="X36" s="11">
        <f>_xlfn.XLOOKUP(TableDailySummary[[#This Row],[Fecha]],SummaryDaily[day],SummaryDaily[GoogleAdsOperation.Cost],0)</f>
        <v>0</v>
      </c>
      <c r="Y36" s="11">
        <f>SUMIFS(SalesByUTMDaily[google],SalesByUTMDaily[day],TableDailySummary[[#This Row],[Fecha]])</f>
        <v>0</v>
      </c>
      <c r="Z36" s="11">
        <f>_xlfn.XLOOKUP(TableDailySummary[[#This Row],[Fecha]],SummaryDaily[day],SummaryDaily[MetaAdsOperation.spend],0)</f>
        <v>0</v>
      </c>
      <c r="AA36" s="11">
        <f>SUMIFS(SalesByUTMDaily[facebook],SalesByUTMDaily[day],TableDailySummary[[#This Row],[Fecha]])</f>
        <v>0</v>
      </c>
      <c r="AB36" s="11">
        <f>TableDailySummary[[#This Row],[Inversión google ads]]+TableDailySummary[[#This Row],[Inversión meta ads]]</f>
        <v>0</v>
      </c>
      <c r="AC36" s="11">
        <f>TableDailySummary[[#This Row],[Ventas google ads]]+TableDailySummary[[#This Row],[Ventas meta ads]]</f>
        <v>0</v>
      </c>
      <c r="AD36" s="14">
        <f>IFERROR(TableDailySummary[[#This Row],[Ventas publicidad]]/TableDailySummary[[#This Row],[Inversión publicidad]],0)</f>
        <v>0</v>
      </c>
      <c r="AE36" s="14">
        <f>IFERROR(TableDailySummary[[#This Row],[Ventas primer cliente]]/TableDailySummary[[#This Row],[Inversión publicidad]],0)</f>
        <v>0</v>
      </c>
      <c r="AF36" s="14"/>
      <c r="AG36" s="11"/>
      <c r="AM36" s="11">
        <f>_xlfn.XLOOKUP(TableDailySummary[[#This Row],[Fecha]],SummaryDaily[day],SummaryDaily[net_sales_with_cost_recorded],0)</f>
        <v>0</v>
      </c>
      <c r="AN36" s="11">
        <f>_xlfn.XLOOKUP(TableDailySummary[[#This Row],[Fecha]],SummaryDaily[day],SummaryDaily[cost_of_goods_sold],0)</f>
        <v>0</v>
      </c>
      <c r="AO36" s="11">
        <f>_xlfn.XLOOKUP(TableDailySummary[[#This Row],[Fecha]],SummaryDaily[day],SummaryDaily[gross_profit],0)</f>
        <v>0</v>
      </c>
      <c r="AP36" s="18">
        <f>IFERROR(TableDailySummary[[#This Row],[Utilidad bruta]]/TableDailySummary[[#This Row],[Ventas netas con costo registrado]],0)</f>
        <v>0</v>
      </c>
    </row>
    <row r="37" spans="2:42" x14ac:dyDescent="0.2">
      <c r="B37" s="15" cm="1">
        <f t="array" ref="B37">ParamFechaInicioReporte + (ROW(TableDailySummary[#This Row]) - ROW(TableDailySummary[[#Headers],[Dia]]) - 1)</f>
        <v>44564</v>
      </c>
      <c r="C37" s="6">
        <f>TableDailySummary[[#This Row],[Dia]]</f>
        <v>44564</v>
      </c>
      <c r="D37" s="11">
        <f>_xlfn.XLOOKUP(TableDailySummary[[#This Row],[Fecha]],SummaryDaily[day],SummaryDaily[net_sales],0)</f>
        <v>0</v>
      </c>
      <c r="E37" s="11">
        <f>_xlfn.XLOOKUP(TableDailySummary[[#This Row],[Fecha]],SummaryDaily[day],SummaryDaily[orders],0)</f>
        <v>0</v>
      </c>
      <c r="F37" s="11">
        <f>_xlfn.XLOOKUP(TableDailySummary[[#This Row],[Fecha]],SummaryDaily[day],SummaryDaily[average_order_value],0)</f>
        <v>0</v>
      </c>
      <c r="G37" s="24" cm="1">
        <f t="array" ref="G37">_xlfn.XLOOKUP(TableDailySummary[[#This Row],[Fecha]]&amp;"Total site",ConversionRateByReferral[day]&amp;ConversionRateByReferral[referrer_source],ConversionRateByReferral[conversion_rate],0)</f>
        <v>0</v>
      </c>
      <c r="H37" s="11">
        <f>TableDailySummary[[#This Row],[Órden promedio totales]]*TableDailySummary[[#This Row],[CR totales]]</f>
        <v>0</v>
      </c>
      <c r="I37" s="11">
        <f>_xlfn.XLOOKUP(TableDailySummary[[#This Row],[Fecha]],SummaryDaily[day],SummaryDaily[new_net_sales],0)</f>
        <v>0</v>
      </c>
      <c r="J37" s="11">
        <f>_xlfn.XLOOKUP(TableDailySummary[[#This Row],[Fecha]],SummaryDaily[day],SummaryDaily[new_orders],0)</f>
        <v>0</v>
      </c>
      <c r="K37" s="11">
        <f>_xlfn.XLOOKUP(TableDailySummary[[#This Row],[Fecha]],SummaryDaily[day],SummaryDaily[new_average_order_value],0)</f>
        <v>0</v>
      </c>
      <c r="L37" s="11">
        <f>_xlfn.XLOOKUP(TableDailySummary[[#This Row],[Fecha]],SummaryDaily[day],SummaryDaily[Online Store_net_sales],0)</f>
        <v>0</v>
      </c>
      <c r="M37" s="11">
        <f>_xlfn.XLOOKUP(TableDailySummary[[#This Row],[Fecha]],SummaryDaily[day],SummaryDaily[Online Store_orders],0)</f>
        <v>0</v>
      </c>
      <c r="N37" s="11">
        <f>_xlfn.XLOOKUP(TableDailySummary[[#This Row],[Fecha]],SummaryDaily[day],SummaryDaily[Online Store_average_order_value],0)</f>
        <v>0</v>
      </c>
      <c r="O37" s="11">
        <f>_xlfn.XLOOKUP(TableDailySummary[[#This Row],[Fecha]],SummaryDaily[day],SummaryDaily[Tienda 81_net_sales],0)</f>
        <v>0</v>
      </c>
      <c r="P37" s="11">
        <f>_xlfn.XLOOKUP(TableDailySummary[[#This Row],[Fecha]],SummaryDaily[day],SummaryDaily[Tienda 81_orders],0)</f>
        <v>0</v>
      </c>
      <c r="Q37" s="11">
        <f>_xlfn.XLOOKUP(TableDailySummary[[#This Row],[Fecha]],SummaryDaily[day],SummaryDaily[Tienda 81_average_order_value],0)</f>
        <v>0</v>
      </c>
      <c r="R37" s="11">
        <f>_xlfn.XLOOKUP(TableDailySummary[[#This Row],[Fecha]],SummaryDaily[day],SummaryDaily[Rappi_net_sales],0)</f>
        <v>0</v>
      </c>
      <c r="S37" s="11">
        <f>_xlfn.XLOOKUP(TableDailySummary[[#This Row],[Fecha]],SummaryDaily[day],SummaryDaily[Rappi_orders],0)</f>
        <v>0</v>
      </c>
      <c r="T37" s="11">
        <f>_xlfn.XLOOKUP(TableDailySummary[[#This Row],[Fecha]],SummaryDaily[day],SummaryDaily[Rappi_average_order_value],0)</f>
        <v>0</v>
      </c>
      <c r="U37" s="11">
        <f>_xlfn.XLOOKUP(TableDailySummary[[#This Row],[Fecha]],SummaryDaily[day],SummaryDaily[Corporativo no tienda_net_sales],0)</f>
        <v>0</v>
      </c>
      <c r="V37" s="11">
        <f>_xlfn.XLOOKUP(TableDailySummary[[#This Row],[Fecha]],SummaryDaily[day],SummaryDaily[Corporativo no tienda_orders],0)</f>
        <v>0</v>
      </c>
      <c r="W37" s="11">
        <f>_xlfn.XLOOKUP(TableDailySummary[[#This Row],[Fecha]],SummaryDaily[day],SummaryDaily[Corporativo no tienda_average_order_value],0)</f>
        <v>0</v>
      </c>
      <c r="X37" s="11">
        <f>_xlfn.XLOOKUP(TableDailySummary[[#This Row],[Fecha]],SummaryDaily[day],SummaryDaily[GoogleAdsOperation.Cost],0)</f>
        <v>0</v>
      </c>
      <c r="Y37" s="11">
        <f>SUMIFS(SalesByUTMDaily[google],SalesByUTMDaily[day],TableDailySummary[[#This Row],[Fecha]])</f>
        <v>0</v>
      </c>
      <c r="Z37" s="11">
        <f>_xlfn.XLOOKUP(TableDailySummary[[#This Row],[Fecha]],SummaryDaily[day],SummaryDaily[MetaAdsOperation.spend],0)</f>
        <v>0</v>
      </c>
      <c r="AA37" s="11">
        <f>SUMIFS(SalesByUTMDaily[facebook],SalesByUTMDaily[day],TableDailySummary[[#This Row],[Fecha]])</f>
        <v>0</v>
      </c>
      <c r="AB37" s="11">
        <f>TableDailySummary[[#This Row],[Inversión google ads]]+TableDailySummary[[#This Row],[Inversión meta ads]]</f>
        <v>0</v>
      </c>
      <c r="AC37" s="11">
        <f>TableDailySummary[[#This Row],[Ventas google ads]]+TableDailySummary[[#This Row],[Ventas meta ads]]</f>
        <v>0</v>
      </c>
      <c r="AD37" s="14">
        <f>IFERROR(TableDailySummary[[#This Row],[Ventas publicidad]]/TableDailySummary[[#This Row],[Inversión publicidad]],0)</f>
        <v>0</v>
      </c>
      <c r="AE37" s="14">
        <f>IFERROR(TableDailySummary[[#This Row],[Ventas primer cliente]]/TableDailySummary[[#This Row],[Inversión publicidad]],0)</f>
        <v>0</v>
      </c>
      <c r="AF37" s="14"/>
      <c r="AG37" s="11"/>
      <c r="AM37" s="11">
        <f>_xlfn.XLOOKUP(TableDailySummary[[#This Row],[Fecha]],SummaryDaily[day],SummaryDaily[net_sales_with_cost_recorded],0)</f>
        <v>0</v>
      </c>
      <c r="AN37" s="11">
        <f>_xlfn.XLOOKUP(TableDailySummary[[#This Row],[Fecha]],SummaryDaily[day],SummaryDaily[cost_of_goods_sold],0)</f>
        <v>0</v>
      </c>
      <c r="AO37" s="11">
        <f>_xlfn.XLOOKUP(TableDailySummary[[#This Row],[Fecha]],SummaryDaily[day],SummaryDaily[gross_profit],0)</f>
        <v>0</v>
      </c>
      <c r="AP37" s="18">
        <f>IFERROR(TableDailySummary[[#This Row],[Utilidad bruta]]/TableDailySummary[[#This Row],[Ventas netas con costo registrado]],0)</f>
        <v>0</v>
      </c>
    </row>
    <row r="38" spans="2:42" x14ac:dyDescent="0.2">
      <c r="B38" s="15" cm="1">
        <f t="array" ref="B38">ParamFechaInicioReporte + (ROW(TableDailySummary[#This Row]) - ROW(TableDailySummary[[#Headers],[Dia]]) - 1)</f>
        <v>44565</v>
      </c>
      <c r="C38" s="6">
        <f>TableDailySummary[[#This Row],[Dia]]</f>
        <v>44565</v>
      </c>
      <c r="D38" s="11">
        <f>_xlfn.XLOOKUP(TableDailySummary[[#This Row],[Fecha]],SummaryDaily[day],SummaryDaily[net_sales],0)</f>
        <v>0</v>
      </c>
      <c r="E38" s="11">
        <f>_xlfn.XLOOKUP(TableDailySummary[[#This Row],[Fecha]],SummaryDaily[day],SummaryDaily[orders],0)</f>
        <v>0</v>
      </c>
      <c r="F38" s="11">
        <f>_xlfn.XLOOKUP(TableDailySummary[[#This Row],[Fecha]],SummaryDaily[day],SummaryDaily[average_order_value],0)</f>
        <v>0</v>
      </c>
      <c r="G38" s="24" cm="1">
        <f t="array" ref="G38">_xlfn.XLOOKUP(TableDailySummary[[#This Row],[Fecha]]&amp;"Total site",ConversionRateByReferral[day]&amp;ConversionRateByReferral[referrer_source],ConversionRateByReferral[conversion_rate],0)</f>
        <v>0</v>
      </c>
      <c r="H38" s="11">
        <f>TableDailySummary[[#This Row],[Órden promedio totales]]*TableDailySummary[[#This Row],[CR totales]]</f>
        <v>0</v>
      </c>
      <c r="I38" s="11">
        <f>_xlfn.XLOOKUP(TableDailySummary[[#This Row],[Fecha]],SummaryDaily[day],SummaryDaily[new_net_sales],0)</f>
        <v>0</v>
      </c>
      <c r="J38" s="11">
        <f>_xlfn.XLOOKUP(TableDailySummary[[#This Row],[Fecha]],SummaryDaily[day],SummaryDaily[new_orders],0)</f>
        <v>0</v>
      </c>
      <c r="K38" s="11">
        <f>_xlfn.XLOOKUP(TableDailySummary[[#This Row],[Fecha]],SummaryDaily[day],SummaryDaily[new_average_order_value],0)</f>
        <v>0</v>
      </c>
      <c r="L38" s="11">
        <f>_xlfn.XLOOKUP(TableDailySummary[[#This Row],[Fecha]],SummaryDaily[day],SummaryDaily[Online Store_net_sales],0)</f>
        <v>0</v>
      </c>
      <c r="M38" s="11">
        <f>_xlfn.XLOOKUP(TableDailySummary[[#This Row],[Fecha]],SummaryDaily[day],SummaryDaily[Online Store_orders],0)</f>
        <v>0</v>
      </c>
      <c r="N38" s="11">
        <f>_xlfn.XLOOKUP(TableDailySummary[[#This Row],[Fecha]],SummaryDaily[day],SummaryDaily[Online Store_average_order_value],0)</f>
        <v>0</v>
      </c>
      <c r="O38" s="11">
        <f>_xlfn.XLOOKUP(TableDailySummary[[#This Row],[Fecha]],SummaryDaily[day],SummaryDaily[Tienda 81_net_sales],0)</f>
        <v>0</v>
      </c>
      <c r="P38" s="11">
        <f>_xlfn.XLOOKUP(TableDailySummary[[#This Row],[Fecha]],SummaryDaily[day],SummaryDaily[Tienda 81_orders],0)</f>
        <v>0</v>
      </c>
      <c r="Q38" s="11">
        <f>_xlfn.XLOOKUP(TableDailySummary[[#This Row],[Fecha]],SummaryDaily[day],SummaryDaily[Tienda 81_average_order_value],0)</f>
        <v>0</v>
      </c>
      <c r="R38" s="11">
        <f>_xlfn.XLOOKUP(TableDailySummary[[#This Row],[Fecha]],SummaryDaily[day],SummaryDaily[Rappi_net_sales],0)</f>
        <v>0</v>
      </c>
      <c r="S38" s="11">
        <f>_xlfn.XLOOKUP(TableDailySummary[[#This Row],[Fecha]],SummaryDaily[day],SummaryDaily[Rappi_orders],0)</f>
        <v>0</v>
      </c>
      <c r="T38" s="11">
        <f>_xlfn.XLOOKUP(TableDailySummary[[#This Row],[Fecha]],SummaryDaily[day],SummaryDaily[Rappi_average_order_value],0)</f>
        <v>0</v>
      </c>
      <c r="U38" s="11">
        <f>_xlfn.XLOOKUP(TableDailySummary[[#This Row],[Fecha]],SummaryDaily[day],SummaryDaily[Corporativo no tienda_net_sales],0)</f>
        <v>0</v>
      </c>
      <c r="V38" s="11">
        <f>_xlfn.XLOOKUP(TableDailySummary[[#This Row],[Fecha]],SummaryDaily[day],SummaryDaily[Corporativo no tienda_orders],0)</f>
        <v>0</v>
      </c>
      <c r="W38" s="11">
        <f>_xlfn.XLOOKUP(TableDailySummary[[#This Row],[Fecha]],SummaryDaily[day],SummaryDaily[Corporativo no tienda_average_order_value],0)</f>
        <v>0</v>
      </c>
      <c r="X38" s="11">
        <f>_xlfn.XLOOKUP(TableDailySummary[[#This Row],[Fecha]],SummaryDaily[day],SummaryDaily[GoogleAdsOperation.Cost],0)</f>
        <v>0</v>
      </c>
      <c r="Y38" s="11">
        <f>SUMIFS(SalesByUTMDaily[google],SalesByUTMDaily[day],TableDailySummary[[#This Row],[Fecha]])</f>
        <v>0</v>
      </c>
      <c r="Z38" s="11">
        <f>_xlfn.XLOOKUP(TableDailySummary[[#This Row],[Fecha]],SummaryDaily[day],SummaryDaily[MetaAdsOperation.spend],0)</f>
        <v>0</v>
      </c>
      <c r="AA38" s="11">
        <f>SUMIFS(SalesByUTMDaily[facebook],SalesByUTMDaily[day],TableDailySummary[[#This Row],[Fecha]])</f>
        <v>0</v>
      </c>
      <c r="AB38" s="11">
        <f>TableDailySummary[[#This Row],[Inversión google ads]]+TableDailySummary[[#This Row],[Inversión meta ads]]</f>
        <v>0</v>
      </c>
      <c r="AC38" s="11">
        <f>TableDailySummary[[#This Row],[Ventas google ads]]+TableDailySummary[[#This Row],[Ventas meta ads]]</f>
        <v>0</v>
      </c>
      <c r="AD38" s="14">
        <f>IFERROR(TableDailySummary[[#This Row],[Ventas publicidad]]/TableDailySummary[[#This Row],[Inversión publicidad]],0)</f>
        <v>0</v>
      </c>
      <c r="AE38" s="14">
        <f>IFERROR(TableDailySummary[[#This Row],[Ventas primer cliente]]/TableDailySummary[[#This Row],[Inversión publicidad]],0)</f>
        <v>0</v>
      </c>
      <c r="AF38" s="14"/>
      <c r="AG38" s="11"/>
      <c r="AM38" s="11">
        <f>_xlfn.XLOOKUP(TableDailySummary[[#This Row],[Fecha]],SummaryDaily[day],SummaryDaily[net_sales_with_cost_recorded],0)</f>
        <v>0</v>
      </c>
      <c r="AN38" s="11">
        <f>_xlfn.XLOOKUP(TableDailySummary[[#This Row],[Fecha]],SummaryDaily[day],SummaryDaily[cost_of_goods_sold],0)</f>
        <v>0</v>
      </c>
      <c r="AO38" s="11">
        <f>_xlfn.XLOOKUP(TableDailySummary[[#This Row],[Fecha]],SummaryDaily[day],SummaryDaily[gross_profit],0)</f>
        <v>0</v>
      </c>
      <c r="AP38" s="18">
        <f>IFERROR(TableDailySummary[[#This Row],[Utilidad bruta]]/TableDailySummary[[#This Row],[Ventas netas con costo registrado]],0)</f>
        <v>0</v>
      </c>
    </row>
    <row r="39" spans="2:42" x14ac:dyDescent="0.2">
      <c r="B39" s="15" cm="1">
        <f t="array" ref="B39">ParamFechaInicioReporte + (ROW(TableDailySummary[#This Row]) - ROW(TableDailySummary[[#Headers],[Dia]]) - 1)</f>
        <v>44566</v>
      </c>
      <c r="C39" s="6">
        <f>TableDailySummary[[#This Row],[Dia]]</f>
        <v>44566</v>
      </c>
      <c r="D39" s="11">
        <f>_xlfn.XLOOKUP(TableDailySummary[[#This Row],[Fecha]],SummaryDaily[day],SummaryDaily[net_sales],0)</f>
        <v>0</v>
      </c>
      <c r="E39" s="11">
        <f>_xlfn.XLOOKUP(TableDailySummary[[#This Row],[Fecha]],SummaryDaily[day],SummaryDaily[orders],0)</f>
        <v>0</v>
      </c>
      <c r="F39" s="11">
        <f>_xlfn.XLOOKUP(TableDailySummary[[#This Row],[Fecha]],SummaryDaily[day],SummaryDaily[average_order_value],0)</f>
        <v>0</v>
      </c>
      <c r="G39" s="24" cm="1">
        <f t="array" ref="G39">_xlfn.XLOOKUP(TableDailySummary[[#This Row],[Fecha]]&amp;"Total site",ConversionRateByReferral[day]&amp;ConversionRateByReferral[referrer_source],ConversionRateByReferral[conversion_rate],0)</f>
        <v>0</v>
      </c>
      <c r="H39" s="11">
        <f>TableDailySummary[[#This Row],[Órden promedio totales]]*TableDailySummary[[#This Row],[CR totales]]</f>
        <v>0</v>
      </c>
      <c r="I39" s="11">
        <f>_xlfn.XLOOKUP(TableDailySummary[[#This Row],[Fecha]],SummaryDaily[day],SummaryDaily[new_net_sales],0)</f>
        <v>0</v>
      </c>
      <c r="J39" s="11">
        <f>_xlfn.XLOOKUP(TableDailySummary[[#This Row],[Fecha]],SummaryDaily[day],SummaryDaily[new_orders],0)</f>
        <v>0</v>
      </c>
      <c r="K39" s="11">
        <f>_xlfn.XLOOKUP(TableDailySummary[[#This Row],[Fecha]],SummaryDaily[day],SummaryDaily[new_average_order_value],0)</f>
        <v>0</v>
      </c>
      <c r="L39" s="11">
        <f>_xlfn.XLOOKUP(TableDailySummary[[#This Row],[Fecha]],SummaryDaily[day],SummaryDaily[Online Store_net_sales],0)</f>
        <v>0</v>
      </c>
      <c r="M39" s="11">
        <f>_xlfn.XLOOKUP(TableDailySummary[[#This Row],[Fecha]],SummaryDaily[day],SummaryDaily[Online Store_orders],0)</f>
        <v>0</v>
      </c>
      <c r="N39" s="11">
        <f>_xlfn.XLOOKUP(TableDailySummary[[#This Row],[Fecha]],SummaryDaily[day],SummaryDaily[Online Store_average_order_value],0)</f>
        <v>0</v>
      </c>
      <c r="O39" s="11">
        <f>_xlfn.XLOOKUP(TableDailySummary[[#This Row],[Fecha]],SummaryDaily[day],SummaryDaily[Tienda 81_net_sales],0)</f>
        <v>0</v>
      </c>
      <c r="P39" s="11">
        <f>_xlfn.XLOOKUP(TableDailySummary[[#This Row],[Fecha]],SummaryDaily[day],SummaryDaily[Tienda 81_orders],0)</f>
        <v>0</v>
      </c>
      <c r="Q39" s="11">
        <f>_xlfn.XLOOKUP(TableDailySummary[[#This Row],[Fecha]],SummaryDaily[day],SummaryDaily[Tienda 81_average_order_value],0)</f>
        <v>0</v>
      </c>
      <c r="R39" s="11">
        <f>_xlfn.XLOOKUP(TableDailySummary[[#This Row],[Fecha]],SummaryDaily[day],SummaryDaily[Rappi_net_sales],0)</f>
        <v>0</v>
      </c>
      <c r="S39" s="11">
        <f>_xlfn.XLOOKUP(TableDailySummary[[#This Row],[Fecha]],SummaryDaily[day],SummaryDaily[Rappi_orders],0)</f>
        <v>0</v>
      </c>
      <c r="T39" s="11">
        <f>_xlfn.XLOOKUP(TableDailySummary[[#This Row],[Fecha]],SummaryDaily[day],SummaryDaily[Rappi_average_order_value],0)</f>
        <v>0</v>
      </c>
      <c r="U39" s="11">
        <f>_xlfn.XLOOKUP(TableDailySummary[[#This Row],[Fecha]],SummaryDaily[day],SummaryDaily[Corporativo no tienda_net_sales],0)</f>
        <v>0</v>
      </c>
      <c r="V39" s="11">
        <f>_xlfn.XLOOKUP(TableDailySummary[[#This Row],[Fecha]],SummaryDaily[day],SummaryDaily[Corporativo no tienda_orders],0)</f>
        <v>0</v>
      </c>
      <c r="W39" s="11">
        <f>_xlfn.XLOOKUP(TableDailySummary[[#This Row],[Fecha]],SummaryDaily[day],SummaryDaily[Corporativo no tienda_average_order_value],0)</f>
        <v>0</v>
      </c>
      <c r="X39" s="11">
        <f>_xlfn.XLOOKUP(TableDailySummary[[#This Row],[Fecha]],SummaryDaily[day],SummaryDaily[GoogleAdsOperation.Cost],0)</f>
        <v>0</v>
      </c>
      <c r="Y39" s="11">
        <f>SUMIFS(SalesByUTMDaily[google],SalesByUTMDaily[day],TableDailySummary[[#This Row],[Fecha]])</f>
        <v>0</v>
      </c>
      <c r="Z39" s="11">
        <f>_xlfn.XLOOKUP(TableDailySummary[[#This Row],[Fecha]],SummaryDaily[day],SummaryDaily[MetaAdsOperation.spend],0)</f>
        <v>0</v>
      </c>
      <c r="AA39" s="11">
        <f>SUMIFS(SalesByUTMDaily[facebook],SalesByUTMDaily[day],TableDailySummary[[#This Row],[Fecha]])</f>
        <v>0</v>
      </c>
      <c r="AB39" s="11">
        <f>TableDailySummary[[#This Row],[Inversión google ads]]+TableDailySummary[[#This Row],[Inversión meta ads]]</f>
        <v>0</v>
      </c>
      <c r="AC39" s="11">
        <f>TableDailySummary[[#This Row],[Ventas google ads]]+TableDailySummary[[#This Row],[Ventas meta ads]]</f>
        <v>0</v>
      </c>
      <c r="AD39" s="14">
        <f>IFERROR(TableDailySummary[[#This Row],[Ventas publicidad]]/TableDailySummary[[#This Row],[Inversión publicidad]],0)</f>
        <v>0</v>
      </c>
      <c r="AE39" s="14">
        <f>IFERROR(TableDailySummary[[#This Row],[Ventas primer cliente]]/TableDailySummary[[#This Row],[Inversión publicidad]],0)</f>
        <v>0</v>
      </c>
      <c r="AF39" s="14"/>
      <c r="AG39" s="11"/>
      <c r="AM39" s="11">
        <f>_xlfn.XLOOKUP(TableDailySummary[[#This Row],[Fecha]],SummaryDaily[day],SummaryDaily[net_sales_with_cost_recorded],0)</f>
        <v>0</v>
      </c>
      <c r="AN39" s="11">
        <f>_xlfn.XLOOKUP(TableDailySummary[[#This Row],[Fecha]],SummaryDaily[day],SummaryDaily[cost_of_goods_sold],0)</f>
        <v>0</v>
      </c>
      <c r="AO39" s="11">
        <f>_xlfn.XLOOKUP(TableDailySummary[[#This Row],[Fecha]],SummaryDaily[day],SummaryDaily[gross_profit],0)</f>
        <v>0</v>
      </c>
      <c r="AP39" s="18">
        <f>IFERROR(TableDailySummary[[#This Row],[Utilidad bruta]]/TableDailySummary[[#This Row],[Ventas netas con costo registrado]],0)</f>
        <v>0</v>
      </c>
    </row>
    <row r="40" spans="2:42" x14ac:dyDescent="0.2">
      <c r="B40" s="15" cm="1">
        <f t="array" ref="B40">ParamFechaInicioReporte + (ROW(TableDailySummary[#This Row]) - ROW(TableDailySummary[[#Headers],[Dia]]) - 1)</f>
        <v>44567</v>
      </c>
      <c r="C40" s="6">
        <f>TableDailySummary[[#This Row],[Dia]]</f>
        <v>44567</v>
      </c>
      <c r="D40" s="11">
        <f>_xlfn.XLOOKUP(TableDailySummary[[#This Row],[Fecha]],SummaryDaily[day],SummaryDaily[net_sales],0)</f>
        <v>0</v>
      </c>
      <c r="E40" s="11">
        <f>_xlfn.XLOOKUP(TableDailySummary[[#This Row],[Fecha]],SummaryDaily[day],SummaryDaily[orders],0)</f>
        <v>0</v>
      </c>
      <c r="F40" s="11">
        <f>_xlfn.XLOOKUP(TableDailySummary[[#This Row],[Fecha]],SummaryDaily[day],SummaryDaily[average_order_value],0)</f>
        <v>0</v>
      </c>
      <c r="G40" s="24" cm="1">
        <f t="array" ref="G40">_xlfn.XLOOKUP(TableDailySummary[[#This Row],[Fecha]]&amp;"Total site",ConversionRateByReferral[day]&amp;ConversionRateByReferral[referrer_source],ConversionRateByReferral[conversion_rate],0)</f>
        <v>0</v>
      </c>
      <c r="H40" s="11">
        <f>TableDailySummary[[#This Row],[Órden promedio totales]]*TableDailySummary[[#This Row],[CR totales]]</f>
        <v>0</v>
      </c>
      <c r="I40" s="11">
        <f>_xlfn.XLOOKUP(TableDailySummary[[#This Row],[Fecha]],SummaryDaily[day],SummaryDaily[new_net_sales],0)</f>
        <v>0</v>
      </c>
      <c r="J40" s="11">
        <f>_xlfn.XLOOKUP(TableDailySummary[[#This Row],[Fecha]],SummaryDaily[day],SummaryDaily[new_orders],0)</f>
        <v>0</v>
      </c>
      <c r="K40" s="11">
        <f>_xlfn.XLOOKUP(TableDailySummary[[#This Row],[Fecha]],SummaryDaily[day],SummaryDaily[new_average_order_value],0)</f>
        <v>0</v>
      </c>
      <c r="L40" s="11">
        <f>_xlfn.XLOOKUP(TableDailySummary[[#This Row],[Fecha]],SummaryDaily[day],SummaryDaily[Online Store_net_sales],0)</f>
        <v>0</v>
      </c>
      <c r="M40" s="11">
        <f>_xlfn.XLOOKUP(TableDailySummary[[#This Row],[Fecha]],SummaryDaily[day],SummaryDaily[Online Store_orders],0)</f>
        <v>0</v>
      </c>
      <c r="N40" s="11">
        <f>_xlfn.XLOOKUP(TableDailySummary[[#This Row],[Fecha]],SummaryDaily[day],SummaryDaily[Online Store_average_order_value],0)</f>
        <v>0</v>
      </c>
      <c r="O40" s="11">
        <f>_xlfn.XLOOKUP(TableDailySummary[[#This Row],[Fecha]],SummaryDaily[day],SummaryDaily[Tienda 81_net_sales],0)</f>
        <v>0</v>
      </c>
      <c r="P40" s="11">
        <f>_xlfn.XLOOKUP(TableDailySummary[[#This Row],[Fecha]],SummaryDaily[day],SummaryDaily[Tienda 81_orders],0)</f>
        <v>0</v>
      </c>
      <c r="Q40" s="11">
        <f>_xlfn.XLOOKUP(TableDailySummary[[#This Row],[Fecha]],SummaryDaily[day],SummaryDaily[Tienda 81_average_order_value],0)</f>
        <v>0</v>
      </c>
      <c r="R40" s="11">
        <f>_xlfn.XLOOKUP(TableDailySummary[[#This Row],[Fecha]],SummaryDaily[day],SummaryDaily[Rappi_net_sales],0)</f>
        <v>0</v>
      </c>
      <c r="S40" s="11">
        <f>_xlfn.XLOOKUP(TableDailySummary[[#This Row],[Fecha]],SummaryDaily[day],SummaryDaily[Rappi_orders],0)</f>
        <v>0</v>
      </c>
      <c r="T40" s="11">
        <f>_xlfn.XLOOKUP(TableDailySummary[[#This Row],[Fecha]],SummaryDaily[day],SummaryDaily[Rappi_average_order_value],0)</f>
        <v>0</v>
      </c>
      <c r="U40" s="11">
        <f>_xlfn.XLOOKUP(TableDailySummary[[#This Row],[Fecha]],SummaryDaily[day],SummaryDaily[Corporativo no tienda_net_sales],0)</f>
        <v>0</v>
      </c>
      <c r="V40" s="11">
        <f>_xlfn.XLOOKUP(TableDailySummary[[#This Row],[Fecha]],SummaryDaily[day],SummaryDaily[Corporativo no tienda_orders],0)</f>
        <v>0</v>
      </c>
      <c r="W40" s="11">
        <f>_xlfn.XLOOKUP(TableDailySummary[[#This Row],[Fecha]],SummaryDaily[day],SummaryDaily[Corporativo no tienda_average_order_value],0)</f>
        <v>0</v>
      </c>
      <c r="X40" s="11">
        <f>_xlfn.XLOOKUP(TableDailySummary[[#This Row],[Fecha]],SummaryDaily[day],SummaryDaily[GoogleAdsOperation.Cost],0)</f>
        <v>0</v>
      </c>
      <c r="Y40" s="11">
        <f>SUMIFS(SalesByUTMDaily[google],SalesByUTMDaily[day],TableDailySummary[[#This Row],[Fecha]])</f>
        <v>0</v>
      </c>
      <c r="Z40" s="11">
        <f>_xlfn.XLOOKUP(TableDailySummary[[#This Row],[Fecha]],SummaryDaily[day],SummaryDaily[MetaAdsOperation.spend],0)</f>
        <v>0</v>
      </c>
      <c r="AA40" s="11">
        <f>SUMIFS(SalesByUTMDaily[facebook],SalesByUTMDaily[day],TableDailySummary[[#This Row],[Fecha]])</f>
        <v>0</v>
      </c>
      <c r="AB40" s="11">
        <f>TableDailySummary[[#This Row],[Inversión google ads]]+TableDailySummary[[#This Row],[Inversión meta ads]]</f>
        <v>0</v>
      </c>
      <c r="AC40" s="11">
        <f>TableDailySummary[[#This Row],[Ventas google ads]]+TableDailySummary[[#This Row],[Ventas meta ads]]</f>
        <v>0</v>
      </c>
      <c r="AD40" s="14">
        <f>IFERROR(TableDailySummary[[#This Row],[Ventas publicidad]]/TableDailySummary[[#This Row],[Inversión publicidad]],0)</f>
        <v>0</v>
      </c>
      <c r="AE40" s="14">
        <f>IFERROR(TableDailySummary[[#This Row],[Ventas primer cliente]]/TableDailySummary[[#This Row],[Inversión publicidad]],0)</f>
        <v>0</v>
      </c>
      <c r="AF40" s="14"/>
      <c r="AG40" s="11"/>
      <c r="AM40" s="11">
        <f>_xlfn.XLOOKUP(TableDailySummary[[#This Row],[Fecha]],SummaryDaily[day],SummaryDaily[net_sales_with_cost_recorded],0)</f>
        <v>0</v>
      </c>
      <c r="AN40" s="11">
        <f>_xlfn.XLOOKUP(TableDailySummary[[#This Row],[Fecha]],SummaryDaily[day],SummaryDaily[cost_of_goods_sold],0)</f>
        <v>0</v>
      </c>
      <c r="AO40" s="11">
        <f>_xlfn.XLOOKUP(TableDailySummary[[#This Row],[Fecha]],SummaryDaily[day],SummaryDaily[gross_profit],0)</f>
        <v>0</v>
      </c>
      <c r="AP40" s="18">
        <f>IFERROR(TableDailySummary[[#This Row],[Utilidad bruta]]/TableDailySummary[[#This Row],[Ventas netas con costo registrado]],0)</f>
        <v>0</v>
      </c>
    </row>
    <row r="41" spans="2:42" x14ac:dyDescent="0.2">
      <c r="B41" s="15" cm="1">
        <f t="array" ref="B41">ParamFechaInicioReporte + (ROW(TableDailySummary[#This Row]) - ROW(TableDailySummary[[#Headers],[Dia]]) - 1)</f>
        <v>44568</v>
      </c>
      <c r="C41" s="6">
        <f>TableDailySummary[[#This Row],[Dia]]</f>
        <v>44568</v>
      </c>
      <c r="D41" s="11">
        <f>_xlfn.XLOOKUP(TableDailySummary[[#This Row],[Fecha]],SummaryDaily[day],SummaryDaily[net_sales],0)</f>
        <v>0</v>
      </c>
      <c r="E41" s="11">
        <f>_xlfn.XLOOKUP(TableDailySummary[[#This Row],[Fecha]],SummaryDaily[day],SummaryDaily[orders],0)</f>
        <v>0</v>
      </c>
      <c r="F41" s="11">
        <f>_xlfn.XLOOKUP(TableDailySummary[[#This Row],[Fecha]],SummaryDaily[day],SummaryDaily[average_order_value],0)</f>
        <v>0</v>
      </c>
      <c r="G41" s="24" cm="1">
        <f t="array" ref="G41">_xlfn.XLOOKUP(TableDailySummary[[#This Row],[Fecha]]&amp;"Total site",ConversionRateByReferral[day]&amp;ConversionRateByReferral[referrer_source],ConversionRateByReferral[conversion_rate],0)</f>
        <v>0</v>
      </c>
      <c r="H41" s="11">
        <f>TableDailySummary[[#This Row],[Órden promedio totales]]*TableDailySummary[[#This Row],[CR totales]]</f>
        <v>0</v>
      </c>
      <c r="I41" s="11">
        <f>_xlfn.XLOOKUP(TableDailySummary[[#This Row],[Fecha]],SummaryDaily[day],SummaryDaily[new_net_sales],0)</f>
        <v>0</v>
      </c>
      <c r="J41" s="11">
        <f>_xlfn.XLOOKUP(TableDailySummary[[#This Row],[Fecha]],SummaryDaily[day],SummaryDaily[new_orders],0)</f>
        <v>0</v>
      </c>
      <c r="K41" s="11">
        <f>_xlfn.XLOOKUP(TableDailySummary[[#This Row],[Fecha]],SummaryDaily[day],SummaryDaily[new_average_order_value],0)</f>
        <v>0</v>
      </c>
      <c r="L41" s="11">
        <f>_xlfn.XLOOKUP(TableDailySummary[[#This Row],[Fecha]],SummaryDaily[day],SummaryDaily[Online Store_net_sales],0)</f>
        <v>0</v>
      </c>
      <c r="M41" s="11">
        <f>_xlfn.XLOOKUP(TableDailySummary[[#This Row],[Fecha]],SummaryDaily[day],SummaryDaily[Online Store_orders],0)</f>
        <v>0</v>
      </c>
      <c r="N41" s="11">
        <f>_xlfn.XLOOKUP(TableDailySummary[[#This Row],[Fecha]],SummaryDaily[day],SummaryDaily[Online Store_average_order_value],0)</f>
        <v>0</v>
      </c>
      <c r="O41" s="11">
        <f>_xlfn.XLOOKUP(TableDailySummary[[#This Row],[Fecha]],SummaryDaily[day],SummaryDaily[Tienda 81_net_sales],0)</f>
        <v>0</v>
      </c>
      <c r="P41" s="11">
        <f>_xlfn.XLOOKUP(TableDailySummary[[#This Row],[Fecha]],SummaryDaily[day],SummaryDaily[Tienda 81_orders],0)</f>
        <v>0</v>
      </c>
      <c r="Q41" s="11">
        <f>_xlfn.XLOOKUP(TableDailySummary[[#This Row],[Fecha]],SummaryDaily[day],SummaryDaily[Tienda 81_average_order_value],0)</f>
        <v>0</v>
      </c>
      <c r="R41" s="11">
        <f>_xlfn.XLOOKUP(TableDailySummary[[#This Row],[Fecha]],SummaryDaily[day],SummaryDaily[Rappi_net_sales],0)</f>
        <v>0</v>
      </c>
      <c r="S41" s="11">
        <f>_xlfn.XLOOKUP(TableDailySummary[[#This Row],[Fecha]],SummaryDaily[day],SummaryDaily[Rappi_orders],0)</f>
        <v>0</v>
      </c>
      <c r="T41" s="11">
        <f>_xlfn.XLOOKUP(TableDailySummary[[#This Row],[Fecha]],SummaryDaily[day],SummaryDaily[Rappi_average_order_value],0)</f>
        <v>0</v>
      </c>
      <c r="U41" s="11">
        <f>_xlfn.XLOOKUP(TableDailySummary[[#This Row],[Fecha]],SummaryDaily[day],SummaryDaily[Corporativo no tienda_net_sales],0)</f>
        <v>0</v>
      </c>
      <c r="V41" s="11">
        <f>_xlfn.XLOOKUP(TableDailySummary[[#This Row],[Fecha]],SummaryDaily[day],SummaryDaily[Corporativo no tienda_orders],0)</f>
        <v>0</v>
      </c>
      <c r="W41" s="11">
        <f>_xlfn.XLOOKUP(TableDailySummary[[#This Row],[Fecha]],SummaryDaily[day],SummaryDaily[Corporativo no tienda_average_order_value],0)</f>
        <v>0</v>
      </c>
      <c r="X41" s="11">
        <f>_xlfn.XLOOKUP(TableDailySummary[[#This Row],[Fecha]],SummaryDaily[day],SummaryDaily[GoogleAdsOperation.Cost],0)</f>
        <v>0</v>
      </c>
      <c r="Y41" s="11">
        <f>SUMIFS(SalesByUTMDaily[google],SalesByUTMDaily[day],TableDailySummary[[#This Row],[Fecha]])</f>
        <v>0</v>
      </c>
      <c r="Z41" s="11">
        <f>_xlfn.XLOOKUP(TableDailySummary[[#This Row],[Fecha]],SummaryDaily[day],SummaryDaily[MetaAdsOperation.spend],0)</f>
        <v>0</v>
      </c>
      <c r="AA41" s="11">
        <f>SUMIFS(SalesByUTMDaily[facebook],SalesByUTMDaily[day],TableDailySummary[[#This Row],[Fecha]])</f>
        <v>0</v>
      </c>
      <c r="AB41" s="11">
        <f>TableDailySummary[[#This Row],[Inversión google ads]]+TableDailySummary[[#This Row],[Inversión meta ads]]</f>
        <v>0</v>
      </c>
      <c r="AC41" s="11">
        <f>TableDailySummary[[#This Row],[Ventas google ads]]+TableDailySummary[[#This Row],[Ventas meta ads]]</f>
        <v>0</v>
      </c>
      <c r="AD41" s="14">
        <f>IFERROR(TableDailySummary[[#This Row],[Ventas publicidad]]/TableDailySummary[[#This Row],[Inversión publicidad]],0)</f>
        <v>0</v>
      </c>
      <c r="AE41" s="14">
        <f>IFERROR(TableDailySummary[[#This Row],[Ventas primer cliente]]/TableDailySummary[[#This Row],[Inversión publicidad]],0)</f>
        <v>0</v>
      </c>
      <c r="AF41" s="14"/>
      <c r="AG41" s="11"/>
      <c r="AM41" s="11">
        <f>_xlfn.XLOOKUP(TableDailySummary[[#This Row],[Fecha]],SummaryDaily[day],SummaryDaily[net_sales_with_cost_recorded],0)</f>
        <v>0</v>
      </c>
      <c r="AN41" s="11">
        <f>_xlfn.XLOOKUP(TableDailySummary[[#This Row],[Fecha]],SummaryDaily[day],SummaryDaily[cost_of_goods_sold],0)</f>
        <v>0</v>
      </c>
      <c r="AO41" s="11">
        <f>_xlfn.XLOOKUP(TableDailySummary[[#This Row],[Fecha]],SummaryDaily[day],SummaryDaily[gross_profit],0)</f>
        <v>0</v>
      </c>
      <c r="AP41" s="18">
        <f>IFERROR(TableDailySummary[[#This Row],[Utilidad bruta]]/TableDailySummary[[#This Row],[Ventas netas con costo registrado]],0)</f>
        <v>0</v>
      </c>
    </row>
    <row r="42" spans="2:42" x14ac:dyDescent="0.2">
      <c r="B42" s="15" cm="1">
        <f t="array" ref="B42">ParamFechaInicioReporte + (ROW(TableDailySummary[#This Row]) - ROW(TableDailySummary[[#Headers],[Dia]]) - 1)</f>
        <v>44569</v>
      </c>
      <c r="C42" s="6">
        <f>TableDailySummary[[#This Row],[Dia]]</f>
        <v>44569</v>
      </c>
      <c r="D42" s="11">
        <f>_xlfn.XLOOKUP(TableDailySummary[[#This Row],[Fecha]],SummaryDaily[day],SummaryDaily[net_sales],0)</f>
        <v>0</v>
      </c>
      <c r="E42" s="11">
        <f>_xlfn.XLOOKUP(TableDailySummary[[#This Row],[Fecha]],SummaryDaily[day],SummaryDaily[orders],0)</f>
        <v>0</v>
      </c>
      <c r="F42" s="11">
        <f>_xlfn.XLOOKUP(TableDailySummary[[#This Row],[Fecha]],SummaryDaily[day],SummaryDaily[average_order_value],0)</f>
        <v>0</v>
      </c>
      <c r="G42" s="24" cm="1">
        <f t="array" ref="G42">_xlfn.XLOOKUP(TableDailySummary[[#This Row],[Fecha]]&amp;"Total site",ConversionRateByReferral[day]&amp;ConversionRateByReferral[referrer_source],ConversionRateByReferral[conversion_rate],0)</f>
        <v>0</v>
      </c>
      <c r="H42" s="11">
        <f>TableDailySummary[[#This Row],[Órden promedio totales]]*TableDailySummary[[#This Row],[CR totales]]</f>
        <v>0</v>
      </c>
      <c r="I42" s="11">
        <f>_xlfn.XLOOKUP(TableDailySummary[[#This Row],[Fecha]],SummaryDaily[day],SummaryDaily[new_net_sales],0)</f>
        <v>0</v>
      </c>
      <c r="J42" s="11">
        <f>_xlfn.XLOOKUP(TableDailySummary[[#This Row],[Fecha]],SummaryDaily[day],SummaryDaily[new_orders],0)</f>
        <v>0</v>
      </c>
      <c r="K42" s="11">
        <f>_xlfn.XLOOKUP(TableDailySummary[[#This Row],[Fecha]],SummaryDaily[day],SummaryDaily[new_average_order_value],0)</f>
        <v>0</v>
      </c>
      <c r="L42" s="11">
        <f>_xlfn.XLOOKUP(TableDailySummary[[#This Row],[Fecha]],SummaryDaily[day],SummaryDaily[Online Store_net_sales],0)</f>
        <v>0</v>
      </c>
      <c r="M42" s="11">
        <f>_xlfn.XLOOKUP(TableDailySummary[[#This Row],[Fecha]],SummaryDaily[day],SummaryDaily[Online Store_orders],0)</f>
        <v>0</v>
      </c>
      <c r="N42" s="11">
        <f>_xlfn.XLOOKUP(TableDailySummary[[#This Row],[Fecha]],SummaryDaily[day],SummaryDaily[Online Store_average_order_value],0)</f>
        <v>0</v>
      </c>
      <c r="O42" s="11">
        <f>_xlfn.XLOOKUP(TableDailySummary[[#This Row],[Fecha]],SummaryDaily[day],SummaryDaily[Tienda 81_net_sales],0)</f>
        <v>0</v>
      </c>
      <c r="P42" s="11">
        <f>_xlfn.XLOOKUP(TableDailySummary[[#This Row],[Fecha]],SummaryDaily[day],SummaryDaily[Tienda 81_orders],0)</f>
        <v>0</v>
      </c>
      <c r="Q42" s="11">
        <f>_xlfn.XLOOKUP(TableDailySummary[[#This Row],[Fecha]],SummaryDaily[day],SummaryDaily[Tienda 81_average_order_value],0)</f>
        <v>0</v>
      </c>
      <c r="R42" s="11">
        <f>_xlfn.XLOOKUP(TableDailySummary[[#This Row],[Fecha]],SummaryDaily[day],SummaryDaily[Rappi_net_sales],0)</f>
        <v>0</v>
      </c>
      <c r="S42" s="11">
        <f>_xlfn.XLOOKUP(TableDailySummary[[#This Row],[Fecha]],SummaryDaily[day],SummaryDaily[Rappi_orders],0)</f>
        <v>0</v>
      </c>
      <c r="T42" s="11">
        <f>_xlfn.XLOOKUP(TableDailySummary[[#This Row],[Fecha]],SummaryDaily[day],SummaryDaily[Rappi_average_order_value],0)</f>
        <v>0</v>
      </c>
      <c r="U42" s="11">
        <f>_xlfn.XLOOKUP(TableDailySummary[[#This Row],[Fecha]],SummaryDaily[day],SummaryDaily[Corporativo no tienda_net_sales],0)</f>
        <v>0</v>
      </c>
      <c r="V42" s="11">
        <f>_xlfn.XLOOKUP(TableDailySummary[[#This Row],[Fecha]],SummaryDaily[day],SummaryDaily[Corporativo no tienda_orders],0)</f>
        <v>0</v>
      </c>
      <c r="W42" s="11">
        <f>_xlfn.XLOOKUP(TableDailySummary[[#This Row],[Fecha]],SummaryDaily[day],SummaryDaily[Corporativo no tienda_average_order_value],0)</f>
        <v>0</v>
      </c>
      <c r="X42" s="11">
        <f>_xlfn.XLOOKUP(TableDailySummary[[#This Row],[Fecha]],SummaryDaily[day],SummaryDaily[GoogleAdsOperation.Cost],0)</f>
        <v>0</v>
      </c>
      <c r="Y42" s="11">
        <f>SUMIFS(SalesByUTMDaily[google],SalesByUTMDaily[day],TableDailySummary[[#This Row],[Fecha]])</f>
        <v>0</v>
      </c>
      <c r="Z42" s="11">
        <f>_xlfn.XLOOKUP(TableDailySummary[[#This Row],[Fecha]],SummaryDaily[day],SummaryDaily[MetaAdsOperation.spend],0)</f>
        <v>0</v>
      </c>
      <c r="AA42" s="11">
        <f>SUMIFS(SalesByUTMDaily[facebook],SalesByUTMDaily[day],TableDailySummary[[#This Row],[Fecha]])</f>
        <v>0</v>
      </c>
      <c r="AB42" s="11">
        <f>TableDailySummary[[#This Row],[Inversión google ads]]+TableDailySummary[[#This Row],[Inversión meta ads]]</f>
        <v>0</v>
      </c>
      <c r="AC42" s="11">
        <f>TableDailySummary[[#This Row],[Ventas google ads]]+TableDailySummary[[#This Row],[Ventas meta ads]]</f>
        <v>0</v>
      </c>
      <c r="AD42" s="14">
        <f>IFERROR(TableDailySummary[[#This Row],[Ventas publicidad]]/TableDailySummary[[#This Row],[Inversión publicidad]],0)</f>
        <v>0</v>
      </c>
      <c r="AE42" s="14">
        <f>IFERROR(TableDailySummary[[#This Row],[Ventas primer cliente]]/TableDailySummary[[#This Row],[Inversión publicidad]],0)</f>
        <v>0</v>
      </c>
      <c r="AF42" s="14"/>
      <c r="AG42" s="11"/>
      <c r="AM42" s="11">
        <f>_xlfn.XLOOKUP(TableDailySummary[[#This Row],[Fecha]],SummaryDaily[day],SummaryDaily[net_sales_with_cost_recorded],0)</f>
        <v>0</v>
      </c>
      <c r="AN42" s="11">
        <f>_xlfn.XLOOKUP(TableDailySummary[[#This Row],[Fecha]],SummaryDaily[day],SummaryDaily[cost_of_goods_sold],0)</f>
        <v>0</v>
      </c>
      <c r="AO42" s="11">
        <f>_xlfn.XLOOKUP(TableDailySummary[[#This Row],[Fecha]],SummaryDaily[day],SummaryDaily[gross_profit],0)</f>
        <v>0</v>
      </c>
      <c r="AP42" s="18">
        <f>IFERROR(TableDailySummary[[#This Row],[Utilidad bruta]]/TableDailySummary[[#This Row],[Ventas netas con costo registrado]],0)</f>
        <v>0</v>
      </c>
    </row>
    <row r="43" spans="2:42" x14ac:dyDescent="0.2">
      <c r="B43" s="15" cm="1">
        <f t="array" ref="B43">ParamFechaInicioReporte + (ROW(TableDailySummary[#This Row]) - ROW(TableDailySummary[[#Headers],[Dia]]) - 1)</f>
        <v>44570</v>
      </c>
      <c r="C43" s="6">
        <f>TableDailySummary[[#This Row],[Dia]]</f>
        <v>44570</v>
      </c>
      <c r="D43" s="11">
        <f>_xlfn.XLOOKUP(TableDailySummary[[#This Row],[Fecha]],SummaryDaily[day],SummaryDaily[net_sales],0)</f>
        <v>0</v>
      </c>
      <c r="E43" s="11">
        <f>_xlfn.XLOOKUP(TableDailySummary[[#This Row],[Fecha]],SummaryDaily[day],SummaryDaily[orders],0)</f>
        <v>0</v>
      </c>
      <c r="F43" s="11">
        <f>_xlfn.XLOOKUP(TableDailySummary[[#This Row],[Fecha]],SummaryDaily[day],SummaryDaily[average_order_value],0)</f>
        <v>0</v>
      </c>
      <c r="G43" s="24" cm="1">
        <f t="array" ref="G43">_xlfn.XLOOKUP(TableDailySummary[[#This Row],[Fecha]]&amp;"Total site",ConversionRateByReferral[day]&amp;ConversionRateByReferral[referrer_source],ConversionRateByReferral[conversion_rate],0)</f>
        <v>0</v>
      </c>
      <c r="H43" s="11">
        <f>TableDailySummary[[#This Row],[Órden promedio totales]]*TableDailySummary[[#This Row],[CR totales]]</f>
        <v>0</v>
      </c>
      <c r="I43" s="11">
        <f>_xlfn.XLOOKUP(TableDailySummary[[#This Row],[Fecha]],SummaryDaily[day],SummaryDaily[new_net_sales],0)</f>
        <v>0</v>
      </c>
      <c r="J43" s="11">
        <f>_xlfn.XLOOKUP(TableDailySummary[[#This Row],[Fecha]],SummaryDaily[day],SummaryDaily[new_orders],0)</f>
        <v>0</v>
      </c>
      <c r="K43" s="11">
        <f>_xlfn.XLOOKUP(TableDailySummary[[#This Row],[Fecha]],SummaryDaily[day],SummaryDaily[new_average_order_value],0)</f>
        <v>0</v>
      </c>
      <c r="L43" s="11">
        <f>_xlfn.XLOOKUP(TableDailySummary[[#This Row],[Fecha]],SummaryDaily[day],SummaryDaily[Online Store_net_sales],0)</f>
        <v>0</v>
      </c>
      <c r="M43" s="11">
        <f>_xlfn.XLOOKUP(TableDailySummary[[#This Row],[Fecha]],SummaryDaily[day],SummaryDaily[Online Store_orders],0)</f>
        <v>0</v>
      </c>
      <c r="N43" s="11">
        <f>_xlfn.XLOOKUP(TableDailySummary[[#This Row],[Fecha]],SummaryDaily[day],SummaryDaily[Online Store_average_order_value],0)</f>
        <v>0</v>
      </c>
      <c r="O43" s="11">
        <f>_xlfn.XLOOKUP(TableDailySummary[[#This Row],[Fecha]],SummaryDaily[day],SummaryDaily[Tienda 81_net_sales],0)</f>
        <v>0</v>
      </c>
      <c r="P43" s="11">
        <f>_xlfn.XLOOKUP(TableDailySummary[[#This Row],[Fecha]],SummaryDaily[day],SummaryDaily[Tienda 81_orders],0)</f>
        <v>0</v>
      </c>
      <c r="Q43" s="11">
        <f>_xlfn.XLOOKUP(TableDailySummary[[#This Row],[Fecha]],SummaryDaily[day],SummaryDaily[Tienda 81_average_order_value],0)</f>
        <v>0</v>
      </c>
      <c r="R43" s="11">
        <f>_xlfn.XLOOKUP(TableDailySummary[[#This Row],[Fecha]],SummaryDaily[day],SummaryDaily[Rappi_net_sales],0)</f>
        <v>0</v>
      </c>
      <c r="S43" s="11">
        <f>_xlfn.XLOOKUP(TableDailySummary[[#This Row],[Fecha]],SummaryDaily[day],SummaryDaily[Rappi_orders],0)</f>
        <v>0</v>
      </c>
      <c r="T43" s="11">
        <f>_xlfn.XLOOKUP(TableDailySummary[[#This Row],[Fecha]],SummaryDaily[day],SummaryDaily[Rappi_average_order_value],0)</f>
        <v>0</v>
      </c>
      <c r="U43" s="11">
        <f>_xlfn.XLOOKUP(TableDailySummary[[#This Row],[Fecha]],SummaryDaily[day],SummaryDaily[Corporativo no tienda_net_sales],0)</f>
        <v>0</v>
      </c>
      <c r="V43" s="11">
        <f>_xlfn.XLOOKUP(TableDailySummary[[#This Row],[Fecha]],SummaryDaily[day],SummaryDaily[Corporativo no tienda_orders],0)</f>
        <v>0</v>
      </c>
      <c r="W43" s="11">
        <f>_xlfn.XLOOKUP(TableDailySummary[[#This Row],[Fecha]],SummaryDaily[day],SummaryDaily[Corporativo no tienda_average_order_value],0)</f>
        <v>0</v>
      </c>
      <c r="X43" s="11">
        <f>_xlfn.XLOOKUP(TableDailySummary[[#This Row],[Fecha]],SummaryDaily[day],SummaryDaily[GoogleAdsOperation.Cost],0)</f>
        <v>0</v>
      </c>
      <c r="Y43" s="11">
        <f>SUMIFS(SalesByUTMDaily[google],SalesByUTMDaily[day],TableDailySummary[[#This Row],[Fecha]])</f>
        <v>0</v>
      </c>
      <c r="Z43" s="11">
        <f>_xlfn.XLOOKUP(TableDailySummary[[#This Row],[Fecha]],SummaryDaily[day],SummaryDaily[MetaAdsOperation.spend],0)</f>
        <v>0</v>
      </c>
      <c r="AA43" s="11">
        <f>SUMIFS(SalesByUTMDaily[facebook],SalesByUTMDaily[day],TableDailySummary[[#This Row],[Fecha]])</f>
        <v>0</v>
      </c>
      <c r="AB43" s="11">
        <f>TableDailySummary[[#This Row],[Inversión google ads]]+TableDailySummary[[#This Row],[Inversión meta ads]]</f>
        <v>0</v>
      </c>
      <c r="AC43" s="11">
        <f>TableDailySummary[[#This Row],[Ventas google ads]]+TableDailySummary[[#This Row],[Ventas meta ads]]</f>
        <v>0</v>
      </c>
      <c r="AD43" s="14">
        <f>IFERROR(TableDailySummary[[#This Row],[Ventas publicidad]]/TableDailySummary[[#This Row],[Inversión publicidad]],0)</f>
        <v>0</v>
      </c>
      <c r="AE43" s="14">
        <f>IFERROR(TableDailySummary[[#This Row],[Ventas primer cliente]]/TableDailySummary[[#This Row],[Inversión publicidad]],0)</f>
        <v>0</v>
      </c>
      <c r="AF43" s="14"/>
      <c r="AG43" s="11"/>
      <c r="AM43" s="11">
        <f>_xlfn.XLOOKUP(TableDailySummary[[#This Row],[Fecha]],SummaryDaily[day],SummaryDaily[net_sales_with_cost_recorded],0)</f>
        <v>0</v>
      </c>
      <c r="AN43" s="11">
        <f>_xlfn.XLOOKUP(TableDailySummary[[#This Row],[Fecha]],SummaryDaily[day],SummaryDaily[cost_of_goods_sold],0)</f>
        <v>0</v>
      </c>
      <c r="AO43" s="11">
        <f>_xlfn.XLOOKUP(TableDailySummary[[#This Row],[Fecha]],SummaryDaily[day],SummaryDaily[gross_profit],0)</f>
        <v>0</v>
      </c>
      <c r="AP43" s="18">
        <f>IFERROR(TableDailySummary[[#This Row],[Utilidad bruta]]/TableDailySummary[[#This Row],[Ventas netas con costo registrado]],0)</f>
        <v>0</v>
      </c>
    </row>
    <row r="44" spans="2:42" x14ac:dyDescent="0.2">
      <c r="B44" s="15" cm="1">
        <f t="array" ref="B44">ParamFechaInicioReporte + (ROW(TableDailySummary[#This Row]) - ROW(TableDailySummary[[#Headers],[Dia]]) - 1)</f>
        <v>44571</v>
      </c>
      <c r="C44" s="6">
        <f>TableDailySummary[[#This Row],[Dia]]</f>
        <v>44571</v>
      </c>
      <c r="D44" s="11">
        <f>_xlfn.XLOOKUP(TableDailySummary[[#This Row],[Fecha]],SummaryDaily[day],SummaryDaily[net_sales],0)</f>
        <v>0</v>
      </c>
      <c r="E44" s="11">
        <f>_xlfn.XLOOKUP(TableDailySummary[[#This Row],[Fecha]],SummaryDaily[day],SummaryDaily[orders],0)</f>
        <v>0</v>
      </c>
      <c r="F44" s="11">
        <f>_xlfn.XLOOKUP(TableDailySummary[[#This Row],[Fecha]],SummaryDaily[day],SummaryDaily[average_order_value],0)</f>
        <v>0</v>
      </c>
      <c r="G44" s="24" cm="1">
        <f t="array" ref="G44">_xlfn.XLOOKUP(TableDailySummary[[#This Row],[Fecha]]&amp;"Total site",ConversionRateByReferral[day]&amp;ConversionRateByReferral[referrer_source],ConversionRateByReferral[conversion_rate],0)</f>
        <v>0</v>
      </c>
      <c r="H44" s="11">
        <f>TableDailySummary[[#This Row],[Órden promedio totales]]*TableDailySummary[[#This Row],[CR totales]]</f>
        <v>0</v>
      </c>
      <c r="I44" s="11">
        <f>_xlfn.XLOOKUP(TableDailySummary[[#This Row],[Fecha]],SummaryDaily[day],SummaryDaily[new_net_sales],0)</f>
        <v>0</v>
      </c>
      <c r="J44" s="11">
        <f>_xlfn.XLOOKUP(TableDailySummary[[#This Row],[Fecha]],SummaryDaily[day],SummaryDaily[new_orders],0)</f>
        <v>0</v>
      </c>
      <c r="K44" s="11">
        <f>_xlfn.XLOOKUP(TableDailySummary[[#This Row],[Fecha]],SummaryDaily[day],SummaryDaily[new_average_order_value],0)</f>
        <v>0</v>
      </c>
      <c r="L44" s="11">
        <f>_xlfn.XLOOKUP(TableDailySummary[[#This Row],[Fecha]],SummaryDaily[day],SummaryDaily[Online Store_net_sales],0)</f>
        <v>0</v>
      </c>
      <c r="M44" s="11">
        <f>_xlfn.XLOOKUP(TableDailySummary[[#This Row],[Fecha]],SummaryDaily[day],SummaryDaily[Online Store_orders],0)</f>
        <v>0</v>
      </c>
      <c r="N44" s="11">
        <f>_xlfn.XLOOKUP(TableDailySummary[[#This Row],[Fecha]],SummaryDaily[day],SummaryDaily[Online Store_average_order_value],0)</f>
        <v>0</v>
      </c>
      <c r="O44" s="11">
        <f>_xlfn.XLOOKUP(TableDailySummary[[#This Row],[Fecha]],SummaryDaily[day],SummaryDaily[Tienda 81_net_sales],0)</f>
        <v>0</v>
      </c>
      <c r="P44" s="11">
        <f>_xlfn.XLOOKUP(TableDailySummary[[#This Row],[Fecha]],SummaryDaily[day],SummaryDaily[Tienda 81_orders],0)</f>
        <v>0</v>
      </c>
      <c r="Q44" s="11">
        <f>_xlfn.XLOOKUP(TableDailySummary[[#This Row],[Fecha]],SummaryDaily[day],SummaryDaily[Tienda 81_average_order_value],0)</f>
        <v>0</v>
      </c>
      <c r="R44" s="11">
        <f>_xlfn.XLOOKUP(TableDailySummary[[#This Row],[Fecha]],SummaryDaily[day],SummaryDaily[Rappi_net_sales],0)</f>
        <v>0</v>
      </c>
      <c r="S44" s="11">
        <f>_xlfn.XLOOKUP(TableDailySummary[[#This Row],[Fecha]],SummaryDaily[day],SummaryDaily[Rappi_orders],0)</f>
        <v>0</v>
      </c>
      <c r="T44" s="11">
        <f>_xlfn.XLOOKUP(TableDailySummary[[#This Row],[Fecha]],SummaryDaily[day],SummaryDaily[Rappi_average_order_value],0)</f>
        <v>0</v>
      </c>
      <c r="U44" s="11">
        <f>_xlfn.XLOOKUP(TableDailySummary[[#This Row],[Fecha]],SummaryDaily[day],SummaryDaily[Corporativo no tienda_net_sales],0)</f>
        <v>0</v>
      </c>
      <c r="V44" s="11">
        <f>_xlfn.XLOOKUP(TableDailySummary[[#This Row],[Fecha]],SummaryDaily[day],SummaryDaily[Corporativo no tienda_orders],0)</f>
        <v>0</v>
      </c>
      <c r="W44" s="11">
        <f>_xlfn.XLOOKUP(TableDailySummary[[#This Row],[Fecha]],SummaryDaily[day],SummaryDaily[Corporativo no tienda_average_order_value],0)</f>
        <v>0</v>
      </c>
      <c r="X44" s="11">
        <f>_xlfn.XLOOKUP(TableDailySummary[[#This Row],[Fecha]],SummaryDaily[day],SummaryDaily[GoogleAdsOperation.Cost],0)</f>
        <v>0</v>
      </c>
      <c r="Y44" s="11">
        <f>SUMIFS(SalesByUTMDaily[google],SalesByUTMDaily[day],TableDailySummary[[#This Row],[Fecha]])</f>
        <v>0</v>
      </c>
      <c r="Z44" s="11">
        <f>_xlfn.XLOOKUP(TableDailySummary[[#This Row],[Fecha]],SummaryDaily[day],SummaryDaily[MetaAdsOperation.spend],0)</f>
        <v>0</v>
      </c>
      <c r="AA44" s="11">
        <f>SUMIFS(SalesByUTMDaily[facebook],SalesByUTMDaily[day],TableDailySummary[[#This Row],[Fecha]])</f>
        <v>0</v>
      </c>
      <c r="AB44" s="11">
        <f>TableDailySummary[[#This Row],[Inversión google ads]]+TableDailySummary[[#This Row],[Inversión meta ads]]</f>
        <v>0</v>
      </c>
      <c r="AC44" s="11">
        <f>TableDailySummary[[#This Row],[Ventas google ads]]+TableDailySummary[[#This Row],[Ventas meta ads]]</f>
        <v>0</v>
      </c>
      <c r="AD44" s="14">
        <f>IFERROR(TableDailySummary[[#This Row],[Ventas publicidad]]/TableDailySummary[[#This Row],[Inversión publicidad]],0)</f>
        <v>0</v>
      </c>
      <c r="AE44" s="14">
        <f>IFERROR(TableDailySummary[[#This Row],[Ventas primer cliente]]/TableDailySummary[[#This Row],[Inversión publicidad]],0)</f>
        <v>0</v>
      </c>
      <c r="AF44" s="14"/>
      <c r="AG44" s="11"/>
      <c r="AM44" s="11">
        <f>_xlfn.XLOOKUP(TableDailySummary[[#This Row],[Fecha]],SummaryDaily[day],SummaryDaily[net_sales_with_cost_recorded],0)</f>
        <v>0</v>
      </c>
      <c r="AN44" s="11">
        <f>_xlfn.XLOOKUP(TableDailySummary[[#This Row],[Fecha]],SummaryDaily[day],SummaryDaily[cost_of_goods_sold],0)</f>
        <v>0</v>
      </c>
      <c r="AO44" s="11">
        <f>_xlfn.XLOOKUP(TableDailySummary[[#This Row],[Fecha]],SummaryDaily[day],SummaryDaily[gross_profit],0)</f>
        <v>0</v>
      </c>
      <c r="AP44" s="18">
        <f>IFERROR(TableDailySummary[[#This Row],[Utilidad bruta]]/TableDailySummary[[#This Row],[Ventas netas con costo registrado]],0)</f>
        <v>0</v>
      </c>
    </row>
    <row r="45" spans="2:42" x14ac:dyDescent="0.2">
      <c r="B45" s="15" cm="1">
        <f t="array" ref="B45">ParamFechaInicioReporte + (ROW(TableDailySummary[#This Row]) - ROW(TableDailySummary[[#Headers],[Dia]]) - 1)</f>
        <v>44572</v>
      </c>
      <c r="C45" s="6">
        <f>TableDailySummary[[#This Row],[Dia]]</f>
        <v>44572</v>
      </c>
      <c r="D45" s="11">
        <f>_xlfn.XLOOKUP(TableDailySummary[[#This Row],[Fecha]],SummaryDaily[day],SummaryDaily[net_sales],0)</f>
        <v>0</v>
      </c>
      <c r="E45" s="11">
        <f>_xlfn.XLOOKUP(TableDailySummary[[#This Row],[Fecha]],SummaryDaily[day],SummaryDaily[orders],0)</f>
        <v>0</v>
      </c>
      <c r="F45" s="11">
        <f>_xlfn.XLOOKUP(TableDailySummary[[#This Row],[Fecha]],SummaryDaily[day],SummaryDaily[average_order_value],0)</f>
        <v>0</v>
      </c>
      <c r="G45" s="24" cm="1">
        <f t="array" ref="G45">_xlfn.XLOOKUP(TableDailySummary[[#This Row],[Fecha]]&amp;"Total site",ConversionRateByReferral[day]&amp;ConversionRateByReferral[referrer_source],ConversionRateByReferral[conversion_rate],0)</f>
        <v>0</v>
      </c>
      <c r="H45" s="11">
        <f>TableDailySummary[[#This Row],[Órden promedio totales]]*TableDailySummary[[#This Row],[CR totales]]</f>
        <v>0</v>
      </c>
      <c r="I45" s="11">
        <f>_xlfn.XLOOKUP(TableDailySummary[[#This Row],[Fecha]],SummaryDaily[day],SummaryDaily[new_net_sales],0)</f>
        <v>0</v>
      </c>
      <c r="J45" s="11">
        <f>_xlfn.XLOOKUP(TableDailySummary[[#This Row],[Fecha]],SummaryDaily[day],SummaryDaily[new_orders],0)</f>
        <v>0</v>
      </c>
      <c r="K45" s="11">
        <f>_xlfn.XLOOKUP(TableDailySummary[[#This Row],[Fecha]],SummaryDaily[day],SummaryDaily[new_average_order_value],0)</f>
        <v>0</v>
      </c>
      <c r="L45" s="11">
        <f>_xlfn.XLOOKUP(TableDailySummary[[#This Row],[Fecha]],SummaryDaily[day],SummaryDaily[Online Store_net_sales],0)</f>
        <v>0</v>
      </c>
      <c r="M45" s="11">
        <f>_xlfn.XLOOKUP(TableDailySummary[[#This Row],[Fecha]],SummaryDaily[day],SummaryDaily[Online Store_orders],0)</f>
        <v>0</v>
      </c>
      <c r="N45" s="11">
        <f>_xlfn.XLOOKUP(TableDailySummary[[#This Row],[Fecha]],SummaryDaily[day],SummaryDaily[Online Store_average_order_value],0)</f>
        <v>0</v>
      </c>
      <c r="O45" s="11">
        <f>_xlfn.XLOOKUP(TableDailySummary[[#This Row],[Fecha]],SummaryDaily[day],SummaryDaily[Tienda 81_net_sales],0)</f>
        <v>0</v>
      </c>
      <c r="P45" s="11">
        <f>_xlfn.XLOOKUP(TableDailySummary[[#This Row],[Fecha]],SummaryDaily[day],SummaryDaily[Tienda 81_orders],0)</f>
        <v>0</v>
      </c>
      <c r="Q45" s="11">
        <f>_xlfn.XLOOKUP(TableDailySummary[[#This Row],[Fecha]],SummaryDaily[day],SummaryDaily[Tienda 81_average_order_value],0)</f>
        <v>0</v>
      </c>
      <c r="R45" s="11">
        <f>_xlfn.XLOOKUP(TableDailySummary[[#This Row],[Fecha]],SummaryDaily[day],SummaryDaily[Rappi_net_sales],0)</f>
        <v>0</v>
      </c>
      <c r="S45" s="11">
        <f>_xlfn.XLOOKUP(TableDailySummary[[#This Row],[Fecha]],SummaryDaily[day],SummaryDaily[Rappi_orders],0)</f>
        <v>0</v>
      </c>
      <c r="T45" s="11">
        <f>_xlfn.XLOOKUP(TableDailySummary[[#This Row],[Fecha]],SummaryDaily[day],SummaryDaily[Rappi_average_order_value],0)</f>
        <v>0</v>
      </c>
      <c r="U45" s="11">
        <f>_xlfn.XLOOKUP(TableDailySummary[[#This Row],[Fecha]],SummaryDaily[day],SummaryDaily[Corporativo no tienda_net_sales],0)</f>
        <v>0</v>
      </c>
      <c r="V45" s="11">
        <f>_xlfn.XLOOKUP(TableDailySummary[[#This Row],[Fecha]],SummaryDaily[day],SummaryDaily[Corporativo no tienda_orders],0)</f>
        <v>0</v>
      </c>
      <c r="W45" s="11">
        <f>_xlfn.XLOOKUP(TableDailySummary[[#This Row],[Fecha]],SummaryDaily[day],SummaryDaily[Corporativo no tienda_average_order_value],0)</f>
        <v>0</v>
      </c>
      <c r="X45" s="11">
        <f>_xlfn.XLOOKUP(TableDailySummary[[#This Row],[Fecha]],SummaryDaily[day],SummaryDaily[GoogleAdsOperation.Cost],0)</f>
        <v>0</v>
      </c>
      <c r="Y45" s="11">
        <f>SUMIFS(SalesByUTMDaily[google],SalesByUTMDaily[day],TableDailySummary[[#This Row],[Fecha]])</f>
        <v>0</v>
      </c>
      <c r="Z45" s="11">
        <f>_xlfn.XLOOKUP(TableDailySummary[[#This Row],[Fecha]],SummaryDaily[day],SummaryDaily[MetaAdsOperation.spend],0)</f>
        <v>0</v>
      </c>
      <c r="AA45" s="11">
        <f>SUMIFS(SalesByUTMDaily[facebook],SalesByUTMDaily[day],TableDailySummary[[#This Row],[Fecha]])</f>
        <v>0</v>
      </c>
      <c r="AB45" s="11">
        <f>TableDailySummary[[#This Row],[Inversión google ads]]+TableDailySummary[[#This Row],[Inversión meta ads]]</f>
        <v>0</v>
      </c>
      <c r="AC45" s="11">
        <f>TableDailySummary[[#This Row],[Ventas google ads]]+TableDailySummary[[#This Row],[Ventas meta ads]]</f>
        <v>0</v>
      </c>
      <c r="AD45" s="14">
        <f>IFERROR(TableDailySummary[[#This Row],[Ventas publicidad]]/TableDailySummary[[#This Row],[Inversión publicidad]],0)</f>
        <v>0</v>
      </c>
      <c r="AE45" s="14">
        <f>IFERROR(TableDailySummary[[#This Row],[Ventas primer cliente]]/TableDailySummary[[#This Row],[Inversión publicidad]],0)</f>
        <v>0</v>
      </c>
      <c r="AF45" s="14"/>
      <c r="AG45" s="11"/>
      <c r="AM45" s="11">
        <f>_xlfn.XLOOKUP(TableDailySummary[[#This Row],[Fecha]],SummaryDaily[day],SummaryDaily[net_sales_with_cost_recorded],0)</f>
        <v>0</v>
      </c>
      <c r="AN45" s="11">
        <f>_xlfn.XLOOKUP(TableDailySummary[[#This Row],[Fecha]],SummaryDaily[day],SummaryDaily[cost_of_goods_sold],0)</f>
        <v>0</v>
      </c>
      <c r="AO45" s="11">
        <f>_xlfn.XLOOKUP(TableDailySummary[[#This Row],[Fecha]],SummaryDaily[day],SummaryDaily[gross_profit],0)</f>
        <v>0</v>
      </c>
      <c r="AP45" s="18">
        <f>IFERROR(TableDailySummary[[#This Row],[Utilidad bruta]]/TableDailySummary[[#This Row],[Ventas netas con costo registrado]],0)</f>
        <v>0</v>
      </c>
    </row>
    <row r="46" spans="2:42" x14ac:dyDescent="0.2">
      <c r="B46" s="15" cm="1">
        <f t="array" ref="B46">ParamFechaInicioReporte + (ROW(TableDailySummary[#This Row]) - ROW(TableDailySummary[[#Headers],[Dia]]) - 1)</f>
        <v>44573</v>
      </c>
      <c r="C46" s="6">
        <f>TableDailySummary[[#This Row],[Dia]]</f>
        <v>44573</v>
      </c>
      <c r="D46" s="11">
        <f>_xlfn.XLOOKUP(TableDailySummary[[#This Row],[Fecha]],SummaryDaily[day],SummaryDaily[net_sales],0)</f>
        <v>0</v>
      </c>
      <c r="E46" s="11">
        <f>_xlfn.XLOOKUP(TableDailySummary[[#This Row],[Fecha]],SummaryDaily[day],SummaryDaily[orders],0)</f>
        <v>0</v>
      </c>
      <c r="F46" s="11">
        <f>_xlfn.XLOOKUP(TableDailySummary[[#This Row],[Fecha]],SummaryDaily[day],SummaryDaily[average_order_value],0)</f>
        <v>0</v>
      </c>
      <c r="G46" s="24" cm="1">
        <f t="array" ref="G46">_xlfn.XLOOKUP(TableDailySummary[[#This Row],[Fecha]]&amp;"Total site",ConversionRateByReferral[day]&amp;ConversionRateByReferral[referrer_source],ConversionRateByReferral[conversion_rate],0)</f>
        <v>0</v>
      </c>
      <c r="H46" s="11">
        <f>TableDailySummary[[#This Row],[Órden promedio totales]]*TableDailySummary[[#This Row],[CR totales]]</f>
        <v>0</v>
      </c>
      <c r="I46" s="11">
        <f>_xlfn.XLOOKUP(TableDailySummary[[#This Row],[Fecha]],SummaryDaily[day],SummaryDaily[new_net_sales],0)</f>
        <v>0</v>
      </c>
      <c r="J46" s="11">
        <f>_xlfn.XLOOKUP(TableDailySummary[[#This Row],[Fecha]],SummaryDaily[day],SummaryDaily[new_orders],0)</f>
        <v>0</v>
      </c>
      <c r="K46" s="11">
        <f>_xlfn.XLOOKUP(TableDailySummary[[#This Row],[Fecha]],SummaryDaily[day],SummaryDaily[new_average_order_value],0)</f>
        <v>0</v>
      </c>
      <c r="L46" s="11">
        <f>_xlfn.XLOOKUP(TableDailySummary[[#This Row],[Fecha]],SummaryDaily[day],SummaryDaily[Online Store_net_sales],0)</f>
        <v>0</v>
      </c>
      <c r="M46" s="11">
        <f>_xlfn.XLOOKUP(TableDailySummary[[#This Row],[Fecha]],SummaryDaily[day],SummaryDaily[Online Store_orders],0)</f>
        <v>0</v>
      </c>
      <c r="N46" s="11">
        <f>_xlfn.XLOOKUP(TableDailySummary[[#This Row],[Fecha]],SummaryDaily[day],SummaryDaily[Online Store_average_order_value],0)</f>
        <v>0</v>
      </c>
      <c r="O46" s="11">
        <f>_xlfn.XLOOKUP(TableDailySummary[[#This Row],[Fecha]],SummaryDaily[day],SummaryDaily[Tienda 81_net_sales],0)</f>
        <v>0</v>
      </c>
      <c r="P46" s="11">
        <f>_xlfn.XLOOKUP(TableDailySummary[[#This Row],[Fecha]],SummaryDaily[day],SummaryDaily[Tienda 81_orders],0)</f>
        <v>0</v>
      </c>
      <c r="Q46" s="11">
        <f>_xlfn.XLOOKUP(TableDailySummary[[#This Row],[Fecha]],SummaryDaily[day],SummaryDaily[Tienda 81_average_order_value],0)</f>
        <v>0</v>
      </c>
      <c r="R46" s="11">
        <f>_xlfn.XLOOKUP(TableDailySummary[[#This Row],[Fecha]],SummaryDaily[day],SummaryDaily[Rappi_net_sales],0)</f>
        <v>0</v>
      </c>
      <c r="S46" s="11">
        <f>_xlfn.XLOOKUP(TableDailySummary[[#This Row],[Fecha]],SummaryDaily[day],SummaryDaily[Rappi_orders],0)</f>
        <v>0</v>
      </c>
      <c r="T46" s="11">
        <f>_xlfn.XLOOKUP(TableDailySummary[[#This Row],[Fecha]],SummaryDaily[day],SummaryDaily[Rappi_average_order_value],0)</f>
        <v>0</v>
      </c>
      <c r="U46" s="11">
        <f>_xlfn.XLOOKUP(TableDailySummary[[#This Row],[Fecha]],SummaryDaily[day],SummaryDaily[Corporativo no tienda_net_sales],0)</f>
        <v>0</v>
      </c>
      <c r="V46" s="11">
        <f>_xlfn.XLOOKUP(TableDailySummary[[#This Row],[Fecha]],SummaryDaily[day],SummaryDaily[Corporativo no tienda_orders],0)</f>
        <v>0</v>
      </c>
      <c r="W46" s="11">
        <f>_xlfn.XLOOKUP(TableDailySummary[[#This Row],[Fecha]],SummaryDaily[day],SummaryDaily[Corporativo no tienda_average_order_value],0)</f>
        <v>0</v>
      </c>
      <c r="X46" s="11">
        <f>_xlfn.XLOOKUP(TableDailySummary[[#This Row],[Fecha]],SummaryDaily[day],SummaryDaily[GoogleAdsOperation.Cost],0)</f>
        <v>0</v>
      </c>
      <c r="Y46" s="11">
        <f>SUMIFS(SalesByUTMDaily[google],SalesByUTMDaily[day],TableDailySummary[[#This Row],[Fecha]])</f>
        <v>0</v>
      </c>
      <c r="Z46" s="11">
        <f>_xlfn.XLOOKUP(TableDailySummary[[#This Row],[Fecha]],SummaryDaily[day],SummaryDaily[MetaAdsOperation.spend],0)</f>
        <v>0</v>
      </c>
      <c r="AA46" s="11">
        <f>SUMIFS(SalesByUTMDaily[facebook],SalesByUTMDaily[day],TableDailySummary[[#This Row],[Fecha]])</f>
        <v>0</v>
      </c>
      <c r="AB46" s="11">
        <f>TableDailySummary[[#This Row],[Inversión google ads]]+TableDailySummary[[#This Row],[Inversión meta ads]]</f>
        <v>0</v>
      </c>
      <c r="AC46" s="11">
        <f>TableDailySummary[[#This Row],[Ventas google ads]]+TableDailySummary[[#This Row],[Ventas meta ads]]</f>
        <v>0</v>
      </c>
      <c r="AD46" s="14">
        <f>IFERROR(TableDailySummary[[#This Row],[Ventas publicidad]]/TableDailySummary[[#This Row],[Inversión publicidad]],0)</f>
        <v>0</v>
      </c>
      <c r="AE46" s="14">
        <f>IFERROR(TableDailySummary[[#This Row],[Ventas primer cliente]]/TableDailySummary[[#This Row],[Inversión publicidad]],0)</f>
        <v>0</v>
      </c>
      <c r="AF46" s="14"/>
      <c r="AG46" s="11"/>
      <c r="AM46" s="11">
        <f>_xlfn.XLOOKUP(TableDailySummary[[#This Row],[Fecha]],SummaryDaily[day],SummaryDaily[net_sales_with_cost_recorded],0)</f>
        <v>0</v>
      </c>
      <c r="AN46" s="11">
        <f>_xlfn.XLOOKUP(TableDailySummary[[#This Row],[Fecha]],SummaryDaily[day],SummaryDaily[cost_of_goods_sold],0)</f>
        <v>0</v>
      </c>
      <c r="AO46" s="11">
        <f>_xlfn.XLOOKUP(TableDailySummary[[#This Row],[Fecha]],SummaryDaily[day],SummaryDaily[gross_profit],0)</f>
        <v>0</v>
      </c>
      <c r="AP46" s="18">
        <f>IFERROR(TableDailySummary[[#This Row],[Utilidad bruta]]/TableDailySummary[[#This Row],[Ventas netas con costo registrado]],0)</f>
        <v>0</v>
      </c>
    </row>
    <row r="47" spans="2:42" x14ac:dyDescent="0.2">
      <c r="B47" s="15" cm="1">
        <f t="array" ref="B47">ParamFechaInicioReporte + (ROW(TableDailySummary[#This Row]) - ROW(TableDailySummary[[#Headers],[Dia]]) - 1)</f>
        <v>44574</v>
      </c>
      <c r="C47" s="6">
        <f>TableDailySummary[[#This Row],[Dia]]</f>
        <v>44574</v>
      </c>
      <c r="D47" s="11">
        <f>_xlfn.XLOOKUP(TableDailySummary[[#This Row],[Fecha]],SummaryDaily[day],SummaryDaily[net_sales],0)</f>
        <v>0</v>
      </c>
      <c r="E47" s="11">
        <f>_xlfn.XLOOKUP(TableDailySummary[[#This Row],[Fecha]],SummaryDaily[day],SummaryDaily[orders],0)</f>
        <v>0</v>
      </c>
      <c r="F47" s="11">
        <f>_xlfn.XLOOKUP(TableDailySummary[[#This Row],[Fecha]],SummaryDaily[day],SummaryDaily[average_order_value],0)</f>
        <v>0</v>
      </c>
      <c r="G47" s="24" cm="1">
        <f t="array" ref="G47">_xlfn.XLOOKUP(TableDailySummary[[#This Row],[Fecha]]&amp;"Total site",ConversionRateByReferral[day]&amp;ConversionRateByReferral[referrer_source],ConversionRateByReferral[conversion_rate],0)</f>
        <v>0</v>
      </c>
      <c r="H47" s="11">
        <f>TableDailySummary[[#This Row],[Órden promedio totales]]*TableDailySummary[[#This Row],[CR totales]]</f>
        <v>0</v>
      </c>
      <c r="I47" s="11">
        <f>_xlfn.XLOOKUP(TableDailySummary[[#This Row],[Fecha]],SummaryDaily[day],SummaryDaily[new_net_sales],0)</f>
        <v>0</v>
      </c>
      <c r="J47" s="11">
        <f>_xlfn.XLOOKUP(TableDailySummary[[#This Row],[Fecha]],SummaryDaily[day],SummaryDaily[new_orders],0)</f>
        <v>0</v>
      </c>
      <c r="K47" s="11">
        <f>_xlfn.XLOOKUP(TableDailySummary[[#This Row],[Fecha]],SummaryDaily[day],SummaryDaily[new_average_order_value],0)</f>
        <v>0</v>
      </c>
      <c r="L47" s="11">
        <f>_xlfn.XLOOKUP(TableDailySummary[[#This Row],[Fecha]],SummaryDaily[day],SummaryDaily[Online Store_net_sales],0)</f>
        <v>0</v>
      </c>
      <c r="M47" s="11">
        <f>_xlfn.XLOOKUP(TableDailySummary[[#This Row],[Fecha]],SummaryDaily[day],SummaryDaily[Online Store_orders],0)</f>
        <v>0</v>
      </c>
      <c r="N47" s="11">
        <f>_xlfn.XLOOKUP(TableDailySummary[[#This Row],[Fecha]],SummaryDaily[day],SummaryDaily[Online Store_average_order_value],0)</f>
        <v>0</v>
      </c>
      <c r="O47" s="11">
        <f>_xlfn.XLOOKUP(TableDailySummary[[#This Row],[Fecha]],SummaryDaily[day],SummaryDaily[Tienda 81_net_sales],0)</f>
        <v>0</v>
      </c>
      <c r="P47" s="11">
        <f>_xlfn.XLOOKUP(TableDailySummary[[#This Row],[Fecha]],SummaryDaily[day],SummaryDaily[Tienda 81_orders],0)</f>
        <v>0</v>
      </c>
      <c r="Q47" s="11">
        <f>_xlfn.XLOOKUP(TableDailySummary[[#This Row],[Fecha]],SummaryDaily[day],SummaryDaily[Tienda 81_average_order_value],0)</f>
        <v>0</v>
      </c>
      <c r="R47" s="11">
        <f>_xlfn.XLOOKUP(TableDailySummary[[#This Row],[Fecha]],SummaryDaily[day],SummaryDaily[Rappi_net_sales],0)</f>
        <v>0</v>
      </c>
      <c r="S47" s="11">
        <f>_xlfn.XLOOKUP(TableDailySummary[[#This Row],[Fecha]],SummaryDaily[day],SummaryDaily[Rappi_orders],0)</f>
        <v>0</v>
      </c>
      <c r="T47" s="11">
        <f>_xlfn.XLOOKUP(TableDailySummary[[#This Row],[Fecha]],SummaryDaily[day],SummaryDaily[Rappi_average_order_value],0)</f>
        <v>0</v>
      </c>
      <c r="U47" s="11">
        <f>_xlfn.XLOOKUP(TableDailySummary[[#This Row],[Fecha]],SummaryDaily[day],SummaryDaily[Corporativo no tienda_net_sales],0)</f>
        <v>0</v>
      </c>
      <c r="V47" s="11">
        <f>_xlfn.XLOOKUP(TableDailySummary[[#This Row],[Fecha]],SummaryDaily[day],SummaryDaily[Corporativo no tienda_orders],0)</f>
        <v>0</v>
      </c>
      <c r="W47" s="11">
        <f>_xlfn.XLOOKUP(TableDailySummary[[#This Row],[Fecha]],SummaryDaily[day],SummaryDaily[Corporativo no tienda_average_order_value],0)</f>
        <v>0</v>
      </c>
      <c r="X47" s="11">
        <f>_xlfn.XLOOKUP(TableDailySummary[[#This Row],[Fecha]],SummaryDaily[day],SummaryDaily[GoogleAdsOperation.Cost],0)</f>
        <v>0</v>
      </c>
      <c r="Y47" s="11">
        <f>SUMIFS(SalesByUTMDaily[google],SalesByUTMDaily[day],TableDailySummary[[#This Row],[Fecha]])</f>
        <v>0</v>
      </c>
      <c r="Z47" s="11">
        <f>_xlfn.XLOOKUP(TableDailySummary[[#This Row],[Fecha]],SummaryDaily[day],SummaryDaily[MetaAdsOperation.spend],0)</f>
        <v>0</v>
      </c>
      <c r="AA47" s="11">
        <f>SUMIFS(SalesByUTMDaily[facebook],SalesByUTMDaily[day],TableDailySummary[[#This Row],[Fecha]])</f>
        <v>0</v>
      </c>
      <c r="AB47" s="11">
        <f>TableDailySummary[[#This Row],[Inversión google ads]]+TableDailySummary[[#This Row],[Inversión meta ads]]</f>
        <v>0</v>
      </c>
      <c r="AC47" s="11">
        <f>TableDailySummary[[#This Row],[Ventas google ads]]+TableDailySummary[[#This Row],[Ventas meta ads]]</f>
        <v>0</v>
      </c>
      <c r="AD47" s="14">
        <f>IFERROR(TableDailySummary[[#This Row],[Ventas publicidad]]/TableDailySummary[[#This Row],[Inversión publicidad]],0)</f>
        <v>0</v>
      </c>
      <c r="AE47" s="14">
        <f>IFERROR(TableDailySummary[[#This Row],[Ventas primer cliente]]/TableDailySummary[[#This Row],[Inversión publicidad]],0)</f>
        <v>0</v>
      </c>
      <c r="AF47" s="14"/>
      <c r="AG47" s="11"/>
      <c r="AM47" s="11">
        <f>_xlfn.XLOOKUP(TableDailySummary[[#This Row],[Fecha]],SummaryDaily[day],SummaryDaily[net_sales_with_cost_recorded],0)</f>
        <v>0</v>
      </c>
      <c r="AN47" s="11">
        <f>_xlfn.XLOOKUP(TableDailySummary[[#This Row],[Fecha]],SummaryDaily[day],SummaryDaily[cost_of_goods_sold],0)</f>
        <v>0</v>
      </c>
      <c r="AO47" s="11">
        <f>_xlfn.XLOOKUP(TableDailySummary[[#This Row],[Fecha]],SummaryDaily[day],SummaryDaily[gross_profit],0)</f>
        <v>0</v>
      </c>
      <c r="AP47" s="18">
        <f>IFERROR(TableDailySummary[[#This Row],[Utilidad bruta]]/TableDailySummary[[#This Row],[Ventas netas con costo registrado]],0)</f>
        <v>0</v>
      </c>
    </row>
    <row r="48" spans="2:42" x14ac:dyDescent="0.2">
      <c r="B48" s="15" cm="1">
        <f t="array" ref="B48">ParamFechaInicioReporte + (ROW(TableDailySummary[#This Row]) - ROW(TableDailySummary[[#Headers],[Dia]]) - 1)</f>
        <v>44575</v>
      </c>
      <c r="C48" s="6">
        <f>TableDailySummary[[#This Row],[Dia]]</f>
        <v>44575</v>
      </c>
      <c r="D48" s="11">
        <f>_xlfn.XLOOKUP(TableDailySummary[[#This Row],[Fecha]],SummaryDaily[day],SummaryDaily[net_sales],0)</f>
        <v>0</v>
      </c>
      <c r="E48" s="11">
        <f>_xlfn.XLOOKUP(TableDailySummary[[#This Row],[Fecha]],SummaryDaily[day],SummaryDaily[orders],0)</f>
        <v>0</v>
      </c>
      <c r="F48" s="11">
        <f>_xlfn.XLOOKUP(TableDailySummary[[#This Row],[Fecha]],SummaryDaily[day],SummaryDaily[average_order_value],0)</f>
        <v>0</v>
      </c>
      <c r="G48" s="24" cm="1">
        <f t="array" ref="G48">_xlfn.XLOOKUP(TableDailySummary[[#This Row],[Fecha]]&amp;"Total site",ConversionRateByReferral[day]&amp;ConversionRateByReferral[referrer_source],ConversionRateByReferral[conversion_rate],0)</f>
        <v>0</v>
      </c>
      <c r="H48" s="11">
        <f>TableDailySummary[[#This Row],[Órden promedio totales]]*TableDailySummary[[#This Row],[CR totales]]</f>
        <v>0</v>
      </c>
      <c r="I48" s="11">
        <f>_xlfn.XLOOKUP(TableDailySummary[[#This Row],[Fecha]],SummaryDaily[day],SummaryDaily[new_net_sales],0)</f>
        <v>0</v>
      </c>
      <c r="J48" s="11">
        <f>_xlfn.XLOOKUP(TableDailySummary[[#This Row],[Fecha]],SummaryDaily[day],SummaryDaily[new_orders],0)</f>
        <v>0</v>
      </c>
      <c r="K48" s="11">
        <f>_xlfn.XLOOKUP(TableDailySummary[[#This Row],[Fecha]],SummaryDaily[day],SummaryDaily[new_average_order_value],0)</f>
        <v>0</v>
      </c>
      <c r="L48" s="11">
        <f>_xlfn.XLOOKUP(TableDailySummary[[#This Row],[Fecha]],SummaryDaily[day],SummaryDaily[Online Store_net_sales],0)</f>
        <v>0</v>
      </c>
      <c r="M48" s="11">
        <f>_xlfn.XLOOKUP(TableDailySummary[[#This Row],[Fecha]],SummaryDaily[day],SummaryDaily[Online Store_orders],0)</f>
        <v>0</v>
      </c>
      <c r="N48" s="11">
        <f>_xlfn.XLOOKUP(TableDailySummary[[#This Row],[Fecha]],SummaryDaily[day],SummaryDaily[Online Store_average_order_value],0)</f>
        <v>0</v>
      </c>
      <c r="O48" s="11">
        <f>_xlfn.XLOOKUP(TableDailySummary[[#This Row],[Fecha]],SummaryDaily[day],SummaryDaily[Tienda 81_net_sales],0)</f>
        <v>0</v>
      </c>
      <c r="P48" s="11">
        <f>_xlfn.XLOOKUP(TableDailySummary[[#This Row],[Fecha]],SummaryDaily[day],SummaryDaily[Tienda 81_orders],0)</f>
        <v>0</v>
      </c>
      <c r="Q48" s="11">
        <f>_xlfn.XLOOKUP(TableDailySummary[[#This Row],[Fecha]],SummaryDaily[day],SummaryDaily[Tienda 81_average_order_value],0)</f>
        <v>0</v>
      </c>
      <c r="R48" s="11">
        <f>_xlfn.XLOOKUP(TableDailySummary[[#This Row],[Fecha]],SummaryDaily[day],SummaryDaily[Rappi_net_sales],0)</f>
        <v>0</v>
      </c>
      <c r="S48" s="11">
        <f>_xlfn.XLOOKUP(TableDailySummary[[#This Row],[Fecha]],SummaryDaily[day],SummaryDaily[Rappi_orders],0)</f>
        <v>0</v>
      </c>
      <c r="T48" s="11">
        <f>_xlfn.XLOOKUP(TableDailySummary[[#This Row],[Fecha]],SummaryDaily[day],SummaryDaily[Rappi_average_order_value],0)</f>
        <v>0</v>
      </c>
      <c r="U48" s="11">
        <f>_xlfn.XLOOKUP(TableDailySummary[[#This Row],[Fecha]],SummaryDaily[day],SummaryDaily[Corporativo no tienda_net_sales],0)</f>
        <v>0</v>
      </c>
      <c r="V48" s="11">
        <f>_xlfn.XLOOKUP(TableDailySummary[[#This Row],[Fecha]],SummaryDaily[day],SummaryDaily[Corporativo no tienda_orders],0)</f>
        <v>0</v>
      </c>
      <c r="W48" s="11">
        <f>_xlfn.XLOOKUP(TableDailySummary[[#This Row],[Fecha]],SummaryDaily[day],SummaryDaily[Corporativo no tienda_average_order_value],0)</f>
        <v>0</v>
      </c>
      <c r="X48" s="11">
        <f>_xlfn.XLOOKUP(TableDailySummary[[#This Row],[Fecha]],SummaryDaily[day],SummaryDaily[GoogleAdsOperation.Cost],0)</f>
        <v>0</v>
      </c>
      <c r="Y48" s="11">
        <f>SUMIFS(SalesByUTMDaily[google],SalesByUTMDaily[day],TableDailySummary[[#This Row],[Fecha]])</f>
        <v>0</v>
      </c>
      <c r="Z48" s="11">
        <f>_xlfn.XLOOKUP(TableDailySummary[[#This Row],[Fecha]],SummaryDaily[day],SummaryDaily[MetaAdsOperation.spend],0)</f>
        <v>0</v>
      </c>
      <c r="AA48" s="11">
        <f>SUMIFS(SalesByUTMDaily[facebook],SalesByUTMDaily[day],TableDailySummary[[#This Row],[Fecha]])</f>
        <v>0</v>
      </c>
      <c r="AB48" s="11">
        <f>TableDailySummary[[#This Row],[Inversión google ads]]+TableDailySummary[[#This Row],[Inversión meta ads]]</f>
        <v>0</v>
      </c>
      <c r="AC48" s="11">
        <f>TableDailySummary[[#This Row],[Ventas google ads]]+TableDailySummary[[#This Row],[Ventas meta ads]]</f>
        <v>0</v>
      </c>
      <c r="AD48" s="14">
        <f>IFERROR(TableDailySummary[[#This Row],[Ventas publicidad]]/TableDailySummary[[#This Row],[Inversión publicidad]],0)</f>
        <v>0</v>
      </c>
      <c r="AE48" s="14">
        <f>IFERROR(TableDailySummary[[#This Row],[Ventas primer cliente]]/TableDailySummary[[#This Row],[Inversión publicidad]],0)</f>
        <v>0</v>
      </c>
      <c r="AF48" s="14"/>
      <c r="AG48" s="11"/>
      <c r="AM48" s="11">
        <f>_xlfn.XLOOKUP(TableDailySummary[[#This Row],[Fecha]],SummaryDaily[day],SummaryDaily[net_sales_with_cost_recorded],0)</f>
        <v>0</v>
      </c>
      <c r="AN48" s="11">
        <f>_xlfn.XLOOKUP(TableDailySummary[[#This Row],[Fecha]],SummaryDaily[day],SummaryDaily[cost_of_goods_sold],0)</f>
        <v>0</v>
      </c>
      <c r="AO48" s="11">
        <f>_xlfn.XLOOKUP(TableDailySummary[[#This Row],[Fecha]],SummaryDaily[day],SummaryDaily[gross_profit],0)</f>
        <v>0</v>
      </c>
      <c r="AP48" s="18">
        <f>IFERROR(TableDailySummary[[#This Row],[Utilidad bruta]]/TableDailySummary[[#This Row],[Ventas netas con costo registrado]],0)</f>
        <v>0</v>
      </c>
    </row>
    <row r="49" spans="2:42" x14ac:dyDescent="0.2">
      <c r="B49" s="15" cm="1">
        <f t="array" ref="B49">ParamFechaInicioReporte + (ROW(TableDailySummary[#This Row]) - ROW(TableDailySummary[[#Headers],[Dia]]) - 1)</f>
        <v>44576</v>
      </c>
      <c r="C49" s="6">
        <f>TableDailySummary[[#This Row],[Dia]]</f>
        <v>44576</v>
      </c>
      <c r="D49" s="11">
        <f>_xlfn.XLOOKUP(TableDailySummary[[#This Row],[Fecha]],SummaryDaily[day],SummaryDaily[net_sales],0)</f>
        <v>0</v>
      </c>
      <c r="E49" s="11">
        <f>_xlfn.XLOOKUP(TableDailySummary[[#This Row],[Fecha]],SummaryDaily[day],SummaryDaily[orders],0)</f>
        <v>0</v>
      </c>
      <c r="F49" s="11">
        <f>_xlfn.XLOOKUP(TableDailySummary[[#This Row],[Fecha]],SummaryDaily[day],SummaryDaily[average_order_value],0)</f>
        <v>0</v>
      </c>
      <c r="G49" s="24" cm="1">
        <f t="array" ref="G49">_xlfn.XLOOKUP(TableDailySummary[[#This Row],[Fecha]]&amp;"Total site",ConversionRateByReferral[day]&amp;ConversionRateByReferral[referrer_source],ConversionRateByReferral[conversion_rate],0)</f>
        <v>0</v>
      </c>
      <c r="H49" s="11">
        <f>TableDailySummary[[#This Row],[Órden promedio totales]]*TableDailySummary[[#This Row],[CR totales]]</f>
        <v>0</v>
      </c>
      <c r="I49" s="11">
        <f>_xlfn.XLOOKUP(TableDailySummary[[#This Row],[Fecha]],SummaryDaily[day],SummaryDaily[new_net_sales],0)</f>
        <v>0</v>
      </c>
      <c r="J49" s="11">
        <f>_xlfn.XLOOKUP(TableDailySummary[[#This Row],[Fecha]],SummaryDaily[day],SummaryDaily[new_orders],0)</f>
        <v>0</v>
      </c>
      <c r="K49" s="11">
        <f>_xlfn.XLOOKUP(TableDailySummary[[#This Row],[Fecha]],SummaryDaily[day],SummaryDaily[new_average_order_value],0)</f>
        <v>0</v>
      </c>
      <c r="L49" s="11">
        <f>_xlfn.XLOOKUP(TableDailySummary[[#This Row],[Fecha]],SummaryDaily[day],SummaryDaily[Online Store_net_sales],0)</f>
        <v>0</v>
      </c>
      <c r="M49" s="11">
        <f>_xlfn.XLOOKUP(TableDailySummary[[#This Row],[Fecha]],SummaryDaily[day],SummaryDaily[Online Store_orders],0)</f>
        <v>0</v>
      </c>
      <c r="N49" s="11">
        <f>_xlfn.XLOOKUP(TableDailySummary[[#This Row],[Fecha]],SummaryDaily[day],SummaryDaily[Online Store_average_order_value],0)</f>
        <v>0</v>
      </c>
      <c r="O49" s="11">
        <f>_xlfn.XLOOKUP(TableDailySummary[[#This Row],[Fecha]],SummaryDaily[day],SummaryDaily[Tienda 81_net_sales],0)</f>
        <v>0</v>
      </c>
      <c r="P49" s="11">
        <f>_xlfn.XLOOKUP(TableDailySummary[[#This Row],[Fecha]],SummaryDaily[day],SummaryDaily[Tienda 81_orders],0)</f>
        <v>0</v>
      </c>
      <c r="Q49" s="11">
        <f>_xlfn.XLOOKUP(TableDailySummary[[#This Row],[Fecha]],SummaryDaily[day],SummaryDaily[Tienda 81_average_order_value],0)</f>
        <v>0</v>
      </c>
      <c r="R49" s="11">
        <f>_xlfn.XLOOKUP(TableDailySummary[[#This Row],[Fecha]],SummaryDaily[day],SummaryDaily[Rappi_net_sales],0)</f>
        <v>0</v>
      </c>
      <c r="S49" s="11">
        <f>_xlfn.XLOOKUP(TableDailySummary[[#This Row],[Fecha]],SummaryDaily[day],SummaryDaily[Rappi_orders],0)</f>
        <v>0</v>
      </c>
      <c r="T49" s="11">
        <f>_xlfn.XLOOKUP(TableDailySummary[[#This Row],[Fecha]],SummaryDaily[day],SummaryDaily[Rappi_average_order_value],0)</f>
        <v>0</v>
      </c>
      <c r="U49" s="11">
        <f>_xlfn.XLOOKUP(TableDailySummary[[#This Row],[Fecha]],SummaryDaily[day],SummaryDaily[Corporativo no tienda_net_sales],0)</f>
        <v>0</v>
      </c>
      <c r="V49" s="11">
        <f>_xlfn.XLOOKUP(TableDailySummary[[#This Row],[Fecha]],SummaryDaily[day],SummaryDaily[Corporativo no tienda_orders],0)</f>
        <v>0</v>
      </c>
      <c r="W49" s="11">
        <f>_xlfn.XLOOKUP(TableDailySummary[[#This Row],[Fecha]],SummaryDaily[day],SummaryDaily[Corporativo no tienda_average_order_value],0)</f>
        <v>0</v>
      </c>
      <c r="X49" s="11">
        <f>_xlfn.XLOOKUP(TableDailySummary[[#This Row],[Fecha]],SummaryDaily[day],SummaryDaily[GoogleAdsOperation.Cost],0)</f>
        <v>0</v>
      </c>
      <c r="Y49" s="11">
        <f>SUMIFS(SalesByUTMDaily[google],SalesByUTMDaily[day],TableDailySummary[[#This Row],[Fecha]])</f>
        <v>0</v>
      </c>
      <c r="Z49" s="11">
        <f>_xlfn.XLOOKUP(TableDailySummary[[#This Row],[Fecha]],SummaryDaily[day],SummaryDaily[MetaAdsOperation.spend],0)</f>
        <v>0</v>
      </c>
      <c r="AA49" s="11">
        <f>SUMIFS(SalesByUTMDaily[facebook],SalesByUTMDaily[day],TableDailySummary[[#This Row],[Fecha]])</f>
        <v>0</v>
      </c>
      <c r="AB49" s="11">
        <f>TableDailySummary[[#This Row],[Inversión google ads]]+TableDailySummary[[#This Row],[Inversión meta ads]]</f>
        <v>0</v>
      </c>
      <c r="AC49" s="11">
        <f>TableDailySummary[[#This Row],[Ventas google ads]]+TableDailySummary[[#This Row],[Ventas meta ads]]</f>
        <v>0</v>
      </c>
      <c r="AD49" s="14">
        <f>IFERROR(TableDailySummary[[#This Row],[Ventas publicidad]]/TableDailySummary[[#This Row],[Inversión publicidad]],0)</f>
        <v>0</v>
      </c>
      <c r="AE49" s="14">
        <f>IFERROR(TableDailySummary[[#This Row],[Ventas primer cliente]]/TableDailySummary[[#This Row],[Inversión publicidad]],0)</f>
        <v>0</v>
      </c>
      <c r="AF49" s="14"/>
      <c r="AG49" s="11"/>
      <c r="AM49" s="11">
        <f>_xlfn.XLOOKUP(TableDailySummary[[#This Row],[Fecha]],SummaryDaily[day],SummaryDaily[net_sales_with_cost_recorded],0)</f>
        <v>0</v>
      </c>
      <c r="AN49" s="11">
        <f>_xlfn.XLOOKUP(TableDailySummary[[#This Row],[Fecha]],SummaryDaily[day],SummaryDaily[cost_of_goods_sold],0)</f>
        <v>0</v>
      </c>
      <c r="AO49" s="11">
        <f>_xlfn.XLOOKUP(TableDailySummary[[#This Row],[Fecha]],SummaryDaily[day],SummaryDaily[gross_profit],0)</f>
        <v>0</v>
      </c>
      <c r="AP49" s="18">
        <f>IFERROR(TableDailySummary[[#This Row],[Utilidad bruta]]/TableDailySummary[[#This Row],[Ventas netas con costo registrado]],0)</f>
        <v>0</v>
      </c>
    </row>
    <row r="50" spans="2:42" x14ac:dyDescent="0.2">
      <c r="B50" s="15" cm="1">
        <f t="array" ref="B50">ParamFechaInicioReporte + (ROW(TableDailySummary[#This Row]) - ROW(TableDailySummary[[#Headers],[Dia]]) - 1)</f>
        <v>44577</v>
      </c>
      <c r="C50" s="6">
        <f>TableDailySummary[[#This Row],[Dia]]</f>
        <v>44577</v>
      </c>
      <c r="D50" s="11">
        <f>_xlfn.XLOOKUP(TableDailySummary[[#This Row],[Fecha]],SummaryDaily[day],SummaryDaily[net_sales],0)</f>
        <v>0</v>
      </c>
      <c r="E50" s="11">
        <f>_xlfn.XLOOKUP(TableDailySummary[[#This Row],[Fecha]],SummaryDaily[day],SummaryDaily[orders],0)</f>
        <v>0</v>
      </c>
      <c r="F50" s="11">
        <f>_xlfn.XLOOKUP(TableDailySummary[[#This Row],[Fecha]],SummaryDaily[day],SummaryDaily[average_order_value],0)</f>
        <v>0</v>
      </c>
      <c r="G50" s="24" cm="1">
        <f t="array" ref="G50">_xlfn.XLOOKUP(TableDailySummary[[#This Row],[Fecha]]&amp;"Total site",ConversionRateByReferral[day]&amp;ConversionRateByReferral[referrer_source],ConversionRateByReferral[conversion_rate],0)</f>
        <v>0</v>
      </c>
      <c r="H50" s="11">
        <f>TableDailySummary[[#This Row],[Órden promedio totales]]*TableDailySummary[[#This Row],[CR totales]]</f>
        <v>0</v>
      </c>
      <c r="I50" s="11">
        <f>_xlfn.XLOOKUP(TableDailySummary[[#This Row],[Fecha]],SummaryDaily[day],SummaryDaily[new_net_sales],0)</f>
        <v>0</v>
      </c>
      <c r="J50" s="11">
        <f>_xlfn.XLOOKUP(TableDailySummary[[#This Row],[Fecha]],SummaryDaily[day],SummaryDaily[new_orders],0)</f>
        <v>0</v>
      </c>
      <c r="K50" s="11">
        <f>_xlfn.XLOOKUP(TableDailySummary[[#This Row],[Fecha]],SummaryDaily[day],SummaryDaily[new_average_order_value],0)</f>
        <v>0</v>
      </c>
      <c r="L50" s="11">
        <f>_xlfn.XLOOKUP(TableDailySummary[[#This Row],[Fecha]],SummaryDaily[day],SummaryDaily[Online Store_net_sales],0)</f>
        <v>0</v>
      </c>
      <c r="M50" s="11">
        <f>_xlfn.XLOOKUP(TableDailySummary[[#This Row],[Fecha]],SummaryDaily[day],SummaryDaily[Online Store_orders],0)</f>
        <v>0</v>
      </c>
      <c r="N50" s="11">
        <f>_xlfn.XLOOKUP(TableDailySummary[[#This Row],[Fecha]],SummaryDaily[day],SummaryDaily[Online Store_average_order_value],0)</f>
        <v>0</v>
      </c>
      <c r="O50" s="11">
        <f>_xlfn.XLOOKUP(TableDailySummary[[#This Row],[Fecha]],SummaryDaily[day],SummaryDaily[Tienda 81_net_sales],0)</f>
        <v>0</v>
      </c>
      <c r="P50" s="11">
        <f>_xlfn.XLOOKUP(TableDailySummary[[#This Row],[Fecha]],SummaryDaily[day],SummaryDaily[Tienda 81_orders],0)</f>
        <v>0</v>
      </c>
      <c r="Q50" s="11">
        <f>_xlfn.XLOOKUP(TableDailySummary[[#This Row],[Fecha]],SummaryDaily[day],SummaryDaily[Tienda 81_average_order_value],0)</f>
        <v>0</v>
      </c>
      <c r="R50" s="11">
        <f>_xlfn.XLOOKUP(TableDailySummary[[#This Row],[Fecha]],SummaryDaily[day],SummaryDaily[Rappi_net_sales],0)</f>
        <v>0</v>
      </c>
      <c r="S50" s="11">
        <f>_xlfn.XLOOKUP(TableDailySummary[[#This Row],[Fecha]],SummaryDaily[day],SummaryDaily[Rappi_orders],0)</f>
        <v>0</v>
      </c>
      <c r="T50" s="11">
        <f>_xlfn.XLOOKUP(TableDailySummary[[#This Row],[Fecha]],SummaryDaily[day],SummaryDaily[Rappi_average_order_value],0)</f>
        <v>0</v>
      </c>
      <c r="U50" s="11">
        <f>_xlfn.XLOOKUP(TableDailySummary[[#This Row],[Fecha]],SummaryDaily[day],SummaryDaily[Corporativo no tienda_net_sales],0)</f>
        <v>0</v>
      </c>
      <c r="V50" s="11">
        <f>_xlfn.XLOOKUP(TableDailySummary[[#This Row],[Fecha]],SummaryDaily[day],SummaryDaily[Corporativo no tienda_orders],0)</f>
        <v>0</v>
      </c>
      <c r="W50" s="11">
        <f>_xlfn.XLOOKUP(TableDailySummary[[#This Row],[Fecha]],SummaryDaily[day],SummaryDaily[Corporativo no tienda_average_order_value],0)</f>
        <v>0</v>
      </c>
      <c r="X50" s="11">
        <f>_xlfn.XLOOKUP(TableDailySummary[[#This Row],[Fecha]],SummaryDaily[day],SummaryDaily[GoogleAdsOperation.Cost],0)</f>
        <v>0</v>
      </c>
      <c r="Y50" s="11">
        <f>SUMIFS(SalesByUTMDaily[google],SalesByUTMDaily[day],TableDailySummary[[#This Row],[Fecha]])</f>
        <v>0</v>
      </c>
      <c r="Z50" s="11">
        <f>_xlfn.XLOOKUP(TableDailySummary[[#This Row],[Fecha]],SummaryDaily[day],SummaryDaily[MetaAdsOperation.spend],0)</f>
        <v>0</v>
      </c>
      <c r="AA50" s="11">
        <f>SUMIFS(SalesByUTMDaily[facebook],SalesByUTMDaily[day],TableDailySummary[[#This Row],[Fecha]])</f>
        <v>0</v>
      </c>
      <c r="AB50" s="11">
        <f>TableDailySummary[[#This Row],[Inversión google ads]]+TableDailySummary[[#This Row],[Inversión meta ads]]</f>
        <v>0</v>
      </c>
      <c r="AC50" s="11">
        <f>TableDailySummary[[#This Row],[Ventas google ads]]+TableDailySummary[[#This Row],[Ventas meta ads]]</f>
        <v>0</v>
      </c>
      <c r="AD50" s="14">
        <f>IFERROR(TableDailySummary[[#This Row],[Ventas publicidad]]/TableDailySummary[[#This Row],[Inversión publicidad]],0)</f>
        <v>0</v>
      </c>
      <c r="AE50" s="14">
        <f>IFERROR(TableDailySummary[[#This Row],[Ventas primer cliente]]/TableDailySummary[[#This Row],[Inversión publicidad]],0)</f>
        <v>0</v>
      </c>
      <c r="AF50" s="14"/>
      <c r="AG50" s="11"/>
      <c r="AM50" s="11">
        <f>_xlfn.XLOOKUP(TableDailySummary[[#This Row],[Fecha]],SummaryDaily[day],SummaryDaily[net_sales_with_cost_recorded],0)</f>
        <v>0</v>
      </c>
      <c r="AN50" s="11">
        <f>_xlfn.XLOOKUP(TableDailySummary[[#This Row],[Fecha]],SummaryDaily[day],SummaryDaily[cost_of_goods_sold],0)</f>
        <v>0</v>
      </c>
      <c r="AO50" s="11">
        <f>_xlfn.XLOOKUP(TableDailySummary[[#This Row],[Fecha]],SummaryDaily[day],SummaryDaily[gross_profit],0)</f>
        <v>0</v>
      </c>
      <c r="AP50" s="18">
        <f>IFERROR(TableDailySummary[[#This Row],[Utilidad bruta]]/TableDailySummary[[#This Row],[Ventas netas con costo registrado]],0)</f>
        <v>0</v>
      </c>
    </row>
    <row r="51" spans="2:42" x14ac:dyDescent="0.2">
      <c r="B51" s="15" cm="1">
        <f t="array" ref="B51">ParamFechaInicioReporte + (ROW(TableDailySummary[#This Row]) - ROW(TableDailySummary[[#Headers],[Dia]]) - 1)</f>
        <v>44578</v>
      </c>
      <c r="C51" s="6">
        <f>TableDailySummary[[#This Row],[Dia]]</f>
        <v>44578</v>
      </c>
      <c r="D51" s="11">
        <f>_xlfn.XLOOKUP(TableDailySummary[[#This Row],[Fecha]],SummaryDaily[day],SummaryDaily[net_sales],0)</f>
        <v>0</v>
      </c>
      <c r="E51" s="11">
        <f>_xlfn.XLOOKUP(TableDailySummary[[#This Row],[Fecha]],SummaryDaily[day],SummaryDaily[orders],0)</f>
        <v>0</v>
      </c>
      <c r="F51" s="11">
        <f>_xlfn.XLOOKUP(TableDailySummary[[#This Row],[Fecha]],SummaryDaily[day],SummaryDaily[average_order_value],0)</f>
        <v>0</v>
      </c>
      <c r="G51" s="24" cm="1">
        <f t="array" ref="G51">_xlfn.XLOOKUP(TableDailySummary[[#This Row],[Fecha]]&amp;"Total site",ConversionRateByReferral[day]&amp;ConversionRateByReferral[referrer_source],ConversionRateByReferral[conversion_rate],0)</f>
        <v>0</v>
      </c>
      <c r="H51" s="11">
        <f>TableDailySummary[[#This Row],[Órden promedio totales]]*TableDailySummary[[#This Row],[CR totales]]</f>
        <v>0</v>
      </c>
      <c r="I51" s="11">
        <f>_xlfn.XLOOKUP(TableDailySummary[[#This Row],[Fecha]],SummaryDaily[day],SummaryDaily[new_net_sales],0)</f>
        <v>0</v>
      </c>
      <c r="J51" s="11">
        <f>_xlfn.XLOOKUP(TableDailySummary[[#This Row],[Fecha]],SummaryDaily[day],SummaryDaily[new_orders],0)</f>
        <v>0</v>
      </c>
      <c r="K51" s="11">
        <f>_xlfn.XLOOKUP(TableDailySummary[[#This Row],[Fecha]],SummaryDaily[day],SummaryDaily[new_average_order_value],0)</f>
        <v>0</v>
      </c>
      <c r="L51" s="11">
        <f>_xlfn.XLOOKUP(TableDailySummary[[#This Row],[Fecha]],SummaryDaily[day],SummaryDaily[Online Store_net_sales],0)</f>
        <v>0</v>
      </c>
      <c r="M51" s="11">
        <f>_xlfn.XLOOKUP(TableDailySummary[[#This Row],[Fecha]],SummaryDaily[day],SummaryDaily[Online Store_orders],0)</f>
        <v>0</v>
      </c>
      <c r="N51" s="11">
        <f>_xlfn.XLOOKUP(TableDailySummary[[#This Row],[Fecha]],SummaryDaily[day],SummaryDaily[Online Store_average_order_value],0)</f>
        <v>0</v>
      </c>
      <c r="O51" s="11">
        <f>_xlfn.XLOOKUP(TableDailySummary[[#This Row],[Fecha]],SummaryDaily[day],SummaryDaily[Tienda 81_net_sales],0)</f>
        <v>0</v>
      </c>
      <c r="P51" s="11">
        <f>_xlfn.XLOOKUP(TableDailySummary[[#This Row],[Fecha]],SummaryDaily[day],SummaryDaily[Tienda 81_orders],0)</f>
        <v>0</v>
      </c>
      <c r="Q51" s="11">
        <f>_xlfn.XLOOKUP(TableDailySummary[[#This Row],[Fecha]],SummaryDaily[day],SummaryDaily[Tienda 81_average_order_value],0)</f>
        <v>0</v>
      </c>
      <c r="R51" s="11">
        <f>_xlfn.XLOOKUP(TableDailySummary[[#This Row],[Fecha]],SummaryDaily[day],SummaryDaily[Rappi_net_sales],0)</f>
        <v>0</v>
      </c>
      <c r="S51" s="11">
        <f>_xlfn.XLOOKUP(TableDailySummary[[#This Row],[Fecha]],SummaryDaily[day],SummaryDaily[Rappi_orders],0)</f>
        <v>0</v>
      </c>
      <c r="T51" s="11">
        <f>_xlfn.XLOOKUP(TableDailySummary[[#This Row],[Fecha]],SummaryDaily[day],SummaryDaily[Rappi_average_order_value],0)</f>
        <v>0</v>
      </c>
      <c r="U51" s="11">
        <f>_xlfn.XLOOKUP(TableDailySummary[[#This Row],[Fecha]],SummaryDaily[day],SummaryDaily[Corporativo no tienda_net_sales],0)</f>
        <v>0</v>
      </c>
      <c r="V51" s="11">
        <f>_xlfn.XLOOKUP(TableDailySummary[[#This Row],[Fecha]],SummaryDaily[day],SummaryDaily[Corporativo no tienda_orders],0)</f>
        <v>0</v>
      </c>
      <c r="W51" s="11">
        <f>_xlfn.XLOOKUP(TableDailySummary[[#This Row],[Fecha]],SummaryDaily[day],SummaryDaily[Corporativo no tienda_average_order_value],0)</f>
        <v>0</v>
      </c>
      <c r="X51" s="11">
        <f>_xlfn.XLOOKUP(TableDailySummary[[#This Row],[Fecha]],SummaryDaily[day],SummaryDaily[GoogleAdsOperation.Cost],0)</f>
        <v>0</v>
      </c>
      <c r="Y51" s="11">
        <f>SUMIFS(SalesByUTMDaily[google],SalesByUTMDaily[day],TableDailySummary[[#This Row],[Fecha]])</f>
        <v>0</v>
      </c>
      <c r="Z51" s="11">
        <f>_xlfn.XLOOKUP(TableDailySummary[[#This Row],[Fecha]],SummaryDaily[day],SummaryDaily[MetaAdsOperation.spend],0)</f>
        <v>0</v>
      </c>
      <c r="AA51" s="11">
        <f>SUMIFS(SalesByUTMDaily[facebook],SalesByUTMDaily[day],TableDailySummary[[#This Row],[Fecha]])</f>
        <v>0</v>
      </c>
      <c r="AB51" s="11">
        <f>TableDailySummary[[#This Row],[Inversión google ads]]+TableDailySummary[[#This Row],[Inversión meta ads]]</f>
        <v>0</v>
      </c>
      <c r="AC51" s="11">
        <f>TableDailySummary[[#This Row],[Ventas google ads]]+TableDailySummary[[#This Row],[Ventas meta ads]]</f>
        <v>0</v>
      </c>
      <c r="AD51" s="14">
        <f>IFERROR(TableDailySummary[[#This Row],[Ventas publicidad]]/TableDailySummary[[#This Row],[Inversión publicidad]],0)</f>
        <v>0</v>
      </c>
      <c r="AE51" s="14">
        <f>IFERROR(TableDailySummary[[#This Row],[Ventas primer cliente]]/TableDailySummary[[#This Row],[Inversión publicidad]],0)</f>
        <v>0</v>
      </c>
      <c r="AF51" s="14"/>
      <c r="AG51" s="11"/>
      <c r="AM51" s="11">
        <f>_xlfn.XLOOKUP(TableDailySummary[[#This Row],[Fecha]],SummaryDaily[day],SummaryDaily[net_sales_with_cost_recorded],0)</f>
        <v>0</v>
      </c>
      <c r="AN51" s="11">
        <f>_xlfn.XLOOKUP(TableDailySummary[[#This Row],[Fecha]],SummaryDaily[day],SummaryDaily[cost_of_goods_sold],0)</f>
        <v>0</v>
      </c>
      <c r="AO51" s="11">
        <f>_xlfn.XLOOKUP(TableDailySummary[[#This Row],[Fecha]],SummaryDaily[day],SummaryDaily[gross_profit],0)</f>
        <v>0</v>
      </c>
      <c r="AP51" s="18">
        <f>IFERROR(TableDailySummary[[#This Row],[Utilidad bruta]]/TableDailySummary[[#This Row],[Ventas netas con costo registrado]],0)</f>
        <v>0</v>
      </c>
    </row>
    <row r="52" spans="2:42" x14ac:dyDescent="0.2">
      <c r="B52" s="15" cm="1">
        <f t="array" ref="B52">ParamFechaInicioReporte + (ROW(TableDailySummary[#This Row]) - ROW(TableDailySummary[[#Headers],[Dia]]) - 1)</f>
        <v>44579</v>
      </c>
      <c r="C52" s="6">
        <f>TableDailySummary[[#This Row],[Dia]]</f>
        <v>44579</v>
      </c>
      <c r="D52" s="11">
        <f>_xlfn.XLOOKUP(TableDailySummary[[#This Row],[Fecha]],SummaryDaily[day],SummaryDaily[net_sales],0)</f>
        <v>0</v>
      </c>
      <c r="E52" s="11">
        <f>_xlfn.XLOOKUP(TableDailySummary[[#This Row],[Fecha]],SummaryDaily[day],SummaryDaily[orders],0)</f>
        <v>0</v>
      </c>
      <c r="F52" s="11">
        <f>_xlfn.XLOOKUP(TableDailySummary[[#This Row],[Fecha]],SummaryDaily[day],SummaryDaily[average_order_value],0)</f>
        <v>0</v>
      </c>
      <c r="G52" s="24" cm="1">
        <f t="array" ref="G52">_xlfn.XLOOKUP(TableDailySummary[[#This Row],[Fecha]]&amp;"Total site",ConversionRateByReferral[day]&amp;ConversionRateByReferral[referrer_source],ConversionRateByReferral[conversion_rate],0)</f>
        <v>0</v>
      </c>
      <c r="H52" s="11">
        <f>TableDailySummary[[#This Row],[Órden promedio totales]]*TableDailySummary[[#This Row],[CR totales]]</f>
        <v>0</v>
      </c>
      <c r="I52" s="11">
        <f>_xlfn.XLOOKUP(TableDailySummary[[#This Row],[Fecha]],SummaryDaily[day],SummaryDaily[new_net_sales],0)</f>
        <v>0</v>
      </c>
      <c r="J52" s="11">
        <f>_xlfn.XLOOKUP(TableDailySummary[[#This Row],[Fecha]],SummaryDaily[day],SummaryDaily[new_orders],0)</f>
        <v>0</v>
      </c>
      <c r="K52" s="11">
        <f>_xlfn.XLOOKUP(TableDailySummary[[#This Row],[Fecha]],SummaryDaily[day],SummaryDaily[new_average_order_value],0)</f>
        <v>0</v>
      </c>
      <c r="L52" s="11">
        <f>_xlfn.XLOOKUP(TableDailySummary[[#This Row],[Fecha]],SummaryDaily[day],SummaryDaily[Online Store_net_sales],0)</f>
        <v>0</v>
      </c>
      <c r="M52" s="11">
        <f>_xlfn.XLOOKUP(TableDailySummary[[#This Row],[Fecha]],SummaryDaily[day],SummaryDaily[Online Store_orders],0)</f>
        <v>0</v>
      </c>
      <c r="N52" s="11">
        <f>_xlfn.XLOOKUP(TableDailySummary[[#This Row],[Fecha]],SummaryDaily[day],SummaryDaily[Online Store_average_order_value],0)</f>
        <v>0</v>
      </c>
      <c r="O52" s="11">
        <f>_xlfn.XLOOKUP(TableDailySummary[[#This Row],[Fecha]],SummaryDaily[day],SummaryDaily[Tienda 81_net_sales],0)</f>
        <v>0</v>
      </c>
      <c r="P52" s="11">
        <f>_xlfn.XLOOKUP(TableDailySummary[[#This Row],[Fecha]],SummaryDaily[day],SummaryDaily[Tienda 81_orders],0)</f>
        <v>0</v>
      </c>
      <c r="Q52" s="11">
        <f>_xlfn.XLOOKUP(TableDailySummary[[#This Row],[Fecha]],SummaryDaily[day],SummaryDaily[Tienda 81_average_order_value],0)</f>
        <v>0</v>
      </c>
      <c r="R52" s="11">
        <f>_xlfn.XLOOKUP(TableDailySummary[[#This Row],[Fecha]],SummaryDaily[day],SummaryDaily[Rappi_net_sales],0)</f>
        <v>0</v>
      </c>
      <c r="S52" s="11">
        <f>_xlfn.XLOOKUP(TableDailySummary[[#This Row],[Fecha]],SummaryDaily[day],SummaryDaily[Rappi_orders],0)</f>
        <v>0</v>
      </c>
      <c r="T52" s="11">
        <f>_xlfn.XLOOKUP(TableDailySummary[[#This Row],[Fecha]],SummaryDaily[day],SummaryDaily[Rappi_average_order_value],0)</f>
        <v>0</v>
      </c>
      <c r="U52" s="11">
        <f>_xlfn.XLOOKUP(TableDailySummary[[#This Row],[Fecha]],SummaryDaily[day],SummaryDaily[Corporativo no tienda_net_sales],0)</f>
        <v>0</v>
      </c>
      <c r="V52" s="11">
        <f>_xlfn.XLOOKUP(TableDailySummary[[#This Row],[Fecha]],SummaryDaily[day],SummaryDaily[Corporativo no tienda_orders],0)</f>
        <v>0</v>
      </c>
      <c r="W52" s="11">
        <f>_xlfn.XLOOKUP(TableDailySummary[[#This Row],[Fecha]],SummaryDaily[day],SummaryDaily[Corporativo no tienda_average_order_value],0)</f>
        <v>0</v>
      </c>
      <c r="X52" s="11">
        <f>_xlfn.XLOOKUP(TableDailySummary[[#This Row],[Fecha]],SummaryDaily[day],SummaryDaily[GoogleAdsOperation.Cost],0)</f>
        <v>0</v>
      </c>
      <c r="Y52" s="11">
        <f>SUMIFS(SalesByUTMDaily[google],SalesByUTMDaily[day],TableDailySummary[[#This Row],[Fecha]])</f>
        <v>0</v>
      </c>
      <c r="Z52" s="11">
        <f>_xlfn.XLOOKUP(TableDailySummary[[#This Row],[Fecha]],SummaryDaily[day],SummaryDaily[MetaAdsOperation.spend],0)</f>
        <v>0</v>
      </c>
      <c r="AA52" s="11">
        <f>SUMIFS(SalesByUTMDaily[facebook],SalesByUTMDaily[day],TableDailySummary[[#This Row],[Fecha]])</f>
        <v>0</v>
      </c>
      <c r="AB52" s="11">
        <f>TableDailySummary[[#This Row],[Inversión google ads]]+TableDailySummary[[#This Row],[Inversión meta ads]]</f>
        <v>0</v>
      </c>
      <c r="AC52" s="11">
        <f>TableDailySummary[[#This Row],[Ventas google ads]]+TableDailySummary[[#This Row],[Ventas meta ads]]</f>
        <v>0</v>
      </c>
      <c r="AD52" s="14">
        <f>IFERROR(TableDailySummary[[#This Row],[Ventas publicidad]]/TableDailySummary[[#This Row],[Inversión publicidad]],0)</f>
        <v>0</v>
      </c>
      <c r="AE52" s="14">
        <f>IFERROR(TableDailySummary[[#This Row],[Ventas primer cliente]]/TableDailySummary[[#This Row],[Inversión publicidad]],0)</f>
        <v>0</v>
      </c>
      <c r="AF52" s="14"/>
      <c r="AG52" s="11"/>
      <c r="AM52" s="11">
        <f>_xlfn.XLOOKUP(TableDailySummary[[#This Row],[Fecha]],SummaryDaily[day],SummaryDaily[net_sales_with_cost_recorded],0)</f>
        <v>0</v>
      </c>
      <c r="AN52" s="11">
        <f>_xlfn.XLOOKUP(TableDailySummary[[#This Row],[Fecha]],SummaryDaily[day],SummaryDaily[cost_of_goods_sold],0)</f>
        <v>0</v>
      </c>
      <c r="AO52" s="11">
        <f>_xlfn.XLOOKUP(TableDailySummary[[#This Row],[Fecha]],SummaryDaily[day],SummaryDaily[gross_profit],0)</f>
        <v>0</v>
      </c>
      <c r="AP52" s="18">
        <f>IFERROR(TableDailySummary[[#This Row],[Utilidad bruta]]/TableDailySummary[[#This Row],[Ventas netas con costo registrado]],0)</f>
        <v>0</v>
      </c>
    </row>
    <row r="53" spans="2:42" x14ac:dyDescent="0.2">
      <c r="B53" s="15" cm="1">
        <f t="array" ref="B53">ParamFechaInicioReporte + (ROW(TableDailySummary[#This Row]) - ROW(TableDailySummary[[#Headers],[Dia]]) - 1)</f>
        <v>44580</v>
      </c>
      <c r="C53" s="6">
        <f>TableDailySummary[[#This Row],[Dia]]</f>
        <v>44580</v>
      </c>
      <c r="D53" s="11">
        <f>_xlfn.XLOOKUP(TableDailySummary[[#This Row],[Fecha]],SummaryDaily[day],SummaryDaily[net_sales],0)</f>
        <v>0</v>
      </c>
      <c r="E53" s="11">
        <f>_xlfn.XLOOKUP(TableDailySummary[[#This Row],[Fecha]],SummaryDaily[day],SummaryDaily[orders],0)</f>
        <v>0</v>
      </c>
      <c r="F53" s="11">
        <f>_xlfn.XLOOKUP(TableDailySummary[[#This Row],[Fecha]],SummaryDaily[day],SummaryDaily[average_order_value],0)</f>
        <v>0</v>
      </c>
      <c r="G53" s="24" cm="1">
        <f t="array" ref="G53">_xlfn.XLOOKUP(TableDailySummary[[#This Row],[Fecha]]&amp;"Total site",ConversionRateByReferral[day]&amp;ConversionRateByReferral[referrer_source],ConversionRateByReferral[conversion_rate],0)</f>
        <v>0</v>
      </c>
      <c r="H53" s="11">
        <f>TableDailySummary[[#This Row],[Órden promedio totales]]*TableDailySummary[[#This Row],[CR totales]]</f>
        <v>0</v>
      </c>
      <c r="I53" s="11">
        <f>_xlfn.XLOOKUP(TableDailySummary[[#This Row],[Fecha]],SummaryDaily[day],SummaryDaily[new_net_sales],0)</f>
        <v>0</v>
      </c>
      <c r="J53" s="11">
        <f>_xlfn.XLOOKUP(TableDailySummary[[#This Row],[Fecha]],SummaryDaily[day],SummaryDaily[new_orders],0)</f>
        <v>0</v>
      </c>
      <c r="K53" s="11">
        <f>_xlfn.XLOOKUP(TableDailySummary[[#This Row],[Fecha]],SummaryDaily[day],SummaryDaily[new_average_order_value],0)</f>
        <v>0</v>
      </c>
      <c r="L53" s="11">
        <f>_xlfn.XLOOKUP(TableDailySummary[[#This Row],[Fecha]],SummaryDaily[day],SummaryDaily[Online Store_net_sales],0)</f>
        <v>0</v>
      </c>
      <c r="M53" s="11">
        <f>_xlfn.XLOOKUP(TableDailySummary[[#This Row],[Fecha]],SummaryDaily[day],SummaryDaily[Online Store_orders],0)</f>
        <v>0</v>
      </c>
      <c r="N53" s="11">
        <f>_xlfn.XLOOKUP(TableDailySummary[[#This Row],[Fecha]],SummaryDaily[day],SummaryDaily[Online Store_average_order_value],0)</f>
        <v>0</v>
      </c>
      <c r="O53" s="11">
        <f>_xlfn.XLOOKUP(TableDailySummary[[#This Row],[Fecha]],SummaryDaily[day],SummaryDaily[Tienda 81_net_sales],0)</f>
        <v>0</v>
      </c>
      <c r="P53" s="11">
        <f>_xlfn.XLOOKUP(TableDailySummary[[#This Row],[Fecha]],SummaryDaily[day],SummaryDaily[Tienda 81_orders],0)</f>
        <v>0</v>
      </c>
      <c r="Q53" s="11">
        <f>_xlfn.XLOOKUP(TableDailySummary[[#This Row],[Fecha]],SummaryDaily[day],SummaryDaily[Tienda 81_average_order_value],0)</f>
        <v>0</v>
      </c>
      <c r="R53" s="11">
        <f>_xlfn.XLOOKUP(TableDailySummary[[#This Row],[Fecha]],SummaryDaily[day],SummaryDaily[Rappi_net_sales],0)</f>
        <v>0</v>
      </c>
      <c r="S53" s="11">
        <f>_xlfn.XLOOKUP(TableDailySummary[[#This Row],[Fecha]],SummaryDaily[day],SummaryDaily[Rappi_orders],0)</f>
        <v>0</v>
      </c>
      <c r="T53" s="11">
        <f>_xlfn.XLOOKUP(TableDailySummary[[#This Row],[Fecha]],SummaryDaily[day],SummaryDaily[Rappi_average_order_value],0)</f>
        <v>0</v>
      </c>
      <c r="U53" s="11">
        <f>_xlfn.XLOOKUP(TableDailySummary[[#This Row],[Fecha]],SummaryDaily[day],SummaryDaily[Corporativo no tienda_net_sales],0)</f>
        <v>0</v>
      </c>
      <c r="V53" s="11">
        <f>_xlfn.XLOOKUP(TableDailySummary[[#This Row],[Fecha]],SummaryDaily[day],SummaryDaily[Corporativo no tienda_orders],0)</f>
        <v>0</v>
      </c>
      <c r="W53" s="11">
        <f>_xlfn.XLOOKUP(TableDailySummary[[#This Row],[Fecha]],SummaryDaily[day],SummaryDaily[Corporativo no tienda_average_order_value],0)</f>
        <v>0</v>
      </c>
      <c r="X53" s="11">
        <f>_xlfn.XLOOKUP(TableDailySummary[[#This Row],[Fecha]],SummaryDaily[day],SummaryDaily[GoogleAdsOperation.Cost],0)</f>
        <v>0</v>
      </c>
      <c r="Y53" s="11">
        <f>SUMIFS(SalesByUTMDaily[google],SalesByUTMDaily[day],TableDailySummary[[#This Row],[Fecha]])</f>
        <v>0</v>
      </c>
      <c r="Z53" s="11">
        <f>_xlfn.XLOOKUP(TableDailySummary[[#This Row],[Fecha]],SummaryDaily[day],SummaryDaily[MetaAdsOperation.spend],0)</f>
        <v>0</v>
      </c>
      <c r="AA53" s="11">
        <f>SUMIFS(SalesByUTMDaily[facebook],SalesByUTMDaily[day],TableDailySummary[[#This Row],[Fecha]])</f>
        <v>0</v>
      </c>
      <c r="AB53" s="11">
        <f>TableDailySummary[[#This Row],[Inversión google ads]]+TableDailySummary[[#This Row],[Inversión meta ads]]</f>
        <v>0</v>
      </c>
      <c r="AC53" s="11">
        <f>TableDailySummary[[#This Row],[Ventas google ads]]+TableDailySummary[[#This Row],[Ventas meta ads]]</f>
        <v>0</v>
      </c>
      <c r="AD53" s="14">
        <f>IFERROR(TableDailySummary[[#This Row],[Ventas publicidad]]/TableDailySummary[[#This Row],[Inversión publicidad]],0)</f>
        <v>0</v>
      </c>
      <c r="AE53" s="14">
        <f>IFERROR(TableDailySummary[[#This Row],[Ventas primer cliente]]/TableDailySummary[[#This Row],[Inversión publicidad]],0)</f>
        <v>0</v>
      </c>
      <c r="AF53" s="14"/>
      <c r="AG53" s="11"/>
      <c r="AM53" s="11">
        <f>_xlfn.XLOOKUP(TableDailySummary[[#This Row],[Fecha]],SummaryDaily[day],SummaryDaily[net_sales_with_cost_recorded],0)</f>
        <v>0</v>
      </c>
      <c r="AN53" s="11">
        <f>_xlfn.XLOOKUP(TableDailySummary[[#This Row],[Fecha]],SummaryDaily[day],SummaryDaily[cost_of_goods_sold],0)</f>
        <v>0</v>
      </c>
      <c r="AO53" s="11">
        <f>_xlfn.XLOOKUP(TableDailySummary[[#This Row],[Fecha]],SummaryDaily[day],SummaryDaily[gross_profit],0)</f>
        <v>0</v>
      </c>
      <c r="AP53" s="18">
        <f>IFERROR(TableDailySummary[[#This Row],[Utilidad bruta]]/TableDailySummary[[#This Row],[Ventas netas con costo registrado]],0)</f>
        <v>0</v>
      </c>
    </row>
    <row r="54" spans="2:42" x14ac:dyDescent="0.2">
      <c r="B54" s="15" cm="1">
        <f t="array" ref="B54">ParamFechaInicioReporte + (ROW(TableDailySummary[#This Row]) - ROW(TableDailySummary[[#Headers],[Dia]]) - 1)</f>
        <v>44581</v>
      </c>
      <c r="C54" s="6">
        <f>TableDailySummary[[#This Row],[Dia]]</f>
        <v>44581</v>
      </c>
      <c r="D54" s="11">
        <f>_xlfn.XLOOKUP(TableDailySummary[[#This Row],[Fecha]],SummaryDaily[day],SummaryDaily[net_sales],0)</f>
        <v>0</v>
      </c>
      <c r="E54" s="11">
        <f>_xlfn.XLOOKUP(TableDailySummary[[#This Row],[Fecha]],SummaryDaily[day],SummaryDaily[orders],0)</f>
        <v>0</v>
      </c>
      <c r="F54" s="11">
        <f>_xlfn.XLOOKUP(TableDailySummary[[#This Row],[Fecha]],SummaryDaily[day],SummaryDaily[average_order_value],0)</f>
        <v>0</v>
      </c>
      <c r="G54" s="24" cm="1">
        <f t="array" ref="G54">_xlfn.XLOOKUP(TableDailySummary[[#This Row],[Fecha]]&amp;"Total site",ConversionRateByReferral[day]&amp;ConversionRateByReferral[referrer_source],ConversionRateByReferral[conversion_rate],0)</f>
        <v>0</v>
      </c>
      <c r="H54" s="11">
        <f>TableDailySummary[[#This Row],[Órden promedio totales]]*TableDailySummary[[#This Row],[CR totales]]</f>
        <v>0</v>
      </c>
      <c r="I54" s="11">
        <f>_xlfn.XLOOKUP(TableDailySummary[[#This Row],[Fecha]],SummaryDaily[day],SummaryDaily[new_net_sales],0)</f>
        <v>0</v>
      </c>
      <c r="J54" s="11">
        <f>_xlfn.XLOOKUP(TableDailySummary[[#This Row],[Fecha]],SummaryDaily[day],SummaryDaily[new_orders],0)</f>
        <v>0</v>
      </c>
      <c r="K54" s="11">
        <f>_xlfn.XLOOKUP(TableDailySummary[[#This Row],[Fecha]],SummaryDaily[day],SummaryDaily[new_average_order_value],0)</f>
        <v>0</v>
      </c>
      <c r="L54" s="11">
        <f>_xlfn.XLOOKUP(TableDailySummary[[#This Row],[Fecha]],SummaryDaily[day],SummaryDaily[Online Store_net_sales],0)</f>
        <v>0</v>
      </c>
      <c r="M54" s="11">
        <f>_xlfn.XLOOKUP(TableDailySummary[[#This Row],[Fecha]],SummaryDaily[day],SummaryDaily[Online Store_orders],0)</f>
        <v>0</v>
      </c>
      <c r="N54" s="11">
        <f>_xlfn.XLOOKUP(TableDailySummary[[#This Row],[Fecha]],SummaryDaily[day],SummaryDaily[Online Store_average_order_value],0)</f>
        <v>0</v>
      </c>
      <c r="O54" s="11">
        <f>_xlfn.XLOOKUP(TableDailySummary[[#This Row],[Fecha]],SummaryDaily[day],SummaryDaily[Tienda 81_net_sales],0)</f>
        <v>0</v>
      </c>
      <c r="P54" s="11">
        <f>_xlfn.XLOOKUP(TableDailySummary[[#This Row],[Fecha]],SummaryDaily[day],SummaryDaily[Tienda 81_orders],0)</f>
        <v>0</v>
      </c>
      <c r="Q54" s="11">
        <f>_xlfn.XLOOKUP(TableDailySummary[[#This Row],[Fecha]],SummaryDaily[day],SummaryDaily[Tienda 81_average_order_value],0)</f>
        <v>0</v>
      </c>
      <c r="R54" s="11">
        <f>_xlfn.XLOOKUP(TableDailySummary[[#This Row],[Fecha]],SummaryDaily[day],SummaryDaily[Rappi_net_sales],0)</f>
        <v>0</v>
      </c>
      <c r="S54" s="11">
        <f>_xlfn.XLOOKUP(TableDailySummary[[#This Row],[Fecha]],SummaryDaily[day],SummaryDaily[Rappi_orders],0)</f>
        <v>0</v>
      </c>
      <c r="T54" s="11">
        <f>_xlfn.XLOOKUP(TableDailySummary[[#This Row],[Fecha]],SummaryDaily[day],SummaryDaily[Rappi_average_order_value],0)</f>
        <v>0</v>
      </c>
      <c r="U54" s="11">
        <f>_xlfn.XLOOKUP(TableDailySummary[[#This Row],[Fecha]],SummaryDaily[day],SummaryDaily[Corporativo no tienda_net_sales],0)</f>
        <v>0</v>
      </c>
      <c r="V54" s="11">
        <f>_xlfn.XLOOKUP(TableDailySummary[[#This Row],[Fecha]],SummaryDaily[day],SummaryDaily[Corporativo no tienda_orders],0)</f>
        <v>0</v>
      </c>
      <c r="W54" s="11">
        <f>_xlfn.XLOOKUP(TableDailySummary[[#This Row],[Fecha]],SummaryDaily[day],SummaryDaily[Corporativo no tienda_average_order_value],0)</f>
        <v>0</v>
      </c>
      <c r="X54" s="11">
        <f>_xlfn.XLOOKUP(TableDailySummary[[#This Row],[Fecha]],SummaryDaily[day],SummaryDaily[GoogleAdsOperation.Cost],0)</f>
        <v>0</v>
      </c>
      <c r="Y54" s="11">
        <f>SUMIFS(SalesByUTMDaily[google],SalesByUTMDaily[day],TableDailySummary[[#This Row],[Fecha]])</f>
        <v>0</v>
      </c>
      <c r="Z54" s="11">
        <f>_xlfn.XLOOKUP(TableDailySummary[[#This Row],[Fecha]],SummaryDaily[day],SummaryDaily[MetaAdsOperation.spend],0)</f>
        <v>0</v>
      </c>
      <c r="AA54" s="11">
        <f>SUMIFS(SalesByUTMDaily[facebook],SalesByUTMDaily[day],TableDailySummary[[#This Row],[Fecha]])</f>
        <v>0</v>
      </c>
      <c r="AB54" s="11">
        <f>TableDailySummary[[#This Row],[Inversión google ads]]+TableDailySummary[[#This Row],[Inversión meta ads]]</f>
        <v>0</v>
      </c>
      <c r="AC54" s="11">
        <f>TableDailySummary[[#This Row],[Ventas google ads]]+TableDailySummary[[#This Row],[Ventas meta ads]]</f>
        <v>0</v>
      </c>
      <c r="AD54" s="14">
        <f>IFERROR(TableDailySummary[[#This Row],[Ventas publicidad]]/TableDailySummary[[#This Row],[Inversión publicidad]],0)</f>
        <v>0</v>
      </c>
      <c r="AE54" s="14">
        <f>IFERROR(TableDailySummary[[#This Row],[Ventas primer cliente]]/TableDailySummary[[#This Row],[Inversión publicidad]],0)</f>
        <v>0</v>
      </c>
      <c r="AF54" s="14"/>
      <c r="AG54" s="11"/>
      <c r="AM54" s="11">
        <f>_xlfn.XLOOKUP(TableDailySummary[[#This Row],[Fecha]],SummaryDaily[day],SummaryDaily[net_sales_with_cost_recorded],0)</f>
        <v>0</v>
      </c>
      <c r="AN54" s="11">
        <f>_xlfn.XLOOKUP(TableDailySummary[[#This Row],[Fecha]],SummaryDaily[day],SummaryDaily[cost_of_goods_sold],0)</f>
        <v>0</v>
      </c>
      <c r="AO54" s="11">
        <f>_xlfn.XLOOKUP(TableDailySummary[[#This Row],[Fecha]],SummaryDaily[day],SummaryDaily[gross_profit],0)</f>
        <v>0</v>
      </c>
      <c r="AP54" s="18">
        <f>IFERROR(TableDailySummary[[#This Row],[Utilidad bruta]]/TableDailySummary[[#This Row],[Ventas netas con costo registrado]],0)</f>
        <v>0</v>
      </c>
    </row>
    <row r="55" spans="2:42" x14ac:dyDescent="0.2">
      <c r="B55" s="15" cm="1">
        <f t="array" ref="B55">ParamFechaInicioReporte + (ROW(TableDailySummary[#This Row]) - ROW(TableDailySummary[[#Headers],[Dia]]) - 1)</f>
        <v>44582</v>
      </c>
      <c r="C55" s="6">
        <f>TableDailySummary[[#This Row],[Dia]]</f>
        <v>44582</v>
      </c>
      <c r="D55" s="11">
        <f>_xlfn.XLOOKUP(TableDailySummary[[#This Row],[Fecha]],SummaryDaily[day],SummaryDaily[net_sales],0)</f>
        <v>0</v>
      </c>
      <c r="E55" s="11">
        <f>_xlfn.XLOOKUP(TableDailySummary[[#This Row],[Fecha]],SummaryDaily[day],SummaryDaily[orders],0)</f>
        <v>0</v>
      </c>
      <c r="F55" s="11">
        <f>_xlfn.XLOOKUP(TableDailySummary[[#This Row],[Fecha]],SummaryDaily[day],SummaryDaily[average_order_value],0)</f>
        <v>0</v>
      </c>
      <c r="G55" s="24" cm="1">
        <f t="array" ref="G55">_xlfn.XLOOKUP(TableDailySummary[[#This Row],[Fecha]]&amp;"Total site",ConversionRateByReferral[day]&amp;ConversionRateByReferral[referrer_source],ConversionRateByReferral[conversion_rate],0)</f>
        <v>0</v>
      </c>
      <c r="H55" s="11">
        <f>TableDailySummary[[#This Row],[Órden promedio totales]]*TableDailySummary[[#This Row],[CR totales]]</f>
        <v>0</v>
      </c>
      <c r="I55" s="11">
        <f>_xlfn.XLOOKUP(TableDailySummary[[#This Row],[Fecha]],SummaryDaily[day],SummaryDaily[new_net_sales],0)</f>
        <v>0</v>
      </c>
      <c r="J55" s="11">
        <f>_xlfn.XLOOKUP(TableDailySummary[[#This Row],[Fecha]],SummaryDaily[day],SummaryDaily[new_orders],0)</f>
        <v>0</v>
      </c>
      <c r="K55" s="11">
        <f>_xlfn.XLOOKUP(TableDailySummary[[#This Row],[Fecha]],SummaryDaily[day],SummaryDaily[new_average_order_value],0)</f>
        <v>0</v>
      </c>
      <c r="L55" s="11">
        <f>_xlfn.XLOOKUP(TableDailySummary[[#This Row],[Fecha]],SummaryDaily[day],SummaryDaily[Online Store_net_sales],0)</f>
        <v>0</v>
      </c>
      <c r="M55" s="11">
        <f>_xlfn.XLOOKUP(TableDailySummary[[#This Row],[Fecha]],SummaryDaily[day],SummaryDaily[Online Store_orders],0)</f>
        <v>0</v>
      </c>
      <c r="N55" s="11">
        <f>_xlfn.XLOOKUP(TableDailySummary[[#This Row],[Fecha]],SummaryDaily[day],SummaryDaily[Online Store_average_order_value],0)</f>
        <v>0</v>
      </c>
      <c r="O55" s="11">
        <f>_xlfn.XLOOKUP(TableDailySummary[[#This Row],[Fecha]],SummaryDaily[day],SummaryDaily[Tienda 81_net_sales],0)</f>
        <v>0</v>
      </c>
      <c r="P55" s="11">
        <f>_xlfn.XLOOKUP(TableDailySummary[[#This Row],[Fecha]],SummaryDaily[day],SummaryDaily[Tienda 81_orders],0)</f>
        <v>0</v>
      </c>
      <c r="Q55" s="11">
        <f>_xlfn.XLOOKUP(TableDailySummary[[#This Row],[Fecha]],SummaryDaily[day],SummaryDaily[Tienda 81_average_order_value],0)</f>
        <v>0</v>
      </c>
      <c r="R55" s="11">
        <f>_xlfn.XLOOKUP(TableDailySummary[[#This Row],[Fecha]],SummaryDaily[day],SummaryDaily[Rappi_net_sales],0)</f>
        <v>0</v>
      </c>
      <c r="S55" s="11">
        <f>_xlfn.XLOOKUP(TableDailySummary[[#This Row],[Fecha]],SummaryDaily[day],SummaryDaily[Rappi_orders],0)</f>
        <v>0</v>
      </c>
      <c r="T55" s="11">
        <f>_xlfn.XLOOKUP(TableDailySummary[[#This Row],[Fecha]],SummaryDaily[day],SummaryDaily[Rappi_average_order_value],0)</f>
        <v>0</v>
      </c>
      <c r="U55" s="11">
        <f>_xlfn.XLOOKUP(TableDailySummary[[#This Row],[Fecha]],SummaryDaily[day],SummaryDaily[Corporativo no tienda_net_sales],0)</f>
        <v>0</v>
      </c>
      <c r="V55" s="11">
        <f>_xlfn.XLOOKUP(TableDailySummary[[#This Row],[Fecha]],SummaryDaily[day],SummaryDaily[Corporativo no tienda_orders],0)</f>
        <v>0</v>
      </c>
      <c r="W55" s="11">
        <f>_xlfn.XLOOKUP(TableDailySummary[[#This Row],[Fecha]],SummaryDaily[day],SummaryDaily[Corporativo no tienda_average_order_value],0)</f>
        <v>0</v>
      </c>
      <c r="X55" s="11">
        <f>_xlfn.XLOOKUP(TableDailySummary[[#This Row],[Fecha]],SummaryDaily[day],SummaryDaily[GoogleAdsOperation.Cost],0)</f>
        <v>0</v>
      </c>
      <c r="Y55" s="11">
        <f>SUMIFS(SalesByUTMDaily[google],SalesByUTMDaily[day],TableDailySummary[[#This Row],[Fecha]])</f>
        <v>0</v>
      </c>
      <c r="Z55" s="11">
        <f>_xlfn.XLOOKUP(TableDailySummary[[#This Row],[Fecha]],SummaryDaily[day],SummaryDaily[MetaAdsOperation.spend],0)</f>
        <v>0</v>
      </c>
      <c r="AA55" s="11">
        <f>SUMIFS(SalesByUTMDaily[facebook],SalesByUTMDaily[day],TableDailySummary[[#This Row],[Fecha]])</f>
        <v>0</v>
      </c>
      <c r="AB55" s="11">
        <f>TableDailySummary[[#This Row],[Inversión google ads]]+TableDailySummary[[#This Row],[Inversión meta ads]]</f>
        <v>0</v>
      </c>
      <c r="AC55" s="11">
        <f>TableDailySummary[[#This Row],[Ventas google ads]]+TableDailySummary[[#This Row],[Ventas meta ads]]</f>
        <v>0</v>
      </c>
      <c r="AD55" s="14">
        <f>IFERROR(TableDailySummary[[#This Row],[Ventas publicidad]]/TableDailySummary[[#This Row],[Inversión publicidad]],0)</f>
        <v>0</v>
      </c>
      <c r="AE55" s="14">
        <f>IFERROR(TableDailySummary[[#This Row],[Ventas primer cliente]]/TableDailySummary[[#This Row],[Inversión publicidad]],0)</f>
        <v>0</v>
      </c>
      <c r="AF55" s="14"/>
      <c r="AG55" s="11"/>
      <c r="AM55" s="11">
        <f>_xlfn.XLOOKUP(TableDailySummary[[#This Row],[Fecha]],SummaryDaily[day],SummaryDaily[net_sales_with_cost_recorded],0)</f>
        <v>0</v>
      </c>
      <c r="AN55" s="11">
        <f>_xlfn.XLOOKUP(TableDailySummary[[#This Row],[Fecha]],SummaryDaily[day],SummaryDaily[cost_of_goods_sold],0)</f>
        <v>0</v>
      </c>
      <c r="AO55" s="11">
        <f>_xlfn.XLOOKUP(TableDailySummary[[#This Row],[Fecha]],SummaryDaily[day],SummaryDaily[gross_profit],0)</f>
        <v>0</v>
      </c>
      <c r="AP55" s="18">
        <f>IFERROR(TableDailySummary[[#This Row],[Utilidad bruta]]/TableDailySummary[[#This Row],[Ventas netas con costo registrado]],0)</f>
        <v>0</v>
      </c>
    </row>
    <row r="56" spans="2:42" x14ac:dyDescent="0.2">
      <c r="B56" s="15" cm="1">
        <f t="array" ref="B56">ParamFechaInicioReporte + (ROW(TableDailySummary[#This Row]) - ROW(TableDailySummary[[#Headers],[Dia]]) - 1)</f>
        <v>44583</v>
      </c>
      <c r="C56" s="6">
        <f>TableDailySummary[[#This Row],[Dia]]</f>
        <v>44583</v>
      </c>
      <c r="D56" s="11">
        <f>_xlfn.XLOOKUP(TableDailySummary[[#This Row],[Fecha]],SummaryDaily[day],SummaryDaily[net_sales],0)</f>
        <v>0</v>
      </c>
      <c r="E56" s="11">
        <f>_xlfn.XLOOKUP(TableDailySummary[[#This Row],[Fecha]],SummaryDaily[day],SummaryDaily[orders],0)</f>
        <v>0</v>
      </c>
      <c r="F56" s="11">
        <f>_xlfn.XLOOKUP(TableDailySummary[[#This Row],[Fecha]],SummaryDaily[day],SummaryDaily[average_order_value],0)</f>
        <v>0</v>
      </c>
      <c r="G56" s="24" cm="1">
        <f t="array" ref="G56">_xlfn.XLOOKUP(TableDailySummary[[#This Row],[Fecha]]&amp;"Total site",ConversionRateByReferral[day]&amp;ConversionRateByReferral[referrer_source],ConversionRateByReferral[conversion_rate],0)</f>
        <v>0</v>
      </c>
      <c r="H56" s="11">
        <f>TableDailySummary[[#This Row],[Órden promedio totales]]*TableDailySummary[[#This Row],[CR totales]]</f>
        <v>0</v>
      </c>
      <c r="I56" s="11">
        <f>_xlfn.XLOOKUP(TableDailySummary[[#This Row],[Fecha]],SummaryDaily[day],SummaryDaily[new_net_sales],0)</f>
        <v>0</v>
      </c>
      <c r="J56" s="11">
        <f>_xlfn.XLOOKUP(TableDailySummary[[#This Row],[Fecha]],SummaryDaily[day],SummaryDaily[new_orders],0)</f>
        <v>0</v>
      </c>
      <c r="K56" s="11">
        <f>_xlfn.XLOOKUP(TableDailySummary[[#This Row],[Fecha]],SummaryDaily[day],SummaryDaily[new_average_order_value],0)</f>
        <v>0</v>
      </c>
      <c r="L56" s="11">
        <f>_xlfn.XLOOKUP(TableDailySummary[[#This Row],[Fecha]],SummaryDaily[day],SummaryDaily[Online Store_net_sales],0)</f>
        <v>0</v>
      </c>
      <c r="M56" s="11">
        <f>_xlfn.XLOOKUP(TableDailySummary[[#This Row],[Fecha]],SummaryDaily[day],SummaryDaily[Online Store_orders],0)</f>
        <v>0</v>
      </c>
      <c r="N56" s="11">
        <f>_xlfn.XLOOKUP(TableDailySummary[[#This Row],[Fecha]],SummaryDaily[day],SummaryDaily[Online Store_average_order_value],0)</f>
        <v>0</v>
      </c>
      <c r="O56" s="11">
        <f>_xlfn.XLOOKUP(TableDailySummary[[#This Row],[Fecha]],SummaryDaily[day],SummaryDaily[Tienda 81_net_sales],0)</f>
        <v>0</v>
      </c>
      <c r="P56" s="11">
        <f>_xlfn.XLOOKUP(TableDailySummary[[#This Row],[Fecha]],SummaryDaily[day],SummaryDaily[Tienda 81_orders],0)</f>
        <v>0</v>
      </c>
      <c r="Q56" s="11">
        <f>_xlfn.XLOOKUP(TableDailySummary[[#This Row],[Fecha]],SummaryDaily[day],SummaryDaily[Tienda 81_average_order_value],0)</f>
        <v>0</v>
      </c>
      <c r="R56" s="11">
        <f>_xlfn.XLOOKUP(TableDailySummary[[#This Row],[Fecha]],SummaryDaily[day],SummaryDaily[Rappi_net_sales],0)</f>
        <v>0</v>
      </c>
      <c r="S56" s="11">
        <f>_xlfn.XLOOKUP(TableDailySummary[[#This Row],[Fecha]],SummaryDaily[day],SummaryDaily[Rappi_orders],0)</f>
        <v>0</v>
      </c>
      <c r="T56" s="11">
        <f>_xlfn.XLOOKUP(TableDailySummary[[#This Row],[Fecha]],SummaryDaily[day],SummaryDaily[Rappi_average_order_value],0)</f>
        <v>0</v>
      </c>
      <c r="U56" s="11">
        <f>_xlfn.XLOOKUP(TableDailySummary[[#This Row],[Fecha]],SummaryDaily[day],SummaryDaily[Corporativo no tienda_net_sales],0)</f>
        <v>0</v>
      </c>
      <c r="V56" s="11">
        <f>_xlfn.XLOOKUP(TableDailySummary[[#This Row],[Fecha]],SummaryDaily[day],SummaryDaily[Corporativo no tienda_orders],0)</f>
        <v>0</v>
      </c>
      <c r="W56" s="11">
        <f>_xlfn.XLOOKUP(TableDailySummary[[#This Row],[Fecha]],SummaryDaily[day],SummaryDaily[Corporativo no tienda_average_order_value],0)</f>
        <v>0</v>
      </c>
      <c r="X56" s="11">
        <f>_xlfn.XLOOKUP(TableDailySummary[[#This Row],[Fecha]],SummaryDaily[day],SummaryDaily[GoogleAdsOperation.Cost],0)</f>
        <v>0</v>
      </c>
      <c r="Y56" s="11">
        <f>SUMIFS(SalesByUTMDaily[google],SalesByUTMDaily[day],TableDailySummary[[#This Row],[Fecha]])</f>
        <v>0</v>
      </c>
      <c r="Z56" s="11">
        <f>_xlfn.XLOOKUP(TableDailySummary[[#This Row],[Fecha]],SummaryDaily[day],SummaryDaily[MetaAdsOperation.spend],0)</f>
        <v>0</v>
      </c>
      <c r="AA56" s="11">
        <f>SUMIFS(SalesByUTMDaily[facebook],SalesByUTMDaily[day],TableDailySummary[[#This Row],[Fecha]])</f>
        <v>0</v>
      </c>
      <c r="AB56" s="11">
        <f>TableDailySummary[[#This Row],[Inversión google ads]]+TableDailySummary[[#This Row],[Inversión meta ads]]</f>
        <v>0</v>
      </c>
      <c r="AC56" s="11">
        <f>TableDailySummary[[#This Row],[Ventas google ads]]+TableDailySummary[[#This Row],[Ventas meta ads]]</f>
        <v>0</v>
      </c>
      <c r="AD56" s="14">
        <f>IFERROR(TableDailySummary[[#This Row],[Ventas publicidad]]/TableDailySummary[[#This Row],[Inversión publicidad]],0)</f>
        <v>0</v>
      </c>
      <c r="AE56" s="14">
        <f>IFERROR(TableDailySummary[[#This Row],[Ventas primer cliente]]/TableDailySummary[[#This Row],[Inversión publicidad]],0)</f>
        <v>0</v>
      </c>
      <c r="AF56" s="14"/>
      <c r="AG56" s="11"/>
      <c r="AM56" s="11">
        <f>_xlfn.XLOOKUP(TableDailySummary[[#This Row],[Fecha]],SummaryDaily[day],SummaryDaily[net_sales_with_cost_recorded],0)</f>
        <v>0</v>
      </c>
      <c r="AN56" s="11">
        <f>_xlfn.XLOOKUP(TableDailySummary[[#This Row],[Fecha]],SummaryDaily[day],SummaryDaily[cost_of_goods_sold],0)</f>
        <v>0</v>
      </c>
      <c r="AO56" s="11">
        <f>_xlfn.XLOOKUP(TableDailySummary[[#This Row],[Fecha]],SummaryDaily[day],SummaryDaily[gross_profit],0)</f>
        <v>0</v>
      </c>
      <c r="AP56" s="18">
        <f>IFERROR(TableDailySummary[[#This Row],[Utilidad bruta]]/TableDailySummary[[#This Row],[Ventas netas con costo registrado]],0)</f>
        <v>0</v>
      </c>
    </row>
    <row r="57" spans="2:42" x14ac:dyDescent="0.2">
      <c r="B57" s="15" cm="1">
        <f t="array" ref="B57">ParamFechaInicioReporte + (ROW(TableDailySummary[#This Row]) - ROW(TableDailySummary[[#Headers],[Dia]]) - 1)</f>
        <v>44584</v>
      </c>
      <c r="C57" s="6">
        <f>TableDailySummary[[#This Row],[Dia]]</f>
        <v>44584</v>
      </c>
      <c r="D57" s="11">
        <f>_xlfn.XLOOKUP(TableDailySummary[[#This Row],[Fecha]],SummaryDaily[day],SummaryDaily[net_sales],0)</f>
        <v>0</v>
      </c>
      <c r="E57" s="11">
        <f>_xlfn.XLOOKUP(TableDailySummary[[#This Row],[Fecha]],SummaryDaily[day],SummaryDaily[orders],0)</f>
        <v>0</v>
      </c>
      <c r="F57" s="11">
        <f>_xlfn.XLOOKUP(TableDailySummary[[#This Row],[Fecha]],SummaryDaily[day],SummaryDaily[average_order_value],0)</f>
        <v>0</v>
      </c>
      <c r="G57" s="24" cm="1">
        <f t="array" ref="G57">_xlfn.XLOOKUP(TableDailySummary[[#This Row],[Fecha]]&amp;"Total site",ConversionRateByReferral[day]&amp;ConversionRateByReferral[referrer_source],ConversionRateByReferral[conversion_rate],0)</f>
        <v>0</v>
      </c>
      <c r="H57" s="11">
        <f>TableDailySummary[[#This Row],[Órden promedio totales]]*TableDailySummary[[#This Row],[CR totales]]</f>
        <v>0</v>
      </c>
      <c r="I57" s="11">
        <f>_xlfn.XLOOKUP(TableDailySummary[[#This Row],[Fecha]],SummaryDaily[day],SummaryDaily[new_net_sales],0)</f>
        <v>0</v>
      </c>
      <c r="J57" s="11">
        <f>_xlfn.XLOOKUP(TableDailySummary[[#This Row],[Fecha]],SummaryDaily[day],SummaryDaily[new_orders],0)</f>
        <v>0</v>
      </c>
      <c r="K57" s="11">
        <f>_xlfn.XLOOKUP(TableDailySummary[[#This Row],[Fecha]],SummaryDaily[day],SummaryDaily[new_average_order_value],0)</f>
        <v>0</v>
      </c>
      <c r="L57" s="11">
        <f>_xlfn.XLOOKUP(TableDailySummary[[#This Row],[Fecha]],SummaryDaily[day],SummaryDaily[Online Store_net_sales],0)</f>
        <v>0</v>
      </c>
      <c r="M57" s="11">
        <f>_xlfn.XLOOKUP(TableDailySummary[[#This Row],[Fecha]],SummaryDaily[day],SummaryDaily[Online Store_orders],0)</f>
        <v>0</v>
      </c>
      <c r="N57" s="11">
        <f>_xlfn.XLOOKUP(TableDailySummary[[#This Row],[Fecha]],SummaryDaily[day],SummaryDaily[Online Store_average_order_value],0)</f>
        <v>0</v>
      </c>
      <c r="O57" s="11">
        <f>_xlfn.XLOOKUP(TableDailySummary[[#This Row],[Fecha]],SummaryDaily[day],SummaryDaily[Tienda 81_net_sales],0)</f>
        <v>0</v>
      </c>
      <c r="P57" s="11">
        <f>_xlfn.XLOOKUP(TableDailySummary[[#This Row],[Fecha]],SummaryDaily[day],SummaryDaily[Tienda 81_orders],0)</f>
        <v>0</v>
      </c>
      <c r="Q57" s="11">
        <f>_xlfn.XLOOKUP(TableDailySummary[[#This Row],[Fecha]],SummaryDaily[day],SummaryDaily[Tienda 81_average_order_value],0)</f>
        <v>0</v>
      </c>
      <c r="R57" s="11">
        <f>_xlfn.XLOOKUP(TableDailySummary[[#This Row],[Fecha]],SummaryDaily[day],SummaryDaily[Rappi_net_sales],0)</f>
        <v>0</v>
      </c>
      <c r="S57" s="11">
        <f>_xlfn.XLOOKUP(TableDailySummary[[#This Row],[Fecha]],SummaryDaily[day],SummaryDaily[Rappi_orders],0)</f>
        <v>0</v>
      </c>
      <c r="T57" s="11">
        <f>_xlfn.XLOOKUP(TableDailySummary[[#This Row],[Fecha]],SummaryDaily[day],SummaryDaily[Rappi_average_order_value],0)</f>
        <v>0</v>
      </c>
      <c r="U57" s="11">
        <f>_xlfn.XLOOKUP(TableDailySummary[[#This Row],[Fecha]],SummaryDaily[day],SummaryDaily[Corporativo no tienda_net_sales],0)</f>
        <v>0</v>
      </c>
      <c r="V57" s="11">
        <f>_xlfn.XLOOKUP(TableDailySummary[[#This Row],[Fecha]],SummaryDaily[day],SummaryDaily[Corporativo no tienda_orders],0)</f>
        <v>0</v>
      </c>
      <c r="W57" s="11">
        <f>_xlfn.XLOOKUP(TableDailySummary[[#This Row],[Fecha]],SummaryDaily[day],SummaryDaily[Corporativo no tienda_average_order_value],0)</f>
        <v>0</v>
      </c>
      <c r="X57" s="11">
        <f>_xlfn.XLOOKUP(TableDailySummary[[#This Row],[Fecha]],SummaryDaily[day],SummaryDaily[GoogleAdsOperation.Cost],0)</f>
        <v>0</v>
      </c>
      <c r="Y57" s="11">
        <f>SUMIFS(SalesByUTMDaily[google],SalesByUTMDaily[day],TableDailySummary[[#This Row],[Fecha]])</f>
        <v>0</v>
      </c>
      <c r="Z57" s="11">
        <f>_xlfn.XLOOKUP(TableDailySummary[[#This Row],[Fecha]],SummaryDaily[day],SummaryDaily[MetaAdsOperation.spend],0)</f>
        <v>0</v>
      </c>
      <c r="AA57" s="11">
        <f>SUMIFS(SalesByUTMDaily[facebook],SalesByUTMDaily[day],TableDailySummary[[#This Row],[Fecha]])</f>
        <v>0</v>
      </c>
      <c r="AB57" s="11">
        <f>TableDailySummary[[#This Row],[Inversión google ads]]+TableDailySummary[[#This Row],[Inversión meta ads]]</f>
        <v>0</v>
      </c>
      <c r="AC57" s="11">
        <f>TableDailySummary[[#This Row],[Ventas google ads]]+TableDailySummary[[#This Row],[Ventas meta ads]]</f>
        <v>0</v>
      </c>
      <c r="AD57" s="14">
        <f>IFERROR(TableDailySummary[[#This Row],[Ventas publicidad]]/TableDailySummary[[#This Row],[Inversión publicidad]],0)</f>
        <v>0</v>
      </c>
      <c r="AE57" s="14">
        <f>IFERROR(TableDailySummary[[#This Row],[Ventas primer cliente]]/TableDailySummary[[#This Row],[Inversión publicidad]],0)</f>
        <v>0</v>
      </c>
      <c r="AF57" s="14"/>
      <c r="AG57" s="11"/>
      <c r="AM57" s="11">
        <f>_xlfn.XLOOKUP(TableDailySummary[[#This Row],[Fecha]],SummaryDaily[day],SummaryDaily[net_sales_with_cost_recorded],0)</f>
        <v>0</v>
      </c>
      <c r="AN57" s="11">
        <f>_xlfn.XLOOKUP(TableDailySummary[[#This Row],[Fecha]],SummaryDaily[day],SummaryDaily[cost_of_goods_sold],0)</f>
        <v>0</v>
      </c>
      <c r="AO57" s="11">
        <f>_xlfn.XLOOKUP(TableDailySummary[[#This Row],[Fecha]],SummaryDaily[day],SummaryDaily[gross_profit],0)</f>
        <v>0</v>
      </c>
      <c r="AP57" s="18">
        <f>IFERROR(TableDailySummary[[#This Row],[Utilidad bruta]]/TableDailySummary[[#This Row],[Ventas netas con costo registrado]],0)</f>
        <v>0</v>
      </c>
    </row>
    <row r="58" spans="2:42" x14ac:dyDescent="0.2">
      <c r="B58" s="15" cm="1">
        <f t="array" ref="B58">ParamFechaInicioReporte + (ROW(TableDailySummary[#This Row]) - ROW(TableDailySummary[[#Headers],[Dia]]) - 1)</f>
        <v>44585</v>
      </c>
      <c r="C58" s="6">
        <f>TableDailySummary[[#This Row],[Dia]]</f>
        <v>44585</v>
      </c>
      <c r="D58" s="11">
        <f>_xlfn.XLOOKUP(TableDailySummary[[#This Row],[Fecha]],SummaryDaily[day],SummaryDaily[net_sales],0)</f>
        <v>0</v>
      </c>
      <c r="E58" s="11">
        <f>_xlfn.XLOOKUP(TableDailySummary[[#This Row],[Fecha]],SummaryDaily[day],SummaryDaily[orders],0)</f>
        <v>0</v>
      </c>
      <c r="F58" s="11">
        <f>_xlfn.XLOOKUP(TableDailySummary[[#This Row],[Fecha]],SummaryDaily[day],SummaryDaily[average_order_value],0)</f>
        <v>0</v>
      </c>
      <c r="G58" s="24" cm="1">
        <f t="array" ref="G58">_xlfn.XLOOKUP(TableDailySummary[[#This Row],[Fecha]]&amp;"Total site",ConversionRateByReferral[day]&amp;ConversionRateByReferral[referrer_source],ConversionRateByReferral[conversion_rate],0)</f>
        <v>0</v>
      </c>
      <c r="H58" s="11">
        <f>TableDailySummary[[#This Row],[Órden promedio totales]]*TableDailySummary[[#This Row],[CR totales]]</f>
        <v>0</v>
      </c>
      <c r="I58" s="11">
        <f>_xlfn.XLOOKUP(TableDailySummary[[#This Row],[Fecha]],SummaryDaily[day],SummaryDaily[new_net_sales],0)</f>
        <v>0</v>
      </c>
      <c r="J58" s="11">
        <f>_xlfn.XLOOKUP(TableDailySummary[[#This Row],[Fecha]],SummaryDaily[day],SummaryDaily[new_orders],0)</f>
        <v>0</v>
      </c>
      <c r="K58" s="11">
        <f>_xlfn.XLOOKUP(TableDailySummary[[#This Row],[Fecha]],SummaryDaily[day],SummaryDaily[new_average_order_value],0)</f>
        <v>0</v>
      </c>
      <c r="L58" s="11">
        <f>_xlfn.XLOOKUP(TableDailySummary[[#This Row],[Fecha]],SummaryDaily[day],SummaryDaily[Online Store_net_sales],0)</f>
        <v>0</v>
      </c>
      <c r="M58" s="11">
        <f>_xlfn.XLOOKUP(TableDailySummary[[#This Row],[Fecha]],SummaryDaily[day],SummaryDaily[Online Store_orders],0)</f>
        <v>0</v>
      </c>
      <c r="N58" s="11">
        <f>_xlfn.XLOOKUP(TableDailySummary[[#This Row],[Fecha]],SummaryDaily[day],SummaryDaily[Online Store_average_order_value],0)</f>
        <v>0</v>
      </c>
      <c r="O58" s="11">
        <f>_xlfn.XLOOKUP(TableDailySummary[[#This Row],[Fecha]],SummaryDaily[day],SummaryDaily[Tienda 81_net_sales],0)</f>
        <v>0</v>
      </c>
      <c r="P58" s="11">
        <f>_xlfn.XLOOKUP(TableDailySummary[[#This Row],[Fecha]],SummaryDaily[day],SummaryDaily[Tienda 81_orders],0)</f>
        <v>0</v>
      </c>
      <c r="Q58" s="11">
        <f>_xlfn.XLOOKUP(TableDailySummary[[#This Row],[Fecha]],SummaryDaily[day],SummaryDaily[Tienda 81_average_order_value],0)</f>
        <v>0</v>
      </c>
      <c r="R58" s="11">
        <f>_xlfn.XLOOKUP(TableDailySummary[[#This Row],[Fecha]],SummaryDaily[day],SummaryDaily[Rappi_net_sales],0)</f>
        <v>0</v>
      </c>
      <c r="S58" s="11">
        <f>_xlfn.XLOOKUP(TableDailySummary[[#This Row],[Fecha]],SummaryDaily[day],SummaryDaily[Rappi_orders],0)</f>
        <v>0</v>
      </c>
      <c r="T58" s="11">
        <f>_xlfn.XLOOKUP(TableDailySummary[[#This Row],[Fecha]],SummaryDaily[day],SummaryDaily[Rappi_average_order_value],0)</f>
        <v>0</v>
      </c>
      <c r="U58" s="11">
        <f>_xlfn.XLOOKUP(TableDailySummary[[#This Row],[Fecha]],SummaryDaily[day],SummaryDaily[Corporativo no tienda_net_sales],0)</f>
        <v>0</v>
      </c>
      <c r="V58" s="11">
        <f>_xlfn.XLOOKUP(TableDailySummary[[#This Row],[Fecha]],SummaryDaily[day],SummaryDaily[Corporativo no tienda_orders],0)</f>
        <v>0</v>
      </c>
      <c r="W58" s="11">
        <f>_xlfn.XLOOKUP(TableDailySummary[[#This Row],[Fecha]],SummaryDaily[day],SummaryDaily[Corporativo no tienda_average_order_value],0)</f>
        <v>0</v>
      </c>
      <c r="X58" s="11">
        <f>_xlfn.XLOOKUP(TableDailySummary[[#This Row],[Fecha]],SummaryDaily[day],SummaryDaily[GoogleAdsOperation.Cost],0)</f>
        <v>0</v>
      </c>
      <c r="Y58" s="11">
        <f>SUMIFS(SalesByUTMDaily[google],SalesByUTMDaily[day],TableDailySummary[[#This Row],[Fecha]])</f>
        <v>0</v>
      </c>
      <c r="Z58" s="11">
        <f>_xlfn.XLOOKUP(TableDailySummary[[#This Row],[Fecha]],SummaryDaily[day],SummaryDaily[MetaAdsOperation.spend],0)</f>
        <v>0</v>
      </c>
      <c r="AA58" s="11">
        <f>SUMIFS(SalesByUTMDaily[facebook],SalesByUTMDaily[day],TableDailySummary[[#This Row],[Fecha]])</f>
        <v>0</v>
      </c>
      <c r="AB58" s="11">
        <f>TableDailySummary[[#This Row],[Inversión google ads]]+TableDailySummary[[#This Row],[Inversión meta ads]]</f>
        <v>0</v>
      </c>
      <c r="AC58" s="11">
        <f>TableDailySummary[[#This Row],[Ventas google ads]]+TableDailySummary[[#This Row],[Ventas meta ads]]</f>
        <v>0</v>
      </c>
      <c r="AD58" s="14">
        <f>IFERROR(TableDailySummary[[#This Row],[Ventas publicidad]]/TableDailySummary[[#This Row],[Inversión publicidad]],0)</f>
        <v>0</v>
      </c>
      <c r="AE58" s="14">
        <f>IFERROR(TableDailySummary[[#This Row],[Ventas primer cliente]]/TableDailySummary[[#This Row],[Inversión publicidad]],0)</f>
        <v>0</v>
      </c>
      <c r="AF58" s="14"/>
      <c r="AG58" s="11"/>
      <c r="AM58" s="11">
        <f>_xlfn.XLOOKUP(TableDailySummary[[#This Row],[Fecha]],SummaryDaily[day],SummaryDaily[net_sales_with_cost_recorded],0)</f>
        <v>0</v>
      </c>
      <c r="AN58" s="11">
        <f>_xlfn.XLOOKUP(TableDailySummary[[#This Row],[Fecha]],SummaryDaily[day],SummaryDaily[cost_of_goods_sold],0)</f>
        <v>0</v>
      </c>
      <c r="AO58" s="11">
        <f>_xlfn.XLOOKUP(TableDailySummary[[#This Row],[Fecha]],SummaryDaily[day],SummaryDaily[gross_profit],0)</f>
        <v>0</v>
      </c>
      <c r="AP58" s="18">
        <f>IFERROR(TableDailySummary[[#This Row],[Utilidad bruta]]/TableDailySummary[[#This Row],[Ventas netas con costo registrado]],0)</f>
        <v>0</v>
      </c>
    </row>
    <row r="59" spans="2:42" x14ac:dyDescent="0.2">
      <c r="B59" s="15" cm="1">
        <f t="array" ref="B59">ParamFechaInicioReporte + (ROW(TableDailySummary[#This Row]) - ROW(TableDailySummary[[#Headers],[Dia]]) - 1)</f>
        <v>44586</v>
      </c>
      <c r="C59" s="6">
        <f>TableDailySummary[[#This Row],[Dia]]</f>
        <v>44586</v>
      </c>
      <c r="D59" s="11">
        <f>_xlfn.XLOOKUP(TableDailySummary[[#This Row],[Fecha]],SummaryDaily[day],SummaryDaily[net_sales],0)</f>
        <v>0</v>
      </c>
      <c r="E59" s="11">
        <f>_xlfn.XLOOKUP(TableDailySummary[[#This Row],[Fecha]],SummaryDaily[day],SummaryDaily[orders],0)</f>
        <v>0</v>
      </c>
      <c r="F59" s="11">
        <f>_xlfn.XLOOKUP(TableDailySummary[[#This Row],[Fecha]],SummaryDaily[day],SummaryDaily[average_order_value],0)</f>
        <v>0</v>
      </c>
      <c r="G59" s="24" cm="1">
        <f t="array" ref="G59">_xlfn.XLOOKUP(TableDailySummary[[#This Row],[Fecha]]&amp;"Total site",ConversionRateByReferral[day]&amp;ConversionRateByReferral[referrer_source],ConversionRateByReferral[conversion_rate],0)</f>
        <v>0</v>
      </c>
      <c r="H59" s="11">
        <f>TableDailySummary[[#This Row],[Órden promedio totales]]*TableDailySummary[[#This Row],[CR totales]]</f>
        <v>0</v>
      </c>
      <c r="I59" s="11">
        <f>_xlfn.XLOOKUP(TableDailySummary[[#This Row],[Fecha]],SummaryDaily[day],SummaryDaily[new_net_sales],0)</f>
        <v>0</v>
      </c>
      <c r="J59" s="11">
        <f>_xlfn.XLOOKUP(TableDailySummary[[#This Row],[Fecha]],SummaryDaily[day],SummaryDaily[new_orders],0)</f>
        <v>0</v>
      </c>
      <c r="K59" s="11">
        <f>_xlfn.XLOOKUP(TableDailySummary[[#This Row],[Fecha]],SummaryDaily[day],SummaryDaily[new_average_order_value],0)</f>
        <v>0</v>
      </c>
      <c r="L59" s="11">
        <f>_xlfn.XLOOKUP(TableDailySummary[[#This Row],[Fecha]],SummaryDaily[day],SummaryDaily[Online Store_net_sales],0)</f>
        <v>0</v>
      </c>
      <c r="M59" s="11">
        <f>_xlfn.XLOOKUP(TableDailySummary[[#This Row],[Fecha]],SummaryDaily[day],SummaryDaily[Online Store_orders],0)</f>
        <v>0</v>
      </c>
      <c r="N59" s="11">
        <f>_xlfn.XLOOKUP(TableDailySummary[[#This Row],[Fecha]],SummaryDaily[day],SummaryDaily[Online Store_average_order_value],0)</f>
        <v>0</v>
      </c>
      <c r="O59" s="11">
        <f>_xlfn.XLOOKUP(TableDailySummary[[#This Row],[Fecha]],SummaryDaily[day],SummaryDaily[Tienda 81_net_sales],0)</f>
        <v>0</v>
      </c>
      <c r="P59" s="11">
        <f>_xlfn.XLOOKUP(TableDailySummary[[#This Row],[Fecha]],SummaryDaily[day],SummaryDaily[Tienda 81_orders],0)</f>
        <v>0</v>
      </c>
      <c r="Q59" s="11">
        <f>_xlfn.XLOOKUP(TableDailySummary[[#This Row],[Fecha]],SummaryDaily[day],SummaryDaily[Tienda 81_average_order_value],0)</f>
        <v>0</v>
      </c>
      <c r="R59" s="11">
        <f>_xlfn.XLOOKUP(TableDailySummary[[#This Row],[Fecha]],SummaryDaily[day],SummaryDaily[Rappi_net_sales],0)</f>
        <v>0</v>
      </c>
      <c r="S59" s="11">
        <f>_xlfn.XLOOKUP(TableDailySummary[[#This Row],[Fecha]],SummaryDaily[day],SummaryDaily[Rappi_orders],0)</f>
        <v>0</v>
      </c>
      <c r="T59" s="11">
        <f>_xlfn.XLOOKUP(TableDailySummary[[#This Row],[Fecha]],SummaryDaily[day],SummaryDaily[Rappi_average_order_value],0)</f>
        <v>0</v>
      </c>
      <c r="U59" s="11">
        <f>_xlfn.XLOOKUP(TableDailySummary[[#This Row],[Fecha]],SummaryDaily[day],SummaryDaily[Corporativo no tienda_net_sales],0)</f>
        <v>0</v>
      </c>
      <c r="V59" s="11">
        <f>_xlfn.XLOOKUP(TableDailySummary[[#This Row],[Fecha]],SummaryDaily[day],SummaryDaily[Corporativo no tienda_orders],0)</f>
        <v>0</v>
      </c>
      <c r="W59" s="11">
        <f>_xlfn.XLOOKUP(TableDailySummary[[#This Row],[Fecha]],SummaryDaily[day],SummaryDaily[Corporativo no tienda_average_order_value],0)</f>
        <v>0</v>
      </c>
      <c r="X59" s="11">
        <f>_xlfn.XLOOKUP(TableDailySummary[[#This Row],[Fecha]],SummaryDaily[day],SummaryDaily[GoogleAdsOperation.Cost],0)</f>
        <v>0</v>
      </c>
      <c r="Y59" s="11">
        <f>SUMIFS(SalesByUTMDaily[google],SalesByUTMDaily[day],TableDailySummary[[#This Row],[Fecha]])</f>
        <v>0</v>
      </c>
      <c r="Z59" s="11">
        <f>_xlfn.XLOOKUP(TableDailySummary[[#This Row],[Fecha]],SummaryDaily[day],SummaryDaily[MetaAdsOperation.spend],0)</f>
        <v>0</v>
      </c>
      <c r="AA59" s="11">
        <f>SUMIFS(SalesByUTMDaily[facebook],SalesByUTMDaily[day],TableDailySummary[[#This Row],[Fecha]])</f>
        <v>0</v>
      </c>
      <c r="AB59" s="11">
        <f>TableDailySummary[[#This Row],[Inversión google ads]]+TableDailySummary[[#This Row],[Inversión meta ads]]</f>
        <v>0</v>
      </c>
      <c r="AC59" s="11">
        <f>TableDailySummary[[#This Row],[Ventas google ads]]+TableDailySummary[[#This Row],[Ventas meta ads]]</f>
        <v>0</v>
      </c>
      <c r="AD59" s="14">
        <f>IFERROR(TableDailySummary[[#This Row],[Ventas publicidad]]/TableDailySummary[[#This Row],[Inversión publicidad]],0)</f>
        <v>0</v>
      </c>
      <c r="AE59" s="14">
        <f>IFERROR(TableDailySummary[[#This Row],[Ventas primer cliente]]/TableDailySummary[[#This Row],[Inversión publicidad]],0)</f>
        <v>0</v>
      </c>
      <c r="AF59" s="14"/>
      <c r="AG59" s="11"/>
      <c r="AM59" s="11">
        <f>_xlfn.XLOOKUP(TableDailySummary[[#This Row],[Fecha]],SummaryDaily[day],SummaryDaily[net_sales_with_cost_recorded],0)</f>
        <v>0</v>
      </c>
      <c r="AN59" s="11">
        <f>_xlfn.XLOOKUP(TableDailySummary[[#This Row],[Fecha]],SummaryDaily[day],SummaryDaily[cost_of_goods_sold],0)</f>
        <v>0</v>
      </c>
      <c r="AO59" s="11">
        <f>_xlfn.XLOOKUP(TableDailySummary[[#This Row],[Fecha]],SummaryDaily[day],SummaryDaily[gross_profit],0)</f>
        <v>0</v>
      </c>
      <c r="AP59" s="18">
        <f>IFERROR(TableDailySummary[[#This Row],[Utilidad bruta]]/TableDailySummary[[#This Row],[Ventas netas con costo registrado]],0)</f>
        <v>0</v>
      </c>
    </row>
    <row r="60" spans="2:42" x14ac:dyDescent="0.2">
      <c r="B60" s="15" cm="1">
        <f t="array" ref="B60">ParamFechaInicioReporte + (ROW(TableDailySummary[#This Row]) - ROW(TableDailySummary[[#Headers],[Dia]]) - 1)</f>
        <v>44587</v>
      </c>
      <c r="C60" s="6">
        <f>TableDailySummary[[#This Row],[Dia]]</f>
        <v>44587</v>
      </c>
      <c r="D60" s="11">
        <f>_xlfn.XLOOKUP(TableDailySummary[[#This Row],[Fecha]],SummaryDaily[day],SummaryDaily[net_sales],0)</f>
        <v>0</v>
      </c>
      <c r="E60" s="11">
        <f>_xlfn.XLOOKUP(TableDailySummary[[#This Row],[Fecha]],SummaryDaily[day],SummaryDaily[orders],0)</f>
        <v>0</v>
      </c>
      <c r="F60" s="11">
        <f>_xlfn.XLOOKUP(TableDailySummary[[#This Row],[Fecha]],SummaryDaily[day],SummaryDaily[average_order_value],0)</f>
        <v>0</v>
      </c>
      <c r="G60" s="24" cm="1">
        <f t="array" ref="G60">_xlfn.XLOOKUP(TableDailySummary[[#This Row],[Fecha]]&amp;"Total site",ConversionRateByReferral[day]&amp;ConversionRateByReferral[referrer_source],ConversionRateByReferral[conversion_rate],0)</f>
        <v>0</v>
      </c>
      <c r="H60" s="11">
        <f>TableDailySummary[[#This Row],[Órden promedio totales]]*TableDailySummary[[#This Row],[CR totales]]</f>
        <v>0</v>
      </c>
      <c r="I60" s="11">
        <f>_xlfn.XLOOKUP(TableDailySummary[[#This Row],[Fecha]],SummaryDaily[day],SummaryDaily[new_net_sales],0)</f>
        <v>0</v>
      </c>
      <c r="J60" s="11">
        <f>_xlfn.XLOOKUP(TableDailySummary[[#This Row],[Fecha]],SummaryDaily[day],SummaryDaily[new_orders],0)</f>
        <v>0</v>
      </c>
      <c r="K60" s="11">
        <f>_xlfn.XLOOKUP(TableDailySummary[[#This Row],[Fecha]],SummaryDaily[day],SummaryDaily[new_average_order_value],0)</f>
        <v>0</v>
      </c>
      <c r="L60" s="11">
        <f>_xlfn.XLOOKUP(TableDailySummary[[#This Row],[Fecha]],SummaryDaily[day],SummaryDaily[Online Store_net_sales],0)</f>
        <v>0</v>
      </c>
      <c r="M60" s="11">
        <f>_xlfn.XLOOKUP(TableDailySummary[[#This Row],[Fecha]],SummaryDaily[day],SummaryDaily[Online Store_orders],0)</f>
        <v>0</v>
      </c>
      <c r="N60" s="11">
        <f>_xlfn.XLOOKUP(TableDailySummary[[#This Row],[Fecha]],SummaryDaily[day],SummaryDaily[Online Store_average_order_value],0)</f>
        <v>0</v>
      </c>
      <c r="O60" s="11">
        <f>_xlfn.XLOOKUP(TableDailySummary[[#This Row],[Fecha]],SummaryDaily[day],SummaryDaily[Tienda 81_net_sales],0)</f>
        <v>0</v>
      </c>
      <c r="P60" s="11">
        <f>_xlfn.XLOOKUP(TableDailySummary[[#This Row],[Fecha]],SummaryDaily[day],SummaryDaily[Tienda 81_orders],0)</f>
        <v>0</v>
      </c>
      <c r="Q60" s="11">
        <f>_xlfn.XLOOKUP(TableDailySummary[[#This Row],[Fecha]],SummaryDaily[day],SummaryDaily[Tienda 81_average_order_value],0)</f>
        <v>0</v>
      </c>
      <c r="R60" s="11">
        <f>_xlfn.XLOOKUP(TableDailySummary[[#This Row],[Fecha]],SummaryDaily[day],SummaryDaily[Rappi_net_sales],0)</f>
        <v>0</v>
      </c>
      <c r="S60" s="11">
        <f>_xlfn.XLOOKUP(TableDailySummary[[#This Row],[Fecha]],SummaryDaily[day],SummaryDaily[Rappi_orders],0)</f>
        <v>0</v>
      </c>
      <c r="T60" s="11">
        <f>_xlfn.XLOOKUP(TableDailySummary[[#This Row],[Fecha]],SummaryDaily[day],SummaryDaily[Rappi_average_order_value],0)</f>
        <v>0</v>
      </c>
      <c r="U60" s="11">
        <f>_xlfn.XLOOKUP(TableDailySummary[[#This Row],[Fecha]],SummaryDaily[day],SummaryDaily[Corporativo no tienda_net_sales],0)</f>
        <v>0</v>
      </c>
      <c r="V60" s="11">
        <f>_xlfn.XLOOKUP(TableDailySummary[[#This Row],[Fecha]],SummaryDaily[day],SummaryDaily[Corporativo no tienda_orders],0)</f>
        <v>0</v>
      </c>
      <c r="W60" s="11">
        <f>_xlfn.XLOOKUP(TableDailySummary[[#This Row],[Fecha]],SummaryDaily[day],SummaryDaily[Corporativo no tienda_average_order_value],0)</f>
        <v>0</v>
      </c>
      <c r="X60" s="11">
        <f>_xlfn.XLOOKUP(TableDailySummary[[#This Row],[Fecha]],SummaryDaily[day],SummaryDaily[GoogleAdsOperation.Cost],0)</f>
        <v>0</v>
      </c>
      <c r="Y60" s="11">
        <f>SUMIFS(SalesByUTMDaily[google],SalesByUTMDaily[day],TableDailySummary[[#This Row],[Fecha]])</f>
        <v>0</v>
      </c>
      <c r="Z60" s="11">
        <f>_xlfn.XLOOKUP(TableDailySummary[[#This Row],[Fecha]],SummaryDaily[day],SummaryDaily[MetaAdsOperation.spend],0)</f>
        <v>0</v>
      </c>
      <c r="AA60" s="11">
        <f>SUMIFS(SalesByUTMDaily[facebook],SalesByUTMDaily[day],TableDailySummary[[#This Row],[Fecha]])</f>
        <v>0</v>
      </c>
      <c r="AB60" s="11">
        <f>TableDailySummary[[#This Row],[Inversión google ads]]+TableDailySummary[[#This Row],[Inversión meta ads]]</f>
        <v>0</v>
      </c>
      <c r="AC60" s="11">
        <f>TableDailySummary[[#This Row],[Ventas google ads]]+TableDailySummary[[#This Row],[Ventas meta ads]]</f>
        <v>0</v>
      </c>
      <c r="AD60" s="14">
        <f>IFERROR(TableDailySummary[[#This Row],[Ventas publicidad]]/TableDailySummary[[#This Row],[Inversión publicidad]],0)</f>
        <v>0</v>
      </c>
      <c r="AE60" s="14">
        <f>IFERROR(TableDailySummary[[#This Row],[Ventas primer cliente]]/TableDailySummary[[#This Row],[Inversión publicidad]],0)</f>
        <v>0</v>
      </c>
      <c r="AF60" s="14"/>
      <c r="AG60" s="11"/>
      <c r="AM60" s="11">
        <f>_xlfn.XLOOKUP(TableDailySummary[[#This Row],[Fecha]],SummaryDaily[day],SummaryDaily[net_sales_with_cost_recorded],0)</f>
        <v>0</v>
      </c>
      <c r="AN60" s="11">
        <f>_xlfn.XLOOKUP(TableDailySummary[[#This Row],[Fecha]],SummaryDaily[day],SummaryDaily[cost_of_goods_sold],0)</f>
        <v>0</v>
      </c>
      <c r="AO60" s="11">
        <f>_xlfn.XLOOKUP(TableDailySummary[[#This Row],[Fecha]],SummaryDaily[day],SummaryDaily[gross_profit],0)</f>
        <v>0</v>
      </c>
      <c r="AP60" s="18">
        <f>IFERROR(TableDailySummary[[#This Row],[Utilidad bruta]]/TableDailySummary[[#This Row],[Ventas netas con costo registrado]],0)</f>
        <v>0</v>
      </c>
    </row>
    <row r="61" spans="2:42" x14ac:dyDescent="0.2">
      <c r="B61" s="15" cm="1">
        <f t="array" ref="B61">ParamFechaInicioReporte + (ROW(TableDailySummary[#This Row]) - ROW(TableDailySummary[[#Headers],[Dia]]) - 1)</f>
        <v>44588</v>
      </c>
      <c r="C61" s="6">
        <f>TableDailySummary[[#This Row],[Dia]]</f>
        <v>44588</v>
      </c>
      <c r="D61" s="11">
        <f>_xlfn.XLOOKUP(TableDailySummary[[#This Row],[Fecha]],SummaryDaily[day],SummaryDaily[net_sales],0)</f>
        <v>0</v>
      </c>
      <c r="E61" s="11">
        <f>_xlfn.XLOOKUP(TableDailySummary[[#This Row],[Fecha]],SummaryDaily[day],SummaryDaily[orders],0)</f>
        <v>0</v>
      </c>
      <c r="F61" s="11">
        <f>_xlfn.XLOOKUP(TableDailySummary[[#This Row],[Fecha]],SummaryDaily[day],SummaryDaily[average_order_value],0)</f>
        <v>0</v>
      </c>
      <c r="G61" s="24" cm="1">
        <f t="array" ref="G61">_xlfn.XLOOKUP(TableDailySummary[[#This Row],[Fecha]]&amp;"Total site",ConversionRateByReferral[day]&amp;ConversionRateByReferral[referrer_source],ConversionRateByReferral[conversion_rate],0)</f>
        <v>0</v>
      </c>
      <c r="H61" s="11">
        <f>TableDailySummary[[#This Row],[Órden promedio totales]]*TableDailySummary[[#This Row],[CR totales]]</f>
        <v>0</v>
      </c>
      <c r="I61" s="11">
        <f>_xlfn.XLOOKUP(TableDailySummary[[#This Row],[Fecha]],SummaryDaily[day],SummaryDaily[new_net_sales],0)</f>
        <v>0</v>
      </c>
      <c r="J61" s="11">
        <f>_xlfn.XLOOKUP(TableDailySummary[[#This Row],[Fecha]],SummaryDaily[day],SummaryDaily[new_orders],0)</f>
        <v>0</v>
      </c>
      <c r="K61" s="11">
        <f>_xlfn.XLOOKUP(TableDailySummary[[#This Row],[Fecha]],SummaryDaily[day],SummaryDaily[new_average_order_value],0)</f>
        <v>0</v>
      </c>
      <c r="L61" s="11">
        <f>_xlfn.XLOOKUP(TableDailySummary[[#This Row],[Fecha]],SummaryDaily[day],SummaryDaily[Online Store_net_sales],0)</f>
        <v>0</v>
      </c>
      <c r="M61" s="11">
        <f>_xlfn.XLOOKUP(TableDailySummary[[#This Row],[Fecha]],SummaryDaily[day],SummaryDaily[Online Store_orders],0)</f>
        <v>0</v>
      </c>
      <c r="N61" s="11">
        <f>_xlfn.XLOOKUP(TableDailySummary[[#This Row],[Fecha]],SummaryDaily[day],SummaryDaily[Online Store_average_order_value],0)</f>
        <v>0</v>
      </c>
      <c r="O61" s="11">
        <f>_xlfn.XLOOKUP(TableDailySummary[[#This Row],[Fecha]],SummaryDaily[day],SummaryDaily[Tienda 81_net_sales],0)</f>
        <v>0</v>
      </c>
      <c r="P61" s="11">
        <f>_xlfn.XLOOKUP(TableDailySummary[[#This Row],[Fecha]],SummaryDaily[day],SummaryDaily[Tienda 81_orders],0)</f>
        <v>0</v>
      </c>
      <c r="Q61" s="11">
        <f>_xlfn.XLOOKUP(TableDailySummary[[#This Row],[Fecha]],SummaryDaily[day],SummaryDaily[Tienda 81_average_order_value],0)</f>
        <v>0</v>
      </c>
      <c r="R61" s="11">
        <f>_xlfn.XLOOKUP(TableDailySummary[[#This Row],[Fecha]],SummaryDaily[day],SummaryDaily[Rappi_net_sales],0)</f>
        <v>0</v>
      </c>
      <c r="S61" s="11">
        <f>_xlfn.XLOOKUP(TableDailySummary[[#This Row],[Fecha]],SummaryDaily[day],SummaryDaily[Rappi_orders],0)</f>
        <v>0</v>
      </c>
      <c r="T61" s="11">
        <f>_xlfn.XLOOKUP(TableDailySummary[[#This Row],[Fecha]],SummaryDaily[day],SummaryDaily[Rappi_average_order_value],0)</f>
        <v>0</v>
      </c>
      <c r="U61" s="11">
        <f>_xlfn.XLOOKUP(TableDailySummary[[#This Row],[Fecha]],SummaryDaily[day],SummaryDaily[Corporativo no tienda_net_sales],0)</f>
        <v>0</v>
      </c>
      <c r="V61" s="11">
        <f>_xlfn.XLOOKUP(TableDailySummary[[#This Row],[Fecha]],SummaryDaily[day],SummaryDaily[Corporativo no tienda_orders],0)</f>
        <v>0</v>
      </c>
      <c r="W61" s="11">
        <f>_xlfn.XLOOKUP(TableDailySummary[[#This Row],[Fecha]],SummaryDaily[day],SummaryDaily[Corporativo no tienda_average_order_value],0)</f>
        <v>0</v>
      </c>
      <c r="X61" s="11">
        <f>_xlfn.XLOOKUP(TableDailySummary[[#This Row],[Fecha]],SummaryDaily[day],SummaryDaily[GoogleAdsOperation.Cost],0)</f>
        <v>0</v>
      </c>
      <c r="Y61" s="11">
        <f>SUMIFS(SalesByUTMDaily[google],SalesByUTMDaily[day],TableDailySummary[[#This Row],[Fecha]])</f>
        <v>0</v>
      </c>
      <c r="Z61" s="11">
        <f>_xlfn.XLOOKUP(TableDailySummary[[#This Row],[Fecha]],SummaryDaily[day],SummaryDaily[MetaAdsOperation.spend],0)</f>
        <v>0</v>
      </c>
      <c r="AA61" s="11">
        <f>SUMIFS(SalesByUTMDaily[facebook],SalesByUTMDaily[day],TableDailySummary[[#This Row],[Fecha]])</f>
        <v>0</v>
      </c>
      <c r="AB61" s="11">
        <f>TableDailySummary[[#This Row],[Inversión google ads]]+TableDailySummary[[#This Row],[Inversión meta ads]]</f>
        <v>0</v>
      </c>
      <c r="AC61" s="11">
        <f>TableDailySummary[[#This Row],[Ventas google ads]]+TableDailySummary[[#This Row],[Ventas meta ads]]</f>
        <v>0</v>
      </c>
      <c r="AD61" s="14">
        <f>IFERROR(TableDailySummary[[#This Row],[Ventas publicidad]]/TableDailySummary[[#This Row],[Inversión publicidad]],0)</f>
        <v>0</v>
      </c>
      <c r="AE61" s="14">
        <f>IFERROR(TableDailySummary[[#This Row],[Ventas primer cliente]]/TableDailySummary[[#This Row],[Inversión publicidad]],0)</f>
        <v>0</v>
      </c>
      <c r="AF61" s="14"/>
      <c r="AG61" s="11"/>
      <c r="AM61" s="11">
        <f>_xlfn.XLOOKUP(TableDailySummary[[#This Row],[Fecha]],SummaryDaily[day],SummaryDaily[net_sales_with_cost_recorded],0)</f>
        <v>0</v>
      </c>
      <c r="AN61" s="11">
        <f>_xlfn.XLOOKUP(TableDailySummary[[#This Row],[Fecha]],SummaryDaily[day],SummaryDaily[cost_of_goods_sold],0)</f>
        <v>0</v>
      </c>
      <c r="AO61" s="11">
        <f>_xlfn.XLOOKUP(TableDailySummary[[#This Row],[Fecha]],SummaryDaily[day],SummaryDaily[gross_profit],0)</f>
        <v>0</v>
      </c>
      <c r="AP61" s="18">
        <f>IFERROR(TableDailySummary[[#This Row],[Utilidad bruta]]/TableDailySummary[[#This Row],[Ventas netas con costo registrado]],0)</f>
        <v>0</v>
      </c>
    </row>
    <row r="62" spans="2:42" x14ac:dyDescent="0.2">
      <c r="B62" s="15" cm="1">
        <f t="array" ref="B62">ParamFechaInicioReporte + (ROW(TableDailySummary[#This Row]) - ROW(TableDailySummary[[#Headers],[Dia]]) - 1)</f>
        <v>44589</v>
      </c>
      <c r="C62" s="6">
        <f>TableDailySummary[[#This Row],[Dia]]</f>
        <v>44589</v>
      </c>
      <c r="D62" s="11">
        <f>_xlfn.XLOOKUP(TableDailySummary[[#This Row],[Fecha]],SummaryDaily[day],SummaryDaily[net_sales],0)</f>
        <v>0</v>
      </c>
      <c r="E62" s="11">
        <f>_xlfn.XLOOKUP(TableDailySummary[[#This Row],[Fecha]],SummaryDaily[day],SummaryDaily[orders],0)</f>
        <v>0</v>
      </c>
      <c r="F62" s="11">
        <f>_xlfn.XLOOKUP(TableDailySummary[[#This Row],[Fecha]],SummaryDaily[day],SummaryDaily[average_order_value],0)</f>
        <v>0</v>
      </c>
      <c r="G62" s="24" cm="1">
        <f t="array" ref="G62">_xlfn.XLOOKUP(TableDailySummary[[#This Row],[Fecha]]&amp;"Total site",ConversionRateByReferral[day]&amp;ConversionRateByReferral[referrer_source],ConversionRateByReferral[conversion_rate],0)</f>
        <v>0</v>
      </c>
      <c r="H62" s="11">
        <f>TableDailySummary[[#This Row],[Órden promedio totales]]*TableDailySummary[[#This Row],[CR totales]]</f>
        <v>0</v>
      </c>
      <c r="I62" s="11">
        <f>_xlfn.XLOOKUP(TableDailySummary[[#This Row],[Fecha]],SummaryDaily[day],SummaryDaily[new_net_sales],0)</f>
        <v>0</v>
      </c>
      <c r="J62" s="11">
        <f>_xlfn.XLOOKUP(TableDailySummary[[#This Row],[Fecha]],SummaryDaily[day],SummaryDaily[new_orders],0)</f>
        <v>0</v>
      </c>
      <c r="K62" s="11">
        <f>_xlfn.XLOOKUP(TableDailySummary[[#This Row],[Fecha]],SummaryDaily[day],SummaryDaily[new_average_order_value],0)</f>
        <v>0</v>
      </c>
      <c r="L62" s="11">
        <f>_xlfn.XLOOKUP(TableDailySummary[[#This Row],[Fecha]],SummaryDaily[day],SummaryDaily[Online Store_net_sales],0)</f>
        <v>0</v>
      </c>
      <c r="M62" s="11">
        <f>_xlfn.XLOOKUP(TableDailySummary[[#This Row],[Fecha]],SummaryDaily[day],SummaryDaily[Online Store_orders],0)</f>
        <v>0</v>
      </c>
      <c r="N62" s="11">
        <f>_xlfn.XLOOKUP(TableDailySummary[[#This Row],[Fecha]],SummaryDaily[day],SummaryDaily[Online Store_average_order_value],0)</f>
        <v>0</v>
      </c>
      <c r="O62" s="11">
        <f>_xlfn.XLOOKUP(TableDailySummary[[#This Row],[Fecha]],SummaryDaily[day],SummaryDaily[Tienda 81_net_sales],0)</f>
        <v>0</v>
      </c>
      <c r="P62" s="11">
        <f>_xlfn.XLOOKUP(TableDailySummary[[#This Row],[Fecha]],SummaryDaily[day],SummaryDaily[Tienda 81_orders],0)</f>
        <v>0</v>
      </c>
      <c r="Q62" s="11">
        <f>_xlfn.XLOOKUP(TableDailySummary[[#This Row],[Fecha]],SummaryDaily[day],SummaryDaily[Tienda 81_average_order_value],0)</f>
        <v>0</v>
      </c>
      <c r="R62" s="11">
        <f>_xlfn.XLOOKUP(TableDailySummary[[#This Row],[Fecha]],SummaryDaily[day],SummaryDaily[Rappi_net_sales],0)</f>
        <v>0</v>
      </c>
      <c r="S62" s="11">
        <f>_xlfn.XLOOKUP(TableDailySummary[[#This Row],[Fecha]],SummaryDaily[day],SummaryDaily[Rappi_orders],0)</f>
        <v>0</v>
      </c>
      <c r="T62" s="11">
        <f>_xlfn.XLOOKUP(TableDailySummary[[#This Row],[Fecha]],SummaryDaily[day],SummaryDaily[Rappi_average_order_value],0)</f>
        <v>0</v>
      </c>
      <c r="U62" s="11">
        <f>_xlfn.XLOOKUP(TableDailySummary[[#This Row],[Fecha]],SummaryDaily[day],SummaryDaily[Corporativo no tienda_net_sales],0)</f>
        <v>0</v>
      </c>
      <c r="V62" s="11">
        <f>_xlfn.XLOOKUP(TableDailySummary[[#This Row],[Fecha]],SummaryDaily[day],SummaryDaily[Corporativo no tienda_orders],0)</f>
        <v>0</v>
      </c>
      <c r="W62" s="11">
        <f>_xlfn.XLOOKUP(TableDailySummary[[#This Row],[Fecha]],SummaryDaily[day],SummaryDaily[Corporativo no tienda_average_order_value],0)</f>
        <v>0</v>
      </c>
      <c r="X62" s="11">
        <f>_xlfn.XLOOKUP(TableDailySummary[[#This Row],[Fecha]],SummaryDaily[day],SummaryDaily[GoogleAdsOperation.Cost],0)</f>
        <v>0</v>
      </c>
      <c r="Y62" s="11">
        <f>SUMIFS(SalesByUTMDaily[google],SalesByUTMDaily[day],TableDailySummary[[#This Row],[Fecha]])</f>
        <v>0</v>
      </c>
      <c r="Z62" s="11">
        <f>_xlfn.XLOOKUP(TableDailySummary[[#This Row],[Fecha]],SummaryDaily[day],SummaryDaily[MetaAdsOperation.spend],0)</f>
        <v>0</v>
      </c>
      <c r="AA62" s="11">
        <f>SUMIFS(SalesByUTMDaily[facebook],SalesByUTMDaily[day],TableDailySummary[[#This Row],[Fecha]])</f>
        <v>0</v>
      </c>
      <c r="AB62" s="11">
        <f>TableDailySummary[[#This Row],[Inversión google ads]]+TableDailySummary[[#This Row],[Inversión meta ads]]</f>
        <v>0</v>
      </c>
      <c r="AC62" s="11">
        <f>TableDailySummary[[#This Row],[Ventas google ads]]+TableDailySummary[[#This Row],[Ventas meta ads]]</f>
        <v>0</v>
      </c>
      <c r="AD62" s="14">
        <f>IFERROR(TableDailySummary[[#This Row],[Ventas publicidad]]/TableDailySummary[[#This Row],[Inversión publicidad]],0)</f>
        <v>0</v>
      </c>
      <c r="AE62" s="14">
        <f>IFERROR(TableDailySummary[[#This Row],[Ventas primer cliente]]/TableDailySummary[[#This Row],[Inversión publicidad]],0)</f>
        <v>0</v>
      </c>
      <c r="AF62" s="14"/>
      <c r="AG62" s="11"/>
      <c r="AM62" s="11">
        <f>_xlfn.XLOOKUP(TableDailySummary[[#This Row],[Fecha]],SummaryDaily[day],SummaryDaily[net_sales_with_cost_recorded],0)</f>
        <v>0</v>
      </c>
      <c r="AN62" s="11">
        <f>_xlfn.XLOOKUP(TableDailySummary[[#This Row],[Fecha]],SummaryDaily[day],SummaryDaily[cost_of_goods_sold],0)</f>
        <v>0</v>
      </c>
      <c r="AO62" s="11">
        <f>_xlfn.XLOOKUP(TableDailySummary[[#This Row],[Fecha]],SummaryDaily[day],SummaryDaily[gross_profit],0)</f>
        <v>0</v>
      </c>
      <c r="AP62" s="18">
        <f>IFERROR(TableDailySummary[[#This Row],[Utilidad bruta]]/TableDailySummary[[#This Row],[Ventas netas con costo registrado]],0)</f>
        <v>0</v>
      </c>
    </row>
    <row r="63" spans="2:42" x14ac:dyDescent="0.2">
      <c r="B63" s="15" cm="1">
        <f t="array" ref="B63">ParamFechaInicioReporte + (ROW(TableDailySummary[#This Row]) - ROW(TableDailySummary[[#Headers],[Dia]]) - 1)</f>
        <v>44590</v>
      </c>
      <c r="C63" s="6">
        <f>TableDailySummary[[#This Row],[Dia]]</f>
        <v>44590</v>
      </c>
      <c r="D63" s="11">
        <f>_xlfn.XLOOKUP(TableDailySummary[[#This Row],[Fecha]],SummaryDaily[day],SummaryDaily[net_sales],0)</f>
        <v>0</v>
      </c>
      <c r="E63" s="11">
        <f>_xlfn.XLOOKUP(TableDailySummary[[#This Row],[Fecha]],SummaryDaily[day],SummaryDaily[orders],0)</f>
        <v>0</v>
      </c>
      <c r="F63" s="11">
        <f>_xlfn.XLOOKUP(TableDailySummary[[#This Row],[Fecha]],SummaryDaily[day],SummaryDaily[average_order_value],0)</f>
        <v>0</v>
      </c>
      <c r="G63" s="24" cm="1">
        <f t="array" ref="G63">_xlfn.XLOOKUP(TableDailySummary[[#This Row],[Fecha]]&amp;"Total site",ConversionRateByReferral[day]&amp;ConversionRateByReferral[referrer_source],ConversionRateByReferral[conversion_rate],0)</f>
        <v>0</v>
      </c>
      <c r="H63" s="11">
        <f>TableDailySummary[[#This Row],[Órden promedio totales]]*TableDailySummary[[#This Row],[CR totales]]</f>
        <v>0</v>
      </c>
      <c r="I63" s="11">
        <f>_xlfn.XLOOKUP(TableDailySummary[[#This Row],[Fecha]],SummaryDaily[day],SummaryDaily[new_net_sales],0)</f>
        <v>0</v>
      </c>
      <c r="J63" s="11">
        <f>_xlfn.XLOOKUP(TableDailySummary[[#This Row],[Fecha]],SummaryDaily[day],SummaryDaily[new_orders],0)</f>
        <v>0</v>
      </c>
      <c r="K63" s="11">
        <f>_xlfn.XLOOKUP(TableDailySummary[[#This Row],[Fecha]],SummaryDaily[day],SummaryDaily[new_average_order_value],0)</f>
        <v>0</v>
      </c>
      <c r="L63" s="11">
        <f>_xlfn.XLOOKUP(TableDailySummary[[#This Row],[Fecha]],SummaryDaily[day],SummaryDaily[Online Store_net_sales],0)</f>
        <v>0</v>
      </c>
      <c r="M63" s="11">
        <f>_xlfn.XLOOKUP(TableDailySummary[[#This Row],[Fecha]],SummaryDaily[day],SummaryDaily[Online Store_orders],0)</f>
        <v>0</v>
      </c>
      <c r="N63" s="11">
        <f>_xlfn.XLOOKUP(TableDailySummary[[#This Row],[Fecha]],SummaryDaily[day],SummaryDaily[Online Store_average_order_value],0)</f>
        <v>0</v>
      </c>
      <c r="O63" s="11">
        <f>_xlfn.XLOOKUP(TableDailySummary[[#This Row],[Fecha]],SummaryDaily[day],SummaryDaily[Tienda 81_net_sales],0)</f>
        <v>0</v>
      </c>
      <c r="P63" s="11">
        <f>_xlfn.XLOOKUP(TableDailySummary[[#This Row],[Fecha]],SummaryDaily[day],SummaryDaily[Tienda 81_orders],0)</f>
        <v>0</v>
      </c>
      <c r="Q63" s="11">
        <f>_xlfn.XLOOKUP(TableDailySummary[[#This Row],[Fecha]],SummaryDaily[day],SummaryDaily[Tienda 81_average_order_value],0)</f>
        <v>0</v>
      </c>
      <c r="R63" s="11">
        <f>_xlfn.XLOOKUP(TableDailySummary[[#This Row],[Fecha]],SummaryDaily[day],SummaryDaily[Rappi_net_sales],0)</f>
        <v>0</v>
      </c>
      <c r="S63" s="11">
        <f>_xlfn.XLOOKUP(TableDailySummary[[#This Row],[Fecha]],SummaryDaily[day],SummaryDaily[Rappi_orders],0)</f>
        <v>0</v>
      </c>
      <c r="T63" s="11">
        <f>_xlfn.XLOOKUP(TableDailySummary[[#This Row],[Fecha]],SummaryDaily[day],SummaryDaily[Rappi_average_order_value],0)</f>
        <v>0</v>
      </c>
      <c r="U63" s="11">
        <f>_xlfn.XLOOKUP(TableDailySummary[[#This Row],[Fecha]],SummaryDaily[day],SummaryDaily[Corporativo no tienda_net_sales],0)</f>
        <v>0</v>
      </c>
      <c r="V63" s="11">
        <f>_xlfn.XLOOKUP(TableDailySummary[[#This Row],[Fecha]],SummaryDaily[day],SummaryDaily[Corporativo no tienda_orders],0)</f>
        <v>0</v>
      </c>
      <c r="W63" s="11">
        <f>_xlfn.XLOOKUP(TableDailySummary[[#This Row],[Fecha]],SummaryDaily[day],SummaryDaily[Corporativo no tienda_average_order_value],0)</f>
        <v>0</v>
      </c>
      <c r="X63" s="11">
        <f>_xlfn.XLOOKUP(TableDailySummary[[#This Row],[Fecha]],SummaryDaily[day],SummaryDaily[GoogleAdsOperation.Cost],0)</f>
        <v>0</v>
      </c>
      <c r="Y63" s="11">
        <f>SUMIFS(SalesByUTMDaily[google],SalesByUTMDaily[day],TableDailySummary[[#This Row],[Fecha]])</f>
        <v>0</v>
      </c>
      <c r="Z63" s="11">
        <f>_xlfn.XLOOKUP(TableDailySummary[[#This Row],[Fecha]],SummaryDaily[day],SummaryDaily[MetaAdsOperation.spend],0)</f>
        <v>0</v>
      </c>
      <c r="AA63" s="11">
        <f>SUMIFS(SalesByUTMDaily[facebook],SalesByUTMDaily[day],TableDailySummary[[#This Row],[Fecha]])</f>
        <v>0</v>
      </c>
      <c r="AB63" s="11">
        <f>TableDailySummary[[#This Row],[Inversión google ads]]+TableDailySummary[[#This Row],[Inversión meta ads]]</f>
        <v>0</v>
      </c>
      <c r="AC63" s="11">
        <f>TableDailySummary[[#This Row],[Ventas google ads]]+TableDailySummary[[#This Row],[Ventas meta ads]]</f>
        <v>0</v>
      </c>
      <c r="AD63" s="14">
        <f>IFERROR(TableDailySummary[[#This Row],[Ventas publicidad]]/TableDailySummary[[#This Row],[Inversión publicidad]],0)</f>
        <v>0</v>
      </c>
      <c r="AE63" s="14">
        <f>IFERROR(TableDailySummary[[#This Row],[Ventas primer cliente]]/TableDailySummary[[#This Row],[Inversión publicidad]],0)</f>
        <v>0</v>
      </c>
      <c r="AF63" s="14"/>
      <c r="AG63" s="11"/>
      <c r="AM63" s="11">
        <f>_xlfn.XLOOKUP(TableDailySummary[[#This Row],[Fecha]],SummaryDaily[day],SummaryDaily[net_sales_with_cost_recorded],0)</f>
        <v>0</v>
      </c>
      <c r="AN63" s="11">
        <f>_xlfn.XLOOKUP(TableDailySummary[[#This Row],[Fecha]],SummaryDaily[day],SummaryDaily[cost_of_goods_sold],0)</f>
        <v>0</v>
      </c>
      <c r="AO63" s="11">
        <f>_xlfn.XLOOKUP(TableDailySummary[[#This Row],[Fecha]],SummaryDaily[day],SummaryDaily[gross_profit],0)</f>
        <v>0</v>
      </c>
      <c r="AP63" s="18">
        <f>IFERROR(TableDailySummary[[#This Row],[Utilidad bruta]]/TableDailySummary[[#This Row],[Ventas netas con costo registrado]],0)</f>
        <v>0</v>
      </c>
    </row>
    <row r="64" spans="2:42" x14ac:dyDescent="0.2">
      <c r="B64" s="15" cm="1">
        <f t="array" ref="B64">ParamFechaInicioReporte + (ROW(TableDailySummary[#This Row]) - ROW(TableDailySummary[[#Headers],[Dia]]) - 1)</f>
        <v>44591</v>
      </c>
      <c r="C64" s="6">
        <f>TableDailySummary[[#This Row],[Dia]]</f>
        <v>44591</v>
      </c>
      <c r="D64" s="11">
        <f>_xlfn.XLOOKUP(TableDailySummary[[#This Row],[Fecha]],SummaryDaily[day],SummaryDaily[net_sales],0)</f>
        <v>0</v>
      </c>
      <c r="E64" s="11">
        <f>_xlfn.XLOOKUP(TableDailySummary[[#This Row],[Fecha]],SummaryDaily[day],SummaryDaily[orders],0)</f>
        <v>0</v>
      </c>
      <c r="F64" s="11">
        <f>_xlfn.XLOOKUP(TableDailySummary[[#This Row],[Fecha]],SummaryDaily[day],SummaryDaily[average_order_value],0)</f>
        <v>0</v>
      </c>
      <c r="G64" s="24" cm="1">
        <f t="array" ref="G64">_xlfn.XLOOKUP(TableDailySummary[[#This Row],[Fecha]]&amp;"Total site",ConversionRateByReferral[day]&amp;ConversionRateByReferral[referrer_source],ConversionRateByReferral[conversion_rate],0)</f>
        <v>0</v>
      </c>
      <c r="H64" s="11">
        <f>TableDailySummary[[#This Row],[Órden promedio totales]]*TableDailySummary[[#This Row],[CR totales]]</f>
        <v>0</v>
      </c>
      <c r="I64" s="11">
        <f>_xlfn.XLOOKUP(TableDailySummary[[#This Row],[Fecha]],SummaryDaily[day],SummaryDaily[new_net_sales],0)</f>
        <v>0</v>
      </c>
      <c r="J64" s="11">
        <f>_xlfn.XLOOKUP(TableDailySummary[[#This Row],[Fecha]],SummaryDaily[day],SummaryDaily[new_orders],0)</f>
        <v>0</v>
      </c>
      <c r="K64" s="11">
        <f>_xlfn.XLOOKUP(TableDailySummary[[#This Row],[Fecha]],SummaryDaily[day],SummaryDaily[new_average_order_value],0)</f>
        <v>0</v>
      </c>
      <c r="L64" s="11">
        <f>_xlfn.XLOOKUP(TableDailySummary[[#This Row],[Fecha]],SummaryDaily[day],SummaryDaily[Online Store_net_sales],0)</f>
        <v>0</v>
      </c>
      <c r="M64" s="11">
        <f>_xlfn.XLOOKUP(TableDailySummary[[#This Row],[Fecha]],SummaryDaily[day],SummaryDaily[Online Store_orders],0)</f>
        <v>0</v>
      </c>
      <c r="N64" s="11">
        <f>_xlfn.XLOOKUP(TableDailySummary[[#This Row],[Fecha]],SummaryDaily[day],SummaryDaily[Online Store_average_order_value],0)</f>
        <v>0</v>
      </c>
      <c r="O64" s="11">
        <f>_xlfn.XLOOKUP(TableDailySummary[[#This Row],[Fecha]],SummaryDaily[day],SummaryDaily[Tienda 81_net_sales],0)</f>
        <v>0</v>
      </c>
      <c r="P64" s="11">
        <f>_xlfn.XLOOKUP(TableDailySummary[[#This Row],[Fecha]],SummaryDaily[day],SummaryDaily[Tienda 81_orders],0)</f>
        <v>0</v>
      </c>
      <c r="Q64" s="11">
        <f>_xlfn.XLOOKUP(TableDailySummary[[#This Row],[Fecha]],SummaryDaily[day],SummaryDaily[Tienda 81_average_order_value],0)</f>
        <v>0</v>
      </c>
      <c r="R64" s="11">
        <f>_xlfn.XLOOKUP(TableDailySummary[[#This Row],[Fecha]],SummaryDaily[day],SummaryDaily[Rappi_net_sales],0)</f>
        <v>0</v>
      </c>
      <c r="S64" s="11">
        <f>_xlfn.XLOOKUP(TableDailySummary[[#This Row],[Fecha]],SummaryDaily[day],SummaryDaily[Rappi_orders],0)</f>
        <v>0</v>
      </c>
      <c r="T64" s="11">
        <f>_xlfn.XLOOKUP(TableDailySummary[[#This Row],[Fecha]],SummaryDaily[day],SummaryDaily[Rappi_average_order_value],0)</f>
        <v>0</v>
      </c>
      <c r="U64" s="11">
        <f>_xlfn.XLOOKUP(TableDailySummary[[#This Row],[Fecha]],SummaryDaily[day],SummaryDaily[Corporativo no tienda_net_sales],0)</f>
        <v>0</v>
      </c>
      <c r="V64" s="11">
        <f>_xlfn.XLOOKUP(TableDailySummary[[#This Row],[Fecha]],SummaryDaily[day],SummaryDaily[Corporativo no tienda_orders],0)</f>
        <v>0</v>
      </c>
      <c r="W64" s="11">
        <f>_xlfn.XLOOKUP(TableDailySummary[[#This Row],[Fecha]],SummaryDaily[day],SummaryDaily[Corporativo no tienda_average_order_value],0)</f>
        <v>0</v>
      </c>
      <c r="X64" s="11">
        <f>_xlfn.XLOOKUP(TableDailySummary[[#This Row],[Fecha]],SummaryDaily[day],SummaryDaily[GoogleAdsOperation.Cost],0)</f>
        <v>0</v>
      </c>
      <c r="Y64" s="11">
        <f>SUMIFS(SalesByUTMDaily[google],SalesByUTMDaily[day],TableDailySummary[[#This Row],[Fecha]])</f>
        <v>0</v>
      </c>
      <c r="Z64" s="11">
        <f>_xlfn.XLOOKUP(TableDailySummary[[#This Row],[Fecha]],SummaryDaily[day],SummaryDaily[MetaAdsOperation.spend],0)</f>
        <v>0</v>
      </c>
      <c r="AA64" s="11">
        <f>SUMIFS(SalesByUTMDaily[facebook],SalesByUTMDaily[day],TableDailySummary[[#This Row],[Fecha]])</f>
        <v>0</v>
      </c>
      <c r="AB64" s="11">
        <f>TableDailySummary[[#This Row],[Inversión google ads]]+TableDailySummary[[#This Row],[Inversión meta ads]]</f>
        <v>0</v>
      </c>
      <c r="AC64" s="11">
        <f>TableDailySummary[[#This Row],[Ventas google ads]]+TableDailySummary[[#This Row],[Ventas meta ads]]</f>
        <v>0</v>
      </c>
      <c r="AD64" s="14">
        <f>IFERROR(TableDailySummary[[#This Row],[Ventas publicidad]]/TableDailySummary[[#This Row],[Inversión publicidad]],0)</f>
        <v>0</v>
      </c>
      <c r="AE64" s="14">
        <f>IFERROR(TableDailySummary[[#This Row],[Ventas primer cliente]]/TableDailySummary[[#This Row],[Inversión publicidad]],0)</f>
        <v>0</v>
      </c>
      <c r="AF64" s="14"/>
      <c r="AG64" s="11"/>
      <c r="AM64" s="11">
        <f>_xlfn.XLOOKUP(TableDailySummary[[#This Row],[Fecha]],SummaryDaily[day],SummaryDaily[net_sales_with_cost_recorded],0)</f>
        <v>0</v>
      </c>
      <c r="AN64" s="11">
        <f>_xlfn.XLOOKUP(TableDailySummary[[#This Row],[Fecha]],SummaryDaily[day],SummaryDaily[cost_of_goods_sold],0)</f>
        <v>0</v>
      </c>
      <c r="AO64" s="11">
        <f>_xlfn.XLOOKUP(TableDailySummary[[#This Row],[Fecha]],SummaryDaily[day],SummaryDaily[gross_profit],0)</f>
        <v>0</v>
      </c>
      <c r="AP64" s="18">
        <f>IFERROR(TableDailySummary[[#This Row],[Utilidad bruta]]/TableDailySummary[[#This Row],[Ventas netas con costo registrado]],0)</f>
        <v>0</v>
      </c>
    </row>
    <row r="65" spans="2:42" x14ac:dyDescent="0.2">
      <c r="B65" s="15" cm="1">
        <f t="array" ref="B65">ParamFechaInicioReporte + (ROW(TableDailySummary[#This Row]) - ROW(TableDailySummary[[#Headers],[Dia]]) - 1)</f>
        <v>44592</v>
      </c>
      <c r="C65" s="6">
        <f>TableDailySummary[[#This Row],[Dia]]</f>
        <v>44592</v>
      </c>
      <c r="D65" s="11">
        <f>_xlfn.XLOOKUP(TableDailySummary[[#This Row],[Fecha]],SummaryDaily[day],SummaryDaily[net_sales],0)</f>
        <v>0</v>
      </c>
      <c r="E65" s="11">
        <f>_xlfn.XLOOKUP(TableDailySummary[[#This Row],[Fecha]],SummaryDaily[day],SummaryDaily[orders],0)</f>
        <v>0</v>
      </c>
      <c r="F65" s="11">
        <f>_xlfn.XLOOKUP(TableDailySummary[[#This Row],[Fecha]],SummaryDaily[day],SummaryDaily[average_order_value],0)</f>
        <v>0</v>
      </c>
      <c r="G65" s="24" cm="1">
        <f t="array" ref="G65">_xlfn.XLOOKUP(TableDailySummary[[#This Row],[Fecha]]&amp;"Total site",ConversionRateByReferral[day]&amp;ConversionRateByReferral[referrer_source],ConversionRateByReferral[conversion_rate],0)</f>
        <v>0</v>
      </c>
      <c r="H65" s="11">
        <f>TableDailySummary[[#This Row],[Órden promedio totales]]*TableDailySummary[[#This Row],[CR totales]]</f>
        <v>0</v>
      </c>
      <c r="I65" s="11">
        <f>_xlfn.XLOOKUP(TableDailySummary[[#This Row],[Fecha]],SummaryDaily[day],SummaryDaily[new_net_sales],0)</f>
        <v>0</v>
      </c>
      <c r="J65" s="11">
        <f>_xlfn.XLOOKUP(TableDailySummary[[#This Row],[Fecha]],SummaryDaily[day],SummaryDaily[new_orders],0)</f>
        <v>0</v>
      </c>
      <c r="K65" s="11">
        <f>_xlfn.XLOOKUP(TableDailySummary[[#This Row],[Fecha]],SummaryDaily[day],SummaryDaily[new_average_order_value],0)</f>
        <v>0</v>
      </c>
      <c r="L65" s="11">
        <f>_xlfn.XLOOKUP(TableDailySummary[[#This Row],[Fecha]],SummaryDaily[day],SummaryDaily[Online Store_net_sales],0)</f>
        <v>0</v>
      </c>
      <c r="M65" s="11">
        <f>_xlfn.XLOOKUP(TableDailySummary[[#This Row],[Fecha]],SummaryDaily[day],SummaryDaily[Online Store_orders],0)</f>
        <v>0</v>
      </c>
      <c r="N65" s="11">
        <f>_xlfn.XLOOKUP(TableDailySummary[[#This Row],[Fecha]],SummaryDaily[day],SummaryDaily[Online Store_average_order_value],0)</f>
        <v>0</v>
      </c>
      <c r="O65" s="11">
        <f>_xlfn.XLOOKUP(TableDailySummary[[#This Row],[Fecha]],SummaryDaily[day],SummaryDaily[Tienda 81_net_sales],0)</f>
        <v>0</v>
      </c>
      <c r="P65" s="11">
        <f>_xlfn.XLOOKUP(TableDailySummary[[#This Row],[Fecha]],SummaryDaily[day],SummaryDaily[Tienda 81_orders],0)</f>
        <v>0</v>
      </c>
      <c r="Q65" s="11">
        <f>_xlfn.XLOOKUP(TableDailySummary[[#This Row],[Fecha]],SummaryDaily[day],SummaryDaily[Tienda 81_average_order_value],0)</f>
        <v>0</v>
      </c>
      <c r="R65" s="11">
        <f>_xlfn.XLOOKUP(TableDailySummary[[#This Row],[Fecha]],SummaryDaily[day],SummaryDaily[Rappi_net_sales],0)</f>
        <v>0</v>
      </c>
      <c r="S65" s="11">
        <f>_xlfn.XLOOKUP(TableDailySummary[[#This Row],[Fecha]],SummaryDaily[day],SummaryDaily[Rappi_orders],0)</f>
        <v>0</v>
      </c>
      <c r="T65" s="11">
        <f>_xlfn.XLOOKUP(TableDailySummary[[#This Row],[Fecha]],SummaryDaily[day],SummaryDaily[Rappi_average_order_value],0)</f>
        <v>0</v>
      </c>
      <c r="U65" s="11">
        <f>_xlfn.XLOOKUP(TableDailySummary[[#This Row],[Fecha]],SummaryDaily[day],SummaryDaily[Corporativo no tienda_net_sales],0)</f>
        <v>0</v>
      </c>
      <c r="V65" s="11">
        <f>_xlfn.XLOOKUP(TableDailySummary[[#This Row],[Fecha]],SummaryDaily[day],SummaryDaily[Corporativo no tienda_orders],0)</f>
        <v>0</v>
      </c>
      <c r="W65" s="11">
        <f>_xlfn.XLOOKUP(TableDailySummary[[#This Row],[Fecha]],SummaryDaily[day],SummaryDaily[Corporativo no tienda_average_order_value],0)</f>
        <v>0</v>
      </c>
      <c r="X65" s="11">
        <f>_xlfn.XLOOKUP(TableDailySummary[[#This Row],[Fecha]],SummaryDaily[day],SummaryDaily[GoogleAdsOperation.Cost],0)</f>
        <v>0</v>
      </c>
      <c r="Y65" s="11">
        <f>SUMIFS(SalesByUTMDaily[google],SalesByUTMDaily[day],TableDailySummary[[#This Row],[Fecha]])</f>
        <v>0</v>
      </c>
      <c r="Z65" s="11">
        <f>_xlfn.XLOOKUP(TableDailySummary[[#This Row],[Fecha]],SummaryDaily[day],SummaryDaily[MetaAdsOperation.spend],0)</f>
        <v>0</v>
      </c>
      <c r="AA65" s="11">
        <f>SUMIFS(SalesByUTMDaily[facebook],SalesByUTMDaily[day],TableDailySummary[[#This Row],[Fecha]])</f>
        <v>0</v>
      </c>
      <c r="AB65" s="11">
        <f>TableDailySummary[[#This Row],[Inversión google ads]]+TableDailySummary[[#This Row],[Inversión meta ads]]</f>
        <v>0</v>
      </c>
      <c r="AC65" s="11">
        <f>TableDailySummary[[#This Row],[Ventas google ads]]+TableDailySummary[[#This Row],[Ventas meta ads]]</f>
        <v>0</v>
      </c>
      <c r="AD65" s="14">
        <f>IFERROR(TableDailySummary[[#This Row],[Ventas publicidad]]/TableDailySummary[[#This Row],[Inversión publicidad]],0)</f>
        <v>0</v>
      </c>
      <c r="AE65" s="14">
        <f>IFERROR(TableDailySummary[[#This Row],[Ventas primer cliente]]/TableDailySummary[[#This Row],[Inversión publicidad]],0)</f>
        <v>0</v>
      </c>
      <c r="AF65" s="14"/>
      <c r="AG65" s="11"/>
      <c r="AM65" s="11">
        <f>_xlfn.XLOOKUP(TableDailySummary[[#This Row],[Fecha]],SummaryDaily[day],SummaryDaily[net_sales_with_cost_recorded],0)</f>
        <v>0</v>
      </c>
      <c r="AN65" s="11">
        <f>_xlfn.XLOOKUP(TableDailySummary[[#This Row],[Fecha]],SummaryDaily[day],SummaryDaily[cost_of_goods_sold],0)</f>
        <v>0</v>
      </c>
      <c r="AO65" s="11">
        <f>_xlfn.XLOOKUP(TableDailySummary[[#This Row],[Fecha]],SummaryDaily[day],SummaryDaily[gross_profit],0)</f>
        <v>0</v>
      </c>
      <c r="AP65" s="18">
        <f>IFERROR(TableDailySummary[[#This Row],[Utilidad bruta]]/TableDailySummary[[#This Row],[Ventas netas con costo registrado]],0)</f>
        <v>0</v>
      </c>
    </row>
    <row r="66" spans="2:42" x14ac:dyDescent="0.2">
      <c r="B66" s="15" cm="1">
        <f t="array" ref="B66">ParamFechaInicioReporte + (ROW(TableDailySummary[#This Row]) - ROW(TableDailySummary[[#Headers],[Dia]]) - 1)</f>
        <v>44593</v>
      </c>
      <c r="C66" s="6">
        <f>TableDailySummary[[#This Row],[Dia]]</f>
        <v>44593</v>
      </c>
      <c r="D66" s="11">
        <f>_xlfn.XLOOKUP(TableDailySummary[[#This Row],[Fecha]],SummaryDaily[day],SummaryDaily[net_sales],0)</f>
        <v>0</v>
      </c>
      <c r="E66" s="11">
        <f>_xlfn.XLOOKUP(TableDailySummary[[#This Row],[Fecha]],SummaryDaily[day],SummaryDaily[orders],0)</f>
        <v>0</v>
      </c>
      <c r="F66" s="11">
        <f>_xlfn.XLOOKUP(TableDailySummary[[#This Row],[Fecha]],SummaryDaily[day],SummaryDaily[average_order_value],0)</f>
        <v>0</v>
      </c>
      <c r="G66" s="24" cm="1">
        <f t="array" ref="G66">_xlfn.XLOOKUP(TableDailySummary[[#This Row],[Fecha]]&amp;"Total site",ConversionRateByReferral[day]&amp;ConversionRateByReferral[referrer_source],ConversionRateByReferral[conversion_rate],0)</f>
        <v>0</v>
      </c>
      <c r="H66" s="11">
        <f>TableDailySummary[[#This Row],[Órden promedio totales]]*TableDailySummary[[#This Row],[CR totales]]</f>
        <v>0</v>
      </c>
      <c r="I66" s="11">
        <f>_xlfn.XLOOKUP(TableDailySummary[[#This Row],[Fecha]],SummaryDaily[day],SummaryDaily[new_net_sales],0)</f>
        <v>0</v>
      </c>
      <c r="J66" s="11">
        <f>_xlfn.XLOOKUP(TableDailySummary[[#This Row],[Fecha]],SummaryDaily[day],SummaryDaily[new_orders],0)</f>
        <v>0</v>
      </c>
      <c r="K66" s="11">
        <f>_xlfn.XLOOKUP(TableDailySummary[[#This Row],[Fecha]],SummaryDaily[day],SummaryDaily[new_average_order_value],0)</f>
        <v>0</v>
      </c>
      <c r="L66" s="11">
        <f>_xlfn.XLOOKUP(TableDailySummary[[#This Row],[Fecha]],SummaryDaily[day],SummaryDaily[Online Store_net_sales],0)</f>
        <v>0</v>
      </c>
      <c r="M66" s="11">
        <f>_xlfn.XLOOKUP(TableDailySummary[[#This Row],[Fecha]],SummaryDaily[day],SummaryDaily[Online Store_orders],0)</f>
        <v>0</v>
      </c>
      <c r="N66" s="11">
        <f>_xlfn.XLOOKUP(TableDailySummary[[#This Row],[Fecha]],SummaryDaily[day],SummaryDaily[Online Store_average_order_value],0)</f>
        <v>0</v>
      </c>
      <c r="O66" s="11">
        <f>_xlfn.XLOOKUP(TableDailySummary[[#This Row],[Fecha]],SummaryDaily[day],SummaryDaily[Tienda 81_net_sales],0)</f>
        <v>0</v>
      </c>
      <c r="P66" s="11">
        <f>_xlfn.XLOOKUP(TableDailySummary[[#This Row],[Fecha]],SummaryDaily[day],SummaryDaily[Tienda 81_orders],0)</f>
        <v>0</v>
      </c>
      <c r="Q66" s="11">
        <f>_xlfn.XLOOKUP(TableDailySummary[[#This Row],[Fecha]],SummaryDaily[day],SummaryDaily[Tienda 81_average_order_value],0)</f>
        <v>0</v>
      </c>
      <c r="R66" s="11">
        <f>_xlfn.XLOOKUP(TableDailySummary[[#This Row],[Fecha]],SummaryDaily[day],SummaryDaily[Rappi_net_sales],0)</f>
        <v>0</v>
      </c>
      <c r="S66" s="11">
        <f>_xlfn.XLOOKUP(TableDailySummary[[#This Row],[Fecha]],SummaryDaily[day],SummaryDaily[Rappi_orders],0)</f>
        <v>0</v>
      </c>
      <c r="T66" s="11">
        <f>_xlfn.XLOOKUP(TableDailySummary[[#This Row],[Fecha]],SummaryDaily[day],SummaryDaily[Rappi_average_order_value],0)</f>
        <v>0</v>
      </c>
      <c r="U66" s="11">
        <f>_xlfn.XLOOKUP(TableDailySummary[[#This Row],[Fecha]],SummaryDaily[day],SummaryDaily[Corporativo no tienda_net_sales],0)</f>
        <v>0</v>
      </c>
      <c r="V66" s="11">
        <f>_xlfn.XLOOKUP(TableDailySummary[[#This Row],[Fecha]],SummaryDaily[day],SummaryDaily[Corporativo no tienda_orders],0)</f>
        <v>0</v>
      </c>
      <c r="W66" s="11">
        <f>_xlfn.XLOOKUP(TableDailySummary[[#This Row],[Fecha]],SummaryDaily[day],SummaryDaily[Corporativo no tienda_average_order_value],0)</f>
        <v>0</v>
      </c>
      <c r="X66" s="11">
        <f>_xlfn.XLOOKUP(TableDailySummary[[#This Row],[Fecha]],SummaryDaily[day],SummaryDaily[GoogleAdsOperation.Cost],0)</f>
        <v>0</v>
      </c>
      <c r="Y66" s="11">
        <f>SUMIFS(SalesByUTMDaily[google],SalesByUTMDaily[day],TableDailySummary[[#This Row],[Fecha]])</f>
        <v>0</v>
      </c>
      <c r="Z66" s="11">
        <f>_xlfn.XLOOKUP(TableDailySummary[[#This Row],[Fecha]],SummaryDaily[day],SummaryDaily[MetaAdsOperation.spend],0)</f>
        <v>0</v>
      </c>
      <c r="AA66" s="11">
        <f>SUMIFS(SalesByUTMDaily[facebook],SalesByUTMDaily[day],TableDailySummary[[#This Row],[Fecha]])</f>
        <v>0</v>
      </c>
      <c r="AB66" s="11">
        <f>TableDailySummary[[#This Row],[Inversión google ads]]+TableDailySummary[[#This Row],[Inversión meta ads]]</f>
        <v>0</v>
      </c>
      <c r="AC66" s="11">
        <f>TableDailySummary[[#This Row],[Ventas google ads]]+TableDailySummary[[#This Row],[Ventas meta ads]]</f>
        <v>0</v>
      </c>
      <c r="AD66" s="14">
        <f>IFERROR(TableDailySummary[[#This Row],[Ventas publicidad]]/TableDailySummary[[#This Row],[Inversión publicidad]],0)</f>
        <v>0</v>
      </c>
      <c r="AE66" s="14">
        <f>IFERROR(TableDailySummary[[#This Row],[Ventas primer cliente]]/TableDailySummary[[#This Row],[Inversión publicidad]],0)</f>
        <v>0</v>
      </c>
      <c r="AF66" s="14"/>
      <c r="AG66" s="11"/>
      <c r="AM66" s="11">
        <f>_xlfn.XLOOKUP(TableDailySummary[[#This Row],[Fecha]],SummaryDaily[day],SummaryDaily[net_sales_with_cost_recorded],0)</f>
        <v>0</v>
      </c>
      <c r="AN66" s="11">
        <f>_xlfn.XLOOKUP(TableDailySummary[[#This Row],[Fecha]],SummaryDaily[day],SummaryDaily[cost_of_goods_sold],0)</f>
        <v>0</v>
      </c>
      <c r="AO66" s="11">
        <f>_xlfn.XLOOKUP(TableDailySummary[[#This Row],[Fecha]],SummaryDaily[day],SummaryDaily[gross_profit],0)</f>
        <v>0</v>
      </c>
      <c r="AP66" s="18">
        <f>IFERROR(TableDailySummary[[#This Row],[Utilidad bruta]]/TableDailySummary[[#This Row],[Ventas netas con costo registrado]],0)</f>
        <v>0</v>
      </c>
    </row>
    <row r="67" spans="2:42" x14ac:dyDescent="0.2">
      <c r="B67" s="15" cm="1">
        <f t="array" ref="B67">ParamFechaInicioReporte + (ROW(TableDailySummary[#This Row]) - ROW(TableDailySummary[[#Headers],[Dia]]) - 1)</f>
        <v>44594</v>
      </c>
      <c r="C67" s="6">
        <f>TableDailySummary[[#This Row],[Dia]]</f>
        <v>44594</v>
      </c>
      <c r="D67" s="11">
        <f>_xlfn.XLOOKUP(TableDailySummary[[#This Row],[Fecha]],SummaryDaily[day],SummaryDaily[net_sales],0)</f>
        <v>0</v>
      </c>
      <c r="E67" s="11">
        <f>_xlfn.XLOOKUP(TableDailySummary[[#This Row],[Fecha]],SummaryDaily[day],SummaryDaily[orders],0)</f>
        <v>0</v>
      </c>
      <c r="F67" s="11">
        <f>_xlfn.XLOOKUP(TableDailySummary[[#This Row],[Fecha]],SummaryDaily[day],SummaryDaily[average_order_value],0)</f>
        <v>0</v>
      </c>
      <c r="G67" s="24" cm="1">
        <f t="array" ref="G67">_xlfn.XLOOKUP(TableDailySummary[[#This Row],[Fecha]]&amp;"Total site",ConversionRateByReferral[day]&amp;ConversionRateByReferral[referrer_source],ConversionRateByReferral[conversion_rate],0)</f>
        <v>0</v>
      </c>
      <c r="H67" s="11">
        <f>TableDailySummary[[#This Row],[Órden promedio totales]]*TableDailySummary[[#This Row],[CR totales]]</f>
        <v>0</v>
      </c>
      <c r="I67" s="11">
        <f>_xlfn.XLOOKUP(TableDailySummary[[#This Row],[Fecha]],SummaryDaily[day],SummaryDaily[new_net_sales],0)</f>
        <v>0</v>
      </c>
      <c r="J67" s="11">
        <f>_xlfn.XLOOKUP(TableDailySummary[[#This Row],[Fecha]],SummaryDaily[day],SummaryDaily[new_orders],0)</f>
        <v>0</v>
      </c>
      <c r="K67" s="11">
        <f>_xlfn.XLOOKUP(TableDailySummary[[#This Row],[Fecha]],SummaryDaily[day],SummaryDaily[new_average_order_value],0)</f>
        <v>0</v>
      </c>
      <c r="L67" s="11">
        <f>_xlfn.XLOOKUP(TableDailySummary[[#This Row],[Fecha]],SummaryDaily[day],SummaryDaily[Online Store_net_sales],0)</f>
        <v>0</v>
      </c>
      <c r="M67" s="11">
        <f>_xlfn.XLOOKUP(TableDailySummary[[#This Row],[Fecha]],SummaryDaily[day],SummaryDaily[Online Store_orders],0)</f>
        <v>0</v>
      </c>
      <c r="N67" s="11">
        <f>_xlfn.XLOOKUP(TableDailySummary[[#This Row],[Fecha]],SummaryDaily[day],SummaryDaily[Online Store_average_order_value],0)</f>
        <v>0</v>
      </c>
      <c r="O67" s="11">
        <f>_xlfn.XLOOKUP(TableDailySummary[[#This Row],[Fecha]],SummaryDaily[day],SummaryDaily[Tienda 81_net_sales],0)</f>
        <v>0</v>
      </c>
      <c r="P67" s="11">
        <f>_xlfn.XLOOKUP(TableDailySummary[[#This Row],[Fecha]],SummaryDaily[day],SummaryDaily[Tienda 81_orders],0)</f>
        <v>0</v>
      </c>
      <c r="Q67" s="11">
        <f>_xlfn.XLOOKUP(TableDailySummary[[#This Row],[Fecha]],SummaryDaily[day],SummaryDaily[Tienda 81_average_order_value],0)</f>
        <v>0</v>
      </c>
      <c r="R67" s="11">
        <f>_xlfn.XLOOKUP(TableDailySummary[[#This Row],[Fecha]],SummaryDaily[day],SummaryDaily[Rappi_net_sales],0)</f>
        <v>0</v>
      </c>
      <c r="S67" s="11">
        <f>_xlfn.XLOOKUP(TableDailySummary[[#This Row],[Fecha]],SummaryDaily[day],SummaryDaily[Rappi_orders],0)</f>
        <v>0</v>
      </c>
      <c r="T67" s="11">
        <f>_xlfn.XLOOKUP(TableDailySummary[[#This Row],[Fecha]],SummaryDaily[day],SummaryDaily[Rappi_average_order_value],0)</f>
        <v>0</v>
      </c>
      <c r="U67" s="11">
        <f>_xlfn.XLOOKUP(TableDailySummary[[#This Row],[Fecha]],SummaryDaily[day],SummaryDaily[Corporativo no tienda_net_sales],0)</f>
        <v>0</v>
      </c>
      <c r="V67" s="11">
        <f>_xlfn.XLOOKUP(TableDailySummary[[#This Row],[Fecha]],SummaryDaily[day],SummaryDaily[Corporativo no tienda_orders],0)</f>
        <v>0</v>
      </c>
      <c r="W67" s="11">
        <f>_xlfn.XLOOKUP(TableDailySummary[[#This Row],[Fecha]],SummaryDaily[day],SummaryDaily[Corporativo no tienda_average_order_value],0)</f>
        <v>0</v>
      </c>
      <c r="X67" s="11">
        <f>_xlfn.XLOOKUP(TableDailySummary[[#This Row],[Fecha]],SummaryDaily[day],SummaryDaily[GoogleAdsOperation.Cost],0)</f>
        <v>0</v>
      </c>
      <c r="Y67" s="11">
        <f>SUMIFS(SalesByUTMDaily[google],SalesByUTMDaily[day],TableDailySummary[[#This Row],[Fecha]])</f>
        <v>0</v>
      </c>
      <c r="Z67" s="11">
        <f>_xlfn.XLOOKUP(TableDailySummary[[#This Row],[Fecha]],SummaryDaily[day],SummaryDaily[MetaAdsOperation.spend],0)</f>
        <v>0</v>
      </c>
      <c r="AA67" s="11">
        <f>SUMIFS(SalesByUTMDaily[facebook],SalesByUTMDaily[day],TableDailySummary[[#This Row],[Fecha]])</f>
        <v>0</v>
      </c>
      <c r="AB67" s="11">
        <f>TableDailySummary[[#This Row],[Inversión google ads]]+TableDailySummary[[#This Row],[Inversión meta ads]]</f>
        <v>0</v>
      </c>
      <c r="AC67" s="11">
        <f>TableDailySummary[[#This Row],[Ventas google ads]]+TableDailySummary[[#This Row],[Ventas meta ads]]</f>
        <v>0</v>
      </c>
      <c r="AD67" s="14">
        <f>IFERROR(TableDailySummary[[#This Row],[Ventas publicidad]]/TableDailySummary[[#This Row],[Inversión publicidad]],0)</f>
        <v>0</v>
      </c>
      <c r="AE67" s="14">
        <f>IFERROR(TableDailySummary[[#This Row],[Ventas primer cliente]]/TableDailySummary[[#This Row],[Inversión publicidad]],0)</f>
        <v>0</v>
      </c>
      <c r="AF67" s="14"/>
      <c r="AG67" s="11"/>
      <c r="AM67" s="11">
        <f>_xlfn.XLOOKUP(TableDailySummary[[#This Row],[Fecha]],SummaryDaily[day],SummaryDaily[net_sales_with_cost_recorded],0)</f>
        <v>0</v>
      </c>
      <c r="AN67" s="11">
        <f>_xlfn.XLOOKUP(TableDailySummary[[#This Row],[Fecha]],SummaryDaily[day],SummaryDaily[cost_of_goods_sold],0)</f>
        <v>0</v>
      </c>
      <c r="AO67" s="11">
        <f>_xlfn.XLOOKUP(TableDailySummary[[#This Row],[Fecha]],SummaryDaily[day],SummaryDaily[gross_profit],0)</f>
        <v>0</v>
      </c>
      <c r="AP67" s="18">
        <f>IFERROR(TableDailySummary[[#This Row],[Utilidad bruta]]/TableDailySummary[[#This Row],[Ventas netas con costo registrado]],0)</f>
        <v>0</v>
      </c>
    </row>
    <row r="68" spans="2:42" x14ac:dyDescent="0.2">
      <c r="B68" s="15" cm="1">
        <f t="array" ref="B68">ParamFechaInicioReporte + (ROW(TableDailySummary[#This Row]) - ROW(TableDailySummary[[#Headers],[Dia]]) - 1)</f>
        <v>44595</v>
      </c>
      <c r="C68" s="6">
        <f>TableDailySummary[[#This Row],[Dia]]</f>
        <v>44595</v>
      </c>
      <c r="D68" s="11">
        <f>_xlfn.XLOOKUP(TableDailySummary[[#This Row],[Fecha]],SummaryDaily[day],SummaryDaily[net_sales],0)</f>
        <v>0</v>
      </c>
      <c r="E68" s="11">
        <f>_xlfn.XLOOKUP(TableDailySummary[[#This Row],[Fecha]],SummaryDaily[day],SummaryDaily[orders],0)</f>
        <v>0</v>
      </c>
      <c r="F68" s="11">
        <f>_xlfn.XLOOKUP(TableDailySummary[[#This Row],[Fecha]],SummaryDaily[day],SummaryDaily[average_order_value],0)</f>
        <v>0</v>
      </c>
      <c r="G68" s="24" cm="1">
        <f t="array" ref="G68">_xlfn.XLOOKUP(TableDailySummary[[#This Row],[Fecha]]&amp;"Total site",ConversionRateByReferral[day]&amp;ConversionRateByReferral[referrer_source],ConversionRateByReferral[conversion_rate],0)</f>
        <v>0</v>
      </c>
      <c r="H68" s="11">
        <f>TableDailySummary[[#This Row],[Órden promedio totales]]*TableDailySummary[[#This Row],[CR totales]]</f>
        <v>0</v>
      </c>
      <c r="I68" s="11">
        <f>_xlfn.XLOOKUP(TableDailySummary[[#This Row],[Fecha]],SummaryDaily[day],SummaryDaily[new_net_sales],0)</f>
        <v>0</v>
      </c>
      <c r="J68" s="11">
        <f>_xlfn.XLOOKUP(TableDailySummary[[#This Row],[Fecha]],SummaryDaily[day],SummaryDaily[new_orders],0)</f>
        <v>0</v>
      </c>
      <c r="K68" s="11">
        <f>_xlfn.XLOOKUP(TableDailySummary[[#This Row],[Fecha]],SummaryDaily[day],SummaryDaily[new_average_order_value],0)</f>
        <v>0</v>
      </c>
      <c r="L68" s="11">
        <f>_xlfn.XLOOKUP(TableDailySummary[[#This Row],[Fecha]],SummaryDaily[day],SummaryDaily[Online Store_net_sales],0)</f>
        <v>0</v>
      </c>
      <c r="M68" s="11">
        <f>_xlfn.XLOOKUP(TableDailySummary[[#This Row],[Fecha]],SummaryDaily[day],SummaryDaily[Online Store_orders],0)</f>
        <v>0</v>
      </c>
      <c r="N68" s="11">
        <f>_xlfn.XLOOKUP(TableDailySummary[[#This Row],[Fecha]],SummaryDaily[day],SummaryDaily[Online Store_average_order_value],0)</f>
        <v>0</v>
      </c>
      <c r="O68" s="11">
        <f>_xlfn.XLOOKUP(TableDailySummary[[#This Row],[Fecha]],SummaryDaily[day],SummaryDaily[Tienda 81_net_sales],0)</f>
        <v>0</v>
      </c>
      <c r="P68" s="11">
        <f>_xlfn.XLOOKUP(TableDailySummary[[#This Row],[Fecha]],SummaryDaily[day],SummaryDaily[Tienda 81_orders],0)</f>
        <v>0</v>
      </c>
      <c r="Q68" s="11">
        <f>_xlfn.XLOOKUP(TableDailySummary[[#This Row],[Fecha]],SummaryDaily[day],SummaryDaily[Tienda 81_average_order_value],0)</f>
        <v>0</v>
      </c>
      <c r="R68" s="11">
        <f>_xlfn.XLOOKUP(TableDailySummary[[#This Row],[Fecha]],SummaryDaily[day],SummaryDaily[Rappi_net_sales],0)</f>
        <v>0</v>
      </c>
      <c r="S68" s="11">
        <f>_xlfn.XLOOKUP(TableDailySummary[[#This Row],[Fecha]],SummaryDaily[day],SummaryDaily[Rappi_orders],0)</f>
        <v>0</v>
      </c>
      <c r="T68" s="11">
        <f>_xlfn.XLOOKUP(TableDailySummary[[#This Row],[Fecha]],SummaryDaily[day],SummaryDaily[Rappi_average_order_value],0)</f>
        <v>0</v>
      </c>
      <c r="U68" s="11">
        <f>_xlfn.XLOOKUP(TableDailySummary[[#This Row],[Fecha]],SummaryDaily[day],SummaryDaily[Corporativo no tienda_net_sales],0)</f>
        <v>0</v>
      </c>
      <c r="V68" s="11">
        <f>_xlfn.XLOOKUP(TableDailySummary[[#This Row],[Fecha]],SummaryDaily[day],SummaryDaily[Corporativo no tienda_orders],0)</f>
        <v>0</v>
      </c>
      <c r="W68" s="11">
        <f>_xlfn.XLOOKUP(TableDailySummary[[#This Row],[Fecha]],SummaryDaily[day],SummaryDaily[Corporativo no tienda_average_order_value],0)</f>
        <v>0</v>
      </c>
      <c r="X68" s="11">
        <f>_xlfn.XLOOKUP(TableDailySummary[[#This Row],[Fecha]],SummaryDaily[day],SummaryDaily[GoogleAdsOperation.Cost],0)</f>
        <v>0</v>
      </c>
      <c r="Y68" s="11">
        <f>SUMIFS(SalesByUTMDaily[google],SalesByUTMDaily[day],TableDailySummary[[#This Row],[Fecha]])</f>
        <v>0</v>
      </c>
      <c r="Z68" s="11">
        <f>_xlfn.XLOOKUP(TableDailySummary[[#This Row],[Fecha]],SummaryDaily[day],SummaryDaily[MetaAdsOperation.spend],0)</f>
        <v>0</v>
      </c>
      <c r="AA68" s="11">
        <f>SUMIFS(SalesByUTMDaily[facebook],SalesByUTMDaily[day],TableDailySummary[[#This Row],[Fecha]])</f>
        <v>0</v>
      </c>
      <c r="AB68" s="11">
        <f>TableDailySummary[[#This Row],[Inversión google ads]]+TableDailySummary[[#This Row],[Inversión meta ads]]</f>
        <v>0</v>
      </c>
      <c r="AC68" s="11">
        <f>TableDailySummary[[#This Row],[Ventas google ads]]+TableDailySummary[[#This Row],[Ventas meta ads]]</f>
        <v>0</v>
      </c>
      <c r="AD68" s="14">
        <f>IFERROR(TableDailySummary[[#This Row],[Ventas publicidad]]/TableDailySummary[[#This Row],[Inversión publicidad]],0)</f>
        <v>0</v>
      </c>
      <c r="AE68" s="14">
        <f>IFERROR(TableDailySummary[[#This Row],[Ventas primer cliente]]/TableDailySummary[[#This Row],[Inversión publicidad]],0)</f>
        <v>0</v>
      </c>
      <c r="AF68" s="14"/>
      <c r="AG68" s="11"/>
      <c r="AM68" s="11">
        <f>_xlfn.XLOOKUP(TableDailySummary[[#This Row],[Fecha]],SummaryDaily[day],SummaryDaily[net_sales_with_cost_recorded],0)</f>
        <v>0</v>
      </c>
      <c r="AN68" s="11">
        <f>_xlfn.XLOOKUP(TableDailySummary[[#This Row],[Fecha]],SummaryDaily[day],SummaryDaily[cost_of_goods_sold],0)</f>
        <v>0</v>
      </c>
      <c r="AO68" s="11">
        <f>_xlfn.XLOOKUP(TableDailySummary[[#This Row],[Fecha]],SummaryDaily[day],SummaryDaily[gross_profit],0)</f>
        <v>0</v>
      </c>
      <c r="AP68" s="18">
        <f>IFERROR(TableDailySummary[[#This Row],[Utilidad bruta]]/TableDailySummary[[#This Row],[Ventas netas con costo registrado]],0)</f>
        <v>0</v>
      </c>
    </row>
    <row r="69" spans="2:42" x14ac:dyDescent="0.2">
      <c r="B69" s="15" cm="1">
        <f t="array" ref="B69">ParamFechaInicioReporte + (ROW(TableDailySummary[#This Row]) - ROW(TableDailySummary[[#Headers],[Dia]]) - 1)</f>
        <v>44596</v>
      </c>
      <c r="C69" s="6">
        <f>TableDailySummary[[#This Row],[Dia]]</f>
        <v>44596</v>
      </c>
      <c r="D69" s="11">
        <f>_xlfn.XLOOKUP(TableDailySummary[[#This Row],[Fecha]],SummaryDaily[day],SummaryDaily[net_sales],0)</f>
        <v>0</v>
      </c>
      <c r="E69" s="11">
        <f>_xlfn.XLOOKUP(TableDailySummary[[#This Row],[Fecha]],SummaryDaily[day],SummaryDaily[orders],0)</f>
        <v>0</v>
      </c>
      <c r="F69" s="11">
        <f>_xlfn.XLOOKUP(TableDailySummary[[#This Row],[Fecha]],SummaryDaily[day],SummaryDaily[average_order_value],0)</f>
        <v>0</v>
      </c>
      <c r="G69" s="24" cm="1">
        <f t="array" ref="G69">_xlfn.XLOOKUP(TableDailySummary[[#This Row],[Fecha]]&amp;"Total site",ConversionRateByReferral[day]&amp;ConversionRateByReferral[referrer_source],ConversionRateByReferral[conversion_rate],0)</f>
        <v>0</v>
      </c>
      <c r="H69" s="11">
        <f>TableDailySummary[[#This Row],[Órden promedio totales]]*TableDailySummary[[#This Row],[CR totales]]</f>
        <v>0</v>
      </c>
      <c r="I69" s="11">
        <f>_xlfn.XLOOKUP(TableDailySummary[[#This Row],[Fecha]],SummaryDaily[day],SummaryDaily[new_net_sales],0)</f>
        <v>0</v>
      </c>
      <c r="J69" s="11">
        <f>_xlfn.XLOOKUP(TableDailySummary[[#This Row],[Fecha]],SummaryDaily[day],SummaryDaily[new_orders],0)</f>
        <v>0</v>
      </c>
      <c r="K69" s="11">
        <f>_xlfn.XLOOKUP(TableDailySummary[[#This Row],[Fecha]],SummaryDaily[day],SummaryDaily[new_average_order_value],0)</f>
        <v>0</v>
      </c>
      <c r="L69" s="11">
        <f>_xlfn.XLOOKUP(TableDailySummary[[#This Row],[Fecha]],SummaryDaily[day],SummaryDaily[Online Store_net_sales],0)</f>
        <v>0</v>
      </c>
      <c r="M69" s="11">
        <f>_xlfn.XLOOKUP(TableDailySummary[[#This Row],[Fecha]],SummaryDaily[day],SummaryDaily[Online Store_orders],0)</f>
        <v>0</v>
      </c>
      <c r="N69" s="11">
        <f>_xlfn.XLOOKUP(TableDailySummary[[#This Row],[Fecha]],SummaryDaily[day],SummaryDaily[Online Store_average_order_value],0)</f>
        <v>0</v>
      </c>
      <c r="O69" s="11">
        <f>_xlfn.XLOOKUP(TableDailySummary[[#This Row],[Fecha]],SummaryDaily[day],SummaryDaily[Tienda 81_net_sales],0)</f>
        <v>0</v>
      </c>
      <c r="P69" s="11">
        <f>_xlfn.XLOOKUP(TableDailySummary[[#This Row],[Fecha]],SummaryDaily[day],SummaryDaily[Tienda 81_orders],0)</f>
        <v>0</v>
      </c>
      <c r="Q69" s="11">
        <f>_xlfn.XLOOKUP(TableDailySummary[[#This Row],[Fecha]],SummaryDaily[day],SummaryDaily[Tienda 81_average_order_value],0)</f>
        <v>0</v>
      </c>
      <c r="R69" s="11">
        <f>_xlfn.XLOOKUP(TableDailySummary[[#This Row],[Fecha]],SummaryDaily[day],SummaryDaily[Rappi_net_sales],0)</f>
        <v>0</v>
      </c>
      <c r="S69" s="11">
        <f>_xlfn.XLOOKUP(TableDailySummary[[#This Row],[Fecha]],SummaryDaily[day],SummaryDaily[Rappi_orders],0)</f>
        <v>0</v>
      </c>
      <c r="T69" s="11">
        <f>_xlfn.XLOOKUP(TableDailySummary[[#This Row],[Fecha]],SummaryDaily[day],SummaryDaily[Rappi_average_order_value],0)</f>
        <v>0</v>
      </c>
      <c r="U69" s="11">
        <f>_xlfn.XLOOKUP(TableDailySummary[[#This Row],[Fecha]],SummaryDaily[day],SummaryDaily[Corporativo no tienda_net_sales],0)</f>
        <v>0</v>
      </c>
      <c r="V69" s="11">
        <f>_xlfn.XLOOKUP(TableDailySummary[[#This Row],[Fecha]],SummaryDaily[day],SummaryDaily[Corporativo no tienda_orders],0)</f>
        <v>0</v>
      </c>
      <c r="W69" s="11">
        <f>_xlfn.XLOOKUP(TableDailySummary[[#This Row],[Fecha]],SummaryDaily[day],SummaryDaily[Corporativo no tienda_average_order_value],0)</f>
        <v>0</v>
      </c>
      <c r="X69" s="11">
        <f>_xlfn.XLOOKUP(TableDailySummary[[#This Row],[Fecha]],SummaryDaily[day],SummaryDaily[GoogleAdsOperation.Cost],0)</f>
        <v>0</v>
      </c>
      <c r="Y69" s="11">
        <f>SUMIFS(SalesByUTMDaily[google],SalesByUTMDaily[day],TableDailySummary[[#This Row],[Fecha]])</f>
        <v>0</v>
      </c>
      <c r="Z69" s="11">
        <f>_xlfn.XLOOKUP(TableDailySummary[[#This Row],[Fecha]],SummaryDaily[day],SummaryDaily[MetaAdsOperation.spend],0)</f>
        <v>0</v>
      </c>
      <c r="AA69" s="11">
        <f>SUMIFS(SalesByUTMDaily[facebook],SalesByUTMDaily[day],TableDailySummary[[#This Row],[Fecha]])</f>
        <v>0</v>
      </c>
      <c r="AB69" s="11">
        <f>TableDailySummary[[#This Row],[Inversión google ads]]+TableDailySummary[[#This Row],[Inversión meta ads]]</f>
        <v>0</v>
      </c>
      <c r="AC69" s="11">
        <f>TableDailySummary[[#This Row],[Ventas google ads]]+TableDailySummary[[#This Row],[Ventas meta ads]]</f>
        <v>0</v>
      </c>
      <c r="AD69" s="14">
        <f>IFERROR(TableDailySummary[[#This Row],[Ventas publicidad]]/TableDailySummary[[#This Row],[Inversión publicidad]],0)</f>
        <v>0</v>
      </c>
      <c r="AE69" s="14">
        <f>IFERROR(TableDailySummary[[#This Row],[Ventas primer cliente]]/TableDailySummary[[#This Row],[Inversión publicidad]],0)</f>
        <v>0</v>
      </c>
      <c r="AF69" s="14"/>
      <c r="AG69" s="11"/>
      <c r="AM69" s="11">
        <f>_xlfn.XLOOKUP(TableDailySummary[[#This Row],[Fecha]],SummaryDaily[day],SummaryDaily[net_sales_with_cost_recorded],0)</f>
        <v>0</v>
      </c>
      <c r="AN69" s="11">
        <f>_xlfn.XLOOKUP(TableDailySummary[[#This Row],[Fecha]],SummaryDaily[day],SummaryDaily[cost_of_goods_sold],0)</f>
        <v>0</v>
      </c>
      <c r="AO69" s="11">
        <f>_xlfn.XLOOKUP(TableDailySummary[[#This Row],[Fecha]],SummaryDaily[day],SummaryDaily[gross_profit],0)</f>
        <v>0</v>
      </c>
      <c r="AP69" s="18">
        <f>IFERROR(TableDailySummary[[#This Row],[Utilidad bruta]]/TableDailySummary[[#This Row],[Ventas netas con costo registrado]],0)</f>
        <v>0</v>
      </c>
    </row>
    <row r="70" spans="2:42" x14ac:dyDescent="0.2">
      <c r="B70" s="15" cm="1">
        <f t="array" ref="B70">ParamFechaInicioReporte + (ROW(TableDailySummary[#This Row]) - ROW(TableDailySummary[[#Headers],[Dia]]) - 1)</f>
        <v>44597</v>
      </c>
      <c r="C70" s="6">
        <f>TableDailySummary[[#This Row],[Dia]]</f>
        <v>44597</v>
      </c>
      <c r="D70" s="11">
        <f>_xlfn.XLOOKUP(TableDailySummary[[#This Row],[Fecha]],SummaryDaily[day],SummaryDaily[net_sales],0)</f>
        <v>0</v>
      </c>
      <c r="E70" s="11">
        <f>_xlfn.XLOOKUP(TableDailySummary[[#This Row],[Fecha]],SummaryDaily[day],SummaryDaily[orders],0)</f>
        <v>0</v>
      </c>
      <c r="F70" s="11">
        <f>_xlfn.XLOOKUP(TableDailySummary[[#This Row],[Fecha]],SummaryDaily[day],SummaryDaily[average_order_value],0)</f>
        <v>0</v>
      </c>
      <c r="G70" s="24" cm="1">
        <f t="array" ref="G70">_xlfn.XLOOKUP(TableDailySummary[[#This Row],[Fecha]]&amp;"Total site",ConversionRateByReferral[day]&amp;ConversionRateByReferral[referrer_source],ConversionRateByReferral[conversion_rate],0)</f>
        <v>0</v>
      </c>
      <c r="H70" s="11">
        <f>TableDailySummary[[#This Row],[Órden promedio totales]]*TableDailySummary[[#This Row],[CR totales]]</f>
        <v>0</v>
      </c>
      <c r="I70" s="11">
        <f>_xlfn.XLOOKUP(TableDailySummary[[#This Row],[Fecha]],SummaryDaily[day],SummaryDaily[new_net_sales],0)</f>
        <v>0</v>
      </c>
      <c r="J70" s="11">
        <f>_xlfn.XLOOKUP(TableDailySummary[[#This Row],[Fecha]],SummaryDaily[day],SummaryDaily[new_orders],0)</f>
        <v>0</v>
      </c>
      <c r="K70" s="11">
        <f>_xlfn.XLOOKUP(TableDailySummary[[#This Row],[Fecha]],SummaryDaily[day],SummaryDaily[new_average_order_value],0)</f>
        <v>0</v>
      </c>
      <c r="L70" s="11">
        <f>_xlfn.XLOOKUP(TableDailySummary[[#This Row],[Fecha]],SummaryDaily[day],SummaryDaily[Online Store_net_sales],0)</f>
        <v>0</v>
      </c>
      <c r="M70" s="11">
        <f>_xlfn.XLOOKUP(TableDailySummary[[#This Row],[Fecha]],SummaryDaily[day],SummaryDaily[Online Store_orders],0)</f>
        <v>0</v>
      </c>
      <c r="N70" s="11">
        <f>_xlfn.XLOOKUP(TableDailySummary[[#This Row],[Fecha]],SummaryDaily[day],SummaryDaily[Online Store_average_order_value],0)</f>
        <v>0</v>
      </c>
      <c r="O70" s="11">
        <f>_xlfn.XLOOKUP(TableDailySummary[[#This Row],[Fecha]],SummaryDaily[day],SummaryDaily[Tienda 81_net_sales],0)</f>
        <v>0</v>
      </c>
      <c r="P70" s="11">
        <f>_xlfn.XLOOKUP(TableDailySummary[[#This Row],[Fecha]],SummaryDaily[day],SummaryDaily[Tienda 81_orders],0)</f>
        <v>0</v>
      </c>
      <c r="Q70" s="11">
        <f>_xlfn.XLOOKUP(TableDailySummary[[#This Row],[Fecha]],SummaryDaily[day],SummaryDaily[Tienda 81_average_order_value],0)</f>
        <v>0</v>
      </c>
      <c r="R70" s="11">
        <f>_xlfn.XLOOKUP(TableDailySummary[[#This Row],[Fecha]],SummaryDaily[day],SummaryDaily[Rappi_net_sales],0)</f>
        <v>0</v>
      </c>
      <c r="S70" s="11">
        <f>_xlfn.XLOOKUP(TableDailySummary[[#This Row],[Fecha]],SummaryDaily[day],SummaryDaily[Rappi_orders],0)</f>
        <v>0</v>
      </c>
      <c r="T70" s="11">
        <f>_xlfn.XLOOKUP(TableDailySummary[[#This Row],[Fecha]],SummaryDaily[day],SummaryDaily[Rappi_average_order_value],0)</f>
        <v>0</v>
      </c>
      <c r="U70" s="11">
        <f>_xlfn.XLOOKUP(TableDailySummary[[#This Row],[Fecha]],SummaryDaily[day],SummaryDaily[Corporativo no tienda_net_sales],0)</f>
        <v>0</v>
      </c>
      <c r="V70" s="11">
        <f>_xlfn.XLOOKUP(TableDailySummary[[#This Row],[Fecha]],SummaryDaily[day],SummaryDaily[Corporativo no tienda_orders],0)</f>
        <v>0</v>
      </c>
      <c r="W70" s="11">
        <f>_xlfn.XLOOKUP(TableDailySummary[[#This Row],[Fecha]],SummaryDaily[day],SummaryDaily[Corporativo no tienda_average_order_value],0)</f>
        <v>0</v>
      </c>
      <c r="X70" s="11">
        <f>_xlfn.XLOOKUP(TableDailySummary[[#This Row],[Fecha]],SummaryDaily[day],SummaryDaily[GoogleAdsOperation.Cost],0)</f>
        <v>0</v>
      </c>
      <c r="Y70" s="11">
        <f>SUMIFS(SalesByUTMDaily[google],SalesByUTMDaily[day],TableDailySummary[[#This Row],[Fecha]])</f>
        <v>0</v>
      </c>
      <c r="Z70" s="11">
        <f>_xlfn.XLOOKUP(TableDailySummary[[#This Row],[Fecha]],SummaryDaily[day],SummaryDaily[MetaAdsOperation.spend],0)</f>
        <v>0</v>
      </c>
      <c r="AA70" s="11">
        <f>SUMIFS(SalesByUTMDaily[facebook],SalesByUTMDaily[day],TableDailySummary[[#This Row],[Fecha]])</f>
        <v>0</v>
      </c>
      <c r="AB70" s="11">
        <f>TableDailySummary[[#This Row],[Inversión google ads]]+TableDailySummary[[#This Row],[Inversión meta ads]]</f>
        <v>0</v>
      </c>
      <c r="AC70" s="11">
        <f>TableDailySummary[[#This Row],[Ventas google ads]]+TableDailySummary[[#This Row],[Ventas meta ads]]</f>
        <v>0</v>
      </c>
      <c r="AD70" s="14">
        <f>IFERROR(TableDailySummary[[#This Row],[Ventas publicidad]]/TableDailySummary[[#This Row],[Inversión publicidad]],0)</f>
        <v>0</v>
      </c>
      <c r="AE70" s="14">
        <f>IFERROR(TableDailySummary[[#This Row],[Ventas primer cliente]]/TableDailySummary[[#This Row],[Inversión publicidad]],0)</f>
        <v>0</v>
      </c>
      <c r="AF70" s="14"/>
      <c r="AG70" s="11"/>
      <c r="AM70" s="11">
        <f>_xlfn.XLOOKUP(TableDailySummary[[#This Row],[Fecha]],SummaryDaily[day],SummaryDaily[net_sales_with_cost_recorded],0)</f>
        <v>0</v>
      </c>
      <c r="AN70" s="11">
        <f>_xlfn.XLOOKUP(TableDailySummary[[#This Row],[Fecha]],SummaryDaily[day],SummaryDaily[cost_of_goods_sold],0)</f>
        <v>0</v>
      </c>
      <c r="AO70" s="11">
        <f>_xlfn.XLOOKUP(TableDailySummary[[#This Row],[Fecha]],SummaryDaily[day],SummaryDaily[gross_profit],0)</f>
        <v>0</v>
      </c>
      <c r="AP70" s="18">
        <f>IFERROR(TableDailySummary[[#This Row],[Utilidad bruta]]/TableDailySummary[[#This Row],[Ventas netas con costo registrado]],0)</f>
        <v>0</v>
      </c>
    </row>
    <row r="71" spans="2:42" x14ac:dyDescent="0.2">
      <c r="B71" s="15" cm="1">
        <f t="array" ref="B71">ParamFechaInicioReporte + (ROW(TableDailySummary[#This Row]) - ROW(TableDailySummary[[#Headers],[Dia]]) - 1)</f>
        <v>44598</v>
      </c>
      <c r="C71" s="6">
        <f>TableDailySummary[[#This Row],[Dia]]</f>
        <v>44598</v>
      </c>
      <c r="D71" s="11">
        <f>_xlfn.XLOOKUP(TableDailySummary[[#This Row],[Fecha]],SummaryDaily[day],SummaryDaily[net_sales],0)</f>
        <v>0</v>
      </c>
      <c r="E71" s="11">
        <f>_xlfn.XLOOKUP(TableDailySummary[[#This Row],[Fecha]],SummaryDaily[day],SummaryDaily[orders],0)</f>
        <v>0</v>
      </c>
      <c r="F71" s="11">
        <f>_xlfn.XLOOKUP(TableDailySummary[[#This Row],[Fecha]],SummaryDaily[day],SummaryDaily[average_order_value],0)</f>
        <v>0</v>
      </c>
      <c r="G71" s="24" cm="1">
        <f t="array" ref="G71">_xlfn.XLOOKUP(TableDailySummary[[#This Row],[Fecha]]&amp;"Total site",ConversionRateByReferral[day]&amp;ConversionRateByReferral[referrer_source],ConversionRateByReferral[conversion_rate],0)</f>
        <v>0</v>
      </c>
      <c r="H71" s="11">
        <f>TableDailySummary[[#This Row],[Órden promedio totales]]*TableDailySummary[[#This Row],[CR totales]]</f>
        <v>0</v>
      </c>
      <c r="I71" s="11">
        <f>_xlfn.XLOOKUP(TableDailySummary[[#This Row],[Fecha]],SummaryDaily[day],SummaryDaily[new_net_sales],0)</f>
        <v>0</v>
      </c>
      <c r="J71" s="11">
        <f>_xlfn.XLOOKUP(TableDailySummary[[#This Row],[Fecha]],SummaryDaily[day],SummaryDaily[new_orders],0)</f>
        <v>0</v>
      </c>
      <c r="K71" s="11">
        <f>_xlfn.XLOOKUP(TableDailySummary[[#This Row],[Fecha]],SummaryDaily[day],SummaryDaily[new_average_order_value],0)</f>
        <v>0</v>
      </c>
      <c r="L71" s="11">
        <f>_xlfn.XLOOKUP(TableDailySummary[[#This Row],[Fecha]],SummaryDaily[day],SummaryDaily[Online Store_net_sales],0)</f>
        <v>0</v>
      </c>
      <c r="M71" s="11">
        <f>_xlfn.XLOOKUP(TableDailySummary[[#This Row],[Fecha]],SummaryDaily[day],SummaryDaily[Online Store_orders],0)</f>
        <v>0</v>
      </c>
      <c r="N71" s="11">
        <f>_xlfn.XLOOKUP(TableDailySummary[[#This Row],[Fecha]],SummaryDaily[day],SummaryDaily[Online Store_average_order_value],0)</f>
        <v>0</v>
      </c>
      <c r="O71" s="11">
        <f>_xlfn.XLOOKUP(TableDailySummary[[#This Row],[Fecha]],SummaryDaily[day],SummaryDaily[Tienda 81_net_sales],0)</f>
        <v>0</v>
      </c>
      <c r="P71" s="11">
        <f>_xlfn.XLOOKUP(TableDailySummary[[#This Row],[Fecha]],SummaryDaily[day],SummaryDaily[Tienda 81_orders],0)</f>
        <v>0</v>
      </c>
      <c r="Q71" s="11">
        <f>_xlfn.XLOOKUP(TableDailySummary[[#This Row],[Fecha]],SummaryDaily[day],SummaryDaily[Tienda 81_average_order_value],0)</f>
        <v>0</v>
      </c>
      <c r="R71" s="11">
        <f>_xlfn.XLOOKUP(TableDailySummary[[#This Row],[Fecha]],SummaryDaily[day],SummaryDaily[Rappi_net_sales],0)</f>
        <v>0</v>
      </c>
      <c r="S71" s="11">
        <f>_xlfn.XLOOKUP(TableDailySummary[[#This Row],[Fecha]],SummaryDaily[day],SummaryDaily[Rappi_orders],0)</f>
        <v>0</v>
      </c>
      <c r="T71" s="11">
        <f>_xlfn.XLOOKUP(TableDailySummary[[#This Row],[Fecha]],SummaryDaily[day],SummaryDaily[Rappi_average_order_value],0)</f>
        <v>0</v>
      </c>
      <c r="U71" s="11">
        <f>_xlfn.XLOOKUP(TableDailySummary[[#This Row],[Fecha]],SummaryDaily[day],SummaryDaily[Corporativo no tienda_net_sales],0)</f>
        <v>0</v>
      </c>
      <c r="V71" s="11">
        <f>_xlfn.XLOOKUP(TableDailySummary[[#This Row],[Fecha]],SummaryDaily[day],SummaryDaily[Corporativo no tienda_orders],0)</f>
        <v>0</v>
      </c>
      <c r="W71" s="11">
        <f>_xlfn.XLOOKUP(TableDailySummary[[#This Row],[Fecha]],SummaryDaily[day],SummaryDaily[Corporativo no tienda_average_order_value],0)</f>
        <v>0</v>
      </c>
      <c r="X71" s="11">
        <f>_xlfn.XLOOKUP(TableDailySummary[[#This Row],[Fecha]],SummaryDaily[day],SummaryDaily[GoogleAdsOperation.Cost],0)</f>
        <v>0</v>
      </c>
      <c r="Y71" s="11">
        <f>SUMIFS(SalesByUTMDaily[google],SalesByUTMDaily[day],TableDailySummary[[#This Row],[Fecha]])</f>
        <v>0</v>
      </c>
      <c r="Z71" s="11">
        <f>_xlfn.XLOOKUP(TableDailySummary[[#This Row],[Fecha]],SummaryDaily[day],SummaryDaily[MetaAdsOperation.spend],0)</f>
        <v>0</v>
      </c>
      <c r="AA71" s="11">
        <f>SUMIFS(SalesByUTMDaily[facebook],SalesByUTMDaily[day],TableDailySummary[[#This Row],[Fecha]])</f>
        <v>0</v>
      </c>
      <c r="AB71" s="11">
        <f>TableDailySummary[[#This Row],[Inversión google ads]]+TableDailySummary[[#This Row],[Inversión meta ads]]</f>
        <v>0</v>
      </c>
      <c r="AC71" s="11">
        <f>TableDailySummary[[#This Row],[Ventas google ads]]+TableDailySummary[[#This Row],[Ventas meta ads]]</f>
        <v>0</v>
      </c>
      <c r="AD71" s="14">
        <f>IFERROR(TableDailySummary[[#This Row],[Ventas publicidad]]/TableDailySummary[[#This Row],[Inversión publicidad]],0)</f>
        <v>0</v>
      </c>
      <c r="AE71" s="14">
        <f>IFERROR(TableDailySummary[[#This Row],[Ventas primer cliente]]/TableDailySummary[[#This Row],[Inversión publicidad]],0)</f>
        <v>0</v>
      </c>
      <c r="AF71" s="14"/>
      <c r="AG71" s="11"/>
      <c r="AM71" s="11">
        <f>_xlfn.XLOOKUP(TableDailySummary[[#This Row],[Fecha]],SummaryDaily[day],SummaryDaily[net_sales_with_cost_recorded],0)</f>
        <v>0</v>
      </c>
      <c r="AN71" s="11">
        <f>_xlfn.XLOOKUP(TableDailySummary[[#This Row],[Fecha]],SummaryDaily[day],SummaryDaily[cost_of_goods_sold],0)</f>
        <v>0</v>
      </c>
      <c r="AO71" s="11">
        <f>_xlfn.XLOOKUP(TableDailySummary[[#This Row],[Fecha]],SummaryDaily[day],SummaryDaily[gross_profit],0)</f>
        <v>0</v>
      </c>
      <c r="AP71" s="18">
        <f>IFERROR(TableDailySummary[[#This Row],[Utilidad bruta]]/TableDailySummary[[#This Row],[Ventas netas con costo registrado]],0)</f>
        <v>0</v>
      </c>
    </row>
    <row r="72" spans="2:42" x14ac:dyDescent="0.2">
      <c r="B72" s="15" cm="1">
        <f t="array" ref="B72">ParamFechaInicioReporte + (ROW(TableDailySummary[#This Row]) - ROW(TableDailySummary[[#Headers],[Dia]]) - 1)</f>
        <v>44599</v>
      </c>
      <c r="C72" s="6">
        <f>TableDailySummary[[#This Row],[Dia]]</f>
        <v>44599</v>
      </c>
      <c r="D72" s="11">
        <f>_xlfn.XLOOKUP(TableDailySummary[[#This Row],[Fecha]],SummaryDaily[day],SummaryDaily[net_sales],0)</f>
        <v>0</v>
      </c>
      <c r="E72" s="11">
        <f>_xlfn.XLOOKUP(TableDailySummary[[#This Row],[Fecha]],SummaryDaily[day],SummaryDaily[orders],0)</f>
        <v>0</v>
      </c>
      <c r="F72" s="11">
        <f>_xlfn.XLOOKUP(TableDailySummary[[#This Row],[Fecha]],SummaryDaily[day],SummaryDaily[average_order_value],0)</f>
        <v>0</v>
      </c>
      <c r="G72" s="24" cm="1">
        <f t="array" ref="G72">_xlfn.XLOOKUP(TableDailySummary[[#This Row],[Fecha]]&amp;"Total site",ConversionRateByReferral[day]&amp;ConversionRateByReferral[referrer_source],ConversionRateByReferral[conversion_rate],0)</f>
        <v>0</v>
      </c>
      <c r="H72" s="11">
        <f>TableDailySummary[[#This Row],[Órden promedio totales]]*TableDailySummary[[#This Row],[CR totales]]</f>
        <v>0</v>
      </c>
      <c r="I72" s="11">
        <f>_xlfn.XLOOKUP(TableDailySummary[[#This Row],[Fecha]],SummaryDaily[day],SummaryDaily[new_net_sales],0)</f>
        <v>0</v>
      </c>
      <c r="J72" s="11">
        <f>_xlfn.XLOOKUP(TableDailySummary[[#This Row],[Fecha]],SummaryDaily[day],SummaryDaily[new_orders],0)</f>
        <v>0</v>
      </c>
      <c r="K72" s="11">
        <f>_xlfn.XLOOKUP(TableDailySummary[[#This Row],[Fecha]],SummaryDaily[day],SummaryDaily[new_average_order_value],0)</f>
        <v>0</v>
      </c>
      <c r="L72" s="11">
        <f>_xlfn.XLOOKUP(TableDailySummary[[#This Row],[Fecha]],SummaryDaily[day],SummaryDaily[Online Store_net_sales],0)</f>
        <v>0</v>
      </c>
      <c r="M72" s="11">
        <f>_xlfn.XLOOKUP(TableDailySummary[[#This Row],[Fecha]],SummaryDaily[day],SummaryDaily[Online Store_orders],0)</f>
        <v>0</v>
      </c>
      <c r="N72" s="11">
        <f>_xlfn.XLOOKUP(TableDailySummary[[#This Row],[Fecha]],SummaryDaily[day],SummaryDaily[Online Store_average_order_value],0)</f>
        <v>0</v>
      </c>
      <c r="O72" s="11">
        <f>_xlfn.XLOOKUP(TableDailySummary[[#This Row],[Fecha]],SummaryDaily[day],SummaryDaily[Tienda 81_net_sales],0)</f>
        <v>0</v>
      </c>
      <c r="P72" s="11">
        <f>_xlfn.XLOOKUP(TableDailySummary[[#This Row],[Fecha]],SummaryDaily[day],SummaryDaily[Tienda 81_orders],0)</f>
        <v>0</v>
      </c>
      <c r="Q72" s="11">
        <f>_xlfn.XLOOKUP(TableDailySummary[[#This Row],[Fecha]],SummaryDaily[day],SummaryDaily[Tienda 81_average_order_value],0)</f>
        <v>0</v>
      </c>
      <c r="R72" s="11">
        <f>_xlfn.XLOOKUP(TableDailySummary[[#This Row],[Fecha]],SummaryDaily[day],SummaryDaily[Rappi_net_sales],0)</f>
        <v>0</v>
      </c>
      <c r="S72" s="11">
        <f>_xlfn.XLOOKUP(TableDailySummary[[#This Row],[Fecha]],SummaryDaily[day],SummaryDaily[Rappi_orders],0)</f>
        <v>0</v>
      </c>
      <c r="T72" s="11">
        <f>_xlfn.XLOOKUP(TableDailySummary[[#This Row],[Fecha]],SummaryDaily[day],SummaryDaily[Rappi_average_order_value],0)</f>
        <v>0</v>
      </c>
      <c r="U72" s="11">
        <f>_xlfn.XLOOKUP(TableDailySummary[[#This Row],[Fecha]],SummaryDaily[day],SummaryDaily[Corporativo no tienda_net_sales],0)</f>
        <v>0</v>
      </c>
      <c r="V72" s="11">
        <f>_xlfn.XLOOKUP(TableDailySummary[[#This Row],[Fecha]],SummaryDaily[day],SummaryDaily[Corporativo no tienda_orders],0)</f>
        <v>0</v>
      </c>
      <c r="W72" s="11">
        <f>_xlfn.XLOOKUP(TableDailySummary[[#This Row],[Fecha]],SummaryDaily[day],SummaryDaily[Corporativo no tienda_average_order_value],0)</f>
        <v>0</v>
      </c>
      <c r="X72" s="11">
        <f>_xlfn.XLOOKUP(TableDailySummary[[#This Row],[Fecha]],SummaryDaily[day],SummaryDaily[GoogleAdsOperation.Cost],0)</f>
        <v>0</v>
      </c>
      <c r="Y72" s="11">
        <f>SUMIFS(SalesByUTMDaily[google],SalesByUTMDaily[day],TableDailySummary[[#This Row],[Fecha]])</f>
        <v>0</v>
      </c>
      <c r="Z72" s="11">
        <f>_xlfn.XLOOKUP(TableDailySummary[[#This Row],[Fecha]],SummaryDaily[day],SummaryDaily[MetaAdsOperation.spend],0)</f>
        <v>0</v>
      </c>
      <c r="AA72" s="11">
        <f>SUMIFS(SalesByUTMDaily[facebook],SalesByUTMDaily[day],TableDailySummary[[#This Row],[Fecha]])</f>
        <v>0</v>
      </c>
      <c r="AB72" s="11">
        <f>TableDailySummary[[#This Row],[Inversión google ads]]+TableDailySummary[[#This Row],[Inversión meta ads]]</f>
        <v>0</v>
      </c>
      <c r="AC72" s="11">
        <f>TableDailySummary[[#This Row],[Ventas google ads]]+TableDailySummary[[#This Row],[Ventas meta ads]]</f>
        <v>0</v>
      </c>
      <c r="AD72" s="14">
        <f>IFERROR(TableDailySummary[[#This Row],[Ventas publicidad]]/TableDailySummary[[#This Row],[Inversión publicidad]],0)</f>
        <v>0</v>
      </c>
      <c r="AE72" s="14">
        <f>IFERROR(TableDailySummary[[#This Row],[Ventas primer cliente]]/TableDailySummary[[#This Row],[Inversión publicidad]],0)</f>
        <v>0</v>
      </c>
      <c r="AF72" s="14"/>
      <c r="AG72" s="11"/>
      <c r="AM72" s="11">
        <f>_xlfn.XLOOKUP(TableDailySummary[[#This Row],[Fecha]],SummaryDaily[day],SummaryDaily[net_sales_with_cost_recorded],0)</f>
        <v>0</v>
      </c>
      <c r="AN72" s="11">
        <f>_xlfn.XLOOKUP(TableDailySummary[[#This Row],[Fecha]],SummaryDaily[day],SummaryDaily[cost_of_goods_sold],0)</f>
        <v>0</v>
      </c>
      <c r="AO72" s="11">
        <f>_xlfn.XLOOKUP(TableDailySummary[[#This Row],[Fecha]],SummaryDaily[day],SummaryDaily[gross_profit],0)</f>
        <v>0</v>
      </c>
      <c r="AP72" s="18">
        <f>IFERROR(TableDailySummary[[#This Row],[Utilidad bruta]]/TableDailySummary[[#This Row],[Ventas netas con costo registrado]],0)</f>
        <v>0</v>
      </c>
    </row>
    <row r="73" spans="2:42" x14ac:dyDescent="0.2">
      <c r="B73" s="15" cm="1">
        <f t="array" ref="B73">ParamFechaInicioReporte + (ROW(TableDailySummary[#This Row]) - ROW(TableDailySummary[[#Headers],[Dia]]) - 1)</f>
        <v>44600</v>
      </c>
      <c r="C73" s="6">
        <f>TableDailySummary[[#This Row],[Dia]]</f>
        <v>44600</v>
      </c>
      <c r="D73" s="11">
        <f>_xlfn.XLOOKUP(TableDailySummary[[#This Row],[Fecha]],SummaryDaily[day],SummaryDaily[net_sales],0)</f>
        <v>0</v>
      </c>
      <c r="E73" s="11">
        <f>_xlfn.XLOOKUP(TableDailySummary[[#This Row],[Fecha]],SummaryDaily[day],SummaryDaily[orders],0)</f>
        <v>0</v>
      </c>
      <c r="F73" s="11">
        <f>_xlfn.XLOOKUP(TableDailySummary[[#This Row],[Fecha]],SummaryDaily[day],SummaryDaily[average_order_value],0)</f>
        <v>0</v>
      </c>
      <c r="G73" s="24" cm="1">
        <f t="array" ref="G73">_xlfn.XLOOKUP(TableDailySummary[[#This Row],[Fecha]]&amp;"Total site",ConversionRateByReferral[day]&amp;ConversionRateByReferral[referrer_source],ConversionRateByReferral[conversion_rate],0)</f>
        <v>0</v>
      </c>
      <c r="H73" s="11">
        <f>TableDailySummary[[#This Row],[Órden promedio totales]]*TableDailySummary[[#This Row],[CR totales]]</f>
        <v>0</v>
      </c>
      <c r="I73" s="11">
        <f>_xlfn.XLOOKUP(TableDailySummary[[#This Row],[Fecha]],SummaryDaily[day],SummaryDaily[new_net_sales],0)</f>
        <v>0</v>
      </c>
      <c r="J73" s="11">
        <f>_xlfn.XLOOKUP(TableDailySummary[[#This Row],[Fecha]],SummaryDaily[day],SummaryDaily[new_orders],0)</f>
        <v>0</v>
      </c>
      <c r="K73" s="11">
        <f>_xlfn.XLOOKUP(TableDailySummary[[#This Row],[Fecha]],SummaryDaily[day],SummaryDaily[new_average_order_value],0)</f>
        <v>0</v>
      </c>
      <c r="L73" s="11">
        <f>_xlfn.XLOOKUP(TableDailySummary[[#This Row],[Fecha]],SummaryDaily[day],SummaryDaily[Online Store_net_sales],0)</f>
        <v>0</v>
      </c>
      <c r="M73" s="11">
        <f>_xlfn.XLOOKUP(TableDailySummary[[#This Row],[Fecha]],SummaryDaily[day],SummaryDaily[Online Store_orders],0)</f>
        <v>0</v>
      </c>
      <c r="N73" s="11">
        <f>_xlfn.XLOOKUP(TableDailySummary[[#This Row],[Fecha]],SummaryDaily[day],SummaryDaily[Online Store_average_order_value],0)</f>
        <v>0</v>
      </c>
      <c r="O73" s="11">
        <f>_xlfn.XLOOKUP(TableDailySummary[[#This Row],[Fecha]],SummaryDaily[day],SummaryDaily[Tienda 81_net_sales],0)</f>
        <v>0</v>
      </c>
      <c r="P73" s="11">
        <f>_xlfn.XLOOKUP(TableDailySummary[[#This Row],[Fecha]],SummaryDaily[day],SummaryDaily[Tienda 81_orders],0)</f>
        <v>0</v>
      </c>
      <c r="Q73" s="11">
        <f>_xlfn.XLOOKUP(TableDailySummary[[#This Row],[Fecha]],SummaryDaily[day],SummaryDaily[Tienda 81_average_order_value],0)</f>
        <v>0</v>
      </c>
      <c r="R73" s="11">
        <f>_xlfn.XLOOKUP(TableDailySummary[[#This Row],[Fecha]],SummaryDaily[day],SummaryDaily[Rappi_net_sales],0)</f>
        <v>0</v>
      </c>
      <c r="S73" s="11">
        <f>_xlfn.XLOOKUP(TableDailySummary[[#This Row],[Fecha]],SummaryDaily[day],SummaryDaily[Rappi_orders],0)</f>
        <v>0</v>
      </c>
      <c r="T73" s="11">
        <f>_xlfn.XLOOKUP(TableDailySummary[[#This Row],[Fecha]],SummaryDaily[day],SummaryDaily[Rappi_average_order_value],0)</f>
        <v>0</v>
      </c>
      <c r="U73" s="11">
        <f>_xlfn.XLOOKUP(TableDailySummary[[#This Row],[Fecha]],SummaryDaily[day],SummaryDaily[Corporativo no tienda_net_sales],0)</f>
        <v>0</v>
      </c>
      <c r="V73" s="11">
        <f>_xlfn.XLOOKUP(TableDailySummary[[#This Row],[Fecha]],SummaryDaily[day],SummaryDaily[Corporativo no tienda_orders],0)</f>
        <v>0</v>
      </c>
      <c r="W73" s="11">
        <f>_xlfn.XLOOKUP(TableDailySummary[[#This Row],[Fecha]],SummaryDaily[day],SummaryDaily[Corporativo no tienda_average_order_value],0)</f>
        <v>0</v>
      </c>
      <c r="X73" s="11">
        <f>_xlfn.XLOOKUP(TableDailySummary[[#This Row],[Fecha]],SummaryDaily[day],SummaryDaily[GoogleAdsOperation.Cost],0)</f>
        <v>0</v>
      </c>
      <c r="Y73" s="11">
        <f>SUMIFS(SalesByUTMDaily[google],SalesByUTMDaily[day],TableDailySummary[[#This Row],[Fecha]])</f>
        <v>0</v>
      </c>
      <c r="Z73" s="11">
        <f>_xlfn.XLOOKUP(TableDailySummary[[#This Row],[Fecha]],SummaryDaily[day],SummaryDaily[MetaAdsOperation.spend],0)</f>
        <v>0</v>
      </c>
      <c r="AA73" s="11">
        <f>SUMIFS(SalesByUTMDaily[facebook],SalesByUTMDaily[day],TableDailySummary[[#This Row],[Fecha]])</f>
        <v>0</v>
      </c>
      <c r="AB73" s="11">
        <f>TableDailySummary[[#This Row],[Inversión google ads]]+TableDailySummary[[#This Row],[Inversión meta ads]]</f>
        <v>0</v>
      </c>
      <c r="AC73" s="11">
        <f>TableDailySummary[[#This Row],[Ventas google ads]]+TableDailySummary[[#This Row],[Ventas meta ads]]</f>
        <v>0</v>
      </c>
      <c r="AD73" s="14">
        <f>IFERROR(TableDailySummary[[#This Row],[Ventas publicidad]]/TableDailySummary[[#This Row],[Inversión publicidad]],0)</f>
        <v>0</v>
      </c>
      <c r="AE73" s="14">
        <f>IFERROR(TableDailySummary[[#This Row],[Ventas primer cliente]]/TableDailySummary[[#This Row],[Inversión publicidad]],0)</f>
        <v>0</v>
      </c>
      <c r="AF73" s="14"/>
      <c r="AG73" s="11"/>
      <c r="AM73" s="11">
        <f>_xlfn.XLOOKUP(TableDailySummary[[#This Row],[Fecha]],SummaryDaily[day],SummaryDaily[net_sales_with_cost_recorded],0)</f>
        <v>0</v>
      </c>
      <c r="AN73" s="11">
        <f>_xlfn.XLOOKUP(TableDailySummary[[#This Row],[Fecha]],SummaryDaily[day],SummaryDaily[cost_of_goods_sold],0)</f>
        <v>0</v>
      </c>
      <c r="AO73" s="11">
        <f>_xlfn.XLOOKUP(TableDailySummary[[#This Row],[Fecha]],SummaryDaily[day],SummaryDaily[gross_profit],0)</f>
        <v>0</v>
      </c>
      <c r="AP73" s="18">
        <f>IFERROR(TableDailySummary[[#This Row],[Utilidad bruta]]/TableDailySummary[[#This Row],[Ventas netas con costo registrado]],0)</f>
        <v>0</v>
      </c>
    </row>
    <row r="74" spans="2:42" x14ac:dyDescent="0.2">
      <c r="B74" s="15" cm="1">
        <f t="array" ref="B74">ParamFechaInicioReporte + (ROW(TableDailySummary[#This Row]) - ROW(TableDailySummary[[#Headers],[Dia]]) - 1)</f>
        <v>44601</v>
      </c>
      <c r="C74" s="6">
        <f>TableDailySummary[[#This Row],[Dia]]</f>
        <v>44601</v>
      </c>
      <c r="D74" s="11">
        <f>_xlfn.XLOOKUP(TableDailySummary[[#This Row],[Fecha]],SummaryDaily[day],SummaryDaily[net_sales],0)</f>
        <v>0</v>
      </c>
      <c r="E74" s="11">
        <f>_xlfn.XLOOKUP(TableDailySummary[[#This Row],[Fecha]],SummaryDaily[day],SummaryDaily[orders],0)</f>
        <v>0</v>
      </c>
      <c r="F74" s="11">
        <f>_xlfn.XLOOKUP(TableDailySummary[[#This Row],[Fecha]],SummaryDaily[day],SummaryDaily[average_order_value],0)</f>
        <v>0</v>
      </c>
      <c r="G74" s="24" cm="1">
        <f t="array" ref="G74">_xlfn.XLOOKUP(TableDailySummary[[#This Row],[Fecha]]&amp;"Total site",ConversionRateByReferral[day]&amp;ConversionRateByReferral[referrer_source],ConversionRateByReferral[conversion_rate],0)</f>
        <v>0</v>
      </c>
      <c r="H74" s="11">
        <f>TableDailySummary[[#This Row],[Órden promedio totales]]*TableDailySummary[[#This Row],[CR totales]]</f>
        <v>0</v>
      </c>
      <c r="I74" s="11">
        <f>_xlfn.XLOOKUP(TableDailySummary[[#This Row],[Fecha]],SummaryDaily[day],SummaryDaily[new_net_sales],0)</f>
        <v>0</v>
      </c>
      <c r="J74" s="11">
        <f>_xlfn.XLOOKUP(TableDailySummary[[#This Row],[Fecha]],SummaryDaily[day],SummaryDaily[new_orders],0)</f>
        <v>0</v>
      </c>
      <c r="K74" s="11">
        <f>_xlfn.XLOOKUP(TableDailySummary[[#This Row],[Fecha]],SummaryDaily[day],SummaryDaily[new_average_order_value],0)</f>
        <v>0</v>
      </c>
      <c r="L74" s="11">
        <f>_xlfn.XLOOKUP(TableDailySummary[[#This Row],[Fecha]],SummaryDaily[day],SummaryDaily[Online Store_net_sales],0)</f>
        <v>0</v>
      </c>
      <c r="M74" s="11">
        <f>_xlfn.XLOOKUP(TableDailySummary[[#This Row],[Fecha]],SummaryDaily[day],SummaryDaily[Online Store_orders],0)</f>
        <v>0</v>
      </c>
      <c r="N74" s="11">
        <f>_xlfn.XLOOKUP(TableDailySummary[[#This Row],[Fecha]],SummaryDaily[day],SummaryDaily[Online Store_average_order_value],0)</f>
        <v>0</v>
      </c>
      <c r="O74" s="11">
        <f>_xlfn.XLOOKUP(TableDailySummary[[#This Row],[Fecha]],SummaryDaily[day],SummaryDaily[Tienda 81_net_sales],0)</f>
        <v>0</v>
      </c>
      <c r="P74" s="11">
        <f>_xlfn.XLOOKUP(TableDailySummary[[#This Row],[Fecha]],SummaryDaily[day],SummaryDaily[Tienda 81_orders],0)</f>
        <v>0</v>
      </c>
      <c r="Q74" s="11">
        <f>_xlfn.XLOOKUP(TableDailySummary[[#This Row],[Fecha]],SummaryDaily[day],SummaryDaily[Tienda 81_average_order_value],0)</f>
        <v>0</v>
      </c>
      <c r="R74" s="11">
        <f>_xlfn.XLOOKUP(TableDailySummary[[#This Row],[Fecha]],SummaryDaily[day],SummaryDaily[Rappi_net_sales],0)</f>
        <v>0</v>
      </c>
      <c r="S74" s="11">
        <f>_xlfn.XLOOKUP(TableDailySummary[[#This Row],[Fecha]],SummaryDaily[day],SummaryDaily[Rappi_orders],0)</f>
        <v>0</v>
      </c>
      <c r="T74" s="11">
        <f>_xlfn.XLOOKUP(TableDailySummary[[#This Row],[Fecha]],SummaryDaily[day],SummaryDaily[Rappi_average_order_value],0)</f>
        <v>0</v>
      </c>
      <c r="U74" s="11">
        <f>_xlfn.XLOOKUP(TableDailySummary[[#This Row],[Fecha]],SummaryDaily[day],SummaryDaily[Corporativo no tienda_net_sales],0)</f>
        <v>0</v>
      </c>
      <c r="V74" s="11">
        <f>_xlfn.XLOOKUP(TableDailySummary[[#This Row],[Fecha]],SummaryDaily[day],SummaryDaily[Corporativo no tienda_orders],0)</f>
        <v>0</v>
      </c>
      <c r="W74" s="11">
        <f>_xlfn.XLOOKUP(TableDailySummary[[#This Row],[Fecha]],SummaryDaily[day],SummaryDaily[Corporativo no tienda_average_order_value],0)</f>
        <v>0</v>
      </c>
      <c r="X74" s="11">
        <f>_xlfn.XLOOKUP(TableDailySummary[[#This Row],[Fecha]],SummaryDaily[day],SummaryDaily[GoogleAdsOperation.Cost],0)</f>
        <v>0</v>
      </c>
      <c r="Y74" s="11">
        <f>SUMIFS(SalesByUTMDaily[google],SalesByUTMDaily[day],TableDailySummary[[#This Row],[Fecha]])</f>
        <v>0</v>
      </c>
      <c r="Z74" s="11">
        <f>_xlfn.XLOOKUP(TableDailySummary[[#This Row],[Fecha]],SummaryDaily[day],SummaryDaily[MetaAdsOperation.spend],0)</f>
        <v>0</v>
      </c>
      <c r="AA74" s="11">
        <f>SUMIFS(SalesByUTMDaily[facebook],SalesByUTMDaily[day],TableDailySummary[[#This Row],[Fecha]])</f>
        <v>0</v>
      </c>
      <c r="AB74" s="11">
        <f>TableDailySummary[[#This Row],[Inversión google ads]]+TableDailySummary[[#This Row],[Inversión meta ads]]</f>
        <v>0</v>
      </c>
      <c r="AC74" s="11">
        <f>TableDailySummary[[#This Row],[Ventas google ads]]+TableDailySummary[[#This Row],[Ventas meta ads]]</f>
        <v>0</v>
      </c>
      <c r="AD74" s="14">
        <f>IFERROR(TableDailySummary[[#This Row],[Ventas publicidad]]/TableDailySummary[[#This Row],[Inversión publicidad]],0)</f>
        <v>0</v>
      </c>
      <c r="AE74" s="14">
        <f>IFERROR(TableDailySummary[[#This Row],[Ventas primer cliente]]/TableDailySummary[[#This Row],[Inversión publicidad]],0)</f>
        <v>0</v>
      </c>
      <c r="AF74" s="14"/>
      <c r="AG74" s="11"/>
      <c r="AM74" s="11">
        <f>_xlfn.XLOOKUP(TableDailySummary[[#This Row],[Fecha]],SummaryDaily[day],SummaryDaily[net_sales_with_cost_recorded],0)</f>
        <v>0</v>
      </c>
      <c r="AN74" s="11">
        <f>_xlfn.XLOOKUP(TableDailySummary[[#This Row],[Fecha]],SummaryDaily[day],SummaryDaily[cost_of_goods_sold],0)</f>
        <v>0</v>
      </c>
      <c r="AO74" s="11">
        <f>_xlfn.XLOOKUP(TableDailySummary[[#This Row],[Fecha]],SummaryDaily[day],SummaryDaily[gross_profit],0)</f>
        <v>0</v>
      </c>
      <c r="AP74" s="18">
        <f>IFERROR(TableDailySummary[[#This Row],[Utilidad bruta]]/TableDailySummary[[#This Row],[Ventas netas con costo registrado]],0)</f>
        <v>0</v>
      </c>
    </row>
    <row r="75" spans="2:42" x14ac:dyDescent="0.2">
      <c r="B75" s="15" cm="1">
        <f t="array" ref="B75">ParamFechaInicioReporte + (ROW(TableDailySummary[#This Row]) - ROW(TableDailySummary[[#Headers],[Dia]]) - 1)</f>
        <v>44602</v>
      </c>
      <c r="C75" s="6">
        <f>TableDailySummary[[#This Row],[Dia]]</f>
        <v>44602</v>
      </c>
      <c r="D75" s="11">
        <f>_xlfn.XLOOKUP(TableDailySummary[[#This Row],[Fecha]],SummaryDaily[day],SummaryDaily[net_sales],0)</f>
        <v>0</v>
      </c>
      <c r="E75" s="11">
        <f>_xlfn.XLOOKUP(TableDailySummary[[#This Row],[Fecha]],SummaryDaily[day],SummaryDaily[orders],0)</f>
        <v>0</v>
      </c>
      <c r="F75" s="11">
        <f>_xlfn.XLOOKUP(TableDailySummary[[#This Row],[Fecha]],SummaryDaily[day],SummaryDaily[average_order_value],0)</f>
        <v>0</v>
      </c>
      <c r="G75" s="24" cm="1">
        <f t="array" ref="G75">_xlfn.XLOOKUP(TableDailySummary[[#This Row],[Fecha]]&amp;"Total site",ConversionRateByReferral[day]&amp;ConversionRateByReferral[referrer_source],ConversionRateByReferral[conversion_rate],0)</f>
        <v>0</v>
      </c>
      <c r="H75" s="11">
        <f>TableDailySummary[[#This Row],[Órden promedio totales]]*TableDailySummary[[#This Row],[CR totales]]</f>
        <v>0</v>
      </c>
      <c r="I75" s="11">
        <f>_xlfn.XLOOKUP(TableDailySummary[[#This Row],[Fecha]],SummaryDaily[day],SummaryDaily[new_net_sales],0)</f>
        <v>0</v>
      </c>
      <c r="J75" s="11">
        <f>_xlfn.XLOOKUP(TableDailySummary[[#This Row],[Fecha]],SummaryDaily[day],SummaryDaily[new_orders],0)</f>
        <v>0</v>
      </c>
      <c r="K75" s="11">
        <f>_xlfn.XLOOKUP(TableDailySummary[[#This Row],[Fecha]],SummaryDaily[day],SummaryDaily[new_average_order_value],0)</f>
        <v>0</v>
      </c>
      <c r="L75" s="11">
        <f>_xlfn.XLOOKUP(TableDailySummary[[#This Row],[Fecha]],SummaryDaily[day],SummaryDaily[Online Store_net_sales],0)</f>
        <v>0</v>
      </c>
      <c r="M75" s="11">
        <f>_xlfn.XLOOKUP(TableDailySummary[[#This Row],[Fecha]],SummaryDaily[day],SummaryDaily[Online Store_orders],0)</f>
        <v>0</v>
      </c>
      <c r="N75" s="11">
        <f>_xlfn.XLOOKUP(TableDailySummary[[#This Row],[Fecha]],SummaryDaily[day],SummaryDaily[Online Store_average_order_value],0)</f>
        <v>0</v>
      </c>
      <c r="O75" s="11">
        <f>_xlfn.XLOOKUP(TableDailySummary[[#This Row],[Fecha]],SummaryDaily[day],SummaryDaily[Tienda 81_net_sales],0)</f>
        <v>0</v>
      </c>
      <c r="P75" s="11">
        <f>_xlfn.XLOOKUP(TableDailySummary[[#This Row],[Fecha]],SummaryDaily[day],SummaryDaily[Tienda 81_orders],0)</f>
        <v>0</v>
      </c>
      <c r="Q75" s="11">
        <f>_xlfn.XLOOKUP(TableDailySummary[[#This Row],[Fecha]],SummaryDaily[day],SummaryDaily[Tienda 81_average_order_value],0)</f>
        <v>0</v>
      </c>
      <c r="R75" s="11">
        <f>_xlfn.XLOOKUP(TableDailySummary[[#This Row],[Fecha]],SummaryDaily[day],SummaryDaily[Rappi_net_sales],0)</f>
        <v>0</v>
      </c>
      <c r="S75" s="11">
        <f>_xlfn.XLOOKUP(TableDailySummary[[#This Row],[Fecha]],SummaryDaily[day],SummaryDaily[Rappi_orders],0)</f>
        <v>0</v>
      </c>
      <c r="T75" s="11">
        <f>_xlfn.XLOOKUP(TableDailySummary[[#This Row],[Fecha]],SummaryDaily[day],SummaryDaily[Rappi_average_order_value],0)</f>
        <v>0</v>
      </c>
      <c r="U75" s="11">
        <f>_xlfn.XLOOKUP(TableDailySummary[[#This Row],[Fecha]],SummaryDaily[day],SummaryDaily[Corporativo no tienda_net_sales],0)</f>
        <v>0</v>
      </c>
      <c r="V75" s="11">
        <f>_xlfn.XLOOKUP(TableDailySummary[[#This Row],[Fecha]],SummaryDaily[day],SummaryDaily[Corporativo no tienda_orders],0)</f>
        <v>0</v>
      </c>
      <c r="W75" s="11">
        <f>_xlfn.XLOOKUP(TableDailySummary[[#This Row],[Fecha]],SummaryDaily[day],SummaryDaily[Corporativo no tienda_average_order_value],0)</f>
        <v>0</v>
      </c>
      <c r="X75" s="11">
        <f>_xlfn.XLOOKUP(TableDailySummary[[#This Row],[Fecha]],SummaryDaily[day],SummaryDaily[GoogleAdsOperation.Cost],0)</f>
        <v>0</v>
      </c>
      <c r="Y75" s="11">
        <f>SUMIFS(SalesByUTMDaily[google],SalesByUTMDaily[day],TableDailySummary[[#This Row],[Fecha]])</f>
        <v>0</v>
      </c>
      <c r="Z75" s="11">
        <f>_xlfn.XLOOKUP(TableDailySummary[[#This Row],[Fecha]],SummaryDaily[day],SummaryDaily[MetaAdsOperation.spend],0)</f>
        <v>0</v>
      </c>
      <c r="AA75" s="11">
        <f>SUMIFS(SalesByUTMDaily[facebook],SalesByUTMDaily[day],TableDailySummary[[#This Row],[Fecha]])</f>
        <v>0</v>
      </c>
      <c r="AB75" s="11">
        <f>TableDailySummary[[#This Row],[Inversión google ads]]+TableDailySummary[[#This Row],[Inversión meta ads]]</f>
        <v>0</v>
      </c>
      <c r="AC75" s="11">
        <f>TableDailySummary[[#This Row],[Ventas google ads]]+TableDailySummary[[#This Row],[Ventas meta ads]]</f>
        <v>0</v>
      </c>
      <c r="AD75" s="14">
        <f>IFERROR(TableDailySummary[[#This Row],[Ventas publicidad]]/TableDailySummary[[#This Row],[Inversión publicidad]],0)</f>
        <v>0</v>
      </c>
      <c r="AE75" s="14">
        <f>IFERROR(TableDailySummary[[#This Row],[Ventas primer cliente]]/TableDailySummary[[#This Row],[Inversión publicidad]],0)</f>
        <v>0</v>
      </c>
      <c r="AF75" s="14"/>
      <c r="AG75" s="11"/>
      <c r="AM75" s="11">
        <f>_xlfn.XLOOKUP(TableDailySummary[[#This Row],[Fecha]],SummaryDaily[day],SummaryDaily[net_sales_with_cost_recorded],0)</f>
        <v>0</v>
      </c>
      <c r="AN75" s="11">
        <f>_xlfn.XLOOKUP(TableDailySummary[[#This Row],[Fecha]],SummaryDaily[day],SummaryDaily[cost_of_goods_sold],0)</f>
        <v>0</v>
      </c>
      <c r="AO75" s="11">
        <f>_xlfn.XLOOKUP(TableDailySummary[[#This Row],[Fecha]],SummaryDaily[day],SummaryDaily[gross_profit],0)</f>
        <v>0</v>
      </c>
      <c r="AP75" s="18">
        <f>IFERROR(TableDailySummary[[#This Row],[Utilidad bruta]]/TableDailySummary[[#This Row],[Ventas netas con costo registrado]],0)</f>
        <v>0</v>
      </c>
    </row>
    <row r="76" spans="2:42" x14ac:dyDescent="0.2">
      <c r="B76" s="15" cm="1">
        <f t="array" ref="B76">ParamFechaInicioReporte + (ROW(TableDailySummary[#This Row]) - ROW(TableDailySummary[[#Headers],[Dia]]) - 1)</f>
        <v>44603</v>
      </c>
      <c r="C76" s="6">
        <f>TableDailySummary[[#This Row],[Dia]]</f>
        <v>44603</v>
      </c>
      <c r="D76" s="11">
        <f>_xlfn.XLOOKUP(TableDailySummary[[#This Row],[Fecha]],SummaryDaily[day],SummaryDaily[net_sales],0)</f>
        <v>0</v>
      </c>
      <c r="E76" s="11">
        <f>_xlfn.XLOOKUP(TableDailySummary[[#This Row],[Fecha]],SummaryDaily[day],SummaryDaily[orders],0)</f>
        <v>0</v>
      </c>
      <c r="F76" s="11">
        <f>_xlfn.XLOOKUP(TableDailySummary[[#This Row],[Fecha]],SummaryDaily[day],SummaryDaily[average_order_value],0)</f>
        <v>0</v>
      </c>
      <c r="G76" s="24" cm="1">
        <f t="array" ref="G76">_xlfn.XLOOKUP(TableDailySummary[[#This Row],[Fecha]]&amp;"Total site",ConversionRateByReferral[day]&amp;ConversionRateByReferral[referrer_source],ConversionRateByReferral[conversion_rate],0)</f>
        <v>0</v>
      </c>
      <c r="H76" s="11">
        <f>TableDailySummary[[#This Row],[Órden promedio totales]]*TableDailySummary[[#This Row],[CR totales]]</f>
        <v>0</v>
      </c>
      <c r="I76" s="11">
        <f>_xlfn.XLOOKUP(TableDailySummary[[#This Row],[Fecha]],SummaryDaily[day],SummaryDaily[new_net_sales],0)</f>
        <v>0</v>
      </c>
      <c r="J76" s="11">
        <f>_xlfn.XLOOKUP(TableDailySummary[[#This Row],[Fecha]],SummaryDaily[day],SummaryDaily[new_orders],0)</f>
        <v>0</v>
      </c>
      <c r="K76" s="11">
        <f>_xlfn.XLOOKUP(TableDailySummary[[#This Row],[Fecha]],SummaryDaily[day],SummaryDaily[new_average_order_value],0)</f>
        <v>0</v>
      </c>
      <c r="L76" s="11">
        <f>_xlfn.XLOOKUP(TableDailySummary[[#This Row],[Fecha]],SummaryDaily[day],SummaryDaily[Online Store_net_sales],0)</f>
        <v>0</v>
      </c>
      <c r="M76" s="11">
        <f>_xlfn.XLOOKUP(TableDailySummary[[#This Row],[Fecha]],SummaryDaily[day],SummaryDaily[Online Store_orders],0)</f>
        <v>0</v>
      </c>
      <c r="N76" s="11">
        <f>_xlfn.XLOOKUP(TableDailySummary[[#This Row],[Fecha]],SummaryDaily[day],SummaryDaily[Online Store_average_order_value],0)</f>
        <v>0</v>
      </c>
      <c r="O76" s="11">
        <f>_xlfn.XLOOKUP(TableDailySummary[[#This Row],[Fecha]],SummaryDaily[day],SummaryDaily[Tienda 81_net_sales],0)</f>
        <v>0</v>
      </c>
      <c r="P76" s="11">
        <f>_xlfn.XLOOKUP(TableDailySummary[[#This Row],[Fecha]],SummaryDaily[day],SummaryDaily[Tienda 81_orders],0)</f>
        <v>0</v>
      </c>
      <c r="Q76" s="11">
        <f>_xlfn.XLOOKUP(TableDailySummary[[#This Row],[Fecha]],SummaryDaily[day],SummaryDaily[Tienda 81_average_order_value],0)</f>
        <v>0</v>
      </c>
      <c r="R76" s="11">
        <f>_xlfn.XLOOKUP(TableDailySummary[[#This Row],[Fecha]],SummaryDaily[day],SummaryDaily[Rappi_net_sales],0)</f>
        <v>0</v>
      </c>
      <c r="S76" s="11">
        <f>_xlfn.XLOOKUP(TableDailySummary[[#This Row],[Fecha]],SummaryDaily[day],SummaryDaily[Rappi_orders],0)</f>
        <v>0</v>
      </c>
      <c r="T76" s="11">
        <f>_xlfn.XLOOKUP(TableDailySummary[[#This Row],[Fecha]],SummaryDaily[day],SummaryDaily[Rappi_average_order_value],0)</f>
        <v>0</v>
      </c>
      <c r="U76" s="11">
        <f>_xlfn.XLOOKUP(TableDailySummary[[#This Row],[Fecha]],SummaryDaily[day],SummaryDaily[Corporativo no tienda_net_sales],0)</f>
        <v>0</v>
      </c>
      <c r="V76" s="11">
        <f>_xlfn.XLOOKUP(TableDailySummary[[#This Row],[Fecha]],SummaryDaily[day],SummaryDaily[Corporativo no tienda_orders],0)</f>
        <v>0</v>
      </c>
      <c r="W76" s="11">
        <f>_xlfn.XLOOKUP(TableDailySummary[[#This Row],[Fecha]],SummaryDaily[day],SummaryDaily[Corporativo no tienda_average_order_value],0)</f>
        <v>0</v>
      </c>
      <c r="X76" s="11">
        <f>_xlfn.XLOOKUP(TableDailySummary[[#This Row],[Fecha]],SummaryDaily[day],SummaryDaily[GoogleAdsOperation.Cost],0)</f>
        <v>0</v>
      </c>
      <c r="Y76" s="11">
        <f>SUMIFS(SalesByUTMDaily[google],SalesByUTMDaily[day],TableDailySummary[[#This Row],[Fecha]])</f>
        <v>0</v>
      </c>
      <c r="Z76" s="11">
        <f>_xlfn.XLOOKUP(TableDailySummary[[#This Row],[Fecha]],SummaryDaily[day],SummaryDaily[MetaAdsOperation.spend],0)</f>
        <v>0</v>
      </c>
      <c r="AA76" s="11">
        <f>SUMIFS(SalesByUTMDaily[facebook],SalesByUTMDaily[day],TableDailySummary[[#This Row],[Fecha]])</f>
        <v>0</v>
      </c>
      <c r="AB76" s="11">
        <f>TableDailySummary[[#This Row],[Inversión google ads]]+TableDailySummary[[#This Row],[Inversión meta ads]]</f>
        <v>0</v>
      </c>
      <c r="AC76" s="11">
        <f>TableDailySummary[[#This Row],[Ventas google ads]]+TableDailySummary[[#This Row],[Ventas meta ads]]</f>
        <v>0</v>
      </c>
      <c r="AD76" s="14">
        <f>IFERROR(TableDailySummary[[#This Row],[Ventas publicidad]]/TableDailySummary[[#This Row],[Inversión publicidad]],0)</f>
        <v>0</v>
      </c>
      <c r="AE76" s="14">
        <f>IFERROR(TableDailySummary[[#This Row],[Ventas primer cliente]]/TableDailySummary[[#This Row],[Inversión publicidad]],0)</f>
        <v>0</v>
      </c>
      <c r="AF76" s="14"/>
      <c r="AG76" s="11"/>
      <c r="AM76" s="11">
        <f>_xlfn.XLOOKUP(TableDailySummary[[#This Row],[Fecha]],SummaryDaily[day],SummaryDaily[net_sales_with_cost_recorded],0)</f>
        <v>0</v>
      </c>
      <c r="AN76" s="11">
        <f>_xlfn.XLOOKUP(TableDailySummary[[#This Row],[Fecha]],SummaryDaily[day],SummaryDaily[cost_of_goods_sold],0)</f>
        <v>0</v>
      </c>
      <c r="AO76" s="11">
        <f>_xlfn.XLOOKUP(TableDailySummary[[#This Row],[Fecha]],SummaryDaily[day],SummaryDaily[gross_profit],0)</f>
        <v>0</v>
      </c>
      <c r="AP76" s="18">
        <f>IFERROR(TableDailySummary[[#This Row],[Utilidad bruta]]/TableDailySummary[[#This Row],[Ventas netas con costo registrado]],0)</f>
        <v>0</v>
      </c>
    </row>
    <row r="77" spans="2:42" x14ac:dyDescent="0.2">
      <c r="B77" s="15" cm="1">
        <f t="array" ref="B77">ParamFechaInicioReporte + (ROW(TableDailySummary[#This Row]) - ROW(TableDailySummary[[#Headers],[Dia]]) - 1)</f>
        <v>44604</v>
      </c>
      <c r="C77" s="6">
        <f>TableDailySummary[[#This Row],[Dia]]</f>
        <v>44604</v>
      </c>
      <c r="D77" s="11">
        <f>_xlfn.XLOOKUP(TableDailySummary[[#This Row],[Fecha]],SummaryDaily[day],SummaryDaily[net_sales],0)</f>
        <v>0</v>
      </c>
      <c r="E77" s="11">
        <f>_xlfn.XLOOKUP(TableDailySummary[[#This Row],[Fecha]],SummaryDaily[day],SummaryDaily[orders],0)</f>
        <v>0</v>
      </c>
      <c r="F77" s="11">
        <f>_xlfn.XLOOKUP(TableDailySummary[[#This Row],[Fecha]],SummaryDaily[day],SummaryDaily[average_order_value],0)</f>
        <v>0</v>
      </c>
      <c r="G77" s="24" cm="1">
        <f t="array" ref="G77">_xlfn.XLOOKUP(TableDailySummary[[#This Row],[Fecha]]&amp;"Total site",ConversionRateByReferral[day]&amp;ConversionRateByReferral[referrer_source],ConversionRateByReferral[conversion_rate],0)</f>
        <v>0</v>
      </c>
      <c r="H77" s="11">
        <f>TableDailySummary[[#This Row],[Órden promedio totales]]*TableDailySummary[[#This Row],[CR totales]]</f>
        <v>0</v>
      </c>
      <c r="I77" s="11">
        <f>_xlfn.XLOOKUP(TableDailySummary[[#This Row],[Fecha]],SummaryDaily[day],SummaryDaily[new_net_sales],0)</f>
        <v>0</v>
      </c>
      <c r="J77" s="11">
        <f>_xlfn.XLOOKUP(TableDailySummary[[#This Row],[Fecha]],SummaryDaily[day],SummaryDaily[new_orders],0)</f>
        <v>0</v>
      </c>
      <c r="K77" s="11">
        <f>_xlfn.XLOOKUP(TableDailySummary[[#This Row],[Fecha]],SummaryDaily[day],SummaryDaily[new_average_order_value],0)</f>
        <v>0</v>
      </c>
      <c r="L77" s="11">
        <f>_xlfn.XLOOKUP(TableDailySummary[[#This Row],[Fecha]],SummaryDaily[day],SummaryDaily[Online Store_net_sales],0)</f>
        <v>0</v>
      </c>
      <c r="M77" s="11">
        <f>_xlfn.XLOOKUP(TableDailySummary[[#This Row],[Fecha]],SummaryDaily[day],SummaryDaily[Online Store_orders],0)</f>
        <v>0</v>
      </c>
      <c r="N77" s="11">
        <f>_xlfn.XLOOKUP(TableDailySummary[[#This Row],[Fecha]],SummaryDaily[day],SummaryDaily[Online Store_average_order_value],0)</f>
        <v>0</v>
      </c>
      <c r="O77" s="11">
        <f>_xlfn.XLOOKUP(TableDailySummary[[#This Row],[Fecha]],SummaryDaily[day],SummaryDaily[Tienda 81_net_sales],0)</f>
        <v>0</v>
      </c>
      <c r="P77" s="11">
        <f>_xlfn.XLOOKUP(TableDailySummary[[#This Row],[Fecha]],SummaryDaily[day],SummaryDaily[Tienda 81_orders],0)</f>
        <v>0</v>
      </c>
      <c r="Q77" s="11">
        <f>_xlfn.XLOOKUP(TableDailySummary[[#This Row],[Fecha]],SummaryDaily[day],SummaryDaily[Tienda 81_average_order_value],0)</f>
        <v>0</v>
      </c>
      <c r="R77" s="11">
        <f>_xlfn.XLOOKUP(TableDailySummary[[#This Row],[Fecha]],SummaryDaily[day],SummaryDaily[Rappi_net_sales],0)</f>
        <v>0</v>
      </c>
      <c r="S77" s="11">
        <f>_xlfn.XLOOKUP(TableDailySummary[[#This Row],[Fecha]],SummaryDaily[day],SummaryDaily[Rappi_orders],0)</f>
        <v>0</v>
      </c>
      <c r="T77" s="11">
        <f>_xlfn.XLOOKUP(TableDailySummary[[#This Row],[Fecha]],SummaryDaily[day],SummaryDaily[Rappi_average_order_value],0)</f>
        <v>0</v>
      </c>
      <c r="U77" s="11">
        <f>_xlfn.XLOOKUP(TableDailySummary[[#This Row],[Fecha]],SummaryDaily[day],SummaryDaily[Corporativo no tienda_net_sales],0)</f>
        <v>0</v>
      </c>
      <c r="V77" s="11">
        <f>_xlfn.XLOOKUP(TableDailySummary[[#This Row],[Fecha]],SummaryDaily[day],SummaryDaily[Corporativo no tienda_orders],0)</f>
        <v>0</v>
      </c>
      <c r="W77" s="11">
        <f>_xlfn.XLOOKUP(TableDailySummary[[#This Row],[Fecha]],SummaryDaily[day],SummaryDaily[Corporativo no tienda_average_order_value],0)</f>
        <v>0</v>
      </c>
      <c r="X77" s="11">
        <f>_xlfn.XLOOKUP(TableDailySummary[[#This Row],[Fecha]],SummaryDaily[day],SummaryDaily[GoogleAdsOperation.Cost],0)</f>
        <v>0</v>
      </c>
      <c r="Y77" s="11">
        <f>SUMIFS(SalesByUTMDaily[google],SalesByUTMDaily[day],TableDailySummary[[#This Row],[Fecha]])</f>
        <v>0</v>
      </c>
      <c r="Z77" s="11">
        <f>_xlfn.XLOOKUP(TableDailySummary[[#This Row],[Fecha]],SummaryDaily[day],SummaryDaily[MetaAdsOperation.spend],0)</f>
        <v>0</v>
      </c>
      <c r="AA77" s="11">
        <f>SUMIFS(SalesByUTMDaily[facebook],SalesByUTMDaily[day],TableDailySummary[[#This Row],[Fecha]])</f>
        <v>0</v>
      </c>
      <c r="AB77" s="11">
        <f>TableDailySummary[[#This Row],[Inversión google ads]]+TableDailySummary[[#This Row],[Inversión meta ads]]</f>
        <v>0</v>
      </c>
      <c r="AC77" s="11">
        <f>TableDailySummary[[#This Row],[Ventas google ads]]+TableDailySummary[[#This Row],[Ventas meta ads]]</f>
        <v>0</v>
      </c>
      <c r="AD77" s="14">
        <f>IFERROR(TableDailySummary[[#This Row],[Ventas publicidad]]/TableDailySummary[[#This Row],[Inversión publicidad]],0)</f>
        <v>0</v>
      </c>
      <c r="AE77" s="14">
        <f>IFERROR(TableDailySummary[[#This Row],[Ventas primer cliente]]/TableDailySummary[[#This Row],[Inversión publicidad]],0)</f>
        <v>0</v>
      </c>
      <c r="AF77" s="14"/>
      <c r="AG77" s="11"/>
      <c r="AM77" s="11">
        <f>_xlfn.XLOOKUP(TableDailySummary[[#This Row],[Fecha]],SummaryDaily[day],SummaryDaily[net_sales_with_cost_recorded],0)</f>
        <v>0</v>
      </c>
      <c r="AN77" s="11">
        <f>_xlfn.XLOOKUP(TableDailySummary[[#This Row],[Fecha]],SummaryDaily[day],SummaryDaily[cost_of_goods_sold],0)</f>
        <v>0</v>
      </c>
      <c r="AO77" s="11">
        <f>_xlfn.XLOOKUP(TableDailySummary[[#This Row],[Fecha]],SummaryDaily[day],SummaryDaily[gross_profit],0)</f>
        <v>0</v>
      </c>
      <c r="AP77" s="18">
        <f>IFERROR(TableDailySummary[[#This Row],[Utilidad bruta]]/TableDailySummary[[#This Row],[Ventas netas con costo registrado]],0)</f>
        <v>0</v>
      </c>
    </row>
    <row r="78" spans="2:42" x14ac:dyDescent="0.2">
      <c r="B78" s="15" cm="1">
        <f t="array" ref="B78">ParamFechaInicioReporte + (ROW(TableDailySummary[#This Row]) - ROW(TableDailySummary[[#Headers],[Dia]]) - 1)</f>
        <v>44605</v>
      </c>
      <c r="C78" s="6">
        <f>TableDailySummary[[#This Row],[Dia]]</f>
        <v>44605</v>
      </c>
      <c r="D78" s="11">
        <f>_xlfn.XLOOKUP(TableDailySummary[[#This Row],[Fecha]],SummaryDaily[day],SummaryDaily[net_sales],0)</f>
        <v>0</v>
      </c>
      <c r="E78" s="11">
        <f>_xlfn.XLOOKUP(TableDailySummary[[#This Row],[Fecha]],SummaryDaily[day],SummaryDaily[orders],0)</f>
        <v>0</v>
      </c>
      <c r="F78" s="11">
        <f>_xlfn.XLOOKUP(TableDailySummary[[#This Row],[Fecha]],SummaryDaily[day],SummaryDaily[average_order_value],0)</f>
        <v>0</v>
      </c>
      <c r="G78" s="24" cm="1">
        <f t="array" ref="G78">_xlfn.XLOOKUP(TableDailySummary[[#This Row],[Fecha]]&amp;"Total site",ConversionRateByReferral[day]&amp;ConversionRateByReferral[referrer_source],ConversionRateByReferral[conversion_rate],0)</f>
        <v>0</v>
      </c>
      <c r="H78" s="11">
        <f>TableDailySummary[[#This Row],[Órden promedio totales]]*TableDailySummary[[#This Row],[CR totales]]</f>
        <v>0</v>
      </c>
      <c r="I78" s="11">
        <f>_xlfn.XLOOKUP(TableDailySummary[[#This Row],[Fecha]],SummaryDaily[day],SummaryDaily[new_net_sales],0)</f>
        <v>0</v>
      </c>
      <c r="J78" s="11">
        <f>_xlfn.XLOOKUP(TableDailySummary[[#This Row],[Fecha]],SummaryDaily[day],SummaryDaily[new_orders],0)</f>
        <v>0</v>
      </c>
      <c r="K78" s="11">
        <f>_xlfn.XLOOKUP(TableDailySummary[[#This Row],[Fecha]],SummaryDaily[day],SummaryDaily[new_average_order_value],0)</f>
        <v>0</v>
      </c>
      <c r="L78" s="11">
        <f>_xlfn.XLOOKUP(TableDailySummary[[#This Row],[Fecha]],SummaryDaily[day],SummaryDaily[Online Store_net_sales],0)</f>
        <v>0</v>
      </c>
      <c r="M78" s="11">
        <f>_xlfn.XLOOKUP(TableDailySummary[[#This Row],[Fecha]],SummaryDaily[day],SummaryDaily[Online Store_orders],0)</f>
        <v>0</v>
      </c>
      <c r="N78" s="11">
        <f>_xlfn.XLOOKUP(TableDailySummary[[#This Row],[Fecha]],SummaryDaily[day],SummaryDaily[Online Store_average_order_value],0)</f>
        <v>0</v>
      </c>
      <c r="O78" s="11">
        <f>_xlfn.XLOOKUP(TableDailySummary[[#This Row],[Fecha]],SummaryDaily[day],SummaryDaily[Tienda 81_net_sales],0)</f>
        <v>0</v>
      </c>
      <c r="P78" s="11">
        <f>_xlfn.XLOOKUP(TableDailySummary[[#This Row],[Fecha]],SummaryDaily[day],SummaryDaily[Tienda 81_orders],0)</f>
        <v>0</v>
      </c>
      <c r="Q78" s="11">
        <f>_xlfn.XLOOKUP(TableDailySummary[[#This Row],[Fecha]],SummaryDaily[day],SummaryDaily[Tienda 81_average_order_value],0)</f>
        <v>0</v>
      </c>
      <c r="R78" s="11">
        <f>_xlfn.XLOOKUP(TableDailySummary[[#This Row],[Fecha]],SummaryDaily[day],SummaryDaily[Rappi_net_sales],0)</f>
        <v>0</v>
      </c>
      <c r="S78" s="11">
        <f>_xlfn.XLOOKUP(TableDailySummary[[#This Row],[Fecha]],SummaryDaily[day],SummaryDaily[Rappi_orders],0)</f>
        <v>0</v>
      </c>
      <c r="T78" s="11">
        <f>_xlfn.XLOOKUP(TableDailySummary[[#This Row],[Fecha]],SummaryDaily[day],SummaryDaily[Rappi_average_order_value],0)</f>
        <v>0</v>
      </c>
      <c r="U78" s="11">
        <f>_xlfn.XLOOKUP(TableDailySummary[[#This Row],[Fecha]],SummaryDaily[day],SummaryDaily[Corporativo no tienda_net_sales],0)</f>
        <v>0</v>
      </c>
      <c r="V78" s="11">
        <f>_xlfn.XLOOKUP(TableDailySummary[[#This Row],[Fecha]],SummaryDaily[day],SummaryDaily[Corporativo no tienda_orders],0)</f>
        <v>0</v>
      </c>
      <c r="W78" s="11">
        <f>_xlfn.XLOOKUP(TableDailySummary[[#This Row],[Fecha]],SummaryDaily[day],SummaryDaily[Corporativo no tienda_average_order_value],0)</f>
        <v>0</v>
      </c>
      <c r="X78" s="11">
        <f>_xlfn.XLOOKUP(TableDailySummary[[#This Row],[Fecha]],SummaryDaily[day],SummaryDaily[GoogleAdsOperation.Cost],0)</f>
        <v>0</v>
      </c>
      <c r="Y78" s="11">
        <f>SUMIFS(SalesByUTMDaily[google],SalesByUTMDaily[day],TableDailySummary[[#This Row],[Fecha]])</f>
        <v>0</v>
      </c>
      <c r="Z78" s="11">
        <f>_xlfn.XLOOKUP(TableDailySummary[[#This Row],[Fecha]],SummaryDaily[day],SummaryDaily[MetaAdsOperation.spend],0)</f>
        <v>0</v>
      </c>
      <c r="AA78" s="11">
        <f>SUMIFS(SalesByUTMDaily[facebook],SalesByUTMDaily[day],TableDailySummary[[#This Row],[Fecha]])</f>
        <v>0</v>
      </c>
      <c r="AB78" s="11">
        <f>TableDailySummary[[#This Row],[Inversión google ads]]+TableDailySummary[[#This Row],[Inversión meta ads]]</f>
        <v>0</v>
      </c>
      <c r="AC78" s="11">
        <f>TableDailySummary[[#This Row],[Ventas google ads]]+TableDailySummary[[#This Row],[Ventas meta ads]]</f>
        <v>0</v>
      </c>
      <c r="AD78" s="14">
        <f>IFERROR(TableDailySummary[[#This Row],[Ventas publicidad]]/TableDailySummary[[#This Row],[Inversión publicidad]],0)</f>
        <v>0</v>
      </c>
      <c r="AE78" s="14">
        <f>IFERROR(TableDailySummary[[#This Row],[Ventas primer cliente]]/TableDailySummary[[#This Row],[Inversión publicidad]],0)</f>
        <v>0</v>
      </c>
      <c r="AF78" s="14"/>
      <c r="AG78" s="11"/>
      <c r="AM78" s="11">
        <f>_xlfn.XLOOKUP(TableDailySummary[[#This Row],[Fecha]],SummaryDaily[day],SummaryDaily[net_sales_with_cost_recorded],0)</f>
        <v>0</v>
      </c>
      <c r="AN78" s="11">
        <f>_xlfn.XLOOKUP(TableDailySummary[[#This Row],[Fecha]],SummaryDaily[day],SummaryDaily[cost_of_goods_sold],0)</f>
        <v>0</v>
      </c>
      <c r="AO78" s="11">
        <f>_xlfn.XLOOKUP(TableDailySummary[[#This Row],[Fecha]],SummaryDaily[day],SummaryDaily[gross_profit],0)</f>
        <v>0</v>
      </c>
      <c r="AP78" s="18">
        <f>IFERROR(TableDailySummary[[#This Row],[Utilidad bruta]]/TableDailySummary[[#This Row],[Ventas netas con costo registrado]],0)</f>
        <v>0</v>
      </c>
    </row>
    <row r="79" spans="2:42" x14ac:dyDescent="0.2">
      <c r="B79" s="15" cm="1">
        <f t="array" ref="B79">ParamFechaInicioReporte + (ROW(TableDailySummary[#This Row]) - ROW(TableDailySummary[[#Headers],[Dia]]) - 1)</f>
        <v>44606</v>
      </c>
      <c r="C79" s="6">
        <f>TableDailySummary[[#This Row],[Dia]]</f>
        <v>44606</v>
      </c>
      <c r="D79" s="11">
        <f>_xlfn.XLOOKUP(TableDailySummary[[#This Row],[Fecha]],SummaryDaily[day],SummaryDaily[net_sales],0)</f>
        <v>0</v>
      </c>
      <c r="E79" s="11">
        <f>_xlfn.XLOOKUP(TableDailySummary[[#This Row],[Fecha]],SummaryDaily[day],SummaryDaily[orders],0)</f>
        <v>0</v>
      </c>
      <c r="F79" s="11">
        <f>_xlfn.XLOOKUP(TableDailySummary[[#This Row],[Fecha]],SummaryDaily[day],SummaryDaily[average_order_value],0)</f>
        <v>0</v>
      </c>
      <c r="G79" s="24" cm="1">
        <f t="array" ref="G79">_xlfn.XLOOKUP(TableDailySummary[[#This Row],[Fecha]]&amp;"Total site",ConversionRateByReferral[day]&amp;ConversionRateByReferral[referrer_source],ConversionRateByReferral[conversion_rate],0)</f>
        <v>0</v>
      </c>
      <c r="H79" s="11">
        <f>TableDailySummary[[#This Row],[Órden promedio totales]]*TableDailySummary[[#This Row],[CR totales]]</f>
        <v>0</v>
      </c>
      <c r="I79" s="11">
        <f>_xlfn.XLOOKUP(TableDailySummary[[#This Row],[Fecha]],SummaryDaily[day],SummaryDaily[new_net_sales],0)</f>
        <v>0</v>
      </c>
      <c r="J79" s="11">
        <f>_xlfn.XLOOKUP(TableDailySummary[[#This Row],[Fecha]],SummaryDaily[day],SummaryDaily[new_orders],0)</f>
        <v>0</v>
      </c>
      <c r="K79" s="11">
        <f>_xlfn.XLOOKUP(TableDailySummary[[#This Row],[Fecha]],SummaryDaily[day],SummaryDaily[new_average_order_value],0)</f>
        <v>0</v>
      </c>
      <c r="L79" s="11">
        <f>_xlfn.XLOOKUP(TableDailySummary[[#This Row],[Fecha]],SummaryDaily[day],SummaryDaily[Online Store_net_sales],0)</f>
        <v>0</v>
      </c>
      <c r="M79" s="11">
        <f>_xlfn.XLOOKUP(TableDailySummary[[#This Row],[Fecha]],SummaryDaily[day],SummaryDaily[Online Store_orders],0)</f>
        <v>0</v>
      </c>
      <c r="N79" s="11">
        <f>_xlfn.XLOOKUP(TableDailySummary[[#This Row],[Fecha]],SummaryDaily[day],SummaryDaily[Online Store_average_order_value],0)</f>
        <v>0</v>
      </c>
      <c r="O79" s="11">
        <f>_xlfn.XLOOKUP(TableDailySummary[[#This Row],[Fecha]],SummaryDaily[day],SummaryDaily[Tienda 81_net_sales],0)</f>
        <v>0</v>
      </c>
      <c r="P79" s="11">
        <f>_xlfn.XLOOKUP(TableDailySummary[[#This Row],[Fecha]],SummaryDaily[day],SummaryDaily[Tienda 81_orders],0)</f>
        <v>0</v>
      </c>
      <c r="Q79" s="11">
        <f>_xlfn.XLOOKUP(TableDailySummary[[#This Row],[Fecha]],SummaryDaily[day],SummaryDaily[Tienda 81_average_order_value],0)</f>
        <v>0</v>
      </c>
      <c r="R79" s="11">
        <f>_xlfn.XLOOKUP(TableDailySummary[[#This Row],[Fecha]],SummaryDaily[day],SummaryDaily[Rappi_net_sales],0)</f>
        <v>0</v>
      </c>
      <c r="S79" s="11">
        <f>_xlfn.XLOOKUP(TableDailySummary[[#This Row],[Fecha]],SummaryDaily[day],SummaryDaily[Rappi_orders],0)</f>
        <v>0</v>
      </c>
      <c r="T79" s="11">
        <f>_xlfn.XLOOKUP(TableDailySummary[[#This Row],[Fecha]],SummaryDaily[day],SummaryDaily[Rappi_average_order_value],0)</f>
        <v>0</v>
      </c>
      <c r="U79" s="11">
        <f>_xlfn.XLOOKUP(TableDailySummary[[#This Row],[Fecha]],SummaryDaily[day],SummaryDaily[Corporativo no tienda_net_sales],0)</f>
        <v>0</v>
      </c>
      <c r="V79" s="11">
        <f>_xlfn.XLOOKUP(TableDailySummary[[#This Row],[Fecha]],SummaryDaily[day],SummaryDaily[Corporativo no tienda_orders],0)</f>
        <v>0</v>
      </c>
      <c r="W79" s="11">
        <f>_xlfn.XLOOKUP(TableDailySummary[[#This Row],[Fecha]],SummaryDaily[day],SummaryDaily[Corporativo no tienda_average_order_value],0)</f>
        <v>0</v>
      </c>
      <c r="X79" s="11">
        <f>_xlfn.XLOOKUP(TableDailySummary[[#This Row],[Fecha]],SummaryDaily[day],SummaryDaily[GoogleAdsOperation.Cost],0)</f>
        <v>0</v>
      </c>
      <c r="Y79" s="11">
        <f>SUMIFS(SalesByUTMDaily[google],SalesByUTMDaily[day],TableDailySummary[[#This Row],[Fecha]])</f>
        <v>0</v>
      </c>
      <c r="Z79" s="11">
        <f>_xlfn.XLOOKUP(TableDailySummary[[#This Row],[Fecha]],SummaryDaily[day],SummaryDaily[MetaAdsOperation.spend],0)</f>
        <v>0</v>
      </c>
      <c r="AA79" s="11">
        <f>SUMIFS(SalesByUTMDaily[facebook],SalesByUTMDaily[day],TableDailySummary[[#This Row],[Fecha]])</f>
        <v>0</v>
      </c>
      <c r="AB79" s="11">
        <f>TableDailySummary[[#This Row],[Inversión google ads]]+TableDailySummary[[#This Row],[Inversión meta ads]]</f>
        <v>0</v>
      </c>
      <c r="AC79" s="11">
        <f>TableDailySummary[[#This Row],[Ventas google ads]]+TableDailySummary[[#This Row],[Ventas meta ads]]</f>
        <v>0</v>
      </c>
      <c r="AD79" s="14">
        <f>IFERROR(TableDailySummary[[#This Row],[Ventas publicidad]]/TableDailySummary[[#This Row],[Inversión publicidad]],0)</f>
        <v>0</v>
      </c>
      <c r="AE79" s="14">
        <f>IFERROR(TableDailySummary[[#This Row],[Ventas primer cliente]]/TableDailySummary[[#This Row],[Inversión publicidad]],0)</f>
        <v>0</v>
      </c>
      <c r="AF79" s="14"/>
      <c r="AG79" s="11"/>
      <c r="AM79" s="11">
        <f>_xlfn.XLOOKUP(TableDailySummary[[#This Row],[Fecha]],SummaryDaily[day],SummaryDaily[net_sales_with_cost_recorded],0)</f>
        <v>0</v>
      </c>
      <c r="AN79" s="11">
        <f>_xlfn.XLOOKUP(TableDailySummary[[#This Row],[Fecha]],SummaryDaily[day],SummaryDaily[cost_of_goods_sold],0)</f>
        <v>0</v>
      </c>
      <c r="AO79" s="11">
        <f>_xlfn.XLOOKUP(TableDailySummary[[#This Row],[Fecha]],SummaryDaily[day],SummaryDaily[gross_profit],0)</f>
        <v>0</v>
      </c>
      <c r="AP79" s="18">
        <f>IFERROR(TableDailySummary[[#This Row],[Utilidad bruta]]/TableDailySummary[[#This Row],[Ventas netas con costo registrado]],0)</f>
        <v>0</v>
      </c>
    </row>
    <row r="80" spans="2:42" x14ac:dyDescent="0.2">
      <c r="B80" s="15" cm="1">
        <f t="array" ref="B80">ParamFechaInicioReporte + (ROW(TableDailySummary[#This Row]) - ROW(TableDailySummary[[#Headers],[Dia]]) - 1)</f>
        <v>44607</v>
      </c>
      <c r="C80" s="6">
        <f>TableDailySummary[[#This Row],[Dia]]</f>
        <v>44607</v>
      </c>
      <c r="D80" s="11">
        <f>_xlfn.XLOOKUP(TableDailySummary[[#This Row],[Fecha]],SummaryDaily[day],SummaryDaily[net_sales],0)</f>
        <v>0</v>
      </c>
      <c r="E80" s="11">
        <f>_xlfn.XLOOKUP(TableDailySummary[[#This Row],[Fecha]],SummaryDaily[day],SummaryDaily[orders],0)</f>
        <v>0</v>
      </c>
      <c r="F80" s="11">
        <f>_xlfn.XLOOKUP(TableDailySummary[[#This Row],[Fecha]],SummaryDaily[day],SummaryDaily[average_order_value],0)</f>
        <v>0</v>
      </c>
      <c r="G80" s="24" cm="1">
        <f t="array" ref="G80">_xlfn.XLOOKUP(TableDailySummary[[#This Row],[Fecha]]&amp;"Total site",ConversionRateByReferral[day]&amp;ConversionRateByReferral[referrer_source],ConversionRateByReferral[conversion_rate],0)</f>
        <v>0</v>
      </c>
      <c r="H80" s="11">
        <f>TableDailySummary[[#This Row],[Órden promedio totales]]*TableDailySummary[[#This Row],[CR totales]]</f>
        <v>0</v>
      </c>
      <c r="I80" s="11">
        <f>_xlfn.XLOOKUP(TableDailySummary[[#This Row],[Fecha]],SummaryDaily[day],SummaryDaily[new_net_sales],0)</f>
        <v>0</v>
      </c>
      <c r="J80" s="11">
        <f>_xlfn.XLOOKUP(TableDailySummary[[#This Row],[Fecha]],SummaryDaily[day],SummaryDaily[new_orders],0)</f>
        <v>0</v>
      </c>
      <c r="K80" s="11">
        <f>_xlfn.XLOOKUP(TableDailySummary[[#This Row],[Fecha]],SummaryDaily[day],SummaryDaily[new_average_order_value],0)</f>
        <v>0</v>
      </c>
      <c r="L80" s="11">
        <f>_xlfn.XLOOKUP(TableDailySummary[[#This Row],[Fecha]],SummaryDaily[day],SummaryDaily[Online Store_net_sales],0)</f>
        <v>0</v>
      </c>
      <c r="M80" s="11">
        <f>_xlfn.XLOOKUP(TableDailySummary[[#This Row],[Fecha]],SummaryDaily[day],SummaryDaily[Online Store_orders],0)</f>
        <v>0</v>
      </c>
      <c r="N80" s="11">
        <f>_xlfn.XLOOKUP(TableDailySummary[[#This Row],[Fecha]],SummaryDaily[day],SummaryDaily[Online Store_average_order_value],0)</f>
        <v>0</v>
      </c>
      <c r="O80" s="11">
        <f>_xlfn.XLOOKUP(TableDailySummary[[#This Row],[Fecha]],SummaryDaily[day],SummaryDaily[Tienda 81_net_sales],0)</f>
        <v>0</v>
      </c>
      <c r="P80" s="11">
        <f>_xlfn.XLOOKUP(TableDailySummary[[#This Row],[Fecha]],SummaryDaily[day],SummaryDaily[Tienda 81_orders],0)</f>
        <v>0</v>
      </c>
      <c r="Q80" s="11">
        <f>_xlfn.XLOOKUP(TableDailySummary[[#This Row],[Fecha]],SummaryDaily[day],SummaryDaily[Tienda 81_average_order_value],0)</f>
        <v>0</v>
      </c>
      <c r="R80" s="11">
        <f>_xlfn.XLOOKUP(TableDailySummary[[#This Row],[Fecha]],SummaryDaily[day],SummaryDaily[Rappi_net_sales],0)</f>
        <v>0</v>
      </c>
      <c r="S80" s="11">
        <f>_xlfn.XLOOKUP(TableDailySummary[[#This Row],[Fecha]],SummaryDaily[day],SummaryDaily[Rappi_orders],0)</f>
        <v>0</v>
      </c>
      <c r="T80" s="11">
        <f>_xlfn.XLOOKUP(TableDailySummary[[#This Row],[Fecha]],SummaryDaily[day],SummaryDaily[Rappi_average_order_value],0)</f>
        <v>0</v>
      </c>
      <c r="U80" s="11">
        <f>_xlfn.XLOOKUP(TableDailySummary[[#This Row],[Fecha]],SummaryDaily[day],SummaryDaily[Corporativo no tienda_net_sales],0)</f>
        <v>0</v>
      </c>
      <c r="V80" s="11">
        <f>_xlfn.XLOOKUP(TableDailySummary[[#This Row],[Fecha]],SummaryDaily[day],SummaryDaily[Corporativo no tienda_orders],0)</f>
        <v>0</v>
      </c>
      <c r="W80" s="11">
        <f>_xlfn.XLOOKUP(TableDailySummary[[#This Row],[Fecha]],SummaryDaily[day],SummaryDaily[Corporativo no tienda_average_order_value],0)</f>
        <v>0</v>
      </c>
      <c r="X80" s="11">
        <f>_xlfn.XLOOKUP(TableDailySummary[[#This Row],[Fecha]],SummaryDaily[day],SummaryDaily[GoogleAdsOperation.Cost],0)</f>
        <v>0</v>
      </c>
      <c r="Y80" s="11">
        <f>SUMIFS(SalesByUTMDaily[google],SalesByUTMDaily[day],TableDailySummary[[#This Row],[Fecha]])</f>
        <v>0</v>
      </c>
      <c r="Z80" s="11">
        <f>_xlfn.XLOOKUP(TableDailySummary[[#This Row],[Fecha]],SummaryDaily[day],SummaryDaily[MetaAdsOperation.spend],0)</f>
        <v>0</v>
      </c>
      <c r="AA80" s="11">
        <f>SUMIFS(SalesByUTMDaily[facebook],SalesByUTMDaily[day],TableDailySummary[[#This Row],[Fecha]])</f>
        <v>0</v>
      </c>
      <c r="AB80" s="11">
        <f>TableDailySummary[[#This Row],[Inversión google ads]]+TableDailySummary[[#This Row],[Inversión meta ads]]</f>
        <v>0</v>
      </c>
      <c r="AC80" s="11">
        <f>TableDailySummary[[#This Row],[Ventas google ads]]+TableDailySummary[[#This Row],[Ventas meta ads]]</f>
        <v>0</v>
      </c>
      <c r="AD80" s="14">
        <f>IFERROR(TableDailySummary[[#This Row],[Ventas publicidad]]/TableDailySummary[[#This Row],[Inversión publicidad]],0)</f>
        <v>0</v>
      </c>
      <c r="AE80" s="14">
        <f>IFERROR(TableDailySummary[[#This Row],[Ventas primer cliente]]/TableDailySummary[[#This Row],[Inversión publicidad]],0)</f>
        <v>0</v>
      </c>
      <c r="AF80" s="14"/>
      <c r="AG80" s="11"/>
      <c r="AM80" s="11">
        <f>_xlfn.XLOOKUP(TableDailySummary[[#This Row],[Fecha]],SummaryDaily[day],SummaryDaily[net_sales_with_cost_recorded],0)</f>
        <v>0</v>
      </c>
      <c r="AN80" s="11">
        <f>_xlfn.XLOOKUP(TableDailySummary[[#This Row],[Fecha]],SummaryDaily[day],SummaryDaily[cost_of_goods_sold],0)</f>
        <v>0</v>
      </c>
      <c r="AO80" s="11">
        <f>_xlfn.XLOOKUP(TableDailySummary[[#This Row],[Fecha]],SummaryDaily[day],SummaryDaily[gross_profit],0)</f>
        <v>0</v>
      </c>
      <c r="AP80" s="18">
        <f>IFERROR(TableDailySummary[[#This Row],[Utilidad bruta]]/TableDailySummary[[#This Row],[Ventas netas con costo registrado]],0)</f>
        <v>0</v>
      </c>
    </row>
    <row r="81" spans="2:42" x14ac:dyDescent="0.2">
      <c r="B81" s="15" cm="1">
        <f t="array" ref="B81">ParamFechaInicioReporte + (ROW(TableDailySummary[#This Row]) - ROW(TableDailySummary[[#Headers],[Dia]]) - 1)</f>
        <v>44608</v>
      </c>
      <c r="C81" s="6">
        <f>TableDailySummary[[#This Row],[Dia]]</f>
        <v>44608</v>
      </c>
      <c r="D81" s="11">
        <f>_xlfn.XLOOKUP(TableDailySummary[[#This Row],[Fecha]],SummaryDaily[day],SummaryDaily[net_sales],0)</f>
        <v>0</v>
      </c>
      <c r="E81" s="11">
        <f>_xlfn.XLOOKUP(TableDailySummary[[#This Row],[Fecha]],SummaryDaily[day],SummaryDaily[orders],0)</f>
        <v>0</v>
      </c>
      <c r="F81" s="11">
        <f>_xlfn.XLOOKUP(TableDailySummary[[#This Row],[Fecha]],SummaryDaily[day],SummaryDaily[average_order_value],0)</f>
        <v>0</v>
      </c>
      <c r="G81" s="24" cm="1">
        <f t="array" ref="G81">_xlfn.XLOOKUP(TableDailySummary[[#This Row],[Fecha]]&amp;"Total site",ConversionRateByReferral[day]&amp;ConversionRateByReferral[referrer_source],ConversionRateByReferral[conversion_rate],0)</f>
        <v>0</v>
      </c>
      <c r="H81" s="11">
        <f>TableDailySummary[[#This Row],[Órden promedio totales]]*TableDailySummary[[#This Row],[CR totales]]</f>
        <v>0</v>
      </c>
      <c r="I81" s="11">
        <f>_xlfn.XLOOKUP(TableDailySummary[[#This Row],[Fecha]],SummaryDaily[day],SummaryDaily[new_net_sales],0)</f>
        <v>0</v>
      </c>
      <c r="J81" s="11">
        <f>_xlfn.XLOOKUP(TableDailySummary[[#This Row],[Fecha]],SummaryDaily[day],SummaryDaily[new_orders],0)</f>
        <v>0</v>
      </c>
      <c r="K81" s="11">
        <f>_xlfn.XLOOKUP(TableDailySummary[[#This Row],[Fecha]],SummaryDaily[day],SummaryDaily[new_average_order_value],0)</f>
        <v>0</v>
      </c>
      <c r="L81" s="11">
        <f>_xlfn.XLOOKUP(TableDailySummary[[#This Row],[Fecha]],SummaryDaily[day],SummaryDaily[Online Store_net_sales],0)</f>
        <v>0</v>
      </c>
      <c r="M81" s="11">
        <f>_xlfn.XLOOKUP(TableDailySummary[[#This Row],[Fecha]],SummaryDaily[day],SummaryDaily[Online Store_orders],0)</f>
        <v>0</v>
      </c>
      <c r="N81" s="11">
        <f>_xlfn.XLOOKUP(TableDailySummary[[#This Row],[Fecha]],SummaryDaily[day],SummaryDaily[Online Store_average_order_value],0)</f>
        <v>0</v>
      </c>
      <c r="O81" s="11">
        <f>_xlfn.XLOOKUP(TableDailySummary[[#This Row],[Fecha]],SummaryDaily[day],SummaryDaily[Tienda 81_net_sales],0)</f>
        <v>0</v>
      </c>
      <c r="P81" s="11">
        <f>_xlfn.XLOOKUP(TableDailySummary[[#This Row],[Fecha]],SummaryDaily[day],SummaryDaily[Tienda 81_orders],0)</f>
        <v>0</v>
      </c>
      <c r="Q81" s="11">
        <f>_xlfn.XLOOKUP(TableDailySummary[[#This Row],[Fecha]],SummaryDaily[day],SummaryDaily[Tienda 81_average_order_value],0)</f>
        <v>0</v>
      </c>
      <c r="R81" s="11">
        <f>_xlfn.XLOOKUP(TableDailySummary[[#This Row],[Fecha]],SummaryDaily[day],SummaryDaily[Rappi_net_sales],0)</f>
        <v>0</v>
      </c>
      <c r="S81" s="11">
        <f>_xlfn.XLOOKUP(TableDailySummary[[#This Row],[Fecha]],SummaryDaily[day],SummaryDaily[Rappi_orders],0)</f>
        <v>0</v>
      </c>
      <c r="T81" s="11">
        <f>_xlfn.XLOOKUP(TableDailySummary[[#This Row],[Fecha]],SummaryDaily[day],SummaryDaily[Rappi_average_order_value],0)</f>
        <v>0</v>
      </c>
      <c r="U81" s="11">
        <f>_xlfn.XLOOKUP(TableDailySummary[[#This Row],[Fecha]],SummaryDaily[day],SummaryDaily[Corporativo no tienda_net_sales],0)</f>
        <v>0</v>
      </c>
      <c r="V81" s="11">
        <f>_xlfn.XLOOKUP(TableDailySummary[[#This Row],[Fecha]],SummaryDaily[day],SummaryDaily[Corporativo no tienda_orders],0)</f>
        <v>0</v>
      </c>
      <c r="W81" s="11">
        <f>_xlfn.XLOOKUP(TableDailySummary[[#This Row],[Fecha]],SummaryDaily[day],SummaryDaily[Corporativo no tienda_average_order_value],0)</f>
        <v>0</v>
      </c>
      <c r="X81" s="11">
        <f>_xlfn.XLOOKUP(TableDailySummary[[#This Row],[Fecha]],SummaryDaily[day],SummaryDaily[GoogleAdsOperation.Cost],0)</f>
        <v>0</v>
      </c>
      <c r="Y81" s="11">
        <f>SUMIFS(SalesByUTMDaily[google],SalesByUTMDaily[day],TableDailySummary[[#This Row],[Fecha]])</f>
        <v>0</v>
      </c>
      <c r="Z81" s="11">
        <f>_xlfn.XLOOKUP(TableDailySummary[[#This Row],[Fecha]],SummaryDaily[day],SummaryDaily[MetaAdsOperation.spend],0)</f>
        <v>0</v>
      </c>
      <c r="AA81" s="11">
        <f>SUMIFS(SalesByUTMDaily[facebook],SalesByUTMDaily[day],TableDailySummary[[#This Row],[Fecha]])</f>
        <v>0</v>
      </c>
      <c r="AB81" s="11">
        <f>TableDailySummary[[#This Row],[Inversión google ads]]+TableDailySummary[[#This Row],[Inversión meta ads]]</f>
        <v>0</v>
      </c>
      <c r="AC81" s="11">
        <f>TableDailySummary[[#This Row],[Ventas google ads]]+TableDailySummary[[#This Row],[Ventas meta ads]]</f>
        <v>0</v>
      </c>
      <c r="AD81" s="14">
        <f>IFERROR(TableDailySummary[[#This Row],[Ventas publicidad]]/TableDailySummary[[#This Row],[Inversión publicidad]],0)</f>
        <v>0</v>
      </c>
      <c r="AE81" s="14">
        <f>IFERROR(TableDailySummary[[#This Row],[Ventas primer cliente]]/TableDailySummary[[#This Row],[Inversión publicidad]],0)</f>
        <v>0</v>
      </c>
      <c r="AF81" s="14"/>
      <c r="AG81" s="11"/>
      <c r="AM81" s="11">
        <f>_xlfn.XLOOKUP(TableDailySummary[[#This Row],[Fecha]],SummaryDaily[day],SummaryDaily[net_sales_with_cost_recorded],0)</f>
        <v>0</v>
      </c>
      <c r="AN81" s="11">
        <f>_xlfn.XLOOKUP(TableDailySummary[[#This Row],[Fecha]],SummaryDaily[day],SummaryDaily[cost_of_goods_sold],0)</f>
        <v>0</v>
      </c>
      <c r="AO81" s="11">
        <f>_xlfn.XLOOKUP(TableDailySummary[[#This Row],[Fecha]],SummaryDaily[day],SummaryDaily[gross_profit],0)</f>
        <v>0</v>
      </c>
      <c r="AP81" s="18">
        <f>IFERROR(TableDailySummary[[#This Row],[Utilidad bruta]]/TableDailySummary[[#This Row],[Ventas netas con costo registrado]],0)</f>
        <v>0</v>
      </c>
    </row>
    <row r="82" spans="2:42" x14ac:dyDescent="0.2">
      <c r="B82" s="15" cm="1">
        <f t="array" ref="B82">ParamFechaInicioReporte + (ROW(TableDailySummary[#This Row]) - ROW(TableDailySummary[[#Headers],[Dia]]) - 1)</f>
        <v>44609</v>
      </c>
      <c r="C82" s="6">
        <f>TableDailySummary[[#This Row],[Dia]]</f>
        <v>44609</v>
      </c>
      <c r="D82" s="11">
        <f>_xlfn.XLOOKUP(TableDailySummary[[#This Row],[Fecha]],SummaryDaily[day],SummaryDaily[net_sales],0)</f>
        <v>0</v>
      </c>
      <c r="E82" s="11">
        <f>_xlfn.XLOOKUP(TableDailySummary[[#This Row],[Fecha]],SummaryDaily[day],SummaryDaily[orders],0)</f>
        <v>0</v>
      </c>
      <c r="F82" s="11">
        <f>_xlfn.XLOOKUP(TableDailySummary[[#This Row],[Fecha]],SummaryDaily[day],SummaryDaily[average_order_value],0)</f>
        <v>0</v>
      </c>
      <c r="G82" s="24" cm="1">
        <f t="array" ref="G82">_xlfn.XLOOKUP(TableDailySummary[[#This Row],[Fecha]]&amp;"Total site",ConversionRateByReferral[day]&amp;ConversionRateByReferral[referrer_source],ConversionRateByReferral[conversion_rate],0)</f>
        <v>0</v>
      </c>
      <c r="H82" s="11">
        <f>TableDailySummary[[#This Row],[Órden promedio totales]]*TableDailySummary[[#This Row],[CR totales]]</f>
        <v>0</v>
      </c>
      <c r="I82" s="11">
        <f>_xlfn.XLOOKUP(TableDailySummary[[#This Row],[Fecha]],SummaryDaily[day],SummaryDaily[new_net_sales],0)</f>
        <v>0</v>
      </c>
      <c r="J82" s="11">
        <f>_xlfn.XLOOKUP(TableDailySummary[[#This Row],[Fecha]],SummaryDaily[day],SummaryDaily[new_orders],0)</f>
        <v>0</v>
      </c>
      <c r="K82" s="11">
        <f>_xlfn.XLOOKUP(TableDailySummary[[#This Row],[Fecha]],SummaryDaily[day],SummaryDaily[new_average_order_value],0)</f>
        <v>0</v>
      </c>
      <c r="L82" s="11">
        <f>_xlfn.XLOOKUP(TableDailySummary[[#This Row],[Fecha]],SummaryDaily[day],SummaryDaily[Online Store_net_sales],0)</f>
        <v>0</v>
      </c>
      <c r="M82" s="11">
        <f>_xlfn.XLOOKUP(TableDailySummary[[#This Row],[Fecha]],SummaryDaily[day],SummaryDaily[Online Store_orders],0)</f>
        <v>0</v>
      </c>
      <c r="N82" s="11">
        <f>_xlfn.XLOOKUP(TableDailySummary[[#This Row],[Fecha]],SummaryDaily[day],SummaryDaily[Online Store_average_order_value],0)</f>
        <v>0</v>
      </c>
      <c r="O82" s="11">
        <f>_xlfn.XLOOKUP(TableDailySummary[[#This Row],[Fecha]],SummaryDaily[day],SummaryDaily[Tienda 81_net_sales],0)</f>
        <v>0</v>
      </c>
      <c r="P82" s="11">
        <f>_xlfn.XLOOKUP(TableDailySummary[[#This Row],[Fecha]],SummaryDaily[day],SummaryDaily[Tienda 81_orders],0)</f>
        <v>0</v>
      </c>
      <c r="Q82" s="11">
        <f>_xlfn.XLOOKUP(TableDailySummary[[#This Row],[Fecha]],SummaryDaily[day],SummaryDaily[Tienda 81_average_order_value],0)</f>
        <v>0</v>
      </c>
      <c r="R82" s="11">
        <f>_xlfn.XLOOKUP(TableDailySummary[[#This Row],[Fecha]],SummaryDaily[day],SummaryDaily[Rappi_net_sales],0)</f>
        <v>0</v>
      </c>
      <c r="S82" s="11">
        <f>_xlfn.XLOOKUP(TableDailySummary[[#This Row],[Fecha]],SummaryDaily[day],SummaryDaily[Rappi_orders],0)</f>
        <v>0</v>
      </c>
      <c r="T82" s="11">
        <f>_xlfn.XLOOKUP(TableDailySummary[[#This Row],[Fecha]],SummaryDaily[day],SummaryDaily[Rappi_average_order_value],0)</f>
        <v>0</v>
      </c>
      <c r="U82" s="11">
        <f>_xlfn.XLOOKUP(TableDailySummary[[#This Row],[Fecha]],SummaryDaily[day],SummaryDaily[Corporativo no tienda_net_sales],0)</f>
        <v>0</v>
      </c>
      <c r="V82" s="11">
        <f>_xlfn.XLOOKUP(TableDailySummary[[#This Row],[Fecha]],SummaryDaily[day],SummaryDaily[Corporativo no tienda_orders],0)</f>
        <v>0</v>
      </c>
      <c r="W82" s="11">
        <f>_xlfn.XLOOKUP(TableDailySummary[[#This Row],[Fecha]],SummaryDaily[day],SummaryDaily[Corporativo no tienda_average_order_value],0)</f>
        <v>0</v>
      </c>
      <c r="X82" s="11">
        <f>_xlfn.XLOOKUP(TableDailySummary[[#This Row],[Fecha]],SummaryDaily[day],SummaryDaily[GoogleAdsOperation.Cost],0)</f>
        <v>0</v>
      </c>
      <c r="Y82" s="11">
        <f>SUMIFS(SalesByUTMDaily[google],SalesByUTMDaily[day],TableDailySummary[[#This Row],[Fecha]])</f>
        <v>0</v>
      </c>
      <c r="Z82" s="11">
        <f>_xlfn.XLOOKUP(TableDailySummary[[#This Row],[Fecha]],SummaryDaily[day],SummaryDaily[MetaAdsOperation.spend],0)</f>
        <v>0</v>
      </c>
      <c r="AA82" s="11">
        <f>SUMIFS(SalesByUTMDaily[facebook],SalesByUTMDaily[day],TableDailySummary[[#This Row],[Fecha]])</f>
        <v>0</v>
      </c>
      <c r="AB82" s="11">
        <f>TableDailySummary[[#This Row],[Inversión google ads]]+TableDailySummary[[#This Row],[Inversión meta ads]]</f>
        <v>0</v>
      </c>
      <c r="AC82" s="11">
        <f>TableDailySummary[[#This Row],[Ventas google ads]]+TableDailySummary[[#This Row],[Ventas meta ads]]</f>
        <v>0</v>
      </c>
      <c r="AD82" s="14">
        <f>IFERROR(TableDailySummary[[#This Row],[Ventas publicidad]]/TableDailySummary[[#This Row],[Inversión publicidad]],0)</f>
        <v>0</v>
      </c>
      <c r="AE82" s="14">
        <f>IFERROR(TableDailySummary[[#This Row],[Ventas primer cliente]]/TableDailySummary[[#This Row],[Inversión publicidad]],0)</f>
        <v>0</v>
      </c>
      <c r="AF82" s="14"/>
      <c r="AG82" s="11"/>
      <c r="AM82" s="11">
        <f>_xlfn.XLOOKUP(TableDailySummary[[#This Row],[Fecha]],SummaryDaily[day],SummaryDaily[net_sales_with_cost_recorded],0)</f>
        <v>0</v>
      </c>
      <c r="AN82" s="11">
        <f>_xlfn.XLOOKUP(TableDailySummary[[#This Row],[Fecha]],SummaryDaily[day],SummaryDaily[cost_of_goods_sold],0)</f>
        <v>0</v>
      </c>
      <c r="AO82" s="11">
        <f>_xlfn.XLOOKUP(TableDailySummary[[#This Row],[Fecha]],SummaryDaily[day],SummaryDaily[gross_profit],0)</f>
        <v>0</v>
      </c>
      <c r="AP82" s="18">
        <f>IFERROR(TableDailySummary[[#This Row],[Utilidad bruta]]/TableDailySummary[[#This Row],[Ventas netas con costo registrado]],0)</f>
        <v>0</v>
      </c>
    </row>
    <row r="83" spans="2:42" x14ac:dyDescent="0.2">
      <c r="B83" s="15" cm="1">
        <f t="array" ref="B83">ParamFechaInicioReporte + (ROW(TableDailySummary[#This Row]) - ROW(TableDailySummary[[#Headers],[Dia]]) - 1)</f>
        <v>44610</v>
      </c>
      <c r="C83" s="6">
        <f>TableDailySummary[[#This Row],[Dia]]</f>
        <v>44610</v>
      </c>
      <c r="D83" s="11">
        <f>_xlfn.XLOOKUP(TableDailySummary[[#This Row],[Fecha]],SummaryDaily[day],SummaryDaily[net_sales],0)</f>
        <v>0</v>
      </c>
      <c r="E83" s="11">
        <f>_xlfn.XLOOKUP(TableDailySummary[[#This Row],[Fecha]],SummaryDaily[day],SummaryDaily[orders],0)</f>
        <v>0</v>
      </c>
      <c r="F83" s="11">
        <f>_xlfn.XLOOKUP(TableDailySummary[[#This Row],[Fecha]],SummaryDaily[day],SummaryDaily[average_order_value],0)</f>
        <v>0</v>
      </c>
      <c r="G83" s="24" cm="1">
        <f t="array" ref="G83">_xlfn.XLOOKUP(TableDailySummary[[#This Row],[Fecha]]&amp;"Total site",ConversionRateByReferral[day]&amp;ConversionRateByReferral[referrer_source],ConversionRateByReferral[conversion_rate],0)</f>
        <v>0</v>
      </c>
      <c r="H83" s="11">
        <f>TableDailySummary[[#This Row],[Órden promedio totales]]*TableDailySummary[[#This Row],[CR totales]]</f>
        <v>0</v>
      </c>
      <c r="I83" s="11">
        <f>_xlfn.XLOOKUP(TableDailySummary[[#This Row],[Fecha]],SummaryDaily[day],SummaryDaily[new_net_sales],0)</f>
        <v>0</v>
      </c>
      <c r="J83" s="11">
        <f>_xlfn.XLOOKUP(TableDailySummary[[#This Row],[Fecha]],SummaryDaily[day],SummaryDaily[new_orders],0)</f>
        <v>0</v>
      </c>
      <c r="K83" s="11">
        <f>_xlfn.XLOOKUP(TableDailySummary[[#This Row],[Fecha]],SummaryDaily[day],SummaryDaily[new_average_order_value],0)</f>
        <v>0</v>
      </c>
      <c r="L83" s="11">
        <f>_xlfn.XLOOKUP(TableDailySummary[[#This Row],[Fecha]],SummaryDaily[day],SummaryDaily[Online Store_net_sales],0)</f>
        <v>0</v>
      </c>
      <c r="M83" s="11">
        <f>_xlfn.XLOOKUP(TableDailySummary[[#This Row],[Fecha]],SummaryDaily[day],SummaryDaily[Online Store_orders],0)</f>
        <v>0</v>
      </c>
      <c r="N83" s="11">
        <f>_xlfn.XLOOKUP(TableDailySummary[[#This Row],[Fecha]],SummaryDaily[day],SummaryDaily[Online Store_average_order_value],0)</f>
        <v>0</v>
      </c>
      <c r="O83" s="11">
        <f>_xlfn.XLOOKUP(TableDailySummary[[#This Row],[Fecha]],SummaryDaily[day],SummaryDaily[Tienda 81_net_sales],0)</f>
        <v>0</v>
      </c>
      <c r="P83" s="11">
        <f>_xlfn.XLOOKUP(TableDailySummary[[#This Row],[Fecha]],SummaryDaily[day],SummaryDaily[Tienda 81_orders],0)</f>
        <v>0</v>
      </c>
      <c r="Q83" s="11">
        <f>_xlfn.XLOOKUP(TableDailySummary[[#This Row],[Fecha]],SummaryDaily[day],SummaryDaily[Tienda 81_average_order_value],0)</f>
        <v>0</v>
      </c>
      <c r="R83" s="11">
        <f>_xlfn.XLOOKUP(TableDailySummary[[#This Row],[Fecha]],SummaryDaily[day],SummaryDaily[Rappi_net_sales],0)</f>
        <v>0</v>
      </c>
      <c r="S83" s="11">
        <f>_xlfn.XLOOKUP(TableDailySummary[[#This Row],[Fecha]],SummaryDaily[day],SummaryDaily[Rappi_orders],0)</f>
        <v>0</v>
      </c>
      <c r="T83" s="11">
        <f>_xlfn.XLOOKUP(TableDailySummary[[#This Row],[Fecha]],SummaryDaily[day],SummaryDaily[Rappi_average_order_value],0)</f>
        <v>0</v>
      </c>
      <c r="U83" s="11">
        <f>_xlfn.XLOOKUP(TableDailySummary[[#This Row],[Fecha]],SummaryDaily[day],SummaryDaily[Corporativo no tienda_net_sales],0)</f>
        <v>0</v>
      </c>
      <c r="V83" s="11">
        <f>_xlfn.XLOOKUP(TableDailySummary[[#This Row],[Fecha]],SummaryDaily[day],SummaryDaily[Corporativo no tienda_orders],0)</f>
        <v>0</v>
      </c>
      <c r="W83" s="11">
        <f>_xlfn.XLOOKUP(TableDailySummary[[#This Row],[Fecha]],SummaryDaily[day],SummaryDaily[Corporativo no tienda_average_order_value],0)</f>
        <v>0</v>
      </c>
      <c r="X83" s="11">
        <f>_xlfn.XLOOKUP(TableDailySummary[[#This Row],[Fecha]],SummaryDaily[day],SummaryDaily[GoogleAdsOperation.Cost],0)</f>
        <v>0</v>
      </c>
      <c r="Y83" s="11">
        <f>SUMIFS(SalesByUTMDaily[google],SalesByUTMDaily[day],TableDailySummary[[#This Row],[Fecha]])</f>
        <v>0</v>
      </c>
      <c r="Z83" s="11">
        <f>_xlfn.XLOOKUP(TableDailySummary[[#This Row],[Fecha]],SummaryDaily[day],SummaryDaily[MetaAdsOperation.spend],0)</f>
        <v>0</v>
      </c>
      <c r="AA83" s="11">
        <f>SUMIFS(SalesByUTMDaily[facebook],SalesByUTMDaily[day],TableDailySummary[[#This Row],[Fecha]])</f>
        <v>0</v>
      </c>
      <c r="AB83" s="11">
        <f>TableDailySummary[[#This Row],[Inversión google ads]]+TableDailySummary[[#This Row],[Inversión meta ads]]</f>
        <v>0</v>
      </c>
      <c r="AC83" s="11">
        <f>TableDailySummary[[#This Row],[Ventas google ads]]+TableDailySummary[[#This Row],[Ventas meta ads]]</f>
        <v>0</v>
      </c>
      <c r="AD83" s="14">
        <f>IFERROR(TableDailySummary[[#This Row],[Ventas publicidad]]/TableDailySummary[[#This Row],[Inversión publicidad]],0)</f>
        <v>0</v>
      </c>
      <c r="AE83" s="14">
        <f>IFERROR(TableDailySummary[[#This Row],[Ventas primer cliente]]/TableDailySummary[[#This Row],[Inversión publicidad]],0)</f>
        <v>0</v>
      </c>
      <c r="AF83" s="14"/>
      <c r="AG83" s="11"/>
      <c r="AM83" s="11">
        <f>_xlfn.XLOOKUP(TableDailySummary[[#This Row],[Fecha]],SummaryDaily[day],SummaryDaily[net_sales_with_cost_recorded],0)</f>
        <v>0</v>
      </c>
      <c r="AN83" s="11">
        <f>_xlfn.XLOOKUP(TableDailySummary[[#This Row],[Fecha]],SummaryDaily[day],SummaryDaily[cost_of_goods_sold],0)</f>
        <v>0</v>
      </c>
      <c r="AO83" s="11">
        <f>_xlfn.XLOOKUP(TableDailySummary[[#This Row],[Fecha]],SummaryDaily[day],SummaryDaily[gross_profit],0)</f>
        <v>0</v>
      </c>
      <c r="AP83" s="18">
        <f>IFERROR(TableDailySummary[[#This Row],[Utilidad bruta]]/TableDailySummary[[#This Row],[Ventas netas con costo registrado]],0)</f>
        <v>0</v>
      </c>
    </row>
    <row r="84" spans="2:42" x14ac:dyDescent="0.2">
      <c r="B84" s="15" cm="1">
        <f t="array" ref="B84">ParamFechaInicioReporte + (ROW(TableDailySummary[#This Row]) - ROW(TableDailySummary[[#Headers],[Dia]]) - 1)</f>
        <v>44611</v>
      </c>
      <c r="C84" s="6">
        <f>TableDailySummary[[#This Row],[Dia]]</f>
        <v>44611</v>
      </c>
      <c r="D84" s="11">
        <f>_xlfn.XLOOKUP(TableDailySummary[[#This Row],[Fecha]],SummaryDaily[day],SummaryDaily[net_sales],0)</f>
        <v>0</v>
      </c>
      <c r="E84" s="11">
        <f>_xlfn.XLOOKUP(TableDailySummary[[#This Row],[Fecha]],SummaryDaily[day],SummaryDaily[orders],0)</f>
        <v>0</v>
      </c>
      <c r="F84" s="11">
        <f>_xlfn.XLOOKUP(TableDailySummary[[#This Row],[Fecha]],SummaryDaily[day],SummaryDaily[average_order_value],0)</f>
        <v>0</v>
      </c>
      <c r="G84" s="24" cm="1">
        <f t="array" ref="G84">_xlfn.XLOOKUP(TableDailySummary[[#This Row],[Fecha]]&amp;"Total site",ConversionRateByReferral[day]&amp;ConversionRateByReferral[referrer_source],ConversionRateByReferral[conversion_rate],0)</f>
        <v>0</v>
      </c>
      <c r="H84" s="11">
        <f>TableDailySummary[[#This Row],[Órden promedio totales]]*TableDailySummary[[#This Row],[CR totales]]</f>
        <v>0</v>
      </c>
      <c r="I84" s="11">
        <f>_xlfn.XLOOKUP(TableDailySummary[[#This Row],[Fecha]],SummaryDaily[day],SummaryDaily[new_net_sales],0)</f>
        <v>0</v>
      </c>
      <c r="J84" s="11">
        <f>_xlfn.XLOOKUP(TableDailySummary[[#This Row],[Fecha]],SummaryDaily[day],SummaryDaily[new_orders],0)</f>
        <v>0</v>
      </c>
      <c r="K84" s="11">
        <f>_xlfn.XLOOKUP(TableDailySummary[[#This Row],[Fecha]],SummaryDaily[day],SummaryDaily[new_average_order_value],0)</f>
        <v>0</v>
      </c>
      <c r="L84" s="11">
        <f>_xlfn.XLOOKUP(TableDailySummary[[#This Row],[Fecha]],SummaryDaily[day],SummaryDaily[Online Store_net_sales],0)</f>
        <v>0</v>
      </c>
      <c r="M84" s="11">
        <f>_xlfn.XLOOKUP(TableDailySummary[[#This Row],[Fecha]],SummaryDaily[day],SummaryDaily[Online Store_orders],0)</f>
        <v>0</v>
      </c>
      <c r="N84" s="11">
        <f>_xlfn.XLOOKUP(TableDailySummary[[#This Row],[Fecha]],SummaryDaily[day],SummaryDaily[Online Store_average_order_value],0)</f>
        <v>0</v>
      </c>
      <c r="O84" s="11">
        <f>_xlfn.XLOOKUP(TableDailySummary[[#This Row],[Fecha]],SummaryDaily[day],SummaryDaily[Tienda 81_net_sales],0)</f>
        <v>0</v>
      </c>
      <c r="P84" s="11">
        <f>_xlfn.XLOOKUP(TableDailySummary[[#This Row],[Fecha]],SummaryDaily[day],SummaryDaily[Tienda 81_orders],0)</f>
        <v>0</v>
      </c>
      <c r="Q84" s="11">
        <f>_xlfn.XLOOKUP(TableDailySummary[[#This Row],[Fecha]],SummaryDaily[day],SummaryDaily[Tienda 81_average_order_value],0)</f>
        <v>0</v>
      </c>
      <c r="R84" s="11">
        <f>_xlfn.XLOOKUP(TableDailySummary[[#This Row],[Fecha]],SummaryDaily[day],SummaryDaily[Rappi_net_sales],0)</f>
        <v>0</v>
      </c>
      <c r="S84" s="11">
        <f>_xlfn.XLOOKUP(TableDailySummary[[#This Row],[Fecha]],SummaryDaily[day],SummaryDaily[Rappi_orders],0)</f>
        <v>0</v>
      </c>
      <c r="T84" s="11">
        <f>_xlfn.XLOOKUP(TableDailySummary[[#This Row],[Fecha]],SummaryDaily[day],SummaryDaily[Rappi_average_order_value],0)</f>
        <v>0</v>
      </c>
      <c r="U84" s="11">
        <f>_xlfn.XLOOKUP(TableDailySummary[[#This Row],[Fecha]],SummaryDaily[day],SummaryDaily[Corporativo no tienda_net_sales],0)</f>
        <v>0</v>
      </c>
      <c r="V84" s="11">
        <f>_xlfn.XLOOKUP(TableDailySummary[[#This Row],[Fecha]],SummaryDaily[day],SummaryDaily[Corporativo no tienda_orders],0)</f>
        <v>0</v>
      </c>
      <c r="W84" s="11">
        <f>_xlfn.XLOOKUP(TableDailySummary[[#This Row],[Fecha]],SummaryDaily[day],SummaryDaily[Corporativo no tienda_average_order_value],0)</f>
        <v>0</v>
      </c>
      <c r="X84" s="11">
        <f>_xlfn.XLOOKUP(TableDailySummary[[#This Row],[Fecha]],SummaryDaily[day],SummaryDaily[GoogleAdsOperation.Cost],0)</f>
        <v>0</v>
      </c>
      <c r="Y84" s="11">
        <f>SUMIFS(SalesByUTMDaily[google],SalesByUTMDaily[day],TableDailySummary[[#This Row],[Fecha]])</f>
        <v>0</v>
      </c>
      <c r="Z84" s="11">
        <f>_xlfn.XLOOKUP(TableDailySummary[[#This Row],[Fecha]],SummaryDaily[day],SummaryDaily[MetaAdsOperation.spend],0)</f>
        <v>0</v>
      </c>
      <c r="AA84" s="11">
        <f>SUMIFS(SalesByUTMDaily[facebook],SalesByUTMDaily[day],TableDailySummary[[#This Row],[Fecha]])</f>
        <v>0</v>
      </c>
      <c r="AB84" s="11">
        <f>TableDailySummary[[#This Row],[Inversión google ads]]+TableDailySummary[[#This Row],[Inversión meta ads]]</f>
        <v>0</v>
      </c>
      <c r="AC84" s="11">
        <f>TableDailySummary[[#This Row],[Ventas google ads]]+TableDailySummary[[#This Row],[Ventas meta ads]]</f>
        <v>0</v>
      </c>
      <c r="AD84" s="14">
        <f>IFERROR(TableDailySummary[[#This Row],[Ventas publicidad]]/TableDailySummary[[#This Row],[Inversión publicidad]],0)</f>
        <v>0</v>
      </c>
      <c r="AE84" s="14">
        <f>IFERROR(TableDailySummary[[#This Row],[Ventas primer cliente]]/TableDailySummary[[#This Row],[Inversión publicidad]],0)</f>
        <v>0</v>
      </c>
      <c r="AF84" s="14"/>
      <c r="AG84" s="11"/>
      <c r="AM84" s="11">
        <f>_xlfn.XLOOKUP(TableDailySummary[[#This Row],[Fecha]],SummaryDaily[day],SummaryDaily[net_sales_with_cost_recorded],0)</f>
        <v>0</v>
      </c>
      <c r="AN84" s="11">
        <f>_xlfn.XLOOKUP(TableDailySummary[[#This Row],[Fecha]],SummaryDaily[day],SummaryDaily[cost_of_goods_sold],0)</f>
        <v>0</v>
      </c>
      <c r="AO84" s="11">
        <f>_xlfn.XLOOKUP(TableDailySummary[[#This Row],[Fecha]],SummaryDaily[day],SummaryDaily[gross_profit],0)</f>
        <v>0</v>
      </c>
      <c r="AP84" s="18">
        <f>IFERROR(TableDailySummary[[#This Row],[Utilidad bruta]]/TableDailySummary[[#This Row],[Ventas netas con costo registrado]],0)</f>
        <v>0</v>
      </c>
    </row>
    <row r="85" spans="2:42" x14ac:dyDescent="0.2">
      <c r="B85" s="15" cm="1">
        <f t="array" ref="B85">ParamFechaInicioReporte + (ROW(TableDailySummary[#This Row]) - ROW(TableDailySummary[[#Headers],[Dia]]) - 1)</f>
        <v>44612</v>
      </c>
      <c r="C85" s="6">
        <f>TableDailySummary[[#This Row],[Dia]]</f>
        <v>44612</v>
      </c>
      <c r="D85" s="11">
        <f>_xlfn.XLOOKUP(TableDailySummary[[#This Row],[Fecha]],SummaryDaily[day],SummaryDaily[net_sales],0)</f>
        <v>0</v>
      </c>
      <c r="E85" s="11">
        <f>_xlfn.XLOOKUP(TableDailySummary[[#This Row],[Fecha]],SummaryDaily[day],SummaryDaily[orders],0)</f>
        <v>0</v>
      </c>
      <c r="F85" s="11">
        <f>_xlfn.XLOOKUP(TableDailySummary[[#This Row],[Fecha]],SummaryDaily[day],SummaryDaily[average_order_value],0)</f>
        <v>0</v>
      </c>
      <c r="G85" s="24" cm="1">
        <f t="array" ref="G85">_xlfn.XLOOKUP(TableDailySummary[[#This Row],[Fecha]]&amp;"Total site",ConversionRateByReferral[day]&amp;ConversionRateByReferral[referrer_source],ConversionRateByReferral[conversion_rate],0)</f>
        <v>0</v>
      </c>
      <c r="H85" s="11">
        <f>TableDailySummary[[#This Row],[Órden promedio totales]]*TableDailySummary[[#This Row],[CR totales]]</f>
        <v>0</v>
      </c>
      <c r="I85" s="11">
        <f>_xlfn.XLOOKUP(TableDailySummary[[#This Row],[Fecha]],SummaryDaily[day],SummaryDaily[new_net_sales],0)</f>
        <v>0</v>
      </c>
      <c r="J85" s="11">
        <f>_xlfn.XLOOKUP(TableDailySummary[[#This Row],[Fecha]],SummaryDaily[day],SummaryDaily[new_orders],0)</f>
        <v>0</v>
      </c>
      <c r="K85" s="11">
        <f>_xlfn.XLOOKUP(TableDailySummary[[#This Row],[Fecha]],SummaryDaily[day],SummaryDaily[new_average_order_value],0)</f>
        <v>0</v>
      </c>
      <c r="L85" s="11">
        <f>_xlfn.XLOOKUP(TableDailySummary[[#This Row],[Fecha]],SummaryDaily[day],SummaryDaily[Online Store_net_sales],0)</f>
        <v>0</v>
      </c>
      <c r="M85" s="11">
        <f>_xlfn.XLOOKUP(TableDailySummary[[#This Row],[Fecha]],SummaryDaily[day],SummaryDaily[Online Store_orders],0)</f>
        <v>0</v>
      </c>
      <c r="N85" s="11">
        <f>_xlfn.XLOOKUP(TableDailySummary[[#This Row],[Fecha]],SummaryDaily[day],SummaryDaily[Online Store_average_order_value],0)</f>
        <v>0</v>
      </c>
      <c r="O85" s="11">
        <f>_xlfn.XLOOKUP(TableDailySummary[[#This Row],[Fecha]],SummaryDaily[day],SummaryDaily[Tienda 81_net_sales],0)</f>
        <v>0</v>
      </c>
      <c r="P85" s="11">
        <f>_xlfn.XLOOKUP(TableDailySummary[[#This Row],[Fecha]],SummaryDaily[day],SummaryDaily[Tienda 81_orders],0)</f>
        <v>0</v>
      </c>
      <c r="Q85" s="11">
        <f>_xlfn.XLOOKUP(TableDailySummary[[#This Row],[Fecha]],SummaryDaily[day],SummaryDaily[Tienda 81_average_order_value],0)</f>
        <v>0</v>
      </c>
      <c r="R85" s="11">
        <f>_xlfn.XLOOKUP(TableDailySummary[[#This Row],[Fecha]],SummaryDaily[day],SummaryDaily[Rappi_net_sales],0)</f>
        <v>0</v>
      </c>
      <c r="S85" s="11">
        <f>_xlfn.XLOOKUP(TableDailySummary[[#This Row],[Fecha]],SummaryDaily[day],SummaryDaily[Rappi_orders],0)</f>
        <v>0</v>
      </c>
      <c r="T85" s="11">
        <f>_xlfn.XLOOKUP(TableDailySummary[[#This Row],[Fecha]],SummaryDaily[day],SummaryDaily[Rappi_average_order_value],0)</f>
        <v>0</v>
      </c>
      <c r="U85" s="11">
        <f>_xlfn.XLOOKUP(TableDailySummary[[#This Row],[Fecha]],SummaryDaily[day],SummaryDaily[Corporativo no tienda_net_sales],0)</f>
        <v>0</v>
      </c>
      <c r="V85" s="11">
        <f>_xlfn.XLOOKUP(TableDailySummary[[#This Row],[Fecha]],SummaryDaily[day],SummaryDaily[Corporativo no tienda_orders],0)</f>
        <v>0</v>
      </c>
      <c r="W85" s="11">
        <f>_xlfn.XLOOKUP(TableDailySummary[[#This Row],[Fecha]],SummaryDaily[day],SummaryDaily[Corporativo no tienda_average_order_value],0)</f>
        <v>0</v>
      </c>
      <c r="X85" s="11">
        <f>_xlfn.XLOOKUP(TableDailySummary[[#This Row],[Fecha]],SummaryDaily[day],SummaryDaily[GoogleAdsOperation.Cost],0)</f>
        <v>0</v>
      </c>
      <c r="Y85" s="11">
        <f>SUMIFS(SalesByUTMDaily[google],SalesByUTMDaily[day],TableDailySummary[[#This Row],[Fecha]])</f>
        <v>0</v>
      </c>
      <c r="Z85" s="11">
        <f>_xlfn.XLOOKUP(TableDailySummary[[#This Row],[Fecha]],SummaryDaily[day],SummaryDaily[MetaAdsOperation.spend],0)</f>
        <v>0</v>
      </c>
      <c r="AA85" s="11">
        <f>SUMIFS(SalesByUTMDaily[facebook],SalesByUTMDaily[day],TableDailySummary[[#This Row],[Fecha]])</f>
        <v>0</v>
      </c>
      <c r="AB85" s="11">
        <f>TableDailySummary[[#This Row],[Inversión google ads]]+TableDailySummary[[#This Row],[Inversión meta ads]]</f>
        <v>0</v>
      </c>
      <c r="AC85" s="11">
        <f>TableDailySummary[[#This Row],[Ventas google ads]]+TableDailySummary[[#This Row],[Ventas meta ads]]</f>
        <v>0</v>
      </c>
      <c r="AD85" s="14">
        <f>IFERROR(TableDailySummary[[#This Row],[Ventas publicidad]]/TableDailySummary[[#This Row],[Inversión publicidad]],0)</f>
        <v>0</v>
      </c>
      <c r="AE85" s="14">
        <f>IFERROR(TableDailySummary[[#This Row],[Ventas primer cliente]]/TableDailySummary[[#This Row],[Inversión publicidad]],0)</f>
        <v>0</v>
      </c>
      <c r="AF85" s="14"/>
      <c r="AG85" s="11"/>
      <c r="AM85" s="11">
        <f>_xlfn.XLOOKUP(TableDailySummary[[#This Row],[Fecha]],SummaryDaily[day],SummaryDaily[net_sales_with_cost_recorded],0)</f>
        <v>0</v>
      </c>
      <c r="AN85" s="11">
        <f>_xlfn.XLOOKUP(TableDailySummary[[#This Row],[Fecha]],SummaryDaily[day],SummaryDaily[cost_of_goods_sold],0)</f>
        <v>0</v>
      </c>
      <c r="AO85" s="11">
        <f>_xlfn.XLOOKUP(TableDailySummary[[#This Row],[Fecha]],SummaryDaily[day],SummaryDaily[gross_profit],0)</f>
        <v>0</v>
      </c>
      <c r="AP85" s="18">
        <f>IFERROR(TableDailySummary[[#This Row],[Utilidad bruta]]/TableDailySummary[[#This Row],[Ventas netas con costo registrado]],0)</f>
        <v>0</v>
      </c>
    </row>
    <row r="86" spans="2:42" x14ac:dyDescent="0.2">
      <c r="B86" s="15" cm="1">
        <f t="array" ref="B86">ParamFechaInicioReporte + (ROW(TableDailySummary[#This Row]) - ROW(TableDailySummary[[#Headers],[Dia]]) - 1)</f>
        <v>44613</v>
      </c>
      <c r="C86" s="6">
        <f>TableDailySummary[[#This Row],[Dia]]</f>
        <v>44613</v>
      </c>
      <c r="D86" s="11">
        <f>_xlfn.XLOOKUP(TableDailySummary[[#This Row],[Fecha]],SummaryDaily[day],SummaryDaily[net_sales],0)</f>
        <v>0</v>
      </c>
      <c r="E86" s="11">
        <f>_xlfn.XLOOKUP(TableDailySummary[[#This Row],[Fecha]],SummaryDaily[day],SummaryDaily[orders],0)</f>
        <v>0</v>
      </c>
      <c r="F86" s="11">
        <f>_xlfn.XLOOKUP(TableDailySummary[[#This Row],[Fecha]],SummaryDaily[day],SummaryDaily[average_order_value],0)</f>
        <v>0</v>
      </c>
      <c r="G86" s="24" cm="1">
        <f t="array" ref="G86">_xlfn.XLOOKUP(TableDailySummary[[#This Row],[Fecha]]&amp;"Total site",ConversionRateByReferral[day]&amp;ConversionRateByReferral[referrer_source],ConversionRateByReferral[conversion_rate],0)</f>
        <v>0</v>
      </c>
      <c r="H86" s="11">
        <f>TableDailySummary[[#This Row],[Órden promedio totales]]*TableDailySummary[[#This Row],[CR totales]]</f>
        <v>0</v>
      </c>
      <c r="I86" s="11">
        <f>_xlfn.XLOOKUP(TableDailySummary[[#This Row],[Fecha]],SummaryDaily[day],SummaryDaily[new_net_sales],0)</f>
        <v>0</v>
      </c>
      <c r="J86" s="11">
        <f>_xlfn.XLOOKUP(TableDailySummary[[#This Row],[Fecha]],SummaryDaily[day],SummaryDaily[new_orders],0)</f>
        <v>0</v>
      </c>
      <c r="K86" s="11">
        <f>_xlfn.XLOOKUP(TableDailySummary[[#This Row],[Fecha]],SummaryDaily[day],SummaryDaily[new_average_order_value],0)</f>
        <v>0</v>
      </c>
      <c r="L86" s="11">
        <f>_xlfn.XLOOKUP(TableDailySummary[[#This Row],[Fecha]],SummaryDaily[day],SummaryDaily[Online Store_net_sales],0)</f>
        <v>0</v>
      </c>
      <c r="M86" s="11">
        <f>_xlfn.XLOOKUP(TableDailySummary[[#This Row],[Fecha]],SummaryDaily[day],SummaryDaily[Online Store_orders],0)</f>
        <v>0</v>
      </c>
      <c r="N86" s="11">
        <f>_xlfn.XLOOKUP(TableDailySummary[[#This Row],[Fecha]],SummaryDaily[day],SummaryDaily[Online Store_average_order_value],0)</f>
        <v>0</v>
      </c>
      <c r="O86" s="11">
        <f>_xlfn.XLOOKUP(TableDailySummary[[#This Row],[Fecha]],SummaryDaily[day],SummaryDaily[Tienda 81_net_sales],0)</f>
        <v>0</v>
      </c>
      <c r="P86" s="11">
        <f>_xlfn.XLOOKUP(TableDailySummary[[#This Row],[Fecha]],SummaryDaily[day],SummaryDaily[Tienda 81_orders],0)</f>
        <v>0</v>
      </c>
      <c r="Q86" s="11">
        <f>_xlfn.XLOOKUP(TableDailySummary[[#This Row],[Fecha]],SummaryDaily[day],SummaryDaily[Tienda 81_average_order_value],0)</f>
        <v>0</v>
      </c>
      <c r="R86" s="11">
        <f>_xlfn.XLOOKUP(TableDailySummary[[#This Row],[Fecha]],SummaryDaily[day],SummaryDaily[Rappi_net_sales],0)</f>
        <v>0</v>
      </c>
      <c r="S86" s="11">
        <f>_xlfn.XLOOKUP(TableDailySummary[[#This Row],[Fecha]],SummaryDaily[day],SummaryDaily[Rappi_orders],0)</f>
        <v>0</v>
      </c>
      <c r="T86" s="11">
        <f>_xlfn.XLOOKUP(TableDailySummary[[#This Row],[Fecha]],SummaryDaily[day],SummaryDaily[Rappi_average_order_value],0)</f>
        <v>0</v>
      </c>
      <c r="U86" s="11">
        <f>_xlfn.XLOOKUP(TableDailySummary[[#This Row],[Fecha]],SummaryDaily[day],SummaryDaily[Corporativo no tienda_net_sales],0)</f>
        <v>0</v>
      </c>
      <c r="V86" s="11">
        <f>_xlfn.XLOOKUP(TableDailySummary[[#This Row],[Fecha]],SummaryDaily[day],SummaryDaily[Corporativo no tienda_orders],0)</f>
        <v>0</v>
      </c>
      <c r="W86" s="11">
        <f>_xlfn.XLOOKUP(TableDailySummary[[#This Row],[Fecha]],SummaryDaily[day],SummaryDaily[Corporativo no tienda_average_order_value],0)</f>
        <v>0</v>
      </c>
      <c r="X86" s="11">
        <f>_xlfn.XLOOKUP(TableDailySummary[[#This Row],[Fecha]],SummaryDaily[day],SummaryDaily[GoogleAdsOperation.Cost],0)</f>
        <v>0</v>
      </c>
      <c r="Y86" s="11">
        <f>SUMIFS(SalesByUTMDaily[google],SalesByUTMDaily[day],TableDailySummary[[#This Row],[Fecha]])</f>
        <v>0</v>
      </c>
      <c r="Z86" s="11">
        <f>_xlfn.XLOOKUP(TableDailySummary[[#This Row],[Fecha]],SummaryDaily[day],SummaryDaily[MetaAdsOperation.spend],0)</f>
        <v>0</v>
      </c>
      <c r="AA86" s="11">
        <f>SUMIFS(SalesByUTMDaily[facebook],SalesByUTMDaily[day],TableDailySummary[[#This Row],[Fecha]])</f>
        <v>0</v>
      </c>
      <c r="AB86" s="11">
        <f>TableDailySummary[[#This Row],[Inversión google ads]]+TableDailySummary[[#This Row],[Inversión meta ads]]</f>
        <v>0</v>
      </c>
      <c r="AC86" s="11">
        <f>TableDailySummary[[#This Row],[Ventas google ads]]+TableDailySummary[[#This Row],[Ventas meta ads]]</f>
        <v>0</v>
      </c>
      <c r="AD86" s="14">
        <f>IFERROR(TableDailySummary[[#This Row],[Ventas publicidad]]/TableDailySummary[[#This Row],[Inversión publicidad]],0)</f>
        <v>0</v>
      </c>
      <c r="AE86" s="14">
        <f>IFERROR(TableDailySummary[[#This Row],[Ventas primer cliente]]/TableDailySummary[[#This Row],[Inversión publicidad]],0)</f>
        <v>0</v>
      </c>
      <c r="AF86" s="14"/>
      <c r="AG86" s="11"/>
      <c r="AM86" s="11">
        <f>_xlfn.XLOOKUP(TableDailySummary[[#This Row],[Fecha]],SummaryDaily[day],SummaryDaily[net_sales_with_cost_recorded],0)</f>
        <v>0</v>
      </c>
      <c r="AN86" s="11">
        <f>_xlfn.XLOOKUP(TableDailySummary[[#This Row],[Fecha]],SummaryDaily[day],SummaryDaily[cost_of_goods_sold],0)</f>
        <v>0</v>
      </c>
      <c r="AO86" s="11">
        <f>_xlfn.XLOOKUP(TableDailySummary[[#This Row],[Fecha]],SummaryDaily[day],SummaryDaily[gross_profit],0)</f>
        <v>0</v>
      </c>
      <c r="AP86" s="18">
        <f>IFERROR(TableDailySummary[[#This Row],[Utilidad bruta]]/TableDailySummary[[#This Row],[Ventas netas con costo registrado]],0)</f>
        <v>0</v>
      </c>
    </row>
    <row r="87" spans="2:42" x14ac:dyDescent="0.2">
      <c r="B87" s="15" cm="1">
        <f t="array" ref="B87">ParamFechaInicioReporte + (ROW(TableDailySummary[#This Row]) - ROW(TableDailySummary[[#Headers],[Dia]]) - 1)</f>
        <v>44614</v>
      </c>
      <c r="C87" s="6">
        <f>TableDailySummary[[#This Row],[Dia]]</f>
        <v>44614</v>
      </c>
      <c r="D87" s="11">
        <f>_xlfn.XLOOKUP(TableDailySummary[[#This Row],[Fecha]],SummaryDaily[day],SummaryDaily[net_sales],0)</f>
        <v>0</v>
      </c>
      <c r="E87" s="11">
        <f>_xlfn.XLOOKUP(TableDailySummary[[#This Row],[Fecha]],SummaryDaily[day],SummaryDaily[orders],0)</f>
        <v>0</v>
      </c>
      <c r="F87" s="11">
        <f>_xlfn.XLOOKUP(TableDailySummary[[#This Row],[Fecha]],SummaryDaily[day],SummaryDaily[average_order_value],0)</f>
        <v>0</v>
      </c>
      <c r="G87" s="24" cm="1">
        <f t="array" ref="G87">_xlfn.XLOOKUP(TableDailySummary[[#This Row],[Fecha]]&amp;"Total site",ConversionRateByReferral[day]&amp;ConversionRateByReferral[referrer_source],ConversionRateByReferral[conversion_rate],0)</f>
        <v>0</v>
      </c>
      <c r="H87" s="11">
        <f>TableDailySummary[[#This Row],[Órden promedio totales]]*TableDailySummary[[#This Row],[CR totales]]</f>
        <v>0</v>
      </c>
      <c r="I87" s="11">
        <f>_xlfn.XLOOKUP(TableDailySummary[[#This Row],[Fecha]],SummaryDaily[day],SummaryDaily[new_net_sales],0)</f>
        <v>0</v>
      </c>
      <c r="J87" s="11">
        <f>_xlfn.XLOOKUP(TableDailySummary[[#This Row],[Fecha]],SummaryDaily[day],SummaryDaily[new_orders],0)</f>
        <v>0</v>
      </c>
      <c r="K87" s="11">
        <f>_xlfn.XLOOKUP(TableDailySummary[[#This Row],[Fecha]],SummaryDaily[day],SummaryDaily[new_average_order_value],0)</f>
        <v>0</v>
      </c>
      <c r="L87" s="11">
        <f>_xlfn.XLOOKUP(TableDailySummary[[#This Row],[Fecha]],SummaryDaily[day],SummaryDaily[Online Store_net_sales],0)</f>
        <v>0</v>
      </c>
      <c r="M87" s="11">
        <f>_xlfn.XLOOKUP(TableDailySummary[[#This Row],[Fecha]],SummaryDaily[day],SummaryDaily[Online Store_orders],0)</f>
        <v>0</v>
      </c>
      <c r="N87" s="11">
        <f>_xlfn.XLOOKUP(TableDailySummary[[#This Row],[Fecha]],SummaryDaily[day],SummaryDaily[Online Store_average_order_value],0)</f>
        <v>0</v>
      </c>
      <c r="O87" s="11">
        <f>_xlfn.XLOOKUP(TableDailySummary[[#This Row],[Fecha]],SummaryDaily[day],SummaryDaily[Tienda 81_net_sales],0)</f>
        <v>0</v>
      </c>
      <c r="P87" s="11">
        <f>_xlfn.XLOOKUP(TableDailySummary[[#This Row],[Fecha]],SummaryDaily[day],SummaryDaily[Tienda 81_orders],0)</f>
        <v>0</v>
      </c>
      <c r="Q87" s="11">
        <f>_xlfn.XLOOKUP(TableDailySummary[[#This Row],[Fecha]],SummaryDaily[day],SummaryDaily[Tienda 81_average_order_value],0)</f>
        <v>0</v>
      </c>
      <c r="R87" s="11">
        <f>_xlfn.XLOOKUP(TableDailySummary[[#This Row],[Fecha]],SummaryDaily[day],SummaryDaily[Rappi_net_sales],0)</f>
        <v>0</v>
      </c>
      <c r="S87" s="11">
        <f>_xlfn.XLOOKUP(TableDailySummary[[#This Row],[Fecha]],SummaryDaily[day],SummaryDaily[Rappi_orders],0)</f>
        <v>0</v>
      </c>
      <c r="T87" s="11">
        <f>_xlfn.XLOOKUP(TableDailySummary[[#This Row],[Fecha]],SummaryDaily[day],SummaryDaily[Rappi_average_order_value],0)</f>
        <v>0</v>
      </c>
      <c r="U87" s="11">
        <f>_xlfn.XLOOKUP(TableDailySummary[[#This Row],[Fecha]],SummaryDaily[day],SummaryDaily[Corporativo no tienda_net_sales],0)</f>
        <v>0</v>
      </c>
      <c r="V87" s="11">
        <f>_xlfn.XLOOKUP(TableDailySummary[[#This Row],[Fecha]],SummaryDaily[day],SummaryDaily[Corporativo no tienda_orders],0)</f>
        <v>0</v>
      </c>
      <c r="W87" s="11">
        <f>_xlfn.XLOOKUP(TableDailySummary[[#This Row],[Fecha]],SummaryDaily[day],SummaryDaily[Corporativo no tienda_average_order_value],0)</f>
        <v>0</v>
      </c>
      <c r="X87" s="11">
        <f>_xlfn.XLOOKUP(TableDailySummary[[#This Row],[Fecha]],SummaryDaily[day],SummaryDaily[GoogleAdsOperation.Cost],0)</f>
        <v>0</v>
      </c>
      <c r="Y87" s="11">
        <f>SUMIFS(SalesByUTMDaily[google],SalesByUTMDaily[day],TableDailySummary[[#This Row],[Fecha]])</f>
        <v>0</v>
      </c>
      <c r="Z87" s="11">
        <f>_xlfn.XLOOKUP(TableDailySummary[[#This Row],[Fecha]],SummaryDaily[day],SummaryDaily[MetaAdsOperation.spend],0)</f>
        <v>0</v>
      </c>
      <c r="AA87" s="11">
        <f>SUMIFS(SalesByUTMDaily[facebook],SalesByUTMDaily[day],TableDailySummary[[#This Row],[Fecha]])</f>
        <v>0</v>
      </c>
      <c r="AB87" s="11">
        <f>TableDailySummary[[#This Row],[Inversión google ads]]+TableDailySummary[[#This Row],[Inversión meta ads]]</f>
        <v>0</v>
      </c>
      <c r="AC87" s="11">
        <f>TableDailySummary[[#This Row],[Ventas google ads]]+TableDailySummary[[#This Row],[Ventas meta ads]]</f>
        <v>0</v>
      </c>
      <c r="AD87" s="14">
        <f>IFERROR(TableDailySummary[[#This Row],[Ventas publicidad]]/TableDailySummary[[#This Row],[Inversión publicidad]],0)</f>
        <v>0</v>
      </c>
      <c r="AE87" s="14">
        <f>IFERROR(TableDailySummary[[#This Row],[Ventas primer cliente]]/TableDailySummary[[#This Row],[Inversión publicidad]],0)</f>
        <v>0</v>
      </c>
      <c r="AF87" s="14"/>
      <c r="AG87" s="11"/>
      <c r="AM87" s="11">
        <f>_xlfn.XLOOKUP(TableDailySummary[[#This Row],[Fecha]],SummaryDaily[day],SummaryDaily[net_sales_with_cost_recorded],0)</f>
        <v>0</v>
      </c>
      <c r="AN87" s="11">
        <f>_xlfn.XLOOKUP(TableDailySummary[[#This Row],[Fecha]],SummaryDaily[day],SummaryDaily[cost_of_goods_sold],0)</f>
        <v>0</v>
      </c>
      <c r="AO87" s="11">
        <f>_xlfn.XLOOKUP(TableDailySummary[[#This Row],[Fecha]],SummaryDaily[day],SummaryDaily[gross_profit],0)</f>
        <v>0</v>
      </c>
      <c r="AP87" s="18">
        <f>IFERROR(TableDailySummary[[#This Row],[Utilidad bruta]]/TableDailySummary[[#This Row],[Ventas netas con costo registrado]],0)</f>
        <v>0</v>
      </c>
    </row>
    <row r="88" spans="2:42" x14ac:dyDescent="0.2">
      <c r="B88" s="15" cm="1">
        <f t="array" ref="B88">ParamFechaInicioReporte + (ROW(TableDailySummary[#This Row]) - ROW(TableDailySummary[[#Headers],[Dia]]) - 1)</f>
        <v>44615</v>
      </c>
      <c r="C88" s="6">
        <f>TableDailySummary[[#This Row],[Dia]]</f>
        <v>44615</v>
      </c>
      <c r="D88" s="11">
        <f>_xlfn.XLOOKUP(TableDailySummary[[#This Row],[Fecha]],SummaryDaily[day],SummaryDaily[net_sales],0)</f>
        <v>0</v>
      </c>
      <c r="E88" s="11">
        <f>_xlfn.XLOOKUP(TableDailySummary[[#This Row],[Fecha]],SummaryDaily[day],SummaryDaily[orders],0)</f>
        <v>0</v>
      </c>
      <c r="F88" s="11">
        <f>_xlfn.XLOOKUP(TableDailySummary[[#This Row],[Fecha]],SummaryDaily[day],SummaryDaily[average_order_value],0)</f>
        <v>0</v>
      </c>
      <c r="G88" s="24" cm="1">
        <f t="array" ref="G88">_xlfn.XLOOKUP(TableDailySummary[[#This Row],[Fecha]]&amp;"Total site",ConversionRateByReferral[day]&amp;ConversionRateByReferral[referrer_source],ConversionRateByReferral[conversion_rate],0)</f>
        <v>0</v>
      </c>
      <c r="H88" s="11">
        <f>TableDailySummary[[#This Row],[Órden promedio totales]]*TableDailySummary[[#This Row],[CR totales]]</f>
        <v>0</v>
      </c>
      <c r="I88" s="11">
        <f>_xlfn.XLOOKUP(TableDailySummary[[#This Row],[Fecha]],SummaryDaily[day],SummaryDaily[new_net_sales],0)</f>
        <v>0</v>
      </c>
      <c r="J88" s="11">
        <f>_xlfn.XLOOKUP(TableDailySummary[[#This Row],[Fecha]],SummaryDaily[day],SummaryDaily[new_orders],0)</f>
        <v>0</v>
      </c>
      <c r="K88" s="11">
        <f>_xlfn.XLOOKUP(TableDailySummary[[#This Row],[Fecha]],SummaryDaily[day],SummaryDaily[new_average_order_value],0)</f>
        <v>0</v>
      </c>
      <c r="L88" s="11">
        <f>_xlfn.XLOOKUP(TableDailySummary[[#This Row],[Fecha]],SummaryDaily[day],SummaryDaily[Online Store_net_sales],0)</f>
        <v>0</v>
      </c>
      <c r="M88" s="11">
        <f>_xlfn.XLOOKUP(TableDailySummary[[#This Row],[Fecha]],SummaryDaily[day],SummaryDaily[Online Store_orders],0)</f>
        <v>0</v>
      </c>
      <c r="N88" s="11">
        <f>_xlfn.XLOOKUP(TableDailySummary[[#This Row],[Fecha]],SummaryDaily[day],SummaryDaily[Online Store_average_order_value],0)</f>
        <v>0</v>
      </c>
      <c r="O88" s="11">
        <f>_xlfn.XLOOKUP(TableDailySummary[[#This Row],[Fecha]],SummaryDaily[day],SummaryDaily[Tienda 81_net_sales],0)</f>
        <v>0</v>
      </c>
      <c r="P88" s="11">
        <f>_xlfn.XLOOKUP(TableDailySummary[[#This Row],[Fecha]],SummaryDaily[day],SummaryDaily[Tienda 81_orders],0)</f>
        <v>0</v>
      </c>
      <c r="Q88" s="11">
        <f>_xlfn.XLOOKUP(TableDailySummary[[#This Row],[Fecha]],SummaryDaily[day],SummaryDaily[Tienda 81_average_order_value],0)</f>
        <v>0</v>
      </c>
      <c r="R88" s="11">
        <f>_xlfn.XLOOKUP(TableDailySummary[[#This Row],[Fecha]],SummaryDaily[day],SummaryDaily[Rappi_net_sales],0)</f>
        <v>0</v>
      </c>
      <c r="S88" s="11">
        <f>_xlfn.XLOOKUP(TableDailySummary[[#This Row],[Fecha]],SummaryDaily[day],SummaryDaily[Rappi_orders],0)</f>
        <v>0</v>
      </c>
      <c r="T88" s="11">
        <f>_xlfn.XLOOKUP(TableDailySummary[[#This Row],[Fecha]],SummaryDaily[day],SummaryDaily[Rappi_average_order_value],0)</f>
        <v>0</v>
      </c>
      <c r="U88" s="11">
        <f>_xlfn.XLOOKUP(TableDailySummary[[#This Row],[Fecha]],SummaryDaily[day],SummaryDaily[Corporativo no tienda_net_sales],0)</f>
        <v>0</v>
      </c>
      <c r="V88" s="11">
        <f>_xlfn.XLOOKUP(TableDailySummary[[#This Row],[Fecha]],SummaryDaily[day],SummaryDaily[Corporativo no tienda_orders],0)</f>
        <v>0</v>
      </c>
      <c r="W88" s="11">
        <f>_xlfn.XLOOKUP(TableDailySummary[[#This Row],[Fecha]],SummaryDaily[day],SummaryDaily[Corporativo no tienda_average_order_value],0)</f>
        <v>0</v>
      </c>
      <c r="X88" s="11">
        <f>_xlfn.XLOOKUP(TableDailySummary[[#This Row],[Fecha]],SummaryDaily[day],SummaryDaily[GoogleAdsOperation.Cost],0)</f>
        <v>0</v>
      </c>
      <c r="Y88" s="11">
        <f>SUMIFS(SalesByUTMDaily[google],SalesByUTMDaily[day],TableDailySummary[[#This Row],[Fecha]])</f>
        <v>0</v>
      </c>
      <c r="Z88" s="11">
        <f>_xlfn.XLOOKUP(TableDailySummary[[#This Row],[Fecha]],SummaryDaily[day],SummaryDaily[MetaAdsOperation.spend],0)</f>
        <v>0</v>
      </c>
      <c r="AA88" s="11">
        <f>SUMIFS(SalesByUTMDaily[facebook],SalesByUTMDaily[day],TableDailySummary[[#This Row],[Fecha]])</f>
        <v>0</v>
      </c>
      <c r="AB88" s="11">
        <f>TableDailySummary[[#This Row],[Inversión google ads]]+TableDailySummary[[#This Row],[Inversión meta ads]]</f>
        <v>0</v>
      </c>
      <c r="AC88" s="11">
        <f>TableDailySummary[[#This Row],[Ventas google ads]]+TableDailySummary[[#This Row],[Ventas meta ads]]</f>
        <v>0</v>
      </c>
      <c r="AD88" s="14">
        <f>IFERROR(TableDailySummary[[#This Row],[Ventas publicidad]]/TableDailySummary[[#This Row],[Inversión publicidad]],0)</f>
        <v>0</v>
      </c>
      <c r="AE88" s="14">
        <f>IFERROR(TableDailySummary[[#This Row],[Ventas primer cliente]]/TableDailySummary[[#This Row],[Inversión publicidad]],0)</f>
        <v>0</v>
      </c>
      <c r="AF88" s="14"/>
      <c r="AG88" s="11"/>
      <c r="AM88" s="11">
        <f>_xlfn.XLOOKUP(TableDailySummary[[#This Row],[Fecha]],SummaryDaily[day],SummaryDaily[net_sales_with_cost_recorded],0)</f>
        <v>0</v>
      </c>
      <c r="AN88" s="11">
        <f>_xlfn.XLOOKUP(TableDailySummary[[#This Row],[Fecha]],SummaryDaily[day],SummaryDaily[cost_of_goods_sold],0)</f>
        <v>0</v>
      </c>
      <c r="AO88" s="11">
        <f>_xlfn.XLOOKUP(TableDailySummary[[#This Row],[Fecha]],SummaryDaily[day],SummaryDaily[gross_profit],0)</f>
        <v>0</v>
      </c>
      <c r="AP88" s="18">
        <f>IFERROR(TableDailySummary[[#This Row],[Utilidad bruta]]/TableDailySummary[[#This Row],[Ventas netas con costo registrado]],0)</f>
        <v>0</v>
      </c>
    </row>
    <row r="89" spans="2:42" x14ac:dyDescent="0.2">
      <c r="B89" s="15" cm="1">
        <f t="array" ref="B89">ParamFechaInicioReporte + (ROW(TableDailySummary[#This Row]) - ROW(TableDailySummary[[#Headers],[Dia]]) - 1)</f>
        <v>44616</v>
      </c>
      <c r="C89" s="6">
        <f>TableDailySummary[[#This Row],[Dia]]</f>
        <v>44616</v>
      </c>
      <c r="D89" s="11">
        <f>_xlfn.XLOOKUP(TableDailySummary[[#This Row],[Fecha]],SummaryDaily[day],SummaryDaily[net_sales],0)</f>
        <v>0</v>
      </c>
      <c r="E89" s="11">
        <f>_xlfn.XLOOKUP(TableDailySummary[[#This Row],[Fecha]],SummaryDaily[day],SummaryDaily[orders],0)</f>
        <v>0</v>
      </c>
      <c r="F89" s="11">
        <f>_xlfn.XLOOKUP(TableDailySummary[[#This Row],[Fecha]],SummaryDaily[day],SummaryDaily[average_order_value],0)</f>
        <v>0</v>
      </c>
      <c r="G89" s="24" cm="1">
        <f t="array" ref="G89">_xlfn.XLOOKUP(TableDailySummary[[#This Row],[Fecha]]&amp;"Total site",ConversionRateByReferral[day]&amp;ConversionRateByReferral[referrer_source],ConversionRateByReferral[conversion_rate],0)</f>
        <v>0</v>
      </c>
      <c r="H89" s="11">
        <f>TableDailySummary[[#This Row],[Órden promedio totales]]*TableDailySummary[[#This Row],[CR totales]]</f>
        <v>0</v>
      </c>
      <c r="I89" s="11">
        <f>_xlfn.XLOOKUP(TableDailySummary[[#This Row],[Fecha]],SummaryDaily[day],SummaryDaily[new_net_sales],0)</f>
        <v>0</v>
      </c>
      <c r="J89" s="11">
        <f>_xlfn.XLOOKUP(TableDailySummary[[#This Row],[Fecha]],SummaryDaily[day],SummaryDaily[new_orders],0)</f>
        <v>0</v>
      </c>
      <c r="K89" s="11">
        <f>_xlfn.XLOOKUP(TableDailySummary[[#This Row],[Fecha]],SummaryDaily[day],SummaryDaily[new_average_order_value],0)</f>
        <v>0</v>
      </c>
      <c r="L89" s="11">
        <f>_xlfn.XLOOKUP(TableDailySummary[[#This Row],[Fecha]],SummaryDaily[day],SummaryDaily[Online Store_net_sales],0)</f>
        <v>0</v>
      </c>
      <c r="M89" s="11">
        <f>_xlfn.XLOOKUP(TableDailySummary[[#This Row],[Fecha]],SummaryDaily[day],SummaryDaily[Online Store_orders],0)</f>
        <v>0</v>
      </c>
      <c r="N89" s="11">
        <f>_xlfn.XLOOKUP(TableDailySummary[[#This Row],[Fecha]],SummaryDaily[day],SummaryDaily[Online Store_average_order_value],0)</f>
        <v>0</v>
      </c>
      <c r="O89" s="11">
        <f>_xlfn.XLOOKUP(TableDailySummary[[#This Row],[Fecha]],SummaryDaily[day],SummaryDaily[Tienda 81_net_sales],0)</f>
        <v>0</v>
      </c>
      <c r="P89" s="11">
        <f>_xlfn.XLOOKUP(TableDailySummary[[#This Row],[Fecha]],SummaryDaily[day],SummaryDaily[Tienda 81_orders],0)</f>
        <v>0</v>
      </c>
      <c r="Q89" s="11">
        <f>_xlfn.XLOOKUP(TableDailySummary[[#This Row],[Fecha]],SummaryDaily[day],SummaryDaily[Tienda 81_average_order_value],0)</f>
        <v>0</v>
      </c>
      <c r="R89" s="11">
        <f>_xlfn.XLOOKUP(TableDailySummary[[#This Row],[Fecha]],SummaryDaily[day],SummaryDaily[Rappi_net_sales],0)</f>
        <v>0</v>
      </c>
      <c r="S89" s="11">
        <f>_xlfn.XLOOKUP(TableDailySummary[[#This Row],[Fecha]],SummaryDaily[day],SummaryDaily[Rappi_orders],0)</f>
        <v>0</v>
      </c>
      <c r="T89" s="11">
        <f>_xlfn.XLOOKUP(TableDailySummary[[#This Row],[Fecha]],SummaryDaily[day],SummaryDaily[Rappi_average_order_value],0)</f>
        <v>0</v>
      </c>
      <c r="U89" s="11">
        <f>_xlfn.XLOOKUP(TableDailySummary[[#This Row],[Fecha]],SummaryDaily[day],SummaryDaily[Corporativo no tienda_net_sales],0)</f>
        <v>0</v>
      </c>
      <c r="V89" s="11">
        <f>_xlfn.XLOOKUP(TableDailySummary[[#This Row],[Fecha]],SummaryDaily[day],SummaryDaily[Corporativo no tienda_orders],0)</f>
        <v>0</v>
      </c>
      <c r="W89" s="11">
        <f>_xlfn.XLOOKUP(TableDailySummary[[#This Row],[Fecha]],SummaryDaily[day],SummaryDaily[Corporativo no tienda_average_order_value],0)</f>
        <v>0</v>
      </c>
      <c r="X89" s="11">
        <f>_xlfn.XLOOKUP(TableDailySummary[[#This Row],[Fecha]],SummaryDaily[day],SummaryDaily[GoogleAdsOperation.Cost],0)</f>
        <v>0</v>
      </c>
      <c r="Y89" s="11">
        <f>SUMIFS(SalesByUTMDaily[google],SalesByUTMDaily[day],TableDailySummary[[#This Row],[Fecha]])</f>
        <v>0</v>
      </c>
      <c r="Z89" s="11">
        <f>_xlfn.XLOOKUP(TableDailySummary[[#This Row],[Fecha]],SummaryDaily[day],SummaryDaily[MetaAdsOperation.spend],0)</f>
        <v>0</v>
      </c>
      <c r="AA89" s="11">
        <f>SUMIFS(SalesByUTMDaily[facebook],SalesByUTMDaily[day],TableDailySummary[[#This Row],[Fecha]])</f>
        <v>0</v>
      </c>
      <c r="AB89" s="11">
        <f>TableDailySummary[[#This Row],[Inversión google ads]]+TableDailySummary[[#This Row],[Inversión meta ads]]</f>
        <v>0</v>
      </c>
      <c r="AC89" s="11">
        <f>TableDailySummary[[#This Row],[Ventas google ads]]+TableDailySummary[[#This Row],[Ventas meta ads]]</f>
        <v>0</v>
      </c>
      <c r="AD89" s="14">
        <f>IFERROR(TableDailySummary[[#This Row],[Ventas publicidad]]/TableDailySummary[[#This Row],[Inversión publicidad]],0)</f>
        <v>0</v>
      </c>
      <c r="AE89" s="14">
        <f>IFERROR(TableDailySummary[[#This Row],[Ventas primer cliente]]/TableDailySummary[[#This Row],[Inversión publicidad]],0)</f>
        <v>0</v>
      </c>
      <c r="AF89" s="14"/>
      <c r="AG89" s="11"/>
      <c r="AM89" s="11">
        <f>_xlfn.XLOOKUP(TableDailySummary[[#This Row],[Fecha]],SummaryDaily[day],SummaryDaily[net_sales_with_cost_recorded],0)</f>
        <v>0</v>
      </c>
      <c r="AN89" s="11">
        <f>_xlfn.XLOOKUP(TableDailySummary[[#This Row],[Fecha]],SummaryDaily[day],SummaryDaily[cost_of_goods_sold],0)</f>
        <v>0</v>
      </c>
      <c r="AO89" s="11">
        <f>_xlfn.XLOOKUP(TableDailySummary[[#This Row],[Fecha]],SummaryDaily[day],SummaryDaily[gross_profit],0)</f>
        <v>0</v>
      </c>
      <c r="AP89" s="18">
        <f>IFERROR(TableDailySummary[[#This Row],[Utilidad bruta]]/TableDailySummary[[#This Row],[Ventas netas con costo registrado]],0)</f>
        <v>0</v>
      </c>
    </row>
    <row r="90" spans="2:42" x14ac:dyDescent="0.2">
      <c r="B90" s="15" cm="1">
        <f t="array" ref="B90">ParamFechaInicioReporte + (ROW(TableDailySummary[#This Row]) - ROW(TableDailySummary[[#Headers],[Dia]]) - 1)</f>
        <v>44617</v>
      </c>
      <c r="C90" s="6">
        <f>TableDailySummary[[#This Row],[Dia]]</f>
        <v>44617</v>
      </c>
      <c r="D90" s="11">
        <f>_xlfn.XLOOKUP(TableDailySummary[[#This Row],[Fecha]],SummaryDaily[day],SummaryDaily[net_sales],0)</f>
        <v>0</v>
      </c>
      <c r="E90" s="11">
        <f>_xlfn.XLOOKUP(TableDailySummary[[#This Row],[Fecha]],SummaryDaily[day],SummaryDaily[orders],0)</f>
        <v>0</v>
      </c>
      <c r="F90" s="11">
        <f>_xlfn.XLOOKUP(TableDailySummary[[#This Row],[Fecha]],SummaryDaily[day],SummaryDaily[average_order_value],0)</f>
        <v>0</v>
      </c>
      <c r="G90" s="24" cm="1">
        <f t="array" ref="G90">_xlfn.XLOOKUP(TableDailySummary[[#This Row],[Fecha]]&amp;"Total site",ConversionRateByReferral[day]&amp;ConversionRateByReferral[referrer_source],ConversionRateByReferral[conversion_rate],0)</f>
        <v>0</v>
      </c>
      <c r="H90" s="11">
        <f>TableDailySummary[[#This Row],[Órden promedio totales]]*TableDailySummary[[#This Row],[CR totales]]</f>
        <v>0</v>
      </c>
      <c r="I90" s="11">
        <f>_xlfn.XLOOKUP(TableDailySummary[[#This Row],[Fecha]],SummaryDaily[day],SummaryDaily[new_net_sales],0)</f>
        <v>0</v>
      </c>
      <c r="J90" s="11">
        <f>_xlfn.XLOOKUP(TableDailySummary[[#This Row],[Fecha]],SummaryDaily[day],SummaryDaily[new_orders],0)</f>
        <v>0</v>
      </c>
      <c r="K90" s="11">
        <f>_xlfn.XLOOKUP(TableDailySummary[[#This Row],[Fecha]],SummaryDaily[day],SummaryDaily[new_average_order_value],0)</f>
        <v>0</v>
      </c>
      <c r="L90" s="11">
        <f>_xlfn.XLOOKUP(TableDailySummary[[#This Row],[Fecha]],SummaryDaily[day],SummaryDaily[Online Store_net_sales],0)</f>
        <v>0</v>
      </c>
      <c r="M90" s="11">
        <f>_xlfn.XLOOKUP(TableDailySummary[[#This Row],[Fecha]],SummaryDaily[day],SummaryDaily[Online Store_orders],0)</f>
        <v>0</v>
      </c>
      <c r="N90" s="11">
        <f>_xlfn.XLOOKUP(TableDailySummary[[#This Row],[Fecha]],SummaryDaily[day],SummaryDaily[Online Store_average_order_value],0)</f>
        <v>0</v>
      </c>
      <c r="O90" s="11">
        <f>_xlfn.XLOOKUP(TableDailySummary[[#This Row],[Fecha]],SummaryDaily[day],SummaryDaily[Tienda 81_net_sales],0)</f>
        <v>0</v>
      </c>
      <c r="P90" s="11">
        <f>_xlfn.XLOOKUP(TableDailySummary[[#This Row],[Fecha]],SummaryDaily[day],SummaryDaily[Tienda 81_orders],0)</f>
        <v>0</v>
      </c>
      <c r="Q90" s="11">
        <f>_xlfn.XLOOKUP(TableDailySummary[[#This Row],[Fecha]],SummaryDaily[day],SummaryDaily[Tienda 81_average_order_value],0)</f>
        <v>0</v>
      </c>
      <c r="R90" s="11">
        <f>_xlfn.XLOOKUP(TableDailySummary[[#This Row],[Fecha]],SummaryDaily[day],SummaryDaily[Rappi_net_sales],0)</f>
        <v>0</v>
      </c>
      <c r="S90" s="11">
        <f>_xlfn.XLOOKUP(TableDailySummary[[#This Row],[Fecha]],SummaryDaily[day],SummaryDaily[Rappi_orders],0)</f>
        <v>0</v>
      </c>
      <c r="T90" s="11">
        <f>_xlfn.XLOOKUP(TableDailySummary[[#This Row],[Fecha]],SummaryDaily[day],SummaryDaily[Rappi_average_order_value],0)</f>
        <v>0</v>
      </c>
      <c r="U90" s="11">
        <f>_xlfn.XLOOKUP(TableDailySummary[[#This Row],[Fecha]],SummaryDaily[day],SummaryDaily[Corporativo no tienda_net_sales],0)</f>
        <v>0</v>
      </c>
      <c r="V90" s="11">
        <f>_xlfn.XLOOKUP(TableDailySummary[[#This Row],[Fecha]],SummaryDaily[day],SummaryDaily[Corporativo no tienda_orders],0)</f>
        <v>0</v>
      </c>
      <c r="W90" s="11">
        <f>_xlfn.XLOOKUP(TableDailySummary[[#This Row],[Fecha]],SummaryDaily[day],SummaryDaily[Corporativo no tienda_average_order_value],0)</f>
        <v>0</v>
      </c>
      <c r="X90" s="11">
        <f>_xlfn.XLOOKUP(TableDailySummary[[#This Row],[Fecha]],SummaryDaily[day],SummaryDaily[GoogleAdsOperation.Cost],0)</f>
        <v>0</v>
      </c>
      <c r="Y90" s="11">
        <f>SUMIFS(SalesByUTMDaily[google],SalesByUTMDaily[day],TableDailySummary[[#This Row],[Fecha]])</f>
        <v>0</v>
      </c>
      <c r="Z90" s="11">
        <f>_xlfn.XLOOKUP(TableDailySummary[[#This Row],[Fecha]],SummaryDaily[day],SummaryDaily[MetaAdsOperation.spend],0)</f>
        <v>0</v>
      </c>
      <c r="AA90" s="11">
        <f>SUMIFS(SalesByUTMDaily[facebook],SalesByUTMDaily[day],TableDailySummary[[#This Row],[Fecha]])</f>
        <v>0</v>
      </c>
      <c r="AB90" s="11">
        <f>TableDailySummary[[#This Row],[Inversión google ads]]+TableDailySummary[[#This Row],[Inversión meta ads]]</f>
        <v>0</v>
      </c>
      <c r="AC90" s="11">
        <f>TableDailySummary[[#This Row],[Ventas google ads]]+TableDailySummary[[#This Row],[Ventas meta ads]]</f>
        <v>0</v>
      </c>
      <c r="AD90" s="14">
        <f>IFERROR(TableDailySummary[[#This Row],[Ventas publicidad]]/TableDailySummary[[#This Row],[Inversión publicidad]],0)</f>
        <v>0</v>
      </c>
      <c r="AE90" s="14">
        <f>IFERROR(TableDailySummary[[#This Row],[Ventas primer cliente]]/TableDailySummary[[#This Row],[Inversión publicidad]],0)</f>
        <v>0</v>
      </c>
      <c r="AF90" s="14"/>
      <c r="AG90" s="11"/>
      <c r="AM90" s="11">
        <f>_xlfn.XLOOKUP(TableDailySummary[[#This Row],[Fecha]],SummaryDaily[day],SummaryDaily[net_sales_with_cost_recorded],0)</f>
        <v>0</v>
      </c>
      <c r="AN90" s="11">
        <f>_xlfn.XLOOKUP(TableDailySummary[[#This Row],[Fecha]],SummaryDaily[day],SummaryDaily[cost_of_goods_sold],0)</f>
        <v>0</v>
      </c>
      <c r="AO90" s="11">
        <f>_xlfn.XLOOKUP(TableDailySummary[[#This Row],[Fecha]],SummaryDaily[day],SummaryDaily[gross_profit],0)</f>
        <v>0</v>
      </c>
      <c r="AP90" s="18">
        <f>IFERROR(TableDailySummary[[#This Row],[Utilidad bruta]]/TableDailySummary[[#This Row],[Ventas netas con costo registrado]],0)</f>
        <v>0</v>
      </c>
    </row>
    <row r="91" spans="2:42" x14ac:dyDescent="0.2">
      <c r="B91" s="15" cm="1">
        <f t="array" ref="B91">ParamFechaInicioReporte + (ROW(TableDailySummary[#This Row]) - ROW(TableDailySummary[[#Headers],[Dia]]) - 1)</f>
        <v>44618</v>
      </c>
      <c r="C91" s="6">
        <f>TableDailySummary[[#This Row],[Dia]]</f>
        <v>44618</v>
      </c>
      <c r="D91" s="11">
        <f>_xlfn.XLOOKUP(TableDailySummary[[#This Row],[Fecha]],SummaryDaily[day],SummaryDaily[net_sales],0)</f>
        <v>0</v>
      </c>
      <c r="E91" s="11">
        <f>_xlfn.XLOOKUP(TableDailySummary[[#This Row],[Fecha]],SummaryDaily[day],SummaryDaily[orders],0)</f>
        <v>0</v>
      </c>
      <c r="F91" s="11">
        <f>_xlfn.XLOOKUP(TableDailySummary[[#This Row],[Fecha]],SummaryDaily[day],SummaryDaily[average_order_value],0)</f>
        <v>0</v>
      </c>
      <c r="G91" s="24" cm="1">
        <f t="array" ref="G91">_xlfn.XLOOKUP(TableDailySummary[[#This Row],[Fecha]]&amp;"Total site",ConversionRateByReferral[day]&amp;ConversionRateByReferral[referrer_source],ConversionRateByReferral[conversion_rate],0)</f>
        <v>0</v>
      </c>
      <c r="H91" s="11">
        <f>TableDailySummary[[#This Row],[Órden promedio totales]]*TableDailySummary[[#This Row],[CR totales]]</f>
        <v>0</v>
      </c>
      <c r="I91" s="11">
        <f>_xlfn.XLOOKUP(TableDailySummary[[#This Row],[Fecha]],SummaryDaily[day],SummaryDaily[new_net_sales],0)</f>
        <v>0</v>
      </c>
      <c r="J91" s="11">
        <f>_xlfn.XLOOKUP(TableDailySummary[[#This Row],[Fecha]],SummaryDaily[day],SummaryDaily[new_orders],0)</f>
        <v>0</v>
      </c>
      <c r="K91" s="11">
        <f>_xlfn.XLOOKUP(TableDailySummary[[#This Row],[Fecha]],SummaryDaily[day],SummaryDaily[new_average_order_value],0)</f>
        <v>0</v>
      </c>
      <c r="L91" s="11">
        <f>_xlfn.XLOOKUP(TableDailySummary[[#This Row],[Fecha]],SummaryDaily[day],SummaryDaily[Online Store_net_sales],0)</f>
        <v>0</v>
      </c>
      <c r="M91" s="11">
        <f>_xlfn.XLOOKUP(TableDailySummary[[#This Row],[Fecha]],SummaryDaily[day],SummaryDaily[Online Store_orders],0)</f>
        <v>0</v>
      </c>
      <c r="N91" s="11">
        <f>_xlfn.XLOOKUP(TableDailySummary[[#This Row],[Fecha]],SummaryDaily[day],SummaryDaily[Online Store_average_order_value],0)</f>
        <v>0</v>
      </c>
      <c r="O91" s="11">
        <f>_xlfn.XLOOKUP(TableDailySummary[[#This Row],[Fecha]],SummaryDaily[day],SummaryDaily[Tienda 81_net_sales],0)</f>
        <v>0</v>
      </c>
      <c r="P91" s="11">
        <f>_xlfn.XLOOKUP(TableDailySummary[[#This Row],[Fecha]],SummaryDaily[day],SummaryDaily[Tienda 81_orders],0)</f>
        <v>0</v>
      </c>
      <c r="Q91" s="11">
        <f>_xlfn.XLOOKUP(TableDailySummary[[#This Row],[Fecha]],SummaryDaily[day],SummaryDaily[Tienda 81_average_order_value],0)</f>
        <v>0</v>
      </c>
      <c r="R91" s="11">
        <f>_xlfn.XLOOKUP(TableDailySummary[[#This Row],[Fecha]],SummaryDaily[day],SummaryDaily[Rappi_net_sales],0)</f>
        <v>0</v>
      </c>
      <c r="S91" s="11">
        <f>_xlfn.XLOOKUP(TableDailySummary[[#This Row],[Fecha]],SummaryDaily[day],SummaryDaily[Rappi_orders],0)</f>
        <v>0</v>
      </c>
      <c r="T91" s="11">
        <f>_xlfn.XLOOKUP(TableDailySummary[[#This Row],[Fecha]],SummaryDaily[day],SummaryDaily[Rappi_average_order_value],0)</f>
        <v>0</v>
      </c>
      <c r="U91" s="11">
        <f>_xlfn.XLOOKUP(TableDailySummary[[#This Row],[Fecha]],SummaryDaily[day],SummaryDaily[Corporativo no tienda_net_sales],0)</f>
        <v>0</v>
      </c>
      <c r="V91" s="11">
        <f>_xlfn.XLOOKUP(TableDailySummary[[#This Row],[Fecha]],SummaryDaily[day],SummaryDaily[Corporativo no tienda_orders],0)</f>
        <v>0</v>
      </c>
      <c r="W91" s="11">
        <f>_xlfn.XLOOKUP(TableDailySummary[[#This Row],[Fecha]],SummaryDaily[day],SummaryDaily[Corporativo no tienda_average_order_value],0)</f>
        <v>0</v>
      </c>
      <c r="X91" s="11">
        <f>_xlfn.XLOOKUP(TableDailySummary[[#This Row],[Fecha]],SummaryDaily[day],SummaryDaily[GoogleAdsOperation.Cost],0)</f>
        <v>0</v>
      </c>
      <c r="Y91" s="11">
        <f>SUMIFS(SalesByUTMDaily[google],SalesByUTMDaily[day],TableDailySummary[[#This Row],[Fecha]])</f>
        <v>0</v>
      </c>
      <c r="Z91" s="11">
        <f>_xlfn.XLOOKUP(TableDailySummary[[#This Row],[Fecha]],SummaryDaily[day],SummaryDaily[MetaAdsOperation.spend],0)</f>
        <v>0</v>
      </c>
      <c r="AA91" s="11">
        <f>SUMIFS(SalesByUTMDaily[facebook],SalesByUTMDaily[day],TableDailySummary[[#This Row],[Fecha]])</f>
        <v>0</v>
      </c>
      <c r="AB91" s="11">
        <f>TableDailySummary[[#This Row],[Inversión google ads]]+TableDailySummary[[#This Row],[Inversión meta ads]]</f>
        <v>0</v>
      </c>
      <c r="AC91" s="11">
        <f>TableDailySummary[[#This Row],[Ventas google ads]]+TableDailySummary[[#This Row],[Ventas meta ads]]</f>
        <v>0</v>
      </c>
      <c r="AD91" s="14">
        <f>IFERROR(TableDailySummary[[#This Row],[Ventas publicidad]]/TableDailySummary[[#This Row],[Inversión publicidad]],0)</f>
        <v>0</v>
      </c>
      <c r="AE91" s="14">
        <f>IFERROR(TableDailySummary[[#This Row],[Ventas primer cliente]]/TableDailySummary[[#This Row],[Inversión publicidad]],0)</f>
        <v>0</v>
      </c>
      <c r="AF91" s="14"/>
      <c r="AG91" s="11"/>
      <c r="AM91" s="11">
        <f>_xlfn.XLOOKUP(TableDailySummary[[#This Row],[Fecha]],SummaryDaily[day],SummaryDaily[net_sales_with_cost_recorded],0)</f>
        <v>0</v>
      </c>
      <c r="AN91" s="11">
        <f>_xlfn.XLOOKUP(TableDailySummary[[#This Row],[Fecha]],SummaryDaily[day],SummaryDaily[cost_of_goods_sold],0)</f>
        <v>0</v>
      </c>
      <c r="AO91" s="11">
        <f>_xlfn.XLOOKUP(TableDailySummary[[#This Row],[Fecha]],SummaryDaily[day],SummaryDaily[gross_profit],0)</f>
        <v>0</v>
      </c>
      <c r="AP91" s="18">
        <f>IFERROR(TableDailySummary[[#This Row],[Utilidad bruta]]/TableDailySummary[[#This Row],[Ventas netas con costo registrado]],0)</f>
        <v>0</v>
      </c>
    </row>
    <row r="92" spans="2:42" x14ac:dyDescent="0.2">
      <c r="B92" s="15" cm="1">
        <f t="array" ref="B92">ParamFechaInicioReporte + (ROW(TableDailySummary[#This Row]) - ROW(TableDailySummary[[#Headers],[Dia]]) - 1)</f>
        <v>44619</v>
      </c>
      <c r="C92" s="6">
        <f>TableDailySummary[[#This Row],[Dia]]</f>
        <v>44619</v>
      </c>
      <c r="D92" s="11">
        <f>_xlfn.XLOOKUP(TableDailySummary[[#This Row],[Fecha]],SummaryDaily[day],SummaryDaily[net_sales],0)</f>
        <v>0</v>
      </c>
      <c r="E92" s="11">
        <f>_xlfn.XLOOKUP(TableDailySummary[[#This Row],[Fecha]],SummaryDaily[day],SummaryDaily[orders],0)</f>
        <v>0</v>
      </c>
      <c r="F92" s="11">
        <f>_xlfn.XLOOKUP(TableDailySummary[[#This Row],[Fecha]],SummaryDaily[day],SummaryDaily[average_order_value],0)</f>
        <v>0</v>
      </c>
      <c r="G92" s="24" cm="1">
        <f t="array" ref="G92">_xlfn.XLOOKUP(TableDailySummary[[#This Row],[Fecha]]&amp;"Total site",ConversionRateByReferral[day]&amp;ConversionRateByReferral[referrer_source],ConversionRateByReferral[conversion_rate],0)</f>
        <v>0</v>
      </c>
      <c r="H92" s="11">
        <f>TableDailySummary[[#This Row],[Órden promedio totales]]*TableDailySummary[[#This Row],[CR totales]]</f>
        <v>0</v>
      </c>
      <c r="I92" s="11">
        <f>_xlfn.XLOOKUP(TableDailySummary[[#This Row],[Fecha]],SummaryDaily[day],SummaryDaily[new_net_sales],0)</f>
        <v>0</v>
      </c>
      <c r="J92" s="11">
        <f>_xlfn.XLOOKUP(TableDailySummary[[#This Row],[Fecha]],SummaryDaily[day],SummaryDaily[new_orders],0)</f>
        <v>0</v>
      </c>
      <c r="K92" s="11">
        <f>_xlfn.XLOOKUP(TableDailySummary[[#This Row],[Fecha]],SummaryDaily[day],SummaryDaily[new_average_order_value],0)</f>
        <v>0</v>
      </c>
      <c r="L92" s="11">
        <f>_xlfn.XLOOKUP(TableDailySummary[[#This Row],[Fecha]],SummaryDaily[day],SummaryDaily[Online Store_net_sales],0)</f>
        <v>0</v>
      </c>
      <c r="M92" s="11">
        <f>_xlfn.XLOOKUP(TableDailySummary[[#This Row],[Fecha]],SummaryDaily[day],SummaryDaily[Online Store_orders],0)</f>
        <v>0</v>
      </c>
      <c r="N92" s="11">
        <f>_xlfn.XLOOKUP(TableDailySummary[[#This Row],[Fecha]],SummaryDaily[day],SummaryDaily[Online Store_average_order_value],0)</f>
        <v>0</v>
      </c>
      <c r="O92" s="11">
        <f>_xlfn.XLOOKUP(TableDailySummary[[#This Row],[Fecha]],SummaryDaily[day],SummaryDaily[Tienda 81_net_sales],0)</f>
        <v>0</v>
      </c>
      <c r="P92" s="11">
        <f>_xlfn.XLOOKUP(TableDailySummary[[#This Row],[Fecha]],SummaryDaily[day],SummaryDaily[Tienda 81_orders],0)</f>
        <v>0</v>
      </c>
      <c r="Q92" s="11">
        <f>_xlfn.XLOOKUP(TableDailySummary[[#This Row],[Fecha]],SummaryDaily[day],SummaryDaily[Tienda 81_average_order_value],0)</f>
        <v>0</v>
      </c>
      <c r="R92" s="11">
        <f>_xlfn.XLOOKUP(TableDailySummary[[#This Row],[Fecha]],SummaryDaily[day],SummaryDaily[Rappi_net_sales],0)</f>
        <v>0</v>
      </c>
      <c r="S92" s="11">
        <f>_xlfn.XLOOKUP(TableDailySummary[[#This Row],[Fecha]],SummaryDaily[day],SummaryDaily[Rappi_orders],0)</f>
        <v>0</v>
      </c>
      <c r="T92" s="11">
        <f>_xlfn.XLOOKUP(TableDailySummary[[#This Row],[Fecha]],SummaryDaily[day],SummaryDaily[Rappi_average_order_value],0)</f>
        <v>0</v>
      </c>
      <c r="U92" s="11">
        <f>_xlfn.XLOOKUP(TableDailySummary[[#This Row],[Fecha]],SummaryDaily[day],SummaryDaily[Corporativo no tienda_net_sales],0)</f>
        <v>0</v>
      </c>
      <c r="V92" s="11">
        <f>_xlfn.XLOOKUP(TableDailySummary[[#This Row],[Fecha]],SummaryDaily[day],SummaryDaily[Corporativo no tienda_orders],0)</f>
        <v>0</v>
      </c>
      <c r="W92" s="11">
        <f>_xlfn.XLOOKUP(TableDailySummary[[#This Row],[Fecha]],SummaryDaily[day],SummaryDaily[Corporativo no tienda_average_order_value],0)</f>
        <v>0</v>
      </c>
      <c r="X92" s="11">
        <f>_xlfn.XLOOKUP(TableDailySummary[[#This Row],[Fecha]],SummaryDaily[day],SummaryDaily[GoogleAdsOperation.Cost],0)</f>
        <v>0</v>
      </c>
      <c r="Y92" s="11">
        <f>SUMIFS(SalesByUTMDaily[google],SalesByUTMDaily[day],TableDailySummary[[#This Row],[Fecha]])</f>
        <v>0</v>
      </c>
      <c r="Z92" s="11">
        <f>_xlfn.XLOOKUP(TableDailySummary[[#This Row],[Fecha]],SummaryDaily[day],SummaryDaily[MetaAdsOperation.spend],0)</f>
        <v>0</v>
      </c>
      <c r="AA92" s="11">
        <f>SUMIFS(SalesByUTMDaily[facebook],SalesByUTMDaily[day],TableDailySummary[[#This Row],[Fecha]])</f>
        <v>0</v>
      </c>
      <c r="AB92" s="11">
        <f>TableDailySummary[[#This Row],[Inversión google ads]]+TableDailySummary[[#This Row],[Inversión meta ads]]</f>
        <v>0</v>
      </c>
      <c r="AC92" s="11">
        <f>TableDailySummary[[#This Row],[Ventas google ads]]+TableDailySummary[[#This Row],[Ventas meta ads]]</f>
        <v>0</v>
      </c>
      <c r="AD92" s="14">
        <f>IFERROR(TableDailySummary[[#This Row],[Ventas publicidad]]/TableDailySummary[[#This Row],[Inversión publicidad]],0)</f>
        <v>0</v>
      </c>
      <c r="AE92" s="14">
        <f>IFERROR(TableDailySummary[[#This Row],[Ventas primer cliente]]/TableDailySummary[[#This Row],[Inversión publicidad]],0)</f>
        <v>0</v>
      </c>
      <c r="AF92" s="14"/>
      <c r="AG92" s="11"/>
      <c r="AM92" s="11">
        <f>_xlfn.XLOOKUP(TableDailySummary[[#This Row],[Fecha]],SummaryDaily[day],SummaryDaily[net_sales_with_cost_recorded],0)</f>
        <v>0</v>
      </c>
      <c r="AN92" s="11">
        <f>_xlfn.XLOOKUP(TableDailySummary[[#This Row],[Fecha]],SummaryDaily[day],SummaryDaily[cost_of_goods_sold],0)</f>
        <v>0</v>
      </c>
      <c r="AO92" s="11">
        <f>_xlfn.XLOOKUP(TableDailySummary[[#This Row],[Fecha]],SummaryDaily[day],SummaryDaily[gross_profit],0)</f>
        <v>0</v>
      </c>
      <c r="AP92" s="18">
        <f>IFERROR(TableDailySummary[[#This Row],[Utilidad bruta]]/TableDailySummary[[#This Row],[Ventas netas con costo registrado]],0)</f>
        <v>0</v>
      </c>
    </row>
    <row r="93" spans="2:42" x14ac:dyDescent="0.2">
      <c r="B93" s="15" cm="1">
        <f t="array" ref="B93">ParamFechaInicioReporte + (ROW(TableDailySummary[#This Row]) - ROW(TableDailySummary[[#Headers],[Dia]]) - 1)</f>
        <v>44620</v>
      </c>
      <c r="C93" s="6">
        <f>TableDailySummary[[#This Row],[Dia]]</f>
        <v>44620</v>
      </c>
      <c r="D93" s="11">
        <f>_xlfn.XLOOKUP(TableDailySummary[[#This Row],[Fecha]],SummaryDaily[day],SummaryDaily[net_sales],0)</f>
        <v>0</v>
      </c>
      <c r="E93" s="11">
        <f>_xlfn.XLOOKUP(TableDailySummary[[#This Row],[Fecha]],SummaryDaily[day],SummaryDaily[orders],0)</f>
        <v>0</v>
      </c>
      <c r="F93" s="11">
        <f>_xlfn.XLOOKUP(TableDailySummary[[#This Row],[Fecha]],SummaryDaily[day],SummaryDaily[average_order_value],0)</f>
        <v>0</v>
      </c>
      <c r="G93" s="24" cm="1">
        <f t="array" ref="G93">_xlfn.XLOOKUP(TableDailySummary[[#This Row],[Fecha]]&amp;"Total site",ConversionRateByReferral[day]&amp;ConversionRateByReferral[referrer_source],ConversionRateByReferral[conversion_rate],0)</f>
        <v>0</v>
      </c>
      <c r="H93" s="11">
        <f>TableDailySummary[[#This Row],[Órden promedio totales]]*TableDailySummary[[#This Row],[CR totales]]</f>
        <v>0</v>
      </c>
      <c r="I93" s="11">
        <f>_xlfn.XLOOKUP(TableDailySummary[[#This Row],[Fecha]],SummaryDaily[day],SummaryDaily[new_net_sales],0)</f>
        <v>0</v>
      </c>
      <c r="J93" s="11">
        <f>_xlfn.XLOOKUP(TableDailySummary[[#This Row],[Fecha]],SummaryDaily[day],SummaryDaily[new_orders],0)</f>
        <v>0</v>
      </c>
      <c r="K93" s="11">
        <f>_xlfn.XLOOKUP(TableDailySummary[[#This Row],[Fecha]],SummaryDaily[day],SummaryDaily[new_average_order_value],0)</f>
        <v>0</v>
      </c>
      <c r="L93" s="11">
        <f>_xlfn.XLOOKUP(TableDailySummary[[#This Row],[Fecha]],SummaryDaily[day],SummaryDaily[Online Store_net_sales],0)</f>
        <v>0</v>
      </c>
      <c r="M93" s="11">
        <f>_xlfn.XLOOKUP(TableDailySummary[[#This Row],[Fecha]],SummaryDaily[day],SummaryDaily[Online Store_orders],0)</f>
        <v>0</v>
      </c>
      <c r="N93" s="11">
        <f>_xlfn.XLOOKUP(TableDailySummary[[#This Row],[Fecha]],SummaryDaily[day],SummaryDaily[Online Store_average_order_value],0)</f>
        <v>0</v>
      </c>
      <c r="O93" s="11">
        <f>_xlfn.XLOOKUP(TableDailySummary[[#This Row],[Fecha]],SummaryDaily[day],SummaryDaily[Tienda 81_net_sales],0)</f>
        <v>0</v>
      </c>
      <c r="P93" s="11">
        <f>_xlfn.XLOOKUP(TableDailySummary[[#This Row],[Fecha]],SummaryDaily[day],SummaryDaily[Tienda 81_orders],0)</f>
        <v>0</v>
      </c>
      <c r="Q93" s="11">
        <f>_xlfn.XLOOKUP(TableDailySummary[[#This Row],[Fecha]],SummaryDaily[day],SummaryDaily[Tienda 81_average_order_value],0)</f>
        <v>0</v>
      </c>
      <c r="R93" s="11">
        <f>_xlfn.XLOOKUP(TableDailySummary[[#This Row],[Fecha]],SummaryDaily[day],SummaryDaily[Rappi_net_sales],0)</f>
        <v>0</v>
      </c>
      <c r="S93" s="11">
        <f>_xlfn.XLOOKUP(TableDailySummary[[#This Row],[Fecha]],SummaryDaily[day],SummaryDaily[Rappi_orders],0)</f>
        <v>0</v>
      </c>
      <c r="T93" s="11">
        <f>_xlfn.XLOOKUP(TableDailySummary[[#This Row],[Fecha]],SummaryDaily[day],SummaryDaily[Rappi_average_order_value],0)</f>
        <v>0</v>
      </c>
      <c r="U93" s="11">
        <f>_xlfn.XLOOKUP(TableDailySummary[[#This Row],[Fecha]],SummaryDaily[day],SummaryDaily[Corporativo no tienda_net_sales],0)</f>
        <v>0</v>
      </c>
      <c r="V93" s="11">
        <f>_xlfn.XLOOKUP(TableDailySummary[[#This Row],[Fecha]],SummaryDaily[day],SummaryDaily[Corporativo no tienda_orders],0)</f>
        <v>0</v>
      </c>
      <c r="W93" s="11">
        <f>_xlfn.XLOOKUP(TableDailySummary[[#This Row],[Fecha]],SummaryDaily[day],SummaryDaily[Corporativo no tienda_average_order_value],0)</f>
        <v>0</v>
      </c>
      <c r="X93" s="11">
        <f>_xlfn.XLOOKUP(TableDailySummary[[#This Row],[Fecha]],SummaryDaily[day],SummaryDaily[GoogleAdsOperation.Cost],0)</f>
        <v>0</v>
      </c>
      <c r="Y93" s="11">
        <f>SUMIFS(SalesByUTMDaily[google],SalesByUTMDaily[day],TableDailySummary[[#This Row],[Fecha]])</f>
        <v>0</v>
      </c>
      <c r="Z93" s="11">
        <f>_xlfn.XLOOKUP(TableDailySummary[[#This Row],[Fecha]],SummaryDaily[day],SummaryDaily[MetaAdsOperation.spend],0)</f>
        <v>0</v>
      </c>
      <c r="AA93" s="11">
        <f>SUMIFS(SalesByUTMDaily[facebook],SalesByUTMDaily[day],TableDailySummary[[#This Row],[Fecha]])</f>
        <v>0</v>
      </c>
      <c r="AB93" s="11">
        <f>TableDailySummary[[#This Row],[Inversión google ads]]+TableDailySummary[[#This Row],[Inversión meta ads]]</f>
        <v>0</v>
      </c>
      <c r="AC93" s="11">
        <f>TableDailySummary[[#This Row],[Ventas google ads]]+TableDailySummary[[#This Row],[Ventas meta ads]]</f>
        <v>0</v>
      </c>
      <c r="AD93" s="14">
        <f>IFERROR(TableDailySummary[[#This Row],[Ventas publicidad]]/TableDailySummary[[#This Row],[Inversión publicidad]],0)</f>
        <v>0</v>
      </c>
      <c r="AE93" s="14">
        <f>IFERROR(TableDailySummary[[#This Row],[Ventas primer cliente]]/TableDailySummary[[#This Row],[Inversión publicidad]],0)</f>
        <v>0</v>
      </c>
      <c r="AF93" s="14"/>
      <c r="AG93" s="11"/>
      <c r="AM93" s="11">
        <f>_xlfn.XLOOKUP(TableDailySummary[[#This Row],[Fecha]],SummaryDaily[day],SummaryDaily[net_sales_with_cost_recorded],0)</f>
        <v>0</v>
      </c>
      <c r="AN93" s="11">
        <f>_xlfn.XLOOKUP(TableDailySummary[[#This Row],[Fecha]],SummaryDaily[day],SummaryDaily[cost_of_goods_sold],0)</f>
        <v>0</v>
      </c>
      <c r="AO93" s="11">
        <f>_xlfn.XLOOKUP(TableDailySummary[[#This Row],[Fecha]],SummaryDaily[day],SummaryDaily[gross_profit],0)</f>
        <v>0</v>
      </c>
      <c r="AP93" s="18">
        <f>IFERROR(TableDailySummary[[#This Row],[Utilidad bruta]]/TableDailySummary[[#This Row],[Ventas netas con costo registrado]],0)</f>
        <v>0</v>
      </c>
    </row>
    <row r="94" spans="2:42" x14ac:dyDescent="0.2">
      <c r="B94" s="15" cm="1">
        <f t="array" ref="B94">ParamFechaInicioReporte + (ROW(TableDailySummary[#This Row]) - ROW(TableDailySummary[[#Headers],[Dia]]) - 1)</f>
        <v>44621</v>
      </c>
      <c r="C94" s="6">
        <f>TableDailySummary[[#This Row],[Dia]]</f>
        <v>44621</v>
      </c>
      <c r="D94" s="11">
        <f>_xlfn.XLOOKUP(TableDailySummary[[#This Row],[Fecha]],SummaryDaily[day],SummaryDaily[net_sales],0)</f>
        <v>0</v>
      </c>
      <c r="E94" s="11">
        <f>_xlfn.XLOOKUP(TableDailySummary[[#This Row],[Fecha]],SummaryDaily[day],SummaryDaily[orders],0)</f>
        <v>0</v>
      </c>
      <c r="F94" s="11">
        <f>_xlfn.XLOOKUP(TableDailySummary[[#This Row],[Fecha]],SummaryDaily[day],SummaryDaily[average_order_value],0)</f>
        <v>0</v>
      </c>
      <c r="G94" s="24" cm="1">
        <f t="array" ref="G94">_xlfn.XLOOKUP(TableDailySummary[[#This Row],[Fecha]]&amp;"Total site",ConversionRateByReferral[day]&amp;ConversionRateByReferral[referrer_source],ConversionRateByReferral[conversion_rate],0)</f>
        <v>0</v>
      </c>
      <c r="H94" s="11">
        <f>TableDailySummary[[#This Row],[Órden promedio totales]]*TableDailySummary[[#This Row],[CR totales]]</f>
        <v>0</v>
      </c>
      <c r="I94" s="11">
        <f>_xlfn.XLOOKUP(TableDailySummary[[#This Row],[Fecha]],SummaryDaily[day],SummaryDaily[new_net_sales],0)</f>
        <v>0</v>
      </c>
      <c r="J94" s="11">
        <f>_xlfn.XLOOKUP(TableDailySummary[[#This Row],[Fecha]],SummaryDaily[day],SummaryDaily[new_orders],0)</f>
        <v>0</v>
      </c>
      <c r="K94" s="11">
        <f>_xlfn.XLOOKUP(TableDailySummary[[#This Row],[Fecha]],SummaryDaily[day],SummaryDaily[new_average_order_value],0)</f>
        <v>0</v>
      </c>
      <c r="L94" s="11">
        <f>_xlfn.XLOOKUP(TableDailySummary[[#This Row],[Fecha]],SummaryDaily[day],SummaryDaily[Online Store_net_sales],0)</f>
        <v>0</v>
      </c>
      <c r="M94" s="11">
        <f>_xlfn.XLOOKUP(TableDailySummary[[#This Row],[Fecha]],SummaryDaily[day],SummaryDaily[Online Store_orders],0)</f>
        <v>0</v>
      </c>
      <c r="N94" s="11">
        <f>_xlfn.XLOOKUP(TableDailySummary[[#This Row],[Fecha]],SummaryDaily[day],SummaryDaily[Online Store_average_order_value],0)</f>
        <v>0</v>
      </c>
      <c r="O94" s="11">
        <f>_xlfn.XLOOKUP(TableDailySummary[[#This Row],[Fecha]],SummaryDaily[day],SummaryDaily[Tienda 81_net_sales],0)</f>
        <v>0</v>
      </c>
      <c r="P94" s="11">
        <f>_xlfn.XLOOKUP(TableDailySummary[[#This Row],[Fecha]],SummaryDaily[day],SummaryDaily[Tienda 81_orders],0)</f>
        <v>0</v>
      </c>
      <c r="Q94" s="11">
        <f>_xlfn.XLOOKUP(TableDailySummary[[#This Row],[Fecha]],SummaryDaily[day],SummaryDaily[Tienda 81_average_order_value],0)</f>
        <v>0</v>
      </c>
      <c r="R94" s="11">
        <f>_xlfn.XLOOKUP(TableDailySummary[[#This Row],[Fecha]],SummaryDaily[day],SummaryDaily[Rappi_net_sales],0)</f>
        <v>0</v>
      </c>
      <c r="S94" s="11">
        <f>_xlfn.XLOOKUP(TableDailySummary[[#This Row],[Fecha]],SummaryDaily[day],SummaryDaily[Rappi_orders],0)</f>
        <v>0</v>
      </c>
      <c r="T94" s="11">
        <f>_xlfn.XLOOKUP(TableDailySummary[[#This Row],[Fecha]],SummaryDaily[day],SummaryDaily[Rappi_average_order_value],0)</f>
        <v>0</v>
      </c>
      <c r="U94" s="11">
        <f>_xlfn.XLOOKUP(TableDailySummary[[#This Row],[Fecha]],SummaryDaily[day],SummaryDaily[Corporativo no tienda_net_sales],0)</f>
        <v>0</v>
      </c>
      <c r="V94" s="11">
        <f>_xlfn.XLOOKUP(TableDailySummary[[#This Row],[Fecha]],SummaryDaily[day],SummaryDaily[Corporativo no tienda_orders],0)</f>
        <v>0</v>
      </c>
      <c r="W94" s="11">
        <f>_xlfn.XLOOKUP(TableDailySummary[[#This Row],[Fecha]],SummaryDaily[day],SummaryDaily[Corporativo no tienda_average_order_value],0)</f>
        <v>0</v>
      </c>
      <c r="X94" s="11">
        <f>_xlfn.XLOOKUP(TableDailySummary[[#This Row],[Fecha]],SummaryDaily[day],SummaryDaily[GoogleAdsOperation.Cost],0)</f>
        <v>0</v>
      </c>
      <c r="Y94" s="11">
        <f>SUMIFS(SalesByUTMDaily[google],SalesByUTMDaily[day],TableDailySummary[[#This Row],[Fecha]])</f>
        <v>0</v>
      </c>
      <c r="Z94" s="11">
        <f>_xlfn.XLOOKUP(TableDailySummary[[#This Row],[Fecha]],SummaryDaily[day],SummaryDaily[MetaAdsOperation.spend],0)</f>
        <v>0</v>
      </c>
      <c r="AA94" s="11">
        <f>SUMIFS(SalesByUTMDaily[facebook],SalesByUTMDaily[day],TableDailySummary[[#This Row],[Fecha]])</f>
        <v>0</v>
      </c>
      <c r="AB94" s="11">
        <f>TableDailySummary[[#This Row],[Inversión google ads]]+TableDailySummary[[#This Row],[Inversión meta ads]]</f>
        <v>0</v>
      </c>
      <c r="AC94" s="11">
        <f>TableDailySummary[[#This Row],[Ventas google ads]]+TableDailySummary[[#This Row],[Ventas meta ads]]</f>
        <v>0</v>
      </c>
      <c r="AD94" s="14">
        <f>IFERROR(TableDailySummary[[#This Row],[Ventas publicidad]]/TableDailySummary[[#This Row],[Inversión publicidad]],0)</f>
        <v>0</v>
      </c>
      <c r="AE94" s="14">
        <f>IFERROR(TableDailySummary[[#This Row],[Ventas primer cliente]]/TableDailySummary[[#This Row],[Inversión publicidad]],0)</f>
        <v>0</v>
      </c>
      <c r="AF94" s="14"/>
      <c r="AG94" s="11"/>
      <c r="AM94" s="11">
        <f>_xlfn.XLOOKUP(TableDailySummary[[#This Row],[Fecha]],SummaryDaily[day],SummaryDaily[net_sales_with_cost_recorded],0)</f>
        <v>0</v>
      </c>
      <c r="AN94" s="11">
        <f>_xlfn.XLOOKUP(TableDailySummary[[#This Row],[Fecha]],SummaryDaily[day],SummaryDaily[cost_of_goods_sold],0)</f>
        <v>0</v>
      </c>
      <c r="AO94" s="11">
        <f>_xlfn.XLOOKUP(TableDailySummary[[#This Row],[Fecha]],SummaryDaily[day],SummaryDaily[gross_profit],0)</f>
        <v>0</v>
      </c>
      <c r="AP94" s="18">
        <f>IFERROR(TableDailySummary[[#This Row],[Utilidad bruta]]/TableDailySummary[[#This Row],[Ventas netas con costo registrado]],0)</f>
        <v>0</v>
      </c>
    </row>
    <row r="95" spans="2:42" x14ac:dyDescent="0.2">
      <c r="B95" s="15" cm="1">
        <f t="array" ref="B95">ParamFechaInicioReporte + (ROW(TableDailySummary[#This Row]) - ROW(TableDailySummary[[#Headers],[Dia]]) - 1)</f>
        <v>44622</v>
      </c>
      <c r="C95" s="6">
        <f>TableDailySummary[[#This Row],[Dia]]</f>
        <v>44622</v>
      </c>
      <c r="D95" s="11">
        <f>_xlfn.XLOOKUP(TableDailySummary[[#This Row],[Fecha]],SummaryDaily[day],SummaryDaily[net_sales],0)</f>
        <v>0</v>
      </c>
      <c r="E95" s="11">
        <f>_xlfn.XLOOKUP(TableDailySummary[[#This Row],[Fecha]],SummaryDaily[day],SummaryDaily[orders],0)</f>
        <v>0</v>
      </c>
      <c r="F95" s="11">
        <f>_xlfn.XLOOKUP(TableDailySummary[[#This Row],[Fecha]],SummaryDaily[day],SummaryDaily[average_order_value],0)</f>
        <v>0</v>
      </c>
      <c r="G95" s="24" cm="1">
        <f t="array" ref="G95">_xlfn.XLOOKUP(TableDailySummary[[#This Row],[Fecha]]&amp;"Total site",ConversionRateByReferral[day]&amp;ConversionRateByReferral[referrer_source],ConversionRateByReferral[conversion_rate],0)</f>
        <v>0</v>
      </c>
      <c r="H95" s="11">
        <f>TableDailySummary[[#This Row],[Órden promedio totales]]*TableDailySummary[[#This Row],[CR totales]]</f>
        <v>0</v>
      </c>
      <c r="I95" s="11">
        <f>_xlfn.XLOOKUP(TableDailySummary[[#This Row],[Fecha]],SummaryDaily[day],SummaryDaily[new_net_sales],0)</f>
        <v>0</v>
      </c>
      <c r="J95" s="11">
        <f>_xlfn.XLOOKUP(TableDailySummary[[#This Row],[Fecha]],SummaryDaily[day],SummaryDaily[new_orders],0)</f>
        <v>0</v>
      </c>
      <c r="K95" s="11">
        <f>_xlfn.XLOOKUP(TableDailySummary[[#This Row],[Fecha]],SummaryDaily[day],SummaryDaily[new_average_order_value],0)</f>
        <v>0</v>
      </c>
      <c r="L95" s="11">
        <f>_xlfn.XLOOKUP(TableDailySummary[[#This Row],[Fecha]],SummaryDaily[day],SummaryDaily[Online Store_net_sales],0)</f>
        <v>0</v>
      </c>
      <c r="M95" s="11">
        <f>_xlfn.XLOOKUP(TableDailySummary[[#This Row],[Fecha]],SummaryDaily[day],SummaryDaily[Online Store_orders],0)</f>
        <v>0</v>
      </c>
      <c r="N95" s="11">
        <f>_xlfn.XLOOKUP(TableDailySummary[[#This Row],[Fecha]],SummaryDaily[day],SummaryDaily[Online Store_average_order_value],0)</f>
        <v>0</v>
      </c>
      <c r="O95" s="11">
        <f>_xlfn.XLOOKUP(TableDailySummary[[#This Row],[Fecha]],SummaryDaily[day],SummaryDaily[Tienda 81_net_sales],0)</f>
        <v>0</v>
      </c>
      <c r="P95" s="11">
        <f>_xlfn.XLOOKUP(TableDailySummary[[#This Row],[Fecha]],SummaryDaily[day],SummaryDaily[Tienda 81_orders],0)</f>
        <v>0</v>
      </c>
      <c r="Q95" s="11">
        <f>_xlfn.XLOOKUP(TableDailySummary[[#This Row],[Fecha]],SummaryDaily[day],SummaryDaily[Tienda 81_average_order_value],0)</f>
        <v>0</v>
      </c>
      <c r="R95" s="11">
        <f>_xlfn.XLOOKUP(TableDailySummary[[#This Row],[Fecha]],SummaryDaily[day],SummaryDaily[Rappi_net_sales],0)</f>
        <v>0</v>
      </c>
      <c r="S95" s="11">
        <f>_xlfn.XLOOKUP(TableDailySummary[[#This Row],[Fecha]],SummaryDaily[day],SummaryDaily[Rappi_orders],0)</f>
        <v>0</v>
      </c>
      <c r="T95" s="11">
        <f>_xlfn.XLOOKUP(TableDailySummary[[#This Row],[Fecha]],SummaryDaily[day],SummaryDaily[Rappi_average_order_value],0)</f>
        <v>0</v>
      </c>
      <c r="U95" s="11">
        <f>_xlfn.XLOOKUP(TableDailySummary[[#This Row],[Fecha]],SummaryDaily[day],SummaryDaily[Corporativo no tienda_net_sales],0)</f>
        <v>0</v>
      </c>
      <c r="V95" s="11">
        <f>_xlfn.XLOOKUP(TableDailySummary[[#This Row],[Fecha]],SummaryDaily[day],SummaryDaily[Corporativo no tienda_orders],0)</f>
        <v>0</v>
      </c>
      <c r="W95" s="11">
        <f>_xlfn.XLOOKUP(TableDailySummary[[#This Row],[Fecha]],SummaryDaily[day],SummaryDaily[Corporativo no tienda_average_order_value],0)</f>
        <v>0</v>
      </c>
      <c r="X95" s="11">
        <f>_xlfn.XLOOKUP(TableDailySummary[[#This Row],[Fecha]],SummaryDaily[day],SummaryDaily[GoogleAdsOperation.Cost],0)</f>
        <v>0</v>
      </c>
      <c r="Y95" s="11">
        <f>SUMIFS(SalesByUTMDaily[google],SalesByUTMDaily[day],TableDailySummary[[#This Row],[Fecha]])</f>
        <v>0</v>
      </c>
      <c r="Z95" s="11">
        <f>_xlfn.XLOOKUP(TableDailySummary[[#This Row],[Fecha]],SummaryDaily[day],SummaryDaily[MetaAdsOperation.spend],0)</f>
        <v>0</v>
      </c>
      <c r="AA95" s="11">
        <f>SUMIFS(SalesByUTMDaily[facebook],SalesByUTMDaily[day],TableDailySummary[[#This Row],[Fecha]])</f>
        <v>0</v>
      </c>
      <c r="AB95" s="11">
        <f>TableDailySummary[[#This Row],[Inversión google ads]]+TableDailySummary[[#This Row],[Inversión meta ads]]</f>
        <v>0</v>
      </c>
      <c r="AC95" s="11">
        <f>TableDailySummary[[#This Row],[Ventas google ads]]+TableDailySummary[[#This Row],[Ventas meta ads]]</f>
        <v>0</v>
      </c>
      <c r="AD95" s="14">
        <f>IFERROR(TableDailySummary[[#This Row],[Ventas publicidad]]/TableDailySummary[[#This Row],[Inversión publicidad]],0)</f>
        <v>0</v>
      </c>
      <c r="AE95" s="14">
        <f>IFERROR(TableDailySummary[[#This Row],[Ventas primer cliente]]/TableDailySummary[[#This Row],[Inversión publicidad]],0)</f>
        <v>0</v>
      </c>
      <c r="AF95" s="14"/>
      <c r="AG95" s="11"/>
      <c r="AM95" s="11">
        <f>_xlfn.XLOOKUP(TableDailySummary[[#This Row],[Fecha]],SummaryDaily[day],SummaryDaily[net_sales_with_cost_recorded],0)</f>
        <v>0</v>
      </c>
      <c r="AN95" s="11">
        <f>_xlfn.XLOOKUP(TableDailySummary[[#This Row],[Fecha]],SummaryDaily[day],SummaryDaily[cost_of_goods_sold],0)</f>
        <v>0</v>
      </c>
      <c r="AO95" s="11">
        <f>_xlfn.XLOOKUP(TableDailySummary[[#This Row],[Fecha]],SummaryDaily[day],SummaryDaily[gross_profit],0)</f>
        <v>0</v>
      </c>
      <c r="AP95" s="18">
        <f>IFERROR(TableDailySummary[[#This Row],[Utilidad bruta]]/TableDailySummary[[#This Row],[Ventas netas con costo registrado]],0)</f>
        <v>0</v>
      </c>
    </row>
    <row r="96" spans="2:42" x14ac:dyDescent="0.2">
      <c r="B96" s="15" cm="1">
        <f t="array" ref="B96">ParamFechaInicioReporte + (ROW(TableDailySummary[#This Row]) - ROW(TableDailySummary[[#Headers],[Dia]]) - 1)</f>
        <v>44623</v>
      </c>
      <c r="C96" s="6">
        <f>TableDailySummary[[#This Row],[Dia]]</f>
        <v>44623</v>
      </c>
      <c r="D96" s="11">
        <f>_xlfn.XLOOKUP(TableDailySummary[[#This Row],[Fecha]],SummaryDaily[day],SummaryDaily[net_sales],0)</f>
        <v>0</v>
      </c>
      <c r="E96" s="11">
        <f>_xlfn.XLOOKUP(TableDailySummary[[#This Row],[Fecha]],SummaryDaily[day],SummaryDaily[orders],0)</f>
        <v>0</v>
      </c>
      <c r="F96" s="11">
        <f>_xlfn.XLOOKUP(TableDailySummary[[#This Row],[Fecha]],SummaryDaily[day],SummaryDaily[average_order_value],0)</f>
        <v>0</v>
      </c>
      <c r="G96" s="24" cm="1">
        <f t="array" ref="G96">_xlfn.XLOOKUP(TableDailySummary[[#This Row],[Fecha]]&amp;"Total site",ConversionRateByReferral[day]&amp;ConversionRateByReferral[referrer_source],ConversionRateByReferral[conversion_rate],0)</f>
        <v>0</v>
      </c>
      <c r="H96" s="11">
        <f>TableDailySummary[[#This Row],[Órden promedio totales]]*TableDailySummary[[#This Row],[CR totales]]</f>
        <v>0</v>
      </c>
      <c r="I96" s="11">
        <f>_xlfn.XLOOKUP(TableDailySummary[[#This Row],[Fecha]],SummaryDaily[day],SummaryDaily[new_net_sales],0)</f>
        <v>0</v>
      </c>
      <c r="J96" s="11">
        <f>_xlfn.XLOOKUP(TableDailySummary[[#This Row],[Fecha]],SummaryDaily[day],SummaryDaily[new_orders],0)</f>
        <v>0</v>
      </c>
      <c r="K96" s="11">
        <f>_xlfn.XLOOKUP(TableDailySummary[[#This Row],[Fecha]],SummaryDaily[day],SummaryDaily[new_average_order_value],0)</f>
        <v>0</v>
      </c>
      <c r="L96" s="11">
        <f>_xlfn.XLOOKUP(TableDailySummary[[#This Row],[Fecha]],SummaryDaily[day],SummaryDaily[Online Store_net_sales],0)</f>
        <v>0</v>
      </c>
      <c r="M96" s="11">
        <f>_xlfn.XLOOKUP(TableDailySummary[[#This Row],[Fecha]],SummaryDaily[day],SummaryDaily[Online Store_orders],0)</f>
        <v>0</v>
      </c>
      <c r="N96" s="11">
        <f>_xlfn.XLOOKUP(TableDailySummary[[#This Row],[Fecha]],SummaryDaily[day],SummaryDaily[Online Store_average_order_value],0)</f>
        <v>0</v>
      </c>
      <c r="O96" s="11">
        <f>_xlfn.XLOOKUP(TableDailySummary[[#This Row],[Fecha]],SummaryDaily[day],SummaryDaily[Tienda 81_net_sales],0)</f>
        <v>0</v>
      </c>
      <c r="P96" s="11">
        <f>_xlfn.XLOOKUP(TableDailySummary[[#This Row],[Fecha]],SummaryDaily[day],SummaryDaily[Tienda 81_orders],0)</f>
        <v>0</v>
      </c>
      <c r="Q96" s="11">
        <f>_xlfn.XLOOKUP(TableDailySummary[[#This Row],[Fecha]],SummaryDaily[day],SummaryDaily[Tienda 81_average_order_value],0)</f>
        <v>0</v>
      </c>
      <c r="R96" s="11">
        <f>_xlfn.XLOOKUP(TableDailySummary[[#This Row],[Fecha]],SummaryDaily[day],SummaryDaily[Rappi_net_sales],0)</f>
        <v>0</v>
      </c>
      <c r="S96" s="11">
        <f>_xlfn.XLOOKUP(TableDailySummary[[#This Row],[Fecha]],SummaryDaily[day],SummaryDaily[Rappi_orders],0)</f>
        <v>0</v>
      </c>
      <c r="T96" s="11">
        <f>_xlfn.XLOOKUP(TableDailySummary[[#This Row],[Fecha]],SummaryDaily[day],SummaryDaily[Rappi_average_order_value],0)</f>
        <v>0</v>
      </c>
      <c r="U96" s="11">
        <f>_xlfn.XLOOKUP(TableDailySummary[[#This Row],[Fecha]],SummaryDaily[day],SummaryDaily[Corporativo no tienda_net_sales],0)</f>
        <v>0</v>
      </c>
      <c r="V96" s="11">
        <f>_xlfn.XLOOKUP(TableDailySummary[[#This Row],[Fecha]],SummaryDaily[day],SummaryDaily[Corporativo no tienda_orders],0)</f>
        <v>0</v>
      </c>
      <c r="W96" s="11">
        <f>_xlfn.XLOOKUP(TableDailySummary[[#This Row],[Fecha]],SummaryDaily[day],SummaryDaily[Corporativo no tienda_average_order_value],0)</f>
        <v>0</v>
      </c>
      <c r="X96" s="11">
        <f>_xlfn.XLOOKUP(TableDailySummary[[#This Row],[Fecha]],SummaryDaily[day],SummaryDaily[GoogleAdsOperation.Cost],0)</f>
        <v>0</v>
      </c>
      <c r="Y96" s="11">
        <f>SUMIFS(SalesByUTMDaily[google],SalesByUTMDaily[day],TableDailySummary[[#This Row],[Fecha]])</f>
        <v>0</v>
      </c>
      <c r="Z96" s="11">
        <f>_xlfn.XLOOKUP(TableDailySummary[[#This Row],[Fecha]],SummaryDaily[day],SummaryDaily[MetaAdsOperation.spend],0)</f>
        <v>0</v>
      </c>
      <c r="AA96" s="11">
        <f>SUMIFS(SalesByUTMDaily[facebook],SalesByUTMDaily[day],TableDailySummary[[#This Row],[Fecha]])</f>
        <v>0</v>
      </c>
      <c r="AB96" s="11">
        <f>TableDailySummary[[#This Row],[Inversión google ads]]+TableDailySummary[[#This Row],[Inversión meta ads]]</f>
        <v>0</v>
      </c>
      <c r="AC96" s="11">
        <f>TableDailySummary[[#This Row],[Ventas google ads]]+TableDailySummary[[#This Row],[Ventas meta ads]]</f>
        <v>0</v>
      </c>
      <c r="AD96" s="14">
        <f>IFERROR(TableDailySummary[[#This Row],[Ventas publicidad]]/TableDailySummary[[#This Row],[Inversión publicidad]],0)</f>
        <v>0</v>
      </c>
      <c r="AE96" s="14">
        <f>IFERROR(TableDailySummary[[#This Row],[Ventas primer cliente]]/TableDailySummary[[#This Row],[Inversión publicidad]],0)</f>
        <v>0</v>
      </c>
      <c r="AF96" s="14"/>
      <c r="AG96" s="11"/>
      <c r="AM96" s="11">
        <f>_xlfn.XLOOKUP(TableDailySummary[[#This Row],[Fecha]],SummaryDaily[day],SummaryDaily[net_sales_with_cost_recorded],0)</f>
        <v>0</v>
      </c>
      <c r="AN96" s="11">
        <f>_xlfn.XLOOKUP(TableDailySummary[[#This Row],[Fecha]],SummaryDaily[day],SummaryDaily[cost_of_goods_sold],0)</f>
        <v>0</v>
      </c>
      <c r="AO96" s="11">
        <f>_xlfn.XLOOKUP(TableDailySummary[[#This Row],[Fecha]],SummaryDaily[day],SummaryDaily[gross_profit],0)</f>
        <v>0</v>
      </c>
      <c r="AP96" s="18">
        <f>IFERROR(TableDailySummary[[#This Row],[Utilidad bruta]]/TableDailySummary[[#This Row],[Ventas netas con costo registrado]],0)</f>
        <v>0</v>
      </c>
    </row>
    <row r="97" spans="2:42" x14ac:dyDescent="0.2">
      <c r="B97" s="15" cm="1">
        <f t="array" ref="B97">ParamFechaInicioReporte + (ROW(TableDailySummary[#This Row]) - ROW(TableDailySummary[[#Headers],[Dia]]) - 1)</f>
        <v>44624</v>
      </c>
      <c r="C97" s="6">
        <f>TableDailySummary[[#This Row],[Dia]]</f>
        <v>44624</v>
      </c>
      <c r="D97" s="11">
        <f>_xlfn.XLOOKUP(TableDailySummary[[#This Row],[Fecha]],SummaryDaily[day],SummaryDaily[net_sales],0)</f>
        <v>0</v>
      </c>
      <c r="E97" s="11">
        <f>_xlfn.XLOOKUP(TableDailySummary[[#This Row],[Fecha]],SummaryDaily[day],SummaryDaily[orders],0)</f>
        <v>0</v>
      </c>
      <c r="F97" s="11">
        <f>_xlfn.XLOOKUP(TableDailySummary[[#This Row],[Fecha]],SummaryDaily[day],SummaryDaily[average_order_value],0)</f>
        <v>0</v>
      </c>
      <c r="G97" s="24" cm="1">
        <f t="array" ref="G97">_xlfn.XLOOKUP(TableDailySummary[[#This Row],[Fecha]]&amp;"Total site",ConversionRateByReferral[day]&amp;ConversionRateByReferral[referrer_source],ConversionRateByReferral[conversion_rate],0)</f>
        <v>0</v>
      </c>
      <c r="H97" s="11">
        <f>TableDailySummary[[#This Row],[Órden promedio totales]]*TableDailySummary[[#This Row],[CR totales]]</f>
        <v>0</v>
      </c>
      <c r="I97" s="11">
        <f>_xlfn.XLOOKUP(TableDailySummary[[#This Row],[Fecha]],SummaryDaily[day],SummaryDaily[new_net_sales],0)</f>
        <v>0</v>
      </c>
      <c r="J97" s="11">
        <f>_xlfn.XLOOKUP(TableDailySummary[[#This Row],[Fecha]],SummaryDaily[day],SummaryDaily[new_orders],0)</f>
        <v>0</v>
      </c>
      <c r="K97" s="11">
        <f>_xlfn.XLOOKUP(TableDailySummary[[#This Row],[Fecha]],SummaryDaily[day],SummaryDaily[new_average_order_value],0)</f>
        <v>0</v>
      </c>
      <c r="L97" s="11">
        <f>_xlfn.XLOOKUP(TableDailySummary[[#This Row],[Fecha]],SummaryDaily[day],SummaryDaily[Online Store_net_sales],0)</f>
        <v>0</v>
      </c>
      <c r="M97" s="11">
        <f>_xlfn.XLOOKUP(TableDailySummary[[#This Row],[Fecha]],SummaryDaily[day],SummaryDaily[Online Store_orders],0)</f>
        <v>0</v>
      </c>
      <c r="N97" s="11">
        <f>_xlfn.XLOOKUP(TableDailySummary[[#This Row],[Fecha]],SummaryDaily[day],SummaryDaily[Online Store_average_order_value],0)</f>
        <v>0</v>
      </c>
      <c r="O97" s="11">
        <f>_xlfn.XLOOKUP(TableDailySummary[[#This Row],[Fecha]],SummaryDaily[day],SummaryDaily[Tienda 81_net_sales],0)</f>
        <v>0</v>
      </c>
      <c r="P97" s="11">
        <f>_xlfn.XLOOKUP(TableDailySummary[[#This Row],[Fecha]],SummaryDaily[day],SummaryDaily[Tienda 81_orders],0)</f>
        <v>0</v>
      </c>
      <c r="Q97" s="11">
        <f>_xlfn.XLOOKUP(TableDailySummary[[#This Row],[Fecha]],SummaryDaily[day],SummaryDaily[Tienda 81_average_order_value],0)</f>
        <v>0</v>
      </c>
      <c r="R97" s="11">
        <f>_xlfn.XLOOKUP(TableDailySummary[[#This Row],[Fecha]],SummaryDaily[day],SummaryDaily[Rappi_net_sales],0)</f>
        <v>0</v>
      </c>
      <c r="S97" s="11">
        <f>_xlfn.XLOOKUP(TableDailySummary[[#This Row],[Fecha]],SummaryDaily[day],SummaryDaily[Rappi_orders],0)</f>
        <v>0</v>
      </c>
      <c r="T97" s="11">
        <f>_xlfn.XLOOKUP(TableDailySummary[[#This Row],[Fecha]],SummaryDaily[day],SummaryDaily[Rappi_average_order_value],0)</f>
        <v>0</v>
      </c>
      <c r="U97" s="11">
        <f>_xlfn.XLOOKUP(TableDailySummary[[#This Row],[Fecha]],SummaryDaily[day],SummaryDaily[Corporativo no tienda_net_sales],0)</f>
        <v>0</v>
      </c>
      <c r="V97" s="11">
        <f>_xlfn.XLOOKUP(TableDailySummary[[#This Row],[Fecha]],SummaryDaily[day],SummaryDaily[Corporativo no tienda_orders],0)</f>
        <v>0</v>
      </c>
      <c r="W97" s="11">
        <f>_xlfn.XLOOKUP(TableDailySummary[[#This Row],[Fecha]],SummaryDaily[day],SummaryDaily[Corporativo no tienda_average_order_value],0)</f>
        <v>0</v>
      </c>
      <c r="X97" s="11">
        <f>_xlfn.XLOOKUP(TableDailySummary[[#This Row],[Fecha]],SummaryDaily[day],SummaryDaily[GoogleAdsOperation.Cost],0)</f>
        <v>0</v>
      </c>
      <c r="Y97" s="11">
        <f>SUMIFS(SalesByUTMDaily[google],SalesByUTMDaily[day],TableDailySummary[[#This Row],[Fecha]])</f>
        <v>0</v>
      </c>
      <c r="Z97" s="11">
        <f>_xlfn.XLOOKUP(TableDailySummary[[#This Row],[Fecha]],SummaryDaily[day],SummaryDaily[MetaAdsOperation.spend],0)</f>
        <v>0</v>
      </c>
      <c r="AA97" s="11">
        <f>SUMIFS(SalesByUTMDaily[facebook],SalesByUTMDaily[day],TableDailySummary[[#This Row],[Fecha]])</f>
        <v>0</v>
      </c>
      <c r="AB97" s="11">
        <f>TableDailySummary[[#This Row],[Inversión google ads]]+TableDailySummary[[#This Row],[Inversión meta ads]]</f>
        <v>0</v>
      </c>
      <c r="AC97" s="11">
        <f>TableDailySummary[[#This Row],[Ventas google ads]]+TableDailySummary[[#This Row],[Ventas meta ads]]</f>
        <v>0</v>
      </c>
      <c r="AD97" s="14">
        <f>IFERROR(TableDailySummary[[#This Row],[Ventas publicidad]]/TableDailySummary[[#This Row],[Inversión publicidad]],0)</f>
        <v>0</v>
      </c>
      <c r="AE97" s="14">
        <f>IFERROR(TableDailySummary[[#This Row],[Ventas primer cliente]]/TableDailySummary[[#This Row],[Inversión publicidad]],0)</f>
        <v>0</v>
      </c>
      <c r="AF97" s="14"/>
      <c r="AG97" s="11"/>
      <c r="AM97" s="11">
        <f>_xlfn.XLOOKUP(TableDailySummary[[#This Row],[Fecha]],SummaryDaily[day],SummaryDaily[net_sales_with_cost_recorded],0)</f>
        <v>0</v>
      </c>
      <c r="AN97" s="11">
        <f>_xlfn.XLOOKUP(TableDailySummary[[#This Row],[Fecha]],SummaryDaily[day],SummaryDaily[cost_of_goods_sold],0)</f>
        <v>0</v>
      </c>
      <c r="AO97" s="11">
        <f>_xlfn.XLOOKUP(TableDailySummary[[#This Row],[Fecha]],SummaryDaily[day],SummaryDaily[gross_profit],0)</f>
        <v>0</v>
      </c>
      <c r="AP97" s="18">
        <f>IFERROR(TableDailySummary[[#This Row],[Utilidad bruta]]/TableDailySummary[[#This Row],[Ventas netas con costo registrado]],0)</f>
        <v>0</v>
      </c>
    </row>
    <row r="98" spans="2:42" x14ac:dyDescent="0.2">
      <c r="B98" s="15" cm="1">
        <f t="array" ref="B98">ParamFechaInicioReporte + (ROW(TableDailySummary[#This Row]) - ROW(TableDailySummary[[#Headers],[Dia]]) - 1)</f>
        <v>44625</v>
      </c>
      <c r="C98" s="6">
        <f>TableDailySummary[[#This Row],[Dia]]</f>
        <v>44625</v>
      </c>
      <c r="D98" s="11">
        <f>_xlfn.XLOOKUP(TableDailySummary[[#This Row],[Fecha]],SummaryDaily[day],SummaryDaily[net_sales],0)</f>
        <v>0</v>
      </c>
      <c r="E98" s="11">
        <f>_xlfn.XLOOKUP(TableDailySummary[[#This Row],[Fecha]],SummaryDaily[day],SummaryDaily[orders],0)</f>
        <v>0</v>
      </c>
      <c r="F98" s="11">
        <f>_xlfn.XLOOKUP(TableDailySummary[[#This Row],[Fecha]],SummaryDaily[day],SummaryDaily[average_order_value],0)</f>
        <v>0</v>
      </c>
      <c r="G98" s="24" cm="1">
        <f t="array" ref="G98">_xlfn.XLOOKUP(TableDailySummary[[#This Row],[Fecha]]&amp;"Total site",ConversionRateByReferral[day]&amp;ConversionRateByReferral[referrer_source],ConversionRateByReferral[conversion_rate],0)</f>
        <v>0</v>
      </c>
      <c r="H98" s="11">
        <f>TableDailySummary[[#This Row],[Órden promedio totales]]*TableDailySummary[[#This Row],[CR totales]]</f>
        <v>0</v>
      </c>
      <c r="I98" s="11">
        <f>_xlfn.XLOOKUP(TableDailySummary[[#This Row],[Fecha]],SummaryDaily[day],SummaryDaily[new_net_sales],0)</f>
        <v>0</v>
      </c>
      <c r="J98" s="11">
        <f>_xlfn.XLOOKUP(TableDailySummary[[#This Row],[Fecha]],SummaryDaily[day],SummaryDaily[new_orders],0)</f>
        <v>0</v>
      </c>
      <c r="K98" s="11">
        <f>_xlfn.XLOOKUP(TableDailySummary[[#This Row],[Fecha]],SummaryDaily[day],SummaryDaily[new_average_order_value],0)</f>
        <v>0</v>
      </c>
      <c r="L98" s="11">
        <f>_xlfn.XLOOKUP(TableDailySummary[[#This Row],[Fecha]],SummaryDaily[day],SummaryDaily[Online Store_net_sales],0)</f>
        <v>0</v>
      </c>
      <c r="M98" s="11">
        <f>_xlfn.XLOOKUP(TableDailySummary[[#This Row],[Fecha]],SummaryDaily[day],SummaryDaily[Online Store_orders],0)</f>
        <v>0</v>
      </c>
      <c r="N98" s="11">
        <f>_xlfn.XLOOKUP(TableDailySummary[[#This Row],[Fecha]],SummaryDaily[day],SummaryDaily[Online Store_average_order_value],0)</f>
        <v>0</v>
      </c>
      <c r="O98" s="11">
        <f>_xlfn.XLOOKUP(TableDailySummary[[#This Row],[Fecha]],SummaryDaily[day],SummaryDaily[Tienda 81_net_sales],0)</f>
        <v>0</v>
      </c>
      <c r="P98" s="11">
        <f>_xlfn.XLOOKUP(TableDailySummary[[#This Row],[Fecha]],SummaryDaily[day],SummaryDaily[Tienda 81_orders],0)</f>
        <v>0</v>
      </c>
      <c r="Q98" s="11">
        <f>_xlfn.XLOOKUP(TableDailySummary[[#This Row],[Fecha]],SummaryDaily[day],SummaryDaily[Tienda 81_average_order_value],0)</f>
        <v>0</v>
      </c>
      <c r="R98" s="11">
        <f>_xlfn.XLOOKUP(TableDailySummary[[#This Row],[Fecha]],SummaryDaily[day],SummaryDaily[Rappi_net_sales],0)</f>
        <v>0</v>
      </c>
      <c r="S98" s="11">
        <f>_xlfn.XLOOKUP(TableDailySummary[[#This Row],[Fecha]],SummaryDaily[day],SummaryDaily[Rappi_orders],0)</f>
        <v>0</v>
      </c>
      <c r="T98" s="11">
        <f>_xlfn.XLOOKUP(TableDailySummary[[#This Row],[Fecha]],SummaryDaily[day],SummaryDaily[Rappi_average_order_value],0)</f>
        <v>0</v>
      </c>
      <c r="U98" s="11">
        <f>_xlfn.XLOOKUP(TableDailySummary[[#This Row],[Fecha]],SummaryDaily[day],SummaryDaily[Corporativo no tienda_net_sales],0)</f>
        <v>0</v>
      </c>
      <c r="V98" s="11">
        <f>_xlfn.XLOOKUP(TableDailySummary[[#This Row],[Fecha]],SummaryDaily[day],SummaryDaily[Corporativo no tienda_orders],0)</f>
        <v>0</v>
      </c>
      <c r="W98" s="11">
        <f>_xlfn.XLOOKUP(TableDailySummary[[#This Row],[Fecha]],SummaryDaily[day],SummaryDaily[Corporativo no tienda_average_order_value],0)</f>
        <v>0</v>
      </c>
      <c r="X98" s="11">
        <f>_xlfn.XLOOKUP(TableDailySummary[[#This Row],[Fecha]],SummaryDaily[day],SummaryDaily[GoogleAdsOperation.Cost],0)</f>
        <v>0</v>
      </c>
      <c r="Y98" s="11">
        <f>SUMIFS(SalesByUTMDaily[google],SalesByUTMDaily[day],TableDailySummary[[#This Row],[Fecha]])</f>
        <v>0</v>
      </c>
      <c r="Z98" s="11">
        <f>_xlfn.XLOOKUP(TableDailySummary[[#This Row],[Fecha]],SummaryDaily[day],SummaryDaily[MetaAdsOperation.spend],0)</f>
        <v>0</v>
      </c>
      <c r="AA98" s="11">
        <f>SUMIFS(SalesByUTMDaily[facebook],SalesByUTMDaily[day],TableDailySummary[[#This Row],[Fecha]])</f>
        <v>0</v>
      </c>
      <c r="AB98" s="11">
        <f>TableDailySummary[[#This Row],[Inversión google ads]]+TableDailySummary[[#This Row],[Inversión meta ads]]</f>
        <v>0</v>
      </c>
      <c r="AC98" s="11">
        <f>TableDailySummary[[#This Row],[Ventas google ads]]+TableDailySummary[[#This Row],[Ventas meta ads]]</f>
        <v>0</v>
      </c>
      <c r="AD98" s="14">
        <f>IFERROR(TableDailySummary[[#This Row],[Ventas publicidad]]/TableDailySummary[[#This Row],[Inversión publicidad]],0)</f>
        <v>0</v>
      </c>
      <c r="AE98" s="14">
        <f>IFERROR(TableDailySummary[[#This Row],[Ventas primer cliente]]/TableDailySummary[[#This Row],[Inversión publicidad]],0)</f>
        <v>0</v>
      </c>
      <c r="AF98" s="14"/>
      <c r="AG98" s="11"/>
      <c r="AM98" s="11">
        <f>_xlfn.XLOOKUP(TableDailySummary[[#This Row],[Fecha]],SummaryDaily[day],SummaryDaily[net_sales_with_cost_recorded],0)</f>
        <v>0</v>
      </c>
      <c r="AN98" s="11">
        <f>_xlfn.XLOOKUP(TableDailySummary[[#This Row],[Fecha]],SummaryDaily[day],SummaryDaily[cost_of_goods_sold],0)</f>
        <v>0</v>
      </c>
      <c r="AO98" s="11">
        <f>_xlfn.XLOOKUP(TableDailySummary[[#This Row],[Fecha]],SummaryDaily[day],SummaryDaily[gross_profit],0)</f>
        <v>0</v>
      </c>
      <c r="AP98" s="18">
        <f>IFERROR(TableDailySummary[[#This Row],[Utilidad bruta]]/TableDailySummary[[#This Row],[Ventas netas con costo registrado]],0)</f>
        <v>0</v>
      </c>
    </row>
    <row r="99" spans="2:42" x14ac:dyDescent="0.2">
      <c r="B99" s="15" cm="1">
        <f t="array" ref="B99">ParamFechaInicioReporte + (ROW(TableDailySummary[#This Row]) - ROW(TableDailySummary[[#Headers],[Dia]]) - 1)</f>
        <v>44626</v>
      </c>
      <c r="C99" s="6">
        <f>TableDailySummary[[#This Row],[Dia]]</f>
        <v>44626</v>
      </c>
      <c r="D99" s="11">
        <f>_xlfn.XLOOKUP(TableDailySummary[[#This Row],[Fecha]],SummaryDaily[day],SummaryDaily[net_sales],0)</f>
        <v>0</v>
      </c>
      <c r="E99" s="11">
        <f>_xlfn.XLOOKUP(TableDailySummary[[#This Row],[Fecha]],SummaryDaily[day],SummaryDaily[orders],0)</f>
        <v>0</v>
      </c>
      <c r="F99" s="11">
        <f>_xlfn.XLOOKUP(TableDailySummary[[#This Row],[Fecha]],SummaryDaily[day],SummaryDaily[average_order_value],0)</f>
        <v>0</v>
      </c>
      <c r="G99" s="24" cm="1">
        <f t="array" ref="G99">_xlfn.XLOOKUP(TableDailySummary[[#This Row],[Fecha]]&amp;"Total site",ConversionRateByReferral[day]&amp;ConversionRateByReferral[referrer_source],ConversionRateByReferral[conversion_rate],0)</f>
        <v>0</v>
      </c>
      <c r="H99" s="11">
        <f>TableDailySummary[[#This Row],[Órden promedio totales]]*TableDailySummary[[#This Row],[CR totales]]</f>
        <v>0</v>
      </c>
      <c r="I99" s="11">
        <f>_xlfn.XLOOKUP(TableDailySummary[[#This Row],[Fecha]],SummaryDaily[day],SummaryDaily[new_net_sales],0)</f>
        <v>0</v>
      </c>
      <c r="J99" s="11">
        <f>_xlfn.XLOOKUP(TableDailySummary[[#This Row],[Fecha]],SummaryDaily[day],SummaryDaily[new_orders],0)</f>
        <v>0</v>
      </c>
      <c r="K99" s="11">
        <f>_xlfn.XLOOKUP(TableDailySummary[[#This Row],[Fecha]],SummaryDaily[day],SummaryDaily[new_average_order_value],0)</f>
        <v>0</v>
      </c>
      <c r="L99" s="11">
        <f>_xlfn.XLOOKUP(TableDailySummary[[#This Row],[Fecha]],SummaryDaily[day],SummaryDaily[Online Store_net_sales],0)</f>
        <v>0</v>
      </c>
      <c r="M99" s="11">
        <f>_xlfn.XLOOKUP(TableDailySummary[[#This Row],[Fecha]],SummaryDaily[day],SummaryDaily[Online Store_orders],0)</f>
        <v>0</v>
      </c>
      <c r="N99" s="11">
        <f>_xlfn.XLOOKUP(TableDailySummary[[#This Row],[Fecha]],SummaryDaily[day],SummaryDaily[Online Store_average_order_value],0)</f>
        <v>0</v>
      </c>
      <c r="O99" s="11">
        <f>_xlfn.XLOOKUP(TableDailySummary[[#This Row],[Fecha]],SummaryDaily[day],SummaryDaily[Tienda 81_net_sales],0)</f>
        <v>0</v>
      </c>
      <c r="P99" s="11">
        <f>_xlfn.XLOOKUP(TableDailySummary[[#This Row],[Fecha]],SummaryDaily[day],SummaryDaily[Tienda 81_orders],0)</f>
        <v>0</v>
      </c>
      <c r="Q99" s="11">
        <f>_xlfn.XLOOKUP(TableDailySummary[[#This Row],[Fecha]],SummaryDaily[day],SummaryDaily[Tienda 81_average_order_value],0)</f>
        <v>0</v>
      </c>
      <c r="R99" s="11">
        <f>_xlfn.XLOOKUP(TableDailySummary[[#This Row],[Fecha]],SummaryDaily[day],SummaryDaily[Rappi_net_sales],0)</f>
        <v>0</v>
      </c>
      <c r="S99" s="11">
        <f>_xlfn.XLOOKUP(TableDailySummary[[#This Row],[Fecha]],SummaryDaily[day],SummaryDaily[Rappi_orders],0)</f>
        <v>0</v>
      </c>
      <c r="T99" s="11">
        <f>_xlfn.XLOOKUP(TableDailySummary[[#This Row],[Fecha]],SummaryDaily[day],SummaryDaily[Rappi_average_order_value],0)</f>
        <v>0</v>
      </c>
      <c r="U99" s="11">
        <f>_xlfn.XLOOKUP(TableDailySummary[[#This Row],[Fecha]],SummaryDaily[day],SummaryDaily[Corporativo no tienda_net_sales],0)</f>
        <v>0</v>
      </c>
      <c r="V99" s="11">
        <f>_xlfn.XLOOKUP(TableDailySummary[[#This Row],[Fecha]],SummaryDaily[day],SummaryDaily[Corporativo no tienda_orders],0)</f>
        <v>0</v>
      </c>
      <c r="W99" s="11">
        <f>_xlfn.XLOOKUP(TableDailySummary[[#This Row],[Fecha]],SummaryDaily[day],SummaryDaily[Corporativo no tienda_average_order_value],0)</f>
        <v>0</v>
      </c>
      <c r="X99" s="11">
        <f>_xlfn.XLOOKUP(TableDailySummary[[#This Row],[Fecha]],SummaryDaily[day],SummaryDaily[GoogleAdsOperation.Cost],0)</f>
        <v>0</v>
      </c>
      <c r="Y99" s="11">
        <f>SUMIFS(SalesByUTMDaily[google],SalesByUTMDaily[day],TableDailySummary[[#This Row],[Fecha]])</f>
        <v>0</v>
      </c>
      <c r="Z99" s="11">
        <f>_xlfn.XLOOKUP(TableDailySummary[[#This Row],[Fecha]],SummaryDaily[day],SummaryDaily[MetaAdsOperation.spend],0)</f>
        <v>0</v>
      </c>
      <c r="AA99" s="11">
        <f>SUMIFS(SalesByUTMDaily[facebook],SalesByUTMDaily[day],TableDailySummary[[#This Row],[Fecha]])</f>
        <v>0</v>
      </c>
      <c r="AB99" s="11">
        <f>TableDailySummary[[#This Row],[Inversión google ads]]+TableDailySummary[[#This Row],[Inversión meta ads]]</f>
        <v>0</v>
      </c>
      <c r="AC99" s="11">
        <f>TableDailySummary[[#This Row],[Ventas google ads]]+TableDailySummary[[#This Row],[Ventas meta ads]]</f>
        <v>0</v>
      </c>
      <c r="AD99" s="14">
        <f>IFERROR(TableDailySummary[[#This Row],[Ventas publicidad]]/TableDailySummary[[#This Row],[Inversión publicidad]],0)</f>
        <v>0</v>
      </c>
      <c r="AE99" s="14">
        <f>IFERROR(TableDailySummary[[#This Row],[Ventas primer cliente]]/TableDailySummary[[#This Row],[Inversión publicidad]],0)</f>
        <v>0</v>
      </c>
      <c r="AF99" s="14"/>
      <c r="AG99" s="11"/>
      <c r="AM99" s="11">
        <f>_xlfn.XLOOKUP(TableDailySummary[[#This Row],[Fecha]],SummaryDaily[day],SummaryDaily[net_sales_with_cost_recorded],0)</f>
        <v>0</v>
      </c>
      <c r="AN99" s="11">
        <f>_xlfn.XLOOKUP(TableDailySummary[[#This Row],[Fecha]],SummaryDaily[day],SummaryDaily[cost_of_goods_sold],0)</f>
        <v>0</v>
      </c>
      <c r="AO99" s="11">
        <f>_xlfn.XLOOKUP(TableDailySummary[[#This Row],[Fecha]],SummaryDaily[day],SummaryDaily[gross_profit],0)</f>
        <v>0</v>
      </c>
      <c r="AP99" s="18">
        <f>IFERROR(TableDailySummary[[#This Row],[Utilidad bruta]]/TableDailySummary[[#This Row],[Ventas netas con costo registrado]],0)</f>
        <v>0</v>
      </c>
    </row>
    <row r="100" spans="2:42" x14ac:dyDescent="0.2">
      <c r="B100" s="15" cm="1">
        <f t="array" ref="B100">ParamFechaInicioReporte + (ROW(TableDailySummary[#This Row]) - ROW(TableDailySummary[[#Headers],[Dia]]) - 1)</f>
        <v>44627</v>
      </c>
      <c r="C100" s="6">
        <f>TableDailySummary[[#This Row],[Dia]]</f>
        <v>44627</v>
      </c>
      <c r="D100" s="11">
        <f>_xlfn.XLOOKUP(TableDailySummary[[#This Row],[Fecha]],SummaryDaily[day],SummaryDaily[net_sales],0)</f>
        <v>0</v>
      </c>
      <c r="E100" s="11">
        <f>_xlfn.XLOOKUP(TableDailySummary[[#This Row],[Fecha]],SummaryDaily[day],SummaryDaily[orders],0)</f>
        <v>0</v>
      </c>
      <c r="F100" s="11">
        <f>_xlfn.XLOOKUP(TableDailySummary[[#This Row],[Fecha]],SummaryDaily[day],SummaryDaily[average_order_value],0)</f>
        <v>0</v>
      </c>
      <c r="G100" s="24" cm="1">
        <f t="array" ref="G100">_xlfn.XLOOKUP(TableDailySummary[[#This Row],[Fecha]]&amp;"Total site",ConversionRateByReferral[day]&amp;ConversionRateByReferral[referrer_source],ConversionRateByReferral[conversion_rate],0)</f>
        <v>0</v>
      </c>
      <c r="H100" s="11">
        <f>TableDailySummary[[#This Row],[Órden promedio totales]]*TableDailySummary[[#This Row],[CR totales]]</f>
        <v>0</v>
      </c>
      <c r="I100" s="11">
        <f>_xlfn.XLOOKUP(TableDailySummary[[#This Row],[Fecha]],SummaryDaily[day],SummaryDaily[new_net_sales],0)</f>
        <v>0</v>
      </c>
      <c r="J100" s="11">
        <f>_xlfn.XLOOKUP(TableDailySummary[[#This Row],[Fecha]],SummaryDaily[day],SummaryDaily[new_orders],0)</f>
        <v>0</v>
      </c>
      <c r="K100" s="11">
        <f>_xlfn.XLOOKUP(TableDailySummary[[#This Row],[Fecha]],SummaryDaily[day],SummaryDaily[new_average_order_value],0)</f>
        <v>0</v>
      </c>
      <c r="L100" s="11">
        <f>_xlfn.XLOOKUP(TableDailySummary[[#This Row],[Fecha]],SummaryDaily[day],SummaryDaily[Online Store_net_sales],0)</f>
        <v>0</v>
      </c>
      <c r="M100" s="11">
        <f>_xlfn.XLOOKUP(TableDailySummary[[#This Row],[Fecha]],SummaryDaily[day],SummaryDaily[Online Store_orders],0)</f>
        <v>0</v>
      </c>
      <c r="N100" s="11">
        <f>_xlfn.XLOOKUP(TableDailySummary[[#This Row],[Fecha]],SummaryDaily[day],SummaryDaily[Online Store_average_order_value],0)</f>
        <v>0</v>
      </c>
      <c r="O100" s="11">
        <f>_xlfn.XLOOKUP(TableDailySummary[[#This Row],[Fecha]],SummaryDaily[day],SummaryDaily[Tienda 81_net_sales],0)</f>
        <v>0</v>
      </c>
      <c r="P100" s="11">
        <f>_xlfn.XLOOKUP(TableDailySummary[[#This Row],[Fecha]],SummaryDaily[day],SummaryDaily[Tienda 81_orders],0)</f>
        <v>0</v>
      </c>
      <c r="Q100" s="11">
        <f>_xlfn.XLOOKUP(TableDailySummary[[#This Row],[Fecha]],SummaryDaily[day],SummaryDaily[Tienda 81_average_order_value],0)</f>
        <v>0</v>
      </c>
      <c r="R100" s="11">
        <f>_xlfn.XLOOKUP(TableDailySummary[[#This Row],[Fecha]],SummaryDaily[day],SummaryDaily[Rappi_net_sales],0)</f>
        <v>0</v>
      </c>
      <c r="S100" s="11">
        <f>_xlfn.XLOOKUP(TableDailySummary[[#This Row],[Fecha]],SummaryDaily[day],SummaryDaily[Rappi_orders],0)</f>
        <v>0</v>
      </c>
      <c r="T100" s="11">
        <f>_xlfn.XLOOKUP(TableDailySummary[[#This Row],[Fecha]],SummaryDaily[day],SummaryDaily[Rappi_average_order_value],0)</f>
        <v>0</v>
      </c>
      <c r="U100" s="11">
        <f>_xlfn.XLOOKUP(TableDailySummary[[#This Row],[Fecha]],SummaryDaily[day],SummaryDaily[Corporativo no tienda_net_sales],0)</f>
        <v>0</v>
      </c>
      <c r="V100" s="11">
        <f>_xlfn.XLOOKUP(TableDailySummary[[#This Row],[Fecha]],SummaryDaily[day],SummaryDaily[Corporativo no tienda_orders],0)</f>
        <v>0</v>
      </c>
      <c r="W100" s="11">
        <f>_xlfn.XLOOKUP(TableDailySummary[[#This Row],[Fecha]],SummaryDaily[day],SummaryDaily[Corporativo no tienda_average_order_value],0)</f>
        <v>0</v>
      </c>
      <c r="X100" s="11">
        <f>_xlfn.XLOOKUP(TableDailySummary[[#This Row],[Fecha]],SummaryDaily[day],SummaryDaily[GoogleAdsOperation.Cost],0)</f>
        <v>0</v>
      </c>
      <c r="Y100" s="11">
        <f>SUMIFS(SalesByUTMDaily[google],SalesByUTMDaily[day],TableDailySummary[[#This Row],[Fecha]])</f>
        <v>0</v>
      </c>
      <c r="Z100" s="11">
        <f>_xlfn.XLOOKUP(TableDailySummary[[#This Row],[Fecha]],SummaryDaily[day],SummaryDaily[MetaAdsOperation.spend],0)</f>
        <v>0</v>
      </c>
      <c r="AA100" s="11">
        <f>SUMIFS(SalesByUTMDaily[facebook],SalesByUTMDaily[day],TableDailySummary[[#This Row],[Fecha]])</f>
        <v>0</v>
      </c>
      <c r="AB100" s="11">
        <f>TableDailySummary[[#This Row],[Inversión google ads]]+TableDailySummary[[#This Row],[Inversión meta ads]]</f>
        <v>0</v>
      </c>
      <c r="AC100" s="11">
        <f>TableDailySummary[[#This Row],[Ventas google ads]]+TableDailySummary[[#This Row],[Ventas meta ads]]</f>
        <v>0</v>
      </c>
      <c r="AD100" s="14">
        <f>IFERROR(TableDailySummary[[#This Row],[Ventas publicidad]]/TableDailySummary[[#This Row],[Inversión publicidad]],0)</f>
        <v>0</v>
      </c>
      <c r="AE100" s="14">
        <f>IFERROR(TableDailySummary[[#This Row],[Ventas primer cliente]]/TableDailySummary[[#This Row],[Inversión publicidad]],0)</f>
        <v>0</v>
      </c>
      <c r="AF100" s="14"/>
      <c r="AG100" s="11"/>
      <c r="AM100" s="11">
        <f>_xlfn.XLOOKUP(TableDailySummary[[#This Row],[Fecha]],SummaryDaily[day],SummaryDaily[net_sales_with_cost_recorded],0)</f>
        <v>0</v>
      </c>
      <c r="AN100" s="11">
        <f>_xlfn.XLOOKUP(TableDailySummary[[#This Row],[Fecha]],SummaryDaily[day],SummaryDaily[cost_of_goods_sold],0)</f>
        <v>0</v>
      </c>
      <c r="AO100" s="11">
        <f>_xlfn.XLOOKUP(TableDailySummary[[#This Row],[Fecha]],SummaryDaily[day],SummaryDaily[gross_profit],0)</f>
        <v>0</v>
      </c>
      <c r="AP100" s="18">
        <f>IFERROR(TableDailySummary[[#This Row],[Utilidad bruta]]/TableDailySummary[[#This Row],[Ventas netas con costo registrado]],0)</f>
        <v>0</v>
      </c>
    </row>
    <row r="101" spans="2:42" x14ac:dyDescent="0.2">
      <c r="B101" s="15" cm="1">
        <f t="array" ref="B101">ParamFechaInicioReporte + (ROW(TableDailySummary[#This Row]) - ROW(TableDailySummary[[#Headers],[Dia]]) - 1)</f>
        <v>44628</v>
      </c>
      <c r="C101" s="6">
        <f>TableDailySummary[[#This Row],[Dia]]</f>
        <v>44628</v>
      </c>
      <c r="D101" s="11">
        <f>_xlfn.XLOOKUP(TableDailySummary[[#This Row],[Fecha]],SummaryDaily[day],SummaryDaily[net_sales],0)</f>
        <v>0</v>
      </c>
      <c r="E101" s="11">
        <f>_xlfn.XLOOKUP(TableDailySummary[[#This Row],[Fecha]],SummaryDaily[day],SummaryDaily[orders],0)</f>
        <v>0</v>
      </c>
      <c r="F101" s="11">
        <f>_xlfn.XLOOKUP(TableDailySummary[[#This Row],[Fecha]],SummaryDaily[day],SummaryDaily[average_order_value],0)</f>
        <v>0</v>
      </c>
      <c r="G101" s="24" cm="1">
        <f t="array" ref="G101">_xlfn.XLOOKUP(TableDailySummary[[#This Row],[Fecha]]&amp;"Total site",ConversionRateByReferral[day]&amp;ConversionRateByReferral[referrer_source],ConversionRateByReferral[conversion_rate],0)</f>
        <v>0</v>
      </c>
      <c r="H101" s="11">
        <f>TableDailySummary[[#This Row],[Órden promedio totales]]*TableDailySummary[[#This Row],[CR totales]]</f>
        <v>0</v>
      </c>
      <c r="I101" s="11">
        <f>_xlfn.XLOOKUP(TableDailySummary[[#This Row],[Fecha]],SummaryDaily[day],SummaryDaily[new_net_sales],0)</f>
        <v>0</v>
      </c>
      <c r="J101" s="11">
        <f>_xlfn.XLOOKUP(TableDailySummary[[#This Row],[Fecha]],SummaryDaily[day],SummaryDaily[new_orders],0)</f>
        <v>0</v>
      </c>
      <c r="K101" s="11">
        <f>_xlfn.XLOOKUP(TableDailySummary[[#This Row],[Fecha]],SummaryDaily[day],SummaryDaily[new_average_order_value],0)</f>
        <v>0</v>
      </c>
      <c r="L101" s="11">
        <f>_xlfn.XLOOKUP(TableDailySummary[[#This Row],[Fecha]],SummaryDaily[day],SummaryDaily[Online Store_net_sales],0)</f>
        <v>0</v>
      </c>
      <c r="M101" s="11">
        <f>_xlfn.XLOOKUP(TableDailySummary[[#This Row],[Fecha]],SummaryDaily[day],SummaryDaily[Online Store_orders],0)</f>
        <v>0</v>
      </c>
      <c r="N101" s="11">
        <f>_xlfn.XLOOKUP(TableDailySummary[[#This Row],[Fecha]],SummaryDaily[day],SummaryDaily[Online Store_average_order_value],0)</f>
        <v>0</v>
      </c>
      <c r="O101" s="11">
        <f>_xlfn.XLOOKUP(TableDailySummary[[#This Row],[Fecha]],SummaryDaily[day],SummaryDaily[Tienda 81_net_sales],0)</f>
        <v>0</v>
      </c>
      <c r="P101" s="11">
        <f>_xlfn.XLOOKUP(TableDailySummary[[#This Row],[Fecha]],SummaryDaily[day],SummaryDaily[Tienda 81_orders],0)</f>
        <v>0</v>
      </c>
      <c r="Q101" s="11">
        <f>_xlfn.XLOOKUP(TableDailySummary[[#This Row],[Fecha]],SummaryDaily[day],SummaryDaily[Tienda 81_average_order_value],0)</f>
        <v>0</v>
      </c>
      <c r="R101" s="11">
        <f>_xlfn.XLOOKUP(TableDailySummary[[#This Row],[Fecha]],SummaryDaily[day],SummaryDaily[Rappi_net_sales],0)</f>
        <v>0</v>
      </c>
      <c r="S101" s="11">
        <f>_xlfn.XLOOKUP(TableDailySummary[[#This Row],[Fecha]],SummaryDaily[day],SummaryDaily[Rappi_orders],0)</f>
        <v>0</v>
      </c>
      <c r="T101" s="11">
        <f>_xlfn.XLOOKUP(TableDailySummary[[#This Row],[Fecha]],SummaryDaily[day],SummaryDaily[Rappi_average_order_value],0)</f>
        <v>0</v>
      </c>
      <c r="U101" s="11">
        <f>_xlfn.XLOOKUP(TableDailySummary[[#This Row],[Fecha]],SummaryDaily[day],SummaryDaily[Corporativo no tienda_net_sales],0)</f>
        <v>0</v>
      </c>
      <c r="V101" s="11">
        <f>_xlfn.XLOOKUP(TableDailySummary[[#This Row],[Fecha]],SummaryDaily[day],SummaryDaily[Corporativo no tienda_orders],0)</f>
        <v>0</v>
      </c>
      <c r="W101" s="11">
        <f>_xlfn.XLOOKUP(TableDailySummary[[#This Row],[Fecha]],SummaryDaily[day],SummaryDaily[Corporativo no tienda_average_order_value],0)</f>
        <v>0</v>
      </c>
      <c r="X101" s="11">
        <f>_xlfn.XLOOKUP(TableDailySummary[[#This Row],[Fecha]],SummaryDaily[day],SummaryDaily[GoogleAdsOperation.Cost],0)</f>
        <v>0</v>
      </c>
      <c r="Y101" s="11">
        <f>SUMIFS(SalesByUTMDaily[google],SalesByUTMDaily[day],TableDailySummary[[#This Row],[Fecha]])</f>
        <v>0</v>
      </c>
      <c r="Z101" s="11">
        <f>_xlfn.XLOOKUP(TableDailySummary[[#This Row],[Fecha]],SummaryDaily[day],SummaryDaily[MetaAdsOperation.spend],0)</f>
        <v>0</v>
      </c>
      <c r="AA101" s="11">
        <f>SUMIFS(SalesByUTMDaily[facebook],SalesByUTMDaily[day],TableDailySummary[[#This Row],[Fecha]])</f>
        <v>0</v>
      </c>
      <c r="AB101" s="11">
        <f>TableDailySummary[[#This Row],[Inversión google ads]]+TableDailySummary[[#This Row],[Inversión meta ads]]</f>
        <v>0</v>
      </c>
      <c r="AC101" s="11">
        <f>TableDailySummary[[#This Row],[Ventas google ads]]+TableDailySummary[[#This Row],[Ventas meta ads]]</f>
        <v>0</v>
      </c>
      <c r="AD101" s="14">
        <f>IFERROR(TableDailySummary[[#This Row],[Ventas publicidad]]/TableDailySummary[[#This Row],[Inversión publicidad]],0)</f>
        <v>0</v>
      </c>
      <c r="AE101" s="14">
        <f>IFERROR(TableDailySummary[[#This Row],[Ventas primer cliente]]/TableDailySummary[[#This Row],[Inversión publicidad]],0)</f>
        <v>0</v>
      </c>
      <c r="AF101" s="14"/>
      <c r="AG101" s="11"/>
      <c r="AM101" s="11">
        <f>_xlfn.XLOOKUP(TableDailySummary[[#This Row],[Fecha]],SummaryDaily[day],SummaryDaily[net_sales_with_cost_recorded],0)</f>
        <v>0</v>
      </c>
      <c r="AN101" s="11">
        <f>_xlfn.XLOOKUP(TableDailySummary[[#This Row],[Fecha]],SummaryDaily[day],SummaryDaily[cost_of_goods_sold],0)</f>
        <v>0</v>
      </c>
      <c r="AO101" s="11">
        <f>_xlfn.XLOOKUP(TableDailySummary[[#This Row],[Fecha]],SummaryDaily[day],SummaryDaily[gross_profit],0)</f>
        <v>0</v>
      </c>
      <c r="AP101" s="18">
        <f>IFERROR(TableDailySummary[[#This Row],[Utilidad bruta]]/TableDailySummary[[#This Row],[Ventas netas con costo registrado]],0)</f>
        <v>0</v>
      </c>
    </row>
    <row r="102" spans="2:42" x14ac:dyDescent="0.2">
      <c r="B102" s="15" cm="1">
        <f t="array" ref="B102">ParamFechaInicioReporte + (ROW(TableDailySummary[#This Row]) - ROW(TableDailySummary[[#Headers],[Dia]]) - 1)</f>
        <v>44629</v>
      </c>
      <c r="C102" s="6">
        <f>TableDailySummary[[#This Row],[Dia]]</f>
        <v>44629</v>
      </c>
      <c r="D102" s="11">
        <f>_xlfn.XLOOKUP(TableDailySummary[[#This Row],[Fecha]],SummaryDaily[day],SummaryDaily[net_sales],0)</f>
        <v>0</v>
      </c>
      <c r="E102" s="11">
        <f>_xlfn.XLOOKUP(TableDailySummary[[#This Row],[Fecha]],SummaryDaily[day],SummaryDaily[orders],0)</f>
        <v>0</v>
      </c>
      <c r="F102" s="11">
        <f>_xlfn.XLOOKUP(TableDailySummary[[#This Row],[Fecha]],SummaryDaily[day],SummaryDaily[average_order_value],0)</f>
        <v>0</v>
      </c>
      <c r="G102" s="24" cm="1">
        <f t="array" ref="G102">_xlfn.XLOOKUP(TableDailySummary[[#This Row],[Fecha]]&amp;"Total site",ConversionRateByReferral[day]&amp;ConversionRateByReferral[referrer_source],ConversionRateByReferral[conversion_rate],0)</f>
        <v>0</v>
      </c>
      <c r="H102" s="11">
        <f>TableDailySummary[[#This Row],[Órden promedio totales]]*TableDailySummary[[#This Row],[CR totales]]</f>
        <v>0</v>
      </c>
      <c r="I102" s="11">
        <f>_xlfn.XLOOKUP(TableDailySummary[[#This Row],[Fecha]],SummaryDaily[day],SummaryDaily[new_net_sales],0)</f>
        <v>0</v>
      </c>
      <c r="J102" s="11">
        <f>_xlfn.XLOOKUP(TableDailySummary[[#This Row],[Fecha]],SummaryDaily[day],SummaryDaily[new_orders],0)</f>
        <v>0</v>
      </c>
      <c r="K102" s="11">
        <f>_xlfn.XLOOKUP(TableDailySummary[[#This Row],[Fecha]],SummaryDaily[day],SummaryDaily[new_average_order_value],0)</f>
        <v>0</v>
      </c>
      <c r="L102" s="11">
        <f>_xlfn.XLOOKUP(TableDailySummary[[#This Row],[Fecha]],SummaryDaily[day],SummaryDaily[Online Store_net_sales],0)</f>
        <v>0</v>
      </c>
      <c r="M102" s="11">
        <f>_xlfn.XLOOKUP(TableDailySummary[[#This Row],[Fecha]],SummaryDaily[day],SummaryDaily[Online Store_orders],0)</f>
        <v>0</v>
      </c>
      <c r="N102" s="11">
        <f>_xlfn.XLOOKUP(TableDailySummary[[#This Row],[Fecha]],SummaryDaily[day],SummaryDaily[Online Store_average_order_value],0)</f>
        <v>0</v>
      </c>
      <c r="O102" s="11">
        <f>_xlfn.XLOOKUP(TableDailySummary[[#This Row],[Fecha]],SummaryDaily[day],SummaryDaily[Tienda 81_net_sales],0)</f>
        <v>0</v>
      </c>
      <c r="P102" s="11">
        <f>_xlfn.XLOOKUP(TableDailySummary[[#This Row],[Fecha]],SummaryDaily[day],SummaryDaily[Tienda 81_orders],0)</f>
        <v>0</v>
      </c>
      <c r="Q102" s="11">
        <f>_xlfn.XLOOKUP(TableDailySummary[[#This Row],[Fecha]],SummaryDaily[day],SummaryDaily[Tienda 81_average_order_value],0)</f>
        <v>0</v>
      </c>
      <c r="R102" s="11">
        <f>_xlfn.XLOOKUP(TableDailySummary[[#This Row],[Fecha]],SummaryDaily[day],SummaryDaily[Rappi_net_sales],0)</f>
        <v>0</v>
      </c>
      <c r="S102" s="11">
        <f>_xlfn.XLOOKUP(TableDailySummary[[#This Row],[Fecha]],SummaryDaily[day],SummaryDaily[Rappi_orders],0)</f>
        <v>0</v>
      </c>
      <c r="T102" s="11">
        <f>_xlfn.XLOOKUP(TableDailySummary[[#This Row],[Fecha]],SummaryDaily[day],SummaryDaily[Rappi_average_order_value],0)</f>
        <v>0</v>
      </c>
      <c r="U102" s="11">
        <f>_xlfn.XLOOKUP(TableDailySummary[[#This Row],[Fecha]],SummaryDaily[day],SummaryDaily[Corporativo no tienda_net_sales],0)</f>
        <v>0</v>
      </c>
      <c r="V102" s="11">
        <f>_xlfn.XLOOKUP(TableDailySummary[[#This Row],[Fecha]],SummaryDaily[day],SummaryDaily[Corporativo no tienda_orders],0)</f>
        <v>0</v>
      </c>
      <c r="W102" s="11">
        <f>_xlfn.XLOOKUP(TableDailySummary[[#This Row],[Fecha]],SummaryDaily[day],SummaryDaily[Corporativo no tienda_average_order_value],0)</f>
        <v>0</v>
      </c>
      <c r="X102" s="11">
        <f>_xlfn.XLOOKUP(TableDailySummary[[#This Row],[Fecha]],SummaryDaily[day],SummaryDaily[GoogleAdsOperation.Cost],0)</f>
        <v>0</v>
      </c>
      <c r="Y102" s="11">
        <f>SUMIFS(SalesByUTMDaily[google],SalesByUTMDaily[day],TableDailySummary[[#This Row],[Fecha]])</f>
        <v>0</v>
      </c>
      <c r="Z102" s="11">
        <f>_xlfn.XLOOKUP(TableDailySummary[[#This Row],[Fecha]],SummaryDaily[day],SummaryDaily[MetaAdsOperation.spend],0)</f>
        <v>0</v>
      </c>
      <c r="AA102" s="11">
        <f>SUMIFS(SalesByUTMDaily[facebook],SalesByUTMDaily[day],TableDailySummary[[#This Row],[Fecha]])</f>
        <v>0</v>
      </c>
      <c r="AB102" s="11">
        <f>TableDailySummary[[#This Row],[Inversión google ads]]+TableDailySummary[[#This Row],[Inversión meta ads]]</f>
        <v>0</v>
      </c>
      <c r="AC102" s="11">
        <f>TableDailySummary[[#This Row],[Ventas google ads]]+TableDailySummary[[#This Row],[Ventas meta ads]]</f>
        <v>0</v>
      </c>
      <c r="AD102" s="14">
        <f>IFERROR(TableDailySummary[[#This Row],[Ventas publicidad]]/TableDailySummary[[#This Row],[Inversión publicidad]],0)</f>
        <v>0</v>
      </c>
      <c r="AE102" s="14">
        <f>IFERROR(TableDailySummary[[#This Row],[Ventas primer cliente]]/TableDailySummary[[#This Row],[Inversión publicidad]],0)</f>
        <v>0</v>
      </c>
      <c r="AF102" s="14"/>
      <c r="AG102" s="11"/>
      <c r="AM102" s="11">
        <f>_xlfn.XLOOKUP(TableDailySummary[[#This Row],[Fecha]],SummaryDaily[day],SummaryDaily[net_sales_with_cost_recorded],0)</f>
        <v>0</v>
      </c>
      <c r="AN102" s="11">
        <f>_xlfn.XLOOKUP(TableDailySummary[[#This Row],[Fecha]],SummaryDaily[day],SummaryDaily[cost_of_goods_sold],0)</f>
        <v>0</v>
      </c>
      <c r="AO102" s="11">
        <f>_xlfn.XLOOKUP(TableDailySummary[[#This Row],[Fecha]],SummaryDaily[day],SummaryDaily[gross_profit],0)</f>
        <v>0</v>
      </c>
      <c r="AP102" s="18">
        <f>IFERROR(TableDailySummary[[#This Row],[Utilidad bruta]]/TableDailySummary[[#This Row],[Ventas netas con costo registrado]],0)</f>
        <v>0</v>
      </c>
    </row>
    <row r="103" spans="2:42" x14ac:dyDescent="0.2">
      <c r="B103" s="15" cm="1">
        <f t="array" ref="B103">ParamFechaInicioReporte + (ROW(TableDailySummary[#This Row]) - ROW(TableDailySummary[[#Headers],[Dia]]) - 1)</f>
        <v>44630</v>
      </c>
      <c r="C103" s="6">
        <f>TableDailySummary[[#This Row],[Dia]]</f>
        <v>44630</v>
      </c>
      <c r="D103" s="11">
        <f>_xlfn.XLOOKUP(TableDailySummary[[#This Row],[Fecha]],SummaryDaily[day],SummaryDaily[net_sales],0)</f>
        <v>0</v>
      </c>
      <c r="E103" s="11">
        <f>_xlfn.XLOOKUP(TableDailySummary[[#This Row],[Fecha]],SummaryDaily[day],SummaryDaily[orders],0)</f>
        <v>0</v>
      </c>
      <c r="F103" s="11">
        <f>_xlfn.XLOOKUP(TableDailySummary[[#This Row],[Fecha]],SummaryDaily[day],SummaryDaily[average_order_value],0)</f>
        <v>0</v>
      </c>
      <c r="G103" s="24" cm="1">
        <f t="array" ref="G103">_xlfn.XLOOKUP(TableDailySummary[[#This Row],[Fecha]]&amp;"Total site",ConversionRateByReferral[day]&amp;ConversionRateByReferral[referrer_source],ConversionRateByReferral[conversion_rate],0)</f>
        <v>0</v>
      </c>
      <c r="H103" s="11">
        <f>TableDailySummary[[#This Row],[Órden promedio totales]]*TableDailySummary[[#This Row],[CR totales]]</f>
        <v>0</v>
      </c>
      <c r="I103" s="11">
        <f>_xlfn.XLOOKUP(TableDailySummary[[#This Row],[Fecha]],SummaryDaily[day],SummaryDaily[new_net_sales],0)</f>
        <v>0</v>
      </c>
      <c r="J103" s="11">
        <f>_xlfn.XLOOKUP(TableDailySummary[[#This Row],[Fecha]],SummaryDaily[day],SummaryDaily[new_orders],0)</f>
        <v>0</v>
      </c>
      <c r="K103" s="11">
        <f>_xlfn.XLOOKUP(TableDailySummary[[#This Row],[Fecha]],SummaryDaily[day],SummaryDaily[new_average_order_value],0)</f>
        <v>0</v>
      </c>
      <c r="L103" s="11">
        <f>_xlfn.XLOOKUP(TableDailySummary[[#This Row],[Fecha]],SummaryDaily[day],SummaryDaily[Online Store_net_sales],0)</f>
        <v>0</v>
      </c>
      <c r="M103" s="11">
        <f>_xlfn.XLOOKUP(TableDailySummary[[#This Row],[Fecha]],SummaryDaily[day],SummaryDaily[Online Store_orders],0)</f>
        <v>0</v>
      </c>
      <c r="N103" s="11">
        <f>_xlfn.XLOOKUP(TableDailySummary[[#This Row],[Fecha]],SummaryDaily[day],SummaryDaily[Online Store_average_order_value],0)</f>
        <v>0</v>
      </c>
      <c r="O103" s="11">
        <f>_xlfn.XLOOKUP(TableDailySummary[[#This Row],[Fecha]],SummaryDaily[day],SummaryDaily[Tienda 81_net_sales],0)</f>
        <v>0</v>
      </c>
      <c r="P103" s="11">
        <f>_xlfn.XLOOKUP(TableDailySummary[[#This Row],[Fecha]],SummaryDaily[day],SummaryDaily[Tienda 81_orders],0)</f>
        <v>0</v>
      </c>
      <c r="Q103" s="11">
        <f>_xlfn.XLOOKUP(TableDailySummary[[#This Row],[Fecha]],SummaryDaily[day],SummaryDaily[Tienda 81_average_order_value],0)</f>
        <v>0</v>
      </c>
      <c r="R103" s="11">
        <f>_xlfn.XLOOKUP(TableDailySummary[[#This Row],[Fecha]],SummaryDaily[day],SummaryDaily[Rappi_net_sales],0)</f>
        <v>0</v>
      </c>
      <c r="S103" s="11">
        <f>_xlfn.XLOOKUP(TableDailySummary[[#This Row],[Fecha]],SummaryDaily[day],SummaryDaily[Rappi_orders],0)</f>
        <v>0</v>
      </c>
      <c r="T103" s="11">
        <f>_xlfn.XLOOKUP(TableDailySummary[[#This Row],[Fecha]],SummaryDaily[day],SummaryDaily[Rappi_average_order_value],0)</f>
        <v>0</v>
      </c>
      <c r="U103" s="11">
        <f>_xlfn.XLOOKUP(TableDailySummary[[#This Row],[Fecha]],SummaryDaily[day],SummaryDaily[Corporativo no tienda_net_sales],0)</f>
        <v>0</v>
      </c>
      <c r="V103" s="11">
        <f>_xlfn.XLOOKUP(TableDailySummary[[#This Row],[Fecha]],SummaryDaily[day],SummaryDaily[Corporativo no tienda_orders],0)</f>
        <v>0</v>
      </c>
      <c r="W103" s="11">
        <f>_xlfn.XLOOKUP(TableDailySummary[[#This Row],[Fecha]],SummaryDaily[day],SummaryDaily[Corporativo no tienda_average_order_value],0)</f>
        <v>0</v>
      </c>
      <c r="X103" s="11">
        <f>_xlfn.XLOOKUP(TableDailySummary[[#This Row],[Fecha]],SummaryDaily[day],SummaryDaily[GoogleAdsOperation.Cost],0)</f>
        <v>0</v>
      </c>
      <c r="Y103" s="11">
        <f>SUMIFS(SalesByUTMDaily[google],SalesByUTMDaily[day],TableDailySummary[[#This Row],[Fecha]])</f>
        <v>0</v>
      </c>
      <c r="Z103" s="11">
        <f>_xlfn.XLOOKUP(TableDailySummary[[#This Row],[Fecha]],SummaryDaily[day],SummaryDaily[MetaAdsOperation.spend],0)</f>
        <v>0</v>
      </c>
      <c r="AA103" s="11">
        <f>SUMIFS(SalesByUTMDaily[facebook],SalesByUTMDaily[day],TableDailySummary[[#This Row],[Fecha]])</f>
        <v>0</v>
      </c>
      <c r="AB103" s="11">
        <f>TableDailySummary[[#This Row],[Inversión google ads]]+TableDailySummary[[#This Row],[Inversión meta ads]]</f>
        <v>0</v>
      </c>
      <c r="AC103" s="11">
        <f>TableDailySummary[[#This Row],[Ventas google ads]]+TableDailySummary[[#This Row],[Ventas meta ads]]</f>
        <v>0</v>
      </c>
      <c r="AD103" s="14">
        <f>IFERROR(TableDailySummary[[#This Row],[Ventas publicidad]]/TableDailySummary[[#This Row],[Inversión publicidad]],0)</f>
        <v>0</v>
      </c>
      <c r="AE103" s="14">
        <f>IFERROR(TableDailySummary[[#This Row],[Ventas primer cliente]]/TableDailySummary[[#This Row],[Inversión publicidad]],0)</f>
        <v>0</v>
      </c>
      <c r="AF103" s="14"/>
      <c r="AG103" s="11"/>
      <c r="AM103" s="11">
        <f>_xlfn.XLOOKUP(TableDailySummary[[#This Row],[Fecha]],SummaryDaily[day],SummaryDaily[net_sales_with_cost_recorded],0)</f>
        <v>0</v>
      </c>
      <c r="AN103" s="11">
        <f>_xlfn.XLOOKUP(TableDailySummary[[#This Row],[Fecha]],SummaryDaily[day],SummaryDaily[cost_of_goods_sold],0)</f>
        <v>0</v>
      </c>
      <c r="AO103" s="11">
        <f>_xlfn.XLOOKUP(TableDailySummary[[#This Row],[Fecha]],SummaryDaily[day],SummaryDaily[gross_profit],0)</f>
        <v>0</v>
      </c>
      <c r="AP103" s="18">
        <f>IFERROR(TableDailySummary[[#This Row],[Utilidad bruta]]/TableDailySummary[[#This Row],[Ventas netas con costo registrado]],0)</f>
        <v>0</v>
      </c>
    </row>
    <row r="104" spans="2:42" x14ac:dyDescent="0.2">
      <c r="B104" s="15" cm="1">
        <f t="array" ref="B104">ParamFechaInicioReporte + (ROW(TableDailySummary[#This Row]) - ROW(TableDailySummary[[#Headers],[Dia]]) - 1)</f>
        <v>44631</v>
      </c>
      <c r="C104" s="6">
        <f>TableDailySummary[[#This Row],[Dia]]</f>
        <v>44631</v>
      </c>
      <c r="D104" s="11">
        <f>_xlfn.XLOOKUP(TableDailySummary[[#This Row],[Fecha]],SummaryDaily[day],SummaryDaily[net_sales],0)</f>
        <v>0</v>
      </c>
      <c r="E104" s="11">
        <f>_xlfn.XLOOKUP(TableDailySummary[[#This Row],[Fecha]],SummaryDaily[day],SummaryDaily[orders],0)</f>
        <v>0</v>
      </c>
      <c r="F104" s="11">
        <f>_xlfn.XLOOKUP(TableDailySummary[[#This Row],[Fecha]],SummaryDaily[day],SummaryDaily[average_order_value],0)</f>
        <v>0</v>
      </c>
      <c r="G104" s="24" cm="1">
        <f t="array" ref="G104">_xlfn.XLOOKUP(TableDailySummary[[#This Row],[Fecha]]&amp;"Total site",ConversionRateByReferral[day]&amp;ConversionRateByReferral[referrer_source],ConversionRateByReferral[conversion_rate],0)</f>
        <v>0</v>
      </c>
      <c r="H104" s="11">
        <f>TableDailySummary[[#This Row],[Órden promedio totales]]*TableDailySummary[[#This Row],[CR totales]]</f>
        <v>0</v>
      </c>
      <c r="I104" s="11">
        <f>_xlfn.XLOOKUP(TableDailySummary[[#This Row],[Fecha]],SummaryDaily[day],SummaryDaily[new_net_sales],0)</f>
        <v>0</v>
      </c>
      <c r="J104" s="11">
        <f>_xlfn.XLOOKUP(TableDailySummary[[#This Row],[Fecha]],SummaryDaily[day],SummaryDaily[new_orders],0)</f>
        <v>0</v>
      </c>
      <c r="K104" s="11">
        <f>_xlfn.XLOOKUP(TableDailySummary[[#This Row],[Fecha]],SummaryDaily[day],SummaryDaily[new_average_order_value],0)</f>
        <v>0</v>
      </c>
      <c r="L104" s="11">
        <f>_xlfn.XLOOKUP(TableDailySummary[[#This Row],[Fecha]],SummaryDaily[day],SummaryDaily[Online Store_net_sales],0)</f>
        <v>0</v>
      </c>
      <c r="M104" s="11">
        <f>_xlfn.XLOOKUP(TableDailySummary[[#This Row],[Fecha]],SummaryDaily[day],SummaryDaily[Online Store_orders],0)</f>
        <v>0</v>
      </c>
      <c r="N104" s="11">
        <f>_xlfn.XLOOKUP(TableDailySummary[[#This Row],[Fecha]],SummaryDaily[day],SummaryDaily[Online Store_average_order_value],0)</f>
        <v>0</v>
      </c>
      <c r="O104" s="11">
        <f>_xlfn.XLOOKUP(TableDailySummary[[#This Row],[Fecha]],SummaryDaily[day],SummaryDaily[Tienda 81_net_sales],0)</f>
        <v>0</v>
      </c>
      <c r="P104" s="11">
        <f>_xlfn.XLOOKUP(TableDailySummary[[#This Row],[Fecha]],SummaryDaily[day],SummaryDaily[Tienda 81_orders],0)</f>
        <v>0</v>
      </c>
      <c r="Q104" s="11">
        <f>_xlfn.XLOOKUP(TableDailySummary[[#This Row],[Fecha]],SummaryDaily[day],SummaryDaily[Tienda 81_average_order_value],0)</f>
        <v>0</v>
      </c>
      <c r="R104" s="11">
        <f>_xlfn.XLOOKUP(TableDailySummary[[#This Row],[Fecha]],SummaryDaily[day],SummaryDaily[Rappi_net_sales],0)</f>
        <v>0</v>
      </c>
      <c r="S104" s="11">
        <f>_xlfn.XLOOKUP(TableDailySummary[[#This Row],[Fecha]],SummaryDaily[day],SummaryDaily[Rappi_orders],0)</f>
        <v>0</v>
      </c>
      <c r="T104" s="11">
        <f>_xlfn.XLOOKUP(TableDailySummary[[#This Row],[Fecha]],SummaryDaily[day],SummaryDaily[Rappi_average_order_value],0)</f>
        <v>0</v>
      </c>
      <c r="U104" s="11">
        <f>_xlfn.XLOOKUP(TableDailySummary[[#This Row],[Fecha]],SummaryDaily[day],SummaryDaily[Corporativo no tienda_net_sales],0)</f>
        <v>0</v>
      </c>
      <c r="V104" s="11">
        <f>_xlfn.XLOOKUP(TableDailySummary[[#This Row],[Fecha]],SummaryDaily[day],SummaryDaily[Corporativo no tienda_orders],0)</f>
        <v>0</v>
      </c>
      <c r="W104" s="11">
        <f>_xlfn.XLOOKUP(TableDailySummary[[#This Row],[Fecha]],SummaryDaily[day],SummaryDaily[Corporativo no tienda_average_order_value],0)</f>
        <v>0</v>
      </c>
      <c r="X104" s="11">
        <f>_xlfn.XLOOKUP(TableDailySummary[[#This Row],[Fecha]],SummaryDaily[day],SummaryDaily[GoogleAdsOperation.Cost],0)</f>
        <v>0</v>
      </c>
      <c r="Y104" s="11">
        <f>SUMIFS(SalesByUTMDaily[google],SalesByUTMDaily[day],TableDailySummary[[#This Row],[Fecha]])</f>
        <v>0</v>
      </c>
      <c r="Z104" s="11">
        <f>_xlfn.XLOOKUP(TableDailySummary[[#This Row],[Fecha]],SummaryDaily[day],SummaryDaily[MetaAdsOperation.spend],0)</f>
        <v>0</v>
      </c>
      <c r="AA104" s="11">
        <f>SUMIFS(SalesByUTMDaily[facebook],SalesByUTMDaily[day],TableDailySummary[[#This Row],[Fecha]])</f>
        <v>0</v>
      </c>
      <c r="AB104" s="11">
        <f>TableDailySummary[[#This Row],[Inversión google ads]]+TableDailySummary[[#This Row],[Inversión meta ads]]</f>
        <v>0</v>
      </c>
      <c r="AC104" s="11">
        <f>TableDailySummary[[#This Row],[Ventas google ads]]+TableDailySummary[[#This Row],[Ventas meta ads]]</f>
        <v>0</v>
      </c>
      <c r="AD104" s="14">
        <f>IFERROR(TableDailySummary[[#This Row],[Ventas publicidad]]/TableDailySummary[[#This Row],[Inversión publicidad]],0)</f>
        <v>0</v>
      </c>
      <c r="AE104" s="14">
        <f>IFERROR(TableDailySummary[[#This Row],[Ventas primer cliente]]/TableDailySummary[[#This Row],[Inversión publicidad]],0)</f>
        <v>0</v>
      </c>
      <c r="AF104" s="14"/>
      <c r="AG104" s="11"/>
      <c r="AM104" s="11">
        <f>_xlfn.XLOOKUP(TableDailySummary[[#This Row],[Fecha]],SummaryDaily[day],SummaryDaily[net_sales_with_cost_recorded],0)</f>
        <v>0</v>
      </c>
      <c r="AN104" s="11">
        <f>_xlfn.XLOOKUP(TableDailySummary[[#This Row],[Fecha]],SummaryDaily[day],SummaryDaily[cost_of_goods_sold],0)</f>
        <v>0</v>
      </c>
      <c r="AO104" s="11">
        <f>_xlfn.XLOOKUP(TableDailySummary[[#This Row],[Fecha]],SummaryDaily[day],SummaryDaily[gross_profit],0)</f>
        <v>0</v>
      </c>
      <c r="AP104" s="18">
        <f>IFERROR(TableDailySummary[[#This Row],[Utilidad bruta]]/TableDailySummary[[#This Row],[Ventas netas con costo registrado]],0)</f>
        <v>0</v>
      </c>
    </row>
    <row r="105" spans="2:42" x14ac:dyDescent="0.2">
      <c r="B105" s="15" cm="1">
        <f t="array" ref="B105">ParamFechaInicioReporte + (ROW(TableDailySummary[#This Row]) - ROW(TableDailySummary[[#Headers],[Dia]]) - 1)</f>
        <v>44632</v>
      </c>
      <c r="C105" s="6">
        <f>TableDailySummary[[#This Row],[Dia]]</f>
        <v>44632</v>
      </c>
      <c r="D105" s="11">
        <f>_xlfn.XLOOKUP(TableDailySummary[[#This Row],[Fecha]],SummaryDaily[day],SummaryDaily[net_sales],0)</f>
        <v>0</v>
      </c>
      <c r="E105" s="11">
        <f>_xlfn.XLOOKUP(TableDailySummary[[#This Row],[Fecha]],SummaryDaily[day],SummaryDaily[orders],0)</f>
        <v>0</v>
      </c>
      <c r="F105" s="11">
        <f>_xlfn.XLOOKUP(TableDailySummary[[#This Row],[Fecha]],SummaryDaily[day],SummaryDaily[average_order_value],0)</f>
        <v>0</v>
      </c>
      <c r="G105" s="24" cm="1">
        <f t="array" ref="G105">_xlfn.XLOOKUP(TableDailySummary[[#This Row],[Fecha]]&amp;"Total site",ConversionRateByReferral[day]&amp;ConversionRateByReferral[referrer_source],ConversionRateByReferral[conversion_rate],0)</f>
        <v>0</v>
      </c>
      <c r="H105" s="11">
        <f>TableDailySummary[[#This Row],[Órden promedio totales]]*TableDailySummary[[#This Row],[CR totales]]</f>
        <v>0</v>
      </c>
      <c r="I105" s="11">
        <f>_xlfn.XLOOKUP(TableDailySummary[[#This Row],[Fecha]],SummaryDaily[day],SummaryDaily[new_net_sales],0)</f>
        <v>0</v>
      </c>
      <c r="J105" s="11">
        <f>_xlfn.XLOOKUP(TableDailySummary[[#This Row],[Fecha]],SummaryDaily[day],SummaryDaily[new_orders],0)</f>
        <v>0</v>
      </c>
      <c r="K105" s="11">
        <f>_xlfn.XLOOKUP(TableDailySummary[[#This Row],[Fecha]],SummaryDaily[day],SummaryDaily[new_average_order_value],0)</f>
        <v>0</v>
      </c>
      <c r="L105" s="11">
        <f>_xlfn.XLOOKUP(TableDailySummary[[#This Row],[Fecha]],SummaryDaily[day],SummaryDaily[Online Store_net_sales],0)</f>
        <v>0</v>
      </c>
      <c r="M105" s="11">
        <f>_xlfn.XLOOKUP(TableDailySummary[[#This Row],[Fecha]],SummaryDaily[day],SummaryDaily[Online Store_orders],0)</f>
        <v>0</v>
      </c>
      <c r="N105" s="11">
        <f>_xlfn.XLOOKUP(TableDailySummary[[#This Row],[Fecha]],SummaryDaily[day],SummaryDaily[Online Store_average_order_value],0)</f>
        <v>0</v>
      </c>
      <c r="O105" s="11">
        <f>_xlfn.XLOOKUP(TableDailySummary[[#This Row],[Fecha]],SummaryDaily[day],SummaryDaily[Tienda 81_net_sales],0)</f>
        <v>0</v>
      </c>
      <c r="P105" s="11">
        <f>_xlfn.XLOOKUP(TableDailySummary[[#This Row],[Fecha]],SummaryDaily[day],SummaryDaily[Tienda 81_orders],0)</f>
        <v>0</v>
      </c>
      <c r="Q105" s="11">
        <f>_xlfn.XLOOKUP(TableDailySummary[[#This Row],[Fecha]],SummaryDaily[day],SummaryDaily[Tienda 81_average_order_value],0)</f>
        <v>0</v>
      </c>
      <c r="R105" s="11">
        <f>_xlfn.XLOOKUP(TableDailySummary[[#This Row],[Fecha]],SummaryDaily[day],SummaryDaily[Rappi_net_sales],0)</f>
        <v>0</v>
      </c>
      <c r="S105" s="11">
        <f>_xlfn.XLOOKUP(TableDailySummary[[#This Row],[Fecha]],SummaryDaily[day],SummaryDaily[Rappi_orders],0)</f>
        <v>0</v>
      </c>
      <c r="T105" s="11">
        <f>_xlfn.XLOOKUP(TableDailySummary[[#This Row],[Fecha]],SummaryDaily[day],SummaryDaily[Rappi_average_order_value],0)</f>
        <v>0</v>
      </c>
      <c r="U105" s="11">
        <f>_xlfn.XLOOKUP(TableDailySummary[[#This Row],[Fecha]],SummaryDaily[day],SummaryDaily[Corporativo no tienda_net_sales],0)</f>
        <v>0</v>
      </c>
      <c r="V105" s="11">
        <f>_xlfn.XLOOKUP(TableDailySummary[[#This Row],[Fecha]],SummaryDaily[day],SummaryDaily[Corporativo no tienda_orders],0)</f>
        <v>0</v>
      </c>
      <c r="W105" s="11">
        <f>_xlfn.XLOOKUP(TableDailySummary[[#This Row],[Fecha]],SummaryDaily[day],SummaryDaily[Corporativo no tienda_average_order_value],0)</f>
        <v>0</v>
      </c>
      <c r="X105" s="11">
        <f>_xlfn.XLOOKUP(TableDailySummary[[#This Row],[Fecha]],SummaryDaily[day],SummaryDaily[GoogleAdsOperation.Cost],0)</f>
        <v>0</v>
      </c>
      <c r="Y105" s="11">
        <f>SUMIFS(SalesByUTMDaily[google],SalesByUTMDaily[day],TableDailySummary[[#This Row],[Fecha]])</f>
        <v>0</v>
      </c>
      <c r="Z105" s="11">
        <f>_xlfn.XLOOKUP(TableDailySummary[[#This Row],[Fecha]],SummaryDaily[day],SummaryDaily[MetaAdsOperation.spend],0)</f>
        <v>0</v>
      </c>
      <c r="AA105" s="11">
        <f>SUMIFS(SalesByUTMDaily[facebook],SalesByUTMDaily[day],TableDailySummary[[#This Row],[Fecha]])</f>
        <v>0</v>
      </c>
      <c r="AB105" s="11">
        <f>TableDailySummary[[#This Row],[Inversión google ads]]+TableDailySummary[[#This Row],[Inversión meta ads]]</f>
        <v>0</v>
      </c>
      <c r="AC105" s="11">
        <f>TableDailySummary[[#This Row],[Ventas google ads]]+TableDailySummary[[#This Row],[Ventas meta ads]]</f>
        <v>0</v>
      </c>
      <c r="AD105" s="14">
        <f>IFERROR(TableDailySummary[[#This Row],[Ventas publicidad]]/TableDailySummary[[#This Row],[Inversión publicidad]],0)</f>
        <v>0</v>
      </c>
      <c r="AE105" s="14">
        <f>IFERROR(TableDailySummary[[#This Row],[Ventas primer cliente]]/TableDailySummary[[#This Row],[Inversión publicidad]],0)</f>
        <v>0</v>
      </c>
      <c r="AF105" s="14"/>
      <c r="AG105" s="11"/>
      <c r="AM105" s="11">
        <f>_xlfn.XLOOKUP(TableDailySummary[[#This Row],[Fecha]],SummaryDaily[day],SummaryDaily[net_sales_with_cost_recorded],0)</f>
        <v>0</v>
      </c>
      <c r="AN105" s="11">
        <f>_xlfn.XLOOKUP(TableDailySummary[[#This Row],[Fecha]],SummaryDaily[day],SummaryDaily[cost_of_goods_sold],0)</f>
        <v>0</v>
      </c>
      <c r="AO105" s="11">
        <f>_xlfn.XLOOKUP(TableDailySummary[[#This Row],[Fecha]],SummaryDaily[day],SummaryDaily[gross_profit],0)</f>
        <v>0</v>
      </c>
      <c r="AP105" s="18">
        <f>IFERROR(TableDailySummary[[#This Row],[Utilidad bruta]]/TableDailySummary[[#This Row],[Ventas netas con costo registrado]],0)</f>
        <v>0</v>
      </c>
    </row>
    <row r="106" spans="2:42" x14ac:dyDescent="0.2">
      <c r="B106" s="15" cm="1">
        <f t="array" ref="B106">ParamFechaInicioReporte + (ROW(TableDailySummary[#This Row]) - ROW(TableDailySummary[[#Headers],[Dia]]) - 1)</f>
        <v>44633</v>
      </c>
      <c r="C106" s="6">
        <f>TableDailySummary[[#This Row],[Dia]]</f>
        <v>44633</v>
      </c>
      <c r="D106" s="11">
        <f>_xlfn.XLOOKUP(TableDailySummary[[#This Row],[Fecha]],SummaryDaily[day],SummaryDaily[net_sales],0)</f>
        <v>0</v>
      </c>
      <c r="E106" s="11">
        <f>_xlfn.XLOOKUP(TableDailySummary[[#This Row],[Fecha]],SummaryDaily[day],SummaryDaily[orders],0)</f>
        <v>0</v>
      </c>
      <c r="F106" s="11">
        <f>_xlfn.XLOOKUP(TableDailySummary[[#This Row],[Fecha]],SummaryDaily[day],SummaryDaily[average_order_value],0)</f>
        <v>0</v>
      </c>
      <c r="G106" s="24" cm="1">
        <f t="array" ref="G106">_xlfn.XLOOKUP(TableDailySummary[[#This Row],[Fecha]]&amp;"Total site",ConversionRateByReferral[day]&amp;ConversionRateByReferral[referrer_source],ConversionRateByReferral[conversion_rate],0)</f>
        <v>0</v>
      </c>
      <c r="H106" s="11">
        <f>TableDailySummary[[#This Row],[Órden promedio totales]]*TableDailySummary[[#This Row],[CR totales]]</f>
        <v>0</v>
      </c>
      <c r="I106" s="11">
        <f>_xlfn.XLOOKUP(TableDailySummary[[#This Row],[Fecha]],SummaryDaily[day],SummaryDaily[new_net_sales],0)</f>
        <v>0</v>
      </c>
      <c r="J106" s="11">
        <f>_xlfn.XLOOKUP(TableDailySummary[[#This Row],[Fecha]],SummaryDaily[day],SummaryDaily[new_orders],0)</f>
        <v>0</v>
      </c>
      <c r="K106" s="11">
        <f>_xlfn.XLOOKUP(TableDailySummary[[#This Row],[Fecha]],SummaryDaily[day],SummaryDaily[new_average_order_value],0)</f>
        <v>0</v>
      </c>
      <c r="L106" s="11">
        <f>_xlfn.XLOOKUP(TableDailySummary[[#This Row],[Fecha]],SummaryDaily[day],SummaryDaily[Online Store_net_sales],0)</f>
        <v>0</v>
      </c>
      <c r="M106" s="11">
        <f>_xlfn.XLOOKUP(TableDailySummary[[#This Row],[Fecha]],SummaryDaily[day],SummaryDaily[Online Store_orders],0)</f>
        <v>0</v>
      </c>
      <c r="N106" s="11">
        <f>_xlfn.XLOOKUP(TableDailySummary[[#This Row],[Fecha]],SummaryDaily[day],SummaryDaily[Online Store_average_order_value],0)</f>
        <v>0</v>
      </c>
      <c r="O106" s="11">
        <f>_xlfn.XLOOKUP(TableDailySummary[[#This Row],[Fecha]],SummaryDaily[day],SummaryDaily[Tienda 81_net_sales],0)</f>
        <v>0</v>
      </c>
      <c r="P106" s="11">
        <f>_xlfn.XLOOKUP(TableDailySummary[[#This Row],[Fecha]],SummaryDaily[day],SummaryDaily[Tienda 81_orders],0)</f>
        <v>0</v>
      </c>
      <c r="Q106" s="11">
        <f>_xlfn.XLOOKUP(TableDailySummary[[#This Row],[Fecha]],SummaryDaily[day],SummaryDaily[Tienda 81_average_order_value],0)</f>
        <v>0</v>
      </c>
      <c r="R106" s="11">
        <f>_xlfn.XLOOKUP(TableDailySummary[[#This Row],[Fecha]],SummaryDaily[day],SummaryDaily[Rappi_net_sales],0)</f>
        <v>0</v>
      </c>
      <c r="S106" s="11">
        <f>_xlfn.XLOOKUP(TableDailySummary[[#This Row],[Fecha]],SummaryDaily[day],SummaryDaily[Rappi_orders],0)</f>
        <v>0</v>
      </c>
      <c r="T106" s="11">
        <f>_xlfn.XLOOKUP(TableDailySummary[[#This Row],[Fecha]],SummaryDaily[day],SummaryDaily[Rappi_average_order_value],0)</f>
        <v>0</v>
      </c>
      <c r="U106" s="11">
        <f>_xlfn.XLOOKUP(TableDailySummary[[#This Row],[Fecha]],SummaryDaily[day],SummaryDaily[Corporativo no tienda_net_sales],0)</f>
        <v>0</v>
      </c>
      <c r="V106" s="11">
        <f>_xlfn.XLOOKUP(TableDailySummary[[#This Row],[Fecha]],SummaryDaily[day],SummaryDaily[Corporativo no tienda_orders],0)</f>
        <v>0</v>
      </c>
      <c r="W106" s="11">
        <f>_xlfn.XLOOKUP(TableDailySummary[[#This Row],[Fecha]],SummaryDaily[day],SummaryDaily[Corporativo no tienda_average_order_value],0)</f>
        <v>0</v>
      </c>
      <c r="X106" s="11">
        <f>_xlfn.XLOOKUP(TableDailySummary[[#This Row],[Fecha]],SummaryDaily[day],SummaryDaily[GoogleAdsOperation.Cost],0)</f>
        <v>0</v>
      </c>
      <c r="Y106" s="11">
        <f>SUMIFS(SalesByUTMDaily[google],SalesByUTMDaily[day],TableDailySummary[[#This Row],[Fecha]])</f>
        <v>0</v>
      </c>
      <c r="Z106" s="11">
        <f>_xlfn.XLOOKUP(TableDailySummary[[#This Row],[Fecha]],SummaryDaily[day],SummaryDaily[MetaAdsOperation.spend],0)</f>
        <v>0</v>
      </c>
      <c r="AA106" s="11">
        <f>SUMIFS(SalesByUTMDaily[facebook],SalesByUTMDaily[day],TableDailySummary[[#This Row],[Fecha]])</f>
        <v>0</v>
      </c>
      <c r="AB106" s="11">
        <f>TableDailySummary[[#This Row],[Inversión google ads]]+TableDailySummary[[#This Row],[Inversión meta ads]]</f>
        <v>0</v>
      </c>
      <c r="AC106" s="11">
        <f>TableDailySummary[[#This Row],[Ventas google ads]]+TableDailySummary[[#This Row],[Ventas meta ads]]</f>
        <v>0</v>
      </c>
      <c r="AD106" s="14">
        <f>IFERROR(TableDailySummary[[#This Row],[Ventas publicidad]]/TableDailySummary[[#This Row],[Inversión publicidad]],0)</f>
        <v>0</v>
      </c>
      <c r="AE106" s="14">
        <f>IFERROR(TableDailySummary[[#This Row],[Ventas primer cliente]]/TableDailySummary[[#This Row],[Inversión publicidad]],0)</f>
        <v>0</v>
      </c>
      <c r="AF106" s="14"/>
      <c r="AG106" s="11"/>
      <c r="AM106" s="11">
        <f>_xlfn.XLOOKUP(TableDailySummary[[#This Row],[Fecha]],SummaryDaily[day],SummaryDaily[net_sales_with_cost_recorded],0)</f>
        <v>0</v>
      </c>
      <c r="AN106" s="11">
        <f>_xlfn.XLOOKUP(TableDailySummary[[#This Row],[Fecha]],SummaryDaily[day],SummaryDaily[cost_of_goods_sold],0)</f>
        <v>0</v>
      </c>
      <c r="AO106" s="11">
        <f>_xlfn.XLOOKUP(TableDailySummary[[#This Row],[Fecha]],SummaryDaily[day],SummaryDaily[gross_profit],0)</f>
        <v>0</v>
      </c>
      <c r="AP106" s="18">
        <f>IFERROR(TableDailySummary[[#This Row],[Utilidad bruta]]/TableDailySummary[[#This Row],[Ventas netas con costo registrado]],0)</f>
        <v>0</v>
      </c>
    </row>
    <row r="107" spans="2:42" x14ac:dyDescent="0.2">
      <c r="B107" s="15" cm="1">
        <f t="array" ref="B107">ParamFechaInicioReporte + (ROW(TableDailySummary[#This Row]) - ROW(TableDailySummary[[#Headers],[Dia]]) - 1)</f>
        <v>44634</v>
      </c>
      <c r="C107" s="6">
        <f>TableDailySummary[[#This Row],[Dia]]</f>
        <v>44634</v>
      </c>
      <c r="D107" s="11">
        <f>_xlfn.XLOOKUP(TableDailySummary[[#This Row],[Fecha]],SummaryDaily[day],SummaryDaily[net_sales],0)</f>
        <v>0</v>
      </c>
      <c r="E107" s="11">
        <f>_xlfn.XLOOKUP(TableDailySummary[[#This Row],[Fecha]],SummaryDaily[day],SummaryDaily[orders],0)</f>
        <v>0</v>
      </c>
      <c r="F107" s="11">
        <f>_xlfn.XLOOKUP(TableDailySummary[[#This Row],[Fecha]],SummaryDaily[day],SummaryDaily[average_order_value],0)</f>
        <v>0</v>
      </c>
      <c r="G107" s="24" cm="1">
        <f t="array" ref="G107">_xlfn.XLOOKUP(TableDailySummary[[#This Row],[Fecha]]&amp;"Total site",ConversionRateByReferral[day]&amp;ConversionRateByReferral[referrer_source],ConversionRateByReferral[conversion_rate],0)</f>
        <v>0</v>
      </c>
      <c r="H107" s="11">
        <f>TableDailySummary[[#This Row],[Órden promedio totales]]*TableDailySummary[[#This Row],[CR totales]]</f>
        <v>0</v>
      </c>
      <c r="I107" s="11">
        <f>_xlfn.XLOOKUP(TableDailySummary[[#This Row],[Fecha]],SummaryDaily[day],SummaryDaily[new_net_sales],0)</f>
        <v>0</v>
      </c>
      <c r="J107" s="11">
        <f>_xlfn.XLOOKUP(TableDailySummary[[#This Row],[Fecha]],SummaryDaily[day],SummaryDaily[new_orders],0)</f>
        <v>0</v>
      </c>
      <c r="K107" s="11">
        <f>_xlfn.XLOOKUP(TableDailySummary[[#This Row],[Fecha]],SummaryDaily[day],SummaryDaily[new_average_order_value],0)</f>
        <v>0</v>
      </c>
      <c r="L107" s="11">
        <f>_xlfn.XLOOKUP(TableDailySummary[[#This Row],[Fecha]],SummaryDaily[day],SummaryDaily[Online Store_net_sales],0)</f>
        <v>0</v>
      </c>
      <c r="M107" s="11">
        <f>_xlfn.XLOOKUP(TableDailySummary[[#This Row],[Fecha]],SummaryDaily[day],SummaryDaily[Online Store_orders],0)</f>
        <v>0</v>
      </c>
      <c r="N107" s="11">
        <f>_xlfn.XLOOKUP(TableDailySummary[[#This Row],[Fecha]],SummaryDaily[day],SummaryDaily[Online Store_average_order_value],0)</f>
        <v>0</v>
      </c>
      <c r="O107" s="11">
        <f>_xlfn.XLOOKUP(TableDailySummary[[#This Row],[Fecha]],SummaryDaily[day],SummaryDaily[Tienda 81_net_sales],0)</f>
        <v>0</v>
      </c>
      <c r="P107" s="11">
        <f>_xlfn.XLOOKUP(TableDailySummary[[#This Row],[Fecha]],SummaryDaily[day],SummaryDaily[Tienda 81_orders],0)</f>
        <v>0</v>
      </c>
      <c r="Q107" s="11">
        <f>_xlfn.XLOOKUP(TableDailySummary[[#This Row],[Fecha]],SummaryDaily[day],SummaryDaily[Tienda 81_average_order_value],0)</f>
        <v>0</v>
      </c>
      <c r="R107" s="11">
        <f>_xlfn.XLOOKUP(TableDailySummary[[#This Row],[Fecha]],SummaryDaily[day],SummaryDaily[Rappi_net_sales],0)</f>
        <v>0</v>
      </c>
      <c r="S107" s="11">
        <f>_xlfn.XLOOKUP(TableDailySummary[[#This Row],[Fecha]],SummaryDaily[day],SummaryDaily[Rappi_orders],0)</f>
        <v>0</v>
      </c>
      <c r="T107" s="11">
        <f>_xlfn.XLOOKUP(TableDailySummary[[#This Row],[Fecha]],SummaryDaily[day],SummaryDaily[Rappi_average_order_value],0)</f>
        <v>0</v>
      </c>
      <c r="U107" s="11">
        <f>_xlfn.XLOOKUP(TableDailySummary[[#This Row],[Fecha]],SummaryDaily[day],SummaryDaily[Corporativo no tienda_net_sales],0)</f>
        <v>0</v>
      </c>
      <c r="V107" s="11">
        <f>_xlfn.XLOOKUP(TableDailySummary[[#This Row],[Fecha]],SummaryDaily[day],SummaryDaily[Corporativo no tienda_orders],0)</f>
        <v>0</v>
      </c>
      <c r="W107" s="11">
        <f>_xlfn.XLOOKUP(TableDailySummary[[#This Row],[Fecha]],SummaryDaily[day],SummaryDaily[Corporativo no tienda_average_order_value],0)</f>
        <v>0</v>
      </c>
      <c r="X107" s="11">
        <f>_xlfn.XLOOKUP(TableDailySummary[[#This Row],[Fecha]],SummaryDaily[day],SummaryDaily[GoogleAdsOperation.Cost],0)</f>
        <v>0</v>
      </c>
      <c r="Y107" s="11">
        <f>SUMIFS(SalesByUTMDaily[google],SalesByUTMDaily[day],TableDailySummary[[#This Row],[Fecha]])</f>
        <v>0</v>
      </c>
      <c r="Z107" s="11">
        <f>_xlfn.XLOOKUP(TableDailySummary[[#This Row],[Fecha]],SummaryDaily[day],SummaryDaily[MetaAdsOperation.spend],0)</f>
        <v>0</v>
      </c>
      <c r="AA107" s="11">
        <f>SUMIFS(SalesByUTMDaily[facebook],SalesByUTMDaily[day],TableDailySummary[[#This Row],[Fecha]])</f>
        <v>0</v>
      </c>
      <c r="AB107" s="11">
        <f>TableDailySummary[[#This Row],[Inversión google ads]]+TableDailySummary[[#This Row],[Inversión meta ads]]</f>
        <v>0</v>
      </c>
      <c r="AC107" s="11">
        <f>TableDailySummary[[#This Row],[Ventas google ads]]+TableDailySummary[[#This Row],[Ventas meta ads]]</f>
        <v>0</v>
      </c>
      <c r="AD107" s="14">
        <f>IFERROR(TableDailySummary[[#This Row],[Ventas publicidad]]/TableDailySummary[[#This Row],[Inversión publicidad]],0)</f>
        <v>0</v>
      </c>
      <c r="AE107" s="14">
        <f>IFERROR(TableDailySummary[[#This Row],[Ventas primer cliente]]/TableDailySummary[[#This Row],[Inversión publicidad]],0)</f>
        <v>0</v>
      </c>
      <c r="AF107" s="14"/>
      <c r="AG107" s="11"/>
      <c r="AM107" s="11">
        <f>_xlfn.XLOOKUP(TableDailySummary[[#This Row],[Fecha]],SummaryDaily[day],SummaryDaily[net_sales_with_cost_recorded],0)</f>
        <v>0</v>
      </c>
      <c r="AN107" s="11">
        <f>_xlfn.XLOOKUP(TableDailySummary[[#This Row],[Fecha]],SummaryDaily[day],SummaryDaily[cost_of_goods_sold],0)</f>
        <v>0</v>
      </c>
      <c r="AO107" s="11">
        <f>_xlfn.XLOOKUP(TableDailySummary[[#This Row],[Fecha]],SummaryDaily[day],SummaryDaily[gross_profit],0)</f>
        <v>0</v>
      </c>
      <c r="AP107" s="18">
        <f>IFERROR(TableDailySummary[[#This Row],[Utilidad bruta]]/TableDailySummary[[#This Row],[Ventas netas con costo registrado]],0)</f>
        <v>0</v>
      </c>
    </row>
    <row r="108" spans="2:42" x14ac:dyDescent="0.2">
      <c r="B108" s="15" cm="1">
        <f t="array" ref="B108">ParamFechaInicioReporte + (ROW(TableDailySummary[#This Row]) - ROW(TableDailySummary[[#Headers],[Dia]]) - 1)</f>
        <v>44635</v>
      </c>
      <c r="C108" s="6">
        <f>TableDailySummary[[#This Row],[Dia]]</f>
        <v>44635</v>
      </c>
      <c r="D108" s="11">
        <f>_xlfn.XLOOKUP(TableDailySummary[[#This Row],[Fecha]],SummaryDaily[day],SummaryDaily[net_sales],0)</f>
        <v>0</v>
      </c>
      <c r="E108" s="11">
        <f>_xlfn.XLOOKUP(TableDailySummary[[#This Row],[Fecha]],SummaryDaily[day],SummaryDaily[orders],0)</f>
        <v>0</v>
      </c>
      <c r="F108" s="11">
        <f>_xlfn.XLOOKUP(TableDailySummary[[#This Row],[Fecha]],SummaryDaily[day],SummaryDaily[average_order_value],0)</f>
        <v>0</v>
      </c>
      <c r="G108" s="24" cm="1">
        <f t="array" ref="G108">_xlfn.XLOOKUP(TableDailySummary[[#This Row],[Fecha]]&amp;"Total site",ConversionRateByReferral[day]&amp;ConversionRateByReferral[referrer_source],ConversionRateByReferral[conversion_rate],0)</f>
        <v>0</v>
      </c>
      <c r="H108" s="11">
        <f>TableDailySummary[[#This Row],[Órden promedio totales]]*TableDailySummary[[#This Row],[CR totales]]</f>
        <v>0</v>
      </c>
      <c r="I108" s="11">
        <f>_xlfn.XLOOKUP(TableDailySummary[[#This Row],[Fecha]],SummaryDaily[day],SummaryDaily[new_net_sales],0)</f>
        <v>0</v>
      </c>
      <c r="J108" s="11">
        <f>_xlfn.XLOOKUP(TableDailySummary[[#This Row],[Fecha]],SummaryDaily[day],SummaryDaily[new_orders],0)</f>
        <v>0</v>
      </c>
      <c r="K108" s="11">
        <f>_xlfn.XLOOKUP(TableDailySummary[[#This Row],[Fecha]],SummaryDaily[day],SummaryDaily[new_average_order_value],0)</f>
        <v>0</v>
      </c>
      <c r="L108" s="11">
        <f>_xlfn.XLOOKUP(TableDailySummary[[#This Row],[Fecha]],SummaryDaily[day],SummaryDaily[Online Store_net_sales],0)</f>
        <v>0</v>
      </c>
      <c r="M108" s="11">
        <f>_xlfn.XLOOKUP(TableDailySummary[[#This Row],[Fecha]],SummaryDaily[day],SummaryDaily[Online Store_orders],0)</f>
        <v>0</v>
      </c>
      <c r="N108" s="11">
        <f>_xlfn.XLOOKUP(TableDailySummary[[#This Row],[Fecha]],SummaryDaily[day],SummaryDaily[Online Store_average_order_value],0)</f>
        <v>0</v>
      </c>
      <c r="O108" s="11">
        <f>_xlfn.XLOOKUP(TableDailySummary[[#This Row],[Fecha]],SummaryDaily[day],SummaryDaily[Tienda 81_net_sales],0)</f>
        <v>0</v>
      </c>
      <c r="P108" s="11">
        <f>_xlfn.XLOOKUP(TableDailySummary[[#This Row],[Fecha]],SummaryDaily[day],SummaryDaily[Tienda 81_orders],0)</f>
        <v>0</v>
      </c>
      <c r="Q108" s="11">
        <f>_xlfn.XLOOKUP(TableDailySummary[[#This Row],[Fecha]],SummaryDaily[day],SummaryDaily[Tienda 81_average_order_value],0)</f>
        <v>0</v>
      </c>
      <c r="R108" s="11">
        <f>_xlfn.XLOOKUP(TableDailySummary[[#This Row],[Fecha]],SummaryDaily[day],SummaryDaily[Rappi_net_sales],0)</f>
        <v>0</v>
      </c>
      <c r="S108" s="11">
        <f>_xlfn.XLOOKUP(TableDailySummary[[#This Row],[Fecha]],SummaryDaily[day],SummaryDaily[Rappi_orders],0)</f>
        <v>0</v>
      </c>
      <c r="T108" s="11">
        <f>_xlfn.XLOOKUP(TableDailySummary[[#This Row],[Fecha]],SummaryDaily[day],SummaryDaily[Rappi_average_order_value],0)</f>
        <v>0</v>
      </c>
      <c r="U108" s="11">
        <f>_xlfn.XLOOKUP(TableDailySummary[[#This Row],[Fecha]],SummaryDaily[day],SummaryDaily[Corporativo no tienda_net_sales],0)</f>
        <v>0</v>
      </c>
      <c r="V108" s="11">
        <f>_xlfn.XLOOKUP(TableDailySummary[[#This Row],[Fecha]],SummaryDaily[day],SummaryDaily[Corporativo no tienda_orders],0)</f>
        <v>0</v>
      </c>
      <c r="W108" s="11">
        <f>_xlfn.XLOOKUP(TableDailySummary[[#This Row],[Fecha]],SummaryDaily[day],SummaryDaily[Corporativo no tienda_average_order_value],0)</f>
        <v>0</v>
      </c>
      <c r="X108" s="11">
        <f>_xlfn.XLOOKUP(TableDailySummary[[#This Row],[Fecha]],SummaryDaily[day],SummaryDaily[GoogleAdsOperation.Cost],0)</f>
        <v>0</v>
      </c>
      <c r="Y108" s="11">
        <f>SUMIFS(SalesByUTMDaily[google],SalesByUTMDaily[day],TableDailySummary[[#This Row],[Fecha]])</f>
        <v>0</v>
      </c>
      <c r="Z108" s="11">
        <f>_xlfn.XLOOKUP(TableDailySummary[[#This Row],[Fecha]],SummaryDaily[day],SummaryDaily[MetaAdsOperation.spend],0)</f>
        <v>0</v>
      </c>
      <c r="AA108" s="11">
        <f>SUMIFS(SalesByUTMDaily[facebook],SalesByUTMDaily[day],TableDailySummary[[#This Row],[Fecha]])</f>
        <v>0</v>
      </c>
      <c r="AB108" s="11">
        <f>TableDailySummary[[#This Row],[Inversión google ads]]+TableDailySummary[[#This Row],[Inversión meta ads]]</f>
        <v>0</v>
      </c>
      <c r="AC108" s="11">
        <f>TableDailySummary[[#This Row],[Ventas google ads]]+TableDailySummary[[#This Row],[Ventas meta ads]]</f>
        <v>0</v>
      </c>
      <c r="AD108" s="14">
        <f>IFERROR(TableDailySummary[[#This Row],[Ventas publicidad]]/TableDailySummary[[#This Row],[Inversión publicidad]],0)</f>
        <v>0</v>
      </c>
      <c r="AE108" s="14">
        <f>IFERROR(TableDailySummary[[#This Row],[Ventas primer cliente]]/TableDailySummary[[#This Row],[Inversión publicidad]],0)</f>
        <v>0</v>
      </c>
      <c r="AF108" s="14"/>
      <c r="AG108" s="11"/>
      <c r="AM108" s="11">
        <f>_xlfn.XLOOKUP(TableDailySummary[[#This Row],[Fecha]],SummaryDaily[day],SummaryDaily[net_sales_with_cost_recorded],0)</f>
        <v>0</v>
      </c>
      <c r="AN108" s="11">
        <f>_xlfn.XLOOKUP(TableDailySummary[[#This Row],[Fecha]],SummaryDaily[day],SummaryDaily[cost_of_goods_sold],0)</f>
        <v>0</v>
      </c>
      <c r="AO108" s="11">
        <f>_xlfn.XLOOKUP(TableDailySummary[[#This Row],[Fecha]],SummaryDaily[day],SummaryDaily[gross_profit],0)</f>
        <v>0</v>
      </c>
      <c r="AP108" s="18">
        <f>IFERROR(TableDailySummary[[#This Row],[Utilidad bruta]]/TableDailySummary[[#This Row],[Ventas netas con costo registrado]],0)</f>
        <v>0</v>
      </c>
    </row>
    <row r="109" spans="2:42" x14ac:dyDescent="0.2">
      <c r="B109" s="15" cm="1">
        <f t="array" ref="B109">ParamFechaInicioReporte + (ROW(TableDailySummary[#This Row]) - ROW(TableDailySummary[[#Headers],[Dia]]) - 1)</f>
        <v>44636</v>
      </c>
      <c r="C109" s="6">
        <f>TableDailySummary[[#This Row],[Dia]]</f>
        <v>44636</v>
      </c>
      <c r="D109" s="11">
        <f>_xlfn.XLOOKUP(TableDailySummary[[#This Row],[Fecha]],SummaryDaily[day],SummaryDaily[net_sales],0)</f>
        <v>0</v>
      </c>
      <c r="E109" s="11">
        <f>_xlfn.XLOOKUP(TableDailySummary[[#This Row],[Fecha]],SummaryDaily[day],SummaryDaily[orders],0)</f>
        <v>0</v>
      </c>
      <c r="F109" s="11">
        <f>_xlfn.XLOOKUP(TableDailySummary[[#This Row],[Fecha]],SummaryDaily[day],SummaryDaily[average_order_value],0)</f>
        <v>0</v>
      </c>
      <c r="G109" s="24" cm="1">
        <f t="array" ref="G109">_xlfn.XLOOKUP(TableDailySummary[[#This Row],[Fecha]]&amp;"Total site",ConversionRateByReferral[day]&amp;ConversionRateByReferral[referrer_source],ConversionRateByReferral[conversion_rate],0)</f>
        <v>0</v>
      </c>
      <c r="H109" s="11">
        <f>TableDailySummary[[#This Row],[Órden promedio totales]]*TableDailySummary[[#This Row],[CR totales]]</f>
        <v>0</v>
      </c>
      <c r="I109" s="11">
        <f>_xlfn.XLOOKUP(TableDailySummary[[#This Row],[Fecha]],SummaryDaily[day],SummaryDaily[new_net_sales],0)</f>
        <v>0</v>
      </c>
      <c r="J109" s="11">
        <f>_xlfn.XLOOKUP(TableDailySummary[[#This Row],[Fecha]],SummaryDaily[day],SummaryDaily[new_orders],0)</f>
        <v>0</v>
      </c>
      <c r="K109" s="11">
        <f>_xlfn.XLOOKUP(TableDailySummary[[#This Row],[Fecha]],SummaryDaily[day],SummaryDaily[new_average_order_value],0)</f>
        <v>0</v>
      </c>
      <c r="L109" s="11">
        <f>_xlfn.XLOOKUP(TableDailySummary[[#This Row],[Fecha]],SummaryDaily[day],SummaryDaily[Online Store_net_sales],0)</f>
        <v>0</v>
      </c>
      <c r="M109" s="11">
        <f>_xlfn.XLOOKUP(TableDailySummary[[#This Row],[Fecha]],SummaryDaily[day],SummaryDaily[Online Store_orders],0)</f>
        <v>0</v>
      </c>
      <c r="N109" s="11">
        <f>_xlfn.XLOOKUP(TableDailySummary[[#This Row],[Fecha]],SummaryDaily[day],SummaryDaily[Online Store_average_order_value],0)</f>
        <v>0</v>
      </c>
      <c r="O109" s="11">
        <f>_xlfn.XLOOKUP(TableDailySummary[[#This Row],[Fecha]],SummaryDaily[day],SummaryDaily[Tienda 81_net_sales],0)</f>
        <v>0</v>
      </c>
      <c r="P109" s="11">
        <f>_xlfn.XLOOKUP(TableDailySummary[[#This Row],[Fecha]],SummaryDaily[day],SummaryDaily[Tienda 81_orders],0)</f>
        <v>0</v>
      </c>
      <c r="Q109" s="11">
        <f>_xlfn.XLOOKUP(TableDailySummary[[#This Row],[Fecha]],SummaryDaily[day],SummaryDaily[Tienda 81_average_order_value],0)</f>
        <v>0</v>
      </c>
      <c r="R109" s="11">
        <f>_xlfn.XLOOKUP(TableDailySummary[[#This Row],[Fecha]],SummaryDaily[day],SummaryDaily[Rappi_net_sales],0)</f>
        <v>0</v>
      </c>
      <c r="S109" s="11">
        <f>_xlfn.XLOOKUP(TableDailySummary[[#This Row],[Fecha]],SummaryDaily[day],SummaryDaily[Rappi_orders],0)</f>
        <v>0</v>
      </c>
      <c r="T109" s="11">
        <f>_xlfn.XLOOKUP(TableDailySummary[[#This Row],[Fecha]],SummaryDaily[day],SummaryDaily[Rappi_average_order_value],0)</f>
        <v>0</v>
      </c>
      <c r="U109" s="11">
        <f>_xlfn.XLOOKUP(TableDailySummary[[#This Row],[Fecha]],SummaryDaily[day],SummaryDaily[Corporativo no tienda_net_sales],0)</f>
        <v>0</v>
      </c>
      <c r="V109" s="11">
        <f>_xlfn.XLOOKUP(TableDailySummary[[#This Row],[Fecha]],SummaryDaily[day],SummaryDaily[Corporativo no tienda_orders],0)</f>
        <v>0</v>
      </c>
      <c r="W109" s="11">
        <f>_xlfn.XLOOKUP(TableDailySummary[[#This Row],[Fecha]],SummaryDaily[day],SummaryDaily[Corporativo no tienda_average_order_value],0)</f>
        <v>0</v>
      </c>
      <c r="X109" s="11">
        <f>_xlfn.XLOOKUP(TableDailySummary[[#This Row],[Fecha]],SummaryDaily[day],SummaryDaily[GoogleAdsOperation.Cost],0)</f>
        <v>0</v>
      </c>
      <c r="Y109" s="11">
        <f>SUMIFS(SalesByUTMDaily[google],SalesByUTMDaily[day],TableDailySummary[[#This Row],[Fecha]])</f>
        <v>0</v>
      </c>
      <c r="Z109" s="11">
        <f>_xlfn.XLOOKUP(TableDailySummary[[#This Row],[Fecha]],SummaryDaily[day],SummaryDaily[MetaAdsOperation.spend],0)</f>
        <v>0</v>
      </c>
      <c r="AA109" s="11">
        <f>SUMIFS(SalesByUTMDaily[facebook],SalesByUTMDaily[day],TableDailySummary[[#This Row],[Fecha]])</f>
        <v>0</v>
      </c>
      <c r="AB109" s="11">
        <f>TableDailySummary[[#This Row],[Inversión google ads]]+TableDailySummary[[#This Row],[Inversión meta ads]]</f>
        <v>0</v>
      </c>
      <c r="AC109" s="11">
        <f>TableDailySummary[[#This Row],[Ventas google ads]]+TableDailySummary[[#This Row],[Ventas meta ads]]</f>
        <v>0</v>
      </c>
      <c r="AD109" s="14">
        <f>IFERROR(TableDailySummary[[#This Row],[Ventas publicidad]]/TableDailySummary[[#This Row],[Inversión publicidad]],0)</f>
        <v>0</v>
      </c>
      <c r="AE109" s="14">
        <f>IFERROR(TableDailySummary[[#This Row],[Ventas primer cliente]]/TableDailySummary[[#This Row],[Inversión publicidad]],0)</f>
        <v>0</v>
      </c>
      <c r="AF109" s="14"/>
      <c r="AG109" s="11"/>
      <c r="AM109" s="11">
        <f>_xlfn.XLOOKUP(TableDailySummary[[#This Row],[Fecha]],SummaryDaily[day],SummaryDaily[net_sales_with_cost_recorded],0)</f>
        <v>0</v>
      </c>
      <c r="AN109" s="11">
        <f>_xlfn.XLOOKUP(TableDailySummary[[#This Row],[Fecha]],SummaryDaily[day],SummaryDaily[cost_of_goods_sold],0)</f>
        <v>0</v>
      </c>
      <c r="AO109" s="11">
        <f>_xlfn.XLOOKUP(TableDailySummary[[#This Row],[Fecha]],SummaryDaily[day],SummaryDaily[gross_profit],0)</f>
        <v>0</v>
      </c>
      <c r="AP109" s="18">
        <f>IFERROR(TableDailySummary[[#This Row],[Utilidad bruta]]/TableDailySummary[[#This Row],[Ventas netas con costo registrado]],0)</f>
        <v>0</v>
      </c>
    </row>
    <row r="110" spans="2:42" x14ac:dyDescent="0.2">
      <c r="B110" s="15" cm="1">
        <f t="array" ref="B110">ParamFechaInicioReporte + (ROW(TableDailySummary[#This Row]) - ROW(TableDailySummary[[#Headers],[Dia]]) - 1)</f>
        <v>44637</v>
      </c>
      <c r="C110" s="6">
        <f>TableDailySummary[[#This Row],[Dia]]</f>
        <v>44637</v>
      </c>
      <c r="D110" s="11">
        <f>_xlfn.XLOOKUP(TableDailySummary[[#This Row],[Fecha]],SummaryDaily[day],SummaryDaily[net_sales],0)</f>
        <v>0</v>
      </c>
      <c r="E110" s="11">
        <f>_xlfn.XLOOKUP(TableDailySummary[[#This Row],[Fecha]],SummaryDaily[day],SummaryDaily[orders],0)</f>
        <v>0</v>
      </c>
      <c r="F110" s="11">
        <f>_xlfn.XLOOKUP(TableDailySummary[[#This Row],[Fecha]],SummaryDaily[day],SummaryDaily[average_order_value],0)</f>
        <v>0</v>
      </c>
      <c r="G110" s="24" cm="1">
        <f t="array" ref="G110">_xlfn.XLOOKUP(TableDailySummary[[#This Row],[Fecha]]&amp;"Total site",ConversionRateByReferral[day]&amp;ConversionRateByReferral[referrer_source],ConversionRateByReferral[conversion_rate],0)</f>
        <v>0</v>
      </c>
      <c r="H110" s="11">
        <f>TableDailySummary[[#This Row],[Órden promedio totales]]*TableDailySummary[[#This Row],[CR totales]]</f>
        <v>0</v>
      </c>
      <c r="I110" s="11">
        <f>_xlfn.XLOOKUP(TableDailySummary[[#This Row],[Fecha]],SummaryDaily[day],SummaryDaily[new_net_sales],0)</f>
        <v>0</v>
      </c>
      <c r="J110" s="11">
        <f>_xlfn.XLOOKUP(TableDailySummary[[#This Row],[Fecha]],SummaryDaily[day],SummaryDaily[new_orders],0)</f>
        <v>0</v>
      </c>
      <c r="K110" s="11">
        <f>_xlfn.XLOOKUP(TableDailySummary[[#This Row],[Fecha]],SummaryDaily[day],SummaryDaily[new_average_order_value],0)</f>
        <v>0</v>
      </c>
      <c r="L110" s="11">
        <f>_xlfn.XLOOKUP(TableDailySummary[[#This Row],[Fecha]],SummaryDaily[day],SummaryDaily[Online Store_net_sales],0)</f>
        <v>0</v>
      </c>
      <c r="M110" s="11">
        <f>_xlfn.XLOOKUP(TableDailySummary[[#This Row],[Fecha]],SummaryDaily[day],SummaryDaily[Online Store_orders],0)</f>
        <v>0</v>
      </c>
      <c r="N110" s="11">
        <f>_xlfn.XLOOKUP(TableDailySummary[[#This Row],[Fecha]],SummaryDaily[day],SummaryDaily[Online Store_average_order_value],0)</f>
        <v>0</v>
      </c>
      <c r="O110" s="11">
        <f>_xlfn.XLOOKUP(TableDailySummary[[#This Row],[Fecha]],SummaryDaily[day],SummaryDaily[Tienda 81_net_sales],0)</f>
        <v>0</v>
      </c>
      <c r="P110" s="11">
        <f>_xlfn.XLOOKUP(TableDailySummary[[#This Row],[Fecha]],SummaryDaily[day],SummaryDaily[Tienda 81_orders],0)</f>
        <v>0</v>
      </c>
      <c r="Q110" s="11">
        <f>_xlfn.XLOOKUP(TableDailySummary[[#This Row],[Fecha]],SummaryDaily[day],SummaryDaily[Tienda 81_average_order_value],0)</f>
        <v>0</v>
      </c>
      <c r="R110" s="11">
        <f>_xlfn.XLOOKUP(TableDailySummary[[#This Row],[Fecha]],SummaryDaily[day],SummaryDaily[Rappi_net_sales],0)</f>
        <v>0</v>
      </c>
      <c r="S110" s="11">
        <f>_xlfn.XLOOKUP(TableDailySummary[[#This Row],[Fecha]],SummaryDaily[day],SummaryDaily[Rappi_orders],0)</f>
        <v>0</v>
      </c>
      <c r="T110" s="11">
        <f>_xlfn.XLOOKUP(TableDailySummary[[#This Row],[Fecha]],SummaryDaily[day],SummaryDaily[Rappi_average_order_value],0)</f>
        <v>0</v>
      </c>
      <c r="U110" s="11">
        <f>_xlfn.XLOOKUP(TableDailySummary[[#This Row],[Fecha]],SummaryDaily[day],SummaryDaily[Corporativo no tienda_net_sales],0)</f>
        <v>0</v>
      </c>
      <c r="V110" s="11">
        <f>_xlfn.XLOOKUP(TableDailySummary[[#This Row],[Fecha]],SummaryDaily[day],SummaryDaily[Corporativo no tienda_orders],0)</f>
        <v>0</v>
      </c>
      <c r="W110" s="11">
        <f>_xlfn.XLOOKUP(TableDailySummary[[#This Row],[Fecha]],SummaryDaily[day],SummaryDaily[Corporativo no tienda_average_order_value],0)</f>
        <v>0</v>
      </c>
      <c r="X110" s="11">
        <f>_xlfn.XLOOKUP(TableDailySummary[[#This Row],[Fecha]],SummaryDaily[day],SummaryDaily[GoogleAdsOperation.Cost],0)</f>
        <v>0</v>
      </c>
      <c r="Y110" s="11">
        <f>SUMIFS(SalesByUTMDaily[google],SalesByUTMDaily[day],TableDailySummary[[#This Row],[Fecha]])</f>
        <v>0</v>
      </c>
      <c r="Z110" s="11">
        <f>_xlfn.XLOOKUP(TableDailySummary[[#This Row],[Fecha]],SummaryDaily[day],SummaryDaily[MetaAdsOperation.spend],0)</f>
        <v>0</v>
      </c>
      <c r="AA110" s="11">
        <f>SUMIFS(SalesByUTMDaily[facebook],SalesByUTMDaily[day],TableDailySummary[[#This Row],[Fecha]])</f>
        <v>0</v>
      </c>
      <c r="AB110" s="11">
        <f>TableDailySummary[[#This Row],[Inversión google ads]]+TableDailySummary[[#This Row],[Inversión meta ads]]</f>
        <v>0</v>
      </c>
      <c r="AC110" s="11">
        <f>TableDailySummary[[#This Row],[Ventas google ads]]+TableDailySummary[[#This Row],[Ventas meta ads]]</f>
        <v>0</v>
      </c>
      <c r="AD110" s="14">
        <f>IFERROR(TableDailySummary[[#This Row],[Ventas publicidad]]/TableDailySummary[[#This Row],[Inversión publicidad]],0)</f>
        <v>0</v>
      </c>
      <c r="AE110" s="14">
        <f>IFERROR(TableDailySummary[[#This Row],[Ventas primer cliente]]/TableDailySummary[[#This Row],[Inversión publicidad]],0)</f>
        <v>0</v>
      </c>
      <c r="AF110" s="14"/>
      <c r="AG110" s="11"/>
      <c r="AM110" s="11">
        <f>_xlfn.XLOOKUP(TableDailySummary[[#This Row],[Fecha]],SummaryDaily[day],SummaryDaily[net_sales_with_cost_recorded],0)</f>
        <v>0</v>
      </c>
      <c r="AN110" s="11">
        <f>_xlfn.XLOOKUP(TableDailySummary[[#This Row],[Fecha]],SummaryDaily[day],SummaryDaily[cost_of_goods_sold],0)</f>
        <v>0</v>
      </c>
      <c r="AO110" s="11">
        <f>_xlfn.XLOOKUP(TableDailySummary[[#This Row],[Fecha]],SummaryDaily[day],SummaryDaily[gross_profit],0)</f>
        <v>0</v>
      </c>
      <c r="AP110" s="18">
        <f>IFERROR(TableDailySummary[[#This Row],[Utilidad bruta]]/TableDailySummary[[#This Row],[Ventas netas con costo registrado]],0)</f>
        <v>0</v>
      </c>
    </row>
    <row r="111" spans="2:42" x14ac:dyDescent="0.2">
      <c r="B111" s="15" cm="1">
        <f t="array" ref="B111">ParamFechaInicioReporte + (ROW(TableDailySummary[#This Row]) - ROW(TableDailySummary[[#Headers],[Dia]]) - 1)</f>
        <v>44638</v>
      </c>
      <c r="C111" s="6">
        <f>TableDailySummary[[#This Row],[Dia]]</f>
        <v>44638</v>
      </c>
      <c r="D111" s="11">
        <f>_xlfn.XLOOKUP(TableDailySummary[[#This Row],[Fecha]],SummaryDaily[day],SummaryDaily[net_sales],0)</f>
        <v>0</v>
      </c>
      <c r="E111" s="11">
        <f>_xlfn.XLOOKUP(TableDailySummary[[#This Row],[Fecha]],SummaryDaily[day],SummaryDaily[orders],0)</f>
        <v>0</v>
      </c>
      <c r="F111" s="11">
        <f>_xlfn.XLOOKUP(TableDailySummary[[#This Row],[Fecha]],SummaryDaily[day],SummaryDaily[average_order_value],0)</f>
        <v>0</v>
      </c>
      <c r="G111" s="24" cm="1">
        <f t="array" ref="G111">_xlfn.XLOOKUP(TableDailySummary[[#This Row],[Fecha]]&amp;"Total site",ConversionRateByReferral[day]&amp;ConversionRateByReferral[referrer_source],ConversionRateByReferral[conversion_rate],0)</f>
        <v>0</v>
      </c>
      <c r="H111" s="11">
        <f>TableDailySummary[[#This Row],[Órden promedio totales]]*TableDailySummary[[#This Row],[CR totales]]</f>
        <v>0</v>
      </c>
      <c r="I111" s="11">
        <f>_xlfn.XLOOKUP(TableDailySummary[[#This Row],[Fecha]],SummaryDaily[day],SummaryDaily[new_net_sales],0)</f>
        <v>0</v>
      </c>
      <c r="J111" s="11">
        <f>_xlfn.XLOOKUP(TableDailySummary[[#This Row],[Fecha]],SummaryDaily[day],SummaryDaily[new_orders],0)</f>
        <v>0</v>
      </c>
      <c r="K111" s="11">
        <f>_xlfn.XLOOKUP(TableDailySummary[[#This Row],[Fecha]],SummaryDaily[day],SummaryDaily[new_average_order_value],0)</f>
        <v>0</v>
      </c>
      <c r="L111" s="11">
        <f>_xlfn.XLOOKUP(TableDailySummary[[#This Row],[Fecha]],SummaryDaily[day],SummaryDaily[Online Store_net_sales],0)</f>
        <v>0</v>
      </c>
      <c r="M111" s="11">
        <f>_xlfn.XLOOKUP(TableDailySummary[[#This Row],[Fecha]],SummaryDaily[day],SummaryDaily[Online Store_orders],0)</f>
        <v>0</v>
      </c>
      <c r="N111" s="11">
        <f>_xlfn.XLOOKUP(TableDailySummary[[#This Row],[Fecha]],SummaryDaily[day],SummaryDaily[Online Store_average_order_value],0)</f>
        <v>0</v>
      </c>
      <c r="O111" s="11">
        <f>_xlfn.XLOOKUP(TableDailySummary[[#This Row],[Fecha]],SummaryDaily[day],SummaryDaily[Tienda 81_net_sales],0)</f>
        <v>0</v>
      </c>
      <c r="P111" s="11">
        <f>_xlfn.XLOOKUP(TableDailySummary[[#This Row],[Fecha]],SummaryDaily[day],SummaryDaily[Tienda 81_orders],0)</f>
        <v>0</v>
      </c>
      <c r="Q111" s="11">
        <f>_xlfn.XLOOKUP(TableDailySummary[[#This Row],[Fecha]],SummaryDaily[day],SummaryDaily[Tienda 81_average_order_value],0)</f>
        <v>0</v>
      </c>
      <c r="R111" s="11">
        <f>_xlfn.XLOOKUP(TableDailySummary[[#This Row],[Fecha]],SummaryDaily[day],SummaryDaily[Rappi_net_sales],0)</f>
        <v>0</v>
      </c>
      <c r="S111" s="11">
        <f>_xlfn.XLOOKUP(TableDailySummary[[#This Row],[Fecha]],SummaryDaily[day],SummaryDaily[Rappi_orders],0)</f>
        <v>0</v>
      </c>
      <c r="T111" s="11">
        <f>_xlfn.XLOOKUP(TableDailySummary[[#This Row],[Fecha]],SummaryDaily[day],SummaryDaily[Rappi_average_order_value],0)</f>
        <v>0</v>
      </c>
      <c r="U111" s="11">
        <f>_xlfn.XLOOKUP(TableDailySummary[[#This Row],[Fecha]],SummaryDaily[day],SummaryDaily[Corporativo no tienda_net_sales],0)</f>
        <v>0</v>
      </c>
      <c r="V111" s="11">
        <f>_xlfn.XLOOKUP(TableDailySummary[[#This Row],[Fecha]],SummaryDaily[day],SummaryDaily[Corporativo no tienda_orders],0)</f>
        <v>0</v>
      </c>
      <c r="W111" s="11">
        <f>_xlfn.XLOOKUP(TableDailySummary[[#This Row],[Fecha]],SummaryDaily[day],SummaryDaily[Corporativo no tienda_average_order_value],0)</f>
        <v>0</v>
      </c>
      <c r="X111" s="11">
        <f>_xlfn.XLOOKUP(TableDailySummary[[#This Row],[Fecha]],SummaryDaily[day],SummaryDaily[GoogleAdsOperation.Cost],0)</f>
        <v>0</v>
      </c>
      <c r="Y111" s="11">
        <f>SUMIFS(SalesByUTMDaily[google],SalesByUTMDaily[day],TableDailySummary[[#This Row],[Fecha]])</f>
        <v>0</v>
      </c>
      <c r="Z111" s="11">
        <f>_xlfn.XLOOKUP(TableDailySummary[[#This Row],[Fecha]],SummaryDaily[day],SummaryDaily[MetaAdsOperation.spend],0)</f>
        <v>0</v>
      </c>
      <c r="AA111" s="11">
        <f>SUMIFS(SalesByUTMDaily[facebook],SalesByUTMDaily[day],TableDailySummary[[#This Row],[Fecha]])</f>
        <v>0</v>
      </c>
      <c r="AB111" s="11">
        <f>TableDailySummary[[#This Row],[Inversión google ads]]+TableDailySummary[[#This Row],[Inversión meta ads]]</f>
        <v>0</v>
      </c>
      <c r="AC111" s="11">
        <f>TableDailySummary[[#This Row],[Ventas google ads]]+TableDailySummary[[#This Row],[Ventas meta ads]]</f>
        <v>0</v>
      </c>
      <c r="AD111" s="14">
        <f>IFERROR(TableDailySummary[[#This Row],[Ventas publicidad]]/TableDailySummary[[#This Row],[Inversión publicidad]],0)</f>
        <v>0</v>
      </c>
      <c r="AE111" s="14">
        <f>IFERROR(TableDailySummary[[#This Row],[Ventas primer cliente]]/TableDailySummary[[#This Row],[Inversión publicidad]],0)</f>
        <v>0</v>
      </c>
      <c r="AF111" s="14"/>
      <c r="AG111" s="11"/>
      <c r="AM111" s="11">
        <f>_xlfn.XLOOKUP(TableDailySummary[[#This Row],[Fecha]],SummaryDaily[day],SummaryDaily[net_sales_with_cost_recorded],0)</f>
        <v>0</v>
      </c>
      <c r="AN111" s="11">
        <f>_xlfn.XLOOKUP(TableDailySummary[[#This Row],[Fecha]],SummaryDaily[day],SummaryDaily[cost_of_goods_sold],0)</f>
        <v>0</v>
      </c>
      <c r="AO111" s="11">
        <f>_xlfn.XLOOKUP(TableDailySummary[[#This Row],[Fecha]],SummaryDaily[day],SummaryDaily[gross_profit],0)</f>
        <v>0</v>
      </c>
      <c r="AP111" s="18">
        <f>IFERROR(TableDailySummary[[#This Row],[Utilidad bruta]]/TableDailySummary[[#This Row],[Ventas netas con costo registrado]],0)</f>
        <v>0</v>
      </c>
    </row>
    <row r="112" spans="2:42" x14ac:dyDescent="0.2">
      <c r="B112" s="15" cm="1">
        <f t="array" ref="B112">ParamFechaInicioReporte + (ROW(TableDailySummary[#This Row]) - ROW(TableDailySummary[[#Headers],[Dia]]) - 1)</f>
        <v>44639</v>
      </c>
      <c r="C112" s="6">
        <f>TableDailySummary[[#This Row],[Dia]]</f>
        <v>44639</v>
      </c>
      <c r="D112" s="11">
        <f>_xlfn.XLOOKUP(TableDailySummary[[#This Row],[Fecha]],SummaryDaily[day],SummaryDaily[net_sales],0)</f>
        <v>0</v>
      </c>
      <c r="E112" s="11">
        <f>_xlfn.XLOOKUP(TableDailySummary[[#This Row],[Fecha]],SummaryDaily[day],SummaryDaily[orders],0)</f>
        <v>0</v>
      </c>
      <c r="F112" s="11">
        <f>_xlfn.XLOOKUP(TableDailySummary[[#This Row],[Fecha]],SummaryDaily[day],SummaryDaily[average_order_value],0)</f>
        <v>0</v>
      </c>
      <c r="G112" s="24" cm="1">
        <f t="array" ref="G112">_xlfn.XLOOKUP(TableDailySummary[[#This Row],[Fecha]]&amp;"Total site",ConversionRateByReferral[day]&amp;ConversionRateByReferral[referrer_source],ConversionRateByReferral[conversion_rate],0)</f>
        <v>0</v>
      </c>
      <c r="H112" s="11">
        <f>TableDailySummary[[#This Row],[Órden promedio totales]]*TableDailySummary[[#This Row],[CR totales]]</f>
        <v>0</v>
      </c>
      <c r="I112" s="11">
        <f>_xlfn.XLOOKUP(TableDailySummary[[#This Row],[Fecha]],SummaryDaily[day],SummaryDaily[new_net_sales],0)</f>
        <v>0</v>
      </c>
      <c r="J112" s="11">
        <f>_xlfn.XLOOKUP(TableDailySummary[[#This Row],[Fecha]],SummaryDaily[day],SummaryDaily[new_orders],0)</f>
        <v>0</v>
      </c>
      <c r="K112" s="11">
        <f>_xlfn.XLOOKUP(TableDailySummary[[#This Row],[Fecha]],SummaryDaily[day],SummaryDaily[new_average_order_value],0)</f>
        <v>0</v>
      </c>
      <c r="L112" s="11">
        <f>_xlfn.XLOOKUP(TableDailySummary[[#This Row],[Fecha]],SummaryDaily[day],SummaryDaily[Online Store_net_sales],0)</f>
        <v>0</v>
      </c>
      <c r="M112" s="11">
        <f>_xlfn.XLOOKUP(TableDailySummary[[#This Row],[Fecha]],SummaryDaily[day],SummaryDaily[Online Store_orders],0)</f>
        <v>0</v>
      </c>
      <c r="N112" s="11">
        <f>_xlfn.XLOOKUP(TableDailySummary[[#This Row],[Fecha]],SummaryDaily[day],SummaryDaily[Online Store_average_order_value],0)</f>
        <v>0</v>
      </c>
      <c r="O112" s="11">
        <f>_xlfn.XLOOKUP(TableDailySummary[[#This Row],[Fecha]],SummaryDaily[day],SummaryDaily[Tienda 81_net_sales],0)</f>
        <v>0</v>
      </c>
      <c r="P112" s="11">
        <f>_xlfn.XLOOKUP(TableDailySummary[[#This Row],[Fecha]],SummaryDaily[day],SummaryDaily[Tienda 81_orders],0)</f>
        <v>0</v>
      </c>
      <c r="Q112" s="11">
        <f>_xlfn.XLOOKUP(TableDailySummary[[#This Row],[Fecha]],SummaryDaily[day],SummaryDaily[Tienda 81_average_order_value],0)</f>
        <v>0</v>
      </c>
      <c r="R112" s="11">
        <f>_xlfn.XLOOKUP(TableDailySummary[[#This Row],[Fecha]],SummaryDaily[day],SummaryDaily[Rappi_net_sales],0)</f>
        <v>0</v>
      </c>
      <c r="S112" s="11">
        <f>_xlfn.XLOOKUP(TableDailySummary[[#This Row],[Fecha]],SummaryDaily[day],SummaryDaily[Rappi_orders],0)</f>
        <v>0</v>
      </c>
      <c r="T112" s="11">
        <f>_xlfn.XLOOKUP(TableDailySummary[[#This Row],[Fecha]],SummaryDaily[day],SummaryDaily[Rappi_average_order_value],0)</f>
        <v>0</v>
      </c>
      <c r="U112" s="11">
        <f>_xlfn.XLOOKUP(TableDailySummary[[#This Row],[Fecha]],SummaryDaily[day],SummaryDaily[Corporativo no tienda_net_sales],0)</f>
        <v>0</v>
      </c>
      <c r="V112" s="11">
        <f>_xlfn.XLOOKUP(TableDailySummary[[#This Row],[Fecha]],SummaryDaily[day],SummaryDaily[Corporativo no tienda_orders],0)</f>
        <v>0</v>
      </c>
      <c r="W112" s="11">
        <f>_xlfn.XLOOKUP(TableDailySummary[[#This Row],[Fecha]],SummaryDaily[day],SummaryDaily[Corporativo no tienda_average_order_value],0)</f>
        <v>0</v>
      </c>
      <c r="X112" s="11">
        <f>_xlfn.XLOOKUP(TableDailySummary[[#This Row],[Fecha]],SummaryDaily[day],SummaryDaily[GoogleAdsOperation.Cost],0)</f>
        <v>0</v>
      </c>
      <c r="Y112" s="11">
        <f>SUMIFS(SalesByUTMDaily[google],SalesByUTMDaily[day],TableDailySummary[[#This Row],[Fecha]])</f>
        <v>0</v>
      </c>
      <c r="Z112" s="11">
        <f>_xlfn.XLOOKUP(TableDailySummary[[#This Row],[Fecha]],SummaryDaily[day],SummaryDaily[MetaAdsOperation.spend],0)</f>
        <v>0</v>
      </c>
      <c r="AA112" s="11">
        <f>SUMIFS(SalesByUTMDaily[facebook],SalesByUTMDaily[day],TableDailySummary[[#This Row],[Fecha]])</f>
        <v>0</v>
      </c>
      <c r="AB112" s="11">
        <f>TableDailySummary[[#This Row],[Inversión google ads]]+TableDailySummary[[#This Row],[Inversión meta ads]]</f>
        <v>0</v>
      </c>
      <c r="AC112" s="11">
        <f>TableDailySummary[[#This Row],[Ventas google ads]]+TableDailySummary[[#This Row],[Ventas meta ads]]</f>
        <v>0</v>
      </c>
      <c r="AD112" s="14">
        <f>IFERROR(TableDailySummary[[#This Row],[Ventas publicidad]]/TableDailySummary[[#This Row],[Inversión publicidad]],0)</f>
        <v>0</v>
      </c>
      <c r="AE112" s="14">
        <f>IFERROR(TableDailySummary[[#This Row],[Ventas primer cliente]]/TableDailySummary[[#This Row],[Inversión publicidad]],0)</f>
        <v>0</v>
      </c>
      <c r="AF112" s="14"/>
      <c r="AG112" s="11"/>
      <c r="AM112" s="11">
        <f>_xlfn.XLOOKUP(TableDailySummary[[#This Row],[Fecha]],SummaryDaily[day],SummaryDaily[net_sales_with_cost_recorded],0)</f>
        <v>0</v>
      </c>
      <c r="AN112" s="11">
        <f>_xlfn.XLOOKUP(TableDailySummary[[#This Row],[Fecha]],SummaryDaily[day],SummaryDaily[cost_of_goods_sold],0)</f>
        <v>0</v>
      </c>
      <c r="AO112" s="11">
        <f>_xlfn.XLOOKUP(TableDailySummary[[#This Row],[Fecha]],SummaryDaily[day],SummaryDaily[gross_profit],0)</f>
        <v>0</v>
      </c>
      <c r="AP112" s="18">
        <f>IFERROR(TableDailySummary[[#This Row],[Utilidad bruta]]/TableDailySummary[[#This Row],[Ventas netas con costo registrado]],0)</f>
        <v>0</v>
      </c>
    </row>
    <row r="113" spans="2:42" x14ac:dyDescent="0.2">
      <c r="B113" s="15" cm="1">
        <f t="array" ref="B113">ParamFechaInicioReporte + (ROW(TableDailySummary[#This Row]) - ROW(TableDailySummary[[#Headers],[Dia]]) - 1)</f>
        <v>44640</v>
      </c>
      <c r="C113" s="6">
        <f>TableDailySummary[[#This Row],[Dia]]</f>
        <v>44640</v>
      </c>
      <c r="D113" s="11">
        <f>_xlfn.XLOOKUP(TableDailySummary[[#This Row],[Fecha]],SummaryDaily[day],SummaryDaily[net_sales],0)</f>
        <v>0</v>
      </c>
      <c r="E113" s="11">
        <f>_xlfn.XLOOKUP(TableDailySummary[[#This Row],[Fecha]],SummaryDaily[day],SummaryDaily[orders],0)</f>
        <v>0</v>
      </c>
      <c r="F113" s="11">
        <f>_xlfn.XLOOKUP(TableDailySummary[[#This Row],[Fecha]],SummaryDaily[day],SummaryDaily[average_order_value],0)</f>
        <v>0</v>
      </c>
      <c r="G113" s="24" cm="1">
        <f t="array" ref="G113">_xlfn.XLOOKUP(TableDailySummary[[#This Row],[Fecha]]&amp;"Total site",ConversionRateByReferral[day]&amp;ConversionRateByReferral[referrer_source],ConversionRateByReferral[conversion_rate],0)</f>
        <v>0</v>
      </c>
      <c r="H113" s="11">
        <f>TableDailySummary[[#This Row],[Órden promedio totales]]*TableDailySummary[[#This Row],[CR totales]]</f>
        <v>0</v>
      </c>
      <c r="I113" s="11">
        <f>_xlfn.XLOOKUP(TableDailySummary[[#This Row],[Fecha]],SummaryDaily[day],SummaryDaily[new_net_sales],0)</f>
        <v>0</v>
      </c>
      <c r="J113" s="11">
        <f>_xlfn.XLOOKUP(TableDailySummary[[#This Row],[Fecha]],SummaryDaily[day],SummaryDaily[new_orders],0)</f>
        <v>0</v>
      </c>
      <c r="K113" s="11">
        <f>_xlfn.XLOOKUP(TableDailySummary[[#This Row],[Fecha]],SummaryDaily[day],SummaryDaily[new_average_order_value],0)</f>
        <v>0</v>
      </c>
      <c r="L113" s="11">
        <f>_xlfn.XLOOKUP(TableDailySummary[[#This Row],[Fecha]],SummaryDaily[day],SummaryDaily[Online Store_net_sales],0)</f>
        <v>0</v>
      </c>
      <c r="M113" s="11">
        <f>_xlfn.XLOOKUP(TableDailySummary[[#This Row],[Fecha]],SummaryDaily[day],SummaryDaily[Online Store_orders],0)</f>
        <v>0</v>
      </c>
      <c r="N113" s="11">
        <f>_xlfn.XLOOKUP(TableDailySummary[[#This Row],[Fecha]],SummaryDaily[day],SummaryDaily[Online Store_average_order_value],0)</f>
        <v>0</v>
      </c>
      <c r="O113" s="11">
        <f>_xlfn.XLOOKUP(TableDailySummary[[#This Row],[Fecha]],SummaryDaily[day],SummaryDaily[Tienda 81_net_sales],0)</f>
        <v>0</v>
      </c>
      <c r="P113" s="11">
        <f>_xlfn.XLOOKUP(TableDailySummary[[#This Row],[Fecha]],SummaryDaily[day],SummaryDaily[Tienda 81_orders],0)</f>
        <v>0</v>
      </c>
      <c r="Q113" s="11">
        <f>_xlfn.XLOOKUP(TableDailySummary[[#This Row],[Fecha]],SummaryDaily[day],SummaryDaily[Tienda 81_average_order_value],0)</f>
        <v>0</v>
      </c>
      <c r="R113" s="11">
        <f>_xlfn.XLOOKUP(TableDailySummary[[#This Row],[Fecha]],SummaryDaily[day],SummaryDaily[Rappi_net_sales],0)</f>
        <v>0</v>
      </c>
      <c r="S113" s="11">
        <f>_xlfn.XLOOKUP(TableDailySummary[[#This Row],[Fecha]],SummaryDaily[day],SummaryDaily[Rappi_orders],0)</f>
        <v>0</v>
      </c>
      <c r="T113" s="11">
        <f>_xlfn.XLOOKUP(TableDailySummary[[#This Row],[Fecha]],SummaryDaily[day],SummaryDaily[Rappi_average_order_value],0)</f>
        <v>0</v>
      </c>
      <c r="U113" s="11">
        <f>_xlfn.XLOOKUP(TableDailySummary[[#This Row],[Fecha]],SummaryDaily[day],SummaryDaily[Corporativo no tienda_net_sales],0)</f>
        <v>0</v>
      </c>
      <c r="V113" s="11">
        <f>_xlfn.XLOOKUP(TableDailySummary[[#This Row],[Fecha]],SummaryDaily[day],SummaryDaily[Corporativo no tienda_orders],0)</f>
        <v>0</v>
      </c>
      <c r="W113" s="11">
        <f>_xlfn.XLOOKUP(TableDailySummary[[#This Row],[Fecha]],SummaryDaily[day],SummaryDaily[Corporativo no tienda_average_order_value],0)</f>
        <v>0</v>
      </c>
      <c r="X113" s="11">
        <f>_xlfn.XLOOKUP(TableDailySummary[[#This Row],[Fecha]],SummaryDaily[day],SummaryDaily[GoogleAdsOperation.Cost],0)</f>
        <v>0</v>
      </c>
      <c r="Y113" s="11">
        <f>SUMIFS(SalesByUTMDaily[google],SalesByUTMDaily[day],TableDailySummary[[#This Row],[Fecha]])</f>
        <v>0</v>
      </c>
      <c r="Z113" s="11">
        <f>_xlfn.XLOOKUP(TableDailySummary[[#This Row],[Fecha]],SummaryDaily[day],SummaryDaily[MetaAdsOperation.spend],0)</f>
        <v>0</v>
      </c>
      <c r="AA113" s="11">
        <f>SUMIFS(SalesByUTMDaily[facebook],SalesByUTMDaily[day],TableDailySummary[[#This Row],[Fecha]])</f>
        <v>0</v>
      </c>
      <c r="AB113" s="11">
        <f>TableDailySummary[[#This Row],[Inversión google ads]]+TableDailySummary[[#This Row],[Inversión meta ads]]</f>
        <v>0</v>
      </c>
      <c r="AC113" s="11">
        <f>TableDailySummary[[#This Row],[Ventas google ads]]+TableDailySummary[[#This Row],[Ventas meta ads]]</f>
        <v>0</v>
      </c>
      <c r="AD113" s="14">
        <f>IFERROR(TableDailySummary[[#This Row],[Ventas publicidad]]/TableDailySummary[[#This Row],[Inversión publicidad]],0)</f>
        <v>0</v>
      </c>
      <c r="AE113" s="14">
        <f>IFERROR(TableDailySummary[[#This Row],[Ventas primer cliente]]/TableDailySummary[[#This Row],[Inversión publicidad]],0)</f>
        <v>0</v>
      </c>
      <c r="AF113" s="14"/>
      <c r="AG113" s="11"/>
      <c r="AM113" s="11">
        <f>_xlfn.XLOOKUP(TableDailySummary[[#This Row],[Fecha]],SummaryDaily[day],SummaryDaily[net_sales_with_cost_recorded],0)</f>
        <v>0</v>
      </c>
      <c r="AN113" s="11">
        <f>_xlfn.XLOOKUP(TableDailySummary[[#This Row],[Fecha]],SummaryDaily[day],SummaryDaily[cost_of_goods_sold],0)</f>
        <v>0</v>
      </c>
      <c r="AO113" s="11">
        <f>_xlfn.XLOOKUP(TableDailySummary[[#This Row],[Fecha]],SummaryDaily[day],SummaryDaily[gross_profit],0)</f>
        <v>0</v>
      </c>
      <c r="AP113" s="18">
        <f>IFERROR(TableDailySummary[[#This Row],[Utilidad bruta]]/TableDailySummary[[#This Row],[Ventas netas con costo registrado]],0)</f>
        <v>0</v>
      </c>
    </row>
    <row r="114" spans="2:42" x14ac:dyDescent="0.2">
      <c r="B114" s="15" cm="1">
        <f t="array" ref="B114">ParamFechaInicioReporte + (ROW(TableDailySummary[#This Row]) - ROW(TableDailySummary[[#Headers],[Dia]]) - 1)</f>
        <v>44641</v>
      </c>
      <c r="C114" s="6">
        <f>TableDailySummary[[#This Row],[Dia]]</f>
        <v>44641</v>
      </c>
      <c r="D114" s="11">
        <f>_xlfn.XLOOKUP(TableDailySummary[[#This Row],[Fecha]],SummaryDaily[day],SummaryDaily[net_sales],0)</f>
        <v>0</v>
      </c>
      <c r="E114" s="11">
        <f>_xlfn.XLOOKUP(TableDailySummary[[#This Row],[Fecha]],SummaryDaily[day],SummaryDaily[orders],0)</f>
        <v>0</v>
      </c>
      <c r="F114" s="11">
        <f>_xlfn.XLOOKUP(TableDailySummary[[#This Row],[Fecha]],SummaryDaily[day],SummaryDaily[average_order_value],0)</f>
        <v>0</v>
      </c>
      <c r="G114" s="24" cm="1">
        <f t="array" ref="G114">_xlfn.XLOOKUP(TableDailySummary[[#This Row],[Fecha]]&amp;"Total site",ConversionRateByReferral[day]&amp;ConversionRateByReferral[referrer_source],ConversionRateByReferral[conversion_rate],0)</f>
        <v>0</v>
      </c>
      <c r="H114" s="11">
        <f>TableDailySummary[[#This Row],[Órden promedio totales]]*TableDailySummary[[#This Row],[CR totales]]</f>
        <v>0</v>
      </c>
      <c r="I114" s="11">
        <f>_xlfn.XLOOKUP(TableDailySummary[[#This Row],[Fecha]],SummaryDaily[day],SummaryDaily[new_net_sales],0)</f>
        <v>0</v>
      </c>
      <c r="J114" s="11">
        <f>_xlfn.XLOOKUP(TableDailySummary[[#This Row],[Fecha]],SummaryDaily[day],SummaryDaily[new_orders],0)</f>
        <v>0</v>
      </c>
      <c r="K114" s="11">
        <f>_xlfn.XLOOKUP(TableDailySummary[[#This Row],[Fecha]],SummaryDaily[day],SummaryDaily[new_average_order_value],0)</f>
        <v>0</v>
      </c>
      <c r="L114" s="11">
        <f>_xlfn.XLOOKUP(TableDailySummary[[#This Row],[Fecha]],SummaryDaily[day],SummaryDaily[Online Store_net_sales],0)</f>
        <v>0</v>
      </c>
      <c r="M114" s="11">
        <f>_xlfn.XLOOKUP(TableDailySummary[[#This Row],[Fecha]],SummaryDaily[day],SummaryDaily[Online Store_orders],0)</f>
        <v>0</v>
      </c>
      <c r="N114" s="11">
        <f>_xlfn.XLOOKUP(TableDailySummary[[#This Row],[Fecha]],SummaryDaily[day],SummaryDaily[Online Store_average_order_value],0)</f>
        <v>0</v>
      </c>
      <c r="O114" s="11">
        <f>_xlfn.XLOOKUP(TableDailySummary[[#This Row],[Fecha]],SummaryDaily[day],SummaryDaily[Tienda 81_net_sales],0)</f>
        <v>0</v>
      </c>
      <c r="P114" s="11">
        <f>_xlfn.XLOOKUP(TableDailySummary[[#This Row],[Fecha]],SummaryDaily[day],SummaryDaily[Tienda 81_orders],0)</f>
        <v>0</v>
      </c>
      <c r="Q114" s="11">
        <f>_xlfn.XLOOKUP(TableDailySummary[[#This Row],[Fecha]],SummaryDaily[day],SummaryDaily[Tienda 81_average_order_value],0)</f>
        <v>0</v>
      </c>
      <c r="R114" s="11">
        <f>_xlfn.XLOOKUP(TableDailySummary[[#This Row],[Fecha]],SummaryDaily[day],SummaryDaily[Rappi_net_sales],0)</f>
        <v>0</v>
      </c>
      <c r="S114" s="11">
        <f>_xlfn.XLOOKUP(TableDailySummary[[#This Row],[Fecha]],SummaryDaily[day],SummaryDaily[Rappi_orders],0)</f>
        <v>0</v>
      </c>
      <c r="T114" s="11">
        <f>_xlfn.XLOOKUP(TableDailySummary[[#This Row],[Fecha]],SummaryDaily[day],SummaryDaily[Rappi_average_order_value],0)</f>
        <v>0</v>
      </c>
      <c r="U114" s="11">
        <f>_xlfn.XLOOKUP(TableDailySummary[[#This Row],[Fecha]],SummaryDaily[day],SummaryDaily[Corporativo no tienda_net_sales],0)</f>
        <v>0</v>
      </c>
      <c r="V114" s="11">
        <f>_xlfn.XLOOKUP(TableDailySummary[[#This Row],[Fecha]],SummaryDaily[day],SummaryDaily[Corporativo no tienda_orders],0)</f>
        <v>0</v>
      </c>
      <c r="W114" s="11">
        <f>_xlfn.XLOOKUP(TableDailySummary[[#This Row],[Fecha]],SummaryDaily[day],SummaryDaily[Corporativo no tienda_average_order_value],0)</f>
        <v>0</v>
      </c>
      <c r="X114" s="11">
        <f>_xlfn.XLOOKUP(TableDailySummary[[#This Row],[Fecha]],SummaryDaily[day],SummaryDaily[GoogleAdsOperation.Cost],0)</f>
        <v>0</v>
      </c>
      <c r="Y114" s="11">
        <f>SUMIFS(SalesByUTMDaily[google],SalesByUTMDaily[day],TableDailySummary[[#This Row],[Fecha]])</f>
        <v>0</v>
      </c>
      <c r="Z114" s="11">
        <f>_xlfn.XLOOKUP(TableDailySummary[[#This Row],[Fecha]],SummaryDaily[day],SummaryDaily[MetaAdsOperation.spend],0)</f>
        <v>0</v>
      </c>
      <c r="AA114" s="11">
        <f>SUMIFS(SalesByUTMDaily[facebook],SalesByUTMDaily[day],TableDailySummary[[#This Row],[Fecha]])</f>
        <v>0</v>
      </c>
      <c r="AB114" s="11">
        <f>TableDailySummary[[#This Row],[Inversión google ads]]+TableDailySummary[[#This Row],[Inversión meta ads]]</f>
        <v>0</v>
      </c>
      <c r="AC114" s="11">
        <f>TableDailySummary[[#This Row],[Ventas google ads]]+TableDailySummary[[#This Row],[Ventas meta ads]]</f>
        <v>0</v>
      </c>
      <c r="AD114" s="14">
        <f>IFERROR(TableDailySummary[[#This Row],[Ventas publicidad]]/TableDailySummary[[#This Row],[Inversión publicidad]],0)</f>
        <v>0</v>
      </c>
      <c r="AE114" s="14">
        <f>IFERROR(TableDailySummary[[#This Row],[Ventas primer cliente]]/TableDailySummary[[#This Row],[Inversión publicidad]],0)</f>
        <v>0</v>
      </c>
      <c r="AF114" s="14"/>
      <c r="AG114" s="11"/>
      <c r="AM114" s="11">
        <f>_xlfn.XLOOKUP(TableDailySummary[[#This Row],[Fecha]],SummaryDaily[day],SummaryDaily[net_sales_with_cost_recorded],0)</f>
        <v>0</v>
      </c>
      <c r="AN114" s="11">
        <f>_xlfn.XLOOKUP(TableDailySummary[[#This Row],[Fecha]],SummaryDaily[day],SummaryDaily[cost_of_goods_sold],0)</f>
        <v>0</v>
      </c>
      <c r="AO114" s="11">
        <f>_xlfn.XLOOKUP(TableDailySummary[[#This Row],[Fecha]],SummaryDaily[day],SummaryDaily[gross_profit],0)</f>
        <v>0</v>
      </c>
      <c r="AP114" s="18">
        <f>IFERROR(TableDailySummary[[#This Row],[Utilidad bruta]]/TableDailySummary[[#This Row],[Ventas netas con costo registrado]],0)</f>
        <v>0</v>
      </c>
    </row>
    <row r="115" spans="2:42" x14ac:dyDescent="0.2">
      <c r="B115" s="15" cm="1">
        <f t="array" ref="B115">ParamFechaInicioReporte + (ROW(TableDailySummary[#This Row]) - ROW(TableDailySummary[[#Headers],[Dia]]) - 1)</f>
        <v>44642</v>
      </c>
      <c r="C115" s="6">
        <f>TableDailySummary[[#This Row],[Dia]]</f>
        <v>44642</v>
      </c>
      <c r="D115" s="11">
        <f>_xlfn.XLOOKUP(TableDailySummary[[#This Row],[Fecha]],SummaryDaily[day],SummaryDaily[net_sales],0)</f>
        <v>0</v>
      </c>
      <c r="E115" s="11">
        <f>_xlfn.XLOOKUP(TableDailySummary[[#This Row],[Fecha]],SummaryDaily[day],SummaryDaily[orders],0)</f>
        <v>0</v>
      </c>
      <c r="F115" s="11">
        <f>_xlfn.XLOOKUP(TableDailySummary[[#This Row],[Fecha]],SummaryDaily[day],SummaryDaily[average_order_value],0)</f>
        <v>0</v>
      </c>
      <c r="G115" s="24" cm="1">
        <f t="array" ref="G115">_xlfn.XLOOKUP(TableDailySummary[[#This Row],[Fecha]]&amp;"Total site",ConversionRateByReferral[day]&amp;ConversionRateByReferral[referrer_source],ConversionRateByReferral[conversion_rate],0)</f>
        <v>0</v>
      </c>
      <c r="H115" s="11">
        <f>TableDailySummary[[#This Row],[Órden promedio totales]]*TableDailySummary[[#This Row],[CR totales]]</f>
        <v>0</v>
      </c>
      <c r="I115" s="11">
        <f>_xlfn.XLOOKUP(TableDailySummary[[#This Row],[Fecha]],SummaryDaily[day],SummaryDaily[new_net_sales],0)</f>
        <v>0</v>
      </c>
      <c r="J115" s="11">
        <f>_xlfn.XLOOKUP(TableDailySummary[[#This Row],[Fecha]],SummaryDaily[day],SummaryDaily[new_orders],0)</f>
        <v>0</v>
      </c>
      <c r="K115" s="11">
        <f>_xlfn.XLOOKUP(TableDailySummary[[#This Row],[Fecha]],SummaryDaily[day],SummaryDaily[new_average_order_value],0)</f>
        <v>0</v>
      </c>
      <c r="L115" s="11">
        <f>_xlfn.XLOOKUP(TableDailySummary[[#This Row],[Fecha]],SummaryDaily[day],SummaryDaily[Online Store_net_sales],0)</f>
        <v>0</v>
      </c>
      <c r="M115" s="11">
        <f>_xlfn.XLOOKUP(TableDailySummary[[#This Row],[Fecha]],SummaryDaily[day],SummaryDaily[Online Store_orders],0)</f>
        <v>0</v>
      </c>
      <c r="N115" s="11">
        <f>_xlfn.XLOOKUP(TableDailySummary[[#This Row],[Fecha]],SummaryDaily[day],SummaryDaily[Online Store_average_order_value],0)</f>
        <v>0</v>
      </c>
      <c r="O115" s="11">
        <f>_xlfn.XLOOKUP(TableDailySummary[[#This Row],[Fecha]],SummaryDaily[day],SummaryDaily[Tienda 81_net_sales],0)</f>
        <v>0</v>
      </c>
      <c r="P115" s="11">
        <f>_xlfn.XLOOKUP(TableDailySummary[[#This Row],[Fecha]],SummaryDaily[day],SummaryDaily[Tienda 81_orders],0)</f>
        <v>0</v>
      </c>
      <c r="Q115" s="11">
        <f>_xlfn.XLOOKUP(TableDailySummary[[#This Row],[Fecha]],SummaryDaily[day],SummaryDaily[Tienda 81_average_order_value],0)</f>
        <v>0</v>
      </c>
      <c r="R115" s="11">
        <f>_xlfn.XLOOKUP(TableDailySummary[[#This Row],[Fecha]],SummaryDaily[day],SummaryDaily[Rappi_net_sales],0)</f>
        <v>0</v>
      </c>
      <c r="S115" s="11">
        <f>_xlfn.XLOOKUP(TableDailySummary[[#This Row],[Fecha]],SummaryDaily[day],SummaryDaily[Rappi_orders],0)</f>
        <v>0</v>
      </c>
      <c r="T115" s="11">
        <f>_xlfn.XLOOKUP(TableDailySummary[[#This Row],[Fecha]],SummaryDaily[day],SummaryDaily[Rappi_average_order_value],0)</f>
        <v>0</v>
      </c>
      <c r="U115" s="11">
        <f>_xlfn.XLOOKUP(TableDailySummary[[#This Row],[Fecha]],SummaryDaily[day],SummaryDaily[Corporativo no tienda_net_sales],0)</f>
        <v>0</v>
      </c>
      <c r="V115" s="11">
        <f>_xlfn.XLOOKUP(TableDailySummary[[#This Row],[Fecha]],SummaryDaily[day],SummaryDaily[Corporativo no tienda_orders],0)</f>
        <v>0</v>
      </c>
      <c r="W115" s="11">
        <f>_xlfn.XLOOKUP(TableDailySummary[[#This Row],[Fecha]],SummaryDaily[day],SummaryDaily[Corporativo no tienda_average_order_value],0)</f>
        <v>0</v>
      </c>
      <c r="X115" s="11">
        <f>_xlfn.XLOOKUP(TableDailySummary[[#This Row],[Fecha]],SummaryDaily[day],SummaryDaily[GoogleAdsOperation.Cost],0)</f>
        <v>0</v>
      </c>
      <c r="Y115" s="11">
        <f>SUMIFS(SalesByUTMDaily[google],SalesByUTMDaily[day],TableDailySummary[[#This Row],[Fecha]])</f>
        <v>0</v>
      </c>
      <c r="Z115" s="11">
        <f>_xlfn.XLOOKUP(TableDailySummary[[#This Row],[Fecha]],SummaryDaily[day],SummaryDaily[MetaAdsOperation.spend],0)</f>
        <v>0</v>
      </c>
      <c r="AA115" s="11">
        <f>SUMIFS(SalesByUTMDaily[facebook],SalesByUTMDaily[day],TableDailySummary[[#This Row],[Fecha]])</f>
        <v>0</v>
      </c>
      <c r="AB115" s="11">
        <f>TableDailySummary[[#This Row],[Inversión google ads]]+TableDailySummary[[#This Row],[Inversión meta ads]]</f>
        <v>0</v>
      </c>
      <c r="AC115" s="11">
        <f>TableDailySummary[[#This Row],[Ventas google ads]]+TableDailySummary[[#This Row],[Ventas meta ads]]</f>
        <v>0</v>
      </c>
      <c r="AD115" s="14">
        <f>IFERROR(TableDailySummary[[#This Row],[Ventas publicidad]]/TableDailySummary[[#This Row],[Inversión publicidad]],0)</f>
        <v>0</v>
      </c>
      <c r="AE115" s="14">
        <f>IFERROR(TableDailySummary[[#This Row],[Ventas primer cliente]]/TableDailySummary[[#This Row],[Inversión publicidad]],0)</f>
        <v>0</v>
      </c>
      <c r="AF115" s="14"/>
      <c r="AG115" s="11"/>
      <c r="AM115" s="11">
        <f>_xlfn.XLOOKUP(TableDailySummary[[#This Row],[Fecha]],SummaryDaily[day],SummaryDaily[net_sales_with_cost_recorded],0)</f>
        <v>0</v>
      </c>
      <c r="AN115" s="11">
        <f>_xlfn.XLOOKUP(TableDailySummary[[#This Row],[Fecha]],SummaryDaily[day],SummaryDaily[cost_of_goods_sold],0)</f>
        <v>0</v>
      </c>
      <c r="AO115" s="11">
        <f>_xlfn.XLOOKUP(TableDailySummary[[#This Row],[Fecha]],SummaryDaily[day],SummaryDaily[gross_profit],0)</f>
        <v>0</v>
      </c>
      <c r="AP115" s="18">
        <f>IFERROR(TableDailySummary[[#This Row],[Utilidad bruta]]/TableDailySummary[[#This Row],[Ventas netas con costo registrado]],0)</f>
        <v>0</v>
      </c>
    </row>
    <row r="116" spans="2:42" x14ac:dyDescent="0.2">
      <c r="B116" s="15" cm="1">
        <f t="array" ref="B116">ParamFechaInicioReporte + (ROW(TableDailySummary[#This Row]) - ROW(TableDailySummary[[#Headers],[Dia]]) - 1)</f>
        <v>44643</v>
      </c>
      <c r="C116" s="6">
        <f>TableDailySummary[[#This Row],[Dia]]</f>
        <v>44643</v>
      </c>
      <c r="D116" s="11">
        <f>_xlfn.XLOOKUP(TableDailySummary[[#This Row],[Fecha]],SummaryDaily[day],SummaryDaily[net_sales],0)</f>
        <v>0</v>
      </c>
      <c r="E116" s="11">
        <f>_xlfn.XLOOKUP(TableDailySummary[[#This Row],[Fecha]],SummaryDaily[day],SummaryDaily[orders],0)</f>
        <v>0</v>
      </c>
      <c r="F116" s="11">
        <f>_xlfn.XLOOKUP(TableDailySummary[[#This Row],[Fecha]],SummaryDaily[day],SummaryDaily[average_order_value],0)</f>
        <v>0</v>
      </c>
      <c r="G116" s="24" cm="1">
        <f t="array" ref="G116">_xlfn.XLOOKUP(TableDailySummary[[#This Row],[Fecha]]&amp;"Total site",ConversionRateByReferral[day]&amp;ConversionRateByReferral[referrer_source],ConversionRateByReferral[conversion_rate],0)</f>
        <v>0</v>
      </c>
      <c r="H116" s="11">
        <f>TableDailySummary[[#This Row],[Órden promedio totales]]*TableDailySummary[[#This Row],[CR totales]]</f>
        <v>0</v>
      </c>
      <c r="I116" s="11">
        <f>_xlfn.XLOOKUP(TableDailySummary[[#This Row],[Fecha]],SummaryDaily[day],SummaryDaily[new_net_sales],0)</f>
        <v>0</v>
      </c>
      <c r="J116" s="11">
        <f>_xlfn.XLOOKUP(TableDailySummary[[#This Row],[Fecha]],SummaryDaily[day],SummaryDaily[new_orders],0)</f>
        <v>0</v>
      </c>
      <c r="K116" s="11">
        <f>_xlfn.XLOOKUP(TableDailySummary[[#This Row],[Fecha]],SummaryDaily[day],SummaryDaily[new_average_order_value],0)</f>
        <v>0</v>
      </c>
      <c r="L116" s="11">
        <f>_xlfn.XLOOKUP(TableDailySummary[[#This Row],[Fecha]],SummaryDaily[day],SummaryDaily[Online Store_net_sales],0)</f>
        <v>0</v>
      </c>
      <c r="M116" s="11">
        <f>_xlfn.XLOOKUP(TableDailySummary[[#This Row],[Fecha]],SummaryDaily[day],SummaryDaily[Online Store_orders],0)</f>
        <v>0</v>
      </c>
      <c r="N116" s="11">
        <f>_xlfn.XLOOKUP(TableDailySummary[[#This Row],[Fecha]],SummaryDaily[day],SummaryDaily[Online Store_average_order_value],0)</f>
        <v>0</v>
      </c>
      <c r="O116" s="11">
        <f>_xlfn.XLOOKUP(TableDailySummary[[#This Row],[Fecha]],SummaryDaily[day],SummaryDaily[Tienda 81_net_sales],0)</f>
        <v>0</v>
      </c>
      <c r="P116" s="11">
        <f>_xlfn.XLOOKUP(TableDailySummary[[#This Row],[Fecha]],SummaryDaily[day],SummaryDaily[Tienda 81_orders],0)</f>
        <v>0</v>
      </c>
      <c r="Q116" s="11">
        <f>_xlfn.XLOOKUP(TableDailySummary[[#This Row],[Fecha]],SummaryDaily[day],SummaryDaily[Tienda 81_average_order_value],0)</f>
        <v>0</v>
      </c>
      <c r="R116" s="11">
        <f>_xlfn.XLOOKUP(TableDailySummary[[#This Row],[Fecha]],SummaryDaily[day],SummaryDaily[Rappi_net_sales],0)</f>
        <v>0</v>
      </c>
      <c r="S116" s="11">
        <f>_xlfn.XLOOKUP(TableDailySummary[[#This Row],[Fecha]],SummaryDaily[day],SummaryDaily[Rappi_orders],0)</f>
        <v>0</v>
      </c>
      <c r="T116" s="11">
        <f>_xlfn.XLOOKUP(TableDailySummary[[#This Row],[Fecha]],SummaryDaily[day],SummaryDaily[Rappi_average_order_value],0)</f>
        <v>0</v>
      </c>
      <c r="U116" s="11">
        <f>_xlfn.XLOOKUP(TableDailySummary[[#This Row],[Fecha]],SummaryDaily[day],SummaryDaily[Corporativo no tienda_net_sales],0)</f>
        <v>0</v>
      </c>
      <c r="V116" s="11">
        <f>_xlfn.XLOOKUP(TableDailySummary[[#This Row],[Fecha]],SummaryDaily[day],SummaryDaily[Corporativo no tienda_orders],0)</f>
        <v>0</v>
      </c>
      <c r="W116" s="11">
        <f>_xlfn.XLOOKUP(TableDailySummary[[#This Row],[Fecha]],SummaryDaily[day],SummaryDaily[Corporativo no tienda_average_order_value],0)</f>
        <v>0</v>
      </c>
      <c r="X116" s="11">
        <f>_xlfn.XLOOKUP(TableDailySummary[[#This Row],[Fecha]],SummaryDaily[day],SummaryDaily[GoogleAdsOperation.Cost],0)</f>
        <v>0</v>
      </c>
      <c r="Y116" s="11">
        <f>SUMIFS(SalesByUTMDaily[google],SalesByUTMDaily[day],TableDailySummary[[#This Row],[Fecha]])</f>
        <v>0</v>
      </c>
      <c r="Z116" s="11">
        <f>_xlfn.XLOOKUP(TableDailySummary[[#This Row],[Fecha]],SummaryDaily[day],SummaryDaily[MetaAdsOperation.spend],0)</f>
        <v>0</v>
      </c>
      <c r="AA116" s="11">
        <f>SUMIFS(SalesByUTMDaily[facebook],SalesByUTMDaily[day],TableDailySummary[[#This Row],[Fecha]])</f>
        <v>0</v>
      </c>
      <c r="AB116" s="11">
        <f>TableDailySummary[[#This Row],[Inversión google ads]]+TableDailySummary[[#This Row],[Inversión meta ads]]</f>
        <v>0</v>
      </c>
      <c r="AC116" s="11">
        <f>TableDailySummary[[#This Row],[Ventas google ads]]+TableDailySummary[[#This Row],[Ventas meta ads]]</f>
        <v>0</v>
      </c>
      <c r="AD116" s="14">
        <f>IFERROR(TableDailySummary[[#This Row],[Ventas publicidad]]/TableDailySummary[[#This Row],[Inversión publicidad]],0)</f>
        <v>0</v>
      </c>
      <c r="AE116" s="14">
        <f>IFERROR(TableDailySummary[[#This Row],[Ventas primer cliente]]/TableDailySummary[[#This Row],[Inversión publicidad]],0)</f>
        <v>0</v>
      </c>
      <c r="AF116" s="14"/>
      <c r="AG116" s="11"/>
      <c r="AM116" s="11">
        <f>_xlfn.XLOOKUP(TableDailySummary[[#This Row],[Fecha]],SummaryDaily[day],SummaryDaily[net_sales_with_cost_recorded],0)</f>
        <v>0</v>
      </c>
      <c r="AN116" s="11">
        <f>_xlfn.XLOOKUP(TableDailySummary[[#This Row],[Fecha]],SummaryDaily[day],SummaryDaily[cost_of_goods_sold],0)</f>
        <v>0</v>
      </c>
      <c r="AO116" s="11">
        <f>_xlfn.XLOOKUP(TableDailySummary[[#This Row],[Fecha]],SummaryDaily[day],SummaryDaily[gross_profit],0)</f>
        <v>0</v>
      </c>
      <c r="AP116" s="18">
        <f>IFERROR(TableDailySummary[[#This Row],[Utilidad bruta]]/TableDailySummary[[#This Row],[Ventas netas con costo registrado]],0)</f>
        <v>0</v>
      </c>
    </row>
    <row r="117" spans="2:42" x14ac:dyDescent="0.2">
      <c r="B117" s="15" cm="1">
        <f t="array" ref="B117">ParamFechaInicioReporte + (ROW(TableDailySummary[#This Row]) - ROW(TableDailySummary[[#Headers],[Dia]]) - 1)</f>
        <v>44644</v>
      </c>
      <c r="C117" s="6">
        <f>TableDailySummary[[#This Row],[Dia]]</f>
        <v>44644</v>
      </c>
      <c r="D117" s="11">
        <f>_xlfn.XLOOKUP(TableDailySummary[[#This Row],[Fecha]],SummaryDaily[day],SummaryDaily[net_sales],0)</f>
        <v>0</v>
      </c>
      <c r="E117" s="11">
        <f>_xlfn.XLOOKUP(TableDailySummary[[#This Row],[Fecha]],SummaryDaily[day],SummaryDaily[orders],0)</f>
        <v>0</v>
      </c>
      <c r="F117" s="11">
        <f>_xlfn.XLOOKUP(TableDailySummary[[#This Row],[Fecha]],SummaryDaily[day],SummaryDaily[average_order_value],0)</f>
        <v>0</v>
      </c>
      <c r="G117" s="24" cm="1">
        <f t="array" ref="G117">_xlfn.XLOOKUP(TableDailySummary[[#This Row],[Fecha]]&amp;"Total site",ConversionRateByReferral[day]&amp;ConversionRateByReferral[referrer_source],ConversionRateByReferral[conversion_rate],0)</f>
        <v>0</v>
      </c>
      <c r="H117" s="11">
        <f>TableDailySummary[[#This Row],[Órden promedio totales]]*TableDailySummary[[#This Row],[CR totales]]</f>
        <v>0</v>
      </c>
      <c r="I117" s="11">
        <f>_xlfn.XLOOKUP(TableDailySummary[[#This Row],[Fecha]],SummaryDaily[day],SummaryDaily[new_net_sales],0)</f>
        <v>0</v>
      </c>
      <c r="J117" s="11">
        <f>_xlfn.XLOOKUP(TableDailySummary[[#This Row],[Fecha]],SummaryDaily[day],SummaryDaily[new_orders],0)</f>
        <v>0</v>
      </c>
      <c r="K117" s="11">
        <f>_xlfn.XLOOKUP(TableDailySummary[[#This Row],[Fecha]],SummaryDaily[day],SummaryDaily[new_average_order_value],0)</f>
        <v>0</v>
      </c>
      <c r="L117" s="11">
        <f>_xlfn.XLOOKUP(TableDailySummary[[#This Row],[Fecha]],SummaryDaily[day],SummaryDaily[Online Store_net_sales],0)</f>
        <v>0</v>
      </c>
      <c r="M117" s="11">
        <f>_xlfn.XLOOKUP(TableDailySummary[[#This Row],[Fecha]],SummaryDaily[day],SummaryDaily[Online Store_orders],0)</f>
        <v>0</v>
      </c>
      <c r="N117" s="11">
        <f>_xlfn.XLOOKUP(TableDailySummary[[#This Row],[Fecha]],SummaryDaily[day],SummaryDaily[Online Store_average_order_value],0)</f>
        <v>0</v>
      </c>
      <c r="O117" s="11">
        <f>_xlfn.XLOOKUP(TableDailySummary[[#This Row],[Fecha]],SummaryDaily[day],SummaryDaily[Tienda 81_net_sales],0)</f>
        <v>0</v>
      </c>
      <c r="P117" s="11">
        <f>_xlfn.XLOOKUP(TableDailySummary[[#This Row],[Fecha]],SummaryDaily[day],SummaryDaily[Tienda 81_orders],0)</f>
        <v>0</v>
      </c>
      <c r="Q117" s="11">
        <f>_xlfn.XLOOKUP(TableDailySummary[[#This Row],[Fecha]],SummaryDaily[day],SummaryDaily[Tienda 81_average_order_value],0)</f>
        <v>0</v>
      </c>
      <c r="R117" s="11">
        <f>_xlfn.XLOOKUP(TableDailySummary[[#This Row],[Fecha]],SummaryDaily[day],SummaryDaily[Rappi_net_sales],0)</f>
        <v>0</v>
      </c>
      <c r="S117" s="11">
        <f>_xlfn.XLOOKUP(TableDailySummary[[#This Row],[Fecha]],SummaryDaily[day],SummaryDaily[Rappi_orders],0)</f>
        <v>0</v>
      </c>
      <c r="T117" s="11">
        <f>_xlfn.XLOOKUP(TableDailySummary[[#This Row],[Fecha]],SummaryDaily[day],SummaryDaily[Rappi_average_order_value],0)</f>
        <v>0</v>
      </c>
      <c r="U117" s="11">
        <f>_xlfn.XLOOKUP(TableDailySummary[[#This Row],[Fecha]],SummaryDaily[day],SummaryDaily[Corporativo no tienda_net_sales],0)</f>
        <v>0</v>
      </c>
      <c r="V117" s="11">
        <f>_xlfn.XLOOKUP(TableDailySummary[[#This Row],[Fecha]],SummaryDaily[day],SummaryDaily[Corporativo no tienda_orders],0)</f>
        <v>0</v>
      </c>
      <c r="W117" s="11">
        <f>_xlfn.XLOOKUP(TableDailySummary[[#This Row],[Fecha]],SummaryDaily[day],SummaryDaily[Corporativo no tienda_average_order_value],0)</f>
        <v>0</v>
      </c>
      <c r="X117" s="11">
        <f>_xlfn.XLOOKUP(TableDailySummary[[#This Row],[Fecha]],SummaryDaily[day],SummaryDaily[GoogleAdsOperation.Cost],0)</f>
        <v>0</v>
      </c>
      <c r="Y117" s="11">
        <f>SUMIFS(SalesByUTMDaily[google],SalesByUTMDaily[day],TableDailySummary[[#This Row],[Fecha]])</f>
        <v>0</v>
      </c>
      <c r="Z117" s="11">
        <f>_xlfn.XLOOKUP(TableDailySummary[[#This Row],[Fecha]],SummaryDaily[day],SummaryDaily[MetaAdsOperation.spend],0)</f>
        <v>0</v>
      </c>
      <c r="AA117" s="11">
        <f>SUMIFS(SalesByUTMDaily[facebook],SalesByUTMDaily[day],TableDailySummary[[#This Row],[Fecha]])</f>
        <v>0</v>
      </c>
      <c r="AB117" s="11">
        <f>TableDailySummary[[#This Row],[Inversión google ads]]+TableDailySummary[[#This Row],[Inversión meta ads]]</f>
        <v>0</v>
      </c>
      <c r="AC117" s="11">
        <f>TableDailySummary[[#This Row],[Ventas google ads]]+TableDailySummary[[#This Row],[Ventas meta ads]]</f>
        <v>0</v>
      </c>
      <c r="AD117" s="14">
        <f>IFERROR(TableDailySummary[[#This Row],[Ventas publicidad]]/TableDailySummary[[#This Row],[Inversión publicidad]],0)</f>
        <v>0</v>
      </c>
      <c r="AE117" s="14">
        <f>IFERROR(TableDailySummary[[#This Row],[Ventas primer cliente]]/TableDailySummary[[#This Row],[Inversión publicidad]],0)</f>
        <v>0</v>
      </c>
      <c r="AF117" s="14"/>
      <c r="AG117" s="11"/>
      <c r="AM117" s="11">
        <f>_xlfn.XLOOKUP(TableDailySummary[[#This Row],[Fecha]],SummaryDaily[day],SummaryDaily[net_sales_with_cost_recorded],0)</f>
        <v>0</v>
      </c>
      <c r="AN117" s="11">
        <f>_xlfn.XLOOKUP(TableDailySummary[[#This Row],[Fecha]],SummaryDaily[day],SummaryDaily[cost_of_goods_sold],0)</f>
        <v>0</v>
      </c>
      <c r="AO117" s="11">
        <f>_xlfn.XLOOKUP(TableDailySummary[[#This Row],[Fecha]],SummaryDaily[day],SummaryDaily[gross_profit],0)</f>
        <v>0</v>
      </c>
      <c r="AP117" s="18">
        <f>IFERROR(TableDailySummary[[#This Row],[Utilidad bruta]]/TableDailySummary[[#This Row],[Ventas netas con costo registrado]],0)</f>
        <v>0</v>
      </c>
    </row>
    <row r="118" spans="2:42" x14ac:dyDescent="0.2">
      <c r="B118" s="15" cm="1">
        <f t="array" ref="B118">ParamFechaInicioReporte + (ROW(TableDailySummary[#This Row]) - ROW(TableDailySummary[[#Headers],[Dia]]) - 1)</f>
        <v>44645</v>
      </c>
      <c r="C118" s="6">
        <f>TableDailySummary[[#This Row],[Dia]]</f>
        <v>44645</v>
      </c>
      <c r="D118" s="11">
        <f>_xlfn.XLOOKUP(TableDailySummary[[#This Row],[Fecha]],SummaryDaily[day],SummaryDaily[net_sales],0)</f>
        <v>0</v>
      </c>
      <c r="E118" s="11">
        <f>_xlfn.XLOOKUP(TableDailySummary[[#This Row],[Fecha]],SummaryDaily[day],SummaryDaily[orders],0)</f>
        <v>0</v>
      </c>
      <c r="F118" s="11">
        <f>_xlfn.XLOOKUP(TableDailySummary[[#This Row],[Fecha]],SummaryDaily[day],SummaryDaily[average_order_value],0)</f>
        <v>0</v>
      </c>
      <c r="G118" s="24" cm="1">
        <f t="array" ref="G118">_xlfn.XLOOKUP(TableDailySummary[[#This Row],[Fecha]]&amp;"Total site",ConversionRateByReferral[day]&amp;ConversionRateByReferral[referrer_source],ConversionRateByReferral[conversion_rate],0)</f>
        <v>0</v>
      </c>
      <c r="H118" s="11">
        <f>TableDailySummary[[#This Row],[Órden promedio totales]]*TableDailySummary[[#This Row],[CR totales]]</f>
        <v>0</v>
      </c>
      <c r="I118" s="11">
        <f>_xlfn.XLOOKUP(TableDailySummary[[#This Row],[Fecha]],SummaryDaily[day],SummaryDaily[new_net_sales],0)</f>
        <v>0</v>
      </c>
      <c r="J118" s="11">
        <f>_xlfn.XLOOKUP(TableDailySummary[[#This Row],[Fecha]],SummaryDaily[day],SummaryDaily[new_orders],0)</f>
        <v>0</v>
      </c>
      <c r="K118" s="11">
        <f>_xlfn.XLOOKUP(TableDailySummary[[#This Row],[Fecha]],SummaryDaily[day],SummaryDaily[new_average_order_value],0)</f>
        <v>0</v>
      </c>
      <c r="L118" s="11">
        <f>_xlfn.XLOOKUP(TableDailySummary[[#This Row],[Fecha]],SummaryDaily[day],SummaryDaily[Online Store_net_sales],0)</f>
        <v>0</v>
      </c>
      <c r="M118" s="11">
        <f>_xlfn.XLOOKUP(TableDailySummary[[#This Row],[Fecha]],SummaryDaily[day],SummaryDaily[Online Store_orders],0)</f>
        <v>0</v>
      </c>
      <c r="N118" s="11">
        <f>_xlfn.XLOOKUP(TableDailySummary[[#This Row],[Fecha]],SummaryDaily[day],SummaryDaily[Online Store_average_order_value],0)</f>
        <v>0</v>
      </c>
      <c r="O118" s="11">
        <f>_xlfn.XLOOKUP(TableDailySummary[[#This Row],[Fecha]],SummaryDaily[day],SummaryDaily[Tienda 81_net_sales],0)</f>
        <v>0</v>
      </c>
      <c r="P118" s="11">
        <f>_xlfn.XLOOKUP(TableDailySummary[[#This Row],[Fecha]],SummaryDaily[day],SummaryDaily[Tienda 81_orders],0)</f>
        <v>0</v>
      </c>
      <c r="Q118" s="11">
        <f>_xlfn.XLOOKUP(TableDailySummary[[#This Row],[Fecha]],SummaryDaily[day],SummaryDaily[Tienda 81_average_order_value],0)</f>
        <v>0</v>
      </c>
      <c r="R118" s="11">
        <f>_xlfn.XLOOKUP(TableDailySummary[[#This Row],[Fecha]],SummaryDaily[day],SummaryDaily[Rappi_net_sales],0)</f>
        <v>0</v>
      </c>
      <c r="S118" s="11">
        <f>_xlfn.XLOOKUP(TableDailySummary[[#This Row],[Fecha]],SummaryDaily[day],SummaryDaily[Rappi_orders],0)</f>
        <v>0</v>
      </c>
      <c r="T118" s="11">
        <f>_xlfn.XLOOKUP(TableDailySummary[[#This Row],[Fecha]],SummaryDaily[day],SummaryDaily[Rappi_average_order_value],0)</f>
        <v>0</v>
      </c>
      <c r="U118" s="11">
        <f>_xlfn.XLOOKUP(TableDailySummary[[#This Row],[Fecha]],SummaryDaily[day],SummaryDaily[Corporativo no tienda_net_sales],0)</f>
        <v>0</v>
      </c>
      <c r="V118" s="11">
        <f>_xlfn.XLOOKUP(TableDailySummary[[#This Row],[Fecha]],SummaryDaily[day],SummaryDaily[Corporativo no tienda_orders],0)</f>
        <v>0</v>
      </c>
      <c r="W118" s="11">
        <f>_xlfn.XLOOKUP(TableDailySummary[[#This Row],[Fecha]],SummaryDaily[day],SummaryDaily[Corporativo no tienda_average_order_value],0)</f>
        <v>0</v>
      </c>
      <c r="X118" s="11">
        <f>_xlfn.XLOOKUP(TableDailySummary[[#This Row],[Fecha]],SummaryDaily[day],SummaryDaily[GoogleAdsOperation.Cost],0)</f>
        <v>0</v>
      </c>
      <c r="Y118" s="11">
        <f>SUMIFS(SalesByUTMDaily[google],SalesByUTMDaily[day],TableDailySummary[[#This Row],[Fecha]])</f>
        <v>0</v>
      </c>
      <c r="Z118" s="11">
        <f>_xlfn.XLOOKUP(TableDailySummary[[#This Row],[Fecha]],SummaryDaily[day],SummaryDaily[MetaAdsOperation.spend],0)</f>
        <v>0</v>
      </c>
      <c r="AA118" s="11">
        <f>SUMIFS(SalesByUTMDaily[facebook],SalesByUTMDaily[day],TableDailySummary[[#This Row],[Fecha]])</f>
        <v>0</v>
      </c>
      <c r="AB118" s="11">
        <f>TableDailySummary[[#This Row],[Inversión google ads]]+TableDailySummary[[#This Row],[Inversión meta ads]]</f>
        <v>0</v>
      </c>
      <c r="AC118" s="11">
        <f>TableDailySummary[[#This Row],[Ventas google ads]]+TableDailySummary[[#This Row],[Ventas meta ads]]</f>
        <v>0</v>
      </c>
      <c r="AD118" s="14">
        <f>IFERROR(TableDailySummary[[#This Row],[Ventas publicidad]]/TableDailySummary[[#This Row],[Inversión publicidad]],0)</f>
        <v>0</v>
      </c>
      <c r="AE118" s="14">
        <f>IFERROR(TableDailySummary[[#This Row],[Ventas primer cliente]]/TableDailySummary[[#This Row],[Inversión publicidad]],0)</f>
        <v>0</v>
      </c>
      <c r="AF118" s="14"/>
      <c r="AG118" s="11"/>
      <c r="AM118" s="11">
        <f>_xlfn.XLOOKUP(TableDailySummary[[#This Row],[Fecha]],SummaryDaily[day],SummaryDaily[net_sales_with_cost_recorded],0)</f>
        <v>0</v>
      </c>
      <c r="AN118" s="11">
        <f>_xlfn.XLOOKUP(TableDailySummary[[#This Row],[Fecha]],SummaryDaily[day],SummaryDaily[cost_of_goods_sold],0)</f>
        <v>0</v>
      </c>
      <c r="AO118" s="11">
        <f>_xlfn.XLOOKUP(TableDailySummary[[#This Row],[Fecha]],SummaryDaily[day],SummaryDaily[gross_profit],0)</f>
        <v>0</v>
      </c>
      <c r="AP118" s="18">
        <f>IFERROR(TableDailySummary[[#This Row],[Utilidad bruta]]/TableDailySummary[[#This Row],[Ventas netas con costo registrado]],0)</f>
        <v>0</v>
      </c>
    </row>
    <row r="119" spans="2:42" x14ac:dyDescent="0.2">
      <c r="B119" s="15" cm="1">
        <f t="array" ref="B119">ParamFechaInicioReporte + (ROW(TableDailySummary[#This Row]) - ROW(TableDailySummary[[#Headers],[Dia]]) - 1)</f>
        <v>44646</v>
      </c>
      <c r="C119" s="6">
        <f>TableDailySummary[[#This Row],[Dia]]</f>
        <v>44646</v>
      </c>
      <c r="D119" s="11">
        <f>_xlfn.XLOOKUP(TableDailySummary[[#This Row],[Fecha]],SummaryDaily[day],SummaryDaily[net_sales],0)</f>
        <v>0</v>
      </c>
      <c r="E119" s="11">
        <f>_xlfn.XLOOKUP(TableDailySummary[[#This Row],[Fecha]],SummaryDaily[day],SummaryDaily[orders],0)</f>
        <v>0</v>
      </c>
      <c r="F119" s="11">
        <f>_xlfn.XLOOKUP(TableDailySummary[[#This Row],[Fecha]],SummaryDaily[day],SummaryDaily[average_order_value],0)</f>
        <v>0</v>
      </c>
      <c r="G119" s="24" cm="1">
        <f t="array" ref="G119">_xlfn.XLOOKUP(TableDailySummary[[#This Row],[Fecha]]&amp;"Total site",ConversionRateByReferral[day]&amp;ConversionRateByReferral[referrer_source],ConversionRateByReferral[conversion_rate],0)</f>
        <v>0</v>
      </c>
      <c r="H119" s="11">
        <f>TableDailySummary[[#This Row],[Órden promedio totales]]*TableDailySummary[[#This Row],[CR totales]]</f>
        <v>0</v>
      </c>
      <c r="I119" s="11">
        <f>_xlfn.XLOOKUP(TableDailySummary[[#This Row],[Fecha]],SummaryDaily[day],SummaryDaily[new_net_sales],0)</f>
        <v>0</v>
      </c>
      <c r="J119" s="11">
        <f>_xlfn.XLOOKUP(TableDailySummary[[#This Row],[Fecha]],SummaryDaily[day],SummaryDaily[new_orders],0)</f>
        <v>0</v>
      </c>
      <c r="K119" s="11">
        <f>_xlfn.XLOOKUP(TableDailySummary[[#This Row],[Fecha]],SummaryDaily[day],SummaryDaily[new_average_order_value],0)</f>
        <v>0</v>
      </c>
      <c r="L119" s="11">
        <f>_xlfn.XLOOKUP(TableDailySummary[[#This Row],[Fecha]],SummaryDaily[day],SummaryDaily[Online Store_net_sales],0)</f>
        <v>0</v>
      </c>
      <c r="M119" s="11">
        <f>_xlfn.XLOOKUP(TableDailySummary[[#This Row],[Fecha]],SummaryDaily[day],SummaryDaily[Online Store_orders],0)</f>
        <v>0</v>
      </c>
      <c r="N119" s="11">
        <f>_xlfn.XLOOKUP(TableDailySummary[[#This Row],[Fecha]],SummaryDaily[day],SummaryDaily[Online Store_average_order_value],0)</f>
        <v>0</v>
      </c>
      <c r="O119" s="11">
        <f>_xlfn.XLOOKUP(TableDailySummary[[#This Row],[Fecha]],SummaryDaily[day],SummaryDaily[Tienda 81_net_sales],0)</f>
        <v>0</v>
      </c>
      <c r="P119" s="11">
        <f>_xlfn.XLOOKUP(TableDailySummary[[#This Row],[Fecha]],SummaryDaily[day],SummaryDaily[Tienda 81_orders],0)</f>
        <v>0</v>
      </c>
      <c r="Q119" s="11">
        <f>_xlfn.XLOOKUP(TableDailySummary[[#This Row],[Fecha]],SummaryDaily[day],SummaryDaily[Tienda 81_average_order_value],0)</f>
        <v>0</v>
      </c>
      <c r="R119" s="11">
        <f>_xlfn.XLOOKUP(TableDailySummary[[#This Row],[Fecha]],SummaryDaily[day],SummaryDaily[Rappi_net_sales],0)</f>
        <v>0</v>
      </c>
      <c r="S119" s="11">
        <f>_xlfn.XLOOKUP(TableDailySummary[[#This Row],[Fecha]],SummaryDaily[day],SummaryDaily[Rappi_orders],0)</f>
        <v>0</v>
      </c>
      <c r="T119" s="11">
        <f>_xlfn.XLOOKUP(TableDailySummary[[#This Row],[Fecha]],SummaryDaily[day],SummaryDaily[Rappi_average_order_value],0)</f>
        <v>0</v>
      </c>
      <c r="U119" s="11">
        <f>_xlfn.XLOOKUP(TableDailySummary[[#This Row],[Fecha]],SummaryDaily[day],SummaryDaily[Corporativo no tienda_net_sales],0)</f>
        <v>0</v>
      </c>
      <c r="V119" s="11">
        <f>_xlfn.XLOOKUP(TableDailySummary[[#This Row],[Fecha]],SummaryDaily[day],SummaryDaily[Corporativo no tienda_orders],0)</f>
        <v>0</v>
      </c>
      <c r="W119" s="11">
        <f>_xlfn.XLOOKUP(TableDailySummary[[#This Row],[Fecha]],SummaryDaily[day],SummaryDaily[Corporativo no tienda_average_order_value],0)</f>
        <v>0</v>
      </c>
      <c r="X119" s="11">
        <f>_xlfn.XLOOKUP(TableDailySummary[[#This Row],[Fecha]],SummaryDaily[day],SummaryDaily[GoogleAdsOperation.Cost],0)</f>
        <v>0</v>
      </c>
      <c r="Y119" s="11">
        <f>SUMIFS(SalesByUTMDaily[google],SalesByUTMDaily[day],TableDailySummary[[#This Row],[Fecha]])</f>
        <v>0</v>
      </c>
      <c r="Z119" s="11">
        <f>_xlfn.XLOOKUP(TableDailySummary[[#This Row],[Fecha]],SummaryDaily[day],SummaryDaily[MetaAdsOperation.spend],0)</f>
        <v>0</v>
      </c>
      <c r="AA119" s="11">
        <f>SUMIFS(SalesByUTMDaily[facebook],SalesByUTMDaily[day],TableDailySummary[[#This Row],[Fecha]])</f>
        <v>0</v>
      </c>
      <c r="AB119" s="11">
        <f>TableDailySummary[[#This Row],[Inversión google ads]]+TableDailySummary[[#This Row],[Inversión meta ads]]</f>
        <v>0</v>
      </c>
      <c r="AC119" s="11">
        <f>TableDailySummary[[#This Row],[Ventas google ads]]+TableDailySummary[[#This Row],[Ventas meta ads]]</f>
        <v>0</v>
      </c>
      <c r="AD119" s="14">
        <f>IFERROR(TableDailySummary[[#This Row],[Ventas publicidad]]/TableDailySummary[[#This Row],[Inversión publicidad]],0)</f>
        <v>0</v>
      </c>
      <c r="AE119" s="14">
        <f>IFERROR(TableDailySummary[[#This Row],[Ventas primer cliente]]/TableDailySummary[[#This Row],[Inversión publicidad]],0)</f>
        <v>0</v>
      </c>
      <c r="AF119" s="14"/>
      <c r="AG119" s="11"/>
      <c r="AM119" s="11">
        <f>_xlfn.XLOOKUP(TableDailySummary[[#This Row],[Fecha]],SummaryDaily[day],SummaryDaily[net_sales_with_cost_recorded],0)</f>
        <v>0</v>
      </c>
      <c r="AN119" s="11">
        <f>_xlfn.XLOOKUP(TableDailySummary[[#This Row],[Fecha]],SummaryDaily[day],SummaryDaily[cost_of_goods_sold],0)</f>
        <v>0</v>
      </c>
      <c r="AO119" s="11">
        <f>_xlfn.XLOOKUP(TableDailySummary[[#This Row],[Fecha]],SummaryDaily[day],SummaryDaily[gross_profit],0)</f>
        <v>0</v>
      </c>
      <c r="AP119" s="18">
        <f>IFERROR(TableDailySummary[[#This Row],[Utilidad bruta]]/TableDailySummary[[#This Row],[Ventas netas con costo registrado]],0)</f>
        <v>0</v>
      </c>
    </row>
    <row r="120" spans="2:42" x14ac:dyDescent="0.2">
      <c r="B120" s="15" cm="1">
        <f t="array" ref="B120">ParamFechaInicioReporte + (ROW(TableDailySummary[#This Row]) - ROW(TableDailySummary[[#Headers],[Dia]]) - 1)</f>
        <v>44647</v>
      </c>
      <c r="C120" s="6">
        <f>TableDailySummary[[#This Row],[Dia]]</f>
        <v>44647</v>
      </c>
      <c r="D120" s="11">
        <f>_xlfn.XLOOKUP(TableDailySummary[[#This Row],[Fecha]],SummaryDaily[day],SummaryDaily[net_sales],0)</f>
        <v>0</v>
      </c>
      <c r="E120" s="11">
        <f>_xlfn.XLOOKUP(TableDailySummary[[#This Row],[Fecha]],SummaryDaily[day],SummaryDaily[orders],0)</f>
        <v>0</v>
      </c>
      <c r="F120" s="11">
        <f>_xlfn.XLOOKUP(TableDailySummary[[#This Row],[Fecha]],SummaryDaily[day],SummaryDaily[average_order_value],0)</f>
        <v>0</v>
      </c>
      <c r="G120" s="24" cm="1">
        <f t="array" ref="G120">_xlfn.XLOOKUP(TableDailySummary[[#This Row],[Fecha]]&amp;"Total site",ConversionRateByReferral[day]&amp;ConversionRateByReferral[referrer_source],ConversionRateByReferral[conversion_rate],0)</f>
        <v>0</v>
      </c>
      <c r="H120" s="11">
        <f>TableDailySummary[[#This Row],[Órden promedio totales]]*TableDailySummary[[#This Row],[CR totales]]</f>
        <v>0</v>
      </c>
      <c r="I120" s="11">
        <f>_xlfn.XLOOKUP(TableDailySummary[[#This Row],[Fecha]],SummaryDaily[day],SummaryDaily[new_net_sales],0)</f>
        <v>0</v>
      </c>
      <c r="J120" s="11">
        <f>_xlfn.XLOOKUP(TableDailySummary[[#This Row],[Fecha]],SummaryDaily[day],SummaryDaily[new_orders],0)</f>
        <v>0</v>
      </c>
      <c r="K120" s="11">
        <f>_xlfn.XLOOKUP(TableDailySummary[[#This Row],[Fecha]],SummaryDaily[day],SummaryDaily[new_average_order_value],0)</f>
        <v>0</v>
      </c>
      <c r="L120" s="11">
        <f>_xlfn.XLOOKUP(TableDailySummary[[#This Row],[Fecha]],SummaryDaily[day],SummaryDaily[Online Store_net_sales],0)</f>
        <v>0</v>
      </c>
      <c r="M120" s="11">
        <f>_xlfn.XLOOKUP(TableDailySummary[[#This Row],[Fecha]],SummaryDaily[day],SummaryDaily[Online Store_orders],0)</f>
        <v>0</v>
      </c>
      <c r="N120" s="11">
        <f>_xlfn.XLOOKUP(TableDailySummary[[#This Row],[Fecha]],SummaryDaily[day],SummaryDaily[Online Store_average_order_value],0)</f>
        <v>0</v>
      </c>
      <c r="O120" s="11">
        <f>_xlfn.XLOOKUP(TableDailySummary[[#This Row],[Fecha]],SummaryDaily[day],SummaryDaily[Tienda 81_net_sales],0)</f>
        <v>0</v>
      </c>
      <c r="P120" s="11">
        <f>_xlfn.XLOOKUP(TableDailySummary[[#This Row],[Fecha]],SummaryDaily[day],SummaryDaily[Tienda 81_orders],0)</f>
        <v>0</v>
      </c>
      <c r="Q120" s="11">
        <f>_xlfn.XLOOKUP(TableDailySummary[[#This Row],[Fecha]],SummaryDaily[day],SummaryDaily[Tienda 81_average_order_value],0)</f>
        <v>0</v>
      </c>
      <c r="R120" s="11">
        <f>_xlfn.XLOOKUP(TableDailySummary[[#This Row],[Fecha]],SummaryDaily[day],SummaryDaily[Rappi_net_sales],0)</f>
        <v>0</v>
      </c>
      <c r="S120" s="11">
        <f>_xlfn.XLOOKUP(TableDailySummary[[#This Row],[Fecha]],SummaryDaily[day],SummaryDaily[Rappi_orders],0)</f>
        <v>0</v>
      </c>
      <c r="T120" s="11">
        <f>_xlfn.XLOOKUP(TableDailySummary[[#This Row],[Fecha]],SummaryDaily[day],SummaryDaily[Rappi_average_order_value],0)</f>
        <v>0</v>
      </c>
      <c r="U120" s="11">
        <f>_xlfn.XLOOKUP(TableDailySummary[[#This Row],[Fecha]],SummaryDaily[day],SummaryDaily[Corporativo no tienda_net_sales],0)</f>
        <v>0</v>
      </c>
      <c r="V120" s="11">
        <f>_xlfn.XLOOKUP(TableDailySummary[[#This Row],[Fecha]],SummaryDaily[day],SummaryDaily[Corporativo no tienda_orders],0)</f>
        <v>0</v>
      </c>
      <c r="W120" s="11">
        <f>_xlfn.XLOOKUP(TableDailySummary[[#This Row],[Fecha]],SummaryDaily[day],SummaryDaily[Corporativo no tienda_average_order_value],0)</f>
        <v>0</v>
      </c>
      <c r="X120" s="11">
        <f>_xlfn.XLOOKUP(TableDailySummary[[#This Row],[Fecha]],SummaryDaily[day],SummaryDaily[GoogleAdsOperation.Cost],0)</f>
        <v>0</v>
      </c>
      <c r="Y120" s="11">
        <f>SUMIFS(SalesByUTMDaily[google],SalesByUTMDaily[day],TableDailySummary[[#This Row],[Fecha]])</f>
        <v>0</v>
      </c>
      <c r="Z120" s="11">
        <f>_xlfn.XLOOKUP(TableDailySummary[[#This Row],[Fecha]],SummaryDaily[day],SummaryDaily[MetaAdsOperation.spend],0)</f>
        <v>0</v>
      </c>
      <c r="AA120" s="11">
        <f>SUMIFS(SalesByUTMDaily[facebook],SalesByUTMDaily[day],TableDailySummary[[#This Row],[Fecha]])</f>
        <v>0</v>
      </c>
      <c r="AB120" s="11">
        <f>TableDailySummary[[#This Row],[Inversión google ads]]+TableDailySummary[[#This Row],[Inversión meta ads]]</f>
        <v>0</v>
      </c>
      <c r="AC120" s="11">
        <f>TableDailySummary[[#This Row],[Ventas google ads]]+TableDailySummary[[#This Row],[Ventas meta ads]]</f>
        <v>0</v>
      </c>
      <c r="AD120" s="14">
        <f>IFERROR(TableDailySummary[[#This Row],[Ventas publicidad]]/TableDailySummary[[#This Row],[Inversión publicidad]],0)</f>
        <v>0</v>
      </c>
      <c r="AE120" s="14">
        <f>IFERROR(TableDailySummary[[#This Row],[Ventas primer cliente]]/TableDailySummary[[#This Row],[Inversión publicidad]],0)</f>
        <v>0</v>
      </c>
      <c r="AF120" s="14"/>
      <c r="AG120" s="11"/>
      <c r="AM120" s="11">
        <f>_xlfn.XLOOKUP(TableDailySummary[[#This Row],[Fecha]],SummaryDaily[day],SummaryDaily[net_sales_with_cost_recorded],0)</f>
        <v>0</v>
      </c>
      <c r="AN120" s="11">
        <f>_xlfn.XLOOKUP(TableDailySummary[[#This Row],[Fecha]],SummaryDaily[day],SummaryDaily[cost_of_goods_sold],0)</f>
        <v>0</v>
      </c>
      <c r="AO120" s="11">
        <f>_xlfn.XLOOKUP(TableDailySummary[[#This Row],[Fecha]],SummaryDaily[day],SummaryDaily[gross_profit],0)</f>
        <v>0</v>
      </c>
      <c r="AP120" s="18">
        <f>IFERROR(TableDailySummary[[#This Row],[Utilidad bruta]]/TableDailySummary[[#This Row],[Ventas netas con costo registrado]],0)</f>
        <v>0</v>
      </c>
    </row>
    <row r="121" spans="2:42" x14ac:dyDescent="0.2">
      <c r="B121" s="15" cm="1">
        <f t="array" ref="B121">ParamFechaInicioReporte + (ROW(TableDailySummary[#This Row]) - ROW(TableDailySummary[[#Headers],[Dia]]) - 1)</f>
        <v>44648</v>
      </c>
      <c r="C121" s="6">
        <f>TableDailySummary[[#This Row],[Dia]]</f>
        <v>44648</v>
      </c>
      <c r="D121" s="11">
        <f>_xlfn.XLOOKUP(TableDailySummary[[#This Row],[Fecha]],SummaryDaily[day],SummaryDaily[net_sales],0)</f>
        <v>0</v>
      </c>
      <c r="E121" s="11">
        <f>_xlfn.XLOOKUP(TableDailySummary[[#This Row],[Fecha]],SummaryDaily[day],SummaryDaily[orders],0)</f>
        <v>0</v>
      </c>
      <c r="F121" s="11">
        <f>_xlfn.XLOOKUP(TableDailySummary[[#This Row],[Fecha]],SummaryDaily[day],SummaryDaily[average_order_value],0)</f>
        <v>0</v>
      </c>
      <c r="G121" s="24" cm="1">
        <f t="array" ref="G121">_xlfn.XLOOKUP(TableDailySummary[[#This Row],[Fecha]]&amp;"Total site",ConversionRateByReferral[day]&amp;ConversionRateByReferral[referrer_source],ConversionRateByReferral[conversion_rate],0)</f>
        <v>0</v>
      </c>
      <c r="H121" s="11">
        <f>TableDailySummary[[#This Row],[Órden promedio totales]]*TableDailySummary[[#This Row],[CR totales]]</f>
        <v>0</v>
      </c>
      <c r="I121" s="11">
        <f>_xlfn.XLOOKUP(TableDailySummary[[#This Row],[Fecha]],SummaryDaily[day],SummaryDaily[new_net_sales],0)</f>
        <v>0</v>
      </c>
      <c r="J121" s="11">
        <f>_xlfn.XLOOKUP(TableDailySummary[[#This Row],[Fecha]],SummaryDaily[day],SummaryDaily[new_orders],0)</f>
        <v>0</v>
      </c>
      <c r="K121" s="11">
        <f>_xlfn.XLOOKUP(TableDailySummary[[#This Row],[Fecha]],SummaryDaily[day],SummaryDaily[new_average_order_value],0)</f>
        <v>0</v>
      </c>
      <c r="L121" s="11">
        <f>_xlfn.XLOOKUP(TableDailySummary[[#This Row],[Fecha]],SummaryDaily[day],SummaryDaily[Online Store_net_sales],0)</f>
        <v>0</v>
      </c>
      <c r="M121" s="11">
        <f>_xlfn.XLOOKUP(TableDailySummary[[#This Row],[Fecha]],SummaryDaily[day],SummaryDaily[Online Store_orders],0)</f>
        <v>0</v>
      </c>
      <c r="N121" s="11">
        <f>_xlfn.XLOOKUP(TableDailySummary[[#This Row],[Fecha]],SummaryDaily[day],SummaryDaily[Online Store_average_order_value],0)</f>
        <v>0</v>
      </c>
      <c r="O121" s="11">
        <f>_xlfn.XLOOKUP(TableDailySummary[[#This Row],[Fecha]],SummaryDaily[day],SummaryDaily[Tienda 81_net_sales],0)</f>
        <v>0</v>
      </c>
      <c r="P121" s="11">
        <f>_xlfn.XLOOKUP(TableDailySummary[[#This Row],[Fecha]],SummaryDaily[day],SummaryDaily[Tienda 81_orders],0)</f>
        <v>0</v>
      </c>
      <c r="Q121" s="11">
        <f>_xlfn.XLOOKUP(TableDailySummary[[#This Row],[Fecha]],SummaryDaily[day],SummaryDaily[Tienda 81_average_order_value],0)</f>
        <v>0</v>
      </c>
      <c r="R121" s="11">
        <f>_xlfn.XLOOKUP(TableDailySummary[[#This Row],[Fecha]],SummaryDaily[day],SummaryDaily[Rappi_net_sales],0)</f>
        <v>0</v>
      </c>
      <c r="S121" s="11">
        <f>_xlfn.XLOOKUP(TableDailySummary[[#This Row],[Fecha]],SummaryDaily[day],SummaryDaily[Rappi_orders],0)</f>
        <v>0</v>
      </c>
      <c r="T121" s="11">
        <f>_xlfn.XLOOKUP(TableDailySummary[[#This Row],[Fecha]],SummaryDaily[day],SummaryDaily[Rappi_average_order_value],0)</f>
        <v>0</v>
      </c>
      <c r="U121" s="11">
        <f>_xlfn.XLOOKUP(TableDailySummary[[#This Row],[Fecha]],SummaryDaily[day],SummaryDaily[Corporativo no tienda_net_sales],0)</f>
        <v>0</v>
      </c>
      <c r="V121" s="11">
        <f>_xlfn.XLOOKUP(TableDailySummary[[#This Row],[Fecha]],SummaryDaily[day],SummaryDaily[Corporativo no tienda_orders],0)</f>
        <v>0</v>
      </c>
      <c r="W121" s="11">
        <f>_xlfn.XLOOKUP(TableDailySummary[[#This Row],[Fecha]],SummaryDaily[day],SummaryDaily[Corporativo no tienda_average_order_value],0)</f>
        <v>0</v>
      </c>
      <c r="X121" s="11">
        <f>_xlfn.XLOOKUP(TableDailySummary[[#This Row],[Fecha]],SummaryDaily[day],SummaryDaily[GoogleAdsOperation.Cost],0)</f>
        <v>0</v>
      </c>
      <c r="Y121" s="11">
        <f>SUMIFS(SalesByUTMDaily[google],SalesByUTMDaily[day],TableDailySummary[[#This Row],[Fecha]])</f>
        <v>0</v>
      </c>
      <c r="Z121" s="11">
        <f>_xlfn.XLOOKUP(TableDailySummary[[#This Row],[Fecha]],SummaryDaily[day],SummaryDaily[MetaAdsOperation.spend],0)</f>
        <v>0</v>
      </c>
      <c r="AA121" s="11">
        <f>SUMIFS(SalesByUTMDaily[facebook],SalesByUTMDaily[day],TableDailySummary[[#This Row],[Fecha]])</f>
        <v>0</v>
      </c>
      <c r="AB121" s="11">
        <f>TableDailySummary[[#This Row],[Inversión google ads]]+TableDailySummary[[#This Row],[Inversión meta ads]]</f>
        <v>0</v>
      </c>
      <c r="AC121" s="11">
        <f>TableDailySummary[[#This Row],[Ventas google ads]]+TableDailySummary[[#This Row],[Ventas meta ads]]</f>
        <v>0</v>
      </c>
      <c r="AD121" s="14">
        <f>IFERROR(TableDailySummary[[#This Row],[Ventas publicidad]]/TableDailySummary[[#This Row],[Inversión publicidad]],0)</f>
        <v>0</v>
      </c>
      <c r="AE121" s="14">
        <f>IFERROR(TableDailySummary[[#This Row],[Ventas primer cliente]]/TableDailySummary[[#This Row],[Inversión publicidad]],0)</f>
        <v>0</v>
      </c>
      <c r="AF121" s="14"/>
      <c r="AG121" s="11"/>
      <c r="AM121" s="11">
        <f>_xlfn.XLOOKUP(TableDailySummary[[#This Row],[Fecha]],SummaryDaily[day],SummaryDaily[net_sales_with_cost_recorded],0)</f>
        <v>0</v>
      </c>
      <c r="AN121" s="11">
        <f>_xlfn.XLOOKUP(TableDailySummary[[#This Row],[Fecha]],SummaryDaily[day],SummaryDaily[cost_of_goods_sold],0)</f>
        <v>0</v>
      </c>
      <c r="AO121" s="11">
        <f>_xlfn.XLOOKUP(TableDailySummary[[#This Row],[Fecha]],SummaryDaily[day],SummaryDaily[gross_profit],0)</f>
        <v>0</v>
      </c>
      <c r="AP121" s="18">
        <f>IFERROR(TableDailySummary[[#This Row],[Utilidad bruta]]/TableDailySummary[[#This Row],[Ventas netas con costo registrado]],0)</f>
        <v>0</v>
      </c>
    </row>
    <row r="122" spans="2:42" x14ac:dyDescent="0.2">
      <c r="B122" s="15" cm="1">
        <f t="array" ref="B122">ParamFechaInicioReporte + (ROW(TableDailySummary[#This Row]) - ROW(TableDailySummary[[#Headers],[Dia]]) - 1)</f>
        <v>44649</v>
      </c>
      <c r="C122" s="6">
        <f>TableDailySummary[[#This Row],[Dia]]</f>
        <v>44649</v>
      </c>
      <c r="D122" s="11">
        <f>_xlfn.XLOOKUP(TableDailySummary[[#This Row],[Fecha]],SummaryDaily[day],SummaryDaily[net_sales],0)</f>
        <v>0</v>
      </c>
      <c r="E122" s="11">
        <f>_xlfn.XLOOKUP(TableDailySummary[[#This Row],[Fecha]],SummaryDaily[day],SummaryDaily[orders],0)</f>
        <v>0</v>
      </c>
      <c r="F122" s="11">
        <f>_xlfn.XLOOKUP(TableDailySummary[[#This Row],[Fecha]],SummaryDaily[day],SummaryDaily[average_order_value],0)</f>
        <v>0</v>
      </c>
      <c r="G122" s="24" cm="1">
        <f t="array" ref="G122">_xlfn.XLOOKUP(TableDailySummary[[#This Row],[Fecha]]&amp;"Total site",ConversionRateByReferral[day]&amp;ConversionRateByReferral[referrer_source],ConversionRateByReferral[conversion_rate],0)</f>
        <v>0</v>
      </c>
      <c r="H122" s="11">
        <f>TableDailySummary[[#This Row],[Órden promedio totales]]*TableDailySummary[[#This Row],[CR totales]]</f>
        <v>0</v>
      </c>
      <c r="I122" s="11">
        <f>_xlfn.XLOOKUP(TableDailySummary[[#This Row],[Fecha]],SummaryDaily[day],SummaryDaily[new_net_sales],0)</f>
        <v>0</v>
      </c>
      <c r="J122" s="11">
        <f>_xlfn.XLOOKUP(TableDailySummary[[#This Row],[Fecha]],SummaryDaily[day],SummaryDaily[new_orders],0)</f>
        <v>0</v>
      </c>
      <c r="K122" s="11">
        <f>_xlfn.XLOOKUP(TableDailySummary[[#This Row],[Fecha]],SummaryDaily[day],SummaryDaily[new_average_order_value],0)</f>
        <v>0</v>
      </c>
      <c r="L122" s="11">
        <f>_xlfn.XLOOKUP(TableDailySummary[[#This Row],[Fecha]],SummaryDaily[day],SummaryDaily[Online Store_net_sales],0)</f>
        <v>0</v>
      </c>
      <c r="M122" s="11">
        <f>_xlfn.XLOOKUP(TableDailySummary[[#This Row],[Fecha]],SummaryDaily[day],SummaryDaily[Online Store_orders],0)</f>
        <v>0</v>
      </c>
      <c r="N122" s="11">
        <f>_xlfn.XLOOKUP(TableDailySummary[[#This Row],[Fecha]],SummaryDaily[day],SummaryDaily[Online Store_average_order_value],0)</f>
        <v>0</v>
      </c>
      <c r="O122" s="11">
        <f>_xlfn.XLOOKUP(TableDailySummary[[#This Row],[Fecha]],SummaryDaily[day],SummaryDaily[Tienda 81_net_sales],0)</f>
        <v>0</v>
      </c>
      <c r="P122" s="11">
        <f>_xlfn.XLOOKUP(TableDailySummary[[#This Row],[Fecha]],SummaryDaily[day],SummaryDaily[Tienda 81_orders],0)</f>
        <v>0</v>
      </c>
      <c r="Q122" s="11">
        <f>_xlfn.XLOOKUP(TableDailySummary[[#This Row],[Fecha]],SummaryDaily[day],SummaryDaily[Tienda 81_average_order_value],0)</f>
        <v>0</v>
      </c>
      <c r="R122" s="11">
        <f>_xlfn.XLOOKUP(TableDailySummary[[#This Row],[Fecha]],SummaryDaily[day],SummaryDaily[Rappi_net_sales],0)</f>
        <v>0</v>
      </c>
      <c r="S122" s="11">
        <f>_xlfn.XLOOKUP(TableDailySummary[[#This Row],[Fecha]],SummaryDaily[day],SummaryDaily[Rappi_orders],0)</f>
        <v>0</v>
      </c>
      <c r="T122" s="11">
        <f>_xlfn.XLOOKUP(TableDailySummary[[#This Row],[Fecha]],SummaryDaily[day],SummaryDaily[Rappi_average_order_value],0)</f>
        <v>0</v>
      </c>
      <c r="U122" s="11">
        <f>_xlfn.XLOOKUP(TableDailySummary[[#This Row],[Fecha]],SummaryDaily[day],SummaryDaily[Corporativo no tienda_net_sales],0)</f>
        <v>0</v>
      </c>
      <c r="V122" s="11">
        <f>_xlfn.XLOOKUP(TableDailySummary[[#This Row],[Fecha]],SummaryDaily[day],SummaryDaily[Corporativo no tienda_orders],0)</f>
        <v>0</v>
      </c>
      <c r="W122" s="11">
        <f>_xlfn.XLOOKUP(TableDailySummary[[#This Row],[Fecha]],SummaryDaily[day],SummaryDaily[Corporativo no tienda_average_order_value],0)</f>
        <v>0</v>
      </c>
      <c r="X122" s="11">
        <f>_xlfn.XLOOKUP(TableDailySummary[[#This Row],[Fecha]],SummaryDaily[day],SummaryDaily[GoogleAdsOperation.Cost],0)</f>
        <v>0</v>
      </c>
      <c r="Y122" s="11">
        <f>SUMIFS(SalesByUTMDaily[google],SalesByUTMDaily[day],TableDailySummary[[#This Row],[Fecha]])</f>
        <v>0</v>
      </c>
      <c r="Z122" s="11">
        <f>_xlfn.XLOOKUP(TableDailySummary[[#This Row],[Fecha]],SummaryDaily[day],SummaryDaily[MetaAdsOperation.spend],0)</f>
        <v>0</v>
      </c>
      <c r="AA122" s="11">
        <f>SUMIFS(SalesByUTMDaily[facebook],SalesByUTMDaily[day],TableDailySummary[[#This Row],[Fecha]])</f>
        <v>0</v>
      </c>
      <c r="AB122" s="11">
        <f>TableDailySummary[[#This Row],[Inversión google ads]]+TableDailySummary[[#This Row],[Inversión meta ads]]</f>
        <v>0</v>
      </c>
      <c r="AC122" s="11">
        <f>TableDailySummary[[#This Row],[Ventas google ads]]+TableDailySummary[[#This Row],[Ventas meta ads]]</f>
        <v>0</v>
      </c>
      <c r="AD122" s="14">
        <f>IFERROR(TableDailySummary[[#This Row],[Ventas publicidad]]/TableDailySummary[[#This Row],[Inversión publicidad]],0)</f>
        <v>0</v>
      </c>
      <c r="AE122" s="14">
        <f>IFERROR(TableDailySummary[[#This Row],[Ventas primer cliente]]/TableDailySummary[[#This Row],[Inversión publicidad]],0)</f>
        <v>0</v>
      </c>
      <c r="AF122" s="14"/>
      <c r="AG122" s="11"/>
      <c r="AM122" s="11">
        <f>_xlfn.XLOOKUP(TableDailySummary[[#This Row],[Fecha]],SummaryDaily[day],SummaryDaily[net_sales_with_cost_recorded],0)</f>
        <v>0</v>
      </c>
      <c r="AN122" s="11">
        <f>_xlfn.XLOOKUP(TableDailySummary[[#This Row],[Fecha]],SummaryDaily[day],SummaryDaily[cost_of_goods_sold],0)</f>
        <v>0</v>
      </c>
      <c r="AO122" s="11">
        <f>_xlfn.XLOOKUP(TableDailySummary[[#This Row],[Fecha]],SummaryDaily[day],SummaryDaily[gross_profit],0)</f>
        <v>0</v>
      </c>
      <c r="AP122" s="18">
        <f>IFERROR(TableDailySummary[[#This Row],[Utilidad bruta]]/TableDailySummary[[#This Row],[Ventas netas con costo registrado]],0)</f>
        <v>0</v>
      </c>
    </row>
    <row r="123" spans="2:42" x14ac:dyDescent="0.2">
      <c r="B123" s="15" cm="1">
        <f t="array" ref="B123">ParamFechaInicioReporte + (ROW(TableDailySummary[#This Row]) - ROW(TableDailySummary[[#Headers],[Dia]]) - 1)</f>
        <v>44650</v>
      </c>
      <c r="C123" s="6">
        <f>TableDailySummary[[#This Row],[Dia]]</f>
        <v>44650</v>
      </c>
      <c r="D123" s="11">
        <f>_xlfn.XLOOKUP(TableDailySummary[[#This Row],[Fecha]],SummaryDaily[day],SummaryDaily[net_sales],0)</f>
        <v>0</v>
      </c>
      <c r="E123" s="11">
        <f>_xlfn.XLOOKUP(TableDailySummary[[#This Row],[Fecha]],SummaryDaily[day],SummaryDaily[orders],0)</f>
        <v>0</v>
      </c>
      <c r="F123" s="11">
        <f>_xlfn.XLOOKUP(TableDailySummary[[#This Row],[Fecha]],SummaryDaily[day],SummaryDaily[average_order_value],0)</f>
        <v>0</v>
      </c>
      <c r="G123" s="24" cm="1">
        <f t="array" ref="G123">_xlfn.XLOOKUP(TableDailySummary[[#This Row],[Fecha]]&amp;"Total site",ConversionRateByReferral[day]&amp;ConversionRateByReferral[referrer_source],ConversionRateByReferral[conversion_rate],0)</f>
        <v>0</v>
      </c>
      <c r="H123" s="11">
        <f>TableDailySummary[[#This Row],[Órden promedio totales]]*TableDailySummary[[#This Row],[CR totales]]</f>
        <v>0</v>
      </c>
      <c r="I123" s="11">
        <f>_xlfn.XLOOKUP(TableDailySummary[[#This Row],[Fecha]],SummaryDaily[day],SummaryDaily[new_net_sales],0)</f>
        <v>0</v>
      </c>
      <c r="J123" s="11">
        <f>_xlfn.XLOOKUP(TableDailySummary[[#This Row],[Fecha]],SummaryDaily[day],SummaryDaily[new_orders],0)</f>
        <v>0</v>
      </c>
      <c r="K123" s="11">
        <f>_xlfn.XLOOKUP(TableDailySummary[[#This Row],[Fecha]],SummaryDaily[day],SummaryDaily[new_average_order_value],0)</f>
        <v>0</v>
      </c>
      <c r="L123" s="11">
        <f>_xlfn.XLOOKUP(TableDailySummary[[#This Row],[Fecha]],SummaryDaily[day],SummaryDaily[Online Store_net_sales],0)</f>
        <v>0</v>
      </c>
      <c r="M123" s="11">
        <f>_xlfn.XLOOKUP(TableDailySummary[[#This Row],[Fecha]],SummaryDaily[day],SummaryDaily[Online Store_orders],0)</f>
        <v>0</v>
      </c>
      <c r="N123" s="11">
        <f>_xlfn.XLOOKUP(TableDailySummary[[#This Row],[Fecha]],SummaryDaily[day],SummaryDaily[Online Store_average_order_value],0)</f>
        <v>0</v>
      </c>
      <c r="O123" s="11">
        <f>_xlfn.XLOOKUP(TableDailySummary[[#This Row],[Fecha]],SummaryDaily[day],SummaryDaily[Tienda 81_net_sales],0)</f>
        <v>0</v>
      </c>
      <c r="P123" s="11">
        <f>_xlfn.XLOOKUP(TableDailySummary[[#This Row],[Fecha]],SummaryDaily[day],SummaryDaily[Tienda 81_orders],0)</f>
        <v>0</v>
      </c>
      <c r="Q123" s="11">
        <f>_xlfn.XLOOKUP(TableDailySummary[[#This Row],[Fecha]],SummaryDaily[day],SummaryDaily[Tienda 81_average_order_value],0)</f>
        <v>0</v>
      </c>
      <c r="R123" s="11">
        <f>_xlfn.XLOOKUP(TableDailySummary[[#This Row],[Fecha]],SummaryDaily[day],SummaryDaily[Rappi_net_sales],0)</f>
        <v>0</v>
      </c>
      <c r="S123" s="11">
        <f>_xlfn.XLOOKUP(TableDailySummary[[#This Row],[Fecha]],SummaryDaily[day],SummaryDaily[Rappi_orders],0)</f>
        <v>0</v>
      </c>
      <c r="T123" s="11">
        <f>_xlfn.XLOOKUP(TableDailySummary[[#This Row],[Fecha]],SummaryDaily[day],SummaryDaily[Rappi_average_order_value],0)</f>
        <v>0</v>
      </c>
      <c r="U123" s="11">
        <f>_xlfn.XLOOKUP(TableDailySummary[[#This Row],[Fecha]],SummaryDaily[day],SummaryDaily[Corporativo no tienda_net_sales],0)</f>
        <v>0</v>
      </c>
      <c r="V123" s="11">
        <f>_xlfn.XLOOKUP(TableDailySummary[[#This Row],[Fecha]],SummaryDaily[day],SummaryDaily[Corporativo no tienda_orders],0)</f>
        <v>0</v>
      </c>
      <c r="W123" s="11">
        <f>_xlfn.XLOOKUP(TableDailySummary[[#This Row],[Fecha]],SummaryDaily[day],SummaryDaily[Corporativo no tienda_average_order_value],0)</f>
        <v>0</v>
      </c>
      <c r="X123" s="11">
        <f>_xlfn.XLOOKUP(TableDailySummary[[#This Row],[Fecha]],SummaryDaily[day],SummaryDaily[GoogleAdsOperation.Cost],0)</f>
        <v>0</v>
      </c>
      <c r="Y123" s="11">
        <f>SUMIFS(SalesByUTMDaily[google],SalesByUTMDaily[day],TableDailySummary[[#This Row],[Fecha]])</f>
        <v>0</v>
      </c>
      <c r="Z123" s="11">
        <f>_xlfn.XLOOKUP(TableDailySummary[[#This Row],[Fecha]],SummaryDaily[day],SummaryDaily[MetaAdsOperation.spend],0)</f>
        <v>0</v>
      </c>
      <c r="AA123" s="11">
        <f>SUMIFS(SalesByUTMDaily[facebook],SalesByUTMDaily[day],TableDailySummary[[#This Row],[Fecha]])</f>
        <v>0</v>
      </c>
      <c r="AB123" s="11">
        <f>TableDailySummary[[#This Row],[Inversión google ads]]+TableDailySummary[[#This Row],[Inversión meta ads]]</f>
        <v>0</v>
      </c>
      <c r="AC123" s="11">
        <f>TableDailySummary[[#This Row],[Ventas google ads]]+TableDailySummary[[#This Row],[Ventas meta ads]]</f>
        <v>0</v>
      </c>
      <c r="AD123" s="14">
        <f>IFERROR(TableDailySummary[[#This Row],[Ventas publicidad]]/TableDailySummary[[#This Row],[Inversión publicidad]],0)</f>
        <v>0</v>
      </c>
      <c r="AE123" s="14">
        <f>IFERROR(TableDailySummary[[#This Row],[Ventas primer cliente]]/TableDailySummary[[#This Row],[Inversión publicidad]],0)</f>
        <v>0</v>
      </c>
      <c r="AF123" s="14"/>
      <c r="AG123" s="11"/>
      <c r="AM123" s="11">
        <f>_xlfn.XLOOKUP(TableDailySummary[[#This Row],[Fecha]],SummaryDaily[day],SummaryDaily[net_sales_with_cost_recorded],0)</f>
        <v>0</v>
      </c>
      <c r="AN123" s="11">
        <f>_xlfn.XLOOKUP(TableDailySummary[[#This Row],[Fecha]],SummaryDaily[day],SummaryDaily[cost_of_goods_sold],0)</f>
        <v>0</v>
      </c>
      <c r="AO123" s="11">
        <f>_xlfn.XLOOKUP(TableDailySummary[[#This Row],[Fecha]],SummaryDaily[day],SummaryDaily[gross_profit],0)</f>
        <v>0</v>
      </c>
      <c r="AP123" s="18">
        <f>IFERROR(TableDailySummary[[#This Row],[Utilidad bruta]]/TableDailySummary[[#This Row],[Ventas netas con costo registrado]],0)</f>
        <v>0</v>
      </c>
    </row>
    <row r="124" spans="2:42" x14ac:dyDescent="0.2">
      <c r="B124" s="15" cm="1">
        <f t="array" ref="B124">ParamFechaInicioReporte + (ROW(TableDailySummary[#This Row]) - ROW(TableDailySummary[[#Headers],[Dia]]) - 1)</f>
        <v>44651</v>
      </c>
      <c r="C124" s="6">
        <f>TableDailySummary[[#This Row],[Dia]]</f>
        <v>44651</v>
      </c>
      <c r="D124" s="11">
        <f>_xlfn.XLOOKUP(TableDailySummary[[#This Row],[Fecha]],SummaryDaily[day],SummaryDaily[net_sales],0)</f>
        <v>0</v>
      </c>
      <c r="E124" s="11">
        <f>_xlfn.XLOOKUP(TableDailySummary[[#This Row],[Fecha]],SummaryDaily[day],SummaryDaily[orders],0)</f>
        <v>0</v>
      </c>
      <c r="F124" s="11">
        <f>_xlfn.XLOOKUP(TableDailySummary[[#This Row],[Fecha]],SummaryDaily[day],SummaryDaily[average_order_value],0)</f>
        <v>0</v>
      </c>
      <c r="G124" s="24" cm="1">
        <f t="array" ref="G124">_xlfn.XLOOKUP(TableDailySummary[[#This Row],[Fecha]]&amp;"Total site",ConversionRateByReferral[day]&amp;ConversionRateByReferral[referrer_source],ConversionRateByReferral[conversion_rate],0)</f>
        <v>0</v>
      </c>
      <c r="H124" s="11">
        <f>TableDailySummary[[#This Row],[Órden promedio totales]]*TableDailySummary[[#This Row],[CR totales]]</f>
        <v>0</v>
      </c>
      <c r="I124" s="11">
        <f>_xlfn.XLOOKUP(TableDailySummary[[#This Row],[Fecha]],SummaryDaily[day],SummaryDaily[new_net_sales],0)</f>
        <v>0</v>
      </c>
      <c r="J124" s="11">
        <f>_xlfn.XLOOKUP(TableDailySummary[[#This Row],[Fecha]],SummaryDaily[day],SummaryDaily[new_orders],0)</f>
        <v>0</v>
      </c>
      <c r="K124" s="11">
        <f>_xlfn.XLOOKUP(TableDailySummary[[#This Row],[Fecha]],SummaryDaily[day],SummaryDaily[new_average_order_value],0)</f>
        <v>0</v>
      </c>
      <c r="L124" s="11">
        <f>_xlfn.XLOOKUP(TableDailySummary[[#This Row],[Fecha]],SummaryDaily[day],SummaryDaily[Online Store_net_sales],0)</f>
        <v>0</v>
      </c>
      <c r="M124" s="11">
        <f>_xlfn.XLOOKUP(TableDailySummary[[#This Row],[Fecha]],SummaryDaily[day],SummaryDaily[Online Store_orders],0)</f>
        <v>0</v>
      </c>
      <c r="N124" s="11">
        <f>_xlfn.XLOOKUP(TableDailySummary[[#This Row],[Fecha]],SummaryDaily[day],SummaryDaily[Online Store_average_order_value],0)</f>
        <v>0</v>
      </c>
      <c r="O124" s="11">
        <f>_xlfn.XLOOKUP(TableDailySummary[[#This Row],[Fecha]],SummaryDaily[day],SummaryDaily[Tienda 81_net_sales],0)</f>
        <v>0</v>
      </c>
      <c r="P124" s="11">
        <f>_xlfn.XLOOKUP(TableDailySummary[[#This Row],[Fecha]],SummaryDaily[day],SummaryDaily[Tienda 81_orders],0)</f>
        <v>0</v>
      </c>
      <c r="Q124" s="11">
        <f>_xlfn.XLOOKUP(TableDailySummary[[#This Row],[Fecha]],SummaryDaily[day],SummaryDaily[Tienda 81_average_order_value],0)</f>
        <v>0</v>
      </c>
      <c r="R124" s="11">
        <f>_xlfn.XLOOKUP(TableDailySummary[[#This Row],[Fecha]],SummaryDaily[day],SummaryDaily[Rappi_net_sales],0)</f>
        <v>0</v>
      </c>
      <c r="S124" s="11">
        <f>_xlfn.XLOOKUP(TableDailySummary[[#This Row],[Fecha]],SummaryDaily[day],SummaryDaily[Rappi_orders],0)</f>
        <v>0</v>
      </c>
      <c r="T124" s="11">
        <f>_xlfn.XLOOKUP(TableDailySummary[[#This Row],[Fecha]],SummaryDaily[day],SummaryDaily[Rappi_average_order_value],0)</f>
        <v>0</v>
      </c>
      <c r="U124" s="11">
        <f>_xlfn.XLOOKUP(TableDailySummary[[#This Row],[Fecha]],SummaryDaily[day],SummaryDaily[Corporativo no tienda_net_sales],0)</f>
        <v>0</v>
      </c>
      <c r="V124" s="11">
        <f>_xlfn.XLOOKUP(TableDailySummary[[#This Row],[Fecha]],SummaryDaily[day],SummaryDaily[Corporativo no tienda_orders],0)</f>
        <v>0</v>
      </c>
      <c r="W124" s="11">
        <f>_xlfn.XLOOKUP(TableDailySummary[[#This Row],[Fecha]],SummaryDaily[day],SummaryDaily[Corporativo no tienda_average_order_value],0)</f>
        <v>0</v>
      </c>
      <c r="X124" s="11">
        <f>_xlfn.XLOOKUP(TableDailySummary[[#This Row],[Fecha]],SummaryDaily[day],SummaryDaily[GoogleAdsOperation.Cost],0)</f>
        <v>0</v>
      </c>
      <c r="Y124" s="11">
        <f>SUMIFS(SalesByUTMDaily[google],SalesByUTMDaily[day],TableDailySummary[[#This Row],[Fecha]])</f>
        <v>0</v>
      </c>
      <c r="Z124" s="11">
        <f>_xlfn.XLOOKUP(TableDailySummary[[#This Row],[Fecha]],SummaryDaily[day],SummaryDaily[MetaAdsOperation.spend],0)</f>
        <v>0</v>
      </c>
      <c r="AA124" s="11">
        <f>SUMIFS(SalesByUTMDaily[facebook],SalesByUTMDaily[day],TableDailySummary[[#This Row],[Fecha]])</f>
        <v>0</v>
      </c>
      <c r="AB124" s="11">
        <f>TableDailySummary[[#This Row],[Inversión google ads]]+TableDailySummary[[#This Row],[Inversión meta ads]]</f>
        <v>0</v>
      </c>
      <c r="AC124" s="11">
        <f>TableDailySummary[[#This Row],[Ventas google ads]]+TableDailySummary[[#This Row],[Ventas meta ads]]</f>
        <v>0</v>
      </c>
      <c r="AD124" s="14">
        <f>IFERROR(TableDailySummary[[#This Row],[Ventas publicidad]]/TableDailySummary[[#This Row],[Inversión publicidad]],0)</f>
        <v>0</v>
      </c>
      <c r="AE124" s="14">
        <f>IFERROR(TableDailySummary[[#This Row],[Ventas primer cliente]]/TableDailySummary[[#This Row],[Inversión publicidad]],0)</f>
        <v>0</v>
      </c>
      <c r="AF124" s="14"/>
      <c r="AG124" s="11"/>
      <c r="AM124" s="11">
        <f>_xlfn.XLOOKUP(TableDailySummary[[#This Row],[Fecha]],SummaryDaily[day],SummaryDaily[net_sales_with_cost_recorded],0)</f>
        <v>0</v>
      </c>
      <c r="AN124" s="11">
        <f>_xlfn.XLOOKUP(TableDailySummary[[#This Row],[Fecha]],SummaryDaily[day],SummaryDaily[cost_of_goods_sold],0)</f>
        <v>0</v>
      </c>
      <c r="AO124" s="11">
        <f>_xlfn.XLOOKUP(TableDailySummary[[#This Row],[Fecha]],SummaryDaily[day],SummaryDaily[gross_profit],0)</f>
        <v>0</v>
      </c>
      <c r="AP124" s="18">
        <f>IFERROR(TableDailySummary[[#This Row],[Utilidad bruta]]/TableDailySummary[[#This Row],[Ventas netas con costo registrado]],0)</f>
        <v>0</v>
      </c>
    </row>
    <row r="125" spans="2:42" x14ac:dyDescent="0.2">
      <c r="B125" s="15" cm="1">
        <f t="array" ref="B125">ParamFechaInicioReporte + (ROW(TableDailySummary[#This Row]) - ROW(TableDailySummary[[#Headers],[Dia]]) - 1)</f>
        <v>44652</v>
      </c>
      <c r="C125" s="6">
        <f>TableDailySummary[[#This Row],[Dia]]</f>
        <v>44652</v>
      </c>
      <c r="D125" s="11">
        <f>_xlfn.XLOOKUP(TableDailySummary[[#This Row],[Fecha]],SummaryDaily[day],SummaryDaily[net_sales],0)</f>
        <v>0</v>
      </c>
      <c r="E125" s="11">
        <f>_xlfn.XLOOKUP(TableDailySummary[[#This Row],[Fecha]],SummaryDaily[day],SummaryDaily[orders],0)</f>
        <v>0</v>
      </c>
      <c r="F125" s="11">
        <f>_xlfn.XLOOKUP(TableDailySummary[[#This Row],[Fecha]],SummaryDaily[day],SummaryDaily[average_order_value],0)</f>
        <v>0</v>
      </c>
      <c r="G125" s="24" cm="1">
        <f t="array" ref="G125">_xlfn.XLOOKUP(TableDailySummary[[#This Row],[Fecha]]&amp;"Total site",ConversionRateByReferral[day]&amp;ConversionRateByReferral[referrer_source],ConversionRateByReferral[conversion_rate],0)</f>
        <v>0</v>
      </c>
      <c r="H125" s="11">
        <f>TableDailySummary[[#This Row],[Órden promedio totales]]*TableDailySummary[[#This Row],[CR totales]]</f>
        <v>0</v>
      </c>
      <c r="I125" s="11">
        <f>_xlfn.XLOOKUP(TableDailySummary[[#This Row],[Fecha]],SummaryDaily[day],SummaryDaily[new_net_sales],0)</f>
        <v>0</v>
      </c>
      <c r="J125" s="11">
        <f>_xlfn.XLOOKUP(TableDailySummary[[#This Row],[Fecha]],SummaryDaily[day],SummaryDaily[new_orders],0)</f>
        <v>0</v>
      </c>
      <c r="K125" s="11">
        <f>_xlfn.XLOOKUP(TableDailySummary[[#This Row],[Fecha]],SummaryDaily[day],SummaryDaily[new_average_order_value],0)</f>
        <v>0</v>
      </c>
      <c r="L125" s="11">
        <f>_xlfn.XLOOKUP(TableDailySummary[[#This Row],[Fecha]],SummaryDaily[day],SummaryDaily[Online Store_net_sales],0)</f>
        <v>0</v>
      </c>
      <c r="M125" s="11">
        <f>_xlfn.XLOOKUP(TableDailySummary[[#This Row],[Fecha]],SummaryDaily[day],SummaryDaily[Online Store_orders],0)</f>
        <v>0</v>
      </c>
      <c r="N125" s="11">
        <f>_xlfn.XLOOKUP(TableDailySummary[[#This Row],[Fecha]],SummaryDaily[day],SummaryDaily[Online Store_average_order_value],0)</f>
        <v>0</v>
      </c>
      <c r="O125" s="11">
        <f>_xlfn.XLOOKUP(TableDailySummary[[#This Row],[Fecha]],SummaryDaily[day],SummaryDaily[Tienda 81_net_sales],0)</f>
        <v>0</v>
      </c>
      <c r="P125" s="11">
        <f>_xlfn.XLOOKUP(TableDailySummary[[#This Row],[Fecha]],SummaryDaily[day],SummaryDaily[Tienda 81_orders],0)</f>
        <v>0</v>
      </c>
      <c r="Q125" s="11">
        <f>_xlfn.XLOOKUP(TableDailySummary[[#This Row],[Fecha]],SummaryDaily[day],SummaryDaily[Tienda 81_average_order_value],0)</f>
        <v>0</v>
      </c>
      <c r="R125" s="11">
        <f>_xlfn.XLOOKUP(TableDailySummary[[#This Row],[Fecha]],SummaryDaily[day],SummaryDaily[Rappi_net_sales],0)</f>
        <v>0</v>
      </c>
      <c r="S125" s="11">
        <f>_xlfn.XLOOKUP(TableDailySummary[[#This Row],[Fecha]],SummaryDaily[day],SummaryDaily[Rappi_orders],0)</f>
        <v>0</v>
      </c>
      <c r="T125" s="11">
        <f>_xlfn.XLOOKUP(TableDailySummary[[#This Row],[Fecha]],SummaryDaily[day],SummaryDaily[Rappi_average_order_value],0)</f>
        <v>0</v>
      </c>
      <c r="U125" s="11">
        <f>_xlfn.XLOOKUP(TableDailySummary[[#This Row],[Fecha]],SummaryDaily[day],SummaryDaily[Corporativo no tienda_net_sales],0)</f>
        <v>0</v>
      </c>
      <c r="V125" s="11">
        <f>_xlfn.XLOOKUP(TableDailySummary[[#This Row],[Fecha]],SummaryDaily[day],SummaryDaily[Corporativo no tienda_orders],0)</f>
        <v>0</v>
      </c>
      <c r="W125" s="11">
        <f>_xlfn.XLOOKUP(TableDailySummary[[#This Row],[Fecha]],SummaryDaily[day],SummaryDaily[Corporativo no tienda_average_order_value],0)</f>
        <v>0</v>
      </c>
      <c r="X125" s="11">
        <f>_xlfn.XLOOKUP(TableDailySummary[[#This Row],[Fecha]],SummaryDaily[day],SummaryDaily[GoogleAdsOperation.Cost],0)</f>
        <v>0</v>
      </c>
      <c r="Y125" s="11">
        <f>SUMIFS(SalesByUTMDaily[google],SalesByUTMDaily[day],TableDailySummary[[#This Row],[Fecha]])</f>
        <v>0</v>
      </c>
      <c r="Z125" s="11">
        <f>_xlfn.XLOOKUP(TableDailySummary[[#This Row],[Fecha]],SummaryDaily[day],SummaryDaily[MetaAdsOperation.spend],0)</f>
        <v>0</v>
      </c>
      <c r="AA125" s="11">
        <f>SUMIFS(SalesByUTMDaily[facebook],SalesByUTMDaily[day],TableDailySummary[[#This Row],[Fecha]])</f>
        <v>0</v>
      </c>
      <c r="AB125" s="11">
        <f>TableDailySummary[[#This Row],[Inversión google ads]]+TableDailySummary[[#This Row],[Inversión meta ads]]</f>
        <v>0</v>
      </c>
      <c r="AC125" s="11">
        <f>TableDailySummary[[#This Row],[Ventas google ads]]+TableDailySummary[[#This Row],[Ventas meta ads]]</f>
        <v>0</v>
      </c>
      <c r="AD125" s="14">
        <f>IFERROR(TableDailySummary[[#This Row],[Ventas publicidad]]/TableDailySummary[[#This Row],[Inversión publicidad]],0)</f>
        <v>0</v>
      </c>
      <c r="AE125" s="14">
        <f>IFERROR(TableDailySummary[[#This Row],[Ventas primer cliente]]/TableDailySummary[[#This Row],[Inversión publicidad]],0)</f>
        <v>0</v>
      </c>
      <c r="AF125" s="14"/>
      <c r="AG125" s="11"/>
      <c r="AM125" s="11">
        <f>_xlfn.XLOOKUP(TableDailySummary[[#This Row],[Fecha]],SummaryDaily[day],SummaryDaily[net_sales_with_cost_recorded],0)</f>
        <v>0</v>
      </c>
      <c r="AN125" s="11">
        <f>_xlfn.XLOOKUP(TableDailySummary[[#This Row],[Fecha]],SummaryDaily[day],SummaryDaily[cost_of_goods_sold],0)</f>
        <v>0</v>
      </c>
      <c r="AO125" s="11">
        <f>_xlfn.XLOOKUP(TableDailySummary[[#This Row],[Fecha]],SummaryDaily[day],SummaryDaily[gross_profit],0)</f>
        <v>0</v>
      </c>
      <c r="AP125" s="18">
        <f>IFERROR(TableDailySummary[[#This Row],[Utilidad bruta]]/TableDailySummary[[#This Row],[Ventas netas con costo registrado]],0)</f>
        <v>0</v>
      </c>
    </row>
    <row r="126" spans="2:42" x14ac:dyDescent="0.2">
      <c r="B126" s="15" cm="1">
        <f t="array" ref="B126">ParamFechaInicioReporte + (ROW(TableDailySummary[#This Row]) - ROW(TableDailySummary[[#Headers],[Dia]]) - 1)</f>
        <v>44653</v>
      </c>
      <c r="C126" s="6">
        <f>TableDailySummary[[#This Row],[Dia]]</f>
        <v>44653</v>
      </c>
      <c r="D126" s="11">
        <f>_xlfn.XLOOKUP(TableDailySummary[[#This Row],[Fecha]],SummaryDaily[day],SummaryDaily[net_sales],0)</f>
        <v>0</v>
      </c>
      <c r="E126" s="11">
        <f>_xlfn.XLOOKUP(TableDailySummary[[#This Row],[Fecha]],SummaryDaily[day],SummaryDaily[orders],0)</f>
        <v>0</v>
      </c>
      <c r="F126" s="11">
        <f>_xlfn.XLOOKUP(TableDailySummary[[#This Row],[Fecha]],SummaryDaily[day],SummaryDaily[average_order_value],0)</f>
        <v>0</v>
      </c>
      <c r="G126" s="24" cm="1">
        <f t="array" ref="G126">_xlfn.XLOOKUP(TableDailySummary[[#This Row],[Fecha]]&amp;"Total site",ConversionRateByReferral[day]&amp;ConversionRateByReferral[referrer_source],ConversionRateByReferral[conversion_rate],0)</f>
        <v>0</v>
      </c>
      <c r="H126" s="11">
        <f>TableDailySummary[[#This Row],[Órden promedio totales]]*TableDailySummary[[#This Row],[CR totales]]</f>
        <v>0</v>
      </c>
      <c r="I126" s="11">
        <f>_xlfn.XLOOKUP(TableDailySummary[[#This Row],[Fecha]],SummaryDaily[day],SummaryDaily[new_net_sales],0)</f>
        <v>0</v>
      </c>
      <c r="J126" s="11">
        <f>_xlfn.XLOOKUP(TableDailySummary[[#This Row],[Fecha]],SummaryDaily[day],SummaryDaily[new_orders],0)</f>
        <v>0</v>
      </c>
      <c r="K126" s="11">
        <f>_xlfn.XLOOKUP(TableDailySummary[[#This Row],[Fecha]],SummaryDaily[day],SummaryDaily[new_average_order_value],0)</f>
        <v>0</v>
      </c>
      <c r="L126" s="11">
        <f>_xlfn.XLOOKUP(TableDailySummary[[#This Row],[Fecha]],SummaryDaily[day],SummaryDaily[Online Store_net_sales],0)</f>
        <v>0</v>
      </c>
      <c r="M126" s="11">
        <f>_xlfn.XLOOKUP(TableDailySummary[[#This Row],[Fecha]],SummaryDaily[day],SummaryDaily[Online Store_orders],0)</f>
        <v>0</v>
      </c>
      <c r="N126" s="11">
        <f>_xlfn.XLOOKUP(TableDailySummary[[#This Row],[Fecha]],SummaryDaily[day],SummaryDaily[Online Store_average_order_value],0)</f>
        <v>0</v>
      </c>
      <c r="O126" s="11">
        <f>_xlfn.XLOOKUP(TableDailySummary[[#This Row],[Fecha]],SummaryDaily[day],SummaryDaily[Tienda 81_net_sales],0)</f>
        <v>0</v>
      </c>
      <c r="P126" s="11">
        <f>_xlfn.XLOOKUP(TableDailySummary[[#This Row],[Fecha]],SummaryDaily[day],SummaryDaily[Tienda 81_orders],0)</f>
        <v>0</v>
      </c>
      <c r="Q126" s="11">
        <f>_xlfn.XLOOKUP(TableDailySummary[[#This Row],[Fecha]],SummaryDaily[day],SummaryDaily[Tienda 81_average_order_value],0)</f>
        <v>0</v>
      </c>
      <c r="R126" s="11">
        <f>_xlfn.XLOOKUP(TableDailySummary[[#This Row],[Fecha]],SummaryDaily[day],SummaryDaily[Rappi_net_sales],0)</f>
        <v>0</v>
      </c>
      <c r="S126" s="11">
        <f>_xlfn.XLOOKUP(TableDailySummary[[#This Row],[Fecha]],SummaryDaily[day],SummaryDaily[Rappi_orders],0)</f>
        <v>0</v>
      </c>
      <c r="T126" s="11">
        <f>_xlfn.XLOOKUP(TableDailySummary[[#This Row],[Fecha]],SummaryDaily[day],SummaryDaily[Rappi_average_order_value],0)</f>
        <v>0</v>
      </c>
      <c r="U126" s="11">
        <f>_xlfn.XLOOKUP(TableDailySummary[[#This Row],[Fecha]],SummaryDaily[day],SummaryDaily[Corporativo no tienda_net_sales],0)</f>
        <v>0</v>
      </c>
      <c r="V126" s="11">
        <f>_xlfn.XLOOKUP(TableDailySummary[[#This Row],[Fecha]],SummaryDaily[day],SummaryDaily[Corporativo no tienda_orders],0)</f>
        <v>0</v>
      </c>
      <c r="W126" s="11">
        <f>_xlfn.XLOOKUP(TableDailySummary[[#This Row],[Fecha]],SummaryDaily[day],SummaryDaily[Corporativo no tienda_average_order_value],0)</f>
        <v>0</v>
      </c>
      <c r="X126" s="11">
        <f>_xlfn.XLOOKUP(TableDailySummary[[#This Row],[Fecha]],SummaryDaily[day],SummaryDaily[GoogleAdsOperation.Cost],0)</f>
        <v>0</v>
      </c>
      <c r="Y126" s="11">
        <f>SUMIFS(SalesByUTMDaily[google],SalesByUTMDaily[day],TableDailySummary[[#This Row],[Fecha]])</f>
        <v>0</v>
      </c>
      <c r="Z126" s="11">
        <f>_xlfn.XLOOKUP(TableDailySummary[[#This Row],[Fecha]],SummaryDaily[day],SummaryDaily[MetaAdsOperation.spend],0)</f>
        <v>0</v>
      </c>
      <c r="AA126" s="11">
        <f>SUMIFS(SalesByUTMDaily[facebook],SalesByUTMDaily[day],TableDailySummary[[#This Row],[Fecha]])</f>
        <v>0</v>
      </c>
      <c r="AB126" s="11">
        <f>TableDailySummary[[#This Row],[Inversión google ads]]+TableDailySummary[[#This Row],[Inversión meta ads]]</f>
        <v>0</v>
      </c>
      <c r="AC126" s="11">
        <f>TableDailySummary[[#This Row],[Ventas google ads]]+TableDailySummary[[#This Row],[Ventas meta ads]]</f>
        <v>0</v>
      </c>
      <c r="AD126" s="14">
        <f>IFERROR(TableDailySummary[[#This Row],[Ventas publicidad]]/TableDailySummary[[#This Row],[Inversión publicidad]],0)</f>
        <v>0</v>
      </c>
      <c r="AE126" s="14">
        <f>IFERROR(TableDailySummary[[#This Row],[Ventas primer cliente]]/TableDailySummary[[#This Row],[Inversión publicidad]],0)</f>
        <v>0</v>
      </c>
      <c r="AF126" s="14"/>
      <c r="AG126" s="11"/>
      <c r="AM126" s="11">
        <f>_xlfn.XLOOKUP(TableDailySummary[[#This Row],[Fecha]],SummaryDaily[day],SummaryDaily[net_sales_with_cost_recorded],0)</f>
        <v>0</v>
      </c>
      <c r="AN126" s="11">
        <f>_xlfn.XLOOKUP(TableDailySummary[[#This Row],[Fecha]],SummaryDaily[day],SummaryDaily[cost_of_goods_sold],0)</f>
        <v>0</v>
      </c>
      <c r="AO126" s="11">
        <f>_xlfn.XLOOKUP(TableDailySummary[[#This Row],[Fecha]],SummaryDaily[day],SummaryDaily[gross_profit],0)</f>
        <v>0</v>
      </c>
      <c r="AP126" s="18">
        <f>IFERROR(TableDailySummary[[#This Row],[Utilidad bruta]]/TableDailySummary[[#This Row],[Ventas netas con costo registrado]],0)</f>
        <v>0</v>
      </c>
    </row>
    <row r="127" spans="2:42" x14ac:dyDescent="0.2">
      <c r="B127" s="15" cm="1">
        <f t="array" ref="B127">ParamFechaInicioReporte + (ROW(TableDailySummary[#This Row]) - ROW(TableDailySummary[[#Headers],[Dia]]) - 1)</f>
        <v>44654</v>
      </c>
      <c r="C127" s="6">
        <f>TableDailySummary[[#This Row],[Dia]]</f>
        <v>44654</v>
      </c>
      <c r="D127" s="11">
        <f>_xlfn.XLOOKUP(TableDailySummary[[#This Row],[Fecha]],SummaryDaily[day],SummaryDaily[net_sales],0)</f>
        <v>0</v>
      </c>
      <c r="E127" s="11">
        <f>_xlfn.XLOOKUP(TableDailySummary[[#This Row],[Fecha]],SummaryDaily[day],SummaryDaily[orders],0)</f>
        <v>0</v>
      </c>
      <c r="F127" s="11">
        <f>_xlfn.XLOOKUP(TableDailySummary[[#This Row],[Fecha]],SummaryDaily[day],SummaryDaily[average_order_value],0)</f>
        <v>0</v>
      </c>
      <c r="G127" s="24" cm="1">
        <f t="array" ref="G127">_xlfn.XLOOKUP(TableDailySummary[[#This Row],[Fecha]]&amp;"Total site",ConversionRateByReferral[day]&amp;ConversionRateByReferral[referrer_source],ConversionRateByReferral[conversion_rate],0)</f>
        <v>0</v>
      </c>
      <c r="H127" s="11">
        <f>TableDailySummary[[#This Row],[Órden promedio totales]]*TableDailySummary[[#This Row],[CR totales]]</f>
        <v>0</v>
      </c>
      <c r="I127" s="11">
        <f>_xlfn.XLOOKUP(TableDailySummary[[#This Row],[Fecha]],SummaryDaily[day],SummaryDaily[new_net_sales],0)</f>
        <v>0</v>
      </c>
      <c r="J127" s="11">
        <f>_xlfn.XLOOKUP(TableDailySummary[[#This Row],[Fecha]],SummaryDaily[day],SummaryDaily[new_orders],0)</f>
        <v>0</v>
      </c>
      <c r="K127" s="11">
        <f>_xlfn.XLOOKUP(TableDailySummary[[#This Row],[Fecha]],SummaryDaily[day],SummaryDaily[new_average_order_value],0)</f>
        <v>0</v>
      </c>
      <c r="L127" s="11">
        <f>_xlfn.XLOOKUP(TableDailySummary[[#This Row],[Fecha]],SummaryDaily[day],SummaryDaily[Online Store_net_sales],0)</f>
        <v>0</v>
      </c>
      <c r="M127" s="11">
        <f>_xlfn.XLOOKUP(TableDailySummary[[#This Row],[Fecha]],SummaryDaily[day],SummaryDaily[Online Store_orders],0)</f>
        <v>0</v>
      </c>
      <c r="N127" s="11">
        <f>_xlfn.XLOOKUP(TableDailySummary[[#This Row],[Fecha]],SummaryDaily[day],SummaryDaily[Online Store_average_order_value],0)</f>
        <v>0</v>
      </c>
      <c r="O127" s="11">
        <f>_xlfn.XLOOKUP(TableDailySummary[[#This Row],[Fecha]],SummaryDaily[day],SummaryDaily[Tienda 81_net_sales],0)</f>
        <v>0</v>
      </c>
      <c r="P127" s="11">
        <f>_xlfn.XLOOKUP(TableDailySummary[[#This Row],[Fecha]],SummaryDaily[day],SummaryDaily[Tienda 81_orders],0)</f>
        <v>0</v>
      </c>
      <c r="Q127" s="11">
        <f>_xlfn.XLOOKUP(TableDailySummary[[#This Row],[Fecha]],SummaryDaily[day],SummaryDaily[Tienda 81_average_order_value],0)</f>
        <v>0</v>
      </c>
      <c r="R127" s="11">
        <f>_xlfn.XLOOKUP(TableDailySummary[[#This Row],[Fecha]],SummaryDaily[day],SummaryDaily[Rappi_net_sales],0)</f>
        <v>0</v>
      </c>
      <c r="S127" s="11">
        <f>_xlfn.XLOOKUP(TableDailySummary[[#This Row],[Fecha]],SummaryDaily[day],SummaryDaily[Rappi_orders],0)</f>
        <v>0</v>
      </c>
      <c r="T127" s="11">
        <f>_xlfn.XLOOKUP(TableDailySummary[[#This Row],[Fecha]],SummaryDaily[day],SummaryDaily[Rappi_average_order_value],0)</f>
        <v>0</v>
      </c>
      <c r="U127" s="11">
        <f>_xlfn.XLOOKUP(TableDailySummary[[#This Row],[Fecha]],SummaryDaily[day],SummaryDaily[Corporativo no tienda_net_sales],0)</f>
        <v>0</v>
      </c>
      <c r="V127" s="11">
        <f>_xlfn.XLOOKUP(TableDailySummary[[#This Row],[Fecha]],SummaryDaily[day],SummaryDaily[Corporativo no tienda_orders],0)</f>
        <v>0</v>
      </c>
      <c r="W127" s="11">
        <f>_xlfn.XLOOKUP(TableDailySummary[[#This Row],[Fecha]],SummaryDaily[day],SummaryDaily[Corporativo no tienda_average_order_value],0)</f>
        <v>0</v>
      </c>
      <c r="X127" s="11">
        <f>_xlfn.XLOOKUP(TableDailySummary[[#This Row],[Fecha]],SummaryDaily[day],SummaryDaily[GoogleAdsOperation.Cost],0)</f>
        <v>0</v>
      </c>
      <c r="Y127" s="11">
        <f>SUMIFS(SalesByUTMDaily[google],SalesByUTMDaily[day],TableDailySummary[[#This Row],[Fecha]])</f>
        <v>0</v>
      </c>
      <c r="Z127" s="11">
        <f>_xlfn.XLOOKUP(TableDailySummary[[#This Row],[Fecha]],SummaryDaily[day],SummaryDaily[MetaAdsOperation.spend],0)</f>
        <v>0</v>
      </c>
      <c r="AA127" s="11">
        <f>SUMIFS(SalesByUTMDaily[facebook],SalesByUTMDaily[day],TableDailySummary[[#This Row],[Fecha]])</f>
        <v>0</v>
      </c>
      <c r="AB127" s="11">
        <f>TableDailySummary[[#This Row],[Inversión google ads]]+TableDailySummary[[#This Row],[Inversión meta ads]]</f>
        <v>0</v>
      </c>
      <c r="AC127" s="11">
        <f>TableDailySummary[[#This Row],[Ventas google ads]]+TableDailySummary[[#This Row],[Ventas meta ads]]</f>
        <v>0</v>
      </c>
      <c r="AD127" s="14">
        <f>IFERROR(TableDailySummary[[#This Row],[Ventas publicidad]]/TableDailySummary[[#This Row],[Inversión publicidad]],0)</f>
        <v>0</v>
      </c>
      <c r="AE127" s="14">
        <f>IFERROR(TableDailySummary[[#This Row],[Ventas primer cliente]]/TableDailySummary[[#This Row],[Inversión publicidad]],0)</f>
        <v>0</v>
      </c>
      <c r="AF127" s="14"/>
      <c r="AG127" s="11"/>
      <c r="AM127" s="11">
        <f>_xlfn.XLOOKUP(TableDailySummary[[#This Row],[Fecha]],SummaryDaily[day],SummaryDaily[net_sales_with_cost_recorded],0)</f>
        <v>0</v>
      </c>
      <c r="AN127" s="11">
        <f>_xlfn.XLOOKUP(TableDailySummary[[#This Row],[Fecha]],SummaryDaily[day],SummaryDaily[cost_of_goods_sold],0)</f>
        <v>0</v>
      </c>
      <c r="AO127" s="11">
        <f>_xlfn.XLOOKUP(TableDailySummary[[#This Row],[Fecha]],SummaryDaily[day],SummaryDaily[gross_profit],0)</f>
        <v>0</v>
      </c>
      <c r="AP127" s="18">
        <f>IFERROR(TableDailySummary[[#This Row],[Utilidad bruta]]/TableDailySummary[[#This Row],[Ventas netas con costo registrado]],0)</f>
        <v>0</v>
      </c>
    </row>
    <row r="128" spans="2:42" x14ac:dyDescent="0.2">
      <c r="B128" s="15" cm="1">
        <f t="array" ref="B128">ParamFechaInicioReporte + (ROW(TableDailySummary[#This Row]) - ROW(TableDailySummary[[#Headers],[Dia]]) - 1)</f>
        <v>44655</v>
      </c>
      <c r="C128" s="6">
        <f>TableDailySummary[[#This Row],[Dia]]</f>
        <v>44655</v>
      </c>
      <c r="D128" s="11">
        <f>_xlfn.XLOOKUP(TableDailySummary[[#This Row],[Fecha]],SummaryDaily[day],SummaryDaily[net_sales],0)</f>
        <v>0</v>
      </c>
      <c r="E128" s="11">
        <f>_xlfn.XLOOKUP(TableDailySummary[[#This Row],[Fecha]],SummaryDaily[day],SummaryDaily[orders],0)</f>
        <v>0</v>
      </c>
      <c r="F128" s="11">
        <f>_xlfn.XLOOKUP(TableDailySummary[[#This Row],[Fecha]],SummaryDaily[day],SummaryDaily[average_order_value],0)</f>
        <v>0</v>
      </c>
      <c r="G128" s="24" cm="1">
        <f t="array" ref="G128">_xlfn.XLOOKUP(TableDailySummary[[#This Row],[Fecha]]&amp;"Total site",ConversionRateByReferral[day]&amp;ConversionRateByReferral[referrer_source],ConversionRateByReferral[conversion_rate],0)</f>
        <v>0</v>
      </c>
      <c r="H128" s="11">
        <f>TableDailySummary[[#This Row],[Órden promedio totales]]*TableDailySummary[[#This Row],[CR totales]]</f>
        <v>0</v>
      </c>
      <c r="I128" s="11">
        <f>_xlfn.XLOOKUP(TableDailySummary[[#This Row],[Fecha]],SummaryDaily[day],SummaryDaily[new_net_sales],0)</f>
        <v>0</v>
      </c>
      <c r="J128" s="11">
        <f>_xlfn.XLOOKUP(TableDailySummary[[#This Row],[Fecha]],SummaryDaily[day],SummaryDaily[new_orders],0)</f>
        <v>0</v>
      </c>
      <c r="K128" s="11">
        <f>_xlfn.XLOOKUP(TableDailySummary[[#This Row],[Fecha]],SummaryDaily[day],SummaryDaily[new_average_order_value],0)</f>
        <v>0</v>
      </c>
      <c r="L128" s="11">
        <f>_xlfn.XLOOKUP(TableDailySummary[[#This Row],[Fecha]],SummaryDaily[day],SummaryDaily[Online Store_net_sales],0)</f>
        <v>0</v>
      </c>
      <c r="M128" s="11">
        <f>_xlfn.XLOOKUP(TableDailySummary[[#This Row],[Fecha]],SummaryDaily[day],SummaryDaily[Online Store_orders],0)</f>
        <v>0</v>
      </c>
      <c r="N128" s="11">
        <f>_xlfn.XLOOKUP(TableDailySummary[[#This Row],[Fecha]],SummaryDaily[day],SummaryDaily[Online Store_average_order_value],0)</f>
        <v>0</v>
      </c>
      <c r="O128" s="11">
        <f>_xlfn.XLOOKUP(TableDailySummary[[#This Row],[Fecha]],SummaryDaily[day],SummaryDaily[Tienda 81_net_sales],0)</f>
        <v>0</v>
      </c>
      <c r="P128" s="11">
        <f>_xlfn.XLOOKUP(TableDailySummary[[#This Row],[Fecha]],SummaryDaily[day],SummaryDaily[Tienda 81_orders],0)</f>
        <v>0</v>
      </c>
      <c r="Q128" s="11">
        <f>_xlfn.XLOOKUP(TableDailySummary[[#This Row],[Fecha]],SummaryDaily[day],SummaryDaily[Tienda 81_average_order_value],0)</f>
        <v>0</v>
      </c>
      <c r="R128" s="11">
        <f>_xlfn.XLOOKUP(TableDailySummary[[#This Row],[Fecha]],SummaryDaily[day],SummaryDaily[Rappi_net_sales],0)</f>
        <v>0</v>
      </c>
      <c r="S128" s="11">
        <f>_xlfn.XLOOKUP(TableDailySummary[[#This Row],[Fecha]],SummaryDaily[day],SummaryDaily[Rappi_orders],0)</f>
        <v>0</v>
      </c>
      <c r="T128" s="11">
        <f>_xlfn.XLOOKUP(TableDailySummary[[#This Row],[Fecha]],SummaryDaily[day],SummaryDaily[Rappi_average_order_value],0)</f>
        <v>0</v>
      </c>
      <c r="U128" s="11">
        <f>_xlfn.XLOOKUP(TableDailySummary[[#This Row],[Fecha]],SummaryDaily[day],SummaryDaily[Corporativo no tienda_net_sales],0)</f>
        <v>0</v>
      </c>
      <c r="V128" s="11">
        <f>_xlfn.XLOOKUP(TableDailySummary[[#This Row],[Fecha]],SummaryDaily[day],SummaryDaily[Corporativo no tienda_orders],0)</f>
        <v>0</v>
      </c>
      <c r="W128" s="11">
        <f>_xlfn.XLOOKUP(TableDailySummary[[#This Row],[Fecha]],SummaryDaily[day],SummaryDaily[Corporativo no tienda_average_order_value],0)</f>
        <v>0</v>
      </c>
      <c r="X128" s="11">
        <f>_xlfn.XLOOKUP(TableDailySummary[[#This Row],[Fecha]],SummaryDaily[day],SummaryDaily[GoogleAdsOperation.Cost],0)</f>
        <v>0</v>
      </c>
      <c r="Y128" s="11">
        <f>SUMIFS(SalesByUTMDaily[google],SalesByUTMDaily[day],TableDailySummary[[#This Row],[Fecha]])</f>
        <v>0</v>
      </c>
      <c r="Z128" s="11">
        <f>_xlfn.XLOOKUP(TableDailySummary[[#This Row],[Fecha]],SummaryDaily[day],SummaryDaily[MetaAdsOperation.spend],0)</f>
        <v>0</v>
      </c>
      <c r="AA128" s="11">
        <f>SUMIFS(SalesByUTMDaily[facebook],SalesByUTMDaily[day],TableDailySummary[[#This Row],[Fecha]])</f>
        <v>0</v>
      </c>
      <c r="AB128" s="11">
        <f>TableDailySummary[[#This Row],[Inversión google ads]]+TableDailySummary[[#This Row],[Inversión meta ads]]</f>
        <v>0</v>
      </c>
      <c r="AC128" s="11">
        <f>TableDailySummary[[#This Row],[Ventas google ads]]+TableDailySummary[[#This Row],[Ventas meta ads]]</f>
        <v>0</v>
      </c>
      <c r="AD128" s="14">
        <f>IFERROR(TableDailySummary[[#This Row],[Ventas publicidad]]/TableDailySummary[[#This Row],[Inversión publicidad]],0)</f>
        <v>0</v>
      </c>
      <c r="AE128" s="14">
        <f>IFERROR(TableDailySummary[[#This Row],[Ventas primer cliente]]/TableDailySummary[[#This Row],[Inversión publicidad]],0)</f>
        <v>0</v>
      </c>
      <c r="AF128" s="14"/>
      <c r="AG128" s="11"/>
      <c r="AM128" s="11">
        <f>_xlfn.XLOOKUP(TableDailySummary[[#This Row],[Fecha]],SummaryDaily[day],SummaryDaily[net_sales_with_cost_recorded],0)</f>
        <v>0</v>
      </c>
      <c r="AN128" s="11">
        <f>_xlfn.XLOOKUP(TableDailySummary[[#This Row],[Fecha]],SummaryDaily[day],SummaryDaily[cost_of_goods_sold],0)</f>
        <v>0</v>
      </c>
      <c r="AO128" s="11">
        <f>_xlfn.XLOOKUP(TableDailySummary[[#This Row],[Fecha]],SummaryDaily[day],SummaryDaily[gross_profit],0)</f>
        <v>0</v>
      </c>
      <c r="AP128" s="18">
        <f>IFERROR(TableDailySummary[[#This Row],[Utilidad bruta]]/TableDailySummary[[#This Row],[Ventas netas con costo registrado]],0)</f>
        <v>0</v>
      </c>
    </row>
    <row r="129" spans="2:42" x14ac:dyDescent="0.2">
      <c r="B129" s="15" cm="1">
        <f t="array" ref="B129">ParamFechaInicioReporte + (ROW(TableDailySummary[#This Row]) - ROW(TableDailySummary[[#Headers],[Dia]]) - 1)</f>
        <v>44656</v>
      </c>
      <c r="C129" s="6">
        <f>TableDailySummary[[#This Row],[Dia]]</f>
        <v>44656</v>
      </c>
      <c r="D129" s="11">
        <f>_xlfn.XLOOKUP(TableDailySummary[[#This Row],[Fecha]],SummaryDaily[day],SummaryDaily[net_sales],0)</f>
        <v>0</v>
      </c>
      <c r="E129" s="11">
        <f>_xlfn.XLOOKUP(TableDailySummary[[#This Row],[Fecha]],SummaryDaily[day],SummaryDaily[orders],0)</f>
        <v>0</v>
      </c>
      <c r="F129" s="11">
        <f>_xlfn.XLOOKUP(TableDailySummary[[#This Row],[Fecha]],SummaryDaily[day],SummaryDaily[average_order_value],0)</f>
        <v>0</v>
      </c>
      <c r="G129" s="24" cm="1">
        <f t="array" ref="G129">_xlfn.XLOOKUP(TableDailySummary[[#This Row],[Fecha]]&amp;"Total site",ConversionRateByReferral[day]&amp;ConversionRateByReferral[referrer_source],ConversionRateByReferral[conversion_rate],0)</f>
        <v>0</v>
      </c>
      <c r="H129" s="11">
        <f>TableDailySummary[[#This Row],[Órden promedio totales]]*TableDailySummary[[#This Row],[CR totales]]</f>
        <v>0</v>
      </c>
      <c r="I129" s="11">
        <f>_xlfn.XLOOKUP(TableDailySummary[[#This Row],[Fecha]],SummaryDaily[day],SummaryDaily[new_net_sales],0)</f>
        <v>0</v>
      </c>
      <c r="J129" s="11">
        <f>_xlfn.XLOOKUP(TableDailySummary[[#This Row],[Fecha]],SummaryDaily[day],SummaryDaily[new_orders],0)</f>
        <v>0</v>
      </c>
      <c r="K129" s="11">
        <f>_xlfn.XLOOKUP(TableDailySummary[[#This Row],[Fecha]],SummaryDaily[day],SummaryDaily[new_average_order_value],0)</f>
        <v>0</v>
      </c>
      <c r="L129" s="11">
        <f>_xlfn.XLOOKUP(TableDailySummary[[#This Row],[Fecha]],SummaryDaily[day],SummaryDaily[Online Store_net_sales],0)</f>
        <v>0</v>
      </c>
      <c r="M129" s="11">
        <f>_xlfn.XLOOKUP(TableDailySummary[[#This Row],[Fecha]],SummaryDaily[day],SummaryDaily[Online Store_orders],0)</f>
        <v>0</v>
      </c>
      <c r="N129" s="11">
        <f>_xlfn.XLOOKUP(TableDailySummary[[#This Row],[Fecha]],SummaryDaily[day],SummaryDaily[Online Store_average_order_value],0)</f>
        <v>0</v>
      </c>
      <c r="O129" s="11">
        <f>_xlfn.XLOOKUP(TableDailySummary[[#This Row],[Fecha]],SummaryDaily[day],SummaryDaily[Tienda 81_net_sales],0)</f>
        <v>0</v>
      </c>
      <c r="P129" s="11">
        <f>_xlfn.XLOOKUP(TableDailySummary[[#This Row],[Fecha]],SummaryDaily[day],SummaryDaily[Tienda 81_orders],0)</f>
        <v>0</v>
      </c>
      <c r="Q129" s="11">
        <f>_xlfn.XLOOKUP(TableDailySummary[[#This Row],[Fecha]],SummaryDaily[day],SummaryDaily[Tienda 81_average_order_value],0)</f>
        <v>0</v>
      </c>
      <c r="R129" s="11">
        <f>_xlfn.XLOOKUP(TableDailySummary[[#This Row],[Fecha]],SummaryDaily[day],SummaryDaily[Rappi_net_sales],0)</f>
        <v>0</v>
      </c>
      <c r="S129" s="11">
        <f>_xlfn.XLOOKUP(TableDailySummary[[#This Row],[Fecha]],SummaryDaily[day],SummaryDaily[Rappi_orders],0)</f>
        <v>0</v>
      </c>
      <c r="T129" s="11">
        <f>_xlfn.XLOOKUP(TableDailySummary[[#This Row],[Fecha]],SummaryDaily[day],SummaryDaily[Rappi_average_order_value],0)</f>
        <v>0</v>
      </c>
      <c r="U129" s="11">
        <f>_xlfn.XLOOKUP(TableDailySummary[[#This Row],[Fecha]],SummaryDaily[day],SummaryDaily[Corporativo no tienda_net_sales],0)</f>
        <v>0</v>
      </c>
      <c r="V129" s="11">
        <f>_xlfn.XLOOKUP(TableDailySummary[[#This Row],[Fecha]],SummaryDaily[day],SummaryDaily[Corporativo no tienda_orders],0)</f>
        <v>0</v>
      </c>
      <c r="W129" s="11">
        <f>_xlfn.XLOOKUP(TableDailySummary[[#This Row],[Fecha]],SummaryDaily[day],SummaryDaily[Corporativo no tienda_average_order_value],0)</f>
        <v>0</v>
      </c>
      <c r="X129" s="11">
        <f>_xlfn.XLOOKUP(TableDailySummary[[#This Row],[Fecha]],SummaryDaily[day],SummaryDaily[GoogleAdsOperation.Cost],0)</f>
        <v>0</v>
      </c>
      <c r="Y129" s="11">
        <f>SUMIFS(SalesByUTMDaily[google],SalesByUTMDaily[day],TableDailySummary[[#This Row],[Fecha]])</f>
        <v>0</v>
      </c>
      <c r="Z129" s="11">
        <f>_xlfn.XLOOKUP(TableDailySummary[[#This Row],[Fecha]],SummaryDaily[day],SummaryDaily[MetaAdsOperation.spend],0)</f>
        <v>0</v>
      </c>
      <c r="AA129" s="11">
        <f>SUMIFS(SalesByUTMDaily[facebook],SalesByUTMDaily[day],TableDailySummary[[#This Row],[Fecha]])</f>
        <v>0</v>
      </c>
      <c r="AB129" s="11">
        <f>TableDailySummary[[#This Row],[Inversión google ads]]+TableDailySummary[[#This Row],[Inversión meta ads]]</f>
        <v>0</v>
      </c>
      <c r="AC129" s="11">
        <f>TableDailySummary[[#This Row],[Ventas google ads]]+TableDailySummary[[#This Row],[Ventas meta ads]]</f>
        <v>0</v>
      </c>
      <c r="AD129" s="14">
        <f>IFERROR(TableDailySummary[[#This Row],[Ventas publicidad]]/TableDailySummary[[#This Row],[Inversión publicidad]],0)</f>
        <v>0</v>
      </c>
      <c r="AE129" s="14">
        <f>IFERROR(TableDailySummary[[#This Row],[Ventas primer cliente]]/TableDailySummary[[#This Row],[Inversión publicidad]],0)</f>
        <v>0</v>
      </c>
      <c r="AF129" s="14"/>
      <c r="AG129" s="11"/>
      <c r="AM129" s="11">
        <f>_xlfn.XLOOKUP(TableDailySummary[[#This Row],[Fecha]],SummaryDaily[day],SummaryDaily[net_sales_with_cost_recorded],0)</f>
        <v>0</v>
      </c>
      <c r="AN129" s="11">
        <f>_xlfn.XLOOKUP(TableDailySummary[[#This Row],[Fecha]],SummaryDaily[day],SummaryDaily[cost_of_goods_sold],0)</f>
        <v>0</v>
      </c>
      <c r="AO129" s="11">
        <f>_xlfn.XLOOKUP(TableDailySummary[[#This Row],[Fecha]],SummaryDaily[day],SummaryDaily[gross_profit],0)</f>
        <v>0</v>
      </c>
      <c r="AP129" s="18">
        <f>IFERROR(TableDailySummary[[#This Row],[Utilidad bruta]]/TableDailySummary[[#This Row],[Ventas netas con costo registrado]],0)</f>
        <v>0</v>
      </c>
    </row>
    <row r="130" spans="2:42" x14ac:dyDescent="0.2">
      <c r="B130" s="15" cm="1">
        <f t="array" ref="B130">ParamFechaInicioReporte + (ROW(TableDailySummary[#This Row]) - ROW(TableDailySummary[[#Headers],[Dia]]) - 1)</f>
        <v>44657</v>
      </c>
      <c r="C130" s="6">
        <f>TableDailySummary[[#This Row],[Dia]]</f>
        <v>44657</v>
      </c>
      <c r="D130" s="11">
        <f>_xlfn.XLOOKUP(TableDailySummary[[#This Row],[Fecha]],SummaryDaily[day],SummaryDaily[net_sales],0)</f>
        <v>0</v>
      </c>
      <c r="E130" s="11">
        <f>_xlfn.XLOOKUP(TableDailySummary[[#This Row],[Fecha]],SummaryDaily[day],SummaryDaily[orders],0)</f>
        <v>0</v>
      </c>
      <c r="F130" s="11">
        <f>_xlfn.XLOOKUP(TableDailySummary[[#This Row],[Fecha]],SummaryDaily[day],SummaryDaily[average_order_value],0)</f>
        <v>0</v>
      </c>
      <c r="G130" s="24" cm="1">
        <f t="array" ref="G130">_xlfn.XLOOKUP(TableDailySummary[[#This Row],[Fecha]]&amp;"Total site",ConversionRateByReferral[day]&amp;ConversionRateByReferral[referrer_source],ConversionRateByReferral[conversion_rate],0)</f>
        <v>0</v>
      </c>
      <c r="H130" s="11">
        <f>TableDailySummary[[#This Row],[Órden promedio totales]]*TableDailySummary[[#This Row],[CR totales]]</f>
        <v>0</v>
      </c>
      <c r="I130" s="11">
        <f>_xlfn.XLOOKUP(TableDailySummary[[#This Row],[Fecha]],SummaryDaily[day],SummaryDaily[new_net_sales],0)</f>
        <v>0</v>
      </c>
      <c r="J130" s="11">
        <f>_xlfn.XLOOKUP(TableDailySummary[[#This Row],[Fecha]],SummaryDaily[day],SummaryDaily[new_orders],0)</f>
        <v>0</v>
      </c>
      <c r="K130" s="11">
        <f>_xlfn.XLOOKUP(TableDailySummary[[#This Row],[Fecha]],SummaryDaily[day],SummaryDaily[new_average_order_value],0)</f>
        <v>0</v>
      </c>
      <c r="L130" s="11">
        <f>_xlfn.XLOOKUP(TableDailySummary[[#This Row],[Fecha]],SummaryDaily[day],SummaryDaily[Online Store_net_sales],0)</f>
        <v>0</v>
      </c>
      <c r="M130" s="11">
        <f>_xlfn.XLOOKUP(TableDailySummary[[#This Row],[Fecha]],SummaryDaily[day],SummaryDaily[Online Store_orders],0)</f>
        <v>0</v>
      </c>
      <c r="N130" s="11">
        <f>_xlfn.XLOOKUP(TableDailySummary[[#This Row],[Fecha]],SummaryDaily[day],SummaryDaily[Online Store_average_order_value],0)</f>
        <v>0</v>
      </c>
      <c r="O130" s="11">
        <f>_xlfn.XLOOKUP(TableDailySummary[[#This Row],[Fecha]],SummaryDaily[day],SummaryDaily[Tienda 81_net_sales],0)</f>
        <v>0</v>
      </c>
      <c r="P130" s="11">
        <f>_xlfn.XLOOKUP(TableDailySummary[[#This Row],[Fecha]],SummaryDaily[day],SummaryDaily[Tienda 81_orders],0)</f>
        <v>0</v>
      </c>
      <c r="Q130" s="11">
        <f>_xlfn.XLOOKUP(TableDailySummary[[#This Row],[Fecha]],SummaryDaily[day],SummaryDaily[Tienda 81_average_order_value],0)</f>
        <v>0</v>
      </c>
      <c r="R130" s="11">
        <f>_xlfn.XLOOKUP(TableDailySummary[[#This Row],[Fecha]],SummaryDaily[day],SummaryDaily[Rappi_net_sales],0)</f>
        <v>0</v>
      </c>
      <c r="S130" s="11">
        <f>_xlfn.XLOOKUP(TableDailySummary[[#This Row],[Fecha]],SummaryDaily[day],SummaryDaily[Rappi_orders],0)</f>
        <v>0</v>
      </c>
      <c r="T130" s="11">
        <f>_xlfn.XLOOKUP(TableDailySummary[[#This Row],[Fecha]],SummaryDaily[day],SummaryDaily[Rappi_average_order_value],0)</f>
        <v>0</v>
      </c>
      <c r="U130" s="11">
        <f>_xlfn.XLOOKUP(TableDailySummary[[#This Row],[Fecha]],SummaryDaily[day],SummaryDaily[Corporativo no tienda_net_sales],0)</f>
        <v>0</v>
      </c>
      <c r="V130" s="11">
        <f>_xlfn.XLOOKUP(TableDailySummary[[#This Row],[Fecha]],SummaryDaily[day],SummaryDaily[Corporativo no tienda_orders],0)</f>
        <v>0</v>
      </c>
      <c r="W130" s="11">
        <f>_xlfn.XLOOKUP(TableDailySummary[[#This Row],[Fecha]],SummaryDaily[day],SummaryDaily[Corporativo no tienda_average_order_value],0)</f>
        <v>0</v>
      </c>
      <c r="X130" s="11">
        <f>_xlfn.XLOOKUP(TableDailySummary[[#This Row],[Fecha]],SummaryDaily[day],SummaryDaily[GoogleAdsOperation.Cost],0)</f>
        <v>0</v>
      </c>
      <c r="Y130" s="11">
        <f>SUMIFS(SalesByUTMDaily[google],SalesByUTMDaily[day],TableDailySummary[[#This Row],[Fecha]])</f>
        <v>0</v>
      </c>
      <c r="Z130" s="11">
        <f>_xlfn.XLOOKUP(TableDailySummary[[#This Row],[Fecha]],SummaryDaily[day],SummaryDaily[MetaAdsOperation.spend],0)</f>
        <v>0</v>
      </c>
      <c r="AA130" s="11">
        <f>SUMIFS(SalesByUTMDaily[facebook],SalesByUTMDaily[day],TableDailySummary[[#This Row],[Fecha]])</f>
        <v>0</v>
      </c>
      <c r="AB130" s="11">
        <f>TableDailySummary[[#This Row],[Inversión google ads]]+TableDailySummary[[#This Row],[Inversión meta ads]]</f>
        <v>0</v>
      </c>
      <c r="AC130" s="11">
        <f>TableDailySummary[[#This Row],[Ventas google ads]]+TableDailySummary[[#This Row],[Ventas meta ads]]</f>
        <v>0</v>
      </c>
      <c r="AD130" s="14">
        <f>IFERROR(TableDailySummary[[#This Row],[Ventas publicidad]]/TableDailySummary[[#This Row],[Inversión publicidad]],0)</f>
        <v>0</v>
      </c>
      <c r="AE130" s="14">
        <f>IFERROR(TableDailySummary[[#This Row],[Ventas primer cliente]]/TableDailySummary[[#This Row],[Inversión publicidad]],0)</f>
        <v>0</v>
      </c>
      <c r="AF130" s="14"/>
      <c r="AG130" s="11"/>
      <c r="AM130" s="11">
        <f>_xlfn.XLOOKUP(TableDailySummary[[#This Row],[Fecha]],SummaryDaily[day],SummaryDaily[net_sales_with_cost_recorded],0)</f>
        <v>0</v>
      </c>
      <c r="AN130" s="11">
        <f>_xlfn.XLOOKUP(TableDailySummary[[#This Row],[Fecha]],SummaryDaily[day],SummaryDaily[cost_of_goods_sold],0)</f>
        <v>0</v>
      </c>
      <c r="AO130" s="11">
        <f>_xlfn.XLOOKUP(TableDailySummary[[#This Row],[Fecha]],SummaryDaily[day],SummaryDaily[gross_profit],0)</f>
        <v>0</v>
      </c>
      <c r="AP130" s="18">
        <f>IFERROR(TableDailySummary[[#This Row],[Utilidad bruta]]/TableDailySummary[[#This Row],[Ventas netas con costo registrado]],0)</f>
        <v>0</v>
      </c>
    </row>
    <row r="131" spans="2:42" x14ac:dyDescent="0.2">
      <c r="B131" s="15" cm="1">
        <f t="array" ref="B131">ParamFechaInicioReporte + (ROW(TableDailySummary[#This Row]) - ROW(TableDailySummary[[#Headers],[Dia]]) - 1)</f>
        <v>44658</v>
      </c>
      <c r="C131" s="6">
        <f>TableDailySummary[[#This Row],[Dia]]</f>
        <v>44658</v>
      </c>
      <c r="D131" s="11">
        <f>_xlfn.XLOOKUP(TableDailySummary[[#This Row],[Fecha]],SummaryDaily[day],SummaryDaily[net_sales],0)</f>
        <v>0</v>
      </c>
      <c r="E131" s="11">
        <f>_xlfn.XLOOKUP(TableDailySummary[[#This Row],[Fecha]],SummaryDaily[day],SummaryDaily[orders],0)</f>
        <v>0</v>
      </c>
      <c r="F131" s="11">
        <f>_xlfn.XLOOKUP(TableDailySummary[[#This Row],[Fecha]],SummaryDaily[day],SummaryDaily[average_order_value],0)</f>
        <v>0</v>
      </c>
      <c r="G131" s="24" cm="1">
        <f t="array" ref="G131">_xlfn.XLOOKUP(TableDailySummary[[#This Row],[Fecha]]&amp;"Total site",ConversionRateByReferral[day]&amp;ConversionRateByReferral[referrer_source],ConversionRateByReferral[conversion_rate],0)</f>
        <v>0</v>
      </c>
      <c r="H131" s="11">
        <f>TableDailySummary[[#This Row],[Órden promedio totales]]*TableDailySummary[[#This Row],[CR totales]]</f>
        <v>0</v>
      </c>
      <c r="I131" s="11">
        <f>_xlfn.XLOOKUP(TableDailySummary[[#This Row],[Fecha]],SummaryDaily[day],SummaryDaily[new_net_sales],0)</f>
        <v>0</v>
      </c>
      <c r="J131" s="11">
        <f>_xlfn.XLOOKUP(TableDailySummary[[#This Row],[Fecha]],SummaryDaily[day],SummaryDaily[new_orders],0)</f>
        <v>0</v>
      </c>
      <c r="K131" s="11">
        <f>_xlfn.XLOOKUP(TableDailySummary[[#This Row],[Fecha]],SummaryDaily[day],SummaryDaily[new_average_order_value],0)</f>
        <v>0</v>
      </c>
      <c r="L131" s="11">
        <f>_xlfn.XLOOKUP(TableDailySummary[[#This Row],[Fecha]],SummaryDaily[day],SummaryDaily[Online Store_net_sales],0)</f>
        <v>0</v>
      </c>
      <c r="M131" s="11">
        <f>_xlfn.XLOOKUP(TableDailySummary[[#This Row],[Fecha]],SummaryDaily[day],SummaryDaily[Online Store_orders],0)</f>
        <v>0</v>
      </c>
      <c r="N131" s="11">
        <f>_xlfn.XLOOKUP(TableDailySummary[[#This Row],[Fecha]],SummaryDaily[day],SummaryDaily[Online Store_average_order_value],0)</f>
        <v>0</v>
      </c>
      <c r="O131" s="11">
        <f>_xlfn.XLOOKUP(TableDailySummary[[#This Row],[Fecha]],SummaryDaily[day],SummaryDaily[Tienda 81_net_sales],0)</f>
        <v>0</v>
      </c>
      <c r="P131" s="11">
        <f>_xlfn.XLOOKUP(TableDailySummary[[#This Row],[Fecha]],SummaryDaily[day],SummaryDaily[Tienda 81_orders],0)</f>
        <v>0</v>
      </c>
      <c r="Q131" s="11">
        <f>_xlfn.XLOOKUP(TableDailySummary[[#This Row],[Fecha]],SummaryDaily[day],SummaryDaily[Tienda 81_average_order_value],0)</f>
        <v>0</v>
      </c>
      <c r="R131" s="11">
        <f>_xlfn.XLOOKUP(TableDailySummary[[#This Row],[Fecha]],SummaryDaily[day],SummaryDaily[Rappi_net_sales],0)</f>
        <v>0</v>
      </c>
      <c r="S131" s="11">
        <f>_xlfn.XLOOKUP(TableDailySummary[[#This Row],[Fecha]],SummaryDaily[day],SummaryDaily[Rappi_orders],0)</f>
        <v>0</v>
      </c>
      <c r="T131" s="11">
        <f>_xlfn.XLOOKUP(TableDailySummary[[#This Row],[Fecha]],SummaryDaily[day],SummaryDaily[Rappi_average_order_value],0)</f>
        <v>0</v>
      </c>
      <c r="U131" s="11">
        <f>_xlfn.XLOOKUP(TableDailySummary[[#This Row],[Fecha]],SummaryDaily[day],SummaryDaily[Corporativo no tienda_net_sales],0)</f>
        <v>0</v>
      </c>
      <c r="V131" s="11">
        <f>_xlfn.XLOOKUP(TableDailySummary[[#This Row],[Fecha]],SummaryDaily[day],SummaryDaily[Corporativo no tienda_orders],0)</f>
        <v>0</v>
      </c>
      <c r="W131" s="11">
        <f>_xlfn.XLOOKUP(TableDailySummary[[#This Row],[Fecha]],SummaryDaily[day],SummaryDaily[Corporativo no tienda_average_order_value],0)</f>
        <v>0</v>
      </c>
      <c r="X131" s="11">
        <f>_xlfn.XLOOKUP(TableDailySummary[[#This Row],[Fecha]],SummaryDaily[day],SummaryDaily[GoogleAdsOperation.Cost],0)</f>
        <v>0</v>
      </c>
      <c r="Y131" s="11">
        <f>SUMIFS(SalesByUTMDaily[google],SalesByUTMDaily[day],TableDailySummary[[#This Row],[Fecha]])</f>
        <v>0</v>
      </c>
      <c r="Z131" s="11">
        <f>_xlfn.XLOOKUP(TableDailySummary[[#This Row],[Fecha]],SummaryDaily[day],SummaryDaily[MetaAdsOperation.spend],0)</f>
        <v>0</v>
      </c>
      <c r="AA131" s="11">
        <f>SUMIFS(SalesByUTMDaily[facebook],SalesByUTMDaily[day],TableDailySummary[[#This Row],[Fecha]])</f>
        <v>0</v>
      </c>
      <c r="AB131" s="11">
        <f>TableDailySummary[[#This Row],[Inversión google ads]]+TableDailySummary[[#This Row],[Inversión meta ads]]</f>
        <v>0</v>
      </c>
      <c r="AC131" s="11">
        <f>TableDailySummary[[#This Row],[Ventas google ads]]+TableDailySummary[[#This Row],[Ventas meta ads]]</f>
        <v>0</v>
      </c>
      <c r="AD131" s="14">
        <f>IFERROR(TableDailySummary[[#This Row],[Ventas publicidad]]/TableDailySummary[[#This Row],[Inversión publicidad]],0)</f>
        <v>0</v>
      </c>
      <c r="AE131" s="14">
        <f>IFERROR(TableDailySummary[[#This Row],[Ventas primer cliente]]/TableDailySummary[[#This Row],[Inversión publicidad]],0)</f>
        <v>0</v>
      </c>
      <c r="AF131" s="14"/>
      <c r="AG131" s="11"/>
      <c r="AM131" s="11">
        <f>_xlfn.XLOOKUP(TableDailySummary[[#This Row],[Fecha]],SummaryDaily[day],SummaryDaily[net_sales_with_cost_recorded],0)</f>
        <v>0</v>
      </c>
      <c r="AN131" s="11">
        <f>_xlfn.XLOOKUP(TableDailySummary[[#This Row],[Fecha]],SummaryDaily[day],SummaryDaily[cost_of_goods_sold],0)</f>
        <v>0</v>
      </c>
      <c r="AO131" s="11">
        <f>_xlfn.XLOOKUP(TableDailySummary[[#This Row],[Fecha]],SummaryDaily[day],SummaryDaily[gross_profit],0)</f>
        <v>0</v>
      </c>
      <c r="AP131" s="18">
        <f>IFERROR(TableDailySummary[[#This Row],[Utilidad bruta]]/TableDailySummary[[#This Row],[Ventas netas con costo registrado]],0)</f>
        <v>0</v>
      </c>
    </row>
    <row r="132" spans="2:42" x14ac:dyDescent="0.2">
      <c r="B132" s="15" cm="1">
        <f t="array" ref="B132">ParamFechaInicioReporte + (ROW(TableDailySummary[#This Row]) - ROW(TableDailySummary[[#Headers],[Dia]]) - 1)</f>
        <v>44659</v>
      </c>
      <c r="C132" s="6">
        <f>TableDailySummary[[#This Row],[Dia]]</f>
        <v>44659</v>
      </c>
      <c r="D132" s="11">
        <f>_xlfn.XLOOKUP(TableDailySummary[[#This Row],[Fecha]],SummaryDaily[day],SummaryDaily[net_sales],0)</f>
        <v>0</v>
      </c>
      <c r="E132" s="11">
        <f>_xlfn.XLOOKUP(TableDailySummary[[#This Row],[Fecha]],SummaryDaily[day],SummaryDaily[orders],0)</f>
        <v>0</v>
      </c>
      <c r="F132" s="11">
        <f>_xlfn.XLOOKUP(TableDailySummary[[#This Row],[Fecha]],SummaryDaily[day],SummaryDaily[average_order_value],0)</f>
        <v>0</v>
      </c>
      <c r="G132" s="24" cm="1">
        <f t="array" ref="G132">_xlfn.XLOOKUP(TableDailySummary[[#This Row],[Fecha]]&amp;"Total site",ConversionRateByReferral[day]&amp;ConversionRateByReferral[referrer_source],ConversionRateByReferral[conversion_rate],0)</f>
        <v>0</v>
      </c>
      <c r="H132" s="11">
        <f>TableDailySummary[[#This Row],[Órden promedio totales]]*TableDailySummary[[#This Row],[CR totales]]</f>
        <v>0</v>
      </c>
      <c r="I132" s="11">
        <f>_xlfn.XLOOKUP(TableDailySummary[[#This Row],[Fecha]],SummaryDaily[day],SummaryDaily[new_net_sales],0)</f>
        <v>0</v>
      </c>
      <c r="J132" s="11">
        <f>_xlfn.XLOOKUP(TableDailySummary[[#This Row],[Fecha]],SummaryDaily[day],SummaryDaily[new_orders],0)</f>
        <v>0</v>
      </c>
      <c r="K132" s="11">
        <f>_xlfn.XLOOKUP(TableDailySummary[[#This Row],[Fecha]],SummaryDaily[day],SummaryDaily[new_average_order_value],0)</f>
        <v>0</v>
      </c>
      <c r="L132" s="11">
        <f>_xlfn.XLOOKUP(TableDailySummary[[#This Row],[Fecha]],SummaryDaily[day],SummaryDaily[Online Store_net_sales],0)</f>
        <v>0</v>
      </c>
      <c r="M132" s="11">
        <f>_xlfn.XLOOKUP(TableDailySummary[[#This Row],[Fecha]],SummaryDaily[day],SummaryDaily[Online Store_orders],0)</f>
        <v>0</v>
      </c>
      <c r="N132" s="11">
        <f>_xlfn.XLOOKUP(TableDailySummary[[#This Row],[Fecha]],SummaryDaily[day],SummaryDaily[Online Store_average_order_value],0)</f>
        <v>0</v>
      </c>
      <c r="O132" s="11">
        <f>_xlfn.XLOOKUP(TableDailySummary[[#This Row],[Fecha]],SummaryDaily[day],SummaryDaily[Tienda 81_net_sales],0)</f>
        <v>0</v>
      </c>
      <c r="P132" s="11">
        <f>_xlfn.XLOOKUP(TableDailySummary[[#This Row],[Fecha]],SummaryDaily[day],SummaryDaily[Tienda 81_orders],0)</f>
        <v>0</v>
      </c>
      <c r="Q132" s="11">
        <f>_xlfn.XLOOKUP(TableDailySummary[[#This Row],[Fecha]],SummaryDaily[day],SummaryDaily[Tienda 81_average_order_value],0)</f>
        <v>0</v>
      </c>
      <c r="R132" s="11">
        <f>_xlfn.XLOOKUP(TableDailySummary[[#This Row],[Fecha]],SummaryDaily[day],SummaryDaily[Rappi_net_sales],0)</f>
        <v>0</v>
      </c>
      <c r="S132" s="11">
        <f>_xlfn.XLOOKUP(TableDailySummary[[#This Row],[Fecha]],SummaryDaily[day],SummaryDaily[Rappi_orders],0)</f>
        <v>0</v>
      </c>
      <c r="T132" s="11">
        <f>_xlfn.XLOOKUP(TableDailySummary[[#This Row],[Fecha]],SummaryDaily[day],SummaryDaily[Rappi_average_order_value],0)</f>
        <v>0</v>
      </c>
      <c r="U132" s="11">
        <f>_xlfn.XLOOKUP(TableDailySummary[[#This Row],[Fecha]],SummaryDaily[day],SummaryDaily[Corporativo no tienda_net_sales],0)</f>
        <v>0</v>
      </c>
      <c r="V132" s="11">
        <f>_xlfn.XLOOKUP(TableDailySummary[[#This Row],[Fecha]],SummaryDaily[day],SummaryDaily[Corporativo no tienda_orders],0)</f>
        <v>0</v>
      </c>
      <c r="W132" s="11">
        <f>_xlfn.XLOOKUP(TableDailySummary[[#This Row],[Fecha]],SummaryDaily[day],SummaryDaily[Corporativo no tienda_average_order_value],0)</f>
        <v>0</v>
      </c>
      <c r="X132" s="11">
        <f>_xlfn.XLOOKUP(TableDailySummary[[#This Row],[Fecha]],SummaryDaily[day],SummaryDaily[GoogleAdsOperation.Cost],0)</f>
        <v>0</v>
      </c>
      <c r="Y132" s="11">
        <f>SUMIFS(SalesByUTMDaily[google],SalesByUTMDaily[day],TableDailySummary[[#This Row],[Fecha]])</f>
        <v>0</v>
      </c>
      <c r="Z132" s="11">
        <f>_xlfn.XLOOKUP(TableDailySummary[[#This Row],[Fecha]],SummaryDaily[day],SummaryDaily[MetaAdsOperation.spend],0)</f>
        <v>0</v>
      </c>
      <c r="AA132" s="11">
        <f>SUMIFS(SalesByUTMDaily[facebook],SalesByUTMDaily[day],TableDailySummary[[#This Row],[Fecha]])</f>
        <v>0</v>
      </c>
      <c r="AB132" s="11">
        <f>TableDailySummary[[#This Row],[Inversión google ads]]+TableDailySummary[[#This Row],[Inversión meta ads]]</f>
        <v>0</v>
      </c>
      <c r="AC132" s="11">
        <f>TableDailySummary[[#This Row],[Ventas google ads]]+TableDailySummary[[#This Row],[Ventas meta ads]]</f>
        <v>0</v>
      </c>
      <c r="AD132" s="14">
        <f>IFERROR(TableDailySummary[[#This Row],[Ventas publicidad]]/TableDailySummary[[#This Row],[Inversión publicidad]],0)</f>
        <v>0</v>
      </c>
      <c r="AE132" s="14">
        <f>IFERROR(TableDailySummary[[#This Row],[Ventas primer cliente]]/TableDailySummary[[#This Row],[Inversión publicidad]],0)</f>
        <v>0</v>
      </c>
      <c r="AF132" s="14"/>
      <c r="AG132" s="11"/>
      <c r="AM132" s="11">
        <f>_xlfn.XLOOKUP(TableDailySummary[[#This Row],[Fecha]],SummaryDaily[day],SummaryDaily[net_sales_with_cost_recorded],0)</f>
        <v>0</v>
      </c>
      <c r="AN132" s="11">
        <f>_xlfn.XLOOKUP(TableDailySummary[[#This Row],[Fecha]],SummaryDaily[day],SummaryDaily[cost_of_goods_sold],0)</f>
        <v>0</v>
      </c>
      <c r="AO132" s="11">
        <f>_xlfn.XLOOKUP(TableDailySummary[[#This Row],[Fecha]],SummaryDaily[day],SummaryDaily[gross_profit],0)</f>
        <v>0</v>
      </c>
      <c r="AP132" s="18">
        <f>IFERROR(TableDailySummary[[#This Row],[Utilidad bruta]]/TableDailySummary[[#This Row],[Ventas netas con costo registrado]],0)</f>
        <v>0</v>
      </c>
    </row>
    <row r="133" spans="2:42" x14ac:dyDescent="0.2">
      <c r="B133" s="15" cm="1">
        <f t="array" ref="B133">ParamFechaInicioReporte + (ROW(TableDailySummary[#This Row]) - ROW(TableDailySummary[[#Headers],[Dia]]) - 1)</f>
        <v>44660</v>
      </c>
      <c r="C133" s="6">
        <f>TableDailySummary[[#This Row],[Dia]]</f>
        <v>44660</v>
      </c>
      <c r="D133" s="11">
        <f>_xlfn.XLOOKUP(TableDailySummary[[#This Row],[Fecha]],SummaryDaily[day],SummaryDaily[net_sales],0)</f>
        <v>0</v>
      </c>
      <c r="E133" s="11">
        <f>_xlfn.XLOOKUP(TableDailySummary[[#This Row],[Fecha]],SummaryDaily[day],SummaryDaily[orders],0)</f>
        <v>0</v>
      </c>
      <c r="F133" s="11">
        <f>_xlfn.XLOOKUP(TableDailySummary[[#This Row],[Fecha]],SummaryDaily[day],SummaryDaily[average_order_value],0)</f>
        <v>0</v>
      </c>
      <c r="G133" s="24" cm="1">
        <f t="array" ref="G133">_xlfn.XLOOKUP(TableDailySummary[[#This Row],[Fecha]]&amp;"Total site",ConversionRateByReferral[day]&amp;ConversionRateByReferral[referrer_source],ConversionRateByReferral[conversion_rate],0)</f>
        <v>0</v>
      </c>
      <c r="H133" s="11">
        <f>TableDailySummary[[#This Row],[Órden promedio totales]]*TableDailySummary[[#This Row],[CR totales]]</f>
        <v>0</v>
      </c>
      <c r="I133" s="11">
        <f>_xlfn.XLOOKUP(TableDailySummary[[#This Row],[Fecha]],SummaryDaily[day],SummaryDaily[new_net_sales],0)</f>
        <v>0</v>
      </c>
      <c r="J133" s="11">
        <f>_xlfn.XLOOKUP(TableDailySummary[[#This Row],[Fecha]],SummaryDaily[day],SummaryDaily[new_orders],0)</f>
        <v>0</v>
      </c>
      <c r="K133" s="11">
        <f>_xlfn.XLOOKUP(TableDailySummary[[#This Row],[Fecha]],SummaryDaily[day],SummaryDaily[new_average_order_value],0)</f>
        <v>0</v>
      </c>
      <c r="L133" s="11">
        <f>_xlfn.XLOOKUP(TableDailySummary[[#This Row],[Fecha]],SummaryDaily[day],SummaryDaily[Online Store_net_sales],0)</f>
        <v>0</v>
      </c>
      <c r="M133" s="11">
        <f>_xlfn.XLOOKUP(TableDailySummary[[#This Row],[Fecha]],SummaryDaily[day],SummaryDaily[Online Store_orders],0)</f>
        <v>0</v>
      </c>
      <c r="N133" s="11">
        <f>_xlfn.XLOOKUP(TableDailySummary[[#This Row],[Fecha]],SummaryDaily[day],SummaryDaily[Online Store_average_order_value],0)</f>
        <v>0</v>
      </c>
      <c r="O133" s="11">
        <f>_xlfn.XLOOKUP(TableDailySummary[[#This Row],[Fecha]],SummaryDaily[day],SummaryDaily[Tienda 81_net_sales],0)</f>
        <v>0</v>
      </c>
      <c r="P133" s="11">
        <f>_xlfn.XLOOKUP(TableDailySummary[[#This Row],[Fecha]],SummaryDaily[day],SummaryDaily[Tienda 81_orders],0)</f>
        <v>0</v>
      </c>
      <c r="Q133" s="11">
        <f>_xlfn.XLOOKUP(TableDailySummary[[#This Row],[Fecha]],SummaryDaily[day],SummaryDaily[Tienda 81_average_order_value],0)</f>
        <v>0</v>
      </c>
      <c r="R133" s="11">
        <f>_xlfn.XLOOKUP(TableDailySummary[[#This Row],[Fecha]],SummaryDaily[day],SummaryDaily[Rappi_net_sales],0)</f>
        <v>0</v>
      </c>
      <c r="S133" s="11">
        <f>_xlfn.XLOOKUP(TableDailySummary[[#This Row],[Fecha]],SummaryDaily[day],SummaryDaily[Rappi_orders],0)</f>
        <v>0</v>
      </c>
      <c r="T133" s="11">
        <f>_xlfn.XLOOKUP(TableDailySummary[[#This Row],[Fecha]],SummaryDaily[day],SummaryDaily[Rappi_average_order_value],0)</f>
        <v>0</v>
      </c>
      <c r="U133" s="11">
        <f>_xlfn.XLOOKUP(TableDailySummary[[#This Row],[Fecha]],SummaryDaily[day],SummaryDaily[Corporativo no tienda_net_sales],0)</f>
        <v>0</v>
      </c>
      <c r="V133" s="11">
        <f>_xlfn.XLOOKUP(TableDailySummary[[#This Row],[Fecha]],SummaryDaily[day],SummaryDaily[Corporativo no tienda_orders],0)</f>
        <v>0</v>
      </c>
      <c r="W133" s="11">
        <f>_xlfn.XLOOKUP(TableDailySummary[[#This Row],[Fecha]],SummaryDaily[day],SummaryDaily[Corporativo no tienda_average_order_value],0)</f>
        <v>0</v>
      </c>
      <c r="X133" s="11">
        <f>_xlfn.XLOOKUP(TableDailySummary[[#This Row],[Fecha]],SummaryDaily[day],SummaryDaily[GoogleAdsOperation.Cost],0)</f>
        <v>0</v>
      </c>
      <c r="Y133" s="11">
        <f>SUMIFS(SalesByUTMDaily[google],SalesByUTMDaily[day],TableDailySummary[[#This Row],[Fecha]])</f>
        <v>0</v>
      </c>
      <c r="Z133" s="11">
        <f>_xlfn.XLOOKUP(TableDailySummary[[#This Row],[Fecha]],SummaryDaily[day],SummaryDaily[MetaAdsOperation.spend],0)</f>
        <v>0</v>
      </c>
      <c r="AA133" s="11">
        <f>SUMIFS(SalesByUTMDaily[facebook],SalesByUTMDaily[day],TableDailySummary[[#This Row],[Fecha]])</f>
        <v>0</v>
      </c>
      <c r="AB133" s="11">
        <f>TableDailySummary[[#This Row],[Inversión google ads]]+TableDailySummary[[#This Row],[Inversión meta ads]]</f>
        <v>0</v>
      </c>
      <c r="AC133" s="11">
        <f>TableDailySummary[[#This Row],[Ventas google ads]]+TableDailySummary[[#This Row],[Ventas meta ads]]</f>
        <v>0</v>
      </c>
      <c r="AD133" s="14">
        <f>IFERROR(TableDailySummary[[#This Row],[Ventas publicidad]]/TableDailySummary[[#This Row],[Inversión publicidad]],0)</f>
        <v>0</v>
      </c>
      <c r="AE133" s="14">
        <f>IFERROR(TableDailySummary[[#This Row],[Ventas primer cliente]]/TableDailySummary[[#This Row],[Inversión publicidad]],0)</f>
        <v>0</v>
      </c>
      <c r="AF133" s="14"/>
      <c r="AG133" s="11"/>
      <c r="AM133" s="11">
        <f>_xlfn.XLOOKUP(TableDailySummary[[#This Row],[Fecha]],SummaryDaily[day],SummaryDaily[net_sales_with_cost_recorded],0)</f>
        <v>0</v>
      </c>
      <c r="AN133" s="11">
        <f>_xlfn.XLOOKUP(TableDailySummary[[#This Row],[Fecha]],SummaryDaily[day],SummaryDaily[cost_of_goods_sold],0)</f>
        <v>0</v>
      </c>
      <c r="AO133" s="11">
        <f>_xlfn.XLOOKUP(TableDailySummary[[#This Row],[Fecha]],SummaryDaily[day],SummaryDaily[gross_profit],0)</f>
        <v>0</v>
      </c>
      <c r="AP133" s="18">
        <f>IFERROR(TableDailySummary[[#This Row],[Utilidad bruta]]/TableDailySummary[[#This Row],[Ventas netas con costo registrado]],0)</f>
        <v>0</v>
      </c>
    </row>
    <row r="134" spans="2:42" x14ac:dyDescent="0.2">
      <c r="B134" s="15" cm="1">
        <f t="array" ref="B134">ParamFechaInicioReporte + (ROW(TableDailySummary[#This Row]) - ROW(TableDailySummary[[#Headers],[Dia]]) - 1)</f>
        <v>44661</v>
      </c>
      <c r="C134" s="6">
        <f>TableDailySummary[[#This Row],[Dia]]</f>
        <v>44661</v>
      </c>
      <c r="D134" s="11">
        <f>_xlfn.XLOOKUP(TableDailySummary[[#This Row],[Fecha]],SummaryDaily[day],SummaryDaily[net_sales],0)</f>
        <v>0</v>
      </c>
      <c r="E134" s="11">
        <f>_xlfn.XLOOKUP(TableDailySummary[[#This Row],[Fecha]],SummaryDaily[day],SummaryDaily[orders],0)</f>
        <v>0</v>
      </c>
      <c r="F134" s="11">
        <f>_xlfn.XLOOKUP(TableDailySummary[[#This Row],[Fecha]],SummaryDaily[day],SummaryDaily[average_order_value],0)</f>
        <v>0</v>
      </c>
      <c r="G134" s="24" cm="1">
        <f t="array" ref="G134">_xlfn.XLOOKUP(TableDailySummary[[#This Row],[Fecha]]&amp;"Total site",ConversionRateByReferral[day]&amp;ConversionRateByReferral[referrer_source],ConversionRateByReferral[conversion_rate],0)</f>
        <v>0</v>
      </c>
      <c r="H134" s="11">
        <f>TableDailySummary[[#This Row],[Órden promedio totales]]*TableDailySummary[[#This Row],[CR totales]]</f>
        <v>0</v>
      </c>
      <c r="I134" s="11">
        <f>_xlfn.XLOOKUP(TableDailySummary[[#This Row],[Fecha]],SummaryDaily[day],SummaryDaily[new_net_sales],0)</f>
        <v>0</v>
      </c>
      <c r="J134" s="11">
        <f>_xlfn.XLOOKUP(TableDailySummary[[#This Row],[Fecha]],SummaryDaily[day],SummaryDaily[new_orders],0)</f>
        <v>0</v>
      </c>
      <c r="K134" s="11">
        <f>_xlfn.XLOOKUP(TableDailySummary[[#This Row],[Fecha]],SummaryDaily[day],SummaryDaily[new_average_order_value],0)</f>
        <v>0</v>
      </c>
      <c r="L134" s="11">
        <f>_xlfn.XLOOKUP(TableDailySummary[[#This Row],[Fecha]],SummaryDaily[day],SummaryDaily[Online Store_net_sales],0)</f>
        <v>0</v>
      </c>
      <c r="M134" s="11">
        <f>_xlfn.XLOOKUP(TableDailySummary[[#This Row],[Fecha]],SummaryDaily[day],SummaryDaily[Online Store_orders],0)</f>
        <v>0</v>
      </c>
      <c r="N134" s="11">
        <f>_xlfn.XLOOKUP(TableDailySummary[[#This Row],[Fecha]],SummaryDaily[day],SummaryDaily[Online Store_average_order_value],0)</f>
        <v>0</v>
      </c>
      <c r="O134" s="11">
        <f>_xlfn.XLOOKUP(TableDailySummary[[#This Row],[Fecha]],SummaryDaily[day],SummaryDaily[Tienda 81_net_sales],0)</f>
        <v>0</v>
      </c>
      <c r="P134" s="11">
        <f>_xlfn.XLOOKUP(TableDailySummary[[#This Row],[Fecha]],SummaryDaily[day],SummaryDaily[Tienda 81_orders],0)</f>
        <v>0</v>
      </c>
      <c r="Q134" s="11">
        <f>_xlfn.XLOOKUP(TableDailySummary[[#This Row],[Fecha]],SummaryDaily[day],SummaryDaily[Tienda 81_average_order_value],0)</f>
        <v>0</v>
      </c>
      <c r="R134" s="11">
        <f>_xlfn.XLOOKUP(TableDailySummary[[#This Row],[Fecha]],SummaryDaily[day],SummaryDaily[Rappi_net_sales],0)</f>
        <v>0</v>
      </c>
      <c r="S134" s="11">
        <f>_xlfn.XLOOKUP(TableDailySummary[[#This Row],[Fecha]],SummaryDaily[day],SummaryDaily[Rappi_orders],0)</f>
        <v>0</v>
      </c>
      <c r="T134" s="11">
        <f>_xlfn.XLOOKUP(TableDailySummary[[#This Row],[Fecha]],SummaryDaily[day],SummaryDaily[Rappi_average_order_value],0)</f>
        <v>0</v>
      </c>
      <c r="U134" s="11">
        <f>_xlfn.XLOOKUP(TableDailySummary[[#This Row],[Fecha]],SummaryDaily[day],SummaryDaily[Corporativo no tienda_net_sales],0)</f>
        <v>0</v>
      </c>
      <c r="V134" s="11">
        <f>_xlfn.XLOOKUP(TableDailySummary[[#This Row],[Fecha]],SummaryDaily[day],SummaryDaily[Corporativo no tienda_orders],0)</f>
        <v>0</v>
      </c>
      <c r="W134" s="11">
        <f>_xlfn.XLOOKUP(TableDailySummary[[#This Row],[Fecha]],SummaryDaily[day],SummaryDaily[Corporativo no tienda_average_order_value],0)</f>
        <v>0</v>
      </c>
      <c r="X134" s="11">
        <f>_xlfn.XLOOKUP(TableDailySummary[[#This Row],[Fecha]],SummaryDaily[day],SummaryDaily[GoogleAdsOperation.Cost],0)</f>
        <v>0</v>
      </c>
      <c r="Y134" s="11">
        <f>SUMIFS(SalesByUTMDaily[google],SalesByUTMDaily[day],TableDailySummary[[#This Row],[Fecha]])</f>
        <v>0</v>
      </c>
      <c r="Z134" s="11">
        <f>_xlfn.XLOOKUP(TableDailySummary[[#This Row],[Fecha]],SummaryDaily[day],SummaryDaily[MetaAdsOperation.spend],0)</f>
        <v>0</v>
      </c>
      <c r="AA134" s="11">
        <f>SUMIFS(SalesByUTMDaily[facebook],SalesByUTMDaily[day],TableDailySummary[[#This Row],[Fecha]])</f>
        <v>0</v>
      </c>
      <c r="AB134" s="11">
        <f>TableDailySummary[[#This Row],[Inversión google ads]]+TableDailySummary[[#This Row],[Inversión meta ads]]</f>
        <v>0</v>
      </c>
      <c r="AC134" s="11">
        <f>TableDailySummary[[#This Row],[Ventas google ads]]+TableDailySummary[[#This Row],[Ventas meta ads]]</f>
        <v>0</v>
      </c>
      <c r="AD134" s="14">
        <f>IFERROR(TableDailySummary[[#This Row],[Ventas publicidad]]/TableDailySummary[[#This Row],[Inversión publicidad]],0)</f>
        <v>0</v>
      </c>
      <c r="AE134" s="14">
        <f>IFERROR(TableDailySummary[[#This Row],[Ventas primer cliente]]/TableDailySummary[[#This Row],[Inversión publicidad]],0)</f>
        <v>0</v>
      </c>
      <c r="AF134" s="14"/>
      <c r="AG134" s="11"/>
      <c r="AM134" s="11">
        <f>_xlfn.XLOOKUP(TableDailySummary[[#This Row],[Fecha]],SummaryDaily[day],SummaryDaily[net_sales_with_cost_recorded],0)</f>
        <v>0</v>
      </c>
      <c r="AN134" s="11">
        <f>_xlfn.XLOOKUP(TableDailySummary[[#This Row],[Fecha]],SummaryDaily[day],SummaryDaily[cost_of_goods_sold],0)</f>
        <v>0</v>
      </c>
      <c r="AO134" s="11">
        <f>_xlfn.XLOOKUP(TableDailySummary[[#This Row],[Fecha]],SummaryDaily[day],SummaryDaily[gross_profit],0)</f>
        <v>0</v>
      </c>
      <c r="AP134" s="18">
        <f>IFERROR(TableDailySummary[[#This Row],[Utilidad bruta]]/TableDailySummary[[#This Row],[Ventas netas con costo registrado]],0)</f>
        <v>0</v>
      </c>
    </row>
    <row r="135" spans="2:42" x14ac:dyDescent="0.2">
      <c r="B135" s="15" cm="1">
        <f t="array" ref="B135">ParamFechaInicioReporte + (ROW(TableDailySummary[#This Row]) - ROW(TableDailySummary[[#Headers],[Dia]]) - 1)</f>
        <v>44662</v>
      </c>
      <c r="C135" s="6">
        <f>TableDailySummary[[#This Row],[Dia]]</f>
        <v>44662</v>
      </c>
      <c r="D135" s="11">
        <f>_xlfn.XLOOKUP(TableDailySummary[[#This Row],[Fecha]],SummaryDaily[day],SummaryDaily[net_sales],0)</f>
        <v>0</v>
      </c>
      <c r="E135" s="11">
        <f>_xlfn.XLOOKUP(TableDailySummary[[#This Row],[Fecha]],SummaryDaily[day],SummaryDaily[orders],0)</f>
        <v>0</v>
      </c>
      <c r="F135" s="11">
        <f>_xlfn.XLOOKUP(TableDailySummary[[#This Row],[Fecha]],SummaryDaily[day],SummaryDaily[average_order_value],0)</f>
        <v>0</v>
      </c>
      <c r="G135" s="24" cm="1">
        <f t="array" ref="G135">_xlfn.XLOOKUP(TableDailySummary[[#This Row],[Fecha]]&amp;"Total site",ConversionRateByReferral[day]&amp;ConversionRateByReferral[referrer_source],ConversionRateByReferral[conversion_rate],0)</f>
        <v>0</v>
      </c>
      <c r="H135" s="11">
        <f>TableDailySummary[[#This Row],[Órden promedio totales]]*TableDailySummary[[#This Row],[CR totales]]</f>
        <v>0</v>
      </c>
      <c r="I135" s="11">
        <f>_xlfn.XLOOKUP(TableDailySummary[[#This Row],[Fecha]],SummaryDaily[day],SummaryDaily[new_net_sales],0)</f>
        <v>0</v>
      </c>
      <c r="J135" s="11">
        <f>_xlfn.XLOOKUP(TableDailySummary[[#This Row],[Fecha]],SummaryDaily[day],SummaryDaily[new_orders],0)</f>
        <v>0</v>
      </c>
      <c r="K135" s="11">
        <f>_xlfn.XLOOKUP(TableDailySummary[[#This Row],[Fecha]],SummaryDaily[day],SummaryDaily[new_average_order_value],0)</f>
        <v>0</v>
      </c>
      <c r="L135" s="11">
        <f>_xlfn.XLOOKUP(TableDailySummary[[#This Row],[Fecha]],SummaryDaily[day],SummaryDaily[Online Store_net_sales],0)</f>
        <v>0</v>
      </c>
      <c r="M135" s="11">
        <f>_xlfn.XLOOKUP(TableDailySummary[[#This Row],[Fecha]],SummaryDaily[day],SummaryDaily[Online Store_orders],0)</f>
        <v>0</v>
      </c>
      <c r="N135" s="11">
        <f>_xlfn.XLOOKUP(TableDailySummary[[#This Row],[Fecha]],SummaryDaily[day],SummaryDaily[Online Store_average_order_value],0)</f>
        <v>0</v>
      </c>
      <c r="O135" s="11">
        <f>_xlfn.XLOOKUP(TableDailySummary[[#This Row],[Fecha]],SummaryDaily[day],SummaryDaily[Tienda 81_net_sales],0)</f>
        <v>0</v>
      </c>
      <c r="P135" s="11">
        <f>_xlfn.XLOOKUP(TableDailySummary[[#This Row],[Fecha]],SummaryDaily[day],SummaryDaily[Tienda 81_orders],0)</f>
        <v>0</v>
      </c>
      <c r="Q135" s="11">
        <f>_xlfn.XLOOKUP(TableDailySummary[[#This Row],[Fecha]],SummaryDaily[day],SummaryDaily[Tienda 81_average_order_value],0)</f>
        <v>0</v>
      </c>
      <c r="R135" s="11">
        <f>_xlfn.XLOOKUP(TableDailySummary[[#This Row],[Fecha]],SummaryDaily[day],SummaryDaily[Rappi_net_sales],0)</f>
        <v>0</v>
      </c>
      <c r="S135" s="11">
        <f>_xlfn.XLOOKUP(TableDailySummary[[#This Row],[Fecha]],SummaryDaily[day],SummaryDaily[Rappi_orders],0)</f>
        <v>0</v>
      </c>
      <c r="T135" s="11">
        <f>_xlfn.XLOOKUP(TableDailySummary[[#This Row],[Fecha]],SummaryDaily[day],SummaryDaily[Rappi_average_order_value],0)</f>
        <v>0</v>
      </c>
      <c r="U135" s="11">
        <f>_xlfn.XLOOKUP(TableDailySummary[[#This Row],[Fecha]],SummaryDaily[day],SummaryDaily[Corporativo no tienda_net_sales],0)</f>
        <v>0</v>
      </c>
      <c r="V135" s="11">
        <f>_xlfn.XLOOKUP(TableDailySummary[[#This Row],[Fecha]],SummaryDaily[day],SummaryDaily[Corporativo no tienda_orders],0)</f>
        <v>0</v>
      </c>
      <c r="W135" s="11">
        <f>_xlfn.XLOOKUP(TableDailySummary[[#This Row],[Fecha]],SummaryDaily[day],SummaryDaily[Corporativo no tienda_average_order_value],0)</f>
        <v>0</v>
      </c>
      <c r="X135" s="11">
        <f>_xlfn.XLOOKUP(TableDailySummary[[#This Row],[Fecha]],SummaryDaily[day],SummaryDaily[GoogleAdsOperation.Cost],0)</f>
        <v>0</v>
      </c>
      <c r="Y135" s="11">
        <f>SUMIFS(SalesByUTMDaily[google],SalesByUTMDaily[day],TableDailySummary[[#This Row],[Fecha]])</f>
        <v>0</v>
      </c>
      <c r="Z135" s="11">
        <f>_xlfn.XLOOKUP(TableDailySummary[[#This Row],[Fecha]],SummaryDaily[day],SummaryDaily[MetaAdsOperation.spend],0)</f>
        <v>0</v>
      </c>
      <c r="AA135" s="11">
        <f>SUMIFS(SalesByUTMDaily[facebook],SalesByUTMDaily[day],TableDailySummary[[#This Row],[Fecha]])</f>
        <v>0</v>
      </c>
      <c r="AB135" s="11">
        <f>TableDailySummary[[#This Row],[Inversión google ads]]+TableDailySummary[[#This Row],[Inversión meta ads]]</f>
        <v>0</v>
      </c>
      <c r="AC135" s="11">
        <f>TableDailySummary[[#This Row],[Ventas google ads]]+TableDailySummary[[#This Row],[Ventas meta ads]]</f>
        <v>0</v>
      </c>
      <c r="AD135" s="14">
        <f>IFERROR(TableDailySummary[[#This Row],[Ventas publicidad]]/TableDailySummary[[#This Row],[Inversión publicidad]],0)</f>
        <v>0</v>
      </c>
      <c r="AE135" s="14">
        <f>IFERROR(TableDailySummary[[#This Row],[Ventas primer cliente]]/TableDailySummary[[#This Row],[Inversión publicidad]],0)</f>
        <v>0</v>
      </c>
      <c r="AF135" s="14"/>
      <c r="AG135" s="11"/>
      <c r="AM135" s="11">
        <f>_xlfn.XLOOKUP(TableDailySummary[[#This Row],[Fecha]],SummaryDaily[day],SummaryDaily[net_sales_with_cost_recorded],0)</f>
        <v>0</v>
      </c>
      <c r="AN135" s="11">
        <f>_xlfn.XLOOKUP(TableDailySummary[[#This Row],[Fecha]],SummaryDaily[day],SummaryDaily[cost_of_goods_sold],0)</f>
        <v>0</v>
      </c>
      <c r="AO135" s="11">
        <f>_xlfn.XLOOKUP(TableDailySummary[[#This Row],[Fecha]],SummaryDaily[day],SummaryDaily[gross_profit],0)</f>
        <v>0</v>
      </c>
      <c r="AP135" s="18">
        <f>IFERROR(TableDailySummary[[#This Row],[Utilidad bruta]]/TableDailySummary[[#This Row],[Ventas netas con costo registrado]],0)</f>
        <v>0</v>
      </c>
    </row>
    <row r="136" spans="2:42" x14ac:dyDescent="0.2">
      <c r="B136" s="15" cm="1">
        <f t="array" ref="B136">ParamFechaInicioReporte + (ROW(TableDailySummary[#This Row]) - ROW(TableDailySummary[[#Headers],[Dia]]) - 1)</f>
        <v>44663</v>
      </c>
      <c r="C136" s="6">
        <f>TableDailySummary[[#This Row],[Dia]]</f>
        <v>44663</v>
      </c>
      <c r="D136" s="11">
        <f>_xlfn.XLOOKUP(TableDailySummary[[#This Row],[Fecha]],SummaryDaily[day],SummaryDaily[net_sales],0)</f>
        <v>0</v>
      </c>
      <c r="E136" s="11">
        <f>_xlfn.XLOOKUP(TableDailySummary[[#This Row],[Fecha]],SummaryDaily[day],SummaryDaily[orders],0)</f>
        <v>0</v>
      </c>
      <c r="F136" s="11">
        <f>_xlfn.XLOOKUP(TableDailySummary[[#This Row],[Fecha]],SummaryDaily[day],SummaryDaily[average_order_value],0)</f>
        <v>0</v>
      </c>
      <c r="G136" s="24" cm="1">
        <f t="array" ref="G136">_xlfn.XLOOKUP(TableDailySummary[[#This Row],[Fecha]]&amp;"Total site",ConversionRateByReferral[day]&amp;ConversionRateByReferral[referrer_source],ConversionRateByReferral[conversion_rate],0)</f>
        <v>0</v>
      </c>
      <c r="H136" s="11">
        <f>TableDailySummary[[#This Row],[Órden promedio totales]]*TableDailySummary[[#This Row],[CR totales]]</f>
        <v>0</v>
      </c>
      <c r="I136" s="11">
        <f>_xlfn.XLOOKUP(TableDailySummary[[#This Row],[Fecha]],SummaryDaily[day],SummaryDaily[new_net_sales],0)</f>
        <v>0</v>
      </c>
      <c r="J136" s="11">
        <f>_xlfn.XLOOKUP(TableDailySummary[[#This Row],[Fecha]],SummaryDaily[day],SummaryDaily[new_orders],0)</f>
        <v>0</v>
      </c>
      <c r="K136" s="11">
        <f>_xlfn.XLOOKUP(TableDailySummary[[#This Row],[Fecha]],SummaryDaily[day],SummaryDaily[new_average_order_value],0)</f>
        <v>0</v>
      </c>
      <c r="L136" s="11">
        <f>_xlfn.XLOOKUP(TableDailySummary[[#This Row],[Fecha]],SummaryDaily[day],SummaryDaily[Online Store_net_sales],0)</f>
        <v>0</v>
      </c>
      <c r="M136" s="11">
        <f>_xlfn.XLOOKUP(TableDailySummary[[#This Row],[Fecha]],SummaryDaily[day],SummaryDaily[Online Store_orders],0)</f>
        <v>0</v>
      </c>
      <c r="N136" s="11">
        <f>_xlfn.XLOOKUP(TableDailySummary[[#This Row],[Fecha]],SummaryDaily[day],SummaryDaily[Online Store_average_order_value],0)</f>
        <v>0</v>
      </c>
      <c r="O136" s="11">
        <f>_xlfn.XLOOKUP(TableDailySummary[[#This Row],[Fecha]],SummaryDaily[day],SummaryDaily[Tienda 81_net_sales],0)</f>
        <v>0</v>
      </c>
      <c r="P136" s="11">
        <f>_xlfn.XLOOKUP(TableDailySummary[[#This Row],[Fecha]],SummaryDaily[day],SummaryDaily[Tienda 81_orders],0)</f>
        <v>0</v>
      </c>
      <c r="Q136" s="11">
        <f>_xlfn.XLOOKUP(TableDailySummary[[#This Row],[Fecha]],SummaryDaily[day],SummaryDaily[Tienda 81_average_order_value],0)</f>
        <v>0</v>
      </c>
      <c r="R136" s="11">
        <f>_xlfn.XLOOKUP(TableDailySummary[[#This Row],[Fecha]],SummaryDaily[day],SummaryDaily[Rappi_net_sales],0)</f>
        <v>0</v>
      </c>
      <c r="S136" s="11">
        <f>_xlfn.XLOOKUP(TableDailySummary[[#This Row],[Fecha]],SummaryDaily[day],SummaryDaily[Rappi_orders],0)</f>
        <v>0</v>
      </c>
      <c r="T136" s="11">
        <f>_xlfn.XLOOKUP(TableDailySummary[[#This Row],[Fecha]],SummaryDaily[day],SummaryDaily[Rappi_average_order_value],0)</f>
        <v>0</v>
      </c>
      <c r="U136" s="11">
        <f>_xlfn.XLOOKUP(TableDailySummary[[#This Row],[Fecha]],SummaryDaily[day],SummaryDaily[Corporativo no tienda_net_sales],0)</f>
        <v>0</v>
      </c>
      <c r="V136" s="11">
        <f>_xlfn.XLOOKUP(TableDailySummary[[#This Row],[Fecha]],SummaryDaily[day],SummaryDaily[Corporativo no tienda_orders],0)</f>
        <v>0</v>
      </c>
      <c r="W136" s="11">
        <f>_xlfn.XLOOKUP(TableDailySummary[[#This Row],[Fecha]],SummaryDaily[day],SummaryDaily[Corporativo no tienda_average_order_value],0)</f>
        <v>0</v>
      </c>
      <c r="X136" s="11">
        <f>_xlfn.XLOOKUP(TableDailySummary[[#This Row],[Fecha]],SummaryDaily[day],SummaryDaily[GoogleAdsOperation.Cost],0)</f>
        <v>0</v>
      </c>
      <c r="Y136" s="11">
        <f>SUMIFS(SalesByUTMDaily[google],SalesByUTMDaily[day],TableDailySummary[[#This Row],[Fecha]])</f>
        <v>0</v>
      </c>
      <c r="Z136" s="11">
        <f>_xlfn.XLOOKUP(TableDailySummary[[#This Row],[Fecha]],SummaryDaily[day],SummaryDaily[MetaAdsOperation.spend],0)</f>
        <v>0</v>
      </c>
      <c r="AA136" s="11">
        <f>SUMIFS(SalesByUTMDaily[facebook],SalesByUTMDaily[day],TableDailySummary[[#This Row],[Fecha]])</f>
        <v>0</v>
      </c>
      <c r="AB136" s="11">
        <f>TableDailySummary[[#This Row],[Inversión google ads]]+TableDailySummary[[#This Row],[Inversión meta ads]]</f>
        <v>0</v>
      </c>
      <c r="AC136" s="11">
        <f>TableDailySummary[[#This Row],[Ventas google ads]]+TableDailySummary[[#This Row],[Ventas meta ads]]</f>
        <v>0</v>
      </c>
      <c r="AD136" s="14">
        <f>IFERROR(TableDailySummary[[#This Row],[Ventas publicidad]]/TableDailySummary[[#This Row],[Inversión publicidad]],0)</f>
        <v>0</v>
      </c>
      <c r="AE136" s="14">
        <f>IFERROR(TableDailySummary[[#This Row],[Ventas primer cliente]]/TableDailySummary[[#This Row],[Inversión publicidad]],0)</f>
        <v>0</v>
      </c>
      <c r="AF136" s="14"/>
      <c r="AG136" s="11"/>
      <c r="AM136" s="11">
        <f>_xlfn.XLOOKUP(TableDailySummary[[#This Row],[Fecha]],SummaryDaily[day],SummaryDaily[net_sales_with_cost_recorded],0)</f>
        <v>0</v>
      </c>
      <c r="AN136" s="11">
        <f>_xlfn.XLOOKUP(TableDailySummary[[#This Row],[Fecha]],SummaryDaily[day],SummaryDaily[cost_of_goods_sold],0)</f>
        <v>0</v>
      </c>
      <c r="AO136" s="11">
        <f>_xlfn.XLOOKUP(TableDailySummary[[#This Row],[Fecha]],SummaryDaily[day],SummaryDaily[gross_profit],0)</f>
        <v>0</v>
      </c>
      <c r="AP136" s="18">
        <f>IFERROR(TableDailySummary[[#This Row],[Utilidad bruta]]/TableDailySummary[[#This Row],[Ventas netas con costo registrado]],0)</f>
        <v>0</v>
      </c>
    </row>
    <row r="137" spans="2:42" x14ac:dyDescent="0.2">
      <c r="B137" s="15" cm="1">
        <f t="array" ref="B137">ParamFechaInicioReporte + (ROW(TableDailySummary[#This Row]) - ROW(TableDailySummary[[#Headers],[Dia]]) - 1)</f>
        <v>44664</v>
      </c>
      <c r="C137" s="6">
        <f>TableDailySummary[[#This Row],[Dia]]</f>
        <v>44664</v>
      </c>
      <c r="D137" s="11">
        <f>_xlfn.XLOOKUP(TableDailySummary[[#This Row],[Fecha]],SummaryDaily[day],SummaryDaily[net_sales],0)</f>
        <v>0</v>
      </c>
      <c r="E137" s="11">
        <f>_xlfn.XLOOKUP(TableDailySummary[[#This Row],[Fecha]],SummaryDaily[day],SummaryDaily[orders],0)</f>
        <v>0</v>
      </c>
      <c r="F137" s="11">
        <f>_xlfn.XLOOKUP(TableDailySummary[[#This Row],[Fecha]],SummaryDaily[day],SummaryDaily[average_order_value],0)</f>
        <v>0</v>
      </c>
      <c r="G137" s="24" cm="1">
        <f t="array" ref="G137">_xlfn.XLOOKUP(TableDailySummary[[#This Row],[Fecha]]&amp;"Total site",ConversionRateByReferral[day]&amp;ConversionRateByReferral[referrer_source],ConversionRateByReferral[conversion_rate],0)</f>
        <v>0</v>
      </c>
      <c r="H137" s="11">
        <f>TableDailySummary[[#This Row],[Órden promedio totales]]*TableDailySummary[[#This Row],[CR totales]]</f>
        <v>0</v>
      </c>
      <c r="I137" s="11">
        <f>_xlfn.XLOOKUP(TableDailySummary[[#This Row],[Fecha]],SummaryDaily[day],SummaryDaily[new_net_sales],0)</f>
        <v>0</v>
      </c>
      <c r="J137" s="11">
        <f>_xlfn.XLOOKUP(TableDailySummary[[#This Row],[Fecha]],SummaryDaily[day],SummaryDaily[new_orders],0)</f>
        <v>0</v>
      </c>
      <c r="K137" s="11">
        <f>_xlfn.XLOOKUP(TableDailySummary[[#This Row],[Fecha]],SummaryDaily[day],SummaryDaily[new_average_order_value],0)</f>
        <v>0</v>
      </c>
      <c r="L137" s="11">
        <f>_xlfn.XLOOKUP(TableDailySummary[[#This Row],[Fecha]],SummaryDaily[day],SummaryDaily[Online Store_net_sales],0)</f>
        <v>0</v>
      </c>
      <c r="M137" s="11">
        <f>_xlfn.XLOOKUP(TableDailySummary[[#This Row],[Fecha]],SummaryDaily[day],SummaryDaily[Online Store_orders],0)</f>
        <v>0</v>
      </c>
      <c r="N137" s="11">
        <f>_xlfn.XLOOKUP(TableDailySummary[[#This Row],[Fecha]],SummaryDaily[day],SummaryDaily[Online Store_average_order_value],0)</f>
        <v>0</v>
      </c>
      <c r="O137" s="11">
        <f>_xlfn.XLOOKUP(TableDailySummary[[#This Row],[Fecha]],SummaryDaily[day],SummaryDaily[Tienda 81_net_sales],0)</f>
        <v>0</v>
      </c>
      <c r="P137" s="11">
        <f>_xlfn.XLOOKUP(TableDailySummary[[#This Row],[Fecha]],SummaryDaily[day],SummaryDaily[Tienda 81_orders],0)</f>
        <v>0</v>
      </c>
      <c r="Q137" s="11">
        <f>_xlfn.XLOOKUP(TableDailySummary[[#This Row],[Fecha]],SummaryDaily[day],SummaryDaily[Tienda 81_average_order_value],0)</f>
        <v>0</v>
      </c>
      <c r="R137" s="11">
        <f>_xlfn.XLOOKUP(TableDailySummary[[#This Row],[Fecha]],SummaryDaily[day],SummaryDaily[Rappi_net_sales],0)</f>
        <v>0</v>
      </c>
      <c r="S137" s="11">
        <f>_xlfn.XLOOKUP(TableDailySummary[[#This Row],[Fecha]],SummaryDaily[day],SummaryDaily[Rappi_orders],0)</f>
        <v>0</v>
      </c>
      <c r="T137" s="11">
        <f>_xlfn.XLOOKUP(TableDailySummary[[#This Row],[Fecha]],SummaryDaily[day],SummaryDaily[Rappi_average_order_value],0)</f>
        <v>0</v>
      </c>
      <c r="U137" s="11">
        <f>_xlfn.XLOOKUP(TableDailySummary[[#This Row],[Fecha]],SummaryDaily[day],SummaryDaily[Corporativo no tienda_net_sales],0)</f>
        <v>0</v>
      </c>
      <c r="V137" s="11">
        <f>_xlfn.XLOOKUP(TableDailySummary[[#This Row],[Fecha]],SummaryDaily[day],SummaryDaily[Corporativo no tienda_orders],0)</f>
        <v>0</v>
      </c>
      <c r="W137" s="11">
        <f>_xlfn.XLOOKUP(TableDailySummary[[#This Row],[Fecha]],SummaryDaily[day],SummaryDaily[Corporativo no tienda_average_order_value],0)</f>
        <v>0</v>
      </c>
      <c r="X137" s="11">
        <f>_xlfn.XLOOKUP(TableDailySummary[[#This Row],[Fecha]],SummaryDaily[day],SummaryDaily[GoogleAdsOperation.Cost],0)</f>
        <v>0</v>
      </c>
      <c r="Y137" s="11">
        <f>SUMIFS(SalesByUTMDaily[google],SalesByUTMDaily[day],TableDailySummary[[#This Row],[Fecha]])</f>
        <v>0</v>
      </c>
      <c r="Z137" s="11">
        <f>_xlfn.XLOOKUP(TableDailySummary[[#This Row],[Fecha]],SummaryDaily[day],SummaryDaily[MetaAdsOperation.spend],0)</f>
        <v>0</v>
      </c>
      <c r="AA137" s="11">
        <f>SUMIFS(SalesByUTMDaily[facebook],SalesByUTMDaily[day],TableDailySummary[[#This Row],[Fecha]])</f>
        <v>0</v>
      </c>
      <c r="AB137" s="11">
        <f>TableDailySummary[[#This Row],[Inversión google ads]]+TableDailySummary[[#This Row],[Inversión meta ads]]</f>
        <v>0</v>
      </c>
      <c r="AC137" s="11">
        <f>TableDailySummary[[#This Row],[Ventas google ads]]+TableDailySummary[[#This Row],[Ventas meta ads]]</f>
        <v>0</v>
      </c>
      <c r="AD137" s="14">
        <f>IFERROR(TableDailySummary[[#This Row],[Ventas publicidad]]/TableDailySummary[[#This Row],[Inversión publicidad]],0)</f>
        <v>0</v>
      </c>
      <c r="AE137" s="14">
        <f>IFERROR(TableDailySummary[[#This Row],[Ventas primer cliente]]/TableDailySummary[[#This Row],[Inversión publicidad]],0)</f>
        <v>0</v>
      </c>
      <c r="AF137" s="14"/>
      <c r="AG137" s="11"/>
      <c r="AM137" s="11">
        <f>_xlfn.XLOOKUP(TableDailySummary[[#This Row],[Fecha]],SummaryDaily[day],SummaryDaily[net_sales_with_cost_recorded],0)</f>
        <v>0</v>
      </c>
      <c r="AN137" s="11">
        <f>_xlfn.XLOOKUP(TableDailySummary[[#This Row],[Fecha]],SummaryDaily[day],SummaryDaily[cost_of_goods_sold],0)</f>
        <v>0</v>
      </c>
      <c r="AO137" s="11">
        <f>_xlfn.XLOOKUP(TableDailySummary[[#This Row],[Fecha]],SummaryDaily[day],SummaryDaily[gross_profit],0)</f>
        <v>0</v>
      </c>
      <c r="AP137" s="18">
        <f>IFERROR(TableDailySummary[[#This Row],[Utilidad bruta]]/TableDailySummary[[#This Row],[Ventas netas con costo registrado]],0)</f>
        <v>0</v>
      </c>
    </row>
    <row r="138" spans="2:42" x14ac:dyDescent="0.2">
      <c r="B138" s="15" cm="1">
        <f t="array" ref="B138">ParamFechaInicioReporte + (ROW(TableDailySummary[#This Row]) - ROW(TableDailySummary[[#Headers],[Dia]]) - 1)</f>
        <v>44665</v>
      </c>
      <c r="C138" s="6">
        <f>TableDailySummary[[#This Row],[Dia]]</f>
        <v>44665</v>
      </c>
      <c r="D138" s="11">
        <f>_xlfn.XLOOKUP(TableDailySummary[[#This Row],[Fecha]],SummaryDaily[day],SummaryDaily[net_sales],0)</f>
        <v>0</v>
      </c>
      <c r="E138" s="11">
        <f>_xlfn.XLOOKUP(TableDailySummary[[#This Row],[Fecha]],SummaryDaily[day],SummaryDaily[orders],0)</f>
        <v>0</v>
      </c>
      <c r="F138" s="11">
        <f>_xlfn.XLOOKUP(TableDailySummary[[#This Row],[Fecha]],SummaryDaily[day],SummaryDaily[average_order_value],0)</f>
        <v>0</v>
      </c>
      <c r="G138" s="24" cm="1">
        <f t="array" ref="G138">_xlfn.XLOOKUP(TableDailySummary[[#This Row],[Fecha]]&amp;"Total site",ConversionRateByReferral[day]&amp;ConversionRateByReferral[referrer_source],ConversionRateByReferral[conversion_rate],0)</f>
        <v>0</v>
      </c>
      <c r="H138" s="11">
        <f>TableDailySummary[[#This Row],[Órden promedio totales]]*TableDailySummary[[#This Row],[CR totales]]</f>
        <v>0</v>
      </c>
      <c r="I138" s="11">
        <f>_xlfn.XLOOKUP(TableDailySummary[[#This Row],[Fecha]],SummaryDaily[day],SummaryDaily[new_net_sales],0)</f>
        <v>0</v>
      </c>
      <c r="J138" s="11">
        <f>_xlfn.XLOOKUP(TableDailySummary[[#This Row],[Fecha]],SummaryDaily[day],SummaryDaily[new_orders],0)</f>
        <v>0</v>
      </c>
      <c r="K138" s="11">
        <f>_xlfn.XLOOKUP(TableDailySummary[[#This Row],[Fecha]],SummaryDaily[day],SummaryDaily[new_average_order_value],0)</f>
        <v>0</v>
      </c>
      <c r="L138" s="11">
        <f>_xlfn.XLOOKUP(TableDailySummary[[#This Row],[Fecha]],SummaryDaily[day],SummaryDaily[Online Store_net_sales],0)</f>
        <v>0</v>
      </c>
      <c r="M138" s="11">
        <f>_xlfn.XLOOKUP(TableDailySummary[[#This Row],[Fecha]],SummaryDaily[day],SummaryDaily[Online Store_orders],0)</f>
        <v>0</v>
      </c>
      <c r="N138" s="11">
        <f>_xlfn.XLOOKUP(TableDailySummary[[#This Row],[Fecha]],SummaryDaily[day],SummaryDaily[Online Store_average_order_value],0)</f>
        <v>0</v>
      </c>
      <c r="O138" s="11">
        <f>_xlfn.XLOOKUP(TableDailySummary[[#This Row],[Fecha]],SummaryDaily[day],SummaryDaily[Tienda 81_net_sales],0)</f>
        <v>0</v>
      </c>
      <c r="P138" s="11">
        <f>_xlfn.XLOOKUP(TableDailySummary[[#This Row],[Fecha]],SummaryDaily[day],SummaryDaily[Tienda 81_orders],0)</f>
        <v>0</v>
      </c>
      <c r="Q138" s="11">
        <f>_xlfn.XLOOKUP(TableDailySummary[[#This Row],[Fecha]],SummaryDaily[day],SummaryDaily[Tienda 81_average_order_value],0)</f>
        <v>0</v>
      </c>
      <c r="R138" s="11">
        <f>_xlfn.XLOOKUP(TableDailySummary[[#This Row],[Fecha]],SummaryDaily[day],SummaryDaily[Rappi_net_sales],0)</f>
        <v>0</v>
      </c>
      <c r="S138" s="11">
        <f>_xlfn.XLOOKUP(TableDailySummary[[#This Row],[Fecha]],SummaryDaily[day],SummaryDaily[Rappi_orders],0)</f>
        <v>0</v>
      </c>
      <c r="T138" s="11">
        <f>_xlfn.XLOOKUP(TableDailySummary[[#This Row],[Fecha]],SummaryDaily[day],SummaryDaily[Rappi_average_order_value],0)</f>
        <v>0</v>
      </c>
      <c r="U138" s="11">
        <f>_xlfn.XLOOKUP(TableDailySummary[[#This Row],[Fecha]],SummaryDaily[day],SummaryDaily[Corporativo no tienda_net_sales],0)</f>
        <v>0</v>
      </c>
      <c r="V138" s="11">
        <f>_xlfn.XLOOKUP(TableDailySummary[[#This Row],[Fecha]],SummaryDaily[day],SummaryDaily[Corporativo no tienda_orders],0)</f>
        <v>0</v>
      </c>
      <c r="W138" s="11">
        <f>_xlfn.XLOOKUP(TableDailySummary[[#This Row],[Fecha]],SummaryDaily[day],SummaryDaily[Corporativo no tienda_average_order_value],0)</f>
        <v>0</v>
      </c>
      <c r="X138" s="11">
        <f>_xlfn.XLOOKUP(TableDailySummary[[#This Row],[Fecha]],SummaryDaily[day],SummaryDaily[GoogleAdsOperation.Cost],0)</f>
        <v>0</v>
      </c>
      <c r="Y138" s="11">
        <f>SUMIFS(SalesByUTMDaily[google],SalesByUTMDaily[day],TableDailySummary[[#This Row],[Fecha]])</f>
        <v>0</v>
      </c>
      <c r="Z138" s="11">
        <f>_xlfn.XLOOKUP(TableDailySummary[[#This Row],[Fecha]],SummaryDaily[day],SummaryDaily[MetaAdsOperation.spend],0)</f>
        <v>0</v>
      </c>
      <c r="AA138" s="11">
        <f>SUMIFS(SalesByUTMDaily[facebook],SalesByUTMDaily[day],TableDailySummary[[#This Row],[Fecha]])</f>
        <v>0</v>
      </c>
      <c r="AB138" s="11">
        <f>TableDailySummary[[#This Row],[Inversión google ads]]+TableDailySummary[[#This Row],[Inversión meta ads]]</f>
        <v>0</v>
      </c>
      <c r="AC138" s="11">
        <f>TableDailySummary[[#This Row],[Ventas google ads]]+TableDailySummary[[#This Row],[Ventas meta ads]]</f>
        <v>0</v>
      </c>
      <c r="AD138" s="14">
        <f>IFERROR(TableDailySummary[[#This Row],[Ventas publicidad]]/TableDailySummary[[#This Row],[Inversión publicidad]],0)</f>
        <v>0</v>
      </c>
      <c r="AE138" s="14">
        <f>IFERROR(TableDailySummary[[#This Row],[Ventas primer cliente]]/TableDailySummary[[#This Row],[Inversión publicidad]],0)</f>
        <v>0</v>
      </c>
      <c r="AF138" s="14"/>
      <c r="AG138" s="11"/>
      <c r="AM138" s="11">
        <f>_xlfn.XLOOKUP(TableDailySummary[[#This Row],[Fecha]],SummaryDaily[day],SummaryDaily[net_sales_with_cost_recorded],0)</f>
        <v>0</v>
      </c>
      <c r="AN138" s="11">
        <f>_xlfn.XLOOKUP(TableDailySummary[[#This Row],[Fecha]],SummaryDaily[day],SummaryDaily[cost_of_goods_sold],0)</f>
        <v>0</v>
      </c>
      <c r="AO138" s="11">
        <f>_xlfn.XLOOKUP(TableDailySummary[[#This Row],[Fecha]],SummaryDaily[day],SummaryDaily[gross_profit],0)</f>
        <v>0</v>
      </c>
      <c r="AP138" s="18">
        <f>IFERROR(TableDailySummary[[#This Row],[Utilidad bruta]]/TableDailySummary[[#This Row],[Ventas netas con costo registrado]],0)</f>
        <v>0</v>
      </c>
    </row>
    <row r="139" spans="2:42" x14ac:dyDescent="0.2">
      <c r="B139" s="15" cm="1">
        <f t="array" ref="B139">ParamFechaInicioReporte + (ROW(TableDailySummary[#This Row]) - ROW(TableDailySummary[[#Headers],[Dia]]) - 1)</f>
        <v>44666</v>
      </c>
      <c r="C139" s="6">
        <f>TableDailySummary[[#This Row],[Dia]]</f>
        <v>44666</v>
      </c>
      <c r="D139" s="11">
        <f>_xlfn.XLOOKUP(TableDailySummary[[#This Row],[Fecha]],SummaryDaily[day],SummaryDaily[net_sales],0)</f>
        <v>0</v>
      </c>
      <c r="E139" s="11">
        <f>_xlfn.XLOOKUP(TableDailySummary[[#This Row],[Fecha]],SummaryDaily[day],SummaryDaily[orders],0)</f>
        <v>0</v>
      </c>
      <c r="F139" s="11">
        <f>_xlfn.XLOOKUP(TableDailySummary[[#This Row],[Fecha]],SummaryDaily[day],SummaryDaily[average_order_value],0)</f>
        <v>0</v>
      </c>
      <c r="G139" s="24" cm="1">
        <f t="array" ref="G139">_xlfn.XLOOKUP(TableDailySummary[[#This Row],[Fecha]]&amp;"Total site",ConversionRateByReferral[day]&amp;ConversionRateByReferral[referrer_source],ConversionRateByReferral[conversion_rate],0)</f>
        <v>0</v>
      </c>
      <c r="H139" s="11">
        <f>TableDailySummary[[#This Row],[Órden promedio totales]]*TableDailySummary[[#This Row],[CR totales]]</f>
        <v>0</v>
      </c>
      <c r="I139" s="11">
        <f>_xlfn.XLOOKUP(TableDailySummary[[#This Row],[Fecha]],SummaryDaily[day],SummaryDaily[new_net_sales],0)</f>
        <v>0</v>
      </c>
      <c r="J139" s="11">
        <f>_xlfn.XLOOKUP(TableDailySummary[[#This Row],[Fecha]],SummaryDaily[day],SummaryDaily[new_orders],0)</f>
        <v>0</v>
      </c>
      <c r="K139" s="11">
        <f>_xlfn.XLOOKUP(TableDailySummary[[#This Row],[Fecha]],SummaryDaily[day],SummaryDaily[new_average_order_value],0)</f>
        <v>0</v>
      </c>
      <c r="L139" s="11">
        <f>_xlfn.XLOOKUP(TableDailySummary[[#This Row],[Fecha]],SummaryDaily[day],SummaryDaily[Online Store_net_sales],0)</f>
        <v>0</v>
      </c>
      <c r="M139" s="11">
        <f>_xlfn.XLOOKUP(TableDailySummary[[#This Row],[Fecha]],SummaryDaily[day],SummaryDaily[Online Store_orders],0)</f>
        <v>0</v>
      </c>
      <c r="N139" s="11">
        <f>_xlfn.XLOOKUP(TableDailySummary[[#This Row],[Fecha]],SummaryDaily[day],SummaryDaily[Online Store_average_order_value],0)</f>
        <v>0</v>
      </c>
      <c r="O139" s="11">
        <f>_xlfn.XLOOKUP(TableDailySummary[[#This Row],[Fecha]],SummaryDaily[day],SummaryDaily[Tienda 81_net_sales],0)</f>
        <v>0</v>
      </c>
      <c r="P139" s="11">
        <f>_xlfn.XLOOKUP(TableDailySummary[[#This Row],[Fecha]],SummaryDaily[day],SummaryDaily[Tienda 81_orders],0)</f>
        <v>0</v>
      </c>
      <c r="Q139" s="11">
        <f>_xlfn.XLOOKUP(TableDailySummary[[#This Row],[Fecha]],SummaryDaily[day],SummaryDaily[Tienda 81_average_order_value],0)</f>
        <v>0</v>
      </c>
      <c r="R139" s="11">
        <f>_xlfn.XLOOKUP(TableDailySummary[[#This Row],[Fecha]],SummaryDaily[day],SummaryDaily[Rappi_net_sales],0)</f>
        <v>0</v>
      </c>
      <c r="S139" s="11">
        <f>_xlfn.XLOOKUP(TableDailySummary[[#This Row],[Fecha]],SummaryDaily[day],SummaryDaily[Rappi_orders],0)</f>
        <v>0</v>
      </c>
      <c r="T139" s="11">
        <f>_xlfn.XLOOKUP(TableDailySummary[[#This Row],[Fecha]],SummaryDaily[day],SummaryDaily[Rappi_average_order_value],0)</f>
        <v>0</v>
      </c>
      <c r="U139" s="11">
        <f>_xlfn.XLOOKUP(TableDailySummary[[#This Row],[Fecha]],SummaryDaily[day],SummaryDaily[Corporativo no tienda_net_sales],0)</f>
        <v>0</v>
      </c>
      <c r="V139" s="11">
        <f>_xlfn.XLOOKUP(TableDailySummary[[#This Row],[Fecha]],SummaryDaily[day],SummaryDaily[Corporativo no tienda_orders],0)</f>
        <v>0</v>
      </c>
      <c r="W139" s="11">
        <f>_xlfn.XLOOKUP(TableDailySummary[[#This Row],[Fecha]],SummaryDaily[day],SummaryDaily[Corporativo no tienda_average_order_value],0)</f>
        <v>0</v>
      </c>
      <c r="X139" s="11">
        <f>_xlfn.XLOOKUP(TableDailySummary[[#This Row],[Fecha]],SummaryDaily[day],SummaryDaily[GoogleAdsOperation.Cost],0)</f>
        <v>0</v>
      </c>
      <c r="Y139" s="11">
        <f>SUMIFS(SalesByUTMDaily[google],SalesByUTMDaily[day],TableDailySummary[[#This Row],[Fecha]])</f>
        <v>0</v>
      </c>
      <c r="Z139" s="11">
        <f>_xlfn.XLOOKUP(TableDailySummary[[#This Row],[Fecha]],SummaryDaily[day],SummaryDaily[MetaAdsOperation.spend],0)</f>
        <v>0</v>
      </c>
      <c r="AA139" s="11">
        <f>SUMIFS(SalesByUTMDaily[facebook],SalesByUTMDaily[day],TableDailySummary[[#This Row],[Fecha]])</f>
        <v>0</v>
      </c>
      <c r="AB139" s="11">
        <f>TableDailySummary[[#This Row],[Inversión google ads]]+TableDailySummary[[#This Row],[Inversión meta ads]]</f>
        <v>0</v>
      </c>
      <c r="AC139" s="11">
        <f>TableDailySummary[[#This Row],[Ventas google ads]]+TableDailySummary[[#This Row],[Ventas meta ads]]</f>
        <v>0</v>
      </c>
      <c r="AD139" s="14">
        <f>IFERROR(TableDailySummary[[#This Row],[Ventas publicidad]]/TableDailySummary[[#This Row],[Inversión publicidad]],0)</f>
        <v>0</v>
      </c>
      <c r="AE139" s="14">
        <f>IFERROR(TableDailySummary[[#This Row],[Ventas primer cliente]]/TableDailySummary[[#This Row],[Inversión publicidad]],0)</f>
        <v>0</v>
      </c>
      <c r="AF139" s="14"/>
      <c r="AG139" s="11"/>
      <c r="AM139" s="11">
        <f>_xlfn.XLOOKUP(TableDailySummary[[#This Row],[Fecha]],SummaryDaily[day],SummaryDaily[net_sales_with_cost_recorded],0)</f>
        <v>0</v>
      </c>
      <c r="AN139" s="11">
        <f>_xlfn.XLOOKUP(TableDailySummary[[#This Row],[Fecha]],SummaryDaily[day],SummaryDaily[cost_of_goods_sold],0)</f>
        <v>0</v>
      </c>
      <c r="AO139" s="11">
        <f>_xlfn.XLOOKUP(TableDailySummary[[#This Row],[Fecha]],SummaryDaily[day],SummaryDaily[gross_profit],0)</f>
        <v>0</v>
      </c>
      <c r="AP139" s="18">
        <f>IFERROR(TableDailySummary[[#This Row],[Utilidad bruta]]/TableDailySummary[[#This Row],[Ventas netas con costo registrado]],0)</f>
        <v>0</v>
      </c>
    </row>
    <row r="140" spans="2:42" x14ac:dyDescent="0.2">
      <c r="B140" s="15" cm="1">
        <f t="array" ref="B140">ParamFechaInicioReporte + (ROW(TableDailySummary[#This Row]) - ROW(TableDailySummary[[#Headers],[Dia]]) - 1)</f>
        <v>44667</v>
      </c>
      <c r="C140" s="6">
        <f>TableDailySummary[[#This Row],[Dia]]</f>
        <v>44667</v>
      </c>
      <c r="D140" s="11">
        <f>_xlfn.XLOOKUP(TableDailySummary[[#This Row],[Fecha]],SummaryDaily[day],SummaryDaily[net_sales],0)</f>
        <v>0</v>
      </c>
      <c r="E140" s="11">
        <f>_xlfn.XLOOKUP(TableDailySummary[[#This Row],[Fecha]],SummaryDaily[day],SummaryDaily[orders],0)</f>
        <v>0</v>
      </c>
      <c r="F140" s="11">
        <f>_xlfn.XLOOKUP(TableDailySummary[[#This Row],[Fecha]],SummaryDaily[day],SummaryDaily[average_order_value],0)</f>
        <v>0</v>
      </c>
      <c r="G140" s="24" cm="1">
        <f t="array" ref="G140">_xlfn.XLOOKUP(TableDailySummary[[#This Row],[Fecha]]&amp;"Total site",ConversionRateByReferral[day]&amp;ConversionRateByReferral[referrer_source],ConversionRateByReferral[conversion_rate],0)</f>
        <v>0</v>
      </c>
      <c r="H140" s="11">
        <f>TableDailySummary[[#This Row],[Órden promedio totales]]*TableDailySummary[[#This Row],[CR totales]]</f>
        <v>0</v>
      </c>
      <c r="I140" s="11">
        <f>_xlfn.XLOOKUP(TableDailySummary[[#This Row],[Fecha]],SummaryDaily[day],SummaryDaily[new_net_sales],0)</f>
        <v>0</v>
      </c>
      <c r="J140" s="11">
        <f>_xlfn.XLOOKUP(TableDailySummary[[#This Row],[Fecha]],SummaryDaily[day],SummaryDaily[new_orders],0)</f>
        <v>0</v>
      </c>
      <c r="K140" s="11">
        <f>_xlfn.XLOOKUP(TableDailySummary[[#This Row],[Fecha]],SummaryDaily[day],SummaryDaily[new_average_order_value],0)</f>
        <v>0</v>
      </c>
      <c r="L140" s="11">
        <f>_xlfn.XLOOKUP(TableDailySummary[[#This Row],[Fecha]],SummaryDaily[day],SummaryDaily[Online Store_net_sales],0)</f>
        <v>0</v>
      </c>
      <c r="M140" s="11">
        <f>_xlfn.XLOOKUP(TableDailySummary[[#This Row],[Fecha]],SummaryDaily[day],SummaryDaily[Online Store_orders],0)</f>
        <v>0</v>
      </c>
      <c r="N140" s="11">
        <f>_xlfn.XLOOKUP(TableDailySummary[[#This Row],[Fecha]],SummaryDaily[day],SummaryDaily[Online Store_average_order_value],0)</f>
        <v>0</v>
      </c>
      <c r="O140" s="11">
        <f>_xlfn.XLOOKUP(TableDailySummary[[#This Row],[Fecha]],SummaryDaily[day],SummaryDaily[Tienda 81_net_sales],0)</f>
        <v>0</v>
      </c>
      <c r="P140" s="11">
        <f>_xlfn.XLOOKUP(TableDailySummary[[#This Row],[Fecha]],SummaryDaily[day],SummaryDaily[Tienda 81_orders],0)</f>
        <v>0</v>
      </c>
      <c r="Q140" s="11">
        <f>_xlfn.XLOOKUP(TableDailySummary[[#This Row],[Fecha]],SummaryDaily[day],SummaryDaily[Tienda 81_average_order_value],0)</f>
        <v>0</v>
      </c>
      <c r="R140" s="11">
        <f>_xlfn.XLOOKUP(TableDailySummary[[#This Row],[Fecha]],SummaryDaily[day],SummaryDaily[Rappi_net_sales],0)</f>
        <v>0</v>
      </c>
      <c r="S140" s="11">
        <f>_xlfn.XLOOKUP(TableDailySummary[[#This Row],[Fecha]],SummaryDaily[day],SummaryDaily[Rappi_orders],0)</f>
        <v>0</v>
      </c>
      <c r="T140" s="11">
        <f>_xlfn.XLOOKUP(TableDailySummary[[#This Row],[Fecha]],SummaryDaily[day],SummaryDaily[Rappi_average_order_value],0)</f>
        <v>0</v>
      </c>
      <c r="U140" s="11">
        <f>_xlfn.XLOOKUP(TableDailySummary[[#This Row],[Fecha]],SummaryDaily[day],SummaryDaily[Corporativo no tienda_net_sales],0)</f>
        <v>0</v>
      </c>
      <c r="V140" s="11">
        <f>_xlfn.XLOOKUP(TableDailySummary[[#This Row],[Fecha]],SummaryDaily[day],SummaryDaily[Corporativo no tienda_orders],0)</f>
        <v>0</v>
      </c>
      <c r="W140" s="11">
        <f>_xlfn.XLOOKUP(TableDailySummary[[#This Row],[Fecha]],SummaryDaily[day],SummaryDaily[Corporativo no tienda_average_order_value],0)</f>
        <v>0</v>
      </c>
      <c r="X140" s="11">
        <f>_xlfn.XLOOKUP(TableDailySummary[[#This Row],[Fecha]],SummaryDaily[day],SummaryDaily[GoogleAdsOperation.Cost],0)</f>
        <v>0</v>
      </c>
      <c r="Y140" s="11">
        <f>SUMIFS(SalesByUTMDaily[google],SalesByUTMDaily[day],TableDailySummary[[#This Row],[Fecha]])</f>
        <v>0</v>
      </c>
      <c r="Z140" s="11">
        <f>_xlfn.XLOOKUP(TableDailySummary[[#This Row],[Fecha]],SummaryDaily[day],SummaryDaily[MetaAdsOperation.spend],0)</f>
        <v>0</v>
      </c>
      <c r="AA140" s="11">
        <f>SUMIFS(SalesByUTMDaily[facebook],SalesByUTMDaily[day],TableDailySummary[[#This Row],[Fecha]])</f>
        <v>0</v>
      </c>
      <c r="AB140" s="11">
        <f>TableDailySummary[[#This Row],[Inversión google ads]]+TableDailySummary[[#This Row],[Inversión meta ads]]</f>
        <v>0</v>
      </c>
      <c r="AC140" s="11">
        <f>TableDailySummary[[#This Row],[Ventas google ads]]+TableDailySummary[[#This Row],[Ventas meta ads]]</f>
        <v>0</v>
      </c>
      <c r="AD140" s="14">
        <f>IFERROR(TableDailySummary[[#This Row],[Ventas publicidad]]/TableDailySummary[[#This Row],[Inversión publicidad]],0)</f>
        <v>0</v>
      </c>
      <c r="AE140" s="14">
        <f>IFERROR(TableDailySummary[[#This Row],[Ventas primer cliente]]/TableDailySummary[[#This Row],[Inversión publicidad]],0)</f>
        <v>0</v>
      </c>
      <c r="AF140" s="14"/>
      <c r="AG140" s="11"/>
      <c r="AM140" s="11">
        <f>_xlfn.XLOOKUP(TableDailySummary[[#This Row],[Fecha]],SummaryDaily[day],SummaryDaily[net_sales_with_cost_recorded],0)</f>
        <v>0</v>
      </c>
      <c r="AN140" s="11">
        <f>_xlfn.XLOOKUP(TableDailySummary[[#This Row],[Fecha]],SummaryDaily[day],SummaryDaily[cost_of_goods_sold],0)</f>
        <v>0</v>
      </c>
      <c r="AO140" s="11">
        <f>_xlfn.XLOOKUP(TableDailySummary[[#This Row],[Fecha]],SummaryDaily[day],SummaryDaily[gross_profit],0)</f>
        <v>0</v>
      </c>
      <c r="AP140" s="18">
        <f>IFERROR(TableDailySummary[[#This Row],[Utilidad bruta]]/TableDailySummary[[#This Row],[Ventas netas con costo registrado]],0)</f>
        <v>0</v>
      </c>
    </row>
    <row r="141" spans="2:42" x14ac:dyDescent="0.2">
      <c r="B141" s="15" cm="1">
        <f t="array" ref="B141">ParamFechaInicioReporte + (ROW(TableDailySummary[#This Row]) - ROW(TableDailySummary[[#Headers],[Dia]]) - 1)</f>
        <v>44668</v>
      </c>
      <c r="C141" s="6">
        <f>TableDailySummary[[#This Row],[Dia]]</f>
        <v>44668</v>
      </c>
      <c r="D141" s="11">
        <f>_xlfn.XLOOKUP(TableDailySummary[[#This Row],[Fecha]],SummaryDaily[day],SummaryDaily[net_sales],0)</f>
        <v>0</v>
      </c>
      <c r="E141" s="11">
        <f>_xlfn.XLOOKUP(TableDailySummary[[#This Row],[Fecha]],SummaryDaily[day],SummaryDaily[orders],0)</f>
        <v>0</v>
      </c>
      <c r="F141" s="11">
        <f>_xlfn.XLOOKUP(TableDailySummary[[#This Row],[Fecha]],SummaryDaily[day],SummaryDaily[average_order_value],0)</f>
        <v>0</v>
      </c>
      <c r="G141" s="24" cm="1">
        <f t="array" ref="G141">_xlfn.XLOOKUP(TableDailySummary[[#This Row],[Fecha]]&amp;"Total site",ConversionRateByReferral[day]&amp;ConversionRateByReferral[referrer_source],ConversionRateByReferral[conversion_rate],0)</f>
        <v>0</v>
      </c>
      <c r="H141" s="11">
        <f>TableDailySummary[[#This Row],[Órden promedio totales]]*TableDailySummary[[#This Row],[CR totales]]</f>
        <v>0</v>
      </c>
      <c r="I141" s="11">
        <f>_xlfn.XLOOKUP(TableDailySummary[[#This Row],[Fecha]],SummaryDaily[day],SummaryDaily[new_net_sales],0)</f>
        <v>0</v>
      </c>
      <c r="J141" s="11">
        <f>_xlfn.XLOOKUP(TableDailySummary[[#This Row],[Fecha]],SummaryDaily[day],SummaryDaily[new_orders],0)</f>
        <v>0</v>
      </c>
      <c r="K141" s="11">
        <f>_xlfn.XLOOKUP(TableDailySummary[[#This Row],[Fecha]],SummaryDaily[day],SummaryDaily[new_average_order_value],0)</f>
        <v>0</v>
      </c>
      <c r="L141" s="11">
        <f>_xlfn.XLOOKUP(TableDailySummary[[#This Row],[Fecha]],SummaryDaily[day],SummaryDaily[Online Store_net_sales],0)</f>
        <v>0</v>
      </c>
      <c r="M141" s="11">
        <f>_xlfn.XLOOKUP(TableDailySummary[[#This Row],[Fecha]],SummaryDaily[day],SummaryDaily[Online Store_orders],0)</f>
        <v>0</v>
      </c>
      <c r="N141" s="11">
        <f>_xlfn.XLOOKUP(TableDailySummary[[#This Row],[Fecha]],SummaryDaily[day],SummaryDaily[Online Store_average_order_value],0)</f>
        <v>0</v>
      </c>
      <c r="O141" s="11">
        <f>_xlfn.XLOOKUP(TableDailySummary[[#This Row],[Fecha]],SummaryDaily[day],SummaryDaily[Tienda 81_net_sales],0)</f>
        <v>0</v>
      </c>
      <c r="P141" s="11">
        <f>_xlfn.XLOOKUP(TableDailySummary[[#This Row],[Fecha]],SummaryDaily[day],SummaryDaily[Tienda 81_orders],0)</f>
        <v>0</v>
      </c>
      <c r="Q141" s="11">
        <f>_xlfn.XLOOKUP(TableDailySummary[[#This Row],[Fecha]],SummaryDaily[day],SummaryDaily[Tienda 81_average_order_value],0)</f>
        <v>0</v>
      </c>
      <c r="R141" s="11">
        <f>_xlfn.XLOOKUP(TableDailySummary[[#This Row],[Fecha]],SummaryDaily[day],SummaryDaily[Rappi_net_sales],0)</f>
        <v>0</v>
      </c>
      <c r="S141" s="11">
        <f>_xlfn.XLOOKUP(TableDailySummary[[#This Row],[Fecha]],SummaryDaily[day],SummaryDaily[Rappi_orders],0)</f>
        <v>0</v>
      </c>
      <c r="T141" s="11">
        <f>_xlfn.XLOOKUP(TableDailySummary[[#This Row],[Fecha]],SummaryDaily[day],SummaryDaily[Rappi_average_order_value],0)</f>
        <v>0</v>
      </c>
      <c r="U141" s="11">
        <f>_xlfn.XLOOKUP(TableDailySummary[[#This Row],[Fecha]],SummaryDaily[day],SummaryDaily[Corporativo no tienda_net_sales],0)</f>
        <v>0</v>
      </c>
      <c r="V141" s="11">
        <f>_xlfn.XLOOKUP(TableDailySummary[[#This Row],[Fecha]],SummaryDaily[day],SummaryDaily[Corporativo no tienda_orders],0)</f>
        <v>0</v>
      </c>
      <c r="W141" s="11">
        <f>_xlfn.XLOOKUP(TableDailySummary[[#This Row],[Fecha]],SummaryDaily[day],SummaryDaily[Corporativo no tienda_average_order_value],0)</f>
        <v>0</v>
      </c>
      <c r="X141" s="11">
        <f>_xlfn.XLOOKUP(TableDailySummary[[#This Row],[Fecha]],SummaryDaily[day],SummaryDaily[GoogleAdsOperation.Cost],0)</f>
        <v>0</v>
      </c>
      <c r="Y141" s="11">
        <f>SUMIFS(SalesByUTMDaily[google],SalesByUTMDaily[day],TableDailySummary[[#This Row],[Fecha]])</f>
        <v>0</v>
      </c>
      <c r="Z141" s="11">
        <f>_xlfn.XLOOKUP(TableDailySummary[[#This Row],[Fecha]],SummaryDaily[day],SummaryDaily[MetaAdsOperation.spend],0)</f>
        <v>0</v>
      </c>
      <c r="AA141" s="11">
        <f>SUMIFS(SalesByUTMDaily[facebook],SalesByUTMDaily[day],TableDailySummary[[#This Row],[Fecha]])</f>
        <v>0</v>
      </c>
      <c r="AB141" s="11">
        <f>TableDailySummary[[#This Row],[Inversión google ads]]+TableDailySummary[[#This Row],[Inversión meta ads]]</f>
        <v>0</v>
      </c>
      <c r="AC141" s="11">
        <f>TableDailySummary[[#This Row],[Ventas google ads]]+TableDailySummary[[#This Row],[Ventas meta ads]]</f>
        <v>0</v>
      </c>
      <c r="AD141" s="14">
        <f>IFERROR(TableDailySummary[[#This Row],[Ventas publicidad]]/TableDailySummary[[#This Row],[Inversión publicidad]],0)</f>
        <v>0</v>
      </c>
      <c r="AE141" s="14">
        <f>IFERROR(TableDailySummary[[#This Row],[Ventas primer cliente]]/TableDailySummary[[#This Row],[Inversión publicidad]],0)</f>
        <v>0</v>
      </c>
      <c r="AF141" s="14"/>
      <c r="AG141" s="11"/>
      <c r="AM141" s="11">
        <f>_xlfn.XLOOKUP(TableDailySummary[[#This Row],[Fecha]],SummaryDaily[day],SummaryDaily[net_sales_with_cost_recorded],0)</f>
        <v>0</v>
      </c>
      <c r="AN141" s="11">
        <f>_xlfn.XLOOKUP(TableDailySummary[[#This Row],[Fecha]],SummaryDaily[day],SummaryDaily[cost_of_goods_sold],0)</f>
        <v>0</v>
      </c>
      <c r="AO141" s="11">
        <f>_xlfn.XLOOKUP(TableDailySummary[[#This Row],[Fecha]],SummaryDaily[day],SummaryDaily[gross_profit],0)</f>
        <v>0</v>
      </c>
      <c r="AP141" s="18">
        <f>IFERROR(TableDailySummary[[#This Row],[Utilidad bruta]]/TableDailySummary[[#This Row],[Ventas netas con costo registrado]],0)</f>
        <v>0</v>
      </c>
    </row>
    <row r="142" spans="2:42" x14ac:dyDescent="0.2">
      <c r="B142" s="15" cm="1">
        <f t="array" ref="B142">ParamFechaInicioReporte + (ROW(TableDailySummary[#This Row]) - ROW(TableDailySummary[[#Headers],[Dia]]) - 1)</f>
        <v>44669</v>
      </c>
      <c r="C142" s="6">
        <f>TableDailySummary[[#This Row],[Dia]]</f>
        <v>44669</v>
      </c>
      <c r="D142" s="11">
        <f>_xlfn.XLOOKUP(TableDailySummary[[#This Row],[Fecha]],SummaryDaily[day],SummaryDaily[net_sales],0)</f>
        <v>0</v>
      </c>
      <c r="E142" s="11">
        <f>_xlfn.XLOOKUP(TableDailySummary[[#This Row],[Fecha]],SummaryDaily[day],SummaryDaily[orders],0)</f>
        <v>0</v>
      </c>
      <c r="F142" s="11">
        <f>_xlfn.XLOOKUP(TableDailySummary[[#This Row],[Fecha]],SummaryDaily[day],SummaryDaily[average_order_value],0)</f>
        <v>0</v>
      </c>
      <c r="G142" s="24" cm="1">
        <f t="array" ref="G142">_xlfn.XLOOKUP(TableDailySummary[[#This Row],[Fecha]]&amp;"Total site",ConversionRateByReferral[day]&amp;ConversionRateByReferral[referrer_source],ConversionRateByReferral[conversion_rate],0)</f>
        <v>0</v>
      </c>
      <c r="H142" s="11">
        <f>TableDailySummary[[#This Row],[Órden promedio totales]]*TableDailySummary[[#This Row],[CR totales]]</f>
        <v>0</v>
      </c>
      <c r="I142" s="11">
        <f>_xlfn.XLOOKUP(TableDailySummary[[#This Row],[Fecha]],SummaryDaily[day],SummaryDaily[new_net_sales],0)</f>
        <v>0</v>
      </c>
      <c r="J142" s="11">
        <f>_xlfn.XLOOKUP(TableDailySummary[[#This Row],[Fecha]],SummaryDaily[day],SummaryDaily[new_orders],0)</f>
        <v>0</v>
      </c>
      <c r="K142" s="11">
        <f>_xlfn.XLOOKUP(TableDailySummary[[#This Row],[Fecha]],SummaryDaily[day],SummaryDaily[new_average_order_value],0)</f>
        <v>0</v>
      </c>
      <c r="L142" s="11">
        <f>_xlfn.XLOOKUP(TableDailySummary[[#This Row],[Fecha]],SummaryDaily[day],SummaryDaily[Online Store_net_sales],0)</f>
        <v>0</v>
      </c>
      <c r="M142" s="11">
        <f>_xlfn.XLOOKUP(TableDailySummary[[#This Row],[Fecha]],SummaryDaily[day],SummaryDaily[Online Store_orders],0)</f>
        <v>0</v>
      </c>
      <c r="N142" s="11">
        <f>_xlfn.XLOOKUP(TableDailySummary[[#This Row],[Fecha]],SummaryDaily[day],SummaryDaily[Online Store_average_order_value],0)</f>
        <v>0</v>
      </c>
      <c r="O142" s="11">
        <f>_xlfn.XLOOKUP(TableDailySummary[[#This Row],[Fecha]],SummaryDaily[day],SummaryDaily[Tienda 81_net_sales],0)</f>
        <v>0</v>
      </c>
      <c r="P142" s="11">
        <f>_xlfn.XLOOKUP(TableDailySummary[[#This Row],[Fecha]],SummaryDaily[day],SummaryDaily[Tienda 81_orders],0)</f>
        <v>0</v>
      </c>
      <c r="Q142" s="11">
        <f>_xlfn.XLOOKUP(TableDailySummary[[#This Row],[Fecha]],SummaryDaily[day],SummaryDaily[Tienda 81_average_order_value],0)</f>
        <v>0</v>
      </c>
      <c r="R142" s="11">
        <f>_xlfn.XLOOKUP(TableDailySummary[[#This Row],[Fecha]],SummaryDaily[day],SummaryDaily[Rappi_net_sales],0)</f>
        <v>0</v>
      </c>
      <c r="S142" s="11">
        <f>_xlfn.XLOOKUP(TableDailySummary[[#This Row],[Fecha]],SummaryDaily[day],SummaryDaily[Rappi_orders],0)</f>
        <v>0</v>
      </c>
      <c r="T142" s="11">
        <f>_xlfn.XLOOKUP(TableDailySummary[[#This Row],[Fecha]],SummaryDaily[day],SummaryDaily[Rappi_average_order_value],0)</f>
        <v>0</v>
      </c>
      <c r="U142" s="11">
        <f>_xlfn.XLOOKUP(TableDailySummary[[#This Row],[Fecha]],SummaryDaily[day],SummaryDaily[Corporativo no tienda_net_sales],0)</f>
        <v>0</v>
      </c>
      <c r="V142" s="11">
        <f>_xlfn.XLOOKUP(TableDailySummary[[#This Row],[Fecha]],SummaryDaily[day],SummaryDaily[Corporativo no tienda_orders],0)</f>
        <v>0</v>
      </c>
      <c r="W142" s="11">
        <f>_xlfn.XLOOKUP(TableDailySummary[[#This Row],[Fecha]],SummaryDaily[day],SummaryDaily[Corporativo no tienda_average_order_value],0)</f>
        <v>0</v>
      </c>
      <c r="X142" s="11">
        <f>_xlfn.XLOOKUP(TableDailySummary[[#This Row],[Fecha]],SummaryDaily[day],SummaryDaily[GoogleAdsOperation.Cost],0)</f>
        <v>0</v>
      </c>
      <c r="Y142" s="11">
        <f>SUMIFS(SalesByUTMDaily[google],SalesByUTMDaily[day],TableDailySummary[[#This Row],[Fecha]])</f>
        <v>0</v>
      </c>
      <c r="Z142" s="11">
        <f>_xlfn.XLOOKUP(TableDailySummary[[#This Row],[Fecha]],SummaryDaily[day],SummaryDaily[MetaAdsOperation.spend],0)</f>
        <v>0</v>
      </c>
      <c r="AA142" s="11">
        <f>SUMIFS(SalesByUTMDaily[facebook],SalesByUTMDaily[day],TableDailySummary[[#This Row],[Fecha]])</f>
        <v>0</v>
      </c>
      <c r="AB142" s="11">
        <f>TableDailySummary[[#This Row],[Inversión google ads]]+TableDailySummary[[#This Row],[Inversión meta ads]]</f>
        <v>0</v>
      </c>
      <c r="AC142" s="11">
        <f>TableDailySummary[[#This Row],[Ventas google ads]]+TableDailySummary[[#This Row],[Ventas meta ads]]</f>
        <v>0</v>
      </c>
      <c r="AD142" s="14">
        <f>IFERROR(TableDailySummary[[#This Row],[Ventas publicidad]]/TableDailySummary[[#This Row],[Inversión publicidad]],0)</f>
        <v>0</v>
      </c>
      <c r="AE142" s="14">
        <f>IFERROR(TableDailySummary[[#This Row],[Ventas primer cliente]]/TableDailySummary[[#This Row],[Inversión publicidad]],0)</f>
        <v>0</v>
      </c>
      <c r="AF142" s="14"/>
      <c r="AG142" s="11"/>
      <c r="AM142" s="11">
        <f>_xlfn.XLOOKUP(TableDailySummary[[#This Row],[Fecha]],SummaryDaily[day],SummaryDaily[net_sales_with_cost_recorded],0)</f>
        <v>0</v>
      </c>
      <c r="AN142" s="11">
        <f>_xlfn.XLOOKUP(TableDailySummary[[#This Row],[Fecha]],SummaryDaily[day],SummaryDaily[cost_of_goods_sold],0)</f>
        <v>0</v>
      </c>
      <c r="AO142" s="11">
        <f>_xlfn.XLOOKUP(TableDailySummary[[#This Row],[Fecha]],SummaryDaily[day],SummaryDaily[gross_profit],0)</f>
        <v>0</v>
      </c>
      <c r="AP142" s="18">
        <f>IFERROR(TableDailySummary[[#This Row],[Utilidad bruta]]/TableDailySummary[[#This Row],[Ventas netas con costo registrado]],0)</f>
        <v>0</v>
      </c>
    </row>
    <row r="143" spans="2:42" x14ac:dyDescent="0.2">
      <c r="B143" s="15" cm="1">
        <f t="array" ref="B143">ParamFechaInicioReporte + (ROW(TableDailySummary[#This Row]) - ROW(TableDailySummary[[#Headers],[Dia]]) - 1)</f>
        <v>44670</v>
      </c>
      <c r="C143" s="6">
        <f>TableDailySummary[[#This Row],[Dia]]</f>
        <v>44670</v>
      </c>
      <c r="D143" s="11">
        <f>_xlfn.XLOOKUP(TableDailySummary[[#This Row],[Fecha]],SummaryDaily[day],SummaryDaily[net_sales],0)</f>
        <v>0</v>
      </c>
      <c r="E143" s="11">
        <f>_xlfn.XLOOKUP(TableDailySummary[[#This Row],[Fecha]],SummaryDaily[day],SummaryDaily[orders],0)</f>
        <v>0</v>
      </c>
      <c r="F143" s="11">
        <f>_xlfn.XLOOKUP(TableDailySummary[[#This Row],[Fecha]],SummaryDaily[day],SummaryDaily[average_order_value],0)</f>
        <v>0</v>
      </c>
      <c r="G143" s="24" cm="1">
        <f t="array" ref="G143">_xlfn.XLOOKUP(TableDailySummary[[#This Row],[Fecha]]&amp;"Total site",ConversionRateByReferral[day]&amp;ConversionRateByReferral[referrer_source],ConversionRateByReferral[conversion_rate],0)</f>
        <v>0</v>
      </c>
      <c r="H143" s="11">
        <f>TableDailySummary[[#This Row],[Órden promedio totales]]*TableDailySummary[[#This Row],[CR totales]]</f>
        <v>0</v>
      </c>
      <c r="I143" s="11">
        <f>_xlfn.XLOOKUP(TableDailySummary[[#This Row],[Fecha]],SummaryDaily[day],SummaryDaily[new_net_sales],0)</f>
        <v>0</v>
      </c>
      <c r="J143" s="11">
        <f>_xlfn.XLOOKUP(TableDailySummary[[#This Row],[Fecha]],SummaryDaily[day],SummaryDaily[new_orders],0)</f>
        <v>0</v>
      </c>
      <c r="K143" s="11">
        <f>_xlfn.XLOOKUP(TableDailySummary[[#This Row],[Fecha]],SummaryDaily[day],SummaryDaily[new_average_order_value],0)</f>
        <v>0</v>
      </c>
      <c r="L143" s="11">
        <f>_xlfn.XLOOKUP(TableDailySummary[[#This Row],[Fecha]],SummaryDaily[day],SummaryDaily[Online Store_net_sales],0)</f>
        <v>0</v>
      </c>
      <c r="M143" s="11">
        <f>_xlfn.XLOOKUP(TableDailySummary[[#This Row],[Fecha]],SummaryDaily[day],SummaryDaily[Online Store_orders],0)</f>
        <v>0</v>
      </c>
      <c r="N143" s="11">
        <f>_xlfn.XLOOKUP(TableDailySummary[[#This Row],[Fecha]],SummaryDaily[day],SummaryDaily[Online Store_average_order_value],0)</f>
        <v>0</v>
      </c>
      <c r="O143" s="11">
        <f>_xlfn.XLOOKUP(TableDailySummary[[#This Row],[Fecha]],SummaryDaily[day],SummaryDaily[Tienda 81_net_sales],0)</f>
        <v>0</v>
      </c>
      <c r="P143" s="11">
        <f>_xlfn.XLOOKUP(TableDailySummary[[#This Row],[Fecha]],SummaryDaily[day],SummaryDaily[Tienda 81_orders],0)</f>
        <v>0</v>
      </c>
      <c r="Q143" s="11">
        <f>_xlfn.XLOOKUP(TableDailySummary[[#This Row],[Fecha]],SummaryDaily[day],SummaryDaily[Tienda 81_average_order_value],0)</f>
        <v>0</v>
      </c>
      <c r="R143" s="11">
        <f>_xlfn.XLOOKUP(TableDailySummary[[#This Row],[Fecha]],SummaryDaily[day],SummaryDaily[Rappi_net_sales],0)</f>
        <v>0</v>
      </c>
      <c r="S143" s="11">
        <f>_xlfn.XLOOKUP(TableDailySummary[[#This Row],[Fecha]],SummaryDaily[day],SummaryDaily[Rappi_orders],0)</f>
        <v>0</v>
      </c>
      <c r="T143" s="11">
        <f>_xlfn.XLOOKUP(TableDailySummary[[#This Row],[Fecha]],SummaryDaily[day],SummaryDaily[Rappi_average_order_value],0)</f>
        <v>0</v>
      </c>
      <c r="U143" s="11">
        <f>_xlfn.XLOOKUP(TableDailySummary[[#This Row],[Fecha]],SummaryDaily[day],SummaryDaily[Corporativo no tienda_net_sales],0)</f>
        <v>0</v>
      </c>
      <c r="V143" s="11">
        <f>_xlfn.XLOOKUP(TableDailySummary[[#This Row],[Fecha]],SummaryDaily[day],SummaryDaily[Corporativo no tienda_orders],0)</f>
        <v>0</v>
      </c>
      <c r="W143" s="11">
        <f>_xlfn.XLOOKUP(TableDailySummary[[#This Row],[Fecha]],SummaryDaily[day],SummaryDaily[Corporativo no tienda_average_order_value],0)</f>
        <v>0</v>
      </c>
      <c r="X143" s="11">
        <f>_xlfn.XLOOKUP(TableDailySummary[[#This Row],[Fecha]],SummaryDaily[day],SummaryDaily[GoogleAdsOperation.Cost],0)</f>
        <v>0</v>
      </c>
      <c r="Y143" s="11">
        <f>SUMIFS(SalesByUTMDaily[google],SalesByUTMDaily[day],TableDailySummary[[#This Row],[Fecha]])</f>
        <v>0</v>
      </c>
      <c r="Z143" s="11">
        <f>_xlfn.XLOOKUP(TableDailySummary[[#This Row],[Fecha]],SummaryDaily[day],SummaryDaily[MetaAdsOperation.spend],0)</f>
        <v>0</v>
      </c>
      <c r="AA143" s="11">
        <f>SUMIFS(SalesByUTMDaily[facebook],SalesByUTMDaily[day],TableDailySummary[[#This Row],[Fecha]])</f>
        <v>0</v>
      </c>
      <c r="AB143" s="11">
        <f>TableDailySummary[[#This Row],[Inversión google ads]]+TableDailySummary[[#This Row],[Inversión meta ads]]</f>
        <v>0</v>
      </c>
      <c r="AC143" s="11">
        <f>TableDailySummary[[#This Row],[Ventas google ads]]+TableDailySummary[[#This Row],[Ventas meta ads]]</f>
        <v>0</v>
      </c>
      <c r="AD143" s="14">
        <f>IFERROR(TableDailySummary[[#This Row],[Ventas publicidad]]/TableDailySummary[[#This Row],[Inversión publicidad]],0)</f>
        <v>0</v>
      </c>
      <c r="AE143" s="14">
        <f>IFERROR(TableDailySummary[[#This Row],[Ventas primer cliente]]/TableDailySummary[[#This Row],[Inversión publicidad]],0)</f>
        <v>0</v>
      </c>
      <c r="AF143" s="14"/>
      <c r="AG143" s="11"/>
      <c r="AM143" s="11">
        <f>_xlfn.XLOOKUP(TableDailySummary[[#This Row],[Fecha]],SummaryDaily[day],SummaryDaily[net_sales_with_cost_recorded],0)</f>
        <v>0</v>
      </c>
      <c r="AN143" s="11">
        <f>_xlfn.XLOOKUP(TableDailySummary[[#This Row],[Fecha]],SummaryDaily[day],SummaryDaily[cost_of_goods_sold],0)</f>
        <v>0</v>
      </c>
      <c r="AO143" s="11">
        <f>_xlfn.XLOOKUP(TableDailySummary[[#This Row],[Fecha]],SummaryDaily[day],SummaryDaily[gross_profit],0)</f>
        <v>0</v>
      </c>
      <c r="AP143" s="18">
        <f>IFERROR(TableDailySummary[[#This Row],[Utilidad bruta]]/TableDailySummary[[#This Row],[Ventas netas con costo registrado]],0)</f>
        <v>0</v>
      </c>
    </row>
    <row r="144" spans="2:42" x14ac:dyDescent="0.2">
      <c r="B144" s="15" cm="1">
        <f t="array" ref="B144">ParamFechaInicioReporte + (ROW(TableDailySummary[#This Row]) - ROW(TableDailySummary[[#Headers],[Dia]]) - 1)</f>
        <v>44671</v>
      </c>
      <c r="C144" s="6">
        <f>TableDailySummary[[#This Row],[Dia]]</f>
        <v>44671</v>
      </c>
      <c r="D144" s="11">
        <f>_xlfn.XLOOKUP(TableDailySummary[[#This Row],[Fecha]],SummaryDaily[day],SummaryDaily[net_sales],0)</f>
        <v>0</v>
      </c>
      <c r="E144" s="11">
        <f>_xlfn.XLOOKUP(TableDailySummary[[#This Row],[Fecha]],SummaryDaily[day],SummaryDaily[orders],0)</f>
        <v>0</v>
      </c>
      <c r="F144" s="11">
        <f>_xlfn.XLOOKUP(TableDailySummary[[#This Row],[Fecha]],SummaryDaily[day],SummaryDaily[average_order_value],0)</f>
        <v>0</v>
      </c>
      <c r="G144" s="24" cm="1">
        <f t="array" ref="G144">_xlfn.XLOOKUP(TableDailySummary[[#This Row],[Fecha]]&amp;"Total site",ConversionRateByReferral[day]&amp;ConversionRateByReferral[referrer_source],ConversionRateByReferral[conversion_rate],0)</f>
        <v>0</v>
      </c>
      <c r="H144" s="11">
        <f>TableDailySummary[[#This Row],[Órden promedio totales]]*TableDailySummary[[#This Row],[CR totales]]</f>
        <v>0</v>
      </c>
      <c r="I144" s="11">
        <f>_xlfn.XLOOKUP(TableDailySummary[[#This Row],[Fecha]],SummaryDaily[day],SummaryDaily[new_net_sales],0)</f>
        <v>0</v>
      </c>
      <c r="J144" s="11">
        <f>_xlfn.XLOOKUP(TableDailySummary[[#This Row],[Fecha]],SummaryDaily[day],SummaryDaily[new_orders],0)</f>
        <v>0</v>
      </c>
      <c r="K144" s="11">
        <f>_xlfn.XLOOKUP(TableDailySummary[[#This Row],[Fecha]],SummaryDaily[day],SummaryDaily[new_average_order_value],0)</f>
        <v>0</v>
      </c>
      <c r="L144" s="11">
        <f>_xlfn.XLOOKUP(TableDailySummary[[#This Row],[Fecha]],SummaryDaily[day],SummaryDaily[Online Store_net_sales],0)</f>
        <v>0</v>
      </c>
      <c r="M144" s="11">
        <f>_xlfn.XLOOKUP(TableDailySummary[[#This Row],[Fecha]],SummaryDaily[day],SummaryDaily[Online Store_orders],0)</f>
        <v>0</v>
      </c>
      <c r="N144" s="11">
        <f>_xlfn.XLOOKUP(TableDailySummary[[#This Row],[Fecha]],SummaryDaily[day],SummaryDaily[Online Store_average_order_value],0)</f>
        <v>0</v>
      </c>
      <c r="O144" s="11">
        <f>_xlfn.XLOOKUP(TableDailySummary[[#This Row],[Fecha]],SummaryDaily[day],SummaryDaily[Tienda 81_net_sales],0)</f>
        <v>0</v>
      </c>
      <c r="P144" s="11">
        <f>_xlfn.XLOOKUP(TableDailySummary[[#This Row],[Fecha]],SummaryDaily[day],SummaryDaily[Tienda 81_orders],0)</f>
        <v>0</v>
      </c>
      <c r="Q144" s="11">
        <f>_xlfn.XLOOKUP(TableDailySummary[[#This Row],[Fecha]],SummaryDaily[day],SummaryDaily[Tienda 81_average_order_value],0)</f>
        <v>0</v>
      </c>
      <c r="R144" s="11">
        <f>_xlfn.XLOOKUP(TableDailySummary[[#This Row],[Fecha]],SummaryDaily[day],SummaryDaily[Rappi_net_sales],0)</f>
        <v>0</v>
      </c>
      <c r="S144" s="11">
        <f>_xlfn.XLOOKUP(TableDailySummary[[#This Row],[Fecha]],SummaryDaily[day],SummaryDaily[Rappi_orders],0)</f>
        <v>0</v>
      </c>
      <c r="T144" s="11">
        <f>_xlfn.XLOOKUP(TableDailySummary[[#This Row],[Fecha]],SummaryDaily[day],SummaryDaily[Rappi_average_order_value],0)</f>
        <v>0</v>
      </c>
      <c r="U144" s="11">
        <f>_xlfn.XLOOKUP(TableDailySummary[[#This Row],[Fecha]],SummaryDaily[day],SummaryDaily[Corporativo no tienda_net_sales],0)</f>
        <v>0</v>
      </c>
      <c r="V144" s="11">
        <f>_xlfn.XLOOKUP(TableDailySummary[[#This Row],[Fecha]],SummaryDaily[day],SummaryDaily[Corporativo no tienda_orders],0)</f>
        <v>0</v>
      </c>
      <c r="W144" s="11">
        <f>_xlfn.XLOOKUP(TableDailySummary[[#This Row],[Fecha]],SummaryDaily[day],SummaryDaily[Corporativo no tienda_average_order_value],0)</f>
        <v>0</v>
      </c>
      <c r="X144" s="11">
        <f>_xlfn.XLOOKUP(TableDailySummary[[#This Row],[Fecha]],SummaryDaily[day],SummaryDaily[GoogleAdsOperation.Cost],0)</f>
        <v>0</v>
      </c>
      <c r="Y144" s="11">
        <f>SUMIFS(SalesByUTMDaily[google],SalesByUTMDaily[day],TableDailySummary[[#This Row],[Fecha]])</f>
        <v>0</v>
      </c>
      <c r="Z144" s="11">
        <f>_xlfn.XLOOKUP(TableDailySummary[[#This Row],[Fecha]],SummaryDaily[day],SummaryDaily[MetaAdsOperation.spend],0)</f>
        <v>0</v>
      </c>
      <c r="AA144" s="11">
        <f>SUMIFS(SalesByUTMDaily[facebook],SalesByUTMDaily[day],TableDailySummary[[#This Row],[Fecha]])</f>
        <v>0</v>
      </c>
      <c r="AB144" s="11">
        <f>TableDailySummary[[#This Row],[Inversión google ads]]+TableDailySummary[[#This Row],[Inversión meta ads]]</f>
        <v>0</v>
      </c>
      <c r="AC144" s="11">
        <f>TableDailySummary[[#This Row],[Ventas google ads]]+TableDailySummary[[#This Row],[Ventas meta ads]]</f>
        <v>0</v>
      </c>
      <c r="AD144" s="14">
        <f>IFERROR(TableDailySummary[[#This Row],[Ventas publicidad]]/TableDailySummary[[#This Row],[Inversión publicidad]],0)</f>
        <v>0</v>
      </c>
      <c r="AE144" s="14">
        <f>IFERROR(TableDailySummary[[#This Row],[Ventas primer cliente]]/TableDailySummary[[#This Row],[Inversión publicidad]],0)</f>
        <v>0</v>
      </c>
      <c r="AF144" s="14"/>
      <c r="AG144" s="11"/>
      <c r="AM144" s="11">
        <f>_xlfn.XLOOKUP(TableDailySummary[[#This Row],[Fecha]],SummaryDaily[day],SummaryDaily[net_sales_with_cost_recorded],0)</f>
        <v>0</v>
      </c>
      <c r="AN144" s="11">
        <f>_xlfn.XLOOKUP(TableDailySummary[[#This Row],[Fecha]],SummaryDaily[day],SummaryDaily[cost_of_goods_sold],0)</f>
        <v>0</v>
      </c>
      <c r="AO144" s="11">
        <f>_xlfn.XLOOKUP(TableDailySummary[[#This Row],[Fecha]],SummaryDaily[day],SummaryDaily[gross_profit],0)</f>
        <v>0</v>
      </c>
      <c r="AP144" s="18">
        <f>IFERROR(TableDailySummary[[#This Row],[Utilidad bruta]]/TableDailySummary[[#This Row],[Ventas netas con costo registrado]],0)</f>
        <v>0</v>
      </c>
    </row>
    <row r="145" spans="2:42" x14ac:dyDescent="0.2">
      <c r="B145" s="15" cm="1">
        <f t="array" ref="B145">ParamFechaInicioReporte + (ROW(TableDailySummary[#This Row]) - ROW(TableDailySummary[[#Headers],[Dia]]) - 1)</f>
        <v>44672</v>
      </c>
      <c r="C145" s="6">
        <f>TableDailySummary[[#This Row],[Dia]]</f>
        <v>44672</v>
      </c>
      <c r="D145" s="11">
        <f>_xlfn.XLOOKUP(TableDailySummary[[#This Row],[Fecha]],SummaryDaily[day],SummaryDaily[net_sales],0)</f>
        <v>0</v>
      </c>
      <c r="E145" s="11">
        <f>_xlfn.XLOOKUP(TableDailySummary[[#This Row],[Fecha]],SummaryDaily[day],SummaryDaily[orders],0)</f>
        <v>0</v>
      </c>
      <c r="F145" s="11">
        <f>_xlfn.XLOOKUP(TableDailySummary[[#This Row],[Fecha]],SummaryDaily[day],SummaryDaily[average_order_value],0)</f>
        <v>0</v>
      </c>
      <c r="G145" s="24" cm="1">
        <f t="array" ref="G145">_xlfn.XLOOKUP(TableDailySummary[[#This Row],[Fecha]]&amp;"Total site",ConversionRateByReferral[day]&amp;ConversionRateByReferral[referrer_source],ConversionRateByReferral[conversion_rate],0)</f>
        <v>0</v>
      </c>
      <c r="H145" s="11">
        <f>TableDailySummary[[#This Row],[Órden promedio totales]]*TableDailySummary[[#This Row],[CR totales]]</f>
        <v>0</v>
      </c>
      <c r="I145" s="11">
        <f>_xlfn.XLOOKUP(TableDailySummary[[#This Row],[Fecha]],SummaryDaily[day],SummaryDaily[new_net_sales],0)</f>
        <v>0</v>
      </c>
      <c r="J145" s="11">
        <f>_xlfn.XLOOKUP(TableDailySummary[[#This Row],[Fecha]],SummaryDaily[day],SummaryDaily[new_orders],0)</f>
        <v>0</v>
      </c>
      <c r="K145" s="11">
        <f>_xlfn.XLOOKUP(TableDailySummary[[#This Row],[Fecha]],SummaryDaily[day],SummaryDaily[new_average_order_value],0)</f>
        <v>0</v>
      </c>
      <c r="L145" s="11">
        <f>_xlfn.XLOOKUP(TableDailySummary[[#This Row],[Fecha]],SummaryDaily[day],SummaryDaily[Online Store_net_sales],0)</f>
        <v>0</v>
      </c>
      <c r="M145" s="11">
        <f>_xlfn.XLOOKUP(TableDailySummary[[#This Row],[Fecha]],SummaryDaily[day],SummaryDaily[Online Store_orders],0)</f>
        <v>0</v>
      </c>
      <c r="N145" s="11">
        <f>_xlfn.XLOOKUP(TableDailySummary[[#This Row],[Fecha]],SummaryDaily[day],SummaryDaily[Online Store_average_order_value],0)</f>
        <v>0</v>
      </c>
      <c r="O145" s="11">
        <f>_xlfn.XLOOKUP(TableDailySummary[[#This Row],[Fecha]],SummaryDaily[day],SummaryDaily[Tienda 81_net_sales],0)</f>
        <v>0</v>
      </c>
      <c r="P145" s="11">
        <f>_xlfn.XLOOKUP(TableDailySummary[[#This Row],[Fecha]],SummaryDaily[day],SummaryDaily[Tienda 81_orders],0)</f>
        <v>0</v>
      </c>
      <c r="Q145" s="11">
        <f>_xlfn.XLOOKUP(TableDailySummary[[#This Row],[Fecha]],SummaryDaily[day],SummaryDaily[Tienda 81_average_order_value],0)</f>
        <v>0</v>
      </c>
      <c r="R145" s="11">
        <f>_xlfn.XLOOKUP(TableDailySummary[[#This Row],[Fecha]],SummaryDaily[day],SummaryDaily[Rappi_net_sales],0)</f>
        <v>0</v>
      </c>
      <c r="S145" s="11">
        <f>_xlfn.XLOOKUP(TableDailySummary[[#This Row],[Fecha]],SummaryDaily[day],SummaryDaily[Rappi_orders],0)</f>
        <v>0</v>
      </c>
      <c r="T145" s="11">
        <f>_xlfn.XLOOKUP(TableDailySummary[[#This Row],[Fecha]],SummaryDaily[day],SummaryDaily[Rappi_average_order_value],0)</f>
        <v>0</v>
      </c>
      <c r="U145" s="11">
        <f>_xlfn.XLOOKUP(TableDailySummary[[#This Row],[Fecha]],SummaryDaily[day],SummaryDaily[Corporativo no tienda_net_sales],0)</f>
        <v>0</v>
      </c>
      <c r="V145" s="11">
        <f>_xlfn.XLOOKUP(TableDailySummary[[#This Row],[Fecha]],SummaryDaily[day],SummaryDaily[Corporativo no tienda_orders],0)</f>
        <v>0</v>
      </c>
      <c r="W145" s="11">
        <f>_xlfn.XLOOKUP(TableDailySummary[[#This Row],[Fecha]],SummaryDaily[day],SummaryDaily[Corporativo no tienda_average_order_value],0)</f>
        <v>0</v>
      </c>
      <c r="X145" s="11">
        <f>_xlfn.XLOOKUP(TableDailySummary[[#This Row],[Fecha]],SummaryDaily[day],SummaryDaily[GoogleAdsOperation.Cost],0)</f>
        <v>0</v>
      </c>
      <c r="Y145" s="11">
        <f>SUMIFS(SalesByUTMDaily[google],SalesByUTMDaily[day],TableDailySummary[[#This Row],[Fecha]])</f>
        <v>0</v>
      </c>
      <c r="Z145" s="11">
        <f>_xlfn.XLOOKUP(TableDailySummary[[#This Row],[Fecha]],SummaryDaily[day],SummaryDaily[MetaAdsOperation.spend],0)</f>
        <v>0</v>
      </c>
      <c r="AA145" s="11">
        <f>SUMIFS(SalesByUTMDaily[facebook],SalesByUTMDaily[day],TableDailySummary[[#This Row],[Fecha]])</f>
        <v>0</v>
      </c>
      <c r="AB145" s="11">
        <f>TableDailySummary[[#This Row],[Inversión google ads]]+TableDailySummary[[#This Row],[Inversión meta ads]]</f>
        <v>0</v>
      </c>
      <c r="AC145" s="11">
        <f>TableDailySummary[[#This Row],[Ventas google ads]]+TableDailySummary[[#This Row],[Ventas meta ads]]</f>
        <v>0</v>
      </c>
      <c r="AD145" s="14">
        <f>IFERROR(TableDailySummary[[#This Row],[Ventas publicidad]]/TableDailySummary[[#This Row],[Inversión publicidad]],0)</f>
        <v>0</v>
      </c>
      <c r="AE145" s="14">
        <f>IFERROR(TableDailySummary[[#This Row],[Ventas primer cliente]]/TableDailySummary[[#This Row],[Inversión publicidad]],0)</f>
        <v>0</v>
      </c>
      <c r="AF145" s="14"/>
      <c r="AG145" s="11"/>
      <c r="AM145" s="11">
        <f>_xlfn.XLOOKUP(TableDailySummary[[#This Row],[Fecha]],SummaryDaily[day],SummaryDaily[net_sales_with_cost_recorded],0)</f>
        <v>0</v>
      </c>
      <c r="AN145" s="11">
        <f>_xlfn.XLOOKUP(TableDailySummary[[#This Row],[Fecha]],SummaryDaily[day],SummaryDaily[cost_of_goods_sold],0)</f>
        <v>0</v>
      </c>
      <c r="AO145" s="11">
        <f>_xlfn.XLOOKUP(TableDailySummary[[#This Row],[Fecha]],SummaryDaily[day],SummaryDaily[gross_profit],0)</f>
        <v>0</v>
      </c>
      <c r="AP145" s="18">
        <f>IFERROR(TableDailySummary[[#This Row],[Utilidad bruta]]/TableDailySummary[[#This Row],[Ventas netas con costo registrado]],0)</f>
        <v>0</v>
      </c>
    </row>
    <row r="146" spans="2:42" x14ac:dyDescent="0.2">
      <c r="B146" s="15" cm="1">
        <f t="array" ref="B146">ParamFechaInicioReporte + (ROW(TableDailySummary[#This Row]) - ROW(TableDailySummary[[#Headers],[Dia]]) - 1)</f>
        <v>44673</v>
      </c>
      <c r="C146" s="6">
        <f>TableDailySummary[[#This Row],[Dia]]</f>
        <v>44673</v>
      </c>
      <c r="D146" s="11">
        <f>_xlfn.XLOOKUP(TableDailySummary[[#This Row],[Fecha]],SummaryDaily[day],SummaryDaily[net_sales],0)</f>
        <v>0</v>
      </c>
      <c r="E146" s="11">
        <f>_xlfn.XLOOKUP(TableDailySummary[[#This Row],[Fecha]],SummaryDaily[day],SummaryDaily[orders],0)</f>
        <v>0</v>
      </c>
      <c r="F146" s="11">
        <f>_xlfn.XLOOKUP(TableDailySummary[[#This Row],[Fecha]],SummaryDaily[day],SummaryDaily[average_order_value],0)</f>
        <v>0</v>
      </c>
      <c r="G146" s="24" cm="1">
        <f t="array" ref="G146">_xlfn.XLOOKUP(TableDailySummary[[#This Row],[Fecha]]&amp;"Total site",ConversionRateByReferral[day]&amp;ConversionRateByReferral[referrer_source],ConversionRateByReferral[conversion_rate],0)</f>
        <v>0</v>
      </c>
      <c r="H146" s="11">
        <f>TableDailySummary[[#This Row],[Órden promedio totales]]*TableDailySummary[[#This Row],[CR totales]]</f>
        <v>0</v>
      </c>
      <c r="I146" s="11">
        <f>_xlfn.XLOOKUP(TableDailySummary[[#This Row],[Fecha]],SummaryDaily[day],SummaryDaily[new_net_sales],0)</f>
        <v>0</v>
      </c>
      <c r="J146" s="11">
        <f>_xlfn.XLOOKUP(TableDailySummary[[#This Row],[Fecha]],SummaryDaily[day],SummaryDaily[new_orders],0)</f>
        <v>0</v>
      </c>
      <c r="K146" s="11">
        <f>_xlfn.XLOOKUP(TableDailySummary[[#This Row],[Fecha]],SummaryDaily[day],SummaryDaily[new_average_order_value],0)</f>
        <v>0</v>
      </c>
      <c r="L146" s="11">
        <f>_xlfn.XLOOKUP(TableDailySummary[[#This Row],[Fecha]],SummaryDaily[day],SummaryDaily[Online Store_net_sales],0)</f>
        <v>0</v>
      </c>
      <c r="M146" s="11">
        <f>_xlfn.XLOOKUP(TableDailySummary[[#This Row],[Fecha]],SummaryDaily[day],SummaryDaily[Online Store_orders],0)</f>
        <v>0</v>
      </c>
      <c r="N146" s="11">
        <f>_xlfn.XLOOKUP(TableDailySummary[[#This Row],[Fecha]],SummaryDaily[day],SummaryDaily[Online Store_average_order_value],0)</f>
        <v>0</v>
      </c>
      <c r="O146" s="11">
        <f>_xlfn.XLOOKUP(TableDailySummary[[#This Row],[Fecha]],SummaryDaily[day],SummaryDaily[Tienda 81_net_sales],0)</f>
        <v>0</v>
      </c>
      <c r="P146" s="11">
        <f>_xlfn.XLOOKUP(TableDailySummary[[#This Row],[Fecha]],SummaryDaily[day],SummaryDaily[Tienda 81_orders],0)</f>
        <v>0</v>
      </c>
      <c r="Q146" s="11">
        <f>_xlfn.XLOOKUP(TableDailySummary[[#This Row],[Fecha]],SummaryDaily[day],SummaryDaily[Tienda 81_average_order_value],0)</f>
        <v>0</v>
      </c>
      <c r="R146" s="11">
        <f>_xlfn.XLOOKUP(TableDailySummary[[#This Row],[Fecha]],SummaryDaily[day],SummaryDaily[Rappi_net_sales],0)</f>
        <v>0</v>
      </c>
      <c r="S146" s="11">
        <f>_xlfn.XLOOKUP(TableDailySummary[[#This Row],[Fecha]],SummaryDaily[day],SummaryDaily[Rappi_orders],0)</f>
        <v>0</v>
      </c>
      <c r="T146" s="11">
        <f>_xlfn.XLOOKUP(TableDailySummary[[#This Row],[Fecha]],SummaryDaily[day],SummaryDaily[Rappi_average_order_value],0)</f>
        <v>0</v>
      </c>
      <c r="U146" s="11">
        <f>_xlfn.XLOOKUP(TableDailySummary[[#This Row],[Fecha]],SummaryDaily[day],SummaryDaily[Corporativo no tienda_net_sales],0)</f>
        <v>0</v>
      </c>
      <c r="V146" s="11">
        <f>_xlfn.XLOOKUP(TableDailySummary[[#This Row],[Fecha]],SummaryDaily[day],SummaryDaily[Corporativo no tienda_orders],0)</f>
        <v>0</v>
      </c>
      <c r="W146" s="11">
        <f>_xlfn.XLOOKUP(TableDailySummary[[#This Row],[Fecha]],SummaryDaily[day],SummaryDaily[Corporativo no tienda_average_order_value],0)</f>
        <v>0</v>
      </c>
      <c r="X146" s="11">
        <f>_xlfn.XLOOKUP(TableDailySummary[[#This Row],[Fecha]],SummaryDaily[day],SummaryDaily[GoogleAdsOperation.Cost],0)</f>
        <v>0</v>
      </c>
      <c r="Y146" s="11">
        <f>SUMIFS(SalesByUTMDaily[google],SalesByUTMDaily[day],TableDailySummary[[#This Row],[Fecha]])</f>
        <v>0</v>
      </c>
      <c r="Z146" s="11">
        <f>_xlfn.XLOOKUP(TableDailySummary[[#This Row],[Fecha]],SummaryDaily[day],SummaryDaily[MetaAdsOperation.spend],0)</f>
        <v>0</v>
      </c>
      <c r="AA146" s="11">
        <f>SUMIFS(SalesByUTMDaily[facebook],SalesByUTMDaily[day],TableDailySummary[[#This Row],[Fecha]])</f>
        <v>0</v>
      </c>
      <c r="AB146" s="11">
        <f>TableDailySummary[[#This Row],[Inversión google ads]]+TableDailySummary[[#This Row],[Inversión meta ads]]</f>
        <v>0</v>
      </c>
      <c r="AC146" s="11">
        <f>TableDailySummary[[#This Row],[Ventas google ads]]+TableDailySummary[[#This Row],[Ventas meta ads]]</f>
        <v>0</v>
      </c>
      <c r="AD146" s="14">
        <f>IFERROR(TableDailySummary[[#This Row],[Ventas publicidad]]/TableDailySummary[[#This Row],[Inversión publicidad]],0)</f>
        <v>0</v>
      </c>
      <c r="AE146" s="14">
        <f>IFERROR(TableDailySummary[[#This Row],[Ventas primer cliente]]/TableDailySummary[[#This Row],[Inversión publicidad]],0)</f>
        <v>0</v>
      </c>
      <c r="AF146" s="14"/>
      <c r="AG146" s="11"/>
      <c r="AM146" s="11">
        <f>_xlfn.XLOOKUP(TableDailySummary[[#This Row],[Fecha]],SummaryDaily[day],SummaryDaily[net_sales_with_cost_recorded],0)</f>
        <v>0</v>
      </c>
      <c r="AN146" s="11">
        <f>_xlfn.XLOOKUP(TableDailySummary[[#This Row],[Fecha]],SummaryDaily[day],SummaryDaily[cost_of_goods_sold],0)</f>
        <v>0</v>
      </c>
      <c r="AO146" s="11">
        <f>_xlfn.XLOOKUP(TableDailySummary[[#This Row],[Fecha]],SummaryDaily[day],SummaryDaily[gross_profit],0)</f>
        <v>0</v>
      </c>
      <c r="AP146" s="18">
        <f>IFERROR(TableDailySummary[[#This Row],[Utilidad bruta]]/TableDailySummary[[#This Row],[Ventas netas con costo registrado]],0)</f>
        <v>0</v>
      </c>
    </row>
    <row r="147" spans="2:42" x14ac:dyDescent="0.2">
      <c r="B147" s="15" cm="1">
        <f t="array" ref="B147">ParamFechaInicioReporte + (ROW(TableDailySummary[#This Row]) - ROW(TableDailySummary[[#Headers],[Dia]]) - 1)</f>
        <v>44674</v>
      </c>
      <c r="C147" s="6">
        <f>TableDailySummary[[#This Row],[Dia]]</f>
        <v>44674</v>
      </c>
      <c r="D147" s="11">
        <f>_xlfn.XLOOKUP(TableDailySummary[[#This Row],[Fecha]],SummaryDaily[day],SummaryDaily[net_sales],0)</f>
        <v>0</v>
      </c>
      <c r="E147" s="11">
        <f>_xlfn.XLOOKUP(TableDailySummary[[#This Row],[Fecha]],SummaryDaily[day],SummaryDaily[orders],0)</f>
        <v>0</v>
      </c>
      <c r="F147" s="11">
        <f>_xlfn.XLOOKUP(TableDailySummary[[#This Row],[Fecha]],SummaryDaily[day],SummaryDaily[average_order_value],0)</f>
        <v>0</v>
      </c>
      <c r="G147" s="24" cm="1">
        <f t="array" ref="G147">_xlfn.XLOOKUP(TableDailySummary[[#This Row],[Fecha]]&amp;"Total site",ConversionRateByReferral[day]&amp;ConversionRateByReferral[referrer_source],ConversionRateByReferral[conversion_rate],0)</f>
        <v>0</v>
      </c>
      <c r="H147" s="11">
        <f>TableDailySummary[[#This Row],[Órden promedio totales]]*TableDailySummary[[#This Row],[CR totales]]</f>
        <v>0</v>
      </c>
      <c r="I147" s="11">
        <f>_xlfn.XLOOKUP(TableDailySummary[[#This Row],[Fecha]],SummaryDaily[day],SummaryDaily[new_net_sales],0)</f>
        <v>0</v>
      </c>
      <c r="J147" s="11">
        <f>_xlfn.XLOOKUP(TableDailySummary[[#This Row],[Fecha]],SummaryDaily[day],SummaryDaily[new_orders],0)</f>
        <v>0</v>
      </c>
      <c r="K147" s="11">
        <f>_xlfn.XLOOKUP(TableDailySummary[[#This Row],[Fecha]],SummaryDaily[day],SummaryDaily[new_average_order_value],0)</f>
        <v>0</v>
      </c>
      <c r="L147" s="11">
        <f>_xlfn.XLOOKUP(TableDailySummary[[#This Row],[Fecha]],SummaryDaily[day],SummaryDaily[Online Store_net_sales],0)</f>
        <v>0</v>
      </c>
      <c r="M147" s="11">
        <f>_xlfn.XLOOKUP(TableDailySummary[[#This Row],[Fecha]],SummaryDaily[day],SummaryDaily[Online Store_orders],0)</f>
        <v>0</v>
      </c>
      <c r="N147" s="11">
        <f>_xlfn.XLOOKUP(TableDailySummary[[#This Row],[Fecha]],SummaryDaily[day],SummaryDaily[Online Store_average_order_value],0)</f>
        <v>0</v>
      </c>
      <c r="O147" s="11">
        <f>_xlfn.XLOOKUP(TableDailySummary[[#This Row],[Fecha]],SummaryDaily[day],SummaryDaily[Tienda 81_net_sales],0)</f>
        <v>0</v>
      </c>
      <c r="P147" s="11">
        <f>_xlfn.XLOOKUP(TableDailySummary[[#This Row],[Fecha]],SummaryDaily[day],SummaryDaily[Tienda 81_orders],0)</f>
        <v>0</v>
      </c>
      <c r="Q147" s="11">
        <f>_xlfn.XLOOKUP(TableDailySummary[[#This Row],[Fecha]],SummaryDaily[day],SummaryDaily[Tienda 81_average_order_value],0)</f>
        <v>0</v>
      </c>
      <c r="R147" s="11">
        <f>_xlfn.XLOOKUP(TableDailySummary[[#This Row],[Fecha]],SummaryDaily[day],SummaryDaily[Rappi_net_sales],0)</f>
        <v>0</v>
      </c>
      <c r="S147" s="11">
        <f>_xlfn.XLOOKUP(TableDailySummary[[#This Row],[Fecha]],SummaryDaily[day],SummaryDaily[Rappi_orders],0)</f>
        <v>0</v>
      </c>
      <c r="T147" s="11">
        <f>_xlfn.XLOOKUP(TableDailySummary[[#This Row],[Fecha]],SummaryDaily[day],SummaryDaily[Rappi_average_order_value],0)</f>
        <v>0</v>
      </c>
      <c r="U147" s="11">
        <f>_xlfn.XLOOKUP(TableDailySummary[[#This Row],[Fecha]],SummaryDaily[day],SummaryDaily[Corporativo no tienda_net_sales],0)</f>
        <v>0</v>
      </c>
      <c r="V147" s="11">
        <f>_xlfn.XLOOKUP(TableDailySummary[[#This Row],[Fecha]],SummaryDaily[day],SummaryDaily[Corporativo no tienda_orders],0)</f>
        <v>0</v>
      </c>
      <c r="W147" s="11">
        <f>_xlfn.XLOOKUP(TableDailySummary[[#This Row],[Fecha]],SummaryDaily[day],SummaryDaily[Corporativo no tienda_average_order_value],0)</f>
        <v>0</v>
      </c>
      <c r="X147" s="11">
        <f>_xlfn.XLOOKUP(TableDailySummary[[#This Row],[Fecha]],SummaryDaily[day],SummaryDaily[GoogleAdsOperation.Cost],0)</f>
        <v>0</v>
      </c>
      <c r="Y147" s="11">
        <f>SUMIFS(SalesByUTMDaily[google],SalesByUTMDaily[day],TableDailySummary[[#This Row],[Fecha]])</f>
        <v>0</v>
      </c>
      <c r="Z147" s="11">
        <f>_xlfn.XLOOKUP(TableDailySummary[[#This Row],[Fecha]],SummaryDaily[day],SummaryDaily[MetaAdsOperation.spend],0)</f>
        <v>0</v>
      </c>
      <c r="AA147" s="11">
        <f>SUMIFS(SalesByUTMDaily[facebook],SalesByUTMDaily[day],TableDailySummary[[#This Row],[Fecha]])</f>
        <v>0</v>
      </c>
      <c r="AB147" s="11">
        <f>TableDailySummary[[#This Row],[Inversión google ads]]+TableDailySummary[[#This Row],[Inversión meta ads]]</f>
        <v>0</v>
      </c>
      <c r="AC147" s="11">
        <f>TableDailySummary[[#This Row],[Ventas google ads]]+TableDailySummary[[#This Row],[Ventas meta ads]]</f>
        <v>0</v>
      </c>
      <c r="AD147" s="14">
        <f>IFERROR(TableDailySummary[[#This Row],[Ventas publicidad]]/TableDailySummary[[#This Row],[Inversión publicidad]],0)</f>
        <v>0</v>
      </c>
      <c r="AE147" s="14">
        <f>IFERROR(TableDailySummary[[#This Row],[Ventas primer cliente]]/TableDailySummary[[#This Row],[Inversión publicidad]],0)</f>
        <v>0</v>
      </c>
      <c r="AF147" s="14"/>
      <c r="AG147" s="11"/>
      <c r="AM147" s="11">
        <f>_xlfn.XLOOKUP(TableDailySummary[[#This Row],[Fecha]],SummaryDaily[day],SummaryDaily[net_sales_with_cost_recorded],0)</f>
        <v>0</v>
      </c>
      <c r="AN147" s="11">
        <f>_xlfn.XLOOKUP(TableDailySummary[[#This Row],[Fecha]],SummaryDaily[day],SummaryDaily[cost_of_goods_sold],0)</f>
        <v>0</v>
      </c>
      <c r="AO147" s="11">
        <f>_xlfn.XLOOKUP(TableDailySummary[[#This Row],[Fecha]],SummaryDaily[day],SummaryDaily[gross_profit],0)</f>
        <v>0</v>
      </c>
      <c r="AP147" s="18">
        <f>IFERROR(TableDailySummary[[#This Row],[Utilidad bruta]]/TableDailySummary[[#This Row],[Ventas netas con costo registrado]],0)</f>
        <v>0</v>
      </c>
    </row>
    <row r="148" spans="2:42" x14ac:dyDescent="0.2">
      <c r="B148" s="15" cm="1">
        <f t="array" ref="B148">ParamFechaInicioReporte + (ROW(TableDailySummary[#This Row]) - ROW(TableDailySummary[[#Headers],[Dia]]) - 1)</f>
        <v>44675</v>
      </c>
      <c r="C148" s="6">
        <f>TableDailySummary[[#This Row],[Dia]]</f>
        <v>44675</v>
      </c>
      <c r="D148" s="11">
        <f>_xlfn.XLOOKUP(TableDailySummary[[#This Row],[Fecha]],SummaryDaily[day],SummaryDaily[net_sales],0)</f>
        <v>0</v>
      </c>
      <c r="E148" s="11">
        <f>_xlfn.XLOOKUP(TableDailySummary[[#This Row],[Fecha]],SummaryDaily[day],SummaryDaily[orders],0)</f>
        <v>0</v>
      </c>
      <c r="F148" s="11">
        <f>_xlfn.XLOOKUP(TableDailySummary[[#This Row],[Fecha]],SummaryDaily[day],SummaryDaily[average_order_value],0)</f>
        <v>0</v>
      </c>
      <c r="G148" s="24" cm="1">
        <f t="array" ref="G148">_xlfn.XLOOKUP(TableDailySummary[[#This Row],[Fecha]]&amp;"Total site",ConversionRateByReferral[day]&amp;ConversionRateByReferral[referrer_source],ConversionRateByReferral[conversion_rate],0)</f>
        <v>0</v>
      </c>
      <c r="H148" s="11">
        <f>TableDailySummary[[#This Row],[Órden promedio totales]]*TableDailySummary[[#This Row],[CR totales]]</f>
        <v>0</v>
      </c>
      <c r="I148" s="11">
        <f>_xlfn.XLOOKUP(TableDailySummary[[#This Row],[Fecha]],SummaryDaily[day],SummaryDaily[new_net_sales],0)</f>
        <v>0</v>
      </c>
      <c r="J148" s="11">
        <f>_xlfn.XLOOKUP(TableDailySummary[[#This Row],[Fecha]],SummaryDaily[day],SummaryDaily[new_orders],0)</f>
        <v>0</v>
      </c>
      <c r="K148" s="11">
        <f>_xlfn.XLOOKUP(TableDailySummary[[#This Row],[Fecha]],SummaryDaily[day],SummaryDaily[new_average_order_value],0)</f>
        <v>0</v>
      </c>
      <c r="L148" s="11">
        <f>_xlfn.XLOOKUP(TableDailySummary[[#This Row],[Fecha]],SummaryDaily[day],SummaryDaily[Online Store_net_sales],0)</f>
        <v>0</v>
      </c>
      <c r="M148" s="11">
        <f>_xlfn.XLOOKUP(TableDailySummary[[#This Row],[Fecha]],SummaryDaily[day],SummaryDaily[Online Store_orders],0)</f>
        <v>0</v>
      </c>
      <c r="N148" s="11">
        <f>_xlfn.XLOOKUP(TableDailySummary[[#This Row],[Fecha]],SummaryDaily[day],SummaryDaily[Online Store_average_order_value],0)</f>
        <v>0</v>
      </c>
      <c r="O148" s="11">
        <f>_xlfn.XLOOKUP(TableDailySummary[[#This Row],[Fecha]],SummaryDaily[day],SummaryDaily[Tienda 81_net_sales],0)</f>
        <v>0</v>
      </c>
      <c r="P148" s="11">
        <f>_xlfn.XLOOKUP(TableDailySummary[[#This Row],[Fecha]],SummaryDaily[day],SummaryDaily[Tienda 81_orders],0)</f>
        <v>0</v>
      </c>
      <c r="Q148" s="11">
        <f>_xlfn.XLOOKUP(TableDailySummary[[#This Row],[Fecha]],SummaryDaily[day],SummaryDaily[Tienda 81_average_order_value],0)</f>
        <v>0</v>
      </c>
      <c r="R148" s="11">
        <f>_xlfn.XLOOKUP(TableDailySummary[[#This Row],[Fecha]],SummaryDaily[day],SummaryDaily[Rappi_net_sales],0)</f>
        <v>0</v>
      </c>
      <c r="S148" s="11">
        <f>_xlfn.XLOOKUP(TableDailySummary[[#This Row],[Fecha]],SummaryDaily[day],SummaryDaily[Rappi_orders],0)</f>
        <v>0</v>
      </c>
      <c r="T148" s="11">
        <f>_xlfn.XLOOKUP(TableDailySummary[[#This Row],[Fecha]],SummaryDaily[day],SummaryDaily[Rappi_average_order_value],0)</f>
        <v>0</v>
      </c>
      <c r="U148" s="11">
        <f>_xlfn.XLOOKUP(TableDailySummary[[#This Row],[Fecha]],SummaryDaily[day],SummaryDaily[Corporativo no tienda_net_sales],0)</f>
        <v>0</v>
      </c>
      <c r="V148" s="11">
        <f>_xlfn.XLOOKUP(TableDailySummary[[#This Row],[Fecha]],SummaryDaily[day],SummaryDaily[Corporativo no tienda_orders],0)</f>
        <v>0</v>
      </c>
      <c r="W148" s="11">
        <f>_xlfn.XLOOKUP(TableDailySummary[[#This Row],[Fecha]],SummaryDaily[day],SummaryDaily[Corporativo no tienda_average_order_value],0)</f>
        <v>0</v>
      </c>
      <c r="X148" s="11">
        <f>_xlfn.XLOOKUP(TableDailySummary[[#This Row],[Fecha]],SummaryDaily[day],SummaryDaily[GoogleAdsOperation.Cost],0)</f>
        <v>0</v>
      </c>
      <c r="Y148" s="11">
        <f>SUMIFS(SalesByUTMDaily[google],SalesByUTMDaily[day],TableDailySummary[[#This Row],[Fecha]])</f>
        <v>0</v>
      </c>
      <c r="Z148" s="11">
        <f>_xlfn.XLOOKUP(TableDailySummary[[#This Row],[Fecha]],SummaryDaily[day],SummaryDaily[MetaAdsOperation.spend],0)</f>
        <v>0</v>
      </c>
      <c r="AA148" s="11">
        <f>SUMIFS(SalesByUTMDaily[facebook],SalesByUTMDaily[day],TableDailySummary[[#This Row],[Fecha]])</f>
        <v>0</v>
      </c>
      <c r="AB148" s="11">
        <f>TableDailySummary[[#This Row],[Inversión google ads]]+TableDailySummary[[#This Row],[Inversión meta ads]]</f>
        <v>0</v>
      </c>
      <c r="AC148" s="11">
        <f>TableDailySummary[[#This Row],[Ventas google ads]]+TableDailySummary[[#This Row],[Ventas meta ads]]</f>
        <v>0</v>
      </c>
      <c r="AD148" s="14">
        <f>IFERROR(TableDailySummary[[#This Row],[Ventas publicidad]]/TableDailySummary[[#This Row],[Inversión publicidad]],0)</f>
        <v>0</v>
      </c>
      <c r="AE148" s="14">
        <f>IFERROR(TableDailySummary[[#This Row],[Ventas primer cliente]]/TableDailySummary[[#This Row],[Inversión publicidad]],0)</f>
        <v>0</v>
      </c>
      <c r="AF148" s="14"/>
      <c r="AG148" s="11"/>
      <c r="AM148" s="11">
        <f>_xlfn.XLOOKUP(TableDailySummary[[#This Row],[Fecha]],SummaryDaily[day],SummaryDaily[net_sales_with_cost_recorded],0)</f>
        <v>0</v>
      </c>
      <c r="AN148" s="11">
        <f>_xlfn.XLOOKUP(TableDailySummary[[#This Row],[Fecha]],SummaryDaily[day],SummaryDaily[cost_of_goods_sold],0)</f>
        <v>0</v>
      </c>
      <c r="AO148" s="11">
        <f>_xlfn.XLOOKUP(TableDailySummary[[#This Row],[Fecha]],SummaryDaily[day],SummaryDaily[gross_profit],0)</f>
        <v>0</v>
      </c>
      <c r="AP148" s="18">
        <f>IFERROR(TableDailySummary[[#This Row],[Utilidad bruta]]/TableDailySummary[[#This Row],[Ventas netas con costo registrado]],0)</f>
        <v>0</v>
      </c>
    </row>
    <row r="149" spans="2:42" x14ac:dyDescent="0.2">
      <c r="B149" s="15" cm="1">
        <f t="array" ref="B149">ParamFechaInicioReporte + (ROW(TableDailySummary[#This Row]) - ROW(TableDailySummary[[#Headers],[Dia]]) - 1)</f>
        <v>44676</v>
      </c>
      <c r="C149" s="6">
        <f>TableDailySummary[[#This Row],[Dia]]</f>
        <v>44676</v>
      </c>
      <c r="D149" s="11">
        <f>_xlfn.XLOOKUP(TableDailySummary[[#This Row],[Fecha]],SummaryDaily[day],SummaryDaily[net_sales],0)</f>
        <v>0</v>
      </c>
      <c r="E149" s="11">
        <f>_xlfn.XLOOKUP(TableDailySummary[[#This Row],[Fecha]],SummaryDaily[day],SummaryDaily[orders],0)</f>
        <v>0</v>
      </c>
      <c r="F149" s="11">
        <f>_xlfn.XLOOKUP(TableDailySummary[[#This Row],[Fecha]],SummaryDaily[day],SummaryDaily[average_order_value],0)</f>
        <v>0</v>
      </c>
      <c r="G149" s="24" cm="1">
        <f t="array" ref="G149">_xlfn.XLOOKUP(TableDailySummary[[#This Row],[Fecha]]&amp;"Total site",ConversionRateByReferral[day]&amp;ConversionRateByReferral[referrer_source],ConversionRateByReferral[conversion_rate],0)</f>
        <v>0</v>
      </c>
      <c r="H149" s="11">
        <f>TableDailySummary[[#This Row],[Órden promedio totales]]*TableDailySummary[[#This Row],[CR totales]]</f>
        <v>0</v>
      </c>
      <c r="I149" s="11">
        <f>_xlfn.XLOOKUP(TableDailySummary[[#This Row],[Fecha]],SummaryDaily[day],SummaryDaily[new_net_sales],0)</f>
        <v>0</v>
      </c>
      <c r="J149" s="11">
        <f>_xlfn.XLOOKUP(TableDailySummary[[#This Row],[Fecha]],SummaryDaily[day],SummaryDaily[new_orders],0)</f>
        <v>0</v>
      </c>
      <c r="K149" s="11">
        <f>_xlfn.XLOOKUP(TableDailySummary[[#This Row],[Fecha]],SummaryDaily[day],SummaryDaily[new_average_order_value],0)</f>
        <v>0</v>
      </c>
      <c r="L149" s="11">
        <f>_xlfn.XLOOKUP(TableDailySummary[[#This Row],[Fecha]],SummaryDaily[day],SummaryDaily[Online Store_net_sales],0)</f>
        <v>0</v>
      </c>
      <c r="M149" s="11">
        <f>_xlfn.XLOOKUP(TableDailySummary[[#This Row],[Fecha]],SummaryDaily[day],SummaryDaily[Online Store_orders],0)</f>
        <v>0</v>
      </c>
      <c r="N149" s="11">
        <f>_xlfn.XLOOKUP(TableDailySummary[[#This Row],[Fecha]],SummaryDaily[day],SummaryDaily[Online Store_average_order_value],0)</f>
        <v>0</v>
      </c>
      <c r="O149" s="11">
        <f>_xlfn.XLOOKUP(TableDailySummary[[#This Row],[Fecha]],SummaryDaily[day],SummaryDaily[Tienda 81_net_sales],0)</f>
        <v>0</v>
      </c>
      <c r="P149" s="11">
        <f>_xlfn.XLOOKUP(TableDailySummary[[#This Row],[Fecha]],SummaryDaily[day],SummaryDaily[Tienda 81_orders],0)</f>
        <v>0</v>
      </c>
      <c r="Q149" s="11">
        <f>_xlfn.XLOOKUP(TableDailySummary[[#This Row],[Fecha]],SummaryDaily[day],SummaryDaily[Tienda 81_average_order_value],0)</f>
        <v>0</v>
      </c>
      <c r="R149" s="11">
        <f>_xlfn.XLOOKUP(TableDailySummary[[#This Row],[Fecha]],SummaryDaily[day],SummaryDaily[Rappi_net_sales],0)</f>
        <v>0</v>
      </c>
      <c r="S149" s="11">
        <f>_xlfn.XLOOKUP(TableDailySummary[[#This Row],[Fecha]],SummaryDaily[day],SummaryDaily[Rappi_orders],0)</f>
        <v>0</v>
      </c>
      <c r="T149" s="11">
        <f>_xlfn.XLOOKUP(TableDailySummary[[#This Row],[Fecha]],SummaryDaily[day],SummaryDaily[Rappi_average_order_value],0)</f>
        <v>0</v>
      </c>
      <c r="U149" s="11">
        <f>_xlfn.XLOOKUP(TableDailySummary[[#This Row],[Fecha]],SummaryDaily[day],SummaryDaily[Corporativo no tienda_net_sales],0)</f>
        <v>0</v>
      </c>
      <c r="V149" s="11">
        <f>_xlfn.XLOOKUP(TableDailySummary[[#This Row],[Fecha]],SummaryDaily[day],SummaryDaily[Corporativo no tienda_orders],0)</f>
        <v>0</v>
      </c>
      <c r="W149" s="11">
        <f>_xlfn.XLOOKUP(TableDailySummary[[#This Row],[Fecha]],SummaryDaily[day],SummaryDaily[Corporativo no tienda_average_order_value],0)</f>
        <v>0</v>
      </c>
      <c r="X149" s="11">
        <f>_xlfn.XLOOKUP(TableDailySummary[[#This Row],[Fecha]],SummaryDaily[day],SummaryDaily[GoogleAdsOperation.Cost],0)</f>
        <v>0</v>
      </c>
      <c r="Y149" s="11">
        <f>SUMIFS(SalesByUTMDaily[google],SalesByUTMDaily[day],TableDailySummary[[#This Row],[Fecha]])</f>
        <v>0</v>
      </c>
      <c r="Z149" s="11">
        <f>_xlfn.XLOOKUP(TableDailySummary[[#This Row],[Fecha]],SummaryDaily[day],SummaryDaily[MetaAdsOperation.spend],0)</f>
        <v>0</v>
      </c>
      <c r="AA149" s="11">
        <f>SUMIFS(SalesByUTMDaily[facebook],SalesByUTMDaily[day],TableDailySummary[[#This Row],[Fecha]])</f>
        <v>0</v>
      </c>
      <c r="AB149" s="11">
        <f>TableDailySummary[[#This Row],[Inversión google ads]]+TableDailySummary[[#This Row],[Inversión meta ads]]</f>
        <v>0</v>
      </c>
      <c r="AC149" s="11">
        <f>TableDailySummary[[#This Row],[Ventas google ads]]+TableDailySummary[[#This Row],[Ventas meta ads]]</f>
        <v>0</v>
      </c>
      <c r="AD149" s="14">
        <f>IFERROR(TableDailySummary[[#This Row],[Ventas publicidad]]/TableDailySummary[[#This Row],[Inversión publicidad]],0)</f>
        <v>0</v>
      </c>
      <c r="AE149" s="14">
        <f>IFERROR(TableDailySummary[[#This Row],[Ventas primer cliente]]/TableDailySummary[[#This Row],[Inversión publicidad]],0)</f>
        <v>0</v>
      </c>
      <c r="AF149" s="14"/>
      <c r="AG149" s="11"/>
      <c r="AM149" s="11">
        <f>_xlfn.XLOOKUP(TableDailySummary[[#This Row],[Fecha]],SummaryDaily[day],SummaryDaily[net_sales_with_cost_recorded],0)</f>
        <v>0</v>
      </c>
      <c r="AN149" s="11">
        <f>_xlfn.XLOOKUP(TableDailySummary[[#This Row],[Fecha]],SummaryDaily[day],SummaryDaily[cost_of_goods_sold],0)</f>
        <v>0</v>
      </c>
      <c r="AO149" s="11">
        <f>_xlfn.XLOOKUP(TableDailySummary[[#This Row],[Fecha]],SummaryDaily[day],SummaryDaily[gross_profit],0)</f>
        <v>0</v>
      </c>
      <c r="AP149" s="18">
        <f>IFERROR(TableDailySummary[[#This Row],[Utilidad bruta]]/TableDailySummary[[#This Row],[Ventas netas con costo registrado]],0)</f>
        <v>0</v>
      </c>
    </row>
    <row r="150" spans="2:42" x14ac:dyDescent="0.2">
      <c r="B150" s="15" cm="1">
        <f t="array" ref="B150">ParamFechaInicioReporte + (ROW(TableDailySummary[#This Row]) - ROW(TableDailySummary[[#Headers],[Dia]]) - 1)</f>
        <v>44677</v>
      </c>
      <c r="C150" s="6">
        <f>TableDailySummary[[#This Row],[Dia]]</f>
        <v>44677</v>
      </c>
      <c r="D150" s="11">
        <f>_xlfn.XLOOKUP(TableDailySummary[[#This Row],[Fecha]],SummaryDaily[day],SummaryDaily[net_sales],0)</f>
        <v>0</v>
      </c>
      <c r="E150" s="11">
        <f>_xlfn.XLOOKUP(TableDailySummary[[#This Row],[Fecha]],SummaryDaily[day],SummaryDaily[orders],0)</f>
        <v>0</v>
      </c>
      <c r="F150" s="11">
        <f>_xlfn.XLOOKUP(TableDailySummary[[#This Row],[Fecha]],SummaryDaily[day],SummaryDaily[average_order_value],0)</f>
        <v>0</v>
      </c>
      <c r="G150" s="24" cm="1">
        <f t="array" ref="G150">_xlfn.XLOOKUP(TableDailySummary[[#This Row],[Fecha]]&amp;"Total site",ConversionRateByReferral[day]&amp;ConversionRateByReferral[referrer_source],ConversionRateByReferral[conversion_rate],0)</f>
        <v>0</v>
      </c>
      <c r="H150" s="11">
        <f>TableDailySummary[[#This Row],[Órden promedio totales]]*TableDailySummary[[#This Row],[CR totales]]</f>
        <v>0</v>
      </c>
      <c r="I150" s="11">
        <f>_xlfn.XLOOKUP(TableDailySummary[[#This Row],[Fecha]],SummaryDaily[day],SummaryDaily[new_net_sales],0)</f>
        <v>0</v>
      </c>
      <c r="J150" s="11">
        <f>_xlfn.XLOOKUP(TableDailySummary[[#This Row],[Fecha]],SummaryDaily[day],SummaryDaily[new_orders],0)</f>
        <v>0</v>
      </c>
      <c r="K150" s="11">
        <f>_xlfn.XLOOKUP(TableDailySummary[[#This Row],[Fecha]],SummaryDaily[day],SummaryDaily[new_average_order_value],0)</f>
        <v>0</v>
      </c>
      <c r="L150" s="11">
        <f>_xlfn.XLOOKUP(TableDailySummary[[#This Row],[Fecha]],SummaryDaily[day],SummaryDaily[Online Store_net_sales],0)</f>
        <v>0</v>
      </c>
      <c r="M150" s="11">
        <f>_xlfn.XLOOKUP(TableDailySummary[[#This Row],[Fecha]],SummaryDaily[day],SummaryDaily[Online Store_orders],0)</f>
        <v>0</v>
      </c>
      <c r="N150" s="11">
        <f>_xlfn.XLOOKUP(TableDailySummary[[#This Row],[Fecha]],SummaryDaily[day],SummaryDaily[Online Store_average_order_value],0)</f>
        <v>0</v>
      </c>
      <c r="O150" s="11">
        <f>_xlfn.XLOOKUP(TableDailySummary[[#This Row],[Fecha]],SummaryDaily[day],SummaryDaily[Tienda 81_net_sales],0)</f>
        <v>0</v>
      </c>
      <c r="P150" s="11">
        <f>_xlfn.XLOOKUP(TableDailySummary[[#This Row],[Fecha]],SummaryDaily[day],SummaryDaily[Tienda 81_orders],0)</f>
        <v>0</v>
      </c>
      <c r="Q150" s="11">
        <f>_xlfn.XLOOKUP(TableDailySummary[[#This Row],[Fecha]],SummaryDaily[day],SummaryDaily[Tienda 81_average_order_value],0)</f>
        <v>0</v>
      </c>
      <c r="R150" s="11">
        <f>_xlfn.XLOOKUP(TableDailySummary[[#This Row],[Fecha]],SummaryDaily[day],SummaryDaily[Rappi_net_sales],0)</f>
        <v>0</v>
      </c>
      <c r="S150" s="11">
        <f>_xlfn.XLOOKUP(TableDailySummary[[#This Row],[Fecha]],SummaryDaily[day],SummaryDaily[Rappi_orders],0)</f>
        <v>0</v>
      </c>
      <c r="T150" s="11">
        <f>_xlfn.XLOOKUP(TableDailySummary[[#This Row],[Fecha]],SummaryDaily[day],SummaryDaily[Rappi_average_order_value],0)</f>
        <v>0</v>
      </c>
      <c r="U150" s="11">
        <f>_xlfn.XLOOKUP(TableDailySummary[[#This Row],[Fecha]],SummaryDaily[day],SummaryDaily[Corporativo no tienda_net_sales],0)</f>
        <v>0</v>
      </c>
      <c r="V150" s="11">
        <f>_xlfn.XLOOKUP(TableDailySummary[[#This Row],[Fecha]],SummaryDaily[day],SummaryDaily[Corporativo no tienda_orders],0)</f>
        <v>0</v>
      </c>
      <c r="W150" s="11">
        <f>_xlfn.XLOOKUP(TableDailySummary[[#This Row],[Fecha]],SummaryDaily[day],SummaryDaily[Corporativo no tienda_average_order_value],0)</f>
        <v>0</v>
      </c>
      <c r="X150" s="11">
        <f>_xlfn.XLOOKUP(TableDailySummary[[#This Row],[Fecha]],SummaryDaily[day],SummaryDaily[GoogleAdsOperation.Cost],0)</f>
        <v>0</v>
      </c>
      <c r="Y150" s="11">
        <f>SUMIFS(SalesByUTMDaily[google],SalesByUTMDaily[day],TableDailySummary[[#This Row],[Fecha]])</f>
        <v>0</v>
      </c>
      <c r="Z150" s="11">
        <f>_xlfn.XLOOKUP(TableDailySummary[[#This Row],[Fecha]],SummaryDaily[day],SummaryDaily[MetaAdsOperation.spend],0)</f>
        <v>0</v>
      </c>
      <c r="AA150" s="11">
        <f>SUMIFS(SalesByUTMDaily[facebook],SalesByUTMDaily[day],TableDailySummary[[#This Row],[Fecha]])</f>
        <v>0</v>
      </c>
      <c r="AB150" s="11">
        <f>TableDailySummary[[#This Row],[Inversión google ads]]+TableDailySummary[[#This Row],[Inversión meta ads]]</f>
        <v>0</v>
      </c>
      <c r="AC150" s="11">
        <f>TableDailySummary[[#This Row],[Ventas google ads]]+TableDailySummary[[#This Row],[Ventas meta ads]]</f>
        <v>0</v>
      </c>
      <c r="AD150" s="14">
        <f>IFERROR(TableDailySummary[[#This Row],[Ventas publicidad]]/TableDailySummary[[#This Row],[Inversión publicidad]],0)</f>
        <v>0</v>
      </c>
      <c r="AE150" s="14">
        <f>IFERROR(TableDailySummary[[#This Row],[Ventas primer cliente]]/TableDailySummary[[#This Row],[Inversión publicidad]],0)</f>
        <v>0</v>
      </c>
      <c r="AF150" s="14"/>
      <c r="AG150" s="11"/>
      <c r="AM150" s="11">
        <f>_xlfn.XLOOKUP(TableDailySummary[[#This Row],[Fecha]],SummaryDaily[day],SummaryDaily[net_sales_with_cost_recorded],0)</f>
        <v>0</v>
      </c>
      <c r="AN150" s="11">
        <f>_xlfn.XLOOKUP(TableDailySummary[[#This Row],[Fecha]],SummaryDaily[day],SummaryDaily[cost_of_goods_sold],0)</f>
        <v>0</v>
      </c>
      <c r="AO150" s="11">
        <f>_xlfn.XLOOKUP(TableDailySummary[[#This Row],[Fecha]],SummaryDaily[day],SummaryDaily[gross_profit],0)</f>
        <v>0</v>
      </c>
      <c r="AP150" s="18">
        <f>IFERROR(TableDailySummary[[#This Row],[Utilidad bruta]]/TableDailySummary[[#This Row],[Ventas netas con costo registrado]],0)</f>
        <v>0</v>
      </c>
    </row>
    <row r="151" spans="2:42" x14ac:dyDescent="0.2">
      <c r="B151" s="15" cm="1">
        <f t="array" ref="B151">ParamFechaInicioReporte + (ROW(TableDailySummary[#This Row]) - ROW(TableDailySummary[[#Headers],[Dia]]) - 1)</f>
        <v>44678</v>
      </c>
      <c r="C151" s="6">
        <f>TableDailySummary[[#This Row],[Dia]]</f>
        <v>44678</v>
      </c>
      <c r="D151" s="11">
        <f>_xlfn.XLOOKUP(TableDailySummary[[#This Row],[Fecha]],SummaryDaily[day],SummaryDaily[net_sales],0)</f>
        <v>0</v>
      </c>
      <c r="E151" s="11">
        <f>_xlfn.XLOOKUP(TableDailySummary[[#This Row],[Fecha]],SummaryDaily[day],SummaryDaily[orders],0)</f>
        <v>0</v>
      </c>
      <c r="F151" s="11">
        <f>_xlfn.XLOOKUP(TableDailySummary[[#This Row],[Fecha]],SummaryDaily[day],SummaryDaily[average_order_value],0)</f>
        <v>0</v>
      </c>
      <c r="G151" s="24" cm="1">
        <f t="array" ref="G151">_xlfn.XLOOKUP(TableDailySummary[[#This Row],[Fecha]]&amp;"Total site",ConversionRateByReferral[day]&amp;ConversionRateByReferral[referrer_source],ConversionRateByReferral[conversion_rate],0)</f>
        <v>0</v>
      </c>
      <c r="H151" s="11">
        <f>TableDailySummary[[#This Row],[Órden promedio totales]]*TableDailySummary[[#This Row],[CR totales]]</f>
        <v>0</v>
      </c>
      <c r="I151" s="11">
        <f>_xlfn.XLOOKUP(TableDailySummary[[#This Row],[Fecha]],SummaryDaily[day],SummaryDaily[new_net_sales],0)</f>
        <v>0</v>
      </c>
      <c r="J151" s="11">
        <f>_xlfn.XLOOKUP(TableDailySummary[[#This Row],[Fecha]],SummaryDaily[day],SummaryDaily[new_orders],0)</f>
        <v>0</v>
      </c>
      <c r="K151" s="11">
        <f>_xlfn.XLOOKUP(TableDailySummary[[#This Row],[Fecha]],SummaryDaily[day],SummaryDaily[new_average_order_value],0)</f>
        <v>0</v>
      </c>
      <c r="L151" s="11">
        <f>_xlfn.XLOOKUP(TableDailySummary[[#This Row],[Fecha]],SummaryDaily[day],SummaryDaily[Online Store_net_sales],0)</f>
        <v>0</v>
      </c>
      <c r="M151" s="11">
        <f>_xlfn.XLOOKUP(TableDailySummary[[#This Row],[Fecha]],SummaryDaily[day],SummaryDaily[Online Store_orders],0)</f>
        <v>0</v>
      </c>
      <c r="N151" s="11">
        <f>_xlfn.XLOOKUP(TableDailySummary[[#This Row],[Fecha]],SummaryDaily[day],SummaryDaily[Online Store_average_order_value],0)</f>
        <v>0</v>
      </c>
      <c r="O151" s="11">
        <f>_xlfn.XLOOKUP(TableDailySummary[[#This Row],[Fecha]],SummaryDaily[day],SummaryDaily[Tienda 81_net_sales],0)</f>
        <v>0</v>
      </c>
      <c r="P151" s="11">
        <f>_xlfn.XLOOKUP(TableDailySummary[[#This Row],[Fecha]],SummaryDaily[day],SummaryDaily[Tienda 81_orders],0)</f>
        <v>0</v>
      </c>
      <c r="Q151" s="11">
        <f>_xlfn.XLOOKUP(TableDailySummary[[#This Row],[Fecha]],SummaryDaily[day],SummaryDaily[Tienda 81_average_order_value],0)</f>
        <v>0</v>
      </c>
      <c r="R151" s="11">
        <f>_xlfn.XLOOKUP(TableDailySummary[[#This Row],[Fecha]],SummaryDaily[day],SummaryDaily[Rappi_net_sales],0)</f>
        <v>0</v>
      </c>
      <c r="S151" s="11">
        <f>_xlfn.XLOOKUP(TableDailySummary[[#This Row],[Fecha]],SummaryDaily[day],SummaryDaily[Rappi_orders],0)</f>
        <v>0</v>
      </c>
      <c r="T151" s="11">
        <f>_xlfn.XLOOKUP(TableDailySummary[[#This Row],[Fecha]],SummaryDaily[day],SummaryDaily[Rappi_average_order_value],0)</f>
        <v>0</v>
      </c>
      <c r="U151" s="11">
        <f>_xlfn.XLOOKUP(TableDailySummary[[#This Row],[Fecha]],SummaryDaily[day],SummaryDaily[Corporativo no tienda_net_sales],0)</f>
        <v>0</v>
      </c>
      <c r="V151" s="11">
        <f>_xlfn.XLOOKUP(TableDailySummary[[#This Row],[Fecha]],SummaryDaily[day],SummaryDaily[Corporativo no tienda_orders],0)</f>
        <v>0</v>
      </c>
      <c r="W151" s="11">
        <f>_xlfn.XLOOKUP(TableDailySummary[[#This Row],[Fecha]],SummaryDaily[day],SummaryDaily[Corporativo no tienda_average_order_value],0)</f>
        <v>0</v>
      </c>
      <c r="X151" s="11">
        <f>_xlfn.XLOOKUP(TableDailySummary[[#This Row],[Fecha]],SummaryDaily[day],SummaryDaily[GoogleAdsOperation.Cost],0)</f>
        <v>0</v>
      </c>
      <c r="Y151" s="11">
        <f>SUMIFS(SalesByUTMDaily[google],SalesByUTMDaily[day],TableDailySummary[[#This Row],[Fecha]])</f>
        <v>0</v>
      </c>
      <c r="Z151" s="11">
        <f>_xlfn.XLOOKUP(TableDailySummary[[#This Row],[Fecha]],SummaryDaily[day],SummaryDaily[MetaAdsOperation.spend],0)</f>
        <v>0</v>
      </c>
      <c r="AA151" s="11">
        <f>SUMIFS(SalesByUTMDaily[facebook],SalesByUTMDaily[day],TableDailySummary[[#This Row],[Fecha]])</f>
        <v>0</v>
      </c>
      <c r="AB151" s="11">
        <f>TableDailySummary[[#This Row],[Inversión google ads]]+TableDailySummary[[#This Row],[Inversión meta ads]]</f>
        <v>0</v>
      </c>
      <c r="AC151" s="11">
        <f>TableDailySummary[[#This Row],[Ventas google ads]]+TableDailySummary[[#This Row],[Ventas meta ads]]</f>
        <v>0</v>
      </c>
      <c r="AD151" s="14">
        <f>IFERROR(TableDailySummary[[#This Row],[Ventas publicidad]]/TableDailySummary[[#This Row],[Inversión publicidad]],0)</f>
        <v>0</v>
      </c>
      <c r="AE151" s="14">
        <f>IFERROR(TableDailySummary[[#This Row],[Ventas primer cliente]]/TableDailySummary[[#This Row],[Inversión publicidad]],0)</f>
        <v>0</v>
      </c>
      <c r="AF151" s="14"/>
      <c r="AG151" s="11"/>
      <c r="AM151" s="11">
        <f>_xlfn.XLOOKUP(TableDailySummary[[#This Row],[Fecha]],SummaryDaily[day],SummaryDaily[net_sales_with_cost_recorded],0)</f>
        <v>0</v>
      </c>
      <c r="AN151" s="11">
        <f>_xlfn.XLOOKUP(TableDailySummary[[#This Row],[Fecha]],SummaryDaily[day],SummaryDaily[cost_of_goods_sold],0)</f>
        <v>0</v>
      </c>
      <c r="AO151" s="11">
        <f>_xlfn.XLOOKUP(TableDailySummary[[#This Row],[Fecha]],SummaryDaily[day],SummaryDaily[gross_profit],0)</f>
        <v>0</v>
      </c>
      <c r="AP151" s="18">
        <f>IFERROR(TableDailySummary[[#This Row],[Utilidad bruta]]/TableDailySummary[[#This Row],[Ventas netas con costo registrado]],0)</f>
        <v>0</v>
      </c>
    </row>
    <row r="152" spans="2:42" x14ac:dyDescent="0.2">
      <c r="B152" s="15" cm="1">
        <f t="array" ref="B152">ParamFechaInicioReporte + (ROW(TableDailySummary[#This Row]) - ROW(TableDailySummary[[#Headers],[Dia]]) - 1)</f>
        <v>44679</v>
      </c>
      <c r="C152" s="6">
        <f>TableDailySummary[[#This Row],[Dia]]</f>
        <v>44679</v>
      </c>
      <c r="D152" s="11">
        <f>_xlfn.XLOOKUP(TableDailySummary[[#This Row],[Fecha]],SummaryDaily[day],SummaryDaily[net_sales],0)</f>
        <v>0</v>
      </c>
      <c r="E152" s="11">
        <f>_xlfn.XLOOKUP(TableDailySummary[[#This Row],[Fecha]],SummaryDaily[day],SummaryDaily[orders],0)</f>
        <v>0</v>
      </c>
      <c r="F152" s="11">
        <f>_xlfn.XLOOKUP(TableDailySummary[[#This Row],[Fecha]],SummaryDaily[day],SummaryDaily[average_order_value],0)</f>
        <v>0</v>
      </c>
      <c r="G152" s="24" cm="1">
        <f t="array" ref="G152">_xlfn.XLOOKUP(TableDailySummary[[#This Row],[Fecha]]&amp;"Total site",ConversionRateByReferral[day]&amp;ConversionRateByReferral[referrer_source],ConversionRateByReferral[conversion_rate],0)</f>
        <v>0</v>
      </c>
      <c r="H152" s="11">
        <f>TableDailySummary[[#This Row],[Órden promedio totales]]*TableDailySummary[[#This Row],[CR totales]]</f>
        <v>0</v>
      </c>
      <c r="I152" s="11">
        <f>_xlfn.XLOOKUP(TableDailySummary[[#This Row],[Fecha]],SummaryDaily[day],SummaryDaily[new_net_sales],0)</f>
        <v>0</v>
      </c>
      <c r="J152" s="11">
        <f>_xlfn.XLOOKUP(TableDailySummary[[#This Row],[Fecha]],SummaryDaily[day],SummaryDaily[new_orders],0)</f>
        <v>0</v>
      </c>
      <c r="K152" s="11">
        <f>_xlfn.XLOOKUP(TableDailySummary[[#This Row],[Fecha]],SummaryDaily[day],SummaryDaily[new_average_order_value],0)</f>
        <v>0</v>
      </c>
      <c r="L152" s="11">
        <f>_xlfn.XLOOKUP(TableDailySummary[[#This Row],[Fecha]],SummaryDaily[day],SummaryDaily[Online Store_net_sales],0)</f>
        <v>0</v>
      </c>
      <c r="M152" s="11">
        <f>_xlfn.XLOOKUP(TableDailySummary[[#This Row],[Fecha]],SummaryDaily[day],SummaryDaily[Online Store_orders],0)</f>
        <v>0</v>
      </c>
      <c r="N152" s="11">
        <f>_xlfn.XLOOKUP(TableDailySummary[[#This Row],[Fecha]],SummaryDaily[day],SummaryDaily[Online Store_average_order_value],0)</f>
        <v>0</v>
      </c>
      <c r="O152" s="11">
        <f>_xlfn.XLOOKUP(TableDailySummary[[#This Row],[Fecha]],SummaryDaily[day],SummaryDaily[Tienda 81_net_sales],0)</f>
        <v>0</v>
      </c>
      <c r="P152" s="11">
        <f>_xlfn.XLOOKUP(TableDailySummary[[#This Row],[Fecha]],SummaryDaily[day],SummaryDaily[Tienda 81_orders],0)</f>
        <v>0</v>
      </c>
      <c r="Q152" s="11">
        <f>_xlfn.XLOOKUP(TableDailySummary[[#This Row],[Fecha]],SummaryDaily[day],SummaryDaily[Tienda 81_average_order_value],0)</f>
        <v>0</v>
      </c>
      <c r="R152" s="11">
        <f>_xlfn.XLOOKUP(TableDailySummary[[#This Row],[Fecha]],SummaryDaily[day],SummaryDaily[Rappi_net_sales],0)</f>
        <v>0</v>
      </c>
      <c r="S152" s="11">
        <f>_xlfn.XLOOKUP(TableDailySummary[[#This Row],[Fecha]],SummaryDaily[day],SummaryDaily[Rappi_orders],0)</f>
        <v>0</v>
      </c>
      <c r="T152" s="11">
        <f>_xlfn.XLOOKUP(TableDailySummary[[#This Row],[Fecha]],SummaryDaily[day],SummaryDaily[Rappi_average_order_value],0)</f>
        <v>0</v>
      </c>
      <c r="U152" s="11">
        <f>_xlfn.XLOOKUP(TableDailySummary[[#This Row],[Fecha]],SummaryDaily[day],SummaryDaily[Corporativo no tienda_net_sales],0)</f>
        <v>0</v>
      </c>
      <c r="V152" s="11">
        <f>_xlfn.XLOOKUP(TableDailySummary[[#This Row],[Fecha]],SummaryDaily[day],SummaryDaily[Corporativo no tienda_orders],0)</f>
        <v>0</v>
      </c>
      <c r="W152" s="11">
        <f>_xlfn.XLOOKUP(TableDailySummary[[#This Row],[Fecha]],SummaryDaily[day],SummaryDaily[Corporativo no tienda_average_order_value],0)</f>
        <v>0</v>
      </c>
      <c r="X152" s="11">
        <f>_xlfn.XLOOKUP(TableDailySummary[[#This Row],[Fecha]],SummaryDaily[day],SummaryDaily[GoogleAdsOperation.Cost],0)</f>
        <v>0</v>
      </c>
      <c r="Y152" s="11">
        <f>SUMIFS(SalesByUTMDaily[google],SalesByUTMDaily[day],TableDailySummary[[#This Row],[Fecha]])</f>
        <v>0</v>
      </c>
      <c r="Z152" s="11">
        <f>_xlfn.XLOOKUP(TableDailySummary[[#This Row],[Fecha]],SummaryDaily[day],SummaryDaily[MetaAdsOperation.spend],0)</f>
        <v>0</v>
      </c>
      <c r="AA152" s="11">
        <f>SUMIFS(SalesByUTMDaily[facebook],SalesByUTMDaily[day],TableDailySummary[[#This Row],[Fecha]])</f>
        <v>0</v>
      </c>
      <c r="AB152" s="11">
        <f>TableDailySummary[[#This Row],[Inversión google ads]]+TableDailySummary[[#This Row],[Inversión meta ads]]</f>
        <v>0</v>
      </c>
      <c r="AC152" s="11">
        <f>TableDailySummary[[#This Row],[Ventas google ads]]+TableDailySummary[[#This Row],[Ventas meta ads]]</f>
        <v>0</v>
      </c>
      <c r="AD152" s="14">
        <f>IFERROR(TableDailySummary[[#This Row],[Ventas publicidad]]/TableDailySummary[[#This Row],[Inversión publicidad]],0)</f>
        <v>0</v>
      </c>
      <c r="AE152" s="14">
        <f>IFERROR(TableDailySummary[[#This Row],[Ventas primer cliente]]/TableDailySummary[[#This Row],[Inversión publicidad]],0)</f>
        <v>0</v>
      </c>
      <c r="AF152" s="14"/>
      <c r="AG152" s="11"/>
      <c r="AM152" s="11">
        <f>_xlfn.XLOOKUP(TableDailySummary[[#This Row],[Fecha]],SummaryDaily[day],SummaryDaily[net_sales_with_cost_recorded],0)</f>
        <v>0</v>
      </c>
      <c r="AN152" s="11">
        <f>_xlfn.XLOOKUP(TableDailySummary[[#This Row],[Fecha]],SummaryDaily[day],SummaryDaily[cost_of_goods_sold],0)</f>
        <v>0</v>
      </c>
      <c r="AO152" s="11">
        <f>_xlfn.XLOOKUP(TableDailySummary[[#This Row],[Fecha]],SummaryDaily[day],SummaryDaily[gross_profit],0)</f>
        <v>0</v>
      </c>
      <c r="AP152" s="18">
        <f>IFERROR(TableDailySummary[[#This Row],[Utilidad bruta]]/TableDailySummary[[#This Row],[Ventas netas con costo registrado]],0)</f>
        <v>0</v>
      </c>
    </row>
    <row r="153" spans="2:42" x14ac:dyDescent="0.2">
      <c r="B153" s="15" cm="1">
        <f t="array" ref="B153">ParamFechaInicioReporte + (ROW(TableDailySummary[#This Row]) - ROW(TableDailySummary[[#Headers],[Dia]]) - 1)</f>
        <v>44680</v>
      </c>
      <c r="C153" s="6">
        <f>TableDailySummary[[#This Row],[Dia]]</f>
        <v>44680</v>
      </c>
      <c r="D153" s="11">
        <f>_xlfn.XLOOKUP(TableDailySummary[[#This Row],[Fecha]],SummaryDaily[day],SummaryDaily[net_sales],0)</f>
        <v>0</v>
      </c>
      <c r="E153" s="11">
        <f>_xlfn.XLOOKUP(TableDailySummary[[#This Row],[Fecha]],SummaryDaily[day],SummaryDaily[orders],0)</f>
        <v>0</v>
      </c>
      <c r="F153" s="11">
        <f>_xlfn.XLOOKUP(TableDailySummary[[#This Row],[Fecha]],SummaryDaily[day],SummaryDaily[average_order_value],0)</f>
        <v>0</v>
      </c>
      <c r="G153" s="24" cm="1">
        <f t="array" ref="G153">_xlfn.XLOOKUP(TableDailySummary[[#This Row],[Fecha]]&amp;"Total site",ConversionRateByReferral[day]&amp;ConversionRateByReferral[referrer_source],ConversionRateByReferral[conversion_rate],0)</f>
        <v>0</v>
      </c>
      <c r="H153" s="11">
        <f>TableDailySummary[[#This Row],[Órden promedio totales]]*TableDailySummary[[#This Row],[CR totales]]</f>
        <v>0</v>
      </c>
      <c r="I153" s="11">
        <f>_xlfn.XLOOKUP(TableDailySummary[[#This Row],[Fecha]],SummaryDaily[day],SummaryDaily[new_net_sales],0)</f>
        <v>0</v>
      </c>
      <c r="J153" s="11">
        <f>_xlfn.XLOOKUP(TableDailySummary[[#This Row],[Fecha]],SummaryDaily[day],SummaryDaily[new_orders],0)</f>
        <v>0</v>
      </c>
      <c r="K153" s="11">
        <f>_xlfn.XLOOKUP(TableDailySummary[[#This Row],[Fecha]],SummaryDaily[day],SummaryDaily[new_average_order_value],0)</f>
        <v>0</v>
      </c>
      <c r="L153" s="11">
        <f>_xlfn.XLOOKUP(TableDailySummary[[#This Row],[Fecha]],SummaryDaily[day],SummaryDaily[Online Store_net_sales],0)</f>
        <v>0</v>
      </c>
      <c r="M153" s="11">
        <f>_xlfn.XLOOKUP(TableDailySummary[[#This Row],[Fecha]],SummaryDaily[day],SummaryDaily[Online Store_orders],0)</f>
        <v>0</v>
      </c>
      <c r="N153" s="11">
        <f>_xlfn.XLOOKUP(TableDailySummary[[#This Row],[Fecha]],SummaryDaily[day],SummaryDaily[Online Store_average_order_value],0)</f>
        <v>0</v>
      </c>
      <c r="O153" s="11">
        <f>_xlfn.XLOOKUP(TableDailySummary[[#This Row],[Fecha]],SummaryDaily[day],SummaryDaily[Tienda 81_net_sales],0)</f>
        <v>0</v>
      </c>
      <c r="P153" s="11">
        <f>_xlfn.XLOOKUP(TableDailySummary[[#This Row],[Fecha]],SummaryDaily[day],SummaryDaily[Tienda 81_orders],0)</f>
        <v>0</v>
      </c>
      <c r="Q153" s="11">
        <f>_xlfn.XLOOKUP(TableDailySummary[[#This Row],[Fecha]],SummaryDaily[day],SummaryDaily[Tienda 81_average_order_value],0)</f>
        <v>0</v>
      </c>
      <c r="R153" s="11">
        <f>_xlfn.XLOOKUP(TableDailySummary[[#This Row],[Fecha]],SummaryDaily[day],SummaryDaily[Rappi_net_sales],0)</f>
        <v>0</v>
      </c>
      <c r="S153" s="11">
        <f>_xlfn.XLOOKUP(TableDailySummary[[#This Row],[Fecha]],SummaryDaily[day],SummaryDaily[Rappi_orders],0)</f>
        <v>0</v>
      </c>
      <c r="T153" s="11">
        <f>_xlfn.XLOOKUP(TableDailySummary[[#This Row],[Fecha]],SummaryDaily[day],SummaryDaily[Rappi_average_order_value],0)</f>
        <v>0</v>
      </c>
      <c r="U153" s="11">
        <f>_xlfn.XLOOKUP(TableDailySummary[[#This Row],[Fecha]],SummaryDaily[day],SummaryDaily[Corporativo no tienda_net_sales],0)</f>
        <v>0</v>
      </c>
      <c r="V153" s="11">
        <f>_xlfn.XLOOKUP(TableDailySummary[[#This Row],[Fecha]],SummaryDaily[day],SummaryDaily[Corporativo no tienda_orders],0)</f>
        <v>0</v>
      </c>
      <c r="W153" s="11">
        <f>_xlfn.XLOOKUP(TableDailySummary[[#This Row],[Fecha]],SummaryDaily[day],SummaryDaily[Corporativo no tienda_average_order_value],0)</f>
        <v>0</v>
      </c>
      <c r="X153" s="11">
        <f>_xlfn.XLOOKUP(TableDailySummary[[#This Row],[Fecha]],SummaryDaily[day],SummaryDaily[GoogleAdsOperation.Cost],0)</f>
        <v>0</v>
      </c>
      <c r="Y153" s="11">
        <f>SUMIFS(SalesByUTMDaily[google],SalesByUTMDaily[day],TableDailySummary[[#This Row],[Fecha]])</f>
        <v>0</v>
      </c>
      <c r="Z153" s="11">
        <f>_xlfn.XLOOKUP(TableDailySummary[[#This Row],[Fecha]],SummaryDaily[day],SummaryDaily[MetaAdsOperation.spend],0)</f>
        <v>0</v>
      </c>
      <c r="AA153" s="11">
        <f>SUMIFS(SalesByUTMDaily[facebook],SalesByUTMDaily[day],TableDailySummary[[#This Row],[Fecha]])</f>
        <v>0</v>
      </c>
      <c r="AB153" s="11">
        <f>TableDailySummary[[#This Row],[Inversión google ads]]+TableDailySummary[[#This Row],[Inversión meta ads]]</f>
        <v>0</v>
      </c>
      <c r="AC153" s="11">
        <f>TableDailySummary[[#This Row],[Ventas google ads]]+TableDailySummary[[#This Row],[Ventas meta ads]]</f>
        <v>0</v>
      </c>
      <c r="AD153" s="14">
        <f>IFERROR(TableDailySummary[[#This Row],[Ventas publicidad]]/TableDailySummary[[#This Row],[Inversión publicidad]],0)</f>
        <v>0</v>
      </c>
      <c r="AE153" s="14">
        <f>IFERROR(TableDailySummary[[#This Row],[Ventas primer cliente]]/TableDailySummary[[#This Row],[Inversión publicidad]],0)</f>
        <v>0</v>
      </c>
      <c r="AF153" s="14"/>
      <c r="AG153" s="11"/>
      <c r="AM153" s="11">
        <f>_xlfn.XLOOKUP(TableDailySummary[[#This Row],[Fecha]],SummaryDaily[day],SummaryDaily[net_sales_with_cost_recorded],0)</f>
        <v>0</v>
      </c>
      <c r="AN153" s="11">
        <f>_xlfn.XLOOKUP(TableDailySummary[[#This Row],[Fecha]],SummaryDaily[day],SummaryDaily[cost_of_goods_sold],0)</f>
        <v>0</v>
      </c>
      <c r="AO153" s="11">
        <f>_xlfn.XLOOKUP(TableDailySummary[[#This Row],[Fecha]],SummaryDaily[day],SummaryDaily[gross_profit],0)</f>
        <v>0</v>
      </c>
      <c r="AP153" s="18">
        <f>IFERROR(TableDailySummary[[#This Row],[Utilidad bruta]]/TableDailySummary[[#This Row],[Ventas netas con costo registrado]],0)</f>
        <v>0</v>
      </c>
    </row>
    <row r="154" spans="2:42" x14ac:dyDescent="0.2">
      <c r="B154" s="15" cm="1">
        <f t="array" ref="B154">ParamFechaInicioReporte + (ROW(TableDailySummary[#This Row]) - ROW(TableDailySummary[[#Headers],[Dia]]) - 1)</f>
        <v>44681</v>
      </c>
      <c r="C154" s="6">
        <f>TableDailySummary[[#This Row],[Dia]]</f>
        <v>44681</v>
      </c>
      <c r="D154" s="11">
        <f>_xlfn.XLOOKUP(TableDailySummary[[#This Row],[Fecha]],SummaryDaily[day],SummaryDaily[net_sales],0)</f>
        <v>0</v>
      </c>
      <c r="E154" s="11">
        <f>_xlfn.XLOOKUP(TableDailySummary[[#This Row],[Fecha]],SummaryDaily[day],SummaryDaily[orders],0)</f>
        <v>0</v>
      </c>
      <c r="F154" s="11">
        <f>_xlfn.XLOOKUP(TableDailySummary[[#This Row],[Fecha]],SummaryDaily[day],SummaryDaily[average_order_value],0)</f>
        <v>0</v>
      </c>
      <c r="G154" s="24" cm="1">
        <f t="array" ref="G154">_xlfn.XLOOKUP(TableDailySummary[[#This Row],[Fecha]]&amp;"Total site",ConversionRateByReferral[day]&amp;ConversionRateByReferral[referrer_source],ConversionRateByReferral[conversion_rate],0)</f>
        <v>0</v>
      </c>
      <c r="H154" s="11">
        <f>TableDailySummary[[#This Row],[Órden promedio totales]]*TableDailySummary[[#This Row],[CR totales]]</f>
        <v>0</v>
      </c>
      <c r="I154" s="11">
        <f>_xlfn.XLOOKUP(TableDailySummary[[#This Row],[Fecha]],SummaryDaily[day],SummaryDaily[new_net_sales],0)</f>
        <v>0</v>
      </c>
      <c r="J154" s="11">
        <f>_xlfn.XLOOKUP(TableDailySummary[[#This Row],[Fecha]],SummaryDaily[day],SummaryDaily[new_orders],0)</f>
        <v>0</v>
      </c>
      <c r="K154" s="11">
        <f>_xlfn.XLOOKUP(TableDailySummary[[#This Row],[Fecha]],SummaryDaily[day],SummaryDaily[new_average_order_value],0)</f>
        <v>0</v>
      </c>
      <c r="L154" s="11">
        <f>_xlfn.XLOOKUP(TableDailySummary[[#This Row],[Fecha]],SummaryDaily[day],SummaryDaily[Online Store_net_sales],0)</f>
        <v>0</v>
      </c>
      <c r="M154" s="11">
        <f>_xlfn.XLOOKUP(TableDailySummary[[#This Row],[Fecha]],SummaryDaily[day],SummaryDaily[Online Store_orders],0)</f>
        <v>0</v>
      </c>
      <c r="N154" s="11">
        <f>_xlfn.XLOOKUP(TableDailySummary[[#This Row],[Fecha]],SummaryDaily[day],SummaryDaily[Online Store_average_order_value],0)</f>
        <v>0</v>
      </c>
      <c r="O154" s="11">
        <f>_xlfn.XLOOKUP(TableDailySummary[[#This Row],[Fecha]],SummaryDaily[day],SummaryDaily[Tienda 81_net_sales],0)</f>
        <v>0</v>
      </c>
      <c r="P154" s="11">
        <f>_xlfn.XLOOKUP(TableDailySummary[[#This Row],[Fecha]],SummaryDaily[day],SummaryDaily[Tienda 81_orders],0)</f>
        <v>0</v>
      </c>
      <c r="Q154" s="11">
        <f>_xlfn.XLOOKUP(TableDailySummary[[#This Row],[Fecha]],SummaryDaily[day],SummaryDaily[Tienda 81_average_order_value],0)</f>
        <v>0</v>
      </c>
      <c r="R154" s="11">
        <f>_xlfn.XLOOKUP(TableDailySummary[[#This Row],[Fecha]],SummaryDaily[day],SummaryDaily[Rappi_net_sales],0)</f>
        <v>0</v>
      </c>
      <c r="S154" s="11">
        <f>_xlfn.XLOOKUP(TableDailySummary[[#This Row],[Fecha]],SummaryDaily[day],SummaryDaily[Rappi_orders],0)</f>
        <v>0</v>
      </c>
      <c r="T154" s="11">
        <f>_xlfn.XLOOKUP(TableDailySummary[[#This Row],[Fecha]],SummaryDaily[day],SummaryDaily[Rappi_average_order_value],0)</f>
        <v>0</v>
      </c>
      <c r="U154" s="11">
        <f>_xlfn.XLOOKUP(TableDailySummary[[#This Row],[Fecha]],SummaryDaily[day],SummaryDaily[Corporativo no tienda_net_sales],0)</f>
        <v>0</v>
      </c>
      <c r="V154" s="11">
        <f>_xlfn.XLOOKUP(TableDailySummary[[#This Row],[Fecha]],SummaryDaily[day],SummaryDaily[Corporativo no tienda_orders],0)</f>
        <v>0</v>
      </c>
      <c r="W154" s="11">
        <f>_xlfn.XLOOKUP(TableDailySummary[[#This Row],[Fecha]],SummaryDaily[day],SummaryDaily[Corporativo no tienda_average_order_value],0)</f>
        <v>0</v>
      </c>
      <c r="X154" s="11">
        <f>_xlfn.XLOOKUP(TableDailySummary[[#This Row],[Fecha]],SummaryDaily[day],SummaryDaily[GoogleAdsOperation.Cost],0)</f>
        <v>0</v>
      </c>
      <c r="Y154" s="11">
        <f>SUMIFS(SalesByUTMDaily[google],SalesByUTMDaily[day],TableDailySummary[[#This Row],[Fecha]])</f>
        <v>0</v>
      </c>
      <c r="Z154" s="11">
        <f>_xlfn.XLOOKUP(TableDailySummary[[#This Row],[Fecha]],SummaryDaily[day],SummaryDaily[MetaAdsOperation.spend],0)</f>
        <v>0</v>
      </c>
      <c r="AA154" s="11">
        <f>SUMIFS(SalesByUTMDaily[facebook],SalesByUTMDaily[day],TableDailySummary[[#This Row],[Fecha]])</f>
        <v>0</v>
      </c>
      <c r="AB154" s="11">
        <f>TableDailySummary[[#This Row],[Inversión google ads]]+TableDailySummary[[#This Row],[Inversión meta ads]]</f>
        <v>0</v>
      </c>
      <c r="AC154" s="11">
        <f>TableDailySummary[[#This Row],[Ventas google ads]]+TableDailySummary[[#This Row],[Ventas meta ads]]</f>
        <v>0</v>
      </c>
      <c r="AD154" s="14">
        <f>IFERROR(TableDailySummary[[#This Row],[Ventas publicidad]]/TableDailySummary[[#This Row],[Inversión publicidad]],0)</f>
        <v>0</v>
      </c>
      <c r="AE154" s="14">
        <f>IFERROR(TableDailySummary[[#This Row],[Ventas primer cliente]]/TableDailySummary[[#This Row],[Inversión publicidad]],0)</f>
        <v>0</v>
      </c>
      <c r="AF154" s="14"/>
      <c r="AG154" s="11"/>
      <c r="AM154" s="11">
        <f>_xlfn.XLOOKUP(TableDailySummary[[#This Row],[Fecha]],SummaryDaily[day],SummaryDaily[net_sales_with_cost_recorded],0)</f>
        <v>0</v>
      </c>
      <c r="AN154" s="11">
        <f>_xlfn.XLOOKUP(TableDailySummary[[#This Row],[Fecha]],SummaryDaily[day],SummaryDaily[cost_of_goods_sold],0)</f>
        <v>0</v>
      </c>
      <c r="AO154" s="11">
        <f>_xlfn.XLOOKUP(TableDailySummary[[#This Row],[Fecha]],SummaryDaily[day],SummaryDaily[gross_profit],0)</f>
        <v>0</v>
      </c>
      <c r="AP154" s="18">
        <f>IFERROR(TableDailySummary[[#This Row],[Utilidad bruta]]/TableDailySummary[[#This Row],[Ventas netas con costo registrado]],0)</f>
        <v>0</v>
      </c>
    </row>
    <row r="155" spans="2:42" x14ac:dyDescent="0.2">
      <c r="B155" s="15" cm="1">
        <f t="array" ref="B155">ParamFechaInicioReporte + (ROW(TableDailySummary[#This Row]) - ROW(TableDailySummary[[#Headers],[Dia]]) - 1)</f>
        <v>44682</v>
      </c>
      <c r="C155" s="6">
        <f>TableDailySummary[[#This Row],[Dia]]</f>
        <v>44682</v>
      </c>
      <c r="D155" s="11">
        <f>_xlfn.XLOOKUP(TableDailySummary[[#This Row],[Fecha]],SummaryDaily[day],SummaryDaily[net_sales],0)</f>
        <v>0</v>
      </c>
      <c r="E155" s="11">
        <f>_xlfn.XLOOKUP(TableDailySummary[[#This Row],[Fecha]],SummaryDaily[day],SummaryDaily[orders],0)</f>
        <v>0</v>
      </c>
      <c r="F155" s="11">
        <f>_xlfn.XLOOKUP(TableDailySummary[[#This Row],[Fecha]],SummaryDaily[day],SummaryDaily[average_order_value],0)</f>
        <v>0</v>
      </c>
      <c r="G155" s="24" cm="1">
        <f t="array" ref="G155">_xlfn.XLOOKUP(TableDailySummary[[#This Row],[Fecha]]&amp;"Total site",ConversionRateByReferral[day]&amp;ConversionRateByReferral[referrer_source],ConversionRateByReferral[conversion_rate],0)</f>
        <v>0</v>
      </c>
      <c r="H155" s="11">
        <f>TableDailySummary[[#This Row],[Órden promedio totales]]*TableDailySummary[[#This Row],[CR totales]]</f>
        <v>0</v>
      </c>
      <c r="I155" s="11">
        <f>_xlfn.XLOOKUP(TableDailySummary[[#This Row],[Fecha]],SummaryDaily[day],SummaryDaily[new_net_sales],0)</f>
        <v>0</v>
      </c>
      <c r="J155" s="11">
        <f>_xlfn.XLOOKUP(TableDailySummary[[#This Row],[Fecha]],SummaryDaily[day],SummaryDaily[new_orders],0)</f>
        <v>0</v>
      </c>
      <c r="K155" s="11">
        <f>_xlfn.XLOOKUP(TableDailySummary[[#This Row],[Fecha]],SummaryDaily[day],SummaryDaily[new_average_order_value],0)</f>
        <v>0</v>
      </c>
      <c r="L155" s="11">
        <f>_xlfn.XLOOKUP(TableDailySummary[[#This Row],[Fecha]],SummaryDaily[day],SummaryDaily[Online Store_net_sales],0)</f>
        <v>0</v>
      </c>
      <c r="M155" s="11">
        <f>_xlfn.XLOOKUP(TableDailySummary[[#This Row],[Fecha]],SummaryDaily[day],SummaryDaily[Online Store_orders],0)</f>
        <v>0</v>
      </c>
      <c r="N155" s="11">
        <f>_xlfn.XLOOKUP(TableDailySummary[[#This Row],[Fecha]],SummaryDaily[day],SummaryDaily[Online Store_average_order_value],0)</f>
        <v>0</v>
      </c>
      <c r="O155" s="11">
        <f>_xlfn.XLOOKUP(TableDailySummary[[#This Row],[Fecha]],SummaryDaily[day],SummaryDaily[Tienda 81_net_sales],0)</f>
        <v>0</v>
      </c>
      <c r="P155" s="11">
        <f>_xlfn.XLOOKUP(TableDailySummary[[#This Row],[Fecha]],SummaryDaily[day],SummaryDaily[Tienda 81_orders],0)</f>
        <v>0</v>
      </c>
      <c r="Q155" s="11">
        <f>_xlfn.XLOOKUP(TableDailySummary[[#This Row],[Fecha]],SummaryDaily[day],SummaryDaily[Tienda 81_average_order_value],0)</f>
        <v>0</v>
      </c>
      <c r="R155" s="11">
        <f>_xlfn.XLOOKUP(TableDailySummary[[#This Row],[Fecha]],SummaryDaily[day],SummaryDaily[Rappi_net_sales],0)</f>
        <v>0</v>
      </c>
      <c r="S155" s="11">
        <f>_xlfn.XLOOKUP(TableDailySummary[[#This Row],[Fecha]],SummaryDaily[day],SummaryDaily[Rappi_orders],0)</f>
        <v>0</v>
      </c>
      <c r="T155" s="11">
        <f>_xlfn.XLOOKUP(TableDailySummary[[#This Row],[Fecha]],SummaryDaily[day],SummaryDaily[Rappi_average_order_value],0)</f>
        <v>0</v>
      </c>
      <c r="U155" s="11">
        <f>_xlfn.XLOOKUP(TableDailySummary[[#This Row],[Fecha]],SummaryDaily[day],SummaryDaily[Corporativo no tienda_net_sales],0)</f>
        <v>0</v>
      </c>
      <c r="V155" s="11">
        <f>_xlfn.XLOOKUP(TableDailySummary[[#This Row],[Fecha]],SummaryDaily[day],SummaryDaily[Corporativo no tienda_orders],0)</f>
        <v>0</v>
      </c>
      <c r="W155" s="11">
        <f>_xlfn.XLOOKUP(TableDailySummary[[#This Row],[Fecha]],SummaryDaily[day],SummaryDaily[Corporativo no tienda_average_order_value],0)</f>
        <v>0</v>
      </c>
      <c r="X155" s="11">
        <f>_xlfn.XLOOKUP(TableDailySummary[[#This Row],[Fecha]],SummaryDaily[day],SummaryDaily[GoogleAdsOperation.Cost],0)</f>
        <v>0</v>
      </c>
      <c r="Y155" s="11">
        <f>SUMIFS(SalesByUTMDaily[google],SalesByUTMDaily[day],TableDailySummary[[#This Row],[Fecha]])</f>
        <v>0</v>
      </c>
      <c r="Z155" s="11">
        <f>_xlfn.XLOOKUP(TableDailySummary[[#This Row],[Fecha]],SummaryDaily[day],SummaryDaily[MetaAdsOperation.spend],0)</f>
        <v>0</v>
      </c>
      <c r="AA155" s="11">
        <f>SUMIFS(SalesByUTMDaily[facebook],SalesByUTMDaily[day],TableDailySummary[[#This Row],[Fecha]])</f>
        <v>0</v>
      </c>
      <c r="AB155" s="11">
        <f>TableDailySummary[[#This Row],[Inversión google ads]]+TableDailySummary[[#This Row],[Inversión meta ads]]</f>
        <v>0</v>
      </c>
      <c r="AC155" s="11">
        <f>TableDailySummary[[#This Row],[Ventas google ads]]+TableDailySummary[[#This Row],[Ventas meta ads]]</f>
        <v>0</v>
      </c>
      <c r="AD155" s="14">
        <f>IFERROR(TableDailySummary[[#This Row],[Ventas publicidad]]/TableDailySummary[[#This Row],[Inversión publicidad]],0)</f>
        <v>0</v>
      </c>
      <c r="AE155" s="14">
        <f>IFERROR(TableDailySummary[[#This Row],[Ventas primer cliente]]/TableDailySummary[[#This Row],[Inversión publicidad]],0)</f>
        <v>0</v>
      </c>
      <c r="AF155" s="14"/>
      <c r="AG155" s="11"/>
      <c r="AM155" s="11">
        <f>_xlfn.XLOOKUP(TableDailySummary[[#This Row],[Fecha]],SummaryDaily[day],SummaryDaily[net_sales_with_cost_recorded],0)</f>
        <v>0</v>
      </c>
      <c r="AN155" s="11">
        <f>_xlfn.XLOOKUP(TableDailySummary[[#This Row],[Fecha]],SummaryDaily[day],SummaryDaily[cost_of_goods_sold],0)</f>
        <v>0</v>
      </c>
      <c r="AO155" s="11">
        <f>_xlfn.XLOOKUP(TableDailySummary[[#This Row],[Fecha]],SummaryDaily[day],SummaryDaily[gross_profit],0)</f>
        <v>0</v>
      </c>
      <c r="AP155" s="18">
        <f>IFERROR(TableDailySummary[[#This Row],[Utilidad bruta]]/TableDailySummary[[#This Row],[Ventas netas con costo registrado]],0)</f>
        <v>0</v>
      </c>
    </row>
    <row r="156" spans="2:42" x14ac:dyDescent="0.2">
      <c r="B156" s="15" cm="1">
        <f t="array" ref="B156">ParamFechaInicioReporte + (ROW(TableDailySummary[#This Row]) - ROW(TableDailySummary[[#Headers],[Dia]]) - 1)</f>
        <v>44683</v>
      </c>
      <c r="C156" s="6">
        <f>TableDailySummary[[#This Row],[Dia]]</f>
        <v>44683</v>
      </c>
      <c r="D156" s="11">
        <f>_xlfn.XLOOKUP(TableDailySummary[[#This Row],[Fecha]],SummaryDaily[day],SummaryDaily[net_sales],0)</f>
        <v>0</v>
      </c>
      <c r="E156" s="11">
        <f>_xlfn.XLOOKUP(TableDailySummary[[#This Row],[Fecha]],SummaryDaily[day],SummaryDaily[orders],0)</f>
        <v>0</v>
      </c>
      <c r="F156" s="11">
        <f>_xlfn.XLOOKUP(TableDailySummary[[#This Row],[Fecha]],SummaryDaily[day],SummaryDaily[average_order_value],0)</f>
        <v>0</v>
      </c>
      <c r="G156" s="24" cm="1">
        <f t="array" ref="G156">_xlfn.XLOOKUP(TableDailySummary[[#This Row],[Fecha]]&amp;"Total site",ConversionRateByReferral[day]&amp;ConversionRateByReferral[referrer_source],ConversionRateByReferral[conversion_rate],0)</f>
        <v>0</v>
      </c>
      <c r="H156" s="11">
        <f>TableDailySummary[[#This Row],[Órden promedio totales]]*TableDailySummary[[#This Row],[CR totales]]</f>
        <v>0</v>
      </c>
      <c r="I156" s="11">
        <f>_xlfn.XLOOKUP(TableDailySummary[[#This Row],[Fecha]],SummaryDaily[day],SummaryDaily[new_net_sales],0)</f>
        <v>0</v>
      </c>
      <c r="J156" s="11">
        <f>_xlfn.XLOOKUP(TableDailySummary[[#This Row],[Fecha]],SummaryDaily[day],SummaryDaily[new_orders],0)</f>
        <v>0</v>
      </c>
      <c r="K156" s="11">
        <f>_xlfn.XLOOKUP(TableDailySummary[[#This Row],[Fecha]],SummaryDaily[day],SummaryDaily[new_average_order_value],0)</f>
        <v>0</v>
      </c>
      <c r="L156" s="11">
        <f>_xlfn.XLOOKUP(TableDailySummary[[#This Row],[Fecha]],SummaryDaily[day],SummaryDaily[Online Store_net_sales],0)</f>
        <v>0</v>
      </c>
      <c r="M156" s="11">
        <f>_xlfn.XLOOKUP(TableDailySummary[[#This Row],[Fecha]],SummaryDaily[day],SummaryDaily[Online Store_orders],0)</f>
        <v>0</v>
      </c>
      <c r="N156" s="11">
        <f>_xlfn.XLOOKUP(TableDailySummary[[#This Row],[Fecha]],SummaryDaily[day],SummaryDaily[Online Store_average_order_value],0)</f>
        <v>0</v>
      </c>
      <c r="O156" s="11">
        <f>_xlfn.XLOOKUP(TableDailySummary[[#This Row],[Fecha]],SummaryDaily[day],SummaryDaily[Tienda 81_net_sales],0)</f>
        <v>0</v>
      </c>
      <c r="P156" s="11">
        <f>_xlfn.XLOOKUP(TableDailySummary[[#This Row],[Fecha]],SummaryDaily[day],SummaryDaily[Tienda 81_orders],0)</f>
        <v>0</v>
      </c>
      <c r="Q156" s="11">
        <f>_xlfn.XLOOKUP(TableDailySummary[[#This Row],[Fecha]],SummaryDaily[day],SummaryDaily[Tienda 81_average_order_value],0)</f>
        <v>0</v>
      </c>
      <c r="R156" s="11">
        <f>_xlfn.XLOOKUP(TableDailySummary[[#This Row],[Fecha]],SummaryDaily[day],SummaryDaily[Rappi_net_sales],0)</f>
        <v>0</v>
      </c>
      <c r="S156" s="11">
        <f>_xlfn.XLOOKUP(TableDailySummary[[#This Row],[Fecha]],SummaryDaily[day],SummaryDaily[Rappi_orders],0)</f>
        <v>0</v>
      </c>
      <c r="T156" s="11">
        <f>_xlfn.XLOOKUP(TableDailySummary[[#This Row],[Fecha]],SummaryDaily[day],SummaryDaily[Rappi_average_order_value],0)</f>
        <v>0</v>
      </c>
      <c r="U156" s="11">
        <f>_xlfn.XLOOKUP(TableDailySummary[[#This Row],[Fecha]],SummaryDaily[day],SummaryDaily[Corporativo no tienda_net_sales],0)</f>
        <v>0</v>
      </c>
      <c r="V156" s="11">
        <f>_xlfn.XLOOKUP(TableDailySummary[[#This Row],[Fecha]],SummaryDaily[day],SummaryDaily[Corporativo no tienda_orders],0)</f>
        <v>0</v>
      </c>
      <c r="W156" s="11">
        <f>_xlfn.XLOOKUP(TableDailySummary[[#This Row],[Fecha]],SummaryDaily[day],SummaryDaily[Corporativo no tienda_average_order_value],0)</f>
        <v>0</v>
      </c>
      <c r="X156" s="11">
        <f>_xlfn.XLOOKUP(TableDailySummary[[#This Row],[Fecha]],SummaryDaily[day],SummaryDaily[GoogleAdsOperation.Cost],0)</f>
        <v>0</v>
      </c>
      <c r="Y156" s="11">
        <f>SUMIFS(SalesByUTMDaily[google],SalesByUTMDaily[day],TableDailySummary[[#This Row],[Fecha]])</f>
        <v>0</v>
      </c>
      <c r="Z156" s="11">
        <f>_xlfn.XLOOKUP(TableDailySummary[[#This Row],[Fecha]],SummaryDaily[day],SummaryDaily[MetaAdsOperation.spend],0)</f>
        <v>0</v>
      </c>
      <c r="AA156" s="11">
        <f>SUMIFS(SalesByUTMDaily[facebook],SalesByUTMDaily[day],TableDailySummary[[#This Row],[Fecha]])</f>
        <v>0</v>
      </c>
      <c r="AB156" s="11">
        <f>TableDailySummary[[#This Row],[Inversión google ads]]+TableDailySummary[[#This Row],[Inversión meta ads]]</f>
        <v>0</v>
      </c>
      <c r="AC156" s="11">
        <f>TableDailySummary[[#This Row],[Ventas google ads]]+TableDailySummary[[#This Row],[Ventas meta ads]]</f>
        <v>0</v>
      </c>
      <c r="AD156" s="14">
        <f>IFERROR(TableDailySummary[[#This Row],[Ventas publicidad]]/TableDailySummary[[#This Row],[Inversión publicidad]],0)</f>
        <v>0</v>
      </c>
      <c r="AE156" s="14">
        <f>IFERROR(TableDailySummary[[#This Row],[Ventas primer cliente]]/TableDailySummary[[#This Row],[Inversión publicidad]],0)</f>
        <v>0</v>
      </c>
      <c r="AF156" s="14"/>
      <c r="AG156" s="11"/>
      <c r="AM156" s="11">
        <f>_xlfn.XLOOKUP(TableDailySummary[[#This Row],[Fecha]],SummaryDaily[day],SummaryDaily[net_sales_with_cost_recorded],0)</f>
        <v>0</v>
      </c>
      <c r="AN156" s="11">
        <f>_xlfn.XLOOKUP(TableDailySummary[[#This Row],[Fecha]],SummaryDaily[day],SummaryDaily[cost_of_goods_sold],0)</f>
        <v>0</v>
      </c>
      <c r="AO156" s="11">
        <f>_xlfn.XLOOKUP(TableDailySummary[[#This Row],[Fecha]],SummaryDaily[day],SummaryDaily[gross_profit],0)</f>
        <v>0</v>
      </c>
      <c r="AP156" s="18">
        <f>IFERROR(TableDailySummary[[#This Row],[Utilidad bruta]]/TableDailySummary[[#This Row],[Ventas netas con costo registrado]],0)</f>
        <v>0</v>
      </c>
    </row>
    <row r="157" spans="2:42" x14ac:dyDescent="0.2">
      <c r="B157" s="15" cm="1">
        <f t="array" ref="B157">ParamFechaInicioReporte + (ROW(TableDailySummary[#This Row]) - ROW(TableDailySummary[[#Headers],[Dia]]) - 1)</f>
        <v>44684</v>
      </c>
      <c r="C157" s="6">
        <f>TableDailySummary[[#This Row],[Dia]]</f>
        <v>44684</v>
      </c>
      <c r="D157" s="11">
        <f>_xlfn.XLOOKUP(TableDailySummary[[#This Row],[Fecha]],SummaryDaily[day],SummaryDaily[net_sales],0)</f>
        <v>0</v>
      </c>
      <c r="E157" s="11">
        <f>_xlfn.XLOOKUP(TableDailySummary[[#This Row],[Fecha]],SummaryDaily[day],SummaryDaily[orders],0)</f>
        <v>0</v>
      </c>
      <c r="F157" s="11">
        <f>_xlfn.XLOOKUP(TableDailySummary[[#This Row],[Fecha]],SummaryDaily[day],SummaryDaily[average_order_value],0)</f>
        <v>0</v>
      </c>
      <c r="G157" s="24" cm="1">
        <f t="array" ref="G157">_xlfn.XLOOKUP(TableDailySummary[[#This Row],[Fecha]]&amp;"Total site",ConversionRateByReferral[day]&amp;ConversionRateByReferral[referrer_source],ConversionRateByReferral[conversion_rate],0)</f>
        <v>0</v>
      </c>
      <c r="H157" s="11">
        <f>TableDailySummary[[#This Row],[Órden promedio totales]]*TableDailySummary[[#This Row],[CR totales]]</f>
        <v>0</v>
      </c>
      <c r="I157" s="11">
        <f>_xlfn.XLOOKUP(TableDailySummary[[#This Row],[Fecha]],SummaryDaily[day],SummaryDaily[new_net_sales],0)</f>
        <v>0</v>
      </c>
      <c r="J157" s="11">
        <f>_xlfn.XLOOKUP(TableDailySummary[[#This Row],[Fecha]],SummaryDaily[day],SummaryDaily[new_orders],0)</f>
        <v>0</v>
      </c>
      <c r="K157" s="11">
        <f>_xlfn.XLOOKUP(TableDailySummary[[#This Row],[Fecha]],SummaryDaily[day],SummaryDaily[new_average_order_value],0)</f>
        <v>0</v>
      </c>
      <c r="L157" s="11">
        <f>_xlfn.XLOOKUP(TableDailySummary[[#This Row],[Fecha]],SummaryDaily[day],SummaryDaily[Online Store_net_sales],0)</f>
        <v>0</v>
      </c>
      <c r="M157" s="11">
        <f>_xlfn.XLOOKUP(TableDailySummary[[#This Row],[Fecha]],SummaryDaily[day],SummaryDaily[Online Store_orders],0)</f>
        <v>0</v>
      </c>
      <c r="N157" s="11">
        <f>_xlfn.XLOOKUP(TableDailySummary[[#This Row],[Fecha]],SummaryDaily[day],SummaryDaily[Online Store_average_order_value],0)</f>
        <v>0</v>
      </c>
      <c r="O157" s="11">
        <f>_xlfn.XLOOKUP(TableDailySummary[[#This Row],[Fecha]],SummaryDaily[day],SummaryDaily[Tienda 81_net_sales],0)</f>
        <v>0</v>
      </c>
      <c r="P157" s="11">
        <f>_xlfn.XLOOKUP(TableDailySummary[[#This Row],[Fecha]],SummaryDaily[day],SummaryDaily[Tienda 81_orders],0)</f>
        <v>0</v>
      </c>
      <c r="Q157" s="11">
        <f>_xlfn.XLOOKUP(TableDailySummary[[#This Row],[Fecha]],SummaryDaily[day],SummaryDaily[Tienda 81_average_order_value],0)</f>
        <v>0</v>
      </c>
      <c r="R157" s="11">
        <f>_xlfn.XLOOKUP(TableDailySummary[[#This Row],[Fecha]],SummaryDaily[day],SummaryDaily[Rappi_net_sales],0)</f>
        <v>0</v>
      </c>
      <c r="S157" s="11">
        <f>_xlfn.XLOOKUP(TableDailySummary[[#This Row],[Fecha]],SummaryDaily[day],SummaryDaily[Rappi_orders],0)</f>
        <v>0</v>
      </c>
      <c r="T157" s="11">
        <f>_xlfn.XLOOKUP(TableDailySummary[[#This Row],[Fecha]],SummaryDaily[day],SummaryDaily[Rappi_average_order_value],0)</f>
        <v>0</v>
      </c>
      <c r="U157" s="11">
        <f>_xlfn.XLOOKUP(TableDailySummary[[#This Row],[Fecha]],SummaryDaily[day],SummaryDaily[Corporativo no tienda_net_sales],0)</f>
        <v>0</v>
      </c>
      <c r="V157" s="11">
        <f>_xlfn.XLOOKUP(TableDailySummary[[#This Row],[Fecha]],SummaryDaily[day],SummaryDaily[Corporativo no tienda_orders],0)</f>
        <v>0</v>
      </c>
      <c r="W157" s="11">
        <f>_xlfn.XLOOKUP(TableDailySummary[[#This Row],[Fecha]],SummaryDaily[day],SummaryDaily[Corporativo no tienda_average_order_value],0)</f>
        <v>0</v>
      </c>
      <c r="X157" s="11">
        <f>_xlfn.XLOOKUP(TableDailySummary[[#This Row],[Fecha]],SummaryDaily[day],SummaryDaily[GoogleAdsOperation.Cost],0)</f>
        <v>0</v>
      </c>
      <c r="Y157" s="11">
        <f>SUMIFS(SalesByUTMDaily[google],SalesByUTMDaily[day],TableDailySummary[[#This Row],[Fecha]])</f>
        <v>0</v>
      </c>
      <c r="Z157" s="11">
        <f>_xlfn.XLOOKUP(TableDailySummary[[#This Row],[Fecha]],SummaryDaily[day],SummaryDaily[MetaAdsOperation.spend],0)</f>
        <v>0</v>
      </c>
      <c r="AA157" s="11">
        <f>SUMIFS(SalesByUTMDaily[facebook],SalesByUTMDaily[day],TableDailySummary[[#This Row],[Fecha]])</f>
        <v>0</v>
      </c>
      <c r="AB157" s="11">
        <f>TableDailySummary[[#This Row],[Inversión google ads]]+TableDailySummary[[#This Row],[Inversión meta ads]]</f>
        <v>0</v>
      </c>
      <c r="AC157" s="11">
        <f>TableDailySummary[[#This Row],[Ventas google ads]]+TableDailySummary[[#This Row],[Ventas meta ads]]</f>
        <v>0</v>
      </c>
      <c r="AD157" s="14">
        <f>IFERROR(TableDailySummary[[#This Row],[Ventas publicidad]]/TableDailySummary[[#This Row],[Inversión publicidad]],0)</f>
        <v>0</v>
      </c>
      <c r="AE157" s="14">
        <f>IFERROR(TableDailySummary[[#This Row],[Ventas primer cliente]]/TableDailySummary[[#This Row],[Inversión publicidad]],0)</f>
        <v>0</v>
      </c>
      <c r="AF157" s="14"/>
      <c r="AG157" s="11"/>
      <c r="AM157" s="11">
        <f>_xlfn.XLOOKUP(TableDailySummary[[#This Row],[Fecha]],SummaryDaily[day],SummaryDaily[net_sales_with_cost_recorded],0)</f>
        <v>0</v>
      </c>
      <c r="AN157" s="11">
        <f>_xlfn.XLOOKUP(TableDailySummary[[#This Row],[Fecha]],SummaryDaily[day],SummaryDaily[cost_of_goods_sold],0)</f>
        <v>0</v>
      </c>
      <c r="AO157" s="11">
        <f>_xlfn.XLOOKUP(TableDailySummary[[#This Row],[Fecha]],SummaryDaily[day],SummaryDaily[gross_profit],0)</f>
        <v>0</v>
      </c>
      <c r="AP157" s="18">
        <f>IFERROR(TableDailySummary[[#This Row],[Utilidad bruta]]/TableDailySummary[[#This Row],[Ventas netas con costo registrado]],0)</f>
        <v>0</v>
      </c>
    </row>
    <row r="158" spans="2:42" x14ac:dyDescent="0.2">
      <c r="B158" s="15" cm="1">
        <f t="array" ref="B158">ParamFechaInicioReporte + (ROW(TableDailySummary[#This Row]) - ROW(TableDailySummary[[#Headers],[Dia]]) - 1)</f>
        <v>44685</v>
      </c>
      <c r="C158" s="6">
        <f>TableDailySummary[[#This Row],[Dia]]</f>
        <v>44685</v>
      </c>
      <c r="D158" s="11">
        <f>_xlfn.XLOOKUP(TableDailySummary[[#This Row],[Fecha]],SummaryDaily[day],SummaryDaily[net_sales],0)</f>
        <v>0</v>
      </c>
      <c r="E158" s="11">
        <f>_xlfn.XLOOKUP(TableDailySummary[[#This Row],[Fecha]],SummaryDaily[day],SummaryDaily[orders],0)</f>
        <v>0</v>
      </c>
      <c r="F158" s="11">
        <f>_xlfn.XLOOKUP(TableDailySummary[[#This Row],[Fecha]],SummaryDaily[day],SummaryDaily[average_order_value],0)</f>
        <v>0</v>
      </c>
      <c r="G158" s="24" cm="1">
        <f t="array" ref="G158">_xlfn.XLOOKUP(TableDailySummary[[#This Row],[Fecha]]&amp;"Total site",ConversionRateByReferral[day]&amp;ConversionRateByReferral[referrer_source],ConversionRateByReferral[conversion_rate],0)</f>
        <v>0</v>
      </c>
      <c r="H158" s="11">
        <f>TableDailySummary[[#This Row],[Órden promedio totales]]*TableDailySummary[[#This Row],[CR totales]]</f>
        <v>0</v>
      </c>
      <c r="I158" s="11">
        <f>_xlfn.XLOOKUP(TableDailySummary[[#This Row],[Fecha]],SummaryDaily[day],SummaryDaily[new_net_sales],0)</f>
        <v>0</v>
      </c>
      <c r="J158" s="11">
        <f>_xlfn.XLOOKUP(TableDailySummary[[#This Row],[Fecha]],SummaryDaily[day],SummaryDaily[new_orders],0)</f>
        <v>0</v>
      </c>
      <c r="K158" s="11">
        <f>_xlfn.XLOOKUP(TableDailySummary[[#This Row],[Fecha]],SummaryDaily[day],SummaryDaily[new_average_order_value],0)</f>
        <v>0</v>
      </c>
      <c r="L158" s="11">
        <f>_xlfn.XLOOKUP(TableDailySummary[[#This Row],[Fecha]],SummaryDaily[day],SummaryDaily[Online Store_net_sales],0)</f>
        <v>0</v>
      </c>
      <c r="M158" s="11">
        <f>_xlfn.XLOOKUP(TableDailySummary[[#This Row],[Fecha]],SummaryDaily[day],SummaryDaily[Online Store_orders],0)</f>
        <v>0</v>
      </c>
      <c r="N158" s="11">
        <f>_xlfn.XLOOKUP(TableDailySummary[[#This Row],[Fecha]],SummaryDaily[day],SummaryDaily[Online Store_average_order_value],0)</f>
        <v>0</v>
      </c>
      <c r="O158" s="11">
        <f>_xlfn.XLOOKUP(TableDailySummary[[#This Row],[Fecha]],SummaryDaily[day],SummaryDaily[Tienda 81_net_sales],0)</f>
        <v>0</v>
      </c>
      <c r="P158" s="11">
        <f>_xlfn.XLOOKUP(TableDailySummary[[#This Row],[Fecha]],SummaryDaily[day],SummaryDaily[Tienda 81_orders],0)</f>
        <v>0</v>
      </c>
      <c r="Q158" s="11">
        <f>_xlfn.XLOOKUP(TableDailySummary[[#This Row],[Fecha]],SummaryDaily[day],SummaryDaily[Tienda 81_average_order_value],0)</f>
        <v>0</v>
      </c>
      <c r="R158" s="11">
        <f>_xlfn.XLOOKUP(TableDailySummary[[#This Row],[Fecha]],SummaryDaily[day],SummaryDaily[Rappi_net_sales],0)</f>
        <v>0</v>
      </c>
      <c r="S158" s="11">
        <f>_xlfn.XLOOKUP(TableDailySummary[[#This Row],[Fecha]],SummaryDaily[day],SummaryDaily[Rappi_orders],0)</f>
        <v>0</v>
      </c>
      <c r="T158" s="11">
        <f>_xlfn.XLOOKUP(TableDailySummary[[#This Row],[Fecha]],SummaryDaily[day],SummaryDaily[Rappi_average_order_value],0)</f>
        <v>0</v>
      </c>
      <c r="U158" s="11">
        <f>_xlfn.XLOOKUP(TableDailySummary[[#This Row],[Fecha]],SummaryDaily[day],SummaryDaily[Corporativo no tienda_net_sales],0)</f>
        <v>0</v>
      </c>
      <c r="V158" s="11">
        <f>_xlfn.XLOOKUP(TableDailySummary[[#This Row],[Fecha]],SummaryDaily[day],SummaryDaily[Corporativo no tienda_orders],0)</f>
        <v>0</v>
      </c>
      <c r="W158" s="11">
        <f>_xlfn.XLOOKUP(TableDailySummary[[#This Row],[Fecha]],SummaryDaily[day],SummaryDaily[Corporativo no tienda_average_order_value],0)</f>
        <v>0</v>
      </c>
      <c r="X158" s="11">
        <f>_xlfn.XLOOKUP(TableDailySummary[[#This Row],[Fecha]],SummaryDaily[day],SummaryDaily[GoogleAdsOperation.Cost],0)</f>
        <v>0</v>
      </c>
      <c r="Y158" s="11">
        <f>SUMIFS(SalesByUTMDaily[google],SalesByUTMDaily[day],TableDailySummary[[#This Row],[Fecha]])</f>
        <v>0</v>
      </c>
      <c r="Z158" s="11">
        <f>_xlfn.XLOOKUP(TableDailySummary[[#This Row],[Fecha]],SummaryDaily[day],SummaryDaily[MetaAdsOperation.spend],0)</f>
        <v>0</v>
      </c>
      <c r="AA158" s="11">
        <f>SUMIFS(SalesByUTMDaily[facebook],SalesByUTMDaily[day],TableDailySummary[[#This Row],[Fecha]])</f>
        <v>0</v>
      </c>
      <c r="AB158" s="11">
        <f>TableDailySummary[[#This Row],[Inversión google ads]]+TableDailySummary[[#This Row],[Inversión meta ads]]</f>
        <v>0</v>
      </c>
      <c r="AC158" s="11">
        <f>TableDailySummary[[#This Row],[Ventas google ads]]+TableDailySummary[[#This Row],[Ventas meta ads]]</f>
        <v>0</v>
      </c>
      <c r="AD158" s="14">
        <f>IFERROR(TableDailySummary[[#This Row],[Ventas publicidad]]/TableDailySummary[[#This Row],[Inversión publicidad]],0)</f>
        <v>0</v>
      </c>
      <c r="AE158" s="14">
        <f>IFERROR(TableDailySummary[[#This Row],[Ventas primer cliente]]/TableDailySummary[[#This Row],[Inversión publicidad]],0)</f>
        <v>0</v>
      </c>
      <c r="AF158" s="14"/>
      <c r="AG158" s="11"/>
      <c r="AM158" s="11">
        <f>_xlfn.XLOOKUP(TableDailySummary[[#This Row],[Fecha]],SummaryDaily[day],SummaryDaily[net_sales_with_cost_recorded],0)</f>
        <v>0</v>
      </c>
      <c r="AN158" s="11">
        <f>_xlfn.XLOOKUP(TableDailySummary[[#This Row],[Fecha]],SummaryDaily[day],SummaryDaily[cost_of_goods_sold],0)</f>
        <v>0</v>
      </c>
      <c r="AO158" s="11">
        <f>_xlfn.XLOOKUP(TableDailySummary[[#This Row],[Fecha]],SummaryDaily[day],SummaryDaily[gross_profit],0)</f>
        <v>0</v>
      </c>
      <c r="AP158" s="18">
        <f>IFERROR(TableDailySummary[[#This Row],[Utilidad bruta]]/TableDailySummary[[#This Row],[Ventas netas con costo registrado]],0)</f>
        <v>0</v>
      </c>
    </row>
    <row r="159" spans="2:42" x14ac:dyDescent="0.2">
      <c r="B159" s="15" cm="1">
        <f t="array" ref="B159">ParamFechaInicioReporte + (ROW(TableDailySummary[#This Row]) - ROW(TableDailySummary[[#Headers],[Dia]]) - 1)</f>
        <v>44686</v>
      </c>
      <c r="C159" s="6">
        <f>TableDailySummary[[#This Row],[Dia]]</f>
        <v>44686</v>
      </c>
      <c r="D159" s="11">
        <f>_xlfn.XLOOKUP(TableDailySummary[[#This Row],[Fecha]],SummaryDaily[day],SummaryDaily[net_sales],0)</f>
        <v>0</v>
      </c>
      <c r="E159" s="11">
        <f>_xlfn.XLOOKUP(TableDailySummary[[#This Row],[Fecha]],SummaryDaily[day],SummaryDaily[orders],0)</f>
        <v>0</v>
      </c>
      <c r="F159" s="11">
        <f>_xlfn.XLOOKUP(TableDailySummary[[#This Row],[Fecha]],SummaryDaily[day],SummaryDaily[average_order_value],0)</f>
        <v>0</v>
      </c>
      <c r="G159" s="24" cm="1">
        <f t="array" ref="G159">_xlfn.XLOOKUP(TableDailySummary[[#This Row],[Fecha]]&amp;"Total site",ConversionRateByReferral[day]&amp;ConversionRateByReferral[referrer_source],ConversionRateByReferral[conversion_rate],0)</f>
        <v>0</v>
      </c>
      <c r="H159" s="11">
        <f>TableDailySummary[[#This Row],[Órden promedio totales]]*TableDailySummary[[#This Row],[CR totales]]</f>
        <v>0</v>
      </c>
      <c r="I159" s="11">
        <f>_xlfn.XLOOKUP(TableDailySummary[[#This Row],[Fecha]],SummaryDaily[day],SummaryDaily[new_net_sales],0)</f>
        <v>0</v>
      </c>
      <c r="J159" s="11">
        <f>_xlfn.XLOOKUP(TableDailySummary[[#This Row],[Fecha]],SummaryDaily[day],SummaryDaily[new_orders],0)</f>
        <v>0</v>
      </c>
      <c r="K159" s="11">
        <f>_xlfn.XLOOKUP(TableDailySummary[[#This Row],[Fecha]],SummaryDaily[day],SummaryDaily[new_average_order_value],0)</f>
        <v>0</v>
      </c>
      <c r="L159" s="11">
        <f>_xlfn.XLOOKUP(TableDailySummary[[#This Row],[Fecha]],SummaryDaily[day],SummaryDaily[Online Store_net_sales],0)</f>
        <v>0</v>
      </c>
      <c r="M159" s="11">
        <f>_xlfn.XLOOKUP(TableDailySummary[[#This Row],[Fecha]],SummaryDaily[day],SummaryDaily[Online Store_orders],0)</f>
        <v>0</v>
      </c>
      <c r="N159" s="11">
        <f>_xlfn.XLOOKUP(TableDailySummary[[#This Row],[Fecha]],SummaryDaily[day],SummaryDaily[Online Store_average_order_value],0)</f>
        <v>0</v>
      </c>
      <c r="O159" s="11">
        <f>_xlfn.XLOOKUP(TableDailySummary[[#This Row],[Fecha]],SummaryDaily[day],SummaryDaily[Tienda 81_net_sales],0)</f>
        <v>0</v>
      </c>
      <c r="P159" s="11">
        <f>_xlfn.XLOOKUP(TableDailySummary[[#This Row],[Fecha]],SummaryDaily[day],SummaryDaily[Tienda 81_orders],0)</f>
        <v>0</v>
      </c>
      <c r="Q159" s="11">
        <f>_xlfn.XLOOKUP(TableDailySummary[[#This Row],[Fecha]],SummaryDaily[day],SummaryDaily[Tienda 81_average_order_value],0)</f>
        <v>0</v>
      </c>
      <c r="R159" s="11">
        <f>_xlfn.XLOOKUP(TableDailySummary[[#This Row],[Fecha]],SummaryDaily[day],SummaryDaily[Rappi_net_sales],0)</f>
        <v>0</v>
      </c>
      <c r="S159" s="11">
        <f>_xlfn.XLOOKUP(TableDailySummary[[#This Row],[Fecha]],SummaryDaily[day],SummaryDaily[Rappi_orders],0)</f>
        <v>0</v>
      </c>
      <c r="T159" s="11">
        <f>_xlfn.XLOOKUP(TableDailySummary[[#This Row],[Fecha]],SummaryDaily[day],SummaryDaily[Rappi_average_order_value],0)</f>
        <v>0</v>
      </c>
      <c r="U159" s="11">
        <f>_xlfn.XLOOKUP(TableDailySummary[[#This Row],[Fecha]],SummaryDaily[day],SummaryDaily[Corporativo no tienda_net_sales],0)</f>
        <v>0</v>
      </c>
      <c r="V159" s="11">
        <f>_xlfn.XLOOKUP(TableDailySummary[[#This Row],[Fecha]],SummaryDaily[day],SummaryDaily[Corporativo no tienda_orders],0)</f>
        <v>0</v>
      </c>
      <c r="W159" s="11">
        <f>_xlfn.XLOOKUP(TableDailySummary[[#This Row],[Fecha]],SummaryDaily[day],SummaryDaily[Corporativo no tienda_average_order_value],0)</f>
        <v>0</v>
      </c>
      <c r="X159" s="11">
        <f>_xlfn.XLOOKUP(TableDailySummary[[#This Row],[Fecha]],SummaryDaily[day],SummaryDaily[GoogleAdsOperation.Cost],0)</f>
        <v>0</v>
      </c>
      <c r="Y159" s="11">
        <f>SUMIFS(SalesByUTMDaily[google],SalesByUTMDaily[day],TableDailySummary[[#This Row],[Fecha]])</f>
        <v>0</v>
      </c>
      <c r="Z159" s="11">
        <f>_xlfn.XLOOKUP(TableDailySummary[[#This Row],[Fecha]],SummaryDaily[day],SummaryDaily[MetaAdsOperation.spend],0)</f>
        <v>0</v>
      </c>
      <c r="AA159" s="11">
        <f>SUMIFS(SalesByUTMDaily[facebook],SalesByUTMDaily[day],TableDailySummary[[#This Row],[Fecha]])</f>
        <v>0</v>
      </c>
      <c r="AB159" s="11">
        <f>TableDailySummary[[#This Row],[Inversión google ads]]+TableDailySummary[[#This Row],[Inversión meta ads]]</f>
        <v>0</v>
      </c>
      <c r="AC159" s="11">
        <f>TableDailySummary[[#This Row],[Ventas google ads]]+TableDailySummary[[#This Row],[Ventas meta ads]]</f>
        <v>0</v>
      </c>
      <c r="AD159" s="14">
        <f>IFERROR(TableDailySummary[[#This Row],[Ventas publicidad]]/TableDailySummary[[#This Row],[Inversión publicidad]],0)</f>
        <v>0</v>
      </c>
      <c r="AE159" s="14">
        <f>IFERROR(TableDailySummary[[#This Row],[Ventas primer cliente]]/TableDailySummary[[#This Row],[Inversión publicidad]],0)</f>
        <v>0</v>
      </c>
      <c r="AF159" s="14"/>
      <c r="AG159" s="11"/>
      <c r="AM159" s="11">
        <f>_xlfn.XLOOKUP(TableDailySummary[[#This Row],[Fecha]],SummaryDaily[day],SummaryDaily[net_sales_with_cost_recorded],0)</f>
        <v>0</v>
      </c>
      <c r="AN159" s="11">
        <f>_xlfn.XLOOKUP(TableDailySummary[[#This Row],[Fecha]],SummaryDaily[day],SummaryDaily[cost_of_goods_sold],0)</f>
        <v>0</v>
      </c>
      <c r="AO159" s="11">
        <f>_xlfn.XLOOKUP(TableDailySummary[[#This Row],[Fecha]],SummaryDaily[day],SummaryDaily[gross_profit],0)</f>
        <v>0</v>
      </c>
      <c r="AP159" s="18">
        <f>IFERROR(TableDailySummary[[#This Row],[Utilidad bruta]]/TableDailySummary[[#This Row],[Ventas netas con costo registrado]],0)</f>
        <v>0</v>
      </c>
    </row>
    <row r="160" spans="2:42" x14ac:dyDescent="0.2">
      <c r="B160" s="15" cm="1">
        <f t="array" ref="B160">ParamFechaInicioReporte + (ROW(TableDailySummary[#This Row]) - ROW(TableDailySummary[[#Headers],[Dia]]) - 1)</f>
        <v>44687</v>
      </c>
      <c r="C160" s="6">
        <f>TableDailySummary[[#This Row],[Dia]]</f>
        <v>44687</v>
      </c>
      <c r="D160" s="11">
        <f>_xlfn.XLOOKUP(TableDailySummary[[#This Row],[Fecha]],SummaryDaily[day],SummaryDaily[net_sales],0)</f>
        <v>0</v>
      </c>
      <c r="E160" s="11">
        <f>_xlfn.XLOOKUP(TableDailySummary[[#This Row],[Fecha]],SummaryDaily[day],SummaryDaily[orders],0)</f>
        <v>0</v>
      </c>
      <c r="F160" s="11">
        <f>_xlfn.XLOOKUP(TableDailySummary[[#This Row],[Fecha]],SummaryDaily[day],SummaryDaily[average_order_value],0)</f>
        <v>0</v>
      </c>
      <c r="G160" s="24" cm="1">
        <f t="array" ref="G160">_xlfn.XLOOKUP(TableDailySummary[[#This Row],[Fecha]]&amp;"Total site",ConversionRateByReferral[day]&amp;ConversionRateByReferral[referrer_source],ConversionRateByReferral[conversion_rate],0)</f>
        <v>0</v>
      </c>
      <c r="H160" s="11">
        <f>TableDailySummary[[#This Row],[Órden promedio totales]]*TableDailySummary[[#This Row],[CR totales]]</f>
        <v>0</v>
      </c>
      <c r="I160" s="11">
        <f>_xlfn.XLOOKUP(TableDailySummary[[#This Row],[Fecha]],SummaryDaily[day],SummaryDaily[new_net_sales],0)</f>
        <v>0</v>
      </c>
      <c r="J160" s="11">
        <f>_xlfn.XLOOKUP(TableDailySummary[[#This Row],[Fecha]],SummaryDaily[day],SummaryDaily[new_orders],0)</f>
        <v>0</v>
      </c>
      <c r="K160" s="11">
        <f>_xlfn.XLOOKUP(TableDailySummary[[#This Row],[Fecha]],SummaryDaily[day],SummaryDaily[new_average_order_value],0)</f>
        <v>0</v>
      </c>
      <c r="L160" s="11">
        <f>_xlfn.XLOOKUP(TableDailySummary[[#This Row],[Fecha]],SummaryDaily[day],SummaryDaily[Online Store_net_sales],0)</f>
        <v>0</v>
      </c>
      <c r="M160" s="11">
        <f>_xlfn.XLOOKUP(TableDailySummary[[#This Row],[Fecha]],SummaryDaily[day],SummaryDaily[Online Store_orders],0)</f>
        <v>0</v>
      </c>
      <c r="N160" s="11">
        <f>_xlfn.XLOOKUP(TableDailySummary[[#This Row],[Fecha]],SummaryDaily[day],SummaryDaily[Online Store_average_order_value],0)</f>
        <v>0</v>
      </c>
      <c r="O160" s="11">
        <f>_xlfn.XLOOKUP(TableDailySummary[[#This Row],[Fecha]],SummaryDaily[day],SummaryDaily[Tienda 81_net_sales],0)</f>
        <v>0</v>
      </c>
      <c r="P160" s="11">
        <f>_xlfn.XLOOKUP(TableDailySummary[[#This Row],[Fecha]],SummaryDaily[day],SummaryDaily[Tienda 81_orders],0)</f>
        <v>0</v>
      </c>
      <c r="Q160" s="11">
        <f>_xlfn.XLOOKUP(TableDailySummary[[#This Row],[Fecha]],SummaryDaily[day],SummaryDaily[Tienda 81_average_order_value],0)</f>
        <v>0</v>
      </c>
      <c r="R160" s="11">
        <f>_xlfn.XLOOKUP(TableDailySummary[[#This Row],[Fecha]],SummaryDaily[day],SummaryDaily[Rappi_net_sales],0)</f>
        <v>0</v>
      </c>
      <c r="S160" s="11">
        <f>_xlfn.XLOOKUP(TableDailySummary[[#This Row],[Fecha]],SummaryDaily[day],SummaryDaily[Rappi_orders],0)</f>
        <v>0</v>
      </c>
      <c r="T160" s="11">
        <f>_xlfn.XLOOKUP(TableDailySummary[[#This Row],[Fecha]],SummaryDaily[day],SummaryDaily[Rappi_average_order_value],0)</f>
        <v>0</v>
      </c>
      <c r="U160" s="11">
        <f>_xlfn.XLOOKUP(TableDailySummary[[#This Row],[Fecha]],SummaryDaily[day],SummaryDaily[Corporativo no tienda_net_sales],0)</f>
        <v>0</v>
      </c>
      <c r="V160" s="11">
        <f>_xlfn.XLOOKUP(TableDailySummary[[#This Row],[Fecha]],SummaryDaily[day],SummaryDaily[Corporativo no tienda_orders],0)</f>
        <v>0</v>
      </c>
      <c r="W160" s="11">
        <f>_xlfn.XLOOKUP(TableDailySummary[[#This Row],[Fecha]],SummaryDaily[day],SummaryDaily[Corporativo no tienda_average_order_value],0)</f>
        <v>0</v>
      </c>
      <c r="X160" s="11">
        <f>_xlfn.XLOOKUP(TableDailySummary[[#This Row],[Fecha]],SummaryDaily[day],SummaryDaily[GoogleAdsOperation.Cost],0)</f>
        <v>0</v>
      </c>
      <c r="Y160" s="11">
        <f>SUMIFS(SalesByUTMDaily[google],SalesByUTMDaily[day],TableDailySummary[[#This Row],[Fecha]])</f>
        <v>0</v>
      </c>
      <c r="Z160" s="11">
        <f>_xlfn.XLOOKUP(TableDailySummary[[#This Row],[Fecha]],SummaryDaily[day],SummaryDaily[MetaAdsOperation.spend],0)</f>
        <v>0</v>
      </c>
      <c r="AA160" s="11">
        <f>SUMIFS(SalesByUTMDaily[facebook],SalesByUTMDaily[day],TableDailySummary[[#This Row],[Fecha]])</f>
        <v>0</v>
      </c>
      <c r="AB160" s="11">
        <f>TableDailySummary[[#This Row],[Inversión google ads]]+TableDailySummary[[#This Row],[Inversión meta ads]]</f>
        <v>0</v>
      </c>
      <c r="AC160" s="11">
        <f>TableDailySummary[[#This Row],[Ventas google ads]]+TableDailySummary[[#This Row],[Ventas meta ads]]</f>
        <v>0</v>
      </c>
      <c r="AD160" s="14">
        <f>IFERROR(TableDailySummary[[#This Row],[Ventas publicidad]]/TableDailySummary[[#This Row],[Inversión publicidad]],0)</f>
        <v>0</v>
      </c>
      <c r="AE160" s="14">
        <f>IFERROR(TableDailySummary[[#This Row],[Ventas primer cliente]]/TableDailySummary[[#This Row],[Inversión publicidad]],0)</f>
        <v>0</v>
      </c>
      <c r="AF160" s="14"/>
      <c r="AG160" s="11"/>
      <c r="AM160" s="11">
        <f>_xlfn.XLOOKUP(TableDailySummary[[#This Row],[Fecha]],SummaryDaily[day],SummaryDaily[net_sales_with_cost_recorded],0)</f>
        <v>0</v>
      </c>
      <c r="AN160" s="11">
        <f>_xlfn.XLOOKUP(TableDailySummary[[#This Row],[Fecha]],SummaryDaily[day],SummaryDaily[cost_of_goods_sold],0)</f>
        <v>0</v>
      </c>
      <c r="AO160" s="11">
        <f>_xlfn.XLOOKUP(TableDailySummary[[#This Row],[Fecha]],SummaryDaily[day],SummaryDaily[gross_profit],0)</f>
        <v>0</v>
      </c>
      <c r="AP160" s="18">
        <f>IFERROR(TableDailySummary[[#This Row],[Utilidad bruta]]/TableDailySummary[[#This Row],[Ventas netas con costo registrado]],0)</f>
        <v>0</v>
      </c>
    </row>
    <row r="161" spans="2:42" x14ac:dyDescent="0.2">
      <c r="B161" s="15" cm="1">
        <f t="array" ref="B161">ParamFechaInicioReporte + (ROW(TableDailySummary[#This Row]) - ROW(TableDailySummary[[#Headers],[Dia]]) - 1)</f>
        <v>44688</v>
      </c>
      <c r="C161" s="6">
        <f>TableDailySummary[[#This Row],[Dia]]</f>
        <v>44688</v>
      </c>
      <c r="D161" s="11">
        <f>_xlfn.XLOOKUP(TableDailySummary[[#This Row],[Fecha]],SummaryDaily[day],SummaryDaily[net_sales],0)</f>
        <v>0</v>
      </c>
      <c r="E161" s="11">
        <f>_xlfn.XLOOKUP(TableDailySummary[[#This Row],[Fecha]],SummaryDaily[day],SummaryDaily[orders],0)</f>
        <v>0</v>
      </c>
      <c r="F161" s="11">
        <f>_xlfn.XLOOKUP(TableDailySummary[[#This Row],[Fecha]],SummaryDaily[day],SummaryDaily[average_order_value],0)</f>
        <v>0</v>
      </c>
      <c r="G161" s="24" cm="1">
        <f t="array" ref="G161">_xlfn.XLOOKUP(TableDailySummary[[#This Row],[Fecha]]&amp;"Total site",ConversionRateByReferral[day]&amp;ConversionRateByReferral[referrer_source],ConversionRateByReferral[conversion_rate],0)</f>
        <v>0</v>
      </c>
      <c r="H161" s="11">
        <f>TableDailySummary[[#This Row],[Órden promedio totales]]*TableDailySummary[[#This Row],[CR totales]]</f>
        <v>0</v>
      </c>
      <c r="I161" s="11">
        <f>_xlfn.XLOOKUP(TableDailySummary[[#This Row],[Fecha]],SummaryDaily[day],SummaryDaily[new_net_sales],0)</f>
        <v>0</v>
      </c>
      <c r="J161" s="11">
        <f>_xlfn.XLOOKUP(TableDailySummary[[#This Row],[Fecha]],SummaryDaily[day],SummaryDaily[new_orders],0)</f>
        <v>0</v>
      </c>
      <c r="K161" s="11">
        <f>_xlfn.XLOOKUP(TableDailySummary[[#This Row],[Fecha]],SummaryDaily[day],SummaryDaily[new_average_order_value],0)</f>
        <v>0</v>
      </c>
      <c r="L161" s="11">
        <f>_xlfn.XLOOKUP(TableDailySummary[[#This Row],[Fecha]],SummaryDaily[day],SummaryDaily[Online Store_net_sales],0)</f>
        <v>0</v>
      </c>
      <c r="M161" s="11">
        <f>_xlfn.XLOOKUP(TableDailySummary[[#This Row],[Fecha]],SummaryDaily[day],SummaryDaily[Online Store_orders],0)</f>
        <v>0</v>
      </c>
      <c r="N161" s="11">
        <f>_xlfn.XLOOKUP(TableDailySummary[[#This Row],[Fecha]],SummaryDaily[day],SummaryDaily[Online Store_average_order_value],0)</f>
        <v>0</v>
      </c>
      <c r="O161" s="11">
        <f>_xlfn.XLOOKUP(TableDailySummary[[#This Row],[Fecha]],SummaryDaily[day],SummaryDaily[Tienda 81_net_sales],0)</f>
        <v>0</v>
      </c>
      <c r="P161" s="11">
        <f>_xlfn.XLOOKUP(TableDailySummary[[#This Row],[Fecha]],SummaryDaily[day],SummaryDaily[Tienda 81_orders],0)</f>
        <v>0</v>
      </c>
      <c r="Q161" s="11">
        <f>_xlfn.XLOOKUP(TableDailySummary[[#This Row],[Fecha]],SummaryDaily[day],SummaryDaily[Tienda 81_average_order_value],0)</f>
        <v>0</v>
      </c>
      <c r="R161" s="11">
        <f>_xlfn.XLOOKUP(TableDailySummary[[#This Row],[Fecha]],SummaryDaily[day],SummaryDaily[Rappi_net_sales],0)</f>
        <v>0</v>
      </c>
      <c r="S161" s="11">
        <f>_xlfn.XLOOKUP(TableDailySummary[[#This Row],[Fecha]],SummaryDaily[day],SummaryDaily[Rappi_orders],0)</f>
        <v>0</v>
      </c>
      <c r="T161" s="11">
        <f>_xlfn.XLOOKUP(TableDailySummary[[#This Row],[Fecha]],SummaryDaily[day],SummaryDaily[Rappi_average_order_value],0)</f>
        <v>0</v>
      </c>
      <c r="U161" s="11">
        <f>_xlfn.XLOOKUP(TableDailySummary[[#This Row],[Fecha]],SummaryDaily[day],SummaryDaily[Corporativo no tienda_net_sales],0)</f>
        <v>0</v>
      </c>
      <c r="V161" s="11">
        <f>_xlfn.XLOOKUP(TableDailySummary[[#This Row],[Fecha]],SummaryDaily[day],SummaryDaily[Corporativo no tienda_orders],0)</f>
        <v>0</v>
      </c>
      <c r="W161" s="11">
        <f>_xlfn.XLOOKUP(TableDailySummary[[#This Row],[Fecha]],SummaryDaily[day],SummaryDaily[Corporativo no tienda_average_order_value],0)</f>
        <v>0</v>
      </c>
      <c r="X161" s="11">
        <f>_xlfn.XLOOKUP(TableDailySummary[[#This Row],[Fecha]],SummaryDaily[day],SummaryDaily[GoogleAdsOperation.Cost],0)</f>
        <v>0</v>
      </c>
      <c r="Y161" s="11">
        <f>SUMIFS(SalesByUTMDaily[google],SalesByUTMDaily[day],TableDailySummary[[#This Row],[Fecha]])</f>
        <v>0</v>
      </c>
      <c r="Z161" s="11">
        <f>_xlfn.XLOOKUP(TableDailySummary[[#This Row],[Fecha]],SummaryDaily[day],SummaryDaily[MetaAdsOperation.spend],0)</f>
        <v>0</v>
      </c>
      <c r="AA161" s="11">
        <f>SUMIFS(SalesByUTMDaily[facebook],SalesByUTMDaily[day],TableDailySummary[[#This Row],[Fecha]])</f>
        <v>0</v>
      </c>
      <c r="AB161" s="11">
        <f>TableDailySummary[[#This Row],[Inversión google ads]]+TableDailySummary[[#This Row],[Inversión meta ads]]</f>
        <v>0</v>
      </c>
      <c r="AC161" s="11">
        <f>TableDailySummary[[#This Row],[Ventas google ads]]+TableDailySummary[[#This Row],[Ventas meta ads]]</f>
        <v>0</v>
      </c>
      <c r="AD161" s="14">
        <f>IFERROR(TableDailySummary[[#This Row],[Ventas publicidad]]/TableDailySummary[[#This Row],[Inversión publicidad]],0)</f>
        <v>0</v>
      </c>
      <c r="AE161" s="14">
        <f>IFERROR(TableDailySummary[[#This Row],[Ventas primer cliente]]/TableDailySummary[[#This Row],[Inversión publicidad]],0)</f>
        <v>0</v>
      </c>
      <c r="AF161" s="14"/>
      <c r="AG161" s="11"/>
      <c r="AM161" s="11">
        <f>_xlfn.XLOOKUP(TableDailySummary[[#This Row],[Fecha]],SummaryDaily[day],SummaryDaily[net_sales_with_cost_recorded],0)</f>
        <v>0</v>
      </c>
      <c r="AN161" s="11">
        <f>_xlfn.XLOOKUP(TableDailySummary[[#This Row],[Fecha]],SummaryDaily[day],SummaryDaily[cost_of_goods_sold],0)</f>
        <v>0</v>
      </c>
      <c r="AO161" s="11">
        <f>_xlfn.XLOOKUP(TableDailySummary[[#This Row],[Fecha]],SummaryDaily[day],SummaryDaily[gross_profit],0)</f>
        <v>0</v>
      </c>
      <c r="AP161" s="18">
        <f>IFERROR(TableDailySummary[[#This Row],[Utilidad bruta]]/TableDailySummary[[#This Row],[Ventas netas con costo registrado]],0)</f>
        <v>0</v>
      </c>
    </row>
    <row r="162" spans="2:42" x14ac:dyDescent="0.2">
      <c r="B162" s="15" cm="1">
        <f t="array" ref="B162">ParamFechaInicioReporte + (ROW(TableDailySummary[#This Row]) - ROW(TableDailySummary[[#Headers],[Dia]]) - 1)</f>
        <v>44689</v>
      </c>
      <c r="C162" s="6">
        <f>TableDailySummary[[#This Row],[Dia]]</f>
        <v>44689</v>
      </c>
      <c r="D162" s="11">
        <f>_xlfn.XLOOKUP(TableDailySummary[[#This Row],[Fecha]],SummaryDaily[day],SummaryDaily[net_sales],0)</f>
        <v>0</v>
      </c>
      <c r="E162" s="11">
        <f>_xlfn.XLOOKUP(TableDailySummary[[#This Row],[Fecha]],SummaryDaily[day],SummaryDaily[orders],0)</f>
        <v>0</v>
      </c>
      <c r="F162" s="11">
        <f>_xlfn.XLOOKUP(TableDailySummary[[#This Row],[Fecha]],SummaryDaily[day],SummaryDaily[average_order_value],0)</f>
        <v>0</v>
      </c>
      <c r="G162" s="24" cm="1">
        <f t="array" ref="G162">_xlfn.XLOOKUP(TableDailySummary[[#This Row],[Fecha]]&amp;"Total site",ConversionRateByReferral[day]&amp;ConversionRateByReferral[referrer_source],ConversionRateByReferral[conversion_rate],0)</f>
        <v>0</v>
      </c>
      <c r="H162" s="11">
        <f>TableDailySummary[[#This Row],[Órden promedio totales]]*TableDailySummary[[#This Row],[CR totales]]</f>
        <v>0</v>
      </c>
      <c r="I162" s="11">
        <f>_xlfn.XLOOKUP(TableDailySummary[[#This Row],[Fecha]],SummaryDaily[day],SummaryDaily[new_net_sales],0)</f>
        <v>0</v>
      </c>
      <c r="J162" s="11">
        <f>_xlfn.XLOOKUP(TableDailySummary[[#This Row],[Fecha]],SummaryDaily[day],SummaryDaily[new_orders],0)</f>
        <v>0</v>
      </c>
      <c r="K162" s="11">
        <f>_xlfn.XLOOKUP(TableDailySummary[[#This Row],[Fecha]],SummaryDaily[day],SummaryDaily[new_average_order_value],0)</f>
        <v>0</v>
      </c>
      <c r="L162" s="11">
        <f>_xlfn.XLOOKUP(TableDailySummary[[#This Row],[Fecha]],SummaryDaily[day],SummaryDaily[Online Store_net_sales],0)</f>
        <v>0</v>
      </c>
      <c r="M162" s="11">
        <f>_xlfn.XLOOKUP(TableDailySummary[[#This Row],[Fecha]],SummaryDaily[day],SummaryDaily[Online Store_orders],0)</f>
        <v>0</v>
      </c>
      <c r="N162" s="11">
        <f>_xlfn.XLOOKUP(TableDailySummary[[#This Row],[Fecha]],SummaryDaily[day],SummaryDaily[Online Store_average_order_value],0)</f>
        <v>0</v>
      </c>
      <c r="O162" s="11">
        <f>_xlfn.XLOOKUP(TableDailySummary[[#This Row],[Fecha]],SummaryDaily[day],SummaryDaily[Tienda 81_net_sales],0)</f>
        <v>0</v>
      </c>
      <c r="P162" s="11">
        <f>_xlfn.XLOOKUP(TableDailySummary[[#This Row],[Fecha]],SummaryDaily[day],SummaryDaily[Tienda 81_orders],0)</f>
        <v>0</v>
      </c>
      <c r="Q162" s="11">
        <f>_xlfn.XLOOKUP(TableDailySummary[[#This Row],[Fecha]],SummaryDaily[day],SummaryDaily[Tienda 81_average_order_value],0)</f>
        <v>0</v>
      </c>
      <c r="R162" s="11">
        <f>_xlfn.XLOOKUP(TableDailySummary[[#This Row],[Fecha]],SummaryDaily[day],SummaryDaily[Rappi_net_sales],0)</f>
        <v>0</v>
      </c>
      <c r="S162" s="11">
        <f>_xlfn.XLOOKUP(TableDailySummary[[#This Row],[Fecha]],SummaryDaily[day],SummaryDaily[Rappi_orders],0)</f>
        <v>0</v>
      </c>
      <c r="T162" s="11">
        <f>_xlfn.XLOOKUP(TableDailySummary[[#This Row],[Fecha]],SummaryDaily[day],SummaryDaily[Rappi_average_order_value],0)</f>
        <v>0</v>
      </c>
      <c r="U162" s="11">
        <f>_xlfn.XLOOKUP(TableDailySummary[[#This Row],[Fecha]],SummaryDaily[day],SummaryDaily[Corporativo no tienda_net_sales],0)</f>
        <v>0</v>
      </c>
      <c r="V162" s="11">
        <f>_xlfn.XLOOKUP(TableDailySummary[[#This Row],[Fecha]],SummaryDaily[day],SummaryDaily[Corporativo no tienda_orders],0)</f>
        <v>0</v>
      </c>
      <c r="W162" s="11">
        <f>_xlfn.XLOOKUP(TableDailySummary[[#This Row],[Fecha]],SummaryDaily[day],SummaryDaily[Corporativo no tienda_average_order_value],0)</f>
        <v>0</v>
      </c>
      <c r="X162" s="11">
        <f>_xlfn.XLOOKUP(TableDailySummary[[#This Row],[Fecha]],SummaryDaily[day],SummaryDaily[GoogleAdsOperation.Cost],0)</f>
        <v>0</v>
      </c>
      <c r="Y162" s="11">
        <f>SUMIFS(SalesByUTMDaily[google],SalesByUTMDaily[day],TableDailySummary[[#This Row],[Fecha]])</f>
        <v>0</v>
      </c>
      <c r="Z162" s="11">
        <f>_xlfn.XLOOKUP(TableDailySummary[[#This Row],[Fecha]],SummaryDaily[day],SummaryDaily[MetaAdsOperation.spend],0)</f>
        <v>0</v>
      </c>
      <c r="AA162" s="11">
        <f>SUMIFS(SalesByUTMDaily[facebook],SalesByUTMDaily[day],TableDailySummary[[#This Row],[Fecha]])</f>
        <v>0</v>
      </c>
      <c r="AB162" s="11">
        <f>TableDailySummary[[#This Row],[Inversión google ads]]+TableDailySummary[[#This Row],[Inversión meta ads]]</f>
        <v>0</v>
      </c>
      <c r="AC162" s="11">
        <f>TableDailySummary[[#This Row],[Ventas google ads]]+TableDailySummary[[#This Row],[Ventas meta ads]]</f>
        <v>0</v>
      </c>
      <c r="AD162" s="14">
        <f>IFERROR(TableDailySummary[[#This Row],[Ventas publicidad]]/TableDailySummary[[#This Row],[Inversión publicidad]],0)</f>
        <v>0</v>
      </c>
      <c r="AE162" s="14">
        <f>IFERROR(TableDailySummary[[#This Row],[Ventas primer cliente]]/TableDailySummary[[#This Row],[Inversión publicidad]],0)</f>
        <v>0</v>
      </c>
      <c r="AF162" s="14"/>
      <c r="AG162" s="11"/>
      <c r="AM162" s="11">
        <f>_xlfn.XLOOKUP(TableDailySummary[[#This Row],[Fecha]],SummaryDaily[day],SummaryDaily[net_sales_with_cost_recorded],0)</f>
        <v>0</v>
      </c>
      <c r="AN162" s="11">
        <f>_xlfn.XLOOKUP(TableDailySummary[[#This Row],[Fecha]],SummaryDaily[day],SummaryDaily[cost_of_goods_sold],0)</f>
        <v>0</v>
      </c>
      <c r="AO162" s="11">
        <f>_xlfn.XLOOKUP(TableDailySummary[[#This Row],[Fecha]],SummaryDaily[day],SummaryDaily[gross_profit],0)</f>
        <v>0</v>
      </c>
      <c r="AP162" s="18">
        <f>IFERROR(TableDailySummary[[#This Row],[Utilidad bruta]]/TableDailySummary[[#This Row],[Ventas netas con costo registrado]],0)</f>
        <v>0</v>
      </c>
    </row>
    <row r="163" spans="2:42" x14ac:dyDescent="0.2">
      <c r="B163" s="15" cm="1">
        <f t="array" ref="B163">ParamFechaInicioReporte + (ROW(TableDailySummary[#This Row]) - ROW(TableDailySummary[[#Headers],[Dia]]) - 1)</f>
        <v>44690</v>
      </c>
      <c r="C163" s="6">
        <f>TableDailySummary[[#This Row],[Dia]]</f>
        <v>44690</v>
      </c>
      <c r="D163" s="11">
        <f>_xlfn.XLOOKUP(TableDailySummary[[#This Row],[Fecha]],SummaryDaily[day],SummaryDaily[net_sales],0)</f>
        <v>0</v>
      </c>
      <c r="E163" s="11">
        <f>_xlfn.XLOOKUP(TableDailySummary[[#This Row],[Fecha]],SummaryDaily[day],SummaryDaily[orders],0)</f>
        <v>0</v>
      </c>
      <c r="F163" s="11">
        <f>_xlfn.XLOOKUP(TableDailySummary[[#This Row],[Fecha]],SummaryDaily[day],SummaryDaily[average_order_value],0)</f>
        <v>0</v>
      </c>
      <c r="G163" s="24" cm="1">
        <f t="array" ref="G163">_xlfn.XLOOKUP(TableDailySummary[[#This Row],[Fecha]]&amp;"Total site",ConversionRateByReferral[day]&amp;ConversionRateByReferral[referrer_source],ConversionRateByReferral[conversion_rate],0)</f>
        <v>0</v>
      </c>
      <c r="H163" s="11">
        <f>TableDailySummary[[#This Row],[Órden promedio totales]]*TableDailySummary[[#This Row],[CR totales]]</f>
        <v>0</v>
      </c>
      <c r="I163" s="11">
        <f>_xlfn.XLOOKUP(TableDailySummary[[#This Row],[Fecha]],SummaryDaily[day],SummaryDaily[new_net_sales],0)</f>
        <v>0</v>
      </c>
      <c r="J163" s="11">
        <f>_xlfn.XLOOKUP(TableDailySummary[[#This Row],[Fecha]],SummaryDaily[day],SummaryDaily[new_orders],0)</f>
        <v>0</v>
      </c>
      <c r="K163" s="11">
        <f>_xlfn.XLOOKUP(TableDailySummary[[#This Row],[Fecha]],SummaryDaily[day],SummaryDaily[new_average_order_value],0)</f>
        <v>0</v>
      </c>
      <c r="L163" s="11">
        <f>_xlfn.XLOOKUP(TableDailySummary[[#This Row],[Fecha]],SummaryDaily[day],SummaryDaily[Online Store_net_sales],0)</f>
        <v>0</v>
      </c>
      <c r="M163" s="11">
        <f>_xlfn.XLOOKUP(TableDailySummary[[#This Row],[Fecha]],SummaryDaily[day],SummaryDaily[Online Store_orders],0)</f>
        <v>0</v>
      </c>
      <c r="N163" s="11">
        <f>_xlfn.XLOOKUP(TableDailySummary[[#This Row],[Fecha]],SummaryDaily[day],SummaryDaily[Online Store_average_order_value],0)</f>
        <v>0</v>
      </c>
      <c r="O163" s="11">
        <f>_xlfn.XLOOKUP(TableDailySummary[[#This Row],[Fecha]],SummaryDaily[day],SummaryDaily[Tienda 81_net_sales],0)</f>
        <v>0</v>
      </c>
      <c r="P163" s="11">
        <f>_xlfn.XLOOKUP(TableDailySummary[[#This Row],[Fecha]],SummaryDaily[day],SummaryDaily[Tienda 81_orders],0)</f>
        <v>0</v>
      </c>
      <c r="Q163" s="11">
        <f>_xlfn.XLOOKUP(TableDailySummary[[#This Row],[Fecha]],SummaryDaily[day],SummaryDaily[Tienda 81_average_order_value],0)</f>
        <v>0</v>
      </c>
      <c r="R163" s="11">
        <f>_xlfn.XLOOKUP(TableDailySummary[[#This Row],[Fecha]],SummaryDaily[day],SummaryDaily[Rappi_net_sales],0)</f>
        <v>0</v>
      </c>
      <c r="S163" s="11">
        <f>_xlfn.XLOOKUP(TableDailySummary[[#This Row],[Fecha]],SummaryDaily[day],SummaryDaily[Rappi_orders],0)</f>
        <v>0</v>
      </c>
      <c r="T163" s="11">
        <f>_xlfn.XLOOKUP(TableDailySummary[[#This Row],[Fecha]],SummaryDaily[day],SummaryDaily[Rappi_average_order_value],0)</f>
        <v>0</v>
      </c>
      <c r="U163" s="11">
        <f>_xlfn.XLOOKUP(TableDailySummary[[#This Row],[Fecha]],SummaryDaily[day],SummaryDaily[Corporativo no tienda_net_sales],0)</f>
        <v>0</v>
      </c>
      <c r="V163" s="11">
        <f>_xlfn.XLOOKUP(TableDailySummary[[#This Row],[Fecha]],SummaryDaily[day],SummaryDaily[Corporativo no tienda_orders],0)</f>
        <v>0</v>
      </c>
      <c r="W163" s="11">
        <f>_xlfn.XLOOKUP(TableDailySummary[[#This Row],[Fecha]],SummaryDaily[day],SummaryDaily[Corporativo no tienda_average_order_value],0)</f>
        <v>0</v>
      </c>
      <c r="X163" s="11">
        <f>_xlfn.XLOOKUP(TableDailySummary[[#This Row],[Fecha]],SummaryDaily[day],SummaryDaily[GoogleAdsOperation.Cost],0)</f>
        <v>0</v>
      </c>
      <c r="Y163" s="11">
        <f>SUMIFS(SalesByUTMDaily[google],SalesByUTMDaily[day],TableDailySummary[[#This Row],[Fecha]])</f>
        <v>0</v>
      </c>
      <c r="Z163" s="11">
        <f>_xlfn.XLOOKUP(TableDailySummary[[#This Row],[Fecha]],SummaryDaily[day],SummaryDaily[MetaAdsOperation.spend],0)</f>
        <v>0</v>
      </c>
      <c r="AA163" s="11">
        <f>SUMIFS(SalesByUTMDaily[facebook],SalesByUTMDaily[day],TableDailySummary[[#This Row],[Fecha]])</f>
        <v>0</v>
      </c>
      <c r="AB163" s="11">
        <f>TableDailySummary[[#This Row],[Inversión google ads]]+TableDailySummary[[#This Row],[Inversión meta ads]]</f>
        <v>0</v>
      </c>
      <c r="AC163" s="11">
        <f>TableDailySummary[[#This Row],[Ventas google ads]]+TableDailySummary[[#This Row],[Ventas meta ads]]</f>
        <v>0</v>
      </c>
      <c r="AD163" s="14">
        <f>IFERROR(TableDailySummary[[#This Row],[Ventas publicidad]]/TableDailySummary[[#This Row],[Inversión publicidad]],0)</f>
        <v>0</v>
      </c>
      <c r="AE163" s="14">
        <f>IFERROR(TableDailySummary[[#This Row],[Ventas primer cliente]]/TableDailySummary[[#This Row],[Inversión publicidad]],0)</f>
        <v>0</v>
      </c>
      <c r="AF163" s="14"/>
      <c r="AG163" s="11"/>
      <c r="AM163" s="11">
        <f>_xlfn.XLOOKUP(TableDailySummary[[#This Row],[Fecha]],SummaryDaily[day],SummaryDaily[net_sales_with_cost_recorded],0)</f>
        <v>0</v>
      </c>
      <c r="AN163" s="11">
        <f>_xlfn.XLOOKUP(TableDailySummary[[#This Row],[Fecha]],SummaryDaily[day],SummaryDaily[cost_of_goods_sold],0)</f>
        <v>0</v>
      </c>
      <c r="AO163" s="11">
        <f>_xlfn.XLOOKUP(TableDailySummary[[#This Row],[Fecha]],SummaryDaily[day],SummaryDaily[gross_profit],0)</f>
        <v>0</v>
      </c>
      <c r="AP163" s="18">
        <f>IFERROR(TableDailySummary[[#This Row],[Utilidad bruta]]/TableDailySummary[[#This Row],[Ventas netas con costo registrado]],0)</f>
        <v>0</v>
      </c>
    </row>
    <row r="164" spans="2:42" x14ac:dyDescent="0.2">
      <c r="B164" s="15" cm="1">
        <f t="array" ref="B164">ParamFechaInicioReporte + (ROW(TableDailySummary[#This Row]) - ROW(TableDailySummary[[#Headers],[Dia]]) - 1)</f>
        <v>44691</v>
      </c>
      <c r="C164" s="6">
        <f>TableDailySummary[[#This Row],[Dia]]</f>
        <v>44691</v>
      </c>
      <c r="D164" s="11">
        <f>_xlfn.XLOOKUP(TableDailySummary[[#This Row],[Fecha]],SummaryDaily[day],SummaryDaily[net_sales],0)</f>
        <v>0</v>
      </c>
      <c r="E164" s="11">
        <f>_xlfn.XLOOKUP(TableDailySummary[[#This Row],[Fecha]],SummaryDaily[day],SummaryDaily[orders],0)</f>
        <v>0</v>
      </c>
      <c r="F164" s="11">
        <f>_xlfn.XLOOKUP(TableDailySummary[[#This Row],[Fecha]],SummaryDaily[day],SummaryDaily[average_order_value],0)</f>
        <v>0</v>
      </c>
      <c r="G164" s="24" cm="1">
        <f t="array" ref="G164">_xlfn.XLOOKUP(TableDailySummary[[#This Row],[Fecha]]&amp;"Total site",ConversionRateByReferral[day]&amp;ConversionRateByReferral[referrer_source],ConversionRateByReferral[conversion_rate],0)</f>
        <v>0</v>
      </c>
      <c r="H164" s="11">
        <f>TableDailySummary[[#This Row],[Órden promedio totales]]*TableDailySummary[[#This Row],[CR totales]]</f>
        <v>0</v>
      </c>
      <c r="I164" s="11">
        <f>_xlfn.XLOOKUP(TableDailySummary[[#This Row],[Fecha]],SummaryDaily[day],SummaryDaily[new_net_sales],0)</f>
        <v>0</v>
      </c>
      <c r="J164" s="11">
        <f>_xlfn.XLOOKUP(TableDailySummary[[#This Row],[Fecha]],SummaryDaily[day],SummaryDaily[new_orders],0)</f>
        <v>0</v>
      </c>
      <c r="K164" s="11">
        <f>_xlfn.XLOOKUP(TableDailySummary[[#This Row],[Fecha]],SummaryDaily[day],SummaryDaily[new_average_order_value],0)</f>
        <v>0</v>
      </c>
      <c r="L164" s="11">
        <f>_xlfn.XLOOKUP(TableDailySummary[[#This Row],[Fecha]],SummaryDaily[day],SummaryDaily[Online Store_net_sales],0)</f>
        <v>0</v>
      </c>
      <c r="M164" s="11">
        <f>_xlfn.XLOOKUP(TableDailySummary[[#This Row],[Fecha]],SummaryDaily[day],SummaryDaily[Online Store_orders],0)</f>
        <v>0</v>
      </c>
      <c r="N164" s="11">
        <f>_xlfn.XLOOKUP(TableDailySummary[[#This Row],[Fecha]],SummaryDaily[day],SummaryDaily[Online Store_average_order_value],0)</f>
        <v>0</v>
      </c>
      <c r="O164" s="11">
        <f>_xlfn.XLOOKUP(TableDailySummary[[#This Row],[Fecha]],SummaryDaily[day],SummaryDaily[Tienda 81_net_sales],0)</f>
        <v>0</v>
      </c>
      <c r="P164" s="11">
        <f>_xlfn.XLOOKUP(TableDailySummary[[#This Row],[Fecha]],SummaryDaily[day],SummaryDaily[Tienda 81_orders],0)</f>
        <v>0</v>
      </c>
      <c r="Q164" s="11">
        <f>_xlfn.XLOOKUP(TableDailySummary[[#This Row],[Fecha]],SummaryDaily[day],SummaryDaily[Tienda 81_average_order_value],0)</f>
        <v>0</v>
      </c>
      <c r="R164" s="11">
        <f>_xlfn.XLOOKUP(TableDailySummary[[#This Row],[Fecha]],SummaryDaily[day],SummaryDaily[Rappi_net_sales],0)</f>
        <v>0</v>
      </c>
      <c r="S164" s="11">
        <f>_xlfn.XLOOKUP(TableDailySummary[[#This Row],[Fecha]],SummaryDaily[day],SummaryDaily[Rappi_orders],0)</f>
        <v>0</v>
      </c>
      <c r="T164" s="11">
        <f>_xlfn.XLOOKUP(TableDailySummary[[#This Row],[Fecha]],SummaryDaily[day],SummaryDaily[Rappi_average_order_value],0)</f>
        <v>0</v>
      </c>
      <c r="U164" s="11">
        <f>_xlfn.XLOOKUP(TableDailySummary[[#This Row],[Fecha]],SummaryDaily[day],SummaryDaily[Corporativo no tienda_net_sales],0)</f>
        <v>0</v>
      </c>
      <c r="V164" s="11">
        <f>_xlfn.XLOOKUP(TableDailySummary[[#This Row],[Fecha]],SummaryDaily[day],SummaryDaily[Corporativo no tienda_orders],0)</f>
        <v>0</v>
      </c>
      <c r="W164" s="11">
        <f>_xlfn.XLOOKUP(TableDailySummary[[#This Row],[Fecha]],SummaryDaily[day],SummaryDaily[Corporativo no tienda_average_order_value],0)</f>
        <v>0</v>
      </c>
      <c r="X164" s="11">
        <f>_xlfn.XLOOKUP(TableDailySummary[[#This Row],[Fecha]],SummaryDaily[day],SummaryDaily[GoogleAdsOperation.Cost],0)</f>
        <v>0</v>
      </c>
      <c r="Y164" s="11">
        <f>SUMIFS(SalesByUTMDaily[google],SalesByUTMDaily[day],TableDailySummary[[#This Row],[Fecha]])</f>
        <v>0</v>
      </c>
      <c r="Z164" s="11">
        <f>_xlfn.XLOOKUP(TableDailySummary[[#This Row],[Fecha]],SummaryDaily[day],SummaryDaily[MetaAdsOperation.spend],0)</f>
        <v>0</v>
      </c>
      <c r="AA164" s="11">
        <f>SUMIFS(SalesByUTMDaily[facebook],SalesByUTMDaily[day],TableDailySummary[[#This Row],[Fecha]])</f>
        <v>0</v>
      </c>
      <c r="AB164" s="11">
        <f>TableDailySummary[[#This Row],[Inversión google ads]]+TableDailySummary[[#This Row],[Inversión meta ads]]</f>
        <v>0</v>
      </c>
      <c r="AC164" s="11">
        <f>TableDailySummary[[#This Row],[Ventas google ads]]+TableDailySummary[[#This Row],[Ventas meta ads]]</f>
        <v>0</v>
      </c>
      <c r="AD164" s="14">
        <f>IFERROR(TableDailySummary[[#This Row],[Ventas publicidad]]/TableDailySummary[[#This Row],[Inversión publicidad]],0)</f>
        <v>0</v>
      </c>
      <c r="AE164" s="14">
        <f>IFERROR(TableDailySummary[[#This Row],[Ventas primer cliente]]/TableDailySummary[[#This Row],[Inversión publicidad]],0)</f>
        <v>0</v>
      </c>
      <c r="AF164" s="14"/>
      <c r="AG164" s="11"/>
      <c r="AM164" s="11">
        <f>_xlfn.XLOOKUP(TableDailySummary[[#This Row],[Fecha]],SummaryDaily[day],SummaryDaily[net_sales_with_cost_recorded],0)</f>
        <v>0</v>
      </c>
      <c r="AN164" s="11">
        <f>_xlfn.XLOOKUP(TableDailySummary[[#This Row],[Fecha]],SummaryDaily[day],SummaryDaily[cost_of_goods_sold],0)</f>
        <v>0</v>
      </c>
      <c r="AO164" s="11">
        <f>_xlfn.XLOOKUP(TableDailySummary[[#This Row],[Fecha]],SummaryDaily[day],SummaryDaily[gross_profit],0)</f>
        <v>0</v>
      </c>
      <c r="AP164" s="18">
        <f>IFERROR(TableDailySummary[[#This Row],[Utilidad bruta]]/TableDailySummary[[#This Row],[Ventas netas con costo registrado]],0)</f>
        <v>0</v>
      </c>
    </row>
    <row r="165" spans="2:42" x14ac:dyDescent="0.2">
      <c r="B165" s="15" cm="1">
        <f t="array" ref="B165">ParamFechaInicioReporte + (ROW(TableDailySummary[#This Row]) - ROW(TableDailySummary[[#Headers],[Dia]]) - 1)</f>
        <v>44692</v>
      </c>
      <c r="C165" s="6">
        <f>TableDailySummary[[#This Row],[Dia]]</f>
        <v>44692</v>
      </c>
      <c r="D165" s="11">
        <f>_xlfn.XLOOKUP(TableDailySummary[[#This Row],[Fecha]],SummaryDaily[day],SummaryDaily[net_sales],0)</f>
        <v>0</v>
      </c>
      <c r="E165" s="11">
        <f>_xlfn.XLOOKUP(TableDailySummary[[#This Row],[Fecha]],SummaryDaily[day],SummaryDaily[orders],0)</f>
        <v>0</v>
      </c>
      <c r="F165" s="11">
        <f>_xlfn.XLOOKUP(TableDailySummary[[#This Row],[Fecha]],SummaryDaily[day],SummaryDaily[average_order_value],0)</f>
        <v>0</v>
      </c>
      <c r="G165" s="24" cm="1">
        <f t="array" ref="G165">_xlfn.XLOOKUP(TableDailySummary[[#This Row],[Fecha]]&amp;"Total site",ConversionRateByReferral[day]&amp;ConversionRateByReferral[referrer_source],ConversionRateByReferral[conversion_rate],0)</f>
        <v>0</v>
      </c>
      <c r="H165" s="11">
        <f>TableDailySummary[[#This Row],[Órden promedio totales]]*TableDailySummary[[#This Row],[CR totales]]</f>
        <v>0</v>
      </c>
      <c r="I165" s="11">
        <f>_xlfn.XLOOKUP(TableDailySummary[[#This Row],[Fecha]],SummaryDaily[day],SummaryDaily[new_net_sales],0)</f>
        <v>0</v>
      </c>
      <c r="J165" s="11">
        <f>_xlfn.XLOOKUP(TableDailySummary[[#This Row],[Fecha]],SummaryDaily[day],SummaryDaily[new_orders],0)</f>
        <v>0</v>
      </c>
      <c r="K165" s="11">
        <f>_xlfn.XLOOKUP(TableDailySummary[[#This Row],[Fecha]],SummaryDaily[day],SummaryDaily[new_average_order_value],0)</f>
        <v>0</v>
      </c>
      <c r="L165" s="11">
        <f>_xlfn.XLOOKUP(TableDailySummary[[#This Row],[Fecha]],SummaryDaily[day],SummaryDaily[Online Store_net_sales],0)</f>
        <v>0</v>
      </c>
      <c r="M165" s="11">
        <f>_xlfn.XLOOKUP(TableDailySummary[[#This Row],[Fecha]],SummaryDaily[day],SummaryDaily[Online Store_orders],0)</f>
        <v>0</v>
      </c>
      <c r="N165" s="11">
        <f>_xlfn.XLOOKUP(TableDailySummary[[#This Row],[Fecha]],SummaryDaily[day],SummaryDaily[Online Store_average_order_value],0)</f>
        <v>0</v>
      </c>
      <c r="O165" s="11">
        <f>_xlfn.XLOOKUP(TableDailySummary[[#This Row],[Fecha]],SummaryDaily[day],SummaryDaily[Tienda 81_net_sales],0)</f>
        <v>0</v>
      </c>
      <c r="P165" s="11">
        <f>_xlfn.XLOOKUP(TableDailySummary[[#This Row],[Fecha]],SummaryDaily[day],SummaryDaily[Tienda 81_orders],0)</f>
        <v>0</v>
      </c>
      <c r="Q165" s="11">
        <f>_xlfn.XLOOKUP(TableDailySummary[[#This Row],[Fecha]],SummaryDaily[day],SummaryDaily[Tienda 81_average_order_value],0)</f>
        <v>0</v>
      </c>
      <c r="R165" s="11">
        <f>_xlfn.XLOOKUP(TableDailySummary[[#This Row],[Fecha]],SummaryDaily[day],SummaryDaily[Rappi_net_sales],0)</f>
        <v>0</v>
      </c>
      <c r="S165" s="11">
        <f>_xlfn.XLOOKUP(TableDailySummary[[#This Row],[Fecha]],SummaryDaily[day],SummaryDaily[Rappi_orders],0)</f>
        <v>0</v>
      </c>
      <c r="T165" s="11">
        <f>_xlfn.XLOOKUP(TableDailySummary[[#This Row],[Fecha]],SummaryDaily[day],SummaryDaily[Rappi_average_order_value],0)</f>
        <v>0</v>
      </c>
      <c r="U165" s="11">
        <f>_xlfn.XLOOKUP(TableDailySummary[[#This Row],[Fecha]],SummaryDaily[day],SummaryDaily[Corporativo no tienda_net_sales],0)</f>
        <v>0</v>
      </c>
      <c r="V165" s="11">
        <f>_xlfn.XLOOKUP(TableDailySummary[[#This Row],[Fecha]],SummaryDaily[day],SummaryDaily[Corporativo no tienda_orders],0)</f>
        <v>0</v>
      </c>
      <c r="W165" s="11">
        <f>_xlfn.XLOOKUP(TableDailySummary[[#This Row],[Fecha]],SummaryDaily[day],SummaryDaily[Corporativo no tienda_average_order_value],0)</f>
        <v>0</v>
      </c>
      <c r="X165" s="11">
        <f>_xlfn.XLOOKUP(TableDailySummary[[#This Row],[Fecha]],SummaryDaily[day],SummaryDaily[GoogleAdsOperation.Cost],0)</f>
        <v>0</v>
      </c>
      <c r="Y165" s="11">
        <f>SUMIFS(SalesByUTMDaily[google],SalesByUTMDaily[day],TableDailySummary[[#This Row],[Fecha]])</f>
        <v>0</v>
      </c>
      <c r="Z165" s="11">
        <f>_xlfn.XLOOKUP(TableDailySummary[[#This Row],[Fecha]],SummaryDaily[day],SummaryDaily[MetaAdsOperation.spend],0)</f>
        <v>0</v>
      </c>
      <c r="AA165" s="11">
        <f>SUMIFS(SalesByUTMDaily[facebook],SalesByUTMDaily[day],TableDailySummary[[#This Row],[Fecha]])</f>
        <v>0</v>
      </c>
      <c r="AB165" s="11">
        <f>TableDailySummary[[#This Row],[Inversión google ads]]+TableDailySummary[[#This Row],[Inversión meta ads]]</f>
        <v>0</v>
      </c>
      <c r="AC165" s="11">
        <f>TableDailySummary[[#This Row],[Ventas google ads]]+TableDailySummary[[#This Row],[Ventas meta ads]]</f>
        <v>0</v>
      </c>
      <c r="AD165" s="14">
        <f>IFERROR(TableDailySummary[[#This Row],[Ventas publicidad]]/TableDailySummary[[#This Row],[Inversión publicidad]],0)</f>
        <v>0</v>
      </c>
      <c r="AE165" s="14">
        <f>IFERROR(TableDailySummary[[#This Row],[Ventas primer cliente]]/TableDailySummary[[#This Row],[Inversión publicidad]],0)</f>
        <v>0</v>
      </c>
      <c r="AF165" s="14"/>
      <c r="AG165" s="11"/>
      <c r="AM165" s="11">
        <f>_xlfn.XLOOKUP(TableDailySummary[[#This Row],[Fecha]],SummaryDaily[day],SummaryDaily[net_sales_with_cost_recorded],0)</f>
        <v>0</v>
      </c>
      <c r="AN165" s="11">
        <f>_xlfn.XLOOKUP(TableDailySummary[[#This Row],[Fecha]],SummaryDaily[day],SummaryDaily[cost_of_goods_sold],0)</f>
        <v>0</v>
      </c>
      <c r="AO165" s="11">
        <f>_xlfn.XLOOKUP(TableDailySummary[[#This Row],[Fecha]],SummaryDaily[day],SummaryDaily[gross_profit],0)</f>
        <v>0</v>
      </c>
      <c r="AP165" s="18">
        <f>IFERROR(TableDailySummary[[#This Row],[Utilidad bruta]]/TableDailySummary[[#This Row],[Ventas netas con costo registrado]],0)</f>
        <v>0</v>
      </c>
    </row>
    <row r="166" spans="2:42" x14ac:dyDescent="0.2">
      <c r="B166" s="15" cm="1">
        <f t="array" ref="B166">ParamFechaInicioReporte + (ROW(TableDailySummary[#This Row]) - ROW(TableDailySummary[[#Headers],[Dia]]) - 1)</f>
        <v>44693</v>
      </c>
      <c r="C166" s="6">
        <f>TableDailySummary[[#This Row],[Dia]]</f>
        <v>44693</v>
      </c>
      <c r="D166" s="11">
        <f>_xlfn.XLOOKUP(TableDailySummary[[#This Row],[Fecha]],SummaryDaily[day],SummaryDaily[net_sales],0)</f>
        <v>0</v>
      </c>
      <c r="E166" s="11">
        <f>_xlfn.XLOOKUP(TableDailySummary[[#This Row],[Fecha]],SummaryDaily[day],SummaryDaily[orders],0)</f>
        <v>0</v>
      </c>
      <c r="F166" s="11">
        <f>_xlfn.XLOOKUP(TableDailySummary[[#This Row],[Fecha]],SummaryDaily[day],SummaryDaily[average_order_value],0)</f>
        <v>0</v>
      </c>
      <c r="G166" s="24" cm="1">
        <f t="array" ref="G166">_xlfn.XLOOKUP(TableDailySummary[[#This Row],[Fecha]]&amp;"Total site",ConversionRateByReferral[day]&amp;ConversionRateByReferral[referrer_source],ConversionRateByReferral[conversion_rate],0)</f>
        <v>0</v>
      </c>
      <c r="H166" s="11">
        <f>TableDailySummary[[#This Row],[Órden promedio totales]]*TableDailySummary[[#This Row],[CR totales]]</f>
        <v>0</v>
      </c>
      <c r="I166" s="11">
        <f>_xlfn.XLOOKUP(TableDailySummary[[#This Row],[Fecha]],SummaryDaily[day],SummaryDaily[new_net_sales],0)</f>
        <v>0</v>
      </c>
      <c r="J166" s="11">
        <f>_xlfn.XLOOKUP(TableDailySummary[[#This Row],[Fecha]],SummaryDaily[day],SummaryDaily[new_orders],0)</f>
        <v>0</v>
      </c>
      <c r="K166" s="11">
        <f>_xlfn.XLOOKUP(TableDailySummary[[#This Row],[Fecha]],SummaryDaily[day],SummaryDaily[new_average_order_value],0)</f>
        <v>0</v>
      </c>
      <c r="L166" s="11">
        <f>_xlfn.XLOOKUP(TableDailySummary[[#This Row],[Fecha]],SummaryDaily[day],SummaryDaily[Online Store_net_sales],0)</f>
        <v>0</v>
      </c>
      <c r="M166" s="11">
        <f>_xlfn.XLOOKUP(TableDailySummary[[#This Row],[Fecha]],SummaryDaily[day],SummaryDaily[Online Store_orders],0)</f>
        <v>0</v>
      </c>
      <c r="N166" s="11">
        <f>_xlfn.XLOOKUP(TableDailySummary[[#This Row],[Fecha]],SummaryDaily[day],SummaryDaily[Online Store_average_order_value],0)</f>
        <v>0</v>
      </c>
      <c r="O166" s="11">
        <f>_xlfn.XLOOKUP(TableDailySummary[[#This Row],[Fecha]],SummaryDaily[day],SummaryDaily[Tienda 81_net_sales],0)</f>
        <v>0</v>
      </c>
      <c r="P166" s="11">
        <f>_xlfn.XLOOKUP(TableDailySummary[[#This Row],[Fecha]],SummaryDaily[day],SummaryDaily[Tienda 81_orders],0)</f>
        <v>0</v>
      </c>
      <c r="Q166" s="11">
        <f>_xlfn.XLOOKUP(TableDailySummary[[#This Row],[Fecha]],SummaryDaily[day],SummaryDaily[Tienda 81_average_order_value],0)</f>
        <v>0</v>
      </c>
      <c r="R166" s="11">
        <f>_xlfn.XLOOKUP(TableDailySummary[[#This Row],[Fecha]],SummaryDaily[day],SummaryDaily[Rappi_net_sales],0)</f>
        <v>0</v>
      </c>
      <c r="S166" s="11">
        <f>_xlfn.XLOOKUP(TableDailySummary[[#This Row],[Fecha]],SummaryDaily[day],SummaryDaily[Rappi_orders],0)</f>
        <v>0</v>
      </c>
      <c r="T166" s="11">
        <f>_xlfn.XLOOKUP(TableDailySummary[[#This Row],[Fecha]],SummaryDaily[day],SummaryDaily[Rappi_average_order_value],0)</f>
        <v>0</v>
      </c>
      <c r="U166" s="11">
        <f>_xlfn.XLOOKUP(TableDailySummary[[#This Row],[Fecha]],SummaryDaily[day],SummaryDaily[Corporativo no tienda_net_sales],0)</f>
        <v>0</v>
      </c>
      <c r="V166" s="11">
        <f>_xlfn.XLOOKUP(TableDailySummary[[#This Row],[Fecha]],SummaryDaily[day],SummaryDaily[Corporativo no tienda_orders],0)</f>
        <v>0</v>
      </c>
      <c r="W166" s="11">
        <f>_xlfn.XLOOKUP(TableDailySummary[[#This Row],[Fecha]],SummaryDaily[day],SummaryDaily[Corporativo no tienda_average_order_value],0)</f>
        <v>0</v>
      </c>
      <c r="X166" s="11">
        <f>_xlfn.XLOOKUP(TableDailySummary[[#This Row],[Fecha]],SummaryDaily[day],SummaryDaily[GoogleAdsOperation.Cost],0)</f>
        <v>0</v>
      </c>
      <c r="Y166" s="11">
        <f>SUMIFS(SalesByUTMDaily[google],SalesByUTMDaily[day],TableDailySummary[[#This Row],[Fecha]])</f>
        <v>0</v>
      </c>
      <c r="Z166" s="11">
        <f>_xlfn.XLOOKUP(TableDailySummary[[#This Row],[Fecha]],SummaryDaily[day],SummaryDaily[MetaAdsOperation.spend],0)</f>
        <v>0</v>
      </c>
      <c r="AA166" s="11">
        <f>SUMIFS(SalesByUTMDaily[facebook],SalesByUTMDaily[day],TableDailySummary[[#This Row],[Fecha]])</f>
        <v>0</v>
      </c>
      <c r="AB166" s="11">
        <f>TableDailySummary[[#This Row],[Inversión google ads]]+TableDailySummary[[#This Row],[Inversión meta ads]]</f>
        <v>0</v>
      </c>
      <c r="AC166" s="11">
        <f>TableDailySummary[[#This Row],[Ventas google ads]]+TableDailySummary[[#This Row],[Ventas meta ads]]</f>
        <v>0</v>
      </c>
      <c r="AD166" s="14">
        <f>IFERROR(TableDailySummary[[#This Row],[Ventas publicidad]]/TableDailySummary[[#This Row],[Inversión publicidad]],0)</f>
        <v>0</v>
      </c>
      <c r="AE166" s="14">
        <f>IFERROR(TableDailySummary[[#This Row],[Ventas primer cliente]]/TableDailySummary[[#This Row],[Inversión publicidad]],0)</f>
        <v>0</v>
      </c>
      <c r="AF166" s="14"/>
      <c r="AG166" s="11"/>
      <c r="AM166" s="11">
        <f>_xlfn.XLOOKUP(TableDailySummary[[#This Row],[Fecha]],SummaryDaily[day],SummaryDaily[net_sales_with_cost_recorded],0)</f>
        <v>0</v>
      </c>
      <c r="AN166" s="11">
        <f>_xlfn.XLOOKUP(TableDailySummary[[#This Row],[Fecha]],SummaryDaily[day],SummaryDaily[cost_of_goods_sold],0)</f>
        <v>0</v>
      </c>
      <c r="AO166" s="11">
        <f>_xlfn.XLOOKUP(TableDailySummary[[#This Row],[Fecha]],SummaryDaily[day],SummaryDaily[gross_profit],0)</f>
        <v>0</v>
      </c>
      <c r="AP166" s="18">
        <f>IFERROR(TableDailySummary[[#This Row],[Utilidad bruta]]/TableDailySummary[[#This Row],[Ventas netas con costo registrado]],0)</f>
        <v>0</v>
      </c>
    </row>
    <row r="167" spans="2:42" x14ac:dyDescent="0.2">
      <c r="B167" s="15" cm="1">
        <f t="array" ref="B167">ParamFechaInicioReporte + (ROW(TableDailySummary[#This Row]) - ROW(TableDailySummary[[#Headers],[Dia]]) - 1)</f>
        <v>44694</v>
      </c>
      <c r="C167" s="6">
        <f>TableDailySummary[[#This Row],[Dia]]</f>
        <v>44694</v>
      </c>
      <c r="D167" s="11">
        <f>_xlfn.XLOOKUP(TableDailySummary[[#This Row],[Fecha]],SummaryDaily[day],SummaryDaily[net_sales],0)</f>
        <v>0</v>
      </c>
      <c r="E167" s="11">
        <f>_xlfn.XLOOKUP(TableDailySummary[[#This Row],[Fecha]],SummaryDaily[day],SummaryDaily[orders],0)</f>
        <v>0</v>
      </c>
      <c r="F167" s="11">
        <f>_xlfn.XLOOKUP(TableDailySummary[[#This Row],[Fecha]],SummaryDaily[day],SummaryDaily[average_order_value],0)</f>
        <v>0</v>
      </c>
      <c r="G167" s="24" cm="1">
        <f t="array" ref="G167">_xlfn.XLOOKUP(TableDailySummary[[#This Row],[Fecha]]&amp;"Total site",ConversionRateByReferral[day]&amp;ConversionRateByReferral[referrer_source],ConversionRateByReferral[conversion_rate],0)</f>
        <v>0</v>
      </c>
      <c r="H167" s="11">
        <f>TableDailySummary[[#This Row],[Órden promedio totales]]*TableDailySummary[[#This Row],[CR totales]]</f>
        <v>0</v>
      </c>
      <c r="I167" s="11">
        <f>_xlfn.XLOOKUP(TableDailySummary[[#This Row],[Fecha]],SummaryDaily[day],SummaryDaily[new_net_sales],0)</f>
        <v>0</v>
      </c>
      <c r="J167" s="11">
        <f>_xlfn.XLOOKUP(TableDailySummary[[#This Row],[Fecha]],SummaryDaily[day],SummaryDaily[new_orders],0)</f>
        <v>0</v>
      </c>
      <c r="K167" s="11">
        <f>_xlfn.XLOOKUP(TableDailySummary[[#This Row],[Fecha]],SummaryDaily[day],SummaryDaily[new_average_order_value],0)</f>
        <v>0</v>
      </c>
      <c r="L167" s="11">
        <f>_xlfn.XLOOKUP(TableDailySummary[[#This Row],[Fecha]],SummaryDaily[day],SummaryDaily[Online Store_net_sales],0)</f>
        <v>0</v>
      </c>
      <c r="M167" s="11">
        <f>_xlfn.XLOOKUP(TableDailySummary[[#This Row],[Fecha]],SummaryDaily[day],SummaryDaily[Online Store_orders],0)</f>
        <v>0</v>
      </c>
      <c r="N167" s="11">
        <f>_xlfn.XLOOKUP(TableDailySummary[[#This Row],[Fecha]],SummaryDaily[day],SummaryDaily[Online Store_average_order_value],0)</f>
        <v>0</v>
      </c>
      <c r="O167" s="11">
        <f>_xlfn.XLOOKUP(TableDailySummary[[#This Row],[Fecha]],SummaryDaily[day],SummaryDaily[Tienda 81_net_sales],0)</f>
        <v>0</v>
      </c>
      <c r="P167" s="11">
        <f>_xlfn.XLOOKUP(TableDailySummary[[#This Row],[Fecha]],SummaryDaily[day],SummaryDaily[Tienda 81_orders],0)</f>
        <v>0</v>
      </c>
      <c r="Q167" s="11">
        <f>_xlfn.XLOOKUP(TableDailySummary[[#This Row],[Fecha]],SummaryDaily[day],SummaryDaily[Tienda 81_average_order_value],0)</f>
        <v>0</v>
      </c>
      <c r="R167" s="11">
        <f>_xlfn.XLOOKUP(TableDailySummary[[#This Row],[Fecha]],SummaryDaily[day],SummaryDaily[Rappi_net_sales],0)</f>
        <v>0</v>
      </c>
      <c r="S167" s="11">
        <f>_xlfn.XLOOKUP(TableDailySummary[[#This Row],[Fecha]],SummaryDaily[day],SummaryDaily[Rappi_orders],0)</f>
        <v>0</v>
      </c>
      <c r="T167" s="11">
        <f>_xlfn.XLOOKUP(TableDailySummary[[#This Row],[Fecha]],SummaryDaily[day],SummaryDaily[Rappi_average_order_value],0)</f>
        <v>0</v>
      </c>
      <c r="U167" s="11">
        <f>_xlfn.XLOOKUP(TableDailySummary[[#This Row],[Fecha]],SummaryDaily[day],SummaryDaily[Corporativo no tienda_net_sales],0)</f>
        <v>0</v>
      </c>
      <c r="V167" s="11">
        <f>_xlfn.XLOOKUP(TableDailySummary[[#This Row],[Fecha]],SummaryDaily[day],SummaryDaily[Corporativo no tienda_orders],0)</f>
        <v>0</v>
      </c>
      <c r="W167" s="11">
        <f>_xlfn.XLOOKUP(TableDailySummary[[#This Row],[Fecha]],SummaryDaily[day],SummaryDaily[Corporativo no tienda_average_order_value],0)</f>
        <v>0</v>
      </c>
      <c r="X167" s="11">
        <f>_xlfn.XLOOKUP(TableDailySummary[[#This Row],[Fecha]],SummaryDaily[day],SummaryDaily[GoogleAdsOperation.Cost],0)</f>
        <v>0</v>
      </c>
      <c r="Y167" s="11">
        <f>SUMIFS(SalesByUTMDaily[google],SalesByUTMDaily[day],TableDailySummary[[#This Row],[Fecha]])</f>
        <v>0</v>
      </c>
      <c r="Z167" s="11">
        <f>_xlfn.XLOOKUP(TableDailySummary[[#This Row],[Fecha]],SummaryDaily[day],SummaryDaily[MetaAdsOperation.spend],0)</f>
        <v>0</v>
      </c>
      <c r="AA167" s="11">
        <f>SUMIFS(SalesByUTMDaily[facebook],SalesByUTMDaily[day],TableDailySummary[[#This Row],[Fecha]])</f>
        <v>0</v>
      </c>
      <c r="AB167" s="11">
        <f>TableDailySummary[[#This Row],[Inversión google ads]]+TableDailySummary[[#This Row],[Inversión meta ads]]</f>
        <v>0</v>
      </c>
      <c r="AC167" s="11">
        <f>TableDailySummary[[#This Row],[Ventas google ads]]+TableDailySummary[[#This Row],[Ventas meta ads]]</f>
        <v>0</v>
      </c>
      <c r="AD167" s="14">
        <f>IFERROR(TableDailySummary[[#This Row],[Ventas publicidad]]/TableDailySummary[[#This Row],[Inversión publicidad]],0)</f>
        <v>0</v>
      </c>
      <c r="AE167" s="14">
        <f>IFERROR(TableDailySummary[[#This Row],[Ventas primer cliente]]/TableDailySummary[[#This Row],[Inversión publicidad]],0)</f>
        <v>0</v>
      </c>
      <c r="AF167" s="14"/>
      <c r="AG167" s="11"/>
      <c r="AM167" s="11">
        <f>_xlfn.XLOOKUP(TableDailySummary[[#This Row],[Fecha]],SummaryDaily[day],SummaryDaily[net_sales_with_cost_recorded],0)</f>
        <v>0</v>
      </c>
      <c r="AN167" s="11">
        <f>_xlfn.XLOOKUP(TableDailySummary[[#This Row],[Fecha]],SummaryDaily[day],SummaryDaily[cost_of_goods_sold],0)</f>
        <v>0</v>
      </c>
      <c r="AO167" s="11">
        <f>_xlfn.XLOOKUP(TableDailySummary[[#This Row],[Fecha]],SummaryDaily[day],SummaryDaily[gross_profit],0)</f>
        <v>0</v>
      </c>
      <c r="AP167" s="18">
        <f>IFERROR(TableDailySummary[[#This Row],[Utilidad bruta]]/TableDailySummary[[#This Row],[Ventas netas con costo registrado]],0)</f>
        <v>0</v>
      </c>
    </row>
    <row r="168" spans="2:42" x14ac:dyDescent="0.2">
      <c r="B168" s="15" cm="1">
        <f t="array" ref="B168">ParamFechaInicioReporte + (ROW(TableDailySummary[#This Row]) - ROW(TableDailySummary[[#Headers],[Dia]]) - 1)</f>
        <v>44695</v>
      </c>
      <c r="C168" s="6">
        <f>TableDailySummary[[#This Row],[Dia]]</f>
        <v>44695</v>
      </c>
      <c r="D168" s="11">
        <f>_xlfn.XLOOKUP(TableDailySummary[[#This Row],[Fecha]],SummaryDaily[day],SummaryDaily[net_sales],0)</f>
        <v>0</v>
      </c>
      <c r="E168" s="11">
        <f>_xlfn.XLOOKUP(TableDailySummary[[#This Row],[Fecha]],SummaryDaily[day],SummaryDaily[orders],0)</f>
        <v>0</v>
      </c>
      <c r="F168" s="11">
        <f>_xlfn.XLOOKUP(TableDailySummary[[#This Row],[Fecha]],SummaryDaily[day],SummaryDaily[average_order_value],0)</f>
        <v>0</v>
      </c>
      <c r="G168" s="24" cm="1">
        <f t="array" ref="G168">_xlfn.XLOOKUP(TableDailySummary[[#This Row],[Fecha]]&amp;"Total site",ConversionRateByReferral[day]&amp;ConversionRateByReferral[referrer_source],ConversionRateByReferral[conversion_rate],0)</f>
        <v>0</v>
      </c>
      <c r="H168" s="11">
        <f>TableDailySummary[[#This Row],[Órden promedio totales]]*TableDailySummary[[#This Row],[CR totales]]</f>
        <v>0</v>
      </c>
      <c r="I168" s="11">
        <f>_xlfn.XLOOKUP(TableDailySummary[[#This Row],[Fecha]],SummaryDaily[day],SummaryDaily[new_net_sales],0)</f>
        <v>0</v>
      </c>
      <c r="J168" s="11">
        <f>_xlfn.XLOOKUP(TableDailySummary[[#This Row],[Fecha]],SummaryDaily[day],SummaryDaily[new_orders],0)</f>
        <v>0</v>
      </c>
      <c r="K168" s="11">
        <f>_xlfn.XLOOKUP(TableDailySummary[[#This Row],[Fecha]],SummaryDaily[day],SummaryDaily[new_average_order_value],0)</f>
        <v>0</v>
      </c>
      <c r="L168" s="11">
        <f>_xlfn.XLOOKUP(TableDailySummary[[#This Row],[Fecha]],SummaryDaily[day],SummaryDaily[Online Store_net_sales],0)</f>
        <v>0</v>
      </c>
      <c r="M168" s="11">
        <f>_xlfn.XLOOKUP(TableDailySummary[[#This Row],[Fecha]],SummaryDaily[day],SummaryDaily[Online Store_orders],0)</f>
        <v>0</v>
      </c>
      <c r="N168" s="11">
        <f>_xlfn.XLOOKUP(TableDailySummary[[#This Row],[Fecha]],SummaryDaily[day],SummaryDaily[Online Store_average_order_value],0)</f>
        <v>0</v>
      </c>
      <c r="O168" s="11">
        <f>_xlfn.XLOOKUP(TableDailySummary[[#This Row],[Fecha]],SummaryDaily[day],SummaryDaily[Tienda 81_net_sales],0)</f>
        <v>0</v>
      </c>
      <c r="P168" s="11">
        <f>_xlfn.XLOOKUP(TableDailySummary[[#This Row],[Fecha]],SummaryDaily[day],SummaryDaily[Tienda 81_orders],0)</f>
        <v>0</v>
      </c>
      <c r="Q168" s="11">
        <f>_xlfn.XLOOKUP(TableDailySummary[[#This Row],[Fecha]],SummaryDaily[day],SummaryDaily[Tienda 81_average_order_value],0)</f>
        <v>0</v>
      </c>
      <c r="R168" s="11">
        <f>_xlfn.XLOOKUP(TableDailySummary[[#This Row],[Fecha]],SummaryDaily[day],SummaryDaily[Rappi_net_sales],0)</f>
        <v>0</v>
      </c>
      <c r="S168" s="11">
        <f>_xlfn.XLOOKUP(TableDailySummary[[#This Row],[Fecha]],SummaryDaily[day],SummaryDaily[Rappi_orders],0)</f>
        <v>0</v>
      </c>
      <c r="T168" s="11">
        <f>_xlfn.XLOOKUP(TableDailySummary[[#This Row],[Fecha]],SummaryDaily[day],SummaryDaily[Rappi_average_order_value],0)</f>
        <v>0</v>
      </c>
      <c r="U168" s="11">
        <f>_xlfn.XLOOKUP(TableDailySummary[[#This Row],[Fecha]],SummaryDaily[day],SummaryDaily[Corporativo no tienda_net_sales],0)</f>
        <v>0</v>
      </c>
      <c r="V168" s="11">
        <f>_xlfn.XLOOKUP(TableDailySummary[[#This Row],[Fecha]],SummaryDaily[day],SummaryDaily[Corporativo no tienda_orders],0)</f>
        <v>0</v>
      </c>
      <c r="W168" s="11">
        <f>_xlfn.XLOOKUP(TableDailySummary[[#This Row],[Fecha]],SummaryDaily[day],SummaryDaily[Corporativo no tienda_average_order_value],0)</f>
        <v>0</v>
      </c>
      <c r="X168" s="11">
        <f>_xlfn.XLOOKUP(TableDailySummary[[#This Row],[Fecha]],SummaryDaily[day],SummaryDaily[GoogleAdsOperation.Cost],0)</f>
        <v>0</v>
      </c>
      <c r="Y168" s="11">
        <f>SUMIFS(SalesByUTMDaily[google],SalesByUTMDaily[day],TableDailySummary[[#This Row],[Fecha]])</f>
        <v>0</v>
      </c>
      <c r="Z168" s="11">
        <f>_xlfn.XLOOKUP(TableDailySummary[[#This Row],[Fecha]],SummaryDaily[day],SummaryDaily[MetaAdsOperation.spend],0)</f>
        <v>0</v>
      </c>
      <c r="AA168" s="11">
        <f>SUMIFS(SalesByUTMDaily[facebook],SalesByUTMDaily[day],TableDailySummary[[#This Row],[Fecha]])</f>
        <v>0</v>
      </c>
      <c r="AB168" s="11">
        <f>TableDailySummary[[#This Row],[Inversión google ads]]+TableDailySummary[[#This Row],[Inversión meta ads]]</f>
        <v>0</v>
      </c>
      <c r="AC168" s="11">
        <f>TableDailySummary[[#This Row],[Ventas google ads]]+TableDailySummary[[#This Row],[Ventas meta ads]]</f>
        <v>0</v>
      </c>
      <c r="AD168" s="14">
        <f>IFERROR(TableDailySummary[[#This Row],[Ventas publicidad]]/TableDailySummary[[#This Row],[Inversión publicidad]],0)</f>
        <v>0</v>
      </c>
      <c r="AE168" s="14">
        <f>IFERROR(TableDailySummary[[#This Row],[Ventas primer cliente]]/TableDailySummary[[#This Row],[Inversión publicidad]],0)</f>
        <v>0</v>
      </c>
      <c r="AF168" s="14"/>
      <c r="AG168" s="11"/>
      <c r="AM168" s="11">
        <f>_xlfn.XLOOKUP(TableDailySummary[[#This Row],[Fecha]],SummaryDaily[day],SummaryDaily[net_sales_with_cost_recorded],0)</f>
        <v>0</v>
      </c>
      <c r="AN168" s="11">
        <f>_xlfn.XLOOKUP(TableDailySummary[[#This Row],[Fecha]],SummaryDaily[day],SummaryDaily[cost_of_goods_sold],0)</f>
        <v>0</v>
      </c>
      <c r="AO168" s="11">
        <f>_xlfn.XLOOKUP(TableDailySummary[[#This Row],[Fecha]],SummaryDaily[day],SummaryDaily[gross_profit],0)</f>
        <v>0</v>
      </c>
      <c r="AP168" s="18">
        <f>IFERROR(TableDailySummary[[#This Row],[Utilidad bruta]]/TableDailySummary[[#This Row],[Ventas netas con costo registrado]],0)</f>
        <v>0</v>
      </c>
    </row>
    <row r="169" spans="2:42" x14ac:dyDescent="0.2">
      <c r="B169" s="15" cm="1">
        <f t="array" ref="B169">ParamFechaInicioReporte + (ROW(TableDailySummary[#This Row]) - ROW(TableDailySummary[[#Headers],[Dia]]) - 1)</f>
        <v>44696</v>
      </c>
      <c r="C169" s="6">
        <f>TableDailySummary[[#This Row],[Dia]]</f>
        <v>44696</v>
      </c>
      <c r="D169" s="11">
        <f>_xlfn.XLOOKUP(TableDailySummary[[#This Row],[Fecha]],SummaryDaily[day],SummaryDaily[net_sales],0)</f>
        <v>0</v>
      </c>
      <c r="E169" s="11">
        <f>_xlfn.XLOOKUP(TableDailySummary[[#This Row],[Fecha]],SummaryDaily[day],SummaryDaily[orders],0)</f>
        <v>0</v>
      </c>
      <c r="F169" s="11">
        <f>_xlfn.XLOOKUP(TableDailySummary[[#This Row],[Fecha]],SummaryDaily[day],SummaryDaily[average_order_value],0)</f>
        <v>0</v>
      </c>
      <c r="G169" s="24" cm="1">
        <f t="array" ref="G169">_xlfn.XLOOKUP(TableDailySummary[[#This Row],[Fecha]]&amp;"Total site",ConversionRateByReferral[day]&amp;ConversionRateByReferral[referrer_source],ConversionRateByReferral[conversion_rate],0)</f>
        <v>0</v>
      </c>
      <c r="H169" s="11">
        <f>TableDailySummary[[#This Row],[Órden promedio totales]]*TableDailySummary[[#This Row],[CR totales]]</f>
        <v>0</v>
      </c>
      <c r="I169" s="11">
        <f>_xlfn.XLOOKUP(TableDailySummary[[#This Row],[Fecha]],SummaryDaily[day],SummaryDaily[new_net_sales],0)</f>
        <v>0</v>
      </c>
      <c r="J169" s="11">
        <f>_xlfn.XLOOKUP(TableDailySummary[[#This Row],[Fecha]],SummaryDaily[day],SummaryDaily[new_orders],0)</f>
        <v>0</v>
      </c>
      <c r="K169" s="11">
        <f>_xlfn.XLOOKUP(TableDailySummary[[#This Row],[Fecha]],SummaryDaily[day],SummaryDaily[new_average_order_value],0)</f>
        <v>0</v>
      </c>
      <c r="L169" s="11">
        <f>_xlfn.XLOOKUP(TableDailySummary[[#This Row],[Fecha]],SummaryDaily[day],SummaryDaily[Online Store_net_sales],0)</f>
        <v>0</v>
      </c>
      <c r="M169" s="11">
        <f>_xlfn.XLOOKUP(TableDailySummary[[#This Row],[Fecha]],SummaryDaily[day],SummaryDaily[Online Store_orders],0)</f>
        <v>0</v>
      </c>
      <c r="N169" s="11">
        <f>_xlfn.XLOOKUP(TableDailySummary[[#This Row],[Fecha]],SummaryDaily[day],SummaryDaily[Online Store_average_order_value],0)</f>
        <v>0</v>
      </c>
      <c r="O169" s="11">
        <f>_xlfn.XLOOKUP(TableDailySummary[[#This Row],[Fecha]],SummaryDaily[day],SummaryDaily[Tienda 81_net_sales],0)</f>
        <v>0</v>
      </c>
      <c r="P169" s="11">
        <f>_xlfn.XLOOKUP(TableDailySummary[[#This Row],[Fecha]],SummaryDaily[day],SummaryDaily[Tienda 81_orders],0)</f>
        <v>0</v>
      </c>
      <c r="Q169" s="11">
        <f>_xlfn.XLOOKUP(TableDailySummary[[#This Row],[Fecha]],SummaryDaily[day],SummaryDaily[Tienda 81_average_order_value],0)</f>
        <v>0</v>
      </c>
      <c r="R169" s="11">
        <f>_xlfn.XLOOKUP(TableDailySummary[[#This Row],[Fecha]],SummaryDaily[day],SummaryDaily[Rappi_net_sales],0)</f>
        <v>0</v>
      </c>
      <c r="S169" s="11">
        <f>_xlfn.XLOOKUP(TableDailySummary[[#This Row],[Fecha]],SummaryDaily[day],SummaryDaily[Rappi_orders],0)</f>
        <v>0</v>
      </c>
      <c r="T169" s="11">
        <f>_xlfn.XLOOKUP(TableDailySummary[[#This Row],[Fecha]],SummaryDaily[day],SummaryDaily[Rappi_average_order_value],0)</f>
        <v>0</v>
      </c>
      <c r="U169" s="11">
        <f>_xlfn.XLOOKUP(TableDailySummary[[#This Row],[Fecha]],SummaryDaily[day],SummaryDaily[Corporativo no tienda_net_sales],0)</f>
        <v>0</v>
      </c>
      <c r="V169" s="11">
        <f>_xlfn.XLOOKUP(TableDailySummary[[#This Row],[Fecha]],SummaryDaily[day],SummaryDaily[Corporativo no tienda_orders],0)</f>
        <v>0</v>
      </c>
      <c r="W169" s="11">
        <f>_xlfn.XLOOKUP(TableDailySummary[[#This Row],[Fecha]],SummaryDaily[day],SummaryDaily[Corporativo no tienda_average_order_value],0)</f>
        <v>0</v>
      </c>
      <c r="X169" s="11">
        <f>_xlfn.XLOOKUP(TableDailySummary[[#This Row],[Fecha]],SummaryDaily[day],SummaryDaily[GoogleAdsOperation.Cost],0)</f>
        <v>0</v>
      </c>
      <c r="Y169" s="11">
        <f>SUMIFS(SalesByUTMDaily[google],SalesByUTMDaily[day],TableDailySummary[[#This Row],[Fecha]])</f>
        <v>0</v>
      </c>
      <c r="Z169" s="11">
        <f>_xlfn.XLOOKUP(TableDailySummary[[#This Row],[Fecha]],SummaryDaily[day],SummaryDaily[MetaAdsOperation.spend],0)</f>
        <v>0</v>
      </c>
      <c r="AA169" s="11">
        <f>SUMIFS(SalesByUTMDaily[facebook],SalesByUTMDaily[day],TableDailySummary[[#This Row],[Fecha]])</f>
        <v>0</v>
      </c>
      <c r="AB169" s="11">
        <f>TableDailySummary[[#This Row],[Inversión google ads]]+TableDailySummary[[#This Row],[Inversión meta ads]]</f>
        <v>0</v>
      </c>
      <c r="AC169" s="11">
        <f>TableDailySummary[[#This Row],[Ventas google ads]]+TableDailySummary[[#This Row],[Ventas meta ads]]</f>
        <v>0</v>
      </c>
      <c r="AD169" s="14">
        <f>IFERROR(TableDailySummary[[#This Row],[Ventas publicidad]]/TableDailySummary[[#This Row],[Inversión publicidad]],0)</f>
        <v>0</v>
      </c>
      <c r="AE169" s="14">
        <f>IFERROR(TableDailySummary[[#This Row],[Ventas primer cliente]]/TableDailySummary[[#This Row],[Inversión publicidad]],0)</f>
        <v>0</v>
      </c>
      <c r="AF169" s="14"/>
      <c r="AG169" s="11"/>
      <c r="AM169" s="11">
        <f>_xlfn.XLOOKUP(TableDailySummary[[#This Row],[Fecha]],SummaryDaily[day],SummaryDaily[net_sales_with_cost_recorded],0)</f>
        <v>0</v>
      </c>
      <c r="AN169" s="11">
        <f>_xlfn.XLOOKUP(TableDailySummary[[#This Row],[Fecha]],SummaryDaily[day],SummaryDaily[cost_of_goods_sold],0)</f>
        <v>0</v>
      </c>
      <c r="AO169" s="11">
        <f>_xlfn.XLOOKUP(TableDailySummary[[#This Row],[Fecha]],SummaryDaily[day],SummaryDaily[gross_profit],0)</f>
        <v>0</v>
      </c>
      <c r="AP169" s="18">
        <f>IFERROR(TableDailySummary[[#This Row],[Utilidad bruta]]/TableDailySummary[[#This Row],[Ventas netas con costo registrado]],0)</f>
        <v>0</v>
      </c>
    </row>
    <row r="170" spans="2:42" x14ac:dyDescent="0.2">
      <c r="B170" s="15" cm="1">
        <f t="array" ref="B170">ParamFechaInicioReporte + (ROW(TableDailySummary[#This Row]) - ROW(TableDailySummary[[#Headers],[Dia]]) - 1)</f>
        <v>44697</v>
      </c>
      <c r="C170" s="6">
        <f>TableDailySummary[[#This Row],[Dia]]</f>
        <v>44697</v>
      </c>
      <c r="D170" s="11">
        <f>_xlfn.XLOOKUP(TableDailySummary[[#This Row],[Fecha]],SummaryDaily[day],SummaryDaily[net_sales],0)</f>
        <v>0</v>
      </c>
      <c r="E170" s="11">
        <f>_xlfn.XLOOKUP(TableDailySummary[[#This Row],[Fecha]],SummaryDaily[day],SummaryDaily[orders],0)</f>
        <v>0</v>
      </c>
      <c r="F170" s="11">
        <f>_xlfn.XLOOKUP(TableDailySummary[[#This Row],[Fecha]],SummaryDaily[day],SummaryDaily[average_order_value],0)</f>
        <v>0</v>
      </c>
      <c r="G170" s="24" cm="1">
        <f t="array" ref="G170">_xlfn.XLOOKUP(TableDailySummary[[#This Row],[Fecha]]&amp;"Total site",ConversionRateByReferral[day]&amp;ConversionRateByReferral[referrer_source],ConversionRateByReferral[conversion_rate],0)</f>
        <v>0</v>
      </c>
      <c r="H170" s="11">
        <f>TableDailySummary[[#This Row],[Órden promedio totales]]*TableDailySummary[[#This Row],[CR totales]]</f>
        <v>0</v>
      </c>
      <c r="I170" s="11">
        <f>_xlfn.XLOOKUP(TableDailySummary[[#This Row],[Fecha]],SummaryDaily[day],SummaryDaily[new_net_sales],0)</f>
        <v>0</v>
      </c>
      <c r="J170" s="11">
        <f>_xlfn.XLOOKUP(TableDailySummary[[#This Row],[Fecha]],SummaryDaily[day],SummaryDaily[new_orders],0)</f>
        <v>0</v>
      </c>
      <c r="K170" s="11">
        <f>_xlfn.XLOOKUP(TableDailySummary[[#This Row],[Fecha]],SummaryDaily[day],SummaryDaily[new_average_order_value],0)</f>
        <v>0</v>
      </c>
      <c r="L170" s="11">
        <f>_xlfn.XLOOKUP(TableDailySummary[[#This Row],[Fecha]],SummaryDaily[day],SummaryDaily[Online Store_net_sales],0)</f>
        <v>0</v>
      </c>
      <c r="M170" s="11">
        <f>_xlfn.XLOOKUP(TableDailySummary[[#This Row],[Fecha]],SummaryDaily[day],SummaryDaily[Online Store_orders],0)</f>
        <v>0</v>
      </c>
      <c r="N170" s="11">
        <f>_xlfn.XLOOKUP(TableDailySummary[[#This Row],[Fecha]],SummaryDaily[day],SummaryDaily[Online Store_average_order_value],0)</f>
        <v>0</v>
      </c>
      <c r="O170" s="11">
        <f>_xlfn.XLOOKUP(TableDailySummary[[#This Row],[Fecha]],SummaryDaily[day],SummaryDaily[Tienda 81_net_sales],0)</f>
        <v>0</v>
      </c>
      <c r="P170" s="11">
        <f>_xlfn.XLOOKUP(TableDailySummary[[#This Row],[Fecha]],SummaryDaily[day],SummaryDaily[Tienda 81_orders],0)</f>
        <v>0</v>
      </c>
      <c r="Q170" s="11">
        <f>_xlfn.XLOOKUP(TableDailySummary[[#This Row],[Fecha]],SummaryDaily[day],SummaryDaily[Tienda 81_average_order_value],0)</f>
        <v>0</v>
      </c>
      <c r="R170" s="11">
        <f>_xlfn.XLOOKUP(TableDailySummary[[#This Row],[Fecha]],SummaryDaily[day],SummaryDaily[Rappi_net_sales],0)</f>
        <v>0</v>
      </c>
      <c r="S170" s="11">
        <f>_xlfn.XLOOKUP(TableDailySummary[[#This Row],[Fecha]],SummaryDaily[day],SummaryDaily[Rappi_orders],0)</f>
        <v>0</v>
      </c>
      <c r="T170" s="11">
        <f>_xlfn.XLOOKUP(TableDailySummary[[#This Row],[Fecha]],SummaryDaily[day],SummaryDaily[Rappi_average_order_value],0)</f>
        <v>0</v>
      </c>
      <c r="U170" s="11">
        <f>_xlfn.XLOOKUP(TableDailySummary[[#This Row],[Fecha]],SummaryDaily[day],SummaryDaily[Corporativo no tienda_net_sales],0)</f>
        <v>0</v>
      </c>
      <c r="V170" s="11">
        <f>_xlfn.XLOOKUP(TableDailySummary[[#This Row],[Fecha]],SummaryDaily[day],SummaryDaily[Corporativo no tienda_orders],0)</f>
        <v>0</v>
      </c>
      <c r="W170" s="11">
        <f>_xlfn.XLOOKUP(TableDailySummary[[#This Row],[Fecha]],SummaryDaily[day],SummaryDaily[Corporativo no tienda_average_order_value],0)</f>
        <v>0</v>
      </c>
      <c r="X170" s="11">
        <f>_xlfn.XLOOKUP(TableDailySummary[[#This Row],[Fecha]],SummaryDaily[day],SummaryDaily[GoogleAdsOperation.Cost],0)</f>
        <v>0</v>
      </c>
      <c r="Y170" s="11">
        <f>SUMIFS(SalesByUTMDaily[google],SalesByUTMDaily[day],TableDailySummary[[#This Row],[Fecha]])</f>
        <v>0</v>
      </c>
      <c r="Z170" s="11">
        <f>_xlfn.XLOOKUP(TableDailySummary[[#This Row],[Fecha]],SummaryDaily[day],SummaryDaily[MetaAdsOperation.spend],0)</f>
        <v>0</v>
      </c>
      <c r="AA170" s="11">
        <f>SUMIFS(SalesByUTMDaily[facebook],SalesByUTMDaily[day],TableDailySummary[[#This Row],[Fecha]])</f>
        <v>0</v>
      </c>
      <c r="AB170" s="11">
        <f>TableDailySummary[[#This Row],[Inversión google ads]]+TableDailySummary[[#This Row],[Inversión meta ads]]</f>
        <v>0</v>
      </c>
      <c r="AC170" s="11">
        <f>TableDailySummary[[#This Row],[Ventas google ads]]+TableDailySummary[[#This Row],[Ventas meta ads]]</f>
        <v>0</v>
      </c>
      <c r="AD170" s="14">
        <f>IFERROR(TableDailySummary[[#This Row],[Ventas publicidad]]/TableDailySummary[[#This Row],[Inversión publicidad]],0)</f>
        <v>0</v>
      </c>
      <c r="AE170" s="14">
        <f>IFERROR(TableDailySummary[[#This Row],[Ventas primer cliente]]/TableDailySummary[[#This Row],[Inversión publicidad]],0)</f>
        <v>0</v>
      </c>
      <c r="AF170" s="14"/>
      <c r="AG170" s="11"/>
      <c r="AM170" s="11">
        <f>_xlfn.XLOOKUP(TableDailySummary[[#This Row],[Fecha]],SummaryDaily[day],SummaryDaily[net_sales_with_cost_recorded],0)</f>
        <v>0</v>
      </c>
      <c r="AN170" s="11">
        <f>_xlfn.XLOOKUP(TableDailySummary[[#This Row],[Fecha]],SummaryDaily[day],SummaryDaily[cost_of_goods_sold],0)</f>
        <v>0</v>
      </c>
      <c r="AO170" s="11">
        <f>_xlfn.XLOOKUP(TableDailySummary[[#This Row],[Fecha]],SummaryDaily[day],SummaryDaily[gross_profit],0)</f>
        <v>0</v>
      </c>
      <c r="AP170" s="18">
        <f>IFERROR(TableDailySummary[[#This Row],[Utilidad bruta]]/TableDailySummary[[#This Row],[Ventas netas con costo registrado]],0)</f>
        <v>0</v>
      </c>
    </row>
    <row r="171" spans="2:42" x14ac:dyDescent="0.2">
      <c r="B171" s="15" cm="1">
        <f t="array" ref="B171">ParamFechaInicioReporte + (ROW(TableDailySummary[#This Row]) - ROW(TableDailySummary[[#Headers],[Dia]]) - 1)</f>
        <v>44698</v>
      </c>
      <c r="C171" s="6">
        <f>TableDailySummary[[#This Row],[Dia]]</f>
        <v>44698</v>
      </c>
      <c r="D171" s="11">
        <f>_xlfn.XLOOKUP(TableDailySummary[[#This Row],[Fecha]],SummaryDaily[day],SummaryDaily[net_sales],0)</f>
        <v>0</v>
      </c>
      <c r="E171" s="11">
        <f>_xlfn.XLOOKUP(TableDailySummary[[#This Row],[Fecha]],SummaryDaily[day],SummaryDaily[orders],0)</f>
        <v>0</v>
      </c>
      <c r="F171" s="11">
        <f>_xlfn.XLOOKUP(TableDailySummary[[#This Row],[Fecha]],SummaryDaily[day],SummaryDaily[average_order_value],0)</f>
        <v>0</v>
      </c>
      <c r="G171" s="24" cm="1">
        <f t="array" ref="G171">_xlfn.XLOOKUP(TableDailySummary[[#This Row],[Fecha]]&amp;"Total site",ConversionRateByReferral[day]&amp;ConversionRateByReferral[referrer_source],ConversionRateByReferral[conversion_rate],0)</f>
        <v>0</v>
      </c>
      <c r="H171" s="11">
        <f>TableDailySummary[[#This Row],[Órden promedio totales]]*TableDailySummary[[#This Row],[CR totales]]</f>
        <v>0</v>
      </c>
      <c r="I171" s="11">
        <f>_xlfn.XLOOKUP(TableDailySummary[[#This Row],[Fecha]],SummaryDaily[day],SummaryDaily[new_net_sales],0)</f>
        <v>0</v>
      </c>
      <c r="J171" s="11">
        <f>_xlfn.XLOOKUP(TableDailySummary[[#This Row],[Fecha]],SummaryDaily[day],SummaryDaily[new_orders],0)</f>
        <v>0</v>
      </c>
      <c r="K171" s="11">
        <f>_xlfn.XLOOKUP(TableDailySummary[[#This Row],[Fecha]],SummaryDaily[day],SummaryDaily[new_average_order_value],0)</f>
        <v>0</v>
      </c>
      <c r="L171" s="11">
        <f>_xlfn.XLOOKUP(TableDailySummary[[#This Row],[Fecha]],SummaryDaily[day],SummaryDaily[Online Store_net_sales],0)</f>
        <v>0</v>
      </c>
      <c r="M171" s="11">
        <f>_xlfn.XLOOKUP(TableDailySummary[[#This Row],[Fecha]],SummaryDaily[day],SummaryDaily[Online Store_orders],0)</f>
        <v>0</v>
      </c>
      <c r="N171" s="11">
        <f>_xlfn.XLOOKUP(TableDailySummary[[#This Row],[Fecha]],SummaryDaily[day],SummaryDaily[Online Store_average_order_value],0)</f>
        <v>0</v>
      </c>
      <c r="O171" s="11">
        <f>_xlfn.XLOOKUP(TableDailySummary[[#This Row],[Fecha]],SummaryDaily[day],SummaryDaily[Tienda 81_net_sales],0)</f>
        <v>0</v>
      </c>
      <c r="P171" s="11">
        <f>_xlfn.XLOOKUP(TableDailySummary[[#This Row],[Fecha]],SummaryDaily[day],SummaryDaily[Tienda 81_orders],0)</f>
        <v>0</v>
      </c>
      <c r="Q171" s="11">
        <f>_xlfn.XLOOKUP(TableDailySummary[[#This Row],[Fecha]],SummaryDaily[day],SummaryDaily[Tienda 81_average_order_value],0)</f>
        <v>0</v>
      </c>
      <c r="R171" s="11">
        <f>_xlfn.XLOOKUP(TableDailySummary[[#This Row],[Fecha]],SummaryDaily[day],SummaryDaily[Rappi_net_sales],0)</f>
        <v>0</v>
      </c>
      <c r="S171" s="11">
        <f>_xlfn.XLOOKUP(TableDailySummary[[#This Row],[Fecha]],SummaryDaily[day],SummaryDaily[Rappi_orders],0)</f>
        <v>0</v>
      </c>
      <c r="T171" s="11">
        <f>_xlfn.XLOOKUP(TableDailySummary[[#This Row],[Fecha]],SummaryDaily[day],SummaryDaily[Rappi_average_order_value],0)</f>
        <v>0</v>
      </c>
      <c r="U171" s="11">
        <f>_xlfn.XLOOKUP(TableDailySummary[[#This Row],[Fecha]],SummaryDaily[day],SummaryDaily[Corporativo no tienda_net_sales],0)</f>
        <v>0</v>
      </c>
      <c r="V171" s="11">
        <f>_xlfn.XLOOKUP(TableDailySummary[[#This Row],[Fecha]],SummaryDaily[day],SummaryDaily[Corporativo no tienda_orders],0)</f>
        <v>0</v>
      </c>
      <c r="W171" s="11">
        <f>_xlfn.XLOOKUP(TableDailySummary[[#This Row],[Fecha]],SummaryDaily[day],SummaryDaily[Corporativo no tienda_average_order_value],0)</f>
        <v>0</v>
      </c>
      <c r="X171" s="11">
        <f>_xlfn.XLOOKUP(TableDailySummary[[#This Row],[Fecha]],SummaryDaily[day],SummaryDaily[GoogleAdsOperation.Cost],0)</f>
        <v>0</v>
      </c>
      <c r="Y171" s="11">
        <f>SUMIFS(SalesByUTMDaily[google],SalesByUTMDaily[day],TableDailySummary[[#This Row],[Fecha]])</f>
        <v>0</v>
      </c>
      <c r="Z171" s="11">
        <f>_xlfn.XLOOKUP(TableDailySummary[[#This Row],[Fecha]],SummaryDaily[day],SummaryDaily[MetaAdsOperation.spend],0)</f>
        <v>0</v>
      </c>
      <c r="AA171" s="11">
        <f>SUMIFS(SalesByUTMDaily[facebook],SalesByUTMDaily[day],TableDailySummary[[#This Row],[Fecha]])</f>
        <v>0</v>
      </c>
      <c r="AB171" s="11">
        <f>TableDailySummary[[#This Row],[Inversión google ads]]+TableDailySummary[[#This Row],[Inversión meta ads]]</f>
        <v>0</v>
      </c>
      <c r="AC171" s="11">
        <f>TableDailySummary[[#This Row],[Ventas google ads]]+TableDailySummary[[#This Row],[Ventas meta ads]]</f>
        <v>0</v>
      </c>
      <c r="AD171" s="14">
        <f>IFERROR(TableDailySummary[[#This Row],[Ventas publicidad]]/TableDailySummary[[#This Row],[Inversión publicidad]],0)</f>
        <v>0</v>
      </c>
      <c r="AE171" s="14">
        <f>IFERROR(TableDailySummary[[#This Row],[Ventas primer cliente]]/TableDailySummary[[#This Row],[Inversión publicidad]],0)</f>
        <v>0</v>
      </c>
      <c r="AF171" s="14"/>
      <c r="AG171" s="11"/>
      <c r="AM171" s="11">
        <f>_xlfn.XLOOKUP(TableDailySummary[[#This Row],[Fecha]],SummaryDaily[day],SummaryDaily[net_sales_with_cost_recorded],0)</f>
        <v>0</v>
      </c>
      <c r="AN171" s="11">
        <f>_xlfn.XLOOKUP(TableDailySummary[[#This Row],[Fecha]],SummaryDaily[day],SummaryDaily[cost_of_goods_sold],0)</f>
        <v>0</v>
      </c>
      <c r="AO171" s="11">
        <f>_xlfn.XLOOKUP(TableDailySummary[[#This Row],[Fecha]],SummaryDaily[day],SummaryDaily[gross_profit],0)</f>
        <v>0</v>
      </c>
      <c r="AP171" s="18">
        <f>IFERROR(TableDailySummary[[#This Row],[Utilidad bruta]]/TableDailySummary[[#This Row],[Ventas netas con costo registrado]],0)</f>
        <v>0</v>
      </c>
    </row>
    <row r="172" spans="2:42" x14ac:dyDescent="0.2">
      <c r="B172" s="15" cm="1">
        <f t="array" ref="B172">ParamFechaInicioReporte + (ROW(TableDailySummary[#This Row]) - ROW(TableDailySummary[[#Headers],[Dia]]) - 1)</f>
        <v>44699</v>
      </c>
      <c r="C172" s="6">
        <f>TableDailySummary[[#This Row],[Dia]]</f>
        <v>44699</v>
      </c>
      <c r="D172" s="11">
        <f>_xlfn.XLOOKUP(TableDailySummary[[#This Row],[Fecha]],SummaryDaily[day],SummaryDaily[net_sales],0)</f>
        <v>0</v>
      </c>
      <c r="E172" s="11">
        <f>_xlfn.XLOOKUP(TableDailySummary[[#This Row],[Fecha]],SummaryDaily[day],SummaryDaily[orders],0)</f>
        <v>0</v>
      </c>
      <c r="F172" s="11">
        <f>_xlfn.XLOOKUP(TableDailySummary[[#This Row],[Fecha]],SummaryDaily[day],SummaryDaily[average_order_value],0)</f>
        <v>0</v>
      </c>
      <c r="G172" s="24" cm="1">
        <f t="array" ref="G172">_xlfn.XLOOKUP(TableDailySummary[[#This Row],[Fecha]]&amp;"Total site",ConversionRateByReferral[day]&amp;ConversionRateByReferral[referrer_source],ConversionRateByReferral[conversion_rate],0)</f>
        <v>0</v>
      </c>
      <c r="H172" s="11">
        <f>TableDailySummary[[#This Row],[Órden promedio totales]]*TableDailySummary[[#This Row],[CR totales]]</f>
        <v>0</v>
      </c>
      <c r="I172" s="11">
        <f>_xlfn.XLOOKUP(TableDailySummary[[#This Row],[Fecha]],SummaryDaily[day],SummaryDaily[new_net_sales],0)</f>
        <v>0</v>
      </c>
      <c r="J172" s="11">
        <f>_xlfn.XLOOKUP(TableDailySummary[[#This Row],[Fecha]],SummaryDaily[day],SummaryDaily[new_orders],0)</f>
        <v>0</v>
      </c>
      <c r="K172" s="11">
        <f>_xlfn.XLOOKUP(TableDailySummary[[#This Row],[Fecha]],SummaryDaily[day],SummaryDaily[new_average_order_value],0)</f>
        <v>0</v>
      </c>
      <c r="L172" s="11">
        <f>_xlfn.XLOOKUP(TableDailySummary[[#This Row],[Fecha]],SummaryDaily[day],SummaryDaily[Online Store_net_sales],0)</f>
        <v>0</v>
      </c>
      <c r="M172" s="11">
        <f>_xlfn.XLOOKUP(TableDailySummary[[#This Row],[Fecha]],SummaryDaily[day],SummaryDaily[Online Store_orders],0)</f>
        <v>0</v>
      </c>
      <c r="N172" s="11">
        <f>_xlfn.XLOOKUP(TableDailySummary[[#This Row],[Fecha]],SummaryDaily[day],SummaryDaily[Online Store_average_order_value],0)</f>
        <v>0</v>
      </c>
      <c r="O172" s="11">
        <f>_xlfn.XLOOKUP(TableDailySummary[[#This Row],[Fecha]],SummaryDaily[day],SummaryDaily[Tienda 81_net_sales],0)</f>
        <v>0</v>
      </c>
      <c r="P172" s="11">
        <f>_xlfn.XLOOKUP(TableDailySummary[[#This Row],[Fecha]],SummaryDaily[day],SummaryDaily[Tienda 81_orders],0)</f>
        <v>0</v>
      </c>
      <c r="Q172" s="11">
        <f>_xlfn.XLOOKUP(TableDailySummary[[#This Row],[Fecha]],SummaryDaily[day],SummaryDaily[Tienda 81_average_order_value],0)</f>
        <v>0</v>
      </c>
      <c r="R172" s="11">
        <f>_xlfn.XLOOKUP(TableDailySummary[[#This Row],[Fecha]],SummaryDaily[day],SummaryDaily[Rappi_net_sales],0)</f>
        <v>0</v>
      </c>
      <c r="S172" s="11">
        <f>_xlfn.XLOOKUP(TableDailySummary[[#This Row],[Fecha]],SummaryDaily[day],SummaryDaily[Rappi_orders],0)</f>
        <v>0</v>
      </c>
      <c r="T172" s="11">
        <f>_xlfn.XLOOKUP(TableDailySummary[[#This Row],[Fecha]],SummaryDaily[day],SummaryDaily[Rappi_average_order_value],0)</f>
        <v>0</v>
      </c>
      <c r="U172" s="11">
        <f>_xlfn.XLOOKUP(TableDailySummary[[#This Row],[Fecha]],SummaryDaily[day],SummaryDaily[Corporativo no tienda_net_sales],0)</f>
        <v>0</v>
      </c>
      <c r="V172" s="11">
        <f>_xlfn.XLOOKUP(TableDailySummary[[#This Row],[Fecha]],SummaryDaily[day],SummaryDaily[Corporativo no tienda_orders],0)</f>
        <v>0</v>
      </c>
      <c r="W172" s="11">
        <f>_xlfn.XLOOKUP(TableDailySummary[[#This Row],[Fecha]],SummaryDaily[day],SummaryDaily[Corporativo no tienda_average_order_value],0)</f>
        <v>0</v>
      </c>
      <c r="X172" s="11">
        <f>_xlfn.XLOOKUP(TableDailySummary[[#This Row],[Fecha]],SummaryDaily[day],SummaryDaily[GoogleAdsOperation.Cost],0)</f>
        <v>0</v>
      </c>
      <c r="Y172" s="11">
        <f>SUMIFS(SalesByUTMDaily[google],SalesByUTMDaily[day],TableDailySummary[[#This Row],[Fecha]])</f>
        <v>0</v>
      </c>
      <c r="Z172" s="11">
        <f>_xlfn.XLOOKUP(TableDailySummary[[#This Row],[Fecha]],SummaryDaily[day],SummaryDaily[MetaAdsOperation.spend],0)</f>
        <v>0</v>
      </c>
      <c r="AA172" s="11">
        <f>SUMIFS(SalesByUTMDaily[facebook],SalesByUTMDaily[day],TableDailySummary[[#This Row],[Fecha]])</f>
        <v>0</v>
      </c>
      <c r="AB172" s="11">
        <f>TableDailySummary[[#This Row],[Inversión google ads]]+TableDailySummary[[#This Row],[Inversión meta ads]]</f>
        <v>0</v>
      </c>
      <c r="AC172" s="11">
        <f>TableDailySummary[[#This Row],[Ventas google ads]]+TableDailySummary[[#This Row],[Ventas meta ads]]</f>
        <v>0</v>
      </c>
      <c r="AD172" s="14">
        <f>IFERROR(TableDailySummary[[#This Row],[Ventas publicidad]]/TableDailySummary[[#This Row],[Inversión publicidad]],0)</f>
        <v>0</v>
      </c>
      <c r="AE172" s="14">
        <f>IFERROR(TableDailySummary[[#This Row],[Ventas primer cliente]]/TableDailySummary[[#This Row],[Inversión publicidad]],0)</f>
        <v>0</v>
      </c>
      <c r="AF172" s="14"/>
      <c r="AG172" s="11"/>
      <c r="AM172" s="11">
        <f>_xlfn.XLOOKUP(TableDailySummary[[#This Row],[Fecha]],SummaryDaily[day],SummaryDaily[net_sales_with_cost_recorded],0)</f>
        <v>0</v>
      </c>
      <c r="AN172" s="11">
        <f>_xlfn.XLOOKUP(TableDailySummary[[#This Row],[Fecha]],SummaryDaily[day],SummaryDaily[cost_of_goods_sold],0)</f>
        <v>0</v>
      </c>
      <c r="AO172" s="11">
        <f>_xlfn.XLOOKUP(TableDailySummary[[#This Row],[Fecha]],SummaryDaily[day],SummaryDaily[gross_profit],0)</f>
        <v>0</v>
      </c>
      <c r="AP172" s="18">
        <f>IFERROR(TableDailySummary[[#This Row],[Utilidad bruta]]/TableDailySummary[[#This Row],[Ventas netas con costo registrado]],0)</f>
        <v>0</v>
      </c>
    </row>
    <row r="173" spans="2:42" x14ac:dyDescent="0.2">
      <c r="B173" s="15" cm="1">
        <f t="array" ref="B173">ParamFechaInicioReporte + (ROW(TableDailySummary[#This Row]) - ROW(TableDailySummary[[#Headers],[Dia]]) - 1)</f>
        <v>44700</v>
      </c>
      <c r="C173" s="6">
        <f>TableDailySummary[[#This Row],[Dia]]</f>
        <v>44700</v>
      </c>
      <c r="D173" s="11">
        <f>_xlfn.XLOOKUP(TableDailySummary[[#This Row],[Fecha]],SummaryDaily[day],SummaryDaily[net_sales],0)</f>
        <v>0</v>
      </c>
      <c r="E173" s="11">
        <f>_xlfn.XLOOKUP(TableDailySummary[[#This Row],[Fecha]],SummaryDaily[day],SummaryDaily[orders],0)</f>
        <v>0</v>
      </c>
      <c r="F173" s="11">
        <f>_xlfn.XLOOKUP(TableDailySummary[[#This Row],[Fecha]],SummaryDaily[day],SummaryDaily[average_order_value],0)</f>
        <v>0</v>
      </c>
      <c r="G173" s="24" cm="1">
        <f t="array" ref="G173">_xlfn.XLOOKUP(TableDailySummary[[#This Row],[Fecha]]&amp;"Total site",ConversionRateByReferral[day]&amp;ConversionRateByReferral[referrer_source],ConversionRateByReferral[conversion_rate],0)</f>
        <v>0</v>
      </c>
      <c r="H173" s="11">
        <f>TableDailySummary[[#This Row],[Órden promedio totales]]*TableDailySummary[[#This Row],[CR totales]]</f>
        <v>0</v>
      </c>
      <c r="I173" s="11">
        <f>_xlfn.XLOOKUP(TableDailySummary[[#This Row],[Fecha]],SummaryDaily[day],SummaryDaily[new_net_sales],0)</f>
        <v>0</v>
      </c>
      <c r="J173" s="11">
        <f>_xlfn.XLOOKUP(TableDailySummary[[#This Row],[Fecha]],SummaryDaily[day],SummaryDaily[new_orders],0)</f>
        <v>0</v>
      </c>
      <c r="K173" s="11">
        <f>_xlfn.XLOOKUP(TableDailySummary[[#This Row],[Fecha]],SummaryDaily[day],SummaryDaily[new_average_order_value],0)</f>
        <v>0</v>
      </c>
      <c r="L173" s="11">
        <f>_xlfn.XLOOKUP(TableDailySummary[[#This Row],[Fecha]],SummaryDaily[day],SummaryDaily[Online Store_net_sales],0)</f>
        <v>0</v>
      </c>
      <c r="M173" s="11">
        <f>_xlfn.XLOOKUP(TableDailySummary[[#This Row],[Fecha]],SummaryDaily[day],SummaryDaily[Online Store_orders],0)</f>
        <v>0</v>
      </c>
      <c r="N173" s="11">
        <f>_xlfn.XLOOKUP(TableDailySummary[[#This Row],[Fecha]],SummaryDaily[day],SummaryDaily[Online Store_average_order_value],0)</f>
        <v>0</v>
      </c>
      <c r="O173" s="11">
        <f>_xlfn.XLOOKUP(TableDailySummary[[#This Row],[Fecha]],SummaryDaily[day],SummaryDaily[Tienda 81_net_sales],0)</f>
        <v>0</v>
      </c>
      <c r="P173" s="11">
        <f>_xlfn.XLOOKUP(TableDailySummary[[#This Row],[Fecha]],SummaryDaily[day],SummaryDaily[Tienda 81_orders],0)</f>
        <v>0</v>
      </c>
      <c r="Q173" s="11">
        <f>_xlfn.XLOOKUP(TableDailySummary[[#This Row],[Fecha]],SummaryDaily[day],SummaryDaily[Tienda 81_average_order_value],0)</f>
        <v>0</v>
      </c>
      <c r="R173" s="11">
        <f>_xlfn.XLOOKUP(TableDailySummary[[#This Row],[Fecha]],SummaryDaily[day],SummaryDaily[Rappi_net_sales],0)</f>
        <v>0</v>
      </c>
      <c r="S173" s="11">
        <f>_xlfn.XLOOKUP(TableDailySummary[[#This Row],[Fecha]],SummaryDaily[day],SummaryDaily[Rappi_orders],0)</f>
        <v>0</v>
      </c>
      <c r="T173" s="11">
        <f>_xlfn.XLOOKUP(TableDailySummary[[#This Row],[Fecha]],SummaryDaily[day],SummaryDaily[Rappi_average_order_value],0)</f>
        <v>0</v>
      </c>
      <c r="U173" s="11">
        <f>_xlfn.XLOOKUP(TableDailySummary[[#This Row],[Fecha]],SummaryDaily[day],SummaryDaily[Corporativo no tienda_net_sales],0)</f>
        <v>0</v>
      </c>
      <c r="V173" s="11">
        <f>_xlfn.XLOOKUP(TableDailySummary[[#This Row],[Fecha]],SummaryDaily[day],SummaryDaily[Corporativo no tienda_orders],0)</f>
        <v>0</v>
      </c>
      <c r="W173" s="11">
        <f>_xlfn.XLOOKUP(TableDailySummary[[#This Row],[Fecha]],SummaryDaily[day],SummaryDaily[Corporativo no tienda_average_order_value],0)</f>
        <v>0</v>
      </c>
      <c r="X173" s="11">
        <f>_xlfn.XLOOKUP(TableDailySummary[[#This Row],[Fecha]],SummaryDaily[day],SummaryDaily[GoogleAdsOperation.Cost],0)</f>
        <v>0</v>
      </c>
      <c r="Y173" s="11">
        <f>SUMIFS(SalesByUTMDaily[google],SalesByUTMDaily[day],TableDailySummary[[#This Row],[Fecha]])</f>
        <v>0</v>
      </c>
      <c r="Z173" s="11">
        <f>_xlfn.XLOOKUP(TableDailySummary[[#This Row],[Fecha]],SummaryDaily[day],SummaryDaily[MetaAdsOperation.spend],0)</f>
        <v>0</v>
      </c>
      <c r="AA173" s="11">
        <f>SUMIFS(SalesByUTMDaily[facebook],SalesByUTMDaily[day],TableDailySummary[[#This Row],[Fecha]])</f>
        <v>0</v>
      </c>
      <c r="AB173" s="11">
        <f>TableDailySummary[[#This Row],[Inversión google ads]]+TableDailySummary[[#This Row],[Inversión meta ads]]</f>
        <v>0</v>
      </c>
      <c r="AC173" s="11">
        <f>TableDailySummary[[#This Row],[Ventas google ads]]+TableDailySummary[[#This Row],[Ventas meta ads]]</f>
        <v>0</v>
      </c>
      <c r="AD173" s="14">
        <f>IFERROR(TableDailySummary[[#This Row],[Ventas publicidad]]/TableDailySummary[[#This Row],[Inversión publicidad]],0)</f>
        <v>0</v>
      </c>
      <c r="AE173" s="14">
        <f>IFERROR(TableDailySummary[[#This Row],[Ventas primer cliente]]/TableDailySummary[[#This Row],[Inversión publicidad]],0)</f>
        <v>0</v>
      </c>
      <c r="AF173" s="14"/>
      <c r="AG173" s="11"/>
      <c r="AM173" s="11">
        <f>_xlfn.XLOOKUP(TableDailySummary[[#This Row],[Fecha]],SummaryDaily[day],SummaryDaily[net_sales_with_cost_recorded],0)</f>
        <v>0</v>
      </c>
      <c r="AN173" s="11">
        <f>_xlfn.XLOOKUP(TableDailySummary[[#This Row],[Fecha]],SummaryDaily[day],SummaryDaily[cost_of_goods_sold],0)</f>
        <v>0</v>
      </c>
      <c r="AO173" s="11">
        <f>_xlfn.XLOOKUP(TableDailySummary[[#This Row],[Fecha]],SummaryDaily[day],SummaryDaily[gross_profit],0)</f>
        <v>0</v>
      </c>
      <c r="AP173" s="18">
        <f>IFERROR(TableDailySummary[[#This Row],[Utilidad bruta]]/TableDailySummary[[#This Row],[Ventas netas con costo registrado]],0)</f>
        <v>0</v>
      </c>
    </row>
    <row r="174" spans="2:42" x14ac:dyDescent="0.2">
      <c r="B174" s="15" cm="1">
        <f t="array" ref="B174">ParamFechaInicioReporte + (ROW(TableDailySummary[#This Row]) - ROW(TableDailySummary[[#Headers],[Dia]]) - 1)</f>
        <v>44701</v>
      </c>
      <c r="C174" s="6">
        <f>TableDailySummary[[#This Row],[Dia]]</f>
        <v>44701</v>
      </c>
      <c r="D174" s="11">
        <f>_xlfn.XLOOKUP(TableDailySummary[[#This Row],[Fecha]],SummaryDaily[day],SummaryDaily[net_sales],0)</f>
        <v>0</v>
      </c>
      <c r="E174" s="11">
        <f>_xlfn.XLOOKUP(TableDailySummary[[#This Row],[Fecha]],SummaryDaily[day],SummaryDaily[orders],0)</f>
        <v>0</v>
      </c>
      <c r="F174" s="11">
        <f>_xlfn.XLOOKUP(TableDailySummary[[#This Row],[Fecha]],SummaryDaily[day],SummaryDaily[average_order_value],0)</f>
        <v>0</v>
      </c>
      <c r="G174" s="24" cm="1">
        <f t="array" ref="G174">_xlfn.XLOOKUP(TableDailySummary[[#This Row],[Fecha]]&amp;"Total site",ConversionRateByReferral[day]&amp;ConversionRateByReferral[referrer_source],ConversionRateByReferral[conversion_rate],0)</f>
        <v>0</v>
      </c>
      <c r="H174" s="11">
        <f>TableDailySummary[[#This Row],[Órden promedio totales]]*TableDailySummary[[#This Row],[CR totales]]</f>
        <v>0</v>
      </c>
      <c r="I174" s="11">
        <f>_xlfn.XLOOKUP(TableDailySummary[[#This Row],[Fecha]],SummaryDaily[day],SummaryDaily[new_net_sales],0)</f>
        <v>0</v>
      </c>
      <c r="J174" s="11">
        <f>_xlfn.XLOOKUP(TableDailySummary[[#This Row],[Fecha]],SummaryDaily[day],SummaryDaily[new_orders],0)</f>
        <v>0</v>
      </c>
      <c r="K174" s="11">
        <f>_xlfn.XLOOKUP(TableDailySummary[[#This Row],[Fecha]],SummaryDaily[day],SummaryDaily[new_average_order_value],0)</f>
        <v>0</v>
      </c>
      <c r="L174" s="11">
        <f>_xlfn.XLOOKUP(TableDailySummary[[#This Row],[Fecha]],SummaryDaily[day],SummaryDaily[Online Store_net_sales],0)</f>
        <v>0</v>
      </c>
      <c r="M174" s="11">
        <f>_xlfn.XLOOKUP(TableDailySummary[[#This Row],[Fecha]],SummaryDaily[day],SummaryDaily[Online Store_orders],0)</f>
        <v>0</v>
      </c>
      <c r="N174" s="11">
        <f>_xlfn.XLOOKUP(TableDailySummary[[#This Row],[Fecha]],SummaryDaily[day],SummaryDaily[Online Store_average_order_value],0)</f>
        <v>0</v>
      </c>
      <c r="O174" s="11">
        <f>_xlfn.XLOOKUP(TableDailySummary[[#This Row],[Fecha]],SummaryDaily[day],SummaryDaily[Tienda 81_net_sales],0)</f>
        <v>0</v>
      </c>
      <c r="P174" s="11">
        <f>_xlfn.XLOOKUP(TableDailySummary[[#This Row],[Fecha]],SummaryDaily[day],SummaryDaily[Tienda 81_orders],0)</f>
        <v>0</v>
      </c>
      <c r="Q174" s="11">
        <f>_xlfn.XLOOKUP(TableDailySummary[[#This Row],[Fecha]],SummaryDaily[day],SummaryDaily[Tienda 81_average_order_value],0)</f>
        <v>0</v>
      </c>
      <c r="R174" s="11">
        <f>_xlfn.XLOOKUP(TableDailySummary[[#This Row],[Fecha]],SummaryDaily[day],SummaryDaily[Rappi_net_sales],0)</f>
        <v>0</v>
      </c>
      <c r="S174" s="11">
        <f>_xlfn.XLOOKUP(TableDailySummary[[#This Row],[Fecha]],SummaryDaily[day],SummaryDaily[Rappi_orders],0)</f>
        <v>0</v>
      </c>
      <c r="T174" s="11">
        <f>_xlfn.XLOOKUP(TableDailySummary[[#This Row],[Fecha]],SummaryDaily[day],SummaryDaily[Rappi_average_order_value],0)</f>
        <v>0</v>
      </c>
      <c r="U174" s="11">
        <f>_xlfn.XLOOKUP(TableDailySummary[[#This Row],[Fecha]],SummaryDaily[day],SummaryDaily[Corporativo no tienda_net_sales],0)</f>
        <v>0</v>
      </c>
      <c r="V174" s="11">
        <f>_xlfn.XLOOKUP(TableDailySummary[[#This Row],[Fecha]],SummaryDaily[day],SummaryDaily[Corporativo no tienda_orders],0)</f>
        <v>0</v>
      </c>
      <c r="W174" s="11">
        <f>_xlfn.XLOOKUP(TableDailySummary[[#This Row],[Fecha]],SummaryDaily[day],SummaryDaily[Corporativo no tienda_average_order_value],0)</f>
        <v>0</v>
      </c>
      <c r="X174" s="11">
        <f>_xlfn.XLOOKUP(TableDailySummary[[#This Row],[Fecha]],SummaryDaily[day],SummaryDaily[GoogleAdsOperation.Cost],0)</f>
        <v>0</v>
      </c>
      <c r="Y174" s="11">
        <f>SUMIFS(SalesByUTMDaily[google],SalesByUTMDaily[day],TableDailySummary[[#This Row],[Fecha]])</f>
        <v>0</v>
      </c>
      <c r="Z174" s="11">
        <f>_xlfn.XLOOKUP(TableDailySummary[[#This Row],[Fecha]],SummaryDaily[day],SummaryDaily[MetaAdsOperation.spend],0)</f>
        <v>0</v>
      </c>
      <c r="AA174" s="11">
        <f>SUMIFS(SalesByUTMDaily[facebook],SalesByUTMDaily[day],TableDailySummary[[#This Row],[Fecha]])</f>
        <v>0</v>
      </c>
      <c r="AB174" s="11">
        <f>TableDailySummary[[#This Row],[Inversión google ads]]+TableDailySummary[[#This Row],[Inversión meta ads]]</f>
        <v>0</v>
      </c>
      <c r="AC174" s="11">
        <f>TableDailySummary[[#This Row],[Ventas google ads]]+TableDailySummary[[#This Row],[Ventas meta ads]]</f>
        <v>0</v>
      </c>
      <c r="AD174" s="14">
        <f>IFERROR(TableDailySummary[[#This Row],[Ventas publicidad]]/TableDailySummary[[#This Row],[Inversión publicidad]],0)</f>
        <v>0</v>
      </c>
      <c r="AE174" s="14">
        <f>IFERROR(TableDailySummary[[#This Row],[Ventas primer cliente]]/TableDailySummary[[#This Row],[Inversión publicidad]],0)</f>
        <v>0</v>
      </c>
      <c r="AF174" s="14"/>
      <c r="AG174" s="11"/>
      <c r="AM174" s="11">
        <f>_xlfn.XLOOKUP(TableDailySummary[[#This Row],[Fecha]],SummaryDaily[day],SummaryDaily[net_sales_with_cost_recorded],0)</f>
        <v>0</v>
      </c>
      <c r="AN174" s="11">
        <f>_xlfn.XLOOKUP(TableDailySummary[[#This Row],[Fecha]],SummaryDaily[day],SummaryDaily[cost_of_goods_sold],0)</f>
        <v>0</v>
      </c>
      <c r="AO174" s="11">
        <f>_xlfn.XLOOKUP(TableDailySummary[[#This Row],[Fecha]],SummaryDaily[day],SummaryDaily[gross_profit],0)</f>
        <v>0</v>
      </c>
      <c r="AP174" s="18">
        <f>IFERROR(TableDailySummary[[#This Row],[Utilidad bruta]]/TableDailySummary[[#This Row],[Ventas netas con costo registrado]],0)</f>
        <v>0</v>
      </c>
    </row>
    <row r="175" spans="2:42" x14ac:dyDescent="0.2">
      <c r="B175" s="15" cm="1">
        <f t="array" ref="B175">ParamFechaInicioReporte + (ROW(TableDailySummary[#This Row]) - ROW(TableDailySummary[[#Headers],[Dia]]) - 1)</f>
        <v>44702</v>
      </c>
      <c r="C175" s="6">
        <f>TableDailySummary[[#This Row],[Dia]]</f>
        <v>44702</v>
      </c>
      <c r="D175" s="11">
        <f>_xlfn.XLOOKUP(TableDailySummary[[#This Row],[Fecha]],SummaryDaily[day],SummaryDaily[net_sales],0)</f>
        <v>0</v>
      </c>
      <c r="E175" s="11">
        <f>_xlfn.XLOOKUP(TableDailySummary[[#This Row],[Fecha]],SummaryDaily[day],SummaryDaily[orders],0)</f>
        <v>0</v>
      </c>
      <c r="F175" s="11">
        <f>_xlfn.XLOOKUP(TableDailySummary[[#This Row],[Fecha]],SummaryDaily[day],SummaryDaily[average_order_value],0)</f>
        <v>0</v>
      </c>
      <c r="G175" s="24" cm="1">
        <f t="array" ref="G175">_xlfn.XLOOKUP(TableDailySummary[[#This Row],[Fecha]]&amp;"Total site",ConversionRateByReferral[day]&amp;ConversionRateByReferral[referrer_source],ConversionRateByReferral[conversion_rate],0)</f>
        <v>0</v>
      </c>
      <c r="H175" s="11">
        <f>TableDailySummary[[#This Row],[Órden promedio totales]]*TableDailySummary[[#This Row],[CR totales]]</f>
        <v>0</v>
      </c>
      <c r="I175" s="11">
        <f>_xlfn.XLOOKUP(TableDailySummary[[#This Row],[Fecha]],SummaryDaily[day],SummaryDaily[new_net_sales],0)</f>
        <v>0</v>
      </c>
      <c r="J175" s="11">
        <f>_xlfn.XLOOKUP(TableDailySummary[[#This Row],[Fecha]],SummaryDaily[day],SummaryDaily[new_orders],0)</f>
        <v>0</v>
      </c>
      <c r="K175" s="11">
        <f>_xlfn.XLOOKUP(TableDailySummary[[#This Row],[Fecha]],SummaryDaily[day],SummaryDaily[new_average_order_value],0)</f>
        <v>0</v>
      </c>
      <c r="L175" s="11">
        <f>_xlfn.XLOOKUP(TableDailySummary[[#This Row],[Fecha]],SummaryDaily[day],SummaryDaily[Online Store_net_sales],0)</f>
        <v>0</v>
      </c>
      <c r="M175" s="11">
        <f>_xlfn.XLOOKUP(TableDailySummary[[#This Row],[Fecha]],SummaryDaily[day],SummaryDaily[Online Store_orders],0)</f>
        <v>0</v>
      </c>
      <c r="N175" s="11">
        <f>_xlfn.XLOOKUP(TableDailySummary[[#This Row],[Fecha]],SummaryDaily[day],SummaryDaily[Online Store_average_order_value],0)</f>
        <v>0</v>
      </c>
      <c r="O175" s="11">
        <f>_xlfn.XLOOKUP(TableDailySummary[[#This Row],[Fecha]],SummaryDaily[day],SummaryDaily[Tienda 81_net_sales],0)</f>
        <v>0</v>
      </c>
      <c r="P175" s="11">
        <f>_xlfn.XLOOKUP(TableDailySummary[[#This Row],[Fecha]],SummaryDaily[day],SummaryDaily[Tienda 81_orders],0)</f>
        <v>0</v>
      </c>
      <c r="Q175" s="11">
        <f>_xlfn.XLOOKUP(TableDailySummary[[#This Row],[Fecha]],SummaryDaily[day],SummaryDaily[Tienda 81_average_order_value],0)</f>
        <v>0</v>
      </c>
      <c r="R175" s="11">
        <f>_xlfn.XLOOKUP(TableDailySummary[[#This Row],[Fecha]],SummaryDaily[day],SummaryDaily[Rappi_net_sales],0)</f>
        <v>0</v>
      </c>
      <c r="S175" s="11">
        <f>_xlfn.XLOOKUP(TableDailySummary[[#This Row],[Fecha]],SummaryDaily[day],SummaryDaily[Rappi_orders],0)</f>
        <v>0</v>
      </c>
      <c r="T175" s="11">
        <f>_xlfn.XLOOKUP(TableDailySummary[[#This Row],[Fecha]],SummaryDaily[day],SummaryDaily[Rappi_average_order_value],0)</f>
        <v>0</v>
      </c>
      <c r="U175" s="11">
        <f>_xlfn.XLOOKUP(TableDailySummary[[#This Row],[Fecha]],SummaryDaily[day],SummaryDaily[Corporativo no tienda_net_sales],0)</f>
        <v>0</v>
      </c>
      <c r="V175" s="11">
        <f>_xlfn.XLOOKUP(TableDailySummary[[#This Row],[Fecha]],SummaryDaily[day],SummaryDaily[Corporativo no tienda_orders],0)</f>
        <v>0</v>
      </c>
      <c r="W175" s="11">
        <f>_xlfn.XLOOKUP(TableDailySummary[[#This Row],[Fecha]],SummaryDaily[day],SummaryDaily[Corporativo no tienda_average_order_value],0)</f>
        <v>0</v>
      </c>
      <c r="X175" s="11">
        <f>_xlfn.XLOOKUP(TableDailySummary[[#This Row],[Fecha]],SummaryDaily[day],SummaryDaily[GoogleAdsOperation.Cost],0)</f>
        <v>0</v>
      </c>
      <c r="Y175" s="11">
        <f>SUMIFS(SalesByUTMDaily[google],SalesByUTMDaily[day],TableDailySummary[[#This Row],[Fecha]])</f>
        <v>0</v>
      </c>
      <c r="Z175" s="11">
        <f>_xlfn.XLOOKUP(TableDailySummary[[#This Row],[Fecha]],SummaryDaily[day],SummaryDaily[MetaAdsOperation.spend],0)</f>
        <v>0</v>
      </c>
      <c r="AA175" s="11">
        <f>SUMIFS(SalesByUTMDaily[facebook],SalesByUTMDaily[day],TableDailySummary[[#This Row],[Fecha]])</f>
        <v>0</v>
      </c>
      <c r="AB175" s="11">
        <f>TableDailySummary[[#This Row],[Inversión google ads]]+TableDailySummary[[#This Row],[Inversión meta ads]]</f>
        <v>0</v>
      </c>
      <c r="AC175" s="11">
        <f>TableDailySummary[[#This Row],[Ventas google ads]]+TableDailySummary[[#This Row],[Ventas meta ads]]</f>
        <v>0</v>
      </c>
      <c r="AD175" s="14">
        <f>IFERROR(TableDailySummary[[#This Row],[Ventas publicidad]]/TableDailySummary[[#This Row],[Inversión publicidad]],0)</f>
        <v>0</v>
      </c>
      <c r="AE175" s="14">
        <f>IFERROR(TableDailySummary[[#This Row],[Ventas primer cliente]]/TableDailySummary[[#This Row],[Inversión publicidad]],0)</f>
        <v>0</v>
      </c>
      <c r="AF175" s="14"/>
      <c r="AG175" s="11"/>
      <c r="AM175" s="11">
        <f>_xlfn.XLOOKUP(TableDailySummary[[#This Row],[Fecha]],SummaryDaily[day],SummaryDaily[net_sales_with_cost_recorded],0)</f>
        <v>0</v>
      </c>
      <c r="AN175" s="11">
        <f>_xlfn.XLOOKUP(TableDailySummary[[#This Row],[Fecha]],SummaryDaily[day],SummaryDaily[cost_of_goods_sold],0)</f>
        <v>0</v>
      </c>
      <c r="AO175" s="11">
        <f>_xlfn.XLOOKUP(TableDailySummary[[#This Row],[Fecha]],SummaryDaily[day],SummaryDaily[gross_profit],0)</f>
        <v>0</v>
      </c>
      <c r="AP175" s="18">
        <f>IFERROR(TableDailySummary[[#This Row],[Utilidad bruta]]/TableDailySummary[[#This Row],[Ventas netas con costo registrado]],0)</f>
        <v>0</v>
      </c>
    </row>
    <row r="176" spans="2:42" x14ac:dyDescent="0.2">
      <c r="B176" s="15" cm="1">
        <f t="array" ref="B176">ParamFechaInicioReporte + (ROW(TableDailySummary[#This Row]) - ROW(TableDailySummary[[#Headers],[Dia]]) - 1)</f>
        <v>44703</v>
      </c>
      <c r="C176" s="6">
        <f>TableDailySummary[[#This Row],[Dia]]</f>
        <v>44703</v>
      </c>
      <c r="D176" s="11">
        <f>_xlfn.XLOOKUP(TableDailySummary[[#This Row],[Fecha]],SummaryDaily[day],SummaryDaily[net_sales],0)</f>
        <v>0</v>
      </c>
      <c r="E176" s="11">
        <f>_xlfn.XLOOKUP(TableDailySummary[[#This Row],[Fecha]],SummaryDaily[day],SummaryDaily[orders],0)</f>
        <v>0</v>
      </c>
      <c r="F176" s="11">
        <f>_xlfn.XLOOKUP(TableDailySummary[[#This Row],[Fecha]],SummaryDaily[day],SummaryDaily[average_order_value],0)</f>
        <v>0</v>
      </c>
      <c r="G176" s="24" cm="1">
        <f t="array" ref="G176">_xlfn.XLOOKUP(TableDailySummary[[#This Row],[Fecha]]&amp;"Total site",ConversionRateByReferral[day]&amp;ConversionRateByReferral[referrer_source],ConversionRateByReferral[conversion_rate],0)</f>
        <v>0</v>
      </c>
      <c r="H176" s="11">
        <f>TableDailySummary[[#This Row],[Órden promedio totales]]*TableDailySummary[[#This Row],[CR totales]]</f>
        <v>0</v>
      </c>
      <c r="I176" s="11">
        <f>_xlfn.XLOOKUP(TableDailySummary[[#This Row],[Fecha]],SummaryDaily[day],SummaryDaily[new_net_sales],0)</f>
        <v>0</v>
      </c>
      <c r="J176" s="11">
        <f>_xlfn.XLOOKUP(TableDailySummary[[#This Row],[Fecha]],SummaryDaily[day],SummaryDaily[new_orders],0)</f>
        <v>0</v>
      </c>
      <c r="K176" s="11">
        <f>_xlfn.XLOOKUP(TableDailySummary[[#This Row],[Fecha]],SummaryDaily[day],SummaryDaily[new_average_order_value],0)</f>
        <v>0</v>
      </c>
      <c r="L176" s="11">
        <f>_xlfn.XLOOKUP(TableDailySummary[[#This Row],[Fecha]],SummaryDaily[day],SummaryDaily[Online Store_net_sales],0)</f>
        <v>0</v>
      </c>
      <c r="M176" s="11">
        <f>_xlfn.XLOOKUP(TableDailySummary[[#This Row],[Fecha]],SummaryDaily[day],SummaryDaily[Online Store_orders],0)</f>
        <v>0</v>
      </c>
      <c r="N176" s="11">
        <f>_xlfn.XLOOKUP(TableDailySummary[[#This Row],[Fecha]],SummaryDaily[day],SummaryDaily[Online Store_average_order_value],0)</f>
        <v>0</v>
      </c>
      <c r="O176" s="11">
        <f>_xlfn.XLOOKUP(TableDailySummary[[#This Row],[Fecha]],SummaryDaily[day],SummaryDaily[Tienda 81_net_sales],0)</f>
        <v>0</v>
      </c>
      <c r="P176" s="11">
        <f>_xlfn.XLOOKUP(TableDailySummary[[#This Row],[Fecha]],SummaryDaily[day],SummaryDaily[Tienda 81_orders],0)</f>
        <v>0</v>
      </c>
      <c r="Q176" s="11">
        <f>_xlfn.XLOOKUP(TableDailySummary[[#This Row],[Fecha]],SummaryDaily[day],SummaryDaily[Tienda 81_average_order_value],0)</f>
        <v>0</v>
      </c>
      <c r="R176" s="11">
        <f>_xlfn.XLOOKUP(TableDailySummary[[#This Row],[Fecha]],SummaryDaily[day],SummaryDaily[Rappi_net_sales],0)</f>
        <v>0</v>
      </c>
      <c r="S176" s="11">
        <f>_xlfn.XLOOKUP(TableDailySummary[[#This Row],[Fecha]],SummaryDaily[day],SummaryDaily[Rappi_orders],0)</f>
        <v>0</v>
      </c>
      <c r="T176" s="11">
        <f>_xlfn.XLOOKUP(TableDailySummary[[#This Row],[Fecha]],SummaryDaily[day],SummaryDaily[Rappi_average_order_value],0)</f>
        <v>0</v>
      </c>
      <c r="U176" s="11">
        <f>_xlfn.XLOOKUP(TableDailySummary[[#This Row],[Fecha]],SummaryDaily[day],SummaryDaily[Corporativo no tienda_net_sales],0)</f>
        <v>0</v>
      </c>
      <c r="V176" s="11">
        <f>_xlfn.XLOOKUP(TableDailySummary[[#This Row],[Fecha]],SummaryDaily[day],SummaryDaily[Corporativo no tienda_orders],0)</f>
        <v>0</v>
      </c>
      <c r="W176" s="11">
        <f>_xlfn.XLOOKUP(TableDailySummary[[#This Row],[Fecha]],SummaryDaily[day],SummaryDaily[Corporativo no tienda_average_order_value],0)</f>
        <v>0</v>
      </c>
      <c r="X176" s="11">
        <f>_xlfn.XLOOKUP(TableDailySummary[[#This Row],[Fecha]],SummaryDaily[day],SummaryDaily[GoogleAdsOperation.Cost],0)</f>
        <v>0</v>
      </c>
      <c r="Y176" s="11">
        <f>SUMIFS(SalesByUTMDaily[google],SalesByUTMDaily[day],TableDailySummary[[#This Row],[Fecha]])</f>
        <v>0</v>
      </c>
      <c r="Z176" s="11">
        <f>_xlfn.XLOOKUP(TableDailySummary[[#This Row],[Fecha]],SummaryDaily[day],SummaryDaily[MetaAdsOperation.spend],0)</f>
        <v>0</v>
      </c>
      <c r="AA176" s="11">
        <f>SUMIFS(SalesByUTMDaily[facebook],SalesByUTMDaily[day],TableDailySummary[[#This Row],[Fecha]])</f>
        <v>0</v>
      </c>
      <c r="AB176" s="11">
        <f>TableDailySummary[[#This Row],[Inversión google ads]]+TableDailySummary[[#This Row],[Inversión meta ads]]</f>
        <v>0</v>
      </c>
      <c r="AC176" s="11">
        <f>TableDailySummary[[#This Row],[Ventas google ads]]+TableDailySummary[[#This Row],[Ventas meta ads]]</f>
        <v>0</v>
      </c>
      <c r="AD176" s="14">
        <f>IFERROR(TableDailySummary[[#This Row],[Ventas publicidad]]/TableDailySummary[[#This Row],[Inversión publicidad]],0)</f>
        <v>0</v>
      </c>
      <c r="AE176" s="14">
        <f>IFERROR(TableDailySummary[[#This Row],[Ventas primer cliente]]/TableDailySummary[[#This Row],[Inversión publicidad]],0)</f>
        <v>0</v>
      </c>
      <c r="AF176" s="14"/>
      <c r="AG176" s="11"/>
      <c r="AM176" s="11">
        <f>_xlfn.XLOOKUP(TableDailySummary[[#This Row],[Fecha]],SummaryDaily[day],SummaryDaily[net_sales_with_cost_recorded],0)</f>
        <v>0</v>
      </c>
      <c r="AN176" s="11">
        <f>_xlfn.XLOOKUP(TableDailySummary[[#This Row],[Fecha]],SummaryDaily[day],SummaryDaily[cost_of_goods_sold],0)</f>
        <v>0</v>
      </c>
      <c r="AO176" s="11">
        <f>_xlfn.XLOOKUP(TableDailySummary[[#This Row],[Fecha]],SummaryDaily[day],SummaryDaily[gross_profit],0)</f>
        <v>0</v>
      </c>
      <c r="AP176" s="18">
        <f>IFERROR(TableDailySummary[[#This Row],[Utilidad bruta]]/TableDailySummary[[#This Row],[Ventas netas con costo registrado]],0)</f>
        <v>0</v>
      </c>
    </row>
    <row r="177" spans="2:42" x14ac:dyDescent="0.2">
      <c r="B177" s="15" cm="1">
        <f t="array" ref="B177">ParamFechaInicioReporte + (ROW(TableDailySummary[#This Row]) - ROW(TableDailySummary[[#Headers],[Dia]]) - 1)</f>
        <v>44704</v>
      </c>
      <c r="C177" s="6">
        <f>TableDailySummary[[#This Row],[Dia]]</f>
        <v>44704</v>
      </c>
      <c r="D177" s="11">
        <f>_xlfn.XLOOKUP(TableDailySummary[[#This Row],[Fecha]],SummaryDaily[day],SummaryDaily[net_sales],0)</f>
        <v>0</v>
      </c>
      <c r="E177" s="11">
        <f>_xlfn.XLOOKUP(TableDailySummary[[#This Row],[Fecha]],SummaryDaily[day],SummaryDaily[orders],0)</f>
        <v>0</v>
      </c>
      <c r="F177" s="11">
        <f>_xlfn.XLOOKUP(TableDailySummary[[#This Row],[Fecha]],SummaryDaily[day],SummaryDaily[average_order_value],0)</f>
        <v>0</v>
      </c>
      <c r="G177" s="24" cm="1">
        <f t="array" ref="G177">_xlfn.XLOOKUP(TableDailySummary[[#This Row],[Fecha]]&amp;"Total site",ConversionRateByReferral[day]&amp;ConversionRateByReferral[referrer_source],ConversionRateByReferral[conversion_rate],0)</f>
        <v>0</v>
      </c>
      <c r="H177" s="11">
        <f>TableDailySummary[[#This Row],[Órden promedio totales]]*TableDailySummary[[#This Row],[CR totales]]</f>
        <v>0</v>
      </c>
      <c r="I177" s="11">
        <f>_xlfn.XLOOKUP(TableDailySummary[[#This Row],[Fecha]],SummaryDaily[day],SummaryDaily[new_net_sales],0)</f>
        <v>0</v>
      </c>
      <c r="J177" s="11">
        <f>_xlfn.XLOOKUP(TableDailySummary[[#This Row],[Fecha]],SummaryDaily[day],SummaryDaily[new_orders],0)</f>
        <v>0</v>
      </c>
      <c r="K177" s="11">
        <f>_xlfn.XLOOKUP(TableDailySummary[[#This Row],[Fecha]],SummaryDaily[day],SummaryDaily[new_average_order_value],0)</f>
        <v>0</v>
      </c>
      <c r="L177" s="11">
        <f>_xlfn.XLOOKUP(TableDailySummary[[#This Row],[Fecha]],SummaryDaily[day],SummaryDaily[Online Store_net_sales],0)</f>
        <v>0</v>
      </c>
      <c r="M177" s="11">
        <f>_xlfn.XLOOKUP(TableDailySummary[[#This Row],[Fecha]],SummaryDaily[day],SummaryDaily[Online Store_orders],0)</f>
        <v>0</v>
      </c>
      <c r="N177" s="11">
        <f>_xlfn.XLOOKUP(TableDailySummary[[#This Row],[Fecha]],SummaryDaily[day],SummaryDaily[Online Store_average_order_value],0)</f>
        <v>0</v>
      </c>
      <c r="O177" s="11">
        <f>_xlfn.XLOOKUP(TableDailySummary[[#This Row],[Fecha]],SummaryDaily[day],SummaryDaily[Tienda 81_net_sales],0)</f>
        <v>0</v>
      </c>
      <c r="P177" s="11">
        <f>_xlfn.XLOOKUP(TableDailySummary[[#This Row],[Fecha]],SummaryDaily[day],SummaryDaily[Tienda 81_orders],0)</f>
        <v>0</v>
      </c>
      <c r="Q177" s="11">
        <f>_xlfn.XLOOKUP(TableDailySummary[[#This Row],[Fecha]],SummaryDaily[day],SummaryDaily[Tienda 81_average_order_value],0)</f>
        <v>0</v>
      </c>
      <c r="R177" s="11">
        <f>_xlfn.XLOOKUP(TableDailySummary[[#This Row],[Fecha]],SummaryDaily[day],SummaryDaily[Rappi_net_sales],0)</f>
        <v>0</v>
      </c>
      <c r="S177" s="11">
        <f>_xlfn.XLOOKUP(TableDailySummary[[#This Row],[Fecha]],SummaryDaily[day],SummaryDaily[Rappi_orders],0)</f>
        <v>0</v>
      </c>
      <c r="T177" s="11">
        <f>_xlfn.XLOOKUP(TableDailySummary[[#This Row],[Fecha]],SummaryDaily[day],SummaryDaily[Rappi_average_order_value],0)</f>
        <v>0</v>
      </c>
      <c r="U177" s="11">
        <f>_xlfn.XLOOKUP(TableDailySummary[[#This Row],[Fecha]],SummaryDaily[day],SummaryDaily[Corporativo no tienda_net_sales],0)</f>
        <v>0</v>
      </c>
      <c r="V177" s="11">
        <f>_xlfn.XLOOKUP(TableDailySummary[[#This Row],[Fecha]],SummaryDaily[day],SummaryDaily[Corporativo no tienda_orders],0)</f>
        <v>0</v>
      </c>
      <c r="W177" s="11">
        <f>_xlfn.XLOOKUP(TableDailySummary[[#This Row],[Fecha]],SummaryDaily[day],SummaryDaily[Corporativo no tienda_average_order_value],0)</f>
        <v>0</v>
      </c>
      <c r="X177" s="11">
        <f>_xlfn.XLOOKUP(TableDailySummary[[#This Row],[Fecha]],SummaryDaily[day],SummaryDaily[GoogleAdsOperation.Cost],0)</f>
        <v>0</v>
      </c>
      <c r="Y177" s="11">
        <f>SUMIFS(SalesByUTMDaily[google],SalesByUTMDaily[day],TableDailySummary[[#This Row],[Fecha]])</f>
        <v>0</v>
      </c>
      <c r="Z177" s="11">
        <f>_xlfn.XLOOKUP(TableDailySummary[[#This Row],[Fecha]],SummaryDaily[day],SummaryDaily[MetaAdsOperation.spend],0)</f>
        <v>0</v>
      </c>
      <c r="AA177" s="11">
        <f>SUMIFS(SalesByUTMDaily[facebook],SalesByUTMDaily[day],TableDailySummary[[#This Row],[Fecha]])</f>
        <v>0</v>
      </c>
      <c r="AB177" s="11">
        <f>TableDailySummary[[#This Row],[Inversión google ads]]+TableDailySummary[[#This Row],[Inversión meta ads]]</f>
        <v>0</v>
      </c>
      <c r="AC177" s="11">
        <f>TableDailySummary[[#This Row],[Ventas google ads]]+TableDailySummary[[#This Row],[Ventas meta ads]]</f>
        <v>0</v>
      </c>
      <c r="AD177" s="14">
        <f>IFERROR(TableDailySummary[[#This Row],[Ventas publicidad]]/TableDailySummary[[#This Row],[Inversión publicidad]],0)</f>
        <v>0</v>
      </c>
      <c r="AE177" s="14">
        <f>IFERROR(TableDailySummary[[#This Row],[Ventas primer cliente]]/TableDailySummary[[#This Row],[Inversión publicidad]],0)</f>
        <v>0</v>
      </c>
      <c r="AF177" s="14"/>
      <c r="AG177" s="11"/>
      <c r="AM177" s="11">
        <f>_xlfn.XLOOKUP(TableDailySummary[[#This Row],[Fecha]],SummaryDaily[day],SummaryDaily[net_sales_with_cost_recorded],0)</f>
        <v>0</v>
      </c>
      <c r="AN177" s="11">
        <f>_xlfn.XLOOKUP(TableDailySummary[[#This Row],[Fecha]],SummaryDaily[day],SummaryDaily[cost_of_goods_sold],0)</f>
        <v>0</v>
      </c>
      <c r="AO177" s="11">
        <f>_xlfn.XLOOKUP(TableDailySummary[[#This Row],[Fecha]],SummaryDaily[day],SummaryDaily[gross_profit],0)</f>
        <v>0</v>
      </c>
      <c r="AP177" s="18">
        <f>IFERROR(TableDailySummary[[#This Row],[Utilidad bruta]]/TableDailySummary[[#This Row],[Ventas netas con costo registrado]],0)</f>
        <v>0</v>
      </c>
    </row>
    <row r="178" spans="2:42" x14ac:dyDescent="0.2">
      <c r="B178" s="15" cm="1">
        <f t="array" ref="B178">ParamFechaInicioReporte + (ROW(TableDailySummary[#This Row]) - ROW(TableDailySummary[[#Headers],[Dia]]) - 1)</f>
        <v>44705</v>
      </c>
      <c r="C178" s="6">
        <f>TableDailySummary[[#This Row],[Dia]]</f>
        <v>44705</v>
      </c>
      <c r="D178" s="11">
        <f>_xlfn.XLOOKUP(TableDailySummary[[#This Row],[Fecha]],SummaryDaily[day],SummaryDaily[net_sales],0)</f>
        <v>0</v>
      </c>
      <c r="E178" s="11">
        <f>_xlfn.XLOOKUP(TableDailySummary[[#This Row],[Fecha]],SummaryDaily[day],SummaryDaily[orders],0)</f>
        <v>0</v>
      </c>
      <c r="F178" s="11">
        <f>_xlfn.XLOOKUP(TableDailySummary[[#This Row],[Fecha]],SummaryDaily[day],SummaryDaily[average_order_value],0)</f>
        <v>0</v>
      </c>
      <c r="G178" s="24" cm="1">
        <f t="array" ref="G178">_xlfn.XLOOKUP(TableDailySummary[[#This Row],[Fecha]]&amp;"Total site",ConversionRateByReferral[day]&amp;ConversionRateByReferral[referrer_source],ConversionRateByReferral[conversion_rate],0)</f>
        <v>0</v>
      </c>
      <c r="H178" s="11">
        <f>TableDailySummary[[#This Row],[Órden promedio totales]]*TableDailySummary[[#This Row],[CR totales]]</f>
        <v>0</v>
      </c>
      <c r="I178" s="11">
        <f>_xlfn.XLOOKUP(TableDailySummary[[#This Row],[Fecha]],SummaryDaily[day],SummaryDaily[new_net_sales],0)</f>
        <v>0</v>
      </c>
      <c r="J178" s="11">
        <f>_xlfn.XLOOKUP(TableDailySummary[[#This Row],[Fecha]],SummaryDaily[day],SummaryDaily[new_orders],0)</f>
        <v>0</v>
      </c>
      <c r="K178" s="11">
        <f>_xlfn.XLOOKUP(TableDailySummary[[#This Row],[Fecha]],SummaryDaily[day],SummaryDaily[new_average_order_value],0)</f>
        <v>0</v>
      </c>
      <c r="L178" s="11">
        <f>_xlfn.XLOOKUP(TableDailySummary[[#This Row],[Fecha]],SummaryDaily[day],SummaryDaily[Online Store_net_sales],0)</f>
        <v>0</v>
      </c>
      <c r="M178" s="11">
        <f>_xlfn.XLOOKUP(TableDailySummary[[#This Row],[Fecha]],SummaryDaily[day],SummaryDaily[Online Store_orders],0)</f>
        <v>0</v>
      </c>
      <c r="N178" s="11">
        <f>_xlfn.XLOOKUP(TableDailySummary[[#This Row],[Fecha]],SummaryDaily[day],SummaryDaily[Online Store_average_order_value],0)</f>
        <v>0</v>
      </c>
      <c r="O178" s="11">
        <f>_xlfn.XLOOKUP(TableDailySummary[[#This Row],[Fecha]],SummaryDaily[day],SummaryDaily[Tienda 81_net_sales],0)</f>
        <v>0</v>
      </c>
      <c r="P178" s="11">
        <f>_xlfn.XLOOKUP(TableDailySummary[[#This Row],[Fecha]],SummaryDaily[day],SummaryDaily[Tienda 81_orders],0)</f>
        <v>0</v>
      </c>
      <c r="Q178" s="11">
        <f>_xlfn.XLOOKUP(TableDailySummary[[#This Row],[Fecha]],SummaryDaily[day],SummaryDaily[Tienda 81_average_order_value],0)</f>
        <v>0</v>
      </c>
      <c r="R178" s="11">
        <f>_xlfn.XLOOKUP(TableDailySummary[[#This Row],[Fecha]],SummaryDaily[day],SummaryDaily[Rappi_net_sales],0)</f>
        <v>0</v>
      </c>
      <c r="S178" s="11">
        <f>_xlfn.XLOOKUP(TableDailySummary[[#This Row],[Fecha]],SummaryDaily[day],SummaryDaily[Rappi_orders],0)</f>
        <v>0</v>
      </c>
      <c r="T178" s="11">
        <f>_xlfn.XLOOKUP(TableDailySummary[[#This Row],[Fecha]],SummaryDaily[day],SummaryDaily[Rappi_average_order_value],0)</f>
        <v>0</v>
      </c>
      <c r="U178" s="11">
        <f>_xlfn.XLOOKUP(TableDailySummary[[#This Row],[Fecha]],SummaryDaily[day],SummaryDaily[Corporativo no tienda_net_sales],0)</f>
        <v>0</v>
      </c>
      <c r="V178" s="11">
        <f>_xlfn.XLOOKUP(TableDailySummary[[#This Row],[Fecha]],SummaryDaily[day],SummaryDaily[Corporativo no tienda_orders],0)</f>
        <v>0</v>
      </c>
      <c r="W178" s="11">
        <f>_xlfn.XLOOKUP(TableDailySummary[[#This Row],[Fecha]],SummaryDaily[day],SummaryDaily[Corporativo no tienda_average_order_value],0)</f>
        <v>0</v>
      </c>
      <c r="X178" s="11">
        <f>_xlfn.XLOOKUP(TableDailySummary[[#This Row],[Fecha]],SummaryDaily[day],SummaryDaily[GoogleAdsOperation.Cost],0)</f>
        <v>0</v>
      </c>
      <c r="Y178" s="11">
        <f>SUMIFS(SalesByUTMDaily[google],SalesByUTMDaily[day],TableDailySummary[[#This Row],[Fecha]])</f>
        <v>0</v>
      </c>
      <c r="Z178" s="11">
        <f>_xlfn.XLOOKUP(TableDailySummary[[#This Row],[Fecha]],SummaryDaily[day],SummaryDaily[MetaAdsOperation.spend],0)</f>
        <v>0</v>
      </c>
      <c r="AA178" s="11">
        <f>SUMIFS(SalesByUTMDaily[facebook],SalesByUTMDaily[day],TableDailySummary[[#This Row],[Fecha]])</f>
        <v>0</v>
      </c>
      <c r="AB178" s="11">
        <f>TableDailySummary[[#This Row],[Inversión google ads]]+TableDailySummary[[#This Row],[Inversión meta ads]]</f>
        <v>0</v>
      </c>
      <c r="AC178" s="11">
        <f>TableDailySummary[[#This Row],[Ventas google ads]]+TableDailySummary[[#This Row],[Ventas meta ads]]</f>
        <v>0</v>
      </c>
      <c r="AD178" s="14">
        <f>IFERROR(TableDailySummary[[#This Row],[Ventas publicidad]]/TableDailySummary[[#This Row],[Inversión publicidad]],0)</f>
        <v>0</v>
      </c>
      <c r="AE178" s="14">
        <f>IFERROR(TableDailySummary[[#This Row],[Ventas primer cliente]]/TableDailySummary[[#This Row],[Inversión publicidad]],0)</f>
        <v>0</v>
      </c>
      <c r="AF178" s="14"/>
      <c r="AG178" s="11"/>
      <c r="AM178" s="11">
        <f>_xlfn.XLOOKUP(TableDailySummary[[#This Row],[Fecha]],SummaryDaily[day],SummaryDaily[net_sales_with_cost_recorded],0)</f>
        <v>0</v>
      </c>
      <c r="AN178" s="11">
        <f>_xlfn.XLOOKUP(TableDailySummary[[#This Row],[Fecha]],SummaryDaily[day],SummaryDaily[cost_of_goods_sold],0)</f>
        <v>0</v>
      </c>
      <c r="AO178" s="11">
        <f>_xlfn.XLOOKUP(TableDailySummary[[#This Row],[Fecha]],SummaryDaily[day],SummaryDaily[gross_profit],0)</f>
        <v>0</v>
      </c>
      <c r="AP178" s="18">
        <f>IFERROR(TableDailySummary[[#This Row],[Utilidad bruta]]/TableDailySummary[[#This Row],[Ventas netas con costo registrado]],0)</f>
        <v>0</v>
      </c>
    </row>
    <row r="179" spans="2:42" x14ac:dyDescent="0.2">
      <c r="B179" s="15" cm="1">
        <f t="array" ref="B179">ParamFechaInicioReporte + (ROW(TableDailySummary[#This Row]) - ROW(TableDailySummary[[#Headers],[Dia]]) - 1)</f>
        <v>44706</v>
      </c>
      <c r="C179" s="6">
        <f>TableDailySummary[[#This Row],[Dia]]</f>
        <v>44706</v>
      </c>
      <c r="D179" s="11">
        <f>_xlfn.XLOOKUP(TableDailySummary[[#This Row],[Fecha]],SummaryDaily[day],SummaryDaily[net_sales],0)</f>
        <v>0</v>
      </c>
      <c r="E179" s="11">
        <f>_xlfn.XLOOKUP(TableDailySummary[[#This Row],[Fecha]],SummaryDaily[day],SummaryDaily[orders],0)</f>
        <v>0</v>
      </c>
      <c r="F179" s="11">
        <f>_xlfn.XLOOKUP(TableDailySummary[[#This Row],[Fecha]],SummaryDaily[day],SummaryDaily[average_order_value],0)</f>
        <v>0</v>
      </c>
      <c r="G179" s="24" cm="1">
        <f t="array" ref="G179">_xlfn.XLOOKUP(TableDailySummary[[#This Row],[Fecha]]&amp;"Total site",ConversionRateByReferral[day]&amp;ConversionRateByReferral[referrer_source],ConversionRateByReferral[conversion_rate],0)</f>
        <v>0</v>
      </c>
      <c r="H179" s="11">
        <f>TableDailySummary[[#This Row],[Órden promedio totales]]*TableDailySummary[[#This Row],[CR totales]]</f>
        <v>0</v>
      </c>
      <c r="I179" s="11">
        <f>_xlfn.XLOOKUP(TableDailySummary[[#This Row],[Fecha]],SummaryDaily[day],SummaryDaily[new_net_sales],0)</f>
        <v>0</v>
      </c>
      <c r="J179" s="11">
        <f>_xlfn.XLOOKUP(TableDailySummary[[#This Row],[Fecha]],SummaryDaily[day],SummaryDaily[new_orders],0)</f>
        <v>0</v>
      </c>
      <c r="K179" s="11">
        <f>_xlfn.XLOOKUP(TableDailySummary[[#This Row],[Fecha]],SummaryDaily[day],SummaryDaily[new_average_order_value],0)</f>
        <v>0</v>
      </c>
      <c r="L179" s="11">
        <f>_xlfn.XLOOKUP(TableDailySummary[[#This Row],[Fecha]],SummaryDaily[day],SummaryDaily[Online Store_net_sales],0)</f>
        <v>0</v>
      </c>
      <c r="M179" s="11">
        <f>_xlfn.XLOOKUP(TableDailySummary[[#This Row],[Fecha]],SummaryDaily[day],SummaryDaily[Online Store_orders],0)</f>
        <v>0</v>
      </c>
      <c r="N179" s="11">
        <f>_xlfn.XLOOKUP(TableDailySummary[[#This Row],[Fecha]],SummaryDaily[day],SummaryDaily[Online Store_average_order_value],0)</f>
        <v>0</v>
      </c>
      <c r="O179" s="11">
        <f>_xlfn.XLOOKUP(TableDailySummary[[#This Row],[Fecha]],SummaryDaily[day],SummaryDaily[Tienda 81_net_sales],0)</f>
        <v>0</v>
      </c>
      <c r="P179" s="11">
        <f>_xlfn.XLOOKUP(TableDailySummary[[#This Row],[Fecha]],SummaryDaily[day],SummaryDaily[Tienda 81_orders],0)</f>
        <v>0</v>
      </c>
      <c r="Q179" s="11">
        <f>_xlfn.XLOOKUP(TableDailySummary[[#This Row],[Fecha]],SummaryDaily[day],SummaryDaily[Tienda 81_average_order_value],0)</f>
        <v>0</v>
      </c>
      <c r="R179" s="11">
        <f>_xlfn.XLOOKUP(TableDailySummary[[#This Row],[Fecha]],SummaryDaily[day],SummaryDaily[Rappi_net_sales],0)</f>
        <v>0</v>
      </c>
      <c r="S179" s="11">
        <f>_xlfn.XLOOKUP(TableDailySummary[[#This Row],[Fecha]],SummaryDaily[day],SummaryDaily[Rappi_orders],0)</f>
        <v>0</v>
      </c>
      <c r="T179" s="11">
        <f>_xlfn.XLOOKUP(TableDailySummary[[#This Row],[Fecha]],SummaryDaily[day],SummaryDaily[Rappi_average_order_value],0)</f>
        <v>0</v>
      </c>
      <c r="U179" s="11">
        <f>_xlfn.XLOOKUP(TableDailySummary[[#This Row],[Fecha]],SummaryDaily[day],SummaryDaily[Corporativo no tienda_net_sales],0)</f>
        <v>0</v>
      </c>
      <c r="V179" s="11">
        <f>_xlfn.XLOOKUP(TableDailySummary[[#This Row],[Fecha]],SummaryDaily[day],SummaryDaily[Corporativo no tienda_orders],0)</f>
        <v>0</v>
      </c>
      <c r="W179" s="11">
        <f>_xlfn.XLOOKUP(TableDailySummary[[#This Row],[Fecha]],SummaryDaily[day],SummaryDaily[Corporativo no tienda_average_order_value],0)</f>
        <v>0</v>
      </c>
      <c r="X179" s="11">
        <f>_xlfn.XLOOKUP(TableDailySummary[[#This Row],[Fecha]],SummaryDaily[day],SummaryDaily[GoogleAdsOperation.Cost],0)</f>
        <v>0</v>
      </c>
      <c r="Y179" s="11">
        <f>SUMIFS(SalesByUTMDaily[google],SalesByUTMDaily[day],TableDailySummary[[#This Row],[Fecha]])</f>
        <v>0</v>
      </c>
      <c r="Z179" s="11">
        <f>_xlfn.XLOOKUP(TableDailySummary[[#This Row],[Fecha]],SummaryDaily[day],SummaryDaily[MetaAdsOperation.spend],0)</f>
        <v>0</v>
      </c>
      <c r="AA179" s="11">
        <f>SUMIFS(SalesByUTMDaily[facebook],SalesByUTMDaily[day],TableDailySummary[[#This Row],[Fecha]])</f>
        <v>0</v>
      </c>
      <c r="AB179" s="11">
        <f>TableDailySummary[[#This Row],[Inversión google ads]]+TableDailySummary[[#This Row],[Inversión meta ads]]</f>
        <v>0</v>
      </c>
      <c r="AC179" s="11">
        <f>TableDailySummary[[#This Row],[Ventas google ads]]+TableDailySummary[[#This Row],[Ventas meta ads]]</f>
        <v>0</v>
      </c>
      <c r="AD179" s="14">
        <f>IFERROR(TableDailySummary[[#This Row],[Ventas publicidad]]/TableDailySummary[[#This Row],[Inversión publicidad]],0)</f>
        <v>0</v>
      </c>
      <c r="AE179" s="14">
        <f>IFERROR(TableDailySummary[[#This Row],[Ventas primer cliente]]/TableDailySummary[[#This Row],[Inversión publicidad]],0)</f>
        <v>0</v>
      </c>
      <c r="AF179" s="14"/>
      <c r="AG179" s="11"/>
      <c r="AM179" s="11">
        <f>_xlfn.XLOOKUP(TableDailySummary[[#This Row],[Fecha]],SummaryDaily[day],SummaryDaily[net_sales_with_cost_recorded],0)</f>
        <v>0</v>
      </c>
      <c r="AN179" s="11">
        <f>_xlfn.XLOOKUP(TableDailySummary[[#This Row],[Fecha]],SummaryDaily[day],SummaryDaily[cost_of_goods_sold],0)</f>
        <v>0</v>
      </c>
      <c r="AO179" s="11">
        <f>_xlfn.XLOOKUP(TableDailySummary[[#This Row],[Fecha]],SummaryDaily[day],SummaryDaily[gross_profit],0)</f>
        <v>0</v>
      </c>
      <c r="AP179" s="18">
        <f>IFERROR(TableDailySummary[[#This Row],[Utilidad bruta]]/TableDailySummary[[#This Row],[Ventas netas con costo registrado]],0)</f>
        <v>0</v>
      </c>
    </row>
    <row r="180" spans="2:42" x14ac:dyDescent="0.2">
      <c r="B180" s="15" cm="1">
        <f t="array" ref="B180">ParamFechaInicioReporte + (ROW(TableDailySummary[#This Row]) - ROW(TableDailySummary[[#Headers],[Dia]]) - 1)</f>
        <v>44707</v>
      </c>
      <c r="C180" s="6">
        <f>TableDailySummary[[#This Row],[Dia]]</f>
        <v>44707</v>
      </c>
      <c r="D180" s="11">
        <f>_xlfn.XLOOKUP(TableDailySummary[[#This Row],[Fecha]],SummaryDaily[day],SummaryDaily[net_sales],0)</f>
        <v>0</v>
      </c>
      <c r="E180" s="11">
        <f>_xlfn.XLOOKUP(TableDailySummary[[#This Row],[Fecha]],SummaryDaily[day],SummaryDaily[orders],0)</f>
        <v>0</v>
      </c>
      <c r="F180" s="11">
        <f>_xlfn.XLOOKUP(TableDailySummary[[#This Row],[Fecha]],SummaryDaily[day],SummaryDaily[average_order_value],0)</f>
        <v>0</v>
      </c>
      <c r="G180" s="24" cm="1">
        <f t="array" ref="G180">_xlfn.XLOOKUP(TableDailySummary[[#This Row],[Fecha]]&amp;"Total site",ConversionRateByReferral[day]&amp;ConversionRateByReferral[referrer_source],ConversionRateByReferral[conversion_rate],0)</f>
        <v>0</v>
      </c>
      <c r="H180" s="11">
        <f>TableDailySummary[[#This Row],[Órden promedio totales]]*TableDailySummary[[#This Row],[CR totales]]</f>
        <v>0</v>
      </c>
      <c r="I180" s="11">
        <f>_xlfn.XLOOKUP(TableDailySummary[[#This Row],[Fecha]],SummaryDaily[day],SummaryDaily[new_net_sales],0)</f>
        <v>0</v>
      </c>
      <c r="J180" s="11">
        <f>_xlfn.XLOOKUP(TableDailySummary[[#This Row],[Fecha]],SummaryDaily[day],SummaryDaily[new_orders],0)</f>
        <v>0</v>
      </c>
      <c r="K180" s="11">
        <f>_xlfn.XLOOKUP(TableDailySummary[[#This Row],[Fecha]],SummaryDaily[day],SummaryDaily[new_average_order_value],0)</f>
        <v>0</v>
      </c>
      <c r="L180" s="11">
        <f>_xlfn.XLOOKUP(TableDailySummary[[#This Row],[Fecha]],SummaryDaily[day],SummaryDaily[Online Store_net_sales],0)</f>
        <v>0</v>
      </c>
      <c r="M180" s="11">
        <f>_xlfn.XLOOKUP(TableDailySummary[[#This Row],[Fecha]],SummaryDaily[day],SummaryDaily[Online Store_orders],0)</f>
        <v>0</v>
      </c>
      <c r="N180" s="11">
        <f>_xlfn.XLOOKUP(TableDailySummary[[#This Row],[Fecha]],SummaryDaily[day],SummaryDaily[Online Store_average_order_value],0)</f>
        <v>0</v>
      </c>
      <c r="O180" s="11">
        <f>_xlfn.XLOOKUP(TableDailySummary[[#This Row],[Fecha]],SummaryDaily[day],SummaryDaily[Tienda 81_net_sales],0)</f>
        <v>0</v>
      </c>
      <c r="P180" s="11">
        <f>_xlfn.XLOOKUP(TableDailySummary[[#This Row],[Fecha]],SummaryDaily[day],SummaryDaily[Tienda 81_orders],0)</f>
        <v>0</v>
      </c>
      <c r="Q180" s="11">
        <f>_xlfn.XLOOKUP(TableDailySummary[[#This Row],[Fecha]],SummaryDaily[day],SummaryDaily[Tienda 81_average_order_value],0)</f>
        <v>0</v>
      </c>
      <c r="R180" s="11">
        <f>_xlfn.XLOOKUP(TableDailySummary[[#This Row],[Fecha]],SummaryDaily[day],SummaryDaily[Rappi_net_sales],0)</f>
        <v>0</v>
      </c>
      <c r="S180" s="11">
        <f>_xlfn.XLOOKUP(TableDailySummary[[#This Row],[Fecha]],SummaryDaily[day],SummaryDaily[Rappi_orders],0)</f>
        <v>0</v>
      </c>
      <c r="T180" s="11">
        <f>_xlfn.XLOOKUP(TableDailySummary[[#This Row],[Fecha]],SummaryDaily[day],SummaryDaily[Rappi_average_order_value],0)</f>
        <v>0</v>
      </c>
      <c r="U180" s="11">
        <f>_xlfn.XLOOKUP(TableDailySummary[[#This Row],[Fecha]],SummaryDaily[day],SummaryDaily[Corporativo no tienda_net_sales],0)</f>
        <v>0</v>
      </c>
      <c r="V180" s="11">
        <f>_xlfn.XLOOKUP(TableDailySummary[[#This Row],[Fecha]],SummaryDaily[day],SummaryDaily[Corporativo no tienda_orders],0)</f>
        <v>0</v>
      </c>
      <c r="W180" s="11">
        <f>_xlfn.XLOOKUP(TableDailySummary[[#This Row],[Fecha]],SummaryDaily[day],SummaryDaily[Corporativo no tienda_average_order_value],0)</f>
        <v>0</v>
      </c>
      <c r="X180" s="11">
        <f>_xlfn.XLOOKUP(TableDailySummary[[#This Row],[Fecha]],SummaryDaily[day],SummaryDaily[GoogleAdsOperation.Cost],0)</f>
        <v>0</v>
      </c>
      <c r="Y180" s="11">
        <f>SUMIFS(SalesByUTMDaily[google],SalesByUTMDaily[day],TableDailySummary[[#This Row],[Fecha]])</f>
        <v>0</v>
      </c>
      <c r="Z180" s="11">
        <f>_xlfn.XLOOKUP(TableDailySummary[[#This Row],[Fecha]],SummaryDaily[day],SummaryDaily[MetaAdsOperation.spend],0)</f>
        <v>0</v>
      </c>
      <c r="AA180" s="11">
        <f>SUMIFS(SalesByUTMDaily[facebook],SalesByUTMDaily[day],TableDailySummary[[#This Row],[Fecha]])</f>
        <v>0</v>
      </c>
      <c r="AB180" s="11">
        <f>TableDailySummary[[#This Row],[Inversión google ads]]+TableDailySummary[[#This Row],[Inversión meta ads]]</f>
        <v>0</v>
      </c>
      <c r="AC180" s="11">
        <f>TableDailySummary[[#This Row],[Ventas google ads]]+TableDailySummary[[#This Row],[Ventas meta ads]]</f>
        <v>0</v>
      </c>
      <c r="AD180" s="14">
        <f>IFERROR(TableDailySummary[[#This Row],[Ventas publicidad]]/TableDailySummary[[#This Row],[Inversión publicidad]],0)</f>
        <v>0</v>
      </c>
      <c r="AE180" s="14">
        <f>IFERROR(TableDailySummary[[#This Row],[Ventas primer cliente]]/TableDailySummary[[#This Row],[Inversión publicidad]],0)</f>
        <v>0</v>
      </c>
      <c r="AF180" s="14"/>
      <c r="AG180" s="11"/>
      <c r="AM180" s="11">
        <f>_xlfn.XLOOKUP(TableDailySummary[[#This Row],[Fecha]],SummaryDaily[day],SummaryDaily[net_sales_with_cost_recorded],0)</f>
        <v>0</v>
      </c>
      <c r="AN180" s="11">
        <f>_xlfn.XLOOKUP(TableDailySummary[[#This Row],[Fecha]],SummaryDaily[day],SummaryDaily[cost_of_goods_sold],0)</f>
        <v>0</v>
      </c>
      <c r="AO180" s="11">
        <f>_xlfn.XLOOKUP(TableDailySummary[[#This Row],[Fecha]],SummaryDaily[day],SummaryDaily[gross_profit],0)</f>
        <v>0</v>
      </c>
      <c r="AP180" s="18">
        <f>IFERROR(TableDailySummary[[#This Row],[Utilidad bruta]]/TableDailySummary[[#This Row],[Ventas netas con costo registrado]],0)</f>
        <v>0</v>
      </c>
    </row>
    <row r="181" spans="2:42" x14ac:dyDescent="0.2">
      <c r="B181" s="15" cm="1">
        <f t="array" ref="B181">ParamFechaInicioReporte + (ROW(TableDailySummary[#This Row]) - ROW(TableDailySummary[[#Headers],[Dia]]) - 1)</f>
        <v>44708</v>
      </c>
      <c r="C181" s="6">
        <f>TableDailySummary[[#This Row],[Dia]]</f>
        <v>44708</v>
      </c>
      <c r="D181" s="11">
        <f>_xlfn.XLOOKUP(TableDailySummary[[#This Row],[Fecha]],SummaryDaily[day],SummaryDaily[net_sales],0)</f>
        <v>0</v>
      </c>
      <c r="E181" s="11">
        <f>_xlfn.XLOOKUP(TableDailySummary[[#This Row],[Fecha]],SummaryDaily[day],SummaryDaily[orders],0)</f>
        <v>0</v>
      </c>
      <c r="F181" s="11">
        <f>_xlfn.XLOOKUP(TableDailySummary[[#This Row],[Fecha]],SummaryDaily[day],SummaryDaily[average_order_value],0)</f>
        <v>0</v>
      </c>
      <c r="G181" s="24" cm="1">
        <f t="array" ref="G181">_xlfn.XLOOKUP(TableDailySummary[[#This Row],[Fecha]]&amp;"Total site",ConversionRateByReferral[day]&amp;ConversionRateByReferral[referrer_source],ConversionRateByReferral[conversion_rate],0)</f>
        <v>0</v>
      </c>
      <c r="H181" s="11">
        <f>TableDailySummary[[#This Row],[Órden promedio totales]]*TableDailySummary[[#This Row],[CR totales]]</f>
        <v>0</v>
      </c>
      <c r="I181" s="11">
        <f>_xlfn.XLOOKUP(TableDailySummary[[#This Row],[Fecha]],SummaryDaily[day],SummaryDaily[new_net_sales],0)</f>
        <v>0</v>
      </c>
      <c r="J181" s="11">
        <f>_xlfn.XLOOKUP(TableDailySummary[[#This Row],[Fecha]],SummaryDaily[day],SummaryDaily[new_orders],0)</f>
        <v>0</v>
      </c>
      <c r="K181" s="11">
        <f>_xlfn.XLOOKUP(TableDailySummary[[#This Row],[Fecha]],SummaryDaily[day],SummaryDaily[new_average_order_value],0)</f>
        <v>0</v>
      </c>
      <c r="L181" s="11">
        <f>_xlfn.XLOOKUP(TableDailySummary[[#This Row],[Fecha]],SummaryDaily[day],SummaryDaily[Online Store_net_sales],0)</f>
        <v>0</v>
      </c>
      <c r="M181" s="11">
        <f>_xlfn.XLOOKUP(TableDailySummary[[#This Row],[Fecha]],SummaryDaily[day],SummaryDaily[Online Store_orders],0)</f>
        <v>0</v>
      </c>
      <c r="N181" s="11">
        <f>_xlfn.XLOOKUP(TableDailySummary[[#This Row],[Fecha]],SummaryDaily[day],SummaryDaily[Online Store_average_order_value],0)</f>
        <v>0</v>
      </c>
      <c r="O181" s="11">
        <f>_xlfn.XLOOKUP(TableDailySummary[[#This Row],[Fecha]],SummaryDaily[day],SummaryDaily[Tienda 81_net_sales],0)</f>
        <v>0</v>
      </c>
      <c r="P181" s="11">
        <f>_xlfn.XLOOKUP(TableDailySummary[[#This Row],[Fecha]],SummaryDaily[day],SummaryDaily[Tienda 81_orders],0)</f>
        <v>0</v>
      </c>
      <c r="Q181" s="11">
        <f>_xlfn.XLOOKUP(TableDailySummary[[#This Row],[Fecha]],SummaryDaily[day],SummaryDaily[Tienda 81_average_order_value],0)</f>
        <v>0</v>
      </c>
      <c r="R181" s="11">
        <f>_xlfn.XLOOKUP(TableDailySummary[[#This Row],[Fecha]],SummaryDaily[day],SummaryDaily[Rappi_net_sales],0)</f>
        <v>0</v>
      </c>
      <c r="S181" s="11">
        <f>_xlfn.XLOOKUP(TableDailySummary[[#This Row],[Fecha]],SummaryDaily[day],SummaryDaily[Rappi_orders],0)</f>
        <v>0</v>
      </c>
      <c r="T181" s="11">
        <f>_xlfn.XLOOKUP(TableDailySummary[[#This Row],[Fecha]],SummaryDaily[day],SummaryDaily[Rappi_average_order_value],0)</f>
        <v>0</v>
      </c>
      <c r="U181" s="11">
        <f>_xlfn.XLOOKUP(TableDailySummary[[#This Row],[Fecha]],SummaryDaily[day],SummaryDaily[Corporativo no tienda_net_sales],0)</f>
        <v>0</v>
      </c>
      <c r="V181" s="11">
        <f>_xlfn.XLOOKUP(TableDailySummary[[#This Row],[Fecha]],SummaryDaily[day],SummaryDaily[Corporativo no tienda_orders],0)</f>
        <v>0</v>
      </c>
      <c r="W181" s="11">
        <f>_xlfn.XLOOKUP(TableDailySummary[[#This Row],[Fecha]],SummaryDaily[day],SummaryDaily[Corporativo no tienda_average_order_value],0)</f>
        <v>0</v>
      </c>
      <c r="X181" s="11">
        <f>_xlfn.XLOOKUP(TableDailySummary[[#This Row],[Fecha]],SummaryDaily[day],SummaryDaily[GoogleAdsOperation.Cost],0)</f>
        <v>0</v>
      </c>
      <c r="Y181" s="11">
        <f>SUMIFS(SalesByUTMDaily[google],SalesByUTMDaily[day],TableDailySummary[[#This Row],[Fecha]])</f>
        <v>0</v>
      </c>
      <c r="Z181" s="11">
        <f>_xlfn.XLOOKUP(TableDailySummary[[#This Row],[Fecha]],SummaryDaily[day],SummaryDaily[MetaAdsOperation.spend],0)</f>
        <v>0</v>
      </c>
      <c r="AA181" s="11">
        <f>SUMIFS(SalesByUTMDaily[facebook],SalesByUTMDaily[day],TableDailySummary[[#This Row],[Fecha]])</f>
        <v>0</v>
      </c>
      <c r="AB181" s="11">
        <f>TableDailySummary[[#This Row],[Inversión google ads]]+TableDailySummary[[#This Row],[Inversión meta ads]]</f>
        <v>0</v>
      </c>
      <c r="AC181" s="11">
        <f>TableDailySummary[[#This Row],[Ventas google ads]]+TableDailySummary[[#This Row],[Ventas meta ads]]</f>
        <v>0</v>
      </c>
      <c r="AD181" s="14">
        <f>IFERROR(TableDailySummary[[#This Row],[Ventas publicidad]]/TableDailySummary[[#This Row],[Inversión publicidad]],0)</f>
        <v>0</v>
      </c>
      <c r="AE181" s="14">
        <f>IFERROR(TableDailySummary[[#This Row],[Ventas primer cliente]]/TableDailySummary[[#This Row],[Inversión publicidad]],0)</f>
        <v>0</v>
      </c>
      <c r="AF181" s="14"/>
      <c r="AG181" s="11"/>
      <c r="AM181" s="11">
        <f>_xlfn.XLOOKUP(TableDailySummary[[#This Row],[Fecha]],SummaryDaily[day],SummaryDaily[net_sales_with_cost_recorded],0)</f>
        <v>0</v>
      </c>
      <c r="AN181" s="11">
        <f>_xlfn.XLOOKUP(TableDailySummary[[#This Row],[Fecha]],SummaryDaily[day],SummaryDaily[cost_of_goods_sold],0)</f>
        <v>0</v>
      </c>
      <c r="AO181" s="11">
        <f>_xlfn.XLOOKUP(TableDailySummary[[#This Row],[Fecha]],SummaryDaily[day],SummaryDaily[gross_profit],0)</f>
        <v>0</v>
      </c>
      <c r="AP181" s="18">
        <f>IFERROR(TableDailySummary[[#This Row],[Utilidad bruta]]/TableDailySummary[[#This Row],[Ventas netas con costo registrado]],0)</f>
        <v>0</v>
      </c>
    </row>
    <row r="182" spans="2:42" x14ac:dyDescent="0.2">
      <c r="B182" s="15" cm="1">
        <f t="array" ref="B182">ParamFechaInicioReporte + (ROW(TableDailySummary[#This Row]) - ROW(TableDailySummary[[#Headers],[Dia]]) - 1)</f>
        <v>44709</v>
      </c>
      <c r="C182" s="6">
        <f>TableDailySummary[[#This Row],[Dia]]</f>
        <v>44709</v>
      </c>
      <c r="D182" s="11">
        <f>_xlfn.XLOOKUP(TableDailySummary[[#This Row],[Fecha]],SummaryDaily[day],SummaryDaily[net_sales],0)</f>
        <v>0</v>
      </c>
      <c r="E182" s="11">
        <f>_xlfn.XLOOKUP(TableDailySummary[[#This Row],[Fecha]],SummaryDaily[day],SummaryDaily[orders],0)</f>
        <v>0</v>
      </c>
      <c r="F182" s="11">
        <f>_xlfn.XLOOKUP(TableDailySummary[[#This Row],[Fecha]],SummaryDaily[day],SummaryDaily[average_order_value],0)</f>
        <v>0</v>
      </c>
      <c r="G182" s="24" cm="1">
        <f t="array" ref="G182">_xlfn.XLOOKUP(TableDailySummary[[#This Row],[Fecha]]&amp;"Total site",ConversionRateByReferral[day]&amp;ConversionRateByReferral[referrer_source],ConversionRateByReferral[conversion_rate],0)</f>
        <v>0</v>
      </c>
      <c r="H182" s="11">
        <f>TableDailySummary[[#This Row],[Órden promedio totales]]*TableDailySummary[[#This Row],[CR totales]]</f>
        <v>0</v>
      </c>
      <c r="I182" s="11">
        <f>_xlfn.XLOOKUP(TableDailySummary[[#This Row],[Fecha]],SummaryDaily[day],SummaryDaily[new_net_sales],0)</f>
        <v>0</v>
      </c>
      <c r="J182" s="11">
        <f>_xlfn.XLOOKUP(TableDailySummary[[#This Row],[Fecha]],SummaryDaily[day],SummaryDaily[new_orders],0)</f>
        <v>0</v>
      </c>
      <c r="K182" s="11">
        <f>_xlfn.XLOOKUP(TableDailySummary[[#This Row],[Fecha]],SummaryDaily[day],SummaryDaily[new_average_order_value],0)</f>
        <v>0</v>
      </c>
      <c r="L182" s="11">
        <f>_xlfn.XLOOKUP(TableDailySummary[[#This Row],[Fecha]],SummaryDaily[day],SummaryDaily[Online Store_net_sales],0)</f>
        <v>0</v>
      </c>
      <c r="M182" s="11">
        <f>_xlfn.XLOOKUP(TableDailySummary[[#This Row],[Fecha]],SummaryDaily[day],SummaryDaily[Online Store_orders],0)</f>
        <v>0</v>
      </c>
      <c r="N182" s="11">
        <f>_xlfn.XLOOKUP(TableDailySummary[[#This Row],[Fecha]],SummaryDaily[day],SummaryDaily[Online Store_average_order_value],0)</f>
        <v>0</v>
      </c>
      <c r="O182" s="11">
        <f>_xlfn.XLOOKUP(TableDailySummary[[#This Row],[Fecha]],SummaryDaily[day],SummaryDaily[Tienda 81_net_sales],0)</f>
        <v>0</v>
      </c>
      <c r="P182" s="11">
        <f>_xlfn.XLOOKUP(TableDailySummary[[#This Row],[Fecha]],SummaryDaily[day],SummaryDaily[Tienda 81_orders],0)</f>
        <v>0</v>
      </c>
      <c r="Q182" s="11">
        <f>_xlfn.XLOOKUP(TableDailySummary[[#This Row],[Fecha]],SummaryDaily[day],SummaryDaily[Tienda 81_average_order_value],0)</f>
        <v>0</v>
      </c>
      <c r="R182" s="11">
        <f>_xlfn.XLOOKUP(TableDailySummary[[#This Row],[Fecha]],SummaryDaily[day],SummaryDaily[Rappi_net_sales],0)</f>
        <v>0</v>
      </c>
      <c r="S182" s="11">
        <f>_xlfn.XLOOKUP(TableDailySummary[[#This Row],[Fecha]],SummaryDaily[day],SummaryDaily[Rappi_orders],0)</f>
        <v>0</v>
      </c>
      <c r="T182" s="11">
        <f>_xlfn.XLOOKUP(TableDailySummary[[#This Row],[Fecha]],SummaryDaily[day],SummaryDaily[Rappi_average_order_value],0)</f>
        <v>0</v>
      </c>
      <c r="U182" s="11">
        <f>_xlfn.XLOOKUP(TableDailySummary[[#This Row],[Fecha]],SummaryDaily[day],SummaryDaily[Corporativo no tienda_net_sales],0)</f>
        <v>0</v>
      </c>
      <c r="V182" s="11">
        <f>_xlfn.XLOOKUP(TableDailySummary[[#This Row],[Fecha]],SummaryDaily[day],SummaryDaily[Corporativo no tienda_orders],0)</f>
        <v>0</v>
      </c>
      <c r="W182" s="11">
        <f>_xlfn.XLOOKUP(TableDailySummary[[#This Row],[Fecha]],SummaryDaily[day],SummaryDaily[Corporativo no tienda_average_order_value],0)</f>
        <v>0</v>
      </c>
      <c r="X182" s="11">
        <f>_xlfn.XLOOKUP(TableDailySummary[[#This Row],[Fecha]],SummaryDaily[day],SummaryDaily[GoogleAdsOperation.Cost],0)</f>
        <v>0</v>
      </c>
      <c r="Y182" s="11">
        <f>SUMIFS(SalesByUTMDaily[google],SalesByUTMDaily[day],TableDailySummary[[#This Row],[Fecha]])</f>
        <v>0</v>
      </c>
      <c r="Z182" s="11">
        <f>_xlfn.XLOOKUP(TableDailySummary[[#This Row],[Fecha]],SummaryDaily[day],SummaryDaily[MetaAdsOperation.spend],0)</f>
        <v>0</v>
      </c>
      <c r="AA182" s="11">
        <f>SUMIFS(SalesByUTMDaily[facebook],SalesByUTMDaily[day],TableDailySummary[[#This Row],[Fecha]])</f>
        <v>0</v>
      </c>
      <c r="AB182" s="11">
        <f>TableDailySummary[[#This Row],[Inversión google ads]]+TableDailySummary[[#This Row],[Inversión meta ads]]</f>
        <v>0</v>
      </c>
      <c r="AC182" s="11">
        <f>TableDailySummary[[#This Row],[Ventas google ads]]+TableDailySummary[[#This Row],[Ventas meta ads]]</f>
        <v>0</v>
      </c>
      <c r="AD182" s="14">
        <f>IFERROR(TableDailySummary[[#This Row],[Ventas publicidad]]/TableDailySummary[[#This Row],[Inversión publicidad]],0)</f>
        <v>0</v>
      </c>
      <c r="AE182" s="14">
        <f>IFERROR(TableDailySummary[[#This Row],[Ventas primer cliente]]/TableDailySummary[[#This Row],[Inversión publicidad]],0)</f>
        <v>0</v>
      </c>
      <c r="AF182" s="14"/>
      <c r="AG182" s="11"/>
      <c r="AM182" s="11">
        <f>_xlfn.XLOOKUP(TableDailySummary[[#This Row],[Fecha]],SummaryDaily[day],SummaryDaily[net_sales_with_cost_recorded],0)</f>
        <v>0</v>
      </c>
      <c r="AN182" s="11">
        <f>_xlfn.XLOOKUP(TableDailySummary[[#This Row],[Fecha]],SummaryDaily[day],SummaryDaily[cost_of_goods_sold],0)</f>
        <v>0</v>
      </c>
      <c r="AO182" s="11">
        <f>_xlfn.XLOOKUP(TableDailySummary[[#This Row],[Fecha]],SummaryDaily[day],SummaryDaily[gross_profit],0)</f>
        <v>0</v>
      </c>
      <c r="AP182" s="18">
        <f>IFERROR(TableDailySummary[[#This Row],[Utilidad bruta]]/TableDailySummary[[#This Row],[Ventas netas con costo registrado]],0)</f>
        <v>0</v>
      </c>
    </row>
    <row r="183" spans="2:42" x14ac:dyDescent="0.2">
      <c r="B183" s="15" cm="1">
        <f t="array" ref="B183">ParamFechaInicioReporte + (ROW(TableDailySummary[#This Row]) - ROW(TableDailySummary[[#Headers],[Dia]]) - 1)</f>
        <v>44710</v>
      </c>
      <c r="C183" s="6">
        <f>TableDailySummary[[#This Row],[Dia]]</f>
        <v>44710</v>
      </c>
      <c r="D183" s="11">
        <f>_xlfn.XLOOKUP(TableDailySummary[[#This Row],[Fecha]],SummaryDaily[day],SummaryDaily[net_sales],0)</f>
        <v>0</v>
      </c>
      <c r="E183" s="11">
        <f>_xlfn.XLOOKUP(TableDailySummary[[#This Row],[Fecha]],SummaryDaily[day],SummaryDaily[orders],0)</f>
        <v>0</v>
      </c>
      <c r="F183" s="11">
        <f>_xlfn.XLOOKUP(TableDailySummary[[#This Row],[Fecha]],SummaryDaily[day],SummaryDaily[average_order_value],0)</f>
        <v>0</v>
      </c>
      <c r="G183" s="24" cm="1">
        <f t="array" ref="G183">_xlfn.XLOOKUP(TableDailySummary[[#This Row],[Fecha]]&amp;"Total site",ConversionRateByReferral[day]&amp;ConversionRateByReferral[referrer_source],ConversionRateByReferral[conversion_rate],0)</f>
        <v>0</v>
      </c>
      <c r="H183" s="11">
        <f>TableDailySummary[[#This Row],[Órden promedio totales]]*TableDailySummary[[#This Row],[CR totales]]</f>
        <v>0</v>
      </c>
      <c r="I183" s="11">
        <f>_xlfn.XLOOKUP(TableDailySummary[[#This Row],[Fecha]],SummaryDaily[day],SummaryDaily[new_net_sales],0)</f>
        <v>0</v>
      </c>
      <c r="J183" s="11">
        <f>_xlfn.XLOOKUP(TableDailySummary[[#This Row],[Fecha]],SummaryDaily[day],SummaryDaily[new_orders],0)</f>
        <v>0</v>
      </c>
      <c r="K183" s="11">
        <f>_xlfn.XLOOKUP(TableDailySummary[[#This Row],[Fecha]],SummaryDaily[day],SummaryDaily[new_average_order_value],0)</f>
        <v>0</v>
      </c>
      <c r="L183" s="11">
        <f>_xlfn.XLOOKUP(TableDailySummary[[#This Row],[Fecha]],SummaryDaily[day],SummaryDaily[Online Store_net_sales],0)</f>
        <v>0</v>
      </c>
      <c r="M183" s="11">
        <f>_xlfn.XLOOKUP(TableDailySummary[[#This Row],[Fecha]],SummaryDaily[day],SummaryDaily[Online Store_orders],0)</f>
        <v>0</v>
      </c>
      <c r="N183" s="11">
        <f>_xlfn.XLOOKUP(TableDailySummary[[#This Row],[Fecha]],SummaryDaily[day],SummaryDaily[Online Store_average_order_value],0)</f>
        <v>0</v>
      </c>
      <c r="O183" s="11">
        <f>_xlfn.XLOOKUP(TableDailySummary[[#This Row],[Fecha]],SummaryDaily[day],SummaryDaily[Tienda 81_net_sales],0)</f>
        <v>0</v>
      </c>
      <c r="P183" s="11">
        <f>_xlfn.XLOOKUP(TableDailySummary[[#This Row],[Fecha]],SummaryDaily[day],SummaryDaily[Tienda 81_orders],0)</f>
        <v>0</v>
      </c>
      <c r="Q183" s="11">
        <f>_xlfn.XLOOKUP(TableDailySummary[[#This Row],[Fecha]],SummaryDaily[day],SummaryDaily[Tienda 81_average_order_value],0)</f>
        <v>0</v>
      </c>
      <c r="R183" s="11">
        <f>_xlfn.XLOOKUP(TableDailySummary[[#This Row],[Fecha]],SummaryDaily[day],SummaryDaily[Rappi_net_sales],0)</f>
        <v>0</v>
      </c>
      <c r="S183" s="11">
        <f>_xlfn.XLOOKUP(TableDailySummary[[#This Row],[Fecha]],SummaryDaily[day],SummaryDaily[Rappi_orders],0)</f>
        <v>0</v>
      </c>
      <c r="T183" s="11">
        <f>_xlfn.XLOOKUP(TableDailySummary[[#This Row],[Fecha]],SummaryDaily[day],SummaryDaily[Rappi_average_order_value],0)</f>
        <v>0</v>
      </c>
      <c r="U183" s="11">
        <f>_xlfn.XLOOKUP(TableDailySummary[[#This Row],[Fecha]],SummaryDaily[day],SummaryDaily[Corporativo no tienda_net_sales],0)</f>
        <v>0</v>
      </c>
      <c r="V183" s="11">
        <f>_xlfn.XLOOKUP(TableDailySummary[[#This Row],[Fecha]],SummaryDaily[day],SummaryDaily[Corporativo no tienda_orders],0)</f>
        <v>0</v>
      </c>
      <c r="W183" s="11">
        <f>_xlfn.XLOOKUP(TableDailySummary[[#This Row],[Fecha]],SummaryDaily[day],SummaryDaily[Corporativo no tienda_average_order_value],0)</f>
        <v>0</v>
      </c>
      <c r="X183" s="11">
        <f>_xlfn.XLOOKUP(TableDailySummary[[#This Row],[Fecha]],SummaryDaily[day],SummaryDaily[GoogleAdsOperation.Cost],0)</f>
        <v>0</v>
      </c>
      <c r="Y183" s="11">
        <f>SUMIFS(SalesByUTMDaily[google],SalesByUTMDaily[day],TableDailySummary[[#This Row],[Fecha]])</f>
        <v>0</v>
      </c>
      <c r="Z183" s="11">
        <f>_xlfn.XLOOKUP(TableDailySummary[[#This Row],[Fecha]],SummaryDaily[day],SummaryDaily[MetaAdsOperation.spend],0)</f>
        <v>0</v>
      </c>
      <c r="AA183" s="11">
        <f>SUMIFS(SalesByUTMDaily[facebook],SalesByUTMDaily[day],TableDailySummary[[#This Row],[Fecha]])</f>
        <v>0</v>
      </c>
      <c r="AB183" s="11">
        <f>TableDailySummary[[#This Row],[Inversión google ads]]+TableDailySummary[[#This Row],[Inversión meta ads]]</f>
        <v>0</v>
      </c>
      <c r="AC183" s="11">
        <f>TableDailySummary[[#This Row],[Ventas google ads]]+TableDailySummary[[#This Row],[Ventas meta ads]]</f>
        <v>0</v>
      </c>
      <c r="AD183" s="14">
        <f>IFERROR(TableDailySummary[[#This Row],[Ventas publicidad]]/TableDailySummary[[#This Row],[Inversión publicidad]],0)</f>
        <v>0</v>
      </c>
      <c r="AE183" s="14">
        <f>IFERROR(TableDailySummary[[#This Row],[Ventas primer cliente]]/TableDailySummary[[#This Row],[Inversión publicidad]],0)</f>
        <v>0</v>
      </c>
      <c r="AF183" s="14"/>
      <c r="AG183" s="11"/>
      <c r="AM183" s="11">
        <f>_xlfn.XLOOKUP(TableDailySummary[[#This Row],[Fecha]],SummaryDaily[day],SummaryDaily[net_sales_with_cost_recorded],0)</f>
        <v>0</v>
      </c>
      <c r="AN183" s="11">
        <f>_xlfn.XLOOKUP(TableDailySummary[[#This Row],[Fecha]],SummaryDaily[day],SummaryDaily[cost_of_goods_sold],0)</f>
        <v>0</v>
      </c>
      <c r="AO183" s="11">
        <f>_xlfn.XLOOKUP(TableDailySummary[[#This Row],[Fecha]],SummaryDaily[day],SummaryDaily[gross_profit],0)</f>
        <v>0</v>
      </c>
      <c r="AP183" s="18">
        <f>IFERROR(TableDailySummary[[#This Row],[Utilidad bruta]]/TableDailySummary[[#This Row],[Ventas netas con costo registrado]],0)</f>
        <v>0</v>
      </c>
    </row>
    <row r="184" spans="2:42" x14ac:dyDescent="0.2">
      <c r="B184" s="15" cm="1">
        <f t="array" ref="B184">ParamFechaInicioReporte + (ROW(TableDailySummary[#This Row]) - ROW(TableDailySummary[[#Headers],[Dia]]) - 1)</f>
        <v>44711</v>
      </c>
      <c r="C184" s="6">
        <f>TableDailySummary[[#This Row],[Dia]]</f>
        <v>44711</v>
      </c>
      <c r="D184" s="11">
        <f>_xlfn.XLOOKUP(TableDailySummary[[#This Row],[Fecha]],SummaryDaily[day],SummaryDaily[net_sales],0)</f>
        <v>0</v>
      </c>
      <c r="E184" s="11">
        <f>_xlfn.XLOOKUP(TableDailySummary[[#This Row],[Fecha]],SummaryDaily[day],SummaryDaily[orders],0)</f>
        <v>0</v>
      </c>
      <c r="F184" s="11">
        <f>_xlfn.XLOOKUP(TableDailySummary[[#This Row],[Fecha]],SummaryDaily[day],SummaryDaily[average_order_value],0)</f>
        <v>0</v>
      </c>
      <c r="G184" s="24" cm="1">
        <f t="array" ref="G184">_xlfn.XLOOKUP(TableDailySummary[[#This Row],[Fecha]]&amp;"Total site",ConversionRateByReferral[day]&amp;ConversionRateByReferral[referrer_source],ConversionRateByReferral[conversion_rate],0)</f>
        <v>0</v>
      </c>
      <c r="H184" s="11">
        <f>TableDailySummary[[#This Row],[Órden promedio totales]]*TableDailySummary[[#This Row],[CR totales]]</f>
        <v>0</v>
      </c>
      <c r="I184" s="11">
        <f>_xlfn.XLOOKUP(TableDailySummary[[#This Row],[Fecha]],SummaryDaily[day],SummaryDaily[new_net_sales],0)</f>
        <v>0</v>
      </c>
      <c r="J184" s="11">
        <f>_xlfn.XLOOKUP(TableDailySummary[[#This Row],[Fecha]],SummaryDaily[day],SummaryDaily[new_orders],0)</f>
        <v>0</v>
      </c>
      <c r="K184" s="11">
        <f>_xlfn.XLOOKUP(TableDailySummary[[#This Row],[Fecha]],SummaryDaily[day],SummaryDaily[new_average_order_value],0)</f>
        <v>0</v>
      </c>
      <c r="L184" s="11">
        <f>_xlfn.XLOOKUP(TableDailySummary[[#This Row],[Fecha]],SummaryDaily[day],SummaryDaily[Online Store_net_sales],0)</f>
        <v>0</v>
      </c>
      <c r="M184" s="11">
        <f>_xlfn.XLOOKUP(TableDailySummary[[#This Row],[Fecha]],SummaryDaily[day],SummaryDaily[Online Store_orders],0)</f>
        <v>0</v>
      </c>
      <c r="N184" s="11">
        <f>_xlfn.XLOOKUP(TableDailySummary[[#This Row],[Fecha]],SummaryDaily[day],SummaryDaily[Online Store_average_order_value],0)</f>
        <v>0</v>
      </c>
      <c r="O184" s="11">
        <f>_xlfn.XLOOKUP(TableDailySummary[[#This Row],[Fecha]],SummaryDaily[day],SummaryDaily[Tienda 81_net_sales],0)</f>
        <v>0</v>
      </c>
      <c r="P184" s="11">
        <f>_xlfn.XLOOKUP(TableDailySummary[[#This Row],[Fecha]],SummaryDaily[day],SummaryDaily[Tienda 81_orders],0)</f>
        <v>0</v>
      </c>
      <c r="Q184" s="11">
        <f>_xlfn.XLOOKUP(TableDailySummary[[#This Row],[Fecha]],SummaryDaily[day],SummaryDaily[Tienda 81_average_order_value],0)</f>
        <v>0</v>
      </c>
      <c r="R184" s="11">
        <f>_xlfn.XLOOKUP(TableDailySummary[[#This Row],[Fecha]],SummaryDaily[day],SummaryDaily[Rappi_net_sales],0)</f>
        <v>0</v>
      </c>
      <c r="S184" s="11">
        <f>_xlfn.XLOOKUP(TableDailySummary[[#This Row],[Fecha]],SummaryDaily[day],SummaryDaily[Rappi_orders],0)</f>
        <v>0</v>
      </c>
      <c r="T184" s="11">
        <f>_xlfn.XLOOKUP(TableDailySummary[[#This Row],[Fecha]],SummaryDaily[day],SummaryDaily[Rappi_average_order_value],0)</f>
        <v>0</v>
      </c>
      <c r="U184" s="11">
        <f>_xlfn.XLOOKUP(TableDailySummary[[#This Row],[Fecha]],SummaryDaily[day],SummaryDaily[Corporativo no tienda_net_sales],0)</f>
        <v>0</v>
      </c>
      <c r="V184" s="11">
        <f>_xlfn.XLOOKUP(TableDailySummary[[#This Row],[Fecha]],SummaryDaily[day],SummaryDaily[Corporativo no tienda_orders],0)</f>
        <v>0</v>
      </c>
      <c r="W184" s="11">
        <f>_xlfn.XLOOKUP(TableDailySummary[[#This Row],[Fecha]],SummaryDaily[day],SummaryDaily[Corporativo no tienda_average_order_value],0)</f>
        <v>0</v>
      </c>
      <c r="X184" s="11">
        <f>_xlfn.XLOOKUP(TableDailySummary[[#This Row],[Fecha]],SummaryDaily[day],SummaryDaily[GoogleAdsOperation.Cost],0)</f>
        <v>0</v>
      </c>
      <c r="Y184" s="11">
        <f>SUMIFS(SalesByUTMDaily[google],SalesByUTMDaily[day],TableDailySummary[[#This Row],[Fecha]])</f>
        <v>0</v>
      </c>
      <c r="Z184" s="11">
        <f>_xlfn.XLOOKUP(TableDailySummary[[#This Row],[Fecha]],SummaryDaily[day],SummaryDaily[MetaAdsOperation.spend],0)</f>
        <v>0</v>
      </c>
      <c r="AA184" s="11">
        <f>SUMIFS(SalesByUTMDaily[facebook],SalesByUTMDaily[day],TableDailySummary[[#This Row],[Fecha]])</f>
        <v>0</v>
      </c>
      <c r="AB184" s="11">
        <f>TableDailySummary[[#This Row],[Inversión google ads]]+TableDailySummary[[#This Row],[Inversión meta ads]]</f>
        <v>0</v>
      </c>
      <c r="AC184" s="11">
        <f>TableDailySummary[[#This Row],[Ventas google ads]]+TableDailySummary[[#This Row],[Ventas meta ads]]</f>
        <v>0</v>
      </c>
      <c r="AD184" s="14">
        <f>IFERROR(TableDailySummary[[#This Row],[Ventas publicidad]]/TableDailySummary[[#This Row],[Inversión publicidad]],0)</f>
        <v>0</v>
      </c>
      <c r="AE184" s="14">
        <f>IFERROR(TableDailySummary[[#This Row],[Ventas primer cliente]]/TableDailySummary[[#This Row],[Inversión publicidad]],0)</f>
        <v>0</v>
      </c>
      <c r="AF184" s="14"/>
      <c r="AG184" s="11"/>
      <c r="AM184" s="11">
        <f>_xlfn.XLOOKUP(TableDailySummary[[#This Row],[Fecha]],SummaryDaily[day],SummaryDaily[net_sales_with_cost_recorded],0)</f>
        <v>0</v>
      </c>
      <c r="AN184" s="11">
        <f>_xlfn.XLOOKUP(TableDailySummary[[#This Row],[Fecha]],SummaryDaily[day],SummaryDaily[cost_of_goods_sold],0)</f>
        <v>0</v>
      </c>
      <c r="AO184" s="11">
        <f>_xlfn.XLOOKUP(TableDailySummary[[#This Row],[Fecha]],SummaryDaily[day],SummaryDaily[gross_profit],0)</f>
        <v>0</v>
      </c>
      <c r="AP184" s="18">
        <f>IFERROR(TableDailySummary[[#This Row],[Utilidad bruta]]/TableDailySummary[[#This Row],[Ventas netas con costo registrado]],0)</f>
        <v>0</v>
      </c>
    </row>
    <row r="185" spans="2:42" x14ac:dyDescent="0.2">
      <c r="B185" s="15" cm="1">
        <f t="array" ref="B185">ParamFechaInicioReporte + (ROW(TableDailySummary[#This Row]) - ROW(TableDailySummary[[#Headers],[Dia]]) - 1)</f>
        <v>44712</v>
      </c>
      <c r="C185" s="6">
        <f>TableDailySummary[[#This Row],[Dia]]</f>
        <v>44712</v>
      </c>
      <c r="D185" s="11">
        <f>_xlfn.XLOOKUP(TableDailySummary[[#This Row],[Fecha]],SummaryDaily[day],SummaryDaily[net_sales],0)</f>
        <v>0</v>
      </c>
      <c r="E185" s="11">
        <f>_xlfn.XLOOKUP(TableDailySummary[[#This Row],[Fecha]],SummaryDaily[day],SummaryDaily[orders],0)</f>
        <v>0</v>
      </c>
      <c r="F185" s="11">
        <f>_xlfn.XLOOKUP(TableDailySummary[[#This Row],[Fecha]],SummaryDaily[day],SummaryDaily[average_order_value],0)</f>
        <v>0</v>
      </c>
      <c r="G185" s="24" cm="1">
        <f t="array" ref="G185">_xlfn.XLOOKUP(TableDailySummary[[#This Row],[Fecha]]&amp;"Total site",ConversionRateByReferral[day]&amp;ConversionRateByReferral[referrer_source],ConversionRateByReferral[conversion_rate],0)</f>
        <v>0</v>
      </c>
      <c r="H185" s="11">
        <f>TableDailySummary[[#This Row],[Órden promedio totales]]*TableDailySummary[[#This Row],[CR totales]]</f>
        <v>0</v>
      </c>
      <c r="I185" s="11">
        <f>_xlfn.XLOOKUP(TableDailySummary[[#This Row],[Fecha]],SummaryDaily[day],SummaryDaily[new_net_sales],0)</f>
        <v>0</v>
      </c>
      <c r="J185" s="11">
        <f>_xlfn.XLOOKUP(TableDailySummary[[#This Row],[Fecha]],SummaryDaily[day],SummaryDaily[new_orders],0)</f>
        <v>0</v>
      </c>
      <c r="K185" s="11">
        <f>_xlfn.XLOOKUP(TableDailySummary[[#This Row],[Fecha]],SummaryDaily[day],SummaryDaily[new_average_order_value],0)</f>
        <v>0</v>
      </c>
      <c r="L185" s="11">
        <f>_xlfn.XLOOKUP(TableDailySummary[[#This Row],[Fecha]],SummaryDaily[day],SummaryDaily[Online Store_net_sales],0)</f>
        <v>0</v>
      </c>
      <c r="M185" s="11">
        <f>_xlfn.XLOOKUP(TableDailySummary[[#This Row],[Fecha]],SummaryDaily[day],SummaryDaily[Online Store_orders],0)</f>
        <v>0</v>
      </c>
      <c r="N185" s="11">
        <f>_xlfn.XLOOKUP(TableDailySummary[[#This Row],[Fecha]],SummaryDaily[day],SummaryDaily[Online Store_average_order_value],0)</f>
        <v>0</v>
      </c>
      <c r="O185" s="11">
        <f>_xlfn.XLOOKUP(TableDailySummary[[#This Row],[Fecha]],SummaryDaily[day],SummaryDaily[Tienda 81_net_sales],0)</f>
        <v>0</v>
      </c>
      <c r="P185" s="11">
        <f>_xlfn.XLOOKUP(TableDailySummary[[#This Row],[Fecha]],SummaryDaily[day],SummaryDaily[Tienda 81_orders],0)</f>
        <v>0</v>
      </c>
      <c r="Q185" s="11">
        <f>_xlfn.XLOOKUP(TableDailySummary[[#This Row],[Fecha]],SummaryDaily[day],SummaryDaily[Tienda 81_average_order_value],0)</f>
        <v>0</v>
      </c>
      <c r="R185" s="11">
        <f>_xlfn.XLOOKUP(TableDailySummary[[#This Row],[Fecha]],SummaryDaily[day],SummaryDaily[Rappi_net_sales],0)</f>
        <v>0</v>
      </c>
      <c r="S185" s="11">
        <f>_xlfn.XLOOKUP(TableDailySummary[[#This Row],[Fecha]],SummaryDaily[day],SummaryDaily[Rappi_orders],0)</f>
        <v>0</v>
      </c>
      <c r="T185" s="11">
        <f>_xlfn.XLOOKUP(TableDailySummary[[#This Row],[Fecha]],SummaryDaily[day],SummaryDaily[Rappi_average_order_value],0)</f>
        <v>0</v>
      </c>
      <c r="U185" s="11">
        <f>_xlfn.XLOOKUP(TableDailySummary[[#This Row],[Fecha]],SummaryDaily[day],SummaryDaily[Corporativo no tienda_net_sales],0)</f>
        <v>0</v>
      </c>
      <c r="V185" s="11">
        <f>_xlfn.XLOOKUP(TableDailySummary[[#This Row],[Fecha]],SummaryDaily[day],SummaryDaily[Corporativo no tienda_orders],0)</f>
        <v>0</v>
      </c>
      <c r="W185" s="11">
        <f>_xlfn.XLOOKUP(TableDailySummary[[#This Row],[Fecha]],SummaryDaily[day],SummaryDaily[Corporativo no tienda_average_order_value],0)</f>
        <v>0</v>
      </c>
      <c r="X185" s="11">
        <f>_xlfn.XLOOKUP(TableDailySummary[[#This Row],[Fecha]],SummaryDaily[day],SummaryDaily[GoogleAdsOperation.Cost],0)</f>
        <v>0</v>
      </c>
      <c r="Y185" s="11">
        <f>SUMIFS(SalesByUTMDaily[google],SalesByUTMDaily[day],TableDailySummary[[#This Row],[Fecha]])</f>
        <v>0</v>
      </c>
      <c r="Z185" s="11">
        <f>_xlfn.XLOOKUP(TableDailySummary[[#This Row],[Fecha]],SummaryDaily[day],SummaryDaily[MetaAdsOperation.spend],0)</f>
        <v>0</v>
      </c>
      <c r="AA185" s="11">
        <f>SUMIFS(SalesByUTMDaily[facebook],SalesByUTMDaily[day],TableDailySummary[[#This Row],[Fecha]])</f>
        <v>0</v>
      </c>
      <c r="AB185" s="11">
        <f>TableDailySummary[[#This Row],[Inversión google ads]]+TableDailySummary[[#This Row],[Inversión meta ads]]</f>
        <v>0</v>
      </c>
      <c r="AC185" s="11">
        <f>TableDailySummary[[#This Row],[Ventas google ads]]+TableDailySummary[[#This Row],[Ventas meta ads]]</f>
        <v>0</v>
      </c>
      <c r="AD185" s="14">
        <f>IFERROR(TableDailySummary[[#This Row],[Ventas publicidad]]/TableDailySummary[[#This Row],[Inversión publicidad]],0)</f>
        <v>0</v>
      </c>
      <c r="AE185" s="14">
        <f>IFERROR(TableDailySummary[[#This Row],[Ventas primer cliente]]/TableDailySummary[[#This Row],[Inversión publicidad]],0)</f>
        <v>0</v>
      </c>
      <c r="AF185" s="14"/>
      <c r="AG185" s="11"/>
      <c r="AM185" s="11">
        <f>_xlfn.XLOOKUP(TableDailySummary[[#This Row],[Fecha]],SummaryDaily[day],SummaryDaily[net_sales_with_cost_recorded],0)</f>
        <v>0</v>
      </c>
      <c r="AN185" s="11">
        <f>_xlfn.XLOOKUP(TableDailySummary[[#This Row],[Fecha]],SummaryDaily[day],SummaryDaily[cost_of_goods_sold],0)</f>
        <v>0</v>
      </c>
      <c r="AO185" s="11">
        <f>_xlfn.XLOOKUP(TableDailySummary[[#This Row],[Fecha]],SummaryDaily[day],SummaryDaily[gross_profit],0)</f>
        <v>0</v>
      </c>
      <c r="AP185" s="18">
        <f>IFERROR(TableDailySummary[[#This Row],[Utilidad bruta]]/TableDailySummary[[#This Row],[Ventas netas con costo registrado]],0)</f>
        <v>0</v>
      </c>
    </row>
    <row r="186" spans="2:42" x14ac:dyDescent="0.2">
      <c r="B186" s="15" cm="1">
        <f t="array" ref="B186">ParamFechaInicioReporte + (ROW(TableDailySummary[#This Row]) - ROW(TableDailySummary[[#Headers],[Dia]]) - 1)</f>
        <v>44713</v>
      </c>
      <c r="C186" s="6">
        <f>TableDailySummary[[#This Row],[Dia]]</f>
        <v>44713</v>
      </c>
      <c r="D186" s="11">
        <f>_xlfn.XLOOKUP(TableDailySummary[[#This Row],[Fecha]],SummaryDaily[day],SummaryDaily[net_sales],0)</f>
        <v>0</v>
      </c>
      <c r="E186" s="11">
        <f>_xlfn.XLOOKUP(TableDailySummary[[#This Row],[Fecha]],SummaryDaily[day],SummaryDaily[orders],0)</f>
        <v>0</v>
      </c>
      <c r="F186" s="11">
        <f>_xlfn.XLOOKUP(TableDailySummary[[#This Row],[Fecha]],SummaryDaily[day],SummaryDaily[average_order_value],0)</f>
        <v>0</v>
      </c>
      <c r="G186" s="24" cm="1">
        <f t="array" ref="G186">_xlfn.XLOOKUP(TableDailySummary[[#This Row],[Fecha]]&amp;"Total site",ConversionRateByReferral[day]&amp;ConversionRateByReferral[referrer_source],ConversionRateByReferral[conversion_rate],0)</f>
        <v>0</v>
      </c>
      <c r="H186" s="11">
        <f>TableDailySummary[[#This Row],[Órden promedio totales]]*TableDailySummary[[#This Row],[CR totales]]</f>
        <v>0</v>
      </c>
      <c r="I186" s="11">
        <f>_xlfn.XLOOKUP(TableDailySummary[[#This Row],[Fecha]],SummaryDaily[day],SummaryDaily[new_net_sales],0)</f>
        <v>0</v>
      </c>
      <c r="J186" s="11">
        <f>_xlfn.XLOOKUP(TableDailySummary[[#This Row],[Fecha]],SummaryDaily[day],SummaryDaily[new_orders],0)</f>
        <v>0</v>
      </c>
      <c r="K186" s="11">
        <f>_xlfn.XLOOKUP(TableDailySummary[[#This Row],[Fecha]],SummaryDaily[day],SummaryDaily[new_average_order_value],0)</f>
        <v>0</v>
      </c>
      <c r="L186" s="11">
        <f>_xlfn.XLOOKUP(TableDailySummary[[#This Row],[Fecha]],SummaryDaily[day],SummaryDaily[Online Store_net_sales],0)</f>
        <v>0</v>
      </c>
      <c r="M186" s="11">
        <f>_xlfn.XLOOKUP(TableDailySummary[[#This Row],[Fecha]],SummaryDaily[day],SummaryDaily[Online Store_orders],0)</f>
        <v>0</v>
      </c>
      <c r="N186" s="11">
        <f>_xlfn.XLOOKUP(TableDailySummary[[#This Row],[Fecha]],SummaryDaily[day],SummaryDaily[Online Store_average_order_value],0)</f>
        <v>0</v>
      </c>
      <c r="O186" s="11">
        <f>_xlfn.XLOOKUP(TableDailySummary[[#This Row],[Fecha]],SummaryDaily[day],SummaryDaily[Tienda 81_net_sales],0)</f>
        <v>0</v>
      </c>
      <c r="P186" s="11">
        <f>_xlfn.XLOOKUP(TableDailySummary[[#This Row],[Fecha]],SummaryDaily[day],SummaryDaily[Tienda 81_orders],0)</f>
        <v>0</v>
      </c>
      <c r="Q186" s="11">
        <f>_xlfn.XLOOKUP(TableDailySummary[[#This Row],[Fecha]],SummaryDaily[day],SummaryDaily[Tienda 81_average_order_value],0)</f>
        <v>0</v>
      </c>
      <c r="R186" s="11">
        <f>_xlfn.XLOOKUP(TableDailySummary[[#This Row],[Fecha]],SummaryDaily[day],SummaryDaily[Rappi_net_sales],0)</f>
        <v>0</v>
      </c>
      <c r="S186" s="11">
        <f>_xlfn.XLOOKUP(TableDailySummary[[#This Row],[Fecha]],SummaryDaily[day],SummaryDaily[Rappi_orders],0)</f>
        <v>0</v>
      </c>
      <c r="T186" s="11">
        <f>_xlfn.XLOOKUP(TableDailySummary[[#This Row],[Fecha]],SummaryDaily[day],SummaryDaily[Rappi_average_order_value],0)</f>
        <v>0</v>
      </c>
      <c r="U186" s="11">
        <f>_xlfn.XLOOKUP(TableDailySummary[[#This Row],[Fecha]],SummaryDaily[day],SummaryDaily[Corporativo no tienda_net_sales],0)</f>
        <v>0</v>
      </c>
      <c r="V186" s="11">
        <f>_xlfn.XLOOKUP(TableDailySummary[[#This Row],[Fecha]],SummaryDaily[day],SummaryDaily[Corporativo no tienda_orders],0)</f>
        <v>0</v>
      </c>
      <c r="W186" s="11">
        <f>_xlfn.XLOOKUP(TableDailySummary[[#This Row],[Fecha]],SummaryDaily[day],SummaryDaily[Corporativo no tienda_average_order_value],0)</f>
        <v>0</v>
      </c>
      <c r="X186" s="11">
        <f>_xlfn.XLOOKUP(TableDailySummary[[#This Row],[Fecha]],SummaryDaily[day],SummaryDaily[GoogleAdsOperation.Cost],0)</f>
        <v>0</v>
      </c>
      <c r="Y186" s="11">
        <f>SUMIFS(SalesByUTMDaily[google],SalesByUTMDaily[day],TableDailySummary[[#This Row],[Fecha]])</f>
        <v>0</v>
      </c>
      <c r="Z186" s="11">
        <f>_xlfn.XLOOKUP(TableDailySummary[[#This Row],[Fecha]],SummaryDaily[day],SummaryDaily[MetaAdsOperation.spend],0)</f>
        <v>0</v>
      </c>
      <c r="AA186" s="11">
        <f>SUMIFS(SalesByUTMDaily[facebook],SalesByUTMDaily[day],TableDailySummary[[#This Row],[Fecha]])</f>
        <v>0</v>
      </c>
      <c r="AB186" s="11">
        <f>TableDailySummary[[#This Row],[Inversión google ads]]+TableDailySummary[[#This Row],[Inversión meta ads]]</f>
        <v>0</v>
      </c>
      <c r="AC186" s="11">
        <f>TableDailySummary[[#This Row],[Ventas google ads]]+TableDailySummary[[#This Row],[Ventas meta ads]]</f>
        <v>0</v>
      </c>
      <c r="AD186" s="14">
        <f>IFERROR(TableDailySummary[[#This Row],[Ventas publicidad]]/TableDailySummary[[#This Row],[Inversión publicidad]],0)</f>
        <v>0</v>
      </c>
      <c r="AE186" s="14">
        <f>IFERROR(TableDailySummary[[#This Row],[Ventas primer cliente]]/TableDailySummary[[#This Row],[Inversión publicidad]],0)</f>
        <v>0</v>
      </c>
      <c r="AF186" s="14"/>
      <c r="AG186" s="11"/>
      <c r="AM186" s="11">
        <f>_xlfn.XLOOKUP(TableDailySummary[[#This Row],[Fecha]],SummaryDaily[day],SummaryDaily[net_sales_with_cost_recorded],0)</f>
        <v>0</v>
      </c>
      <c r="AN186" s="11">
        <f>_xlfn.XLOOKUP(TableDailySummary[[#This Row],[Fecha]],SummaryDaily[day],SummaryDaily[cost_of_goods_sold],0)</f>
        <v>0</v>
      </c>
      <c r="AO186" s="11">
        <f>_xlfn.XLOOKUP(TableDailySummary[[#This Row],[Fecha]],SummaryDaily[day],SummaryDaily[gross_profit],0)</f>
        <v>0</v>
      </c>
      <c r="AP186" s="18">
        <f>IFERROR(TableDailySummary[[#This Row],[Utilidad bruta]]/TableDailySummary[[#This Row],[Ventas netas con costo registrado]],0)</f>
        <v>0</v>
      </c>
    </row>
    <row r="187" spans="2:42" x14ac:dyDescent="0.2">
      <c r="B187" s="15" cm="1">
        <f t="array" ref="B187">ParamFechaInicioReporte + (ROW(TableDailySummary[#This Row]) - ROW(TableDailySummary[[#Headers],[Dia]]) - 1)</f>
        <v>44714</v>
      </c>
      <c r="C187" s="6">
        <f>TableDailySummary[[#This Row],[Dia]]</f>
        <v>44714</v>
      </c>
      <c r="D187" s="11">
        <f>_xlfn.XLOOKUP(TableDailySummary[[#This Row],[Fecha]],SummaryDaily[day],SummaryDaily[net_sales],0)</f>
        <v>0</v>
      </c>
      <c r="E187" s="11">
        <f>_xlfn.XLOOKUP(TableDailySummary[[#This Row],[Fecha]],SummaryDaily[day],SummaryDaily[orders],0)</f>
        <v>0</v>
      </c>
      <c r="F187" s="11">
        <f>_xlfn.XLOOKUP(TableDailySummary[[#This Row],[Fecha]],SummaryDaily[day],SummaryDaily[average_order_value],0)</f>
        <v>0</v>
      </c>
      <c r="G187" s="24" cm="1">
        <f t="array" ref="G187">_xlfn.XLOOKUP(TableDailySummary[[#This Row],[Fecha]]&amp;"Total site",ConversionRateByReferral[day]&amp;ConversionRateByReferral[referrer_source],ConversionRateByReferral[conversion_rate],0)</f>
        <v>0</v>
      </c>
      <c r="H187" s="11">
        <f>TableDailySummary[[#This Row],[Órden promedio totales]]*TableDailySummary[[#This Row],[CR totales]]</f>
        <v>0</v>
      </c>
      <c r="I187" s="11">
        <f>_xlfn.XLOOKUP(TableDailySummary[[#This Row],[Fecha]],SummaryDaily[day],SummaryDaily[new_net_sales],0)</f>
        <v>0</v>
      </c>
      <c r="J187" s="11">
        <f>_xlfn.XLOOKUP(TableDailySummary[[#This Row],[Fecha]],SummaryDaily[day],SummaryDaily[new_orders],0)</f>
        <v>0</v>
      </c>
      <c r="K187" s="11">
        <f>_xlfn.XLOOKUP(TableDailySummary[[#This Row],[Fecha]],SummaryDaily[day],SummaryDaily[new_average_order_value],0)</f>
        <v>0</v>
      </c>
      <c r="L187" s="11">
        <f>_xlfn.XLOOKUP(TableDailySummary[[#This Row],[Fecha]],SummaryDaily[day],SummaryDaily[Online Store_net_sales],0)</f>
        <v>0</v>
      </c>
      <c r="M187" s="11">
        <f>_xlfn.XLOOKUP(TableDailySummary[[#This Row],[Fecha]],SummaryDaily[day],SummaryDaily[Online Store_orders],0)</f>
        <v>0</v>
      </c>
      <c r="N187" s="11">
        <f>_xlfn.XLOOKUP(TableDailySummary[[#This Row],[Fecha]],SummaryDaily[day],SummaryDaily[Online Store_average_order_value],0)</f>
        <v>0</v>
      </c>
      <c r="O187" s="11">
        <f>_xlfn.XLOOKUP(TableDailySummary[[#This Row],[Fecha]],SummaryDaily[day],SummaryDaily[Tienda 81_net_sales],0)</f>
        <v>0</v>
      </c>
      <c r="P187" s="11">
        <f>_xlfn.XLOOKUP(TableDailySummary[[#This Row],[Fecha]],SummaryDaily[day],SummaryDaily[Tienda 81_orders],0)</f>
        <v>0</v>
      </c>
      <c r="Q187" s="11">
        <f>_xlfn.XLOOKUP(TableDailySummary[[#This Row],[Fecha]],SummaryDaily[day],SummaryDaily[Tienda 81_average_order_value],0)</f>
        <v>0</v>
      </c>
      <c r="R187" s="11">
        <f>_xlfn.XLOOKUP(TableDailySummary[[#This Row],[Fecha]],SummaryDaily[day],SummaryDaily[Rappi_net_sales],0)</f>
        <v>0</v>
      </c>
      <c r="S187" s="11">
        <f>_xlfn.XLOOKUP(TableDailySummary[[#This Row],[Fecha]],SummaryDaily[day],SummaryDaily[Rappi_orders],0)</f>
        <v>0</v>
      </c>
      <c r="T187" s="11">
        <f>_xlfn.XLOOKUP(TableDailySummary[[#This Row],[Fecha]],SummaryDaily[day],SummaryDaily[Rappi_average_order_value],0)</f>
        <v>0</v>
      </c>
      <c r="U187" s="11">
        <f>_xlfn.XLOOKUP(TableDailySummary[[#This Row],[Fecha]],SummaryDaily[day],SummaryDaily[Corporativo no tienda_net_sales],0)</f>
        <v>0</v>
      </c>
      <c r="V187" s="11">
        <f>_xlfn.XLOOKUP(TableDailySummary[[#This Row],[Fecha]],SummaryDaily[day],SummaryDaily[Corporativo no tienda_orders],0)</f>
        <v>0</v>
      </c>
      <c r="W187" s="11">
        <f>_xlfn.XLOOKUP(TableDailySummary[[#This Row],[Fecha]],SummaryDaily[day],SummaryDaily[Corporativo no tienda_average_order_value],0)</f>
        <v>0</v>
      </c>
      <c r="X187" s="11">
        <f>_xlfn.XLOOKUP(TableDailySummary[[#This Row],[Fecha]],SummaryDaily[day],SummaryDaily[GoogleAdsOperation.Cost],0)</f>
        <v>0</v>
      </c>
      <c r="Y187" s="11">
        <f>SUMIFS(SalesByUTMDaily[google],SalesByUTMDaily[day],TableDailySummary[[#This Row],[Fecha]])</f>
        <v>0</v>
      </c>
      <c r="Z187" s="11">
        <f>_xlfn.XLOOKUP(TableDailySummary[[#This Row],[Fecha]],SummaryDaily[day],SummaryDaily[MetaAdsOperation.spend],0)</f>
        <v>0</v>
      </c>
      <c r="AA187" s="11">
        <f>SUMIFS(SalesByUTMDaily[facebook],SalesByUTMDaily[day],TableDailySummary[[#This Row],[Fecha]])</f>
        <v>0</v>
      </c>
      <c r="AB187" s="11">
        <f>TableDailySummary[[#This Row],[Inversión google ads]]+TableDailySummary[[#This Row],[Inversión meta ads]]</f>
        <v>0</v>
      </c>
      <c r="AC187" s="11">
        <f>TableDailySummary[[#This Row],[Ventas google ads]]+TableDailySummary[[#This Row],[Ventas meta ads]]</f>
        <v>0</v>
      </c>
      <c r="AD187" s="14">
        <f>IFERROR(TableDailySummary[[#This Row],[Ventas publicidad]]/TableDailySummary[[#This Row],[Inversión publicidad]],0)</f>
        <v>0</v>
      </c>
      <c r="AE187" s="14">
        <f>IFERROR(TableDailySummary[[#This Row],[Ventas primer cliente]]/TableDailySummary[[#This Row],[Inversión publicidad]],0)</f>
        <v>0</v>
      </c>
      <c r="AF187" s="14"/>
      <c r="AG187" s="11"/>
      <c r="AM187" s="11">
        <f>_xlfn.XLOOKUP(TableDailySummary[[#This Row],[Fecha]],SummaryDaily[day],SummaryDaily[net_sales_with_cost_recorded],0)</f>
        <v>0</v>
      </c>
      <c r="AN187" s="11">
        <f>_xlfn.XLOOKUP(TableDailySummary[[#This Row],[Fecha]],SummaryDaily[day],SummaryDaily[cost_of_goods_sold],0)</f>
        <v>0</v>
      </c>
      <c r="AO187" s="11">
        <f>_xlfn.XLOOKUP(TableDailySummary[[#This Row],[Fecha]],SummaryDaily[day],SummaryDaily[gross_profit],0)</f>
        <v>0</v>
      </c>
      <c r="AP187" s="18">
        <f>IFERROR(TableDailySummary[[#This Row],[Utilidad bruta]]/TableDailySummary[[#This Row],[Ventas netas con costo registrado]],0)</f>
        <v>0</v>
      </c>
    </row>
    <row r="188" spans="2:42" x14ac:dyDescent="0.2">
      <c r="B188" s="15" cm="1">
        <f t="array" ref="B188">ParamFechaInicioReporte + (ROW(TableDailySummary[#This Row]) - ROW(TableDailySummary[[#Headers],[Dia]]) - 1)</f>
        <v>44715</v>
      </c>
      <c r="C188" s="6">
        <f>TableDailySummary[[#This Row],[Dia]]</f>
        <v>44715</v>
      </c>
      <c r="D188" s="11">
        <f>_xlfn.XLOOKUP(TableDailySummary[[#This Row],[Fecha]],SummaryDaily[day],SummaryDaily[net_sales],0)</f>
        <v>0</v>
      </c>
      <c r="E188" s="11">
        <f>_xlfn.XLOOKUP(TableDailySummary[[#This Row],[Fecha]],SummaryDaily[day],SummaryDaily[orders],0)</f>
        <v>0</v>
      </c>
      <c r="F188" s="11">
        <f>_xlfn.XLOOKUP(TableDailySummary[[#This Row],[Fecha]],SummaryDaily[day],SummaryDaily[average_order_value],0)</f>
        <v>0</v>
      </c>
      <c r="G188" s="24" cm="1">
        <f t="array" ref="G188">_xlfn.XLOOKUP(TableDailySummary[[#This Row],[Fecha]]&amp;"Total site",ConversionRateByReferral[day]&amp;ConversionRateByReferral[referrer_source],ConversionRateByReferral[conversion_rate],0)</f>
        <v>0</v>
      </c>
      <c r="H188" s="11">
        <f>TableDailySummary[[#This Row],[Órden promedio totales]]*TableDailySummary[[#This Row],[CR totales]]</f>
        <v>0</v>
      </c>
      <c r="I188" s="11">
        <f>_xlfn.XLOOKUP(TableDailySummary[[#This Row],[Fecha]],SummaryDaily[day],SummaryDaily[new_net_sales],0)</f>
        <v>0</v>
      </c>
      <c r="J188" s="11">
        <f>_xlfn.XLOOKUP(TableDailySummary[[#This Row],[Fecha]],SummaryDaily[day],SummaryDaily[new_orders],0)</f>
        <v>0</v>
      </c>
      <c r="K188" s="11">
        <f>_xlfn.XLOOKUP(TableDailySummary[[#This Row],[Fecha]],SummaryDaily[day],SummaryDaily[new_average_order_value],0)</f>
        <v>0</v>
      </c>
      <c r="L188" s="11">
        <f>_xlfn.XLOOKUP(TableDailySummary[[#This Row],[Fecha]],SummaryDaily[day],SummaryDaily[Online Store_net_sales],0)</f>
        <v>0</v>
      </c>
      <c r="M188" s="11">
        <f>_xlfn.XLOOKUP(TableDailySummary[[#This Row],[Fecha]],SummaryDaily[day],SummaryDaily[Online Store_orders],0)</f>
        <v>0</v>
      </c>
      <c r="N188" s="11">
        <f>_xlfn.XLOOKUP(TableDailySummary[[#This Row],[Fecha]],SummaryDaily[day],SummaryDaily[Online Store_average_order_value],0)</f>
        <v>0</v>
      </c>
      <c r="O188" s="11">
        <f>_xlfn.XLOOKUP(TableDailySummary[[#This Row],[Fecha]],SummaryDaily[day],SummaryDaily[Tienda 81_net_sales],0)</f>
        <v>0</v>
      </c>
      <c r="P188" s="11">
        <f>_xlfn.XLOOKUP(TableDailySummary[[#This Row],[Fecha]],SummaryDaily[day],SummaryDaily[Tienda 81_orders],0)</f>
        <v>0</v>
      </c>
      <c r="Q188" s="11">
        <f>_xlfn.XLOOKUP(TableDailySummary[[#This Row],[Fecha]],SummaryDaily[day],SummaryDaily[Tienda 81_average_order_value],0)</f>
        <v>0</v>
      </c>
      <c r="R188" s="11">
        <f>_xlfn.XLOOKUP(TableDailySummary[[#This Row],[Fecha]],SummaryDaily[day],SummaryDaily[Rappi_net_sales],0)</f>
        <v>0</v>
      </c>
      <c r="S188" s="11">
        <f>_xlfn.XLOOKUP(TableDailySummary[[#This Row],[Fecha]],SummaryDaily[day],SummaryDaily[Rappi_orders],0)</f>
        <v>0</v>
      </c>
      <c r="T188" s="11">
        <f>_xlfn.XLOOKUP(TableDailySummary[[#This Row],[Fecha]],SummaryDaily[day],SummaryDaily[Rappi_average_order_value],0)</f>
        <v>0</v>
      </c>
      <c r="U188" s="11">
        <f>_xlfn.XLOOKUP(TableDailySummary[[#This Row],[Fecha]],SummaryDaily[day],SummaryDaily[Corporativo no tienda_net_sales],0)</f>
        <v>0</v>
      </c>
      <c r="V188" s="11">
        <f>_xlfn.XLOOKUP(TableDailySummary[[#This Row],[Fecha]],SummaryDaily[day],SummaryDaily[Corporativo no tienda_orders],0)</f>
        <v>0</v>
      </c>
      <c r="W188" s="11">
        <f>_xlfn.XLOOKUP(TableDailySummary[[#This Row],[Fecha]],SummaryDaily[day],SummaryDaily[Corporativo no tienda_average_order_value],0)</f>
        <v>0</v>
      </c>
      <c r="X188" s="11">
        <f>_xlfn.XLOOKUP(TableDailySummary[[#This Row],[Fecha]],SummaryDaily[day],SummaryDaily[GoogleAdsOperation.Cost],0)</f>
        <v>0</v>
      </c>
      <c r="Y188" s="11">
        <f>SUMIFS(SalesByUTMDaily[google],SalesByUTMDaily[day],TableDailySummary[[#This Row],[Fecha]])</f>
        <v>0</v>
      </c>
      <c r="Z188" s="11">
        <f>_xlfn.XLOOKUP(TableDailySummary[[#This Row],[Fecha]],SummaryDaily[day],SummaryDaily[MetaAdsOperation.spend],0)</f>
        <v>0</v>
      </c>
      <c r="AA188" s="11">
        <f>SUMIFS(SalesByUTMDaily[facebook],SalesByUTMDaily[day],TableDailySummary[[#This Row],[Fecha]])</f>
        <v>0</v>
      </c>
      <c r="AB188" s="11">
        <f>TableDailySummary[[#This Row],[Inversión google ads]]+TableDailySummary[[#This Row],[Inversión meta ads]]</f>
        <v>0</v>
      </c>
      <c r="AC188" s="11">
        <f>TableDailySummary[[#This Row],[Ventas google ads]]+TableDailySummary[[#This Row],[Ventas meta ads]]</f>
        <v>0</v>
      </c>
      <c r="AD188" s="14">
        <f>IFERROR(TableDailySummary[[#This Row],[Ventas publicidad]]/TableDailySummary[[#This Row],[Inversión publicidad]],0)</f>
        <v>0</v>
      </c>
      <c r="AE188" s="14">
        <f>IFERROR(TableDailySummary[[#This Row],[Ventas primer cliente]]/TableDailySummary[[#This Row],[Inversión publicidad]],0)</f>
        <v>0</v>
      </c>
      <c r="AF188" s="14"/>
      <c r="AG188" s="11"/>
      <c r="AM188" s="11">
        <f>_xlfn.XLOOKUP(TableDailySummary[[#This Row],[Fecha]],SummaryDaily[day],SummaryDaily[net_sales_with_cost_recorded],0)</f>
        <v>0</v>
      </c>
      <c r="AN188" s="11">
        <f>_xlfn.XLOOKUP(TableDailySummary[[#This Row],[Fecha]],SummaryDaily[day],SummaryDaily[cost_of_goods_sold],0)</f>
        <v>0</v>
      </c>
      <c r="AO188" s="11">
        <f>_xlfn.XLOOKUP(TableDailySummary[[#This Row],[Fecha]],SummaryDaily[day],SummaryDaily[gross_profit],0)</f>
        <v>0</v>
      </c>
      <c r="AP188" s="18">
        <f>IFERROR(TableDailySummary[[#This Row],[Utilidad bruta]]/TableDailySummary[[#This Row],[Ventas netas con costo registrado]],0)</f>
        <v>0</v>
      </c>
    </row>
    <row r="189" spans="2:42" x14ac:dyDescent="0.2">
      <c r="B189" s="15" cm="1">
        <f t="array" ref="B189">ParamFechaInicioReporte + (ROW(TableDailySummary[#This Row]) - ROW(TableDailySummary[[#Headers],[Dia]]) - 1)</f>
        <v>44716</v>
      </c>
      <c r="C189" s="6">
        <f>TableDailySummary[[#This Row],[Dia]]</f>
        <v>44716</v>
      </c>
      <c r="D189" s="11">
        <f>_xlfn.XLOOKUP(TableDailySummary[[#This Row],[Fecha]],SummaryDaily[day],SummaryDaily[net_sales],0)</f>
        <v>0</v>
      </c>
      <c r="E189" s="11">
        <f>_xlfn.XLOOKUP(TableDailySummary[[#This Row],[Fecha]],SummaryDaily[day],SummaryDaily[orders],0)</f>
        <v>0</v>
      </c>
      <c r="F189" s="11">
        <f>_xlfn.XLOOKUP(TableDailySummary[[#This Row],[Fecha]],SummaryDaily[day],SummaryDaily[average_order_value],0)</f>
        <v>0</v>
      </c>
      <c r="G189" s="24" cm="1">
        <f t="array" ref="G189">_xlfn.XLOOKUP(TableDailySummary[[#This Row],[Fecha]]&amp;"Total site",ConversionRateByReferral[day]&amp;ConversionRateByReferral[referrer_source],ConversionRateByReferral[conversion_rate],0)</f>
        <v>0</v>
      </c>
      <c r="H189" s="11">
        <f>TableDailySummary[[#This Row],[Órden promedio totales]]*TableDailySummary[[#This Row],[CR totales]]</f>
        <v>0</v>
      </c>
      <c r="I189" s="11">
        <f>_xlfn.XLOOKUP(TableDailySummary[[#This Row],[Fecha]],SummaryDaily[day],SummaryDaily[new_net_sales],0)</f>
        <v>0</v>
      </c>
      <c r="J189" s="11">
        <f>_xlfn.XLOOKUP(TableDailySummary[[#This Row],[Fecha]],SummaryDaily[day],SummaryDaily[new_orders],0)</f>
        <v>0</v>
      </c>
      <c r="K189" s="11">
        <f>_xlfn.XLOOKUP(TableDailySummary[[#This Row],[Fecha]],SummaryDaily[day],SummaryDaily[new_average_order_value],0)</f>
        <v>0</v>
      </c>
      <c r="L189" s="11">
        <f>_xlfn.XLOOKUP(TableDailySummary[[#This Row],[Fecha]],SummaryDaily[day],SummaryDaily[Online Store_net_sales],0)</f>
        <v>0</v>
      </c>
      <c r="M189" s="11">
        <f>_xlfn.XLOOKUP(TableDailySummary[[#This Row],[Fecha]],SummaryDaily[day],SummaryDaily[Online Store_orders],0)</f>
        <v>0</v>
      </c>
      <c r="N189" s="11">
        <f>_xlfn.XLOOKUP(TableDailySummary[[#This Row],[Fecha]],SummaryDaily[day],SummaryDaily[Online Store_average_order_value],0)</f>
        <v>0</v>
      </c>
      <c r="O189" s="11">
        <f>_xlfn.XLOOKUP(TableDailySummary[[#This Row],[Fecha]],SummaryDaily[day],SummaryDaily[Tienda 81_net_sales],0)</f>
        <v>0</v>
      </c>
      <c r="P189" s="11">
        <f>_xlfn.XLOOKUP(TableDailySummary[[#This Row],[Fecha]],SummaryDaily[day],SummaryDaily[Tienda 81_orders],0)</f>
        <v>0</v>
      </c>
      <c r="Q189" s="11">
        <f>_xlfn.XLOOKUP(TableDailySummary[[#This Row],[Fecha]],SummaryDaily[day],SummaryDaily[Tienda 81_average_order_value],0)</f>
        <v>0</v>
      </c>
      <c r="R189" s="11">
        <f>_xlfn.XLOOKUP(TableDailySummary[[#This Row],[Fecha]],SummaryDaily[day],SummaryDaily[Rappi_net_sales],0)</f>
        <v>0</v>
      </c>
      <c r="S189" s="11">
        <f>_xlfn.XLOOKUP(TableDailySummary[[#This Row],[Fecha]],SummaryDaily[day],SummaryDaily[Rappi_orders],0)</f>
        <v>0</v>
      </c>
      <c r="T189" s="11">
        <f>_xlfn.XLOOKUP(TableDailySummary[[#This Row],[Fecha]],SummaryDaily[day],SummaryDaily[Rappi_average_order_value],0)</f>
        <v>0</v>
      </c>
      <c r="U189" s="11">
        <f>_xlfn.XLOOKUP(TableDailySummary[[#This Row],[Fecha]],SummaryDaily[day],SummaryDaily[Corporativo no tienda_net_sales],0)</f>
        <v>0</v>
      </c>
      <c r="V189" s="11">
        <f>_xlfn.XLOOKUP(TableDailySummary[[#This Row],[Fecha]],SummaryDaily[day],SummaryDaily[Corporativo no tienda_orders],0)</f>
        <v>0</v>
      </c>
      <c r="W189" s="11">
        <f>_xlfn.XLOOKUP(TableDailySummary[[#This Row],[Fecha]],SummaryDaily[day],SummaryDaily[Corporativo no tienda_average_order_value],0)</f>
        <v>0</v>
      </c>
      <c r="X189" s="11">
        <f>_xlfn.XLOOKUP(TableDailySummary[[#This Row],[Fecha]],SummaryDaily[day],SummaryDaily[GoogleAdsOperation.Cost],0)</f>
        <v>0</v>
      </c>
      <c r="Y189" s="11">
        <f>SUMIFS(SalesByUTMDaily[google],SalesByUTMDaily[day],TableDailySummary[[#This Row],[Fecha]])</f>
        <v>0</v>
      </c>
      <c r="Z189" s="11">
        <f>_xlfn.XLOOKUP(TableDailySummary[[#This Row],[Fecha]],SummaryDaily[day],SummaryDaily[MetaAdsOperation.spend],0)</f>
        <v>0</v>
      </c>
      <c r="AA189" s="11">
        <f>SUMIFS(SalesByUTMDaily[facebook],SalesByUTMDaily[day],TableDailySummary[[#This Row],[Fecha]])</f>
        <v>0</v>
      </c>
      <c r="AB189" s="11">
        <f>TableDailySummary[[#This Row],[Inversión google ads]]+TableDailySummary[[#This Row],[Inversión meta ads]]</f>
        <v>0</v>
      </c>
      <c r="AC189" s="11">
        <f>TableDailySummary[[#This Row],[Ventas google ads]]+TableDailySummary[[#This Row],[Ventas meta ads]]</f>
        <v>0</v>
      </c>
      <c r="AD189" s="14">
        <f>IFERROR(TableDailySummary[[#This Row],[Ventas publicidad]]/TableDailySummary[[#This Row],[Inversión publicidad]],0)</f>
        <v>0</v>
      </c>
      <c r="AE189" s="14">
        <f>IFERROR(TableDailySummary[[#This Row],[Ventas primer cliente]]/TableDailySummary[[#This Row],[Inversión publicidad]],0)</f>
        <v>0</v>
      </c>
      <c r="AF189" s="14"/>
      <c r="AG189" s="11"/>
      <c r="AM189" s="11">
        <f>_xlfn.XLOOKUP(TableDailySummary[[#This Row],[Fecha]],SummaryDaily[day],SummaryDaily[net_sales_with_cost_recorded],0)</f>
        <v>0</v>
      </c>
      <c r="AN189" s="11">
        <f>_xlfn.XLOOKUP(TableDailySummary[[#This Row],[Fecha]],SummaryDaily[day],SummaryDaily[cost_of_goods_sold],0)</f>
        <v>0</v>
      </c>
      <c r="AO189" s="11">
        <f>_xlfn.XLOOKUP(TableDailySummary[[#This Row],[Fecha]],SummaryDaily[day],SummaryDaily[gross_profit],0)</f>
        <v>0</v>
      </c>
      <c r="AP189" s="18">
        <f>IFERROR(TableDailySummary[[#This Row],[Utilidad bruta]]/TableDailySummary[[#This Row],[Ventas netas con costo registrado]],0)</f>
        <v>0</v>
      </c>
    </row>
    <row r="190" spans="2:42" x14ac:dyDescent="0.2">
      <c r="B190" s="15" cm="1">
        <f t="array" ref="B190">ParamFechaInicioReporte + (ROW(TableDailySummary[#This Row]) - ROW(TableDailySummary[[#Headers],[Dia]]) - 1)</f>
        <v>44717</v>
      </c>
      <c r="C190" s="6">
        <f>TableDailySummary[[#This Row],[Dia]]</f>
        <v>44717</v>
      </c>
      <c r="D190" s="11">
        <f>_xlfn.XLOOKUP(TableDailySummary[[#This Row],[Fecha]],SummaryDaily[day],SummaryDaily[net_sales],0)</f>
        <v>0</v>
      </c>
      <c r="E190" s="11">
        <f>_xlfn.XLOOKUP(TableDailySummary[[#This Row],[Fecha]],SummaryDaily[day],SummaryDaily[orders],0)</f>
        <v>0</v>
      </c>
      <c r="F190" s="11">
        <f>_xlfn.XLOOKUP(TableDailySummary[[#This Row],[Fecha]],SummaryDaily[day],SummaryDaily[average_order_value],0)</f>
        <v>0</v>
      </c>
      <c r="G190" s="24" cm="1">
        <f t="array" ref="G190">_xlfn.XLOOKUP(TableDailySummary[[#This Row],[Fecha]]&amp;"Total site",ConversionRateByReferral[day]&amp;ConversionRateByReferral[referrer_source],ConversionRateByReferral[conversion_rate],0)</f>
        <v>0</v>
      </c>
      <c r="H190" s="11">
        <f>TableDailySummary[[#This Row],[Órden promedio totales]]*TableDailySummary[[#This Row],[CR totales]]</f>
        <v>0</v>
      </c>
      <c r="I190" s="11">
        <f>_xlfn.XLOOKUP(TableDailySummary[[#This Row],[Fecha]],SummaryDaily[day],SummaryDaily[new_net_sales],0)</f>
        <v>0</v>
      </c>
      <c r="J190" s="11">
        <f>_xlfn.XLOOKUP(TableDailySummary[[#This Row],[Fecha]],SummaryDaily[day],SummaryDaily[new_orders],0)</f>
        <v>0</v>
      </c>
      <c r="K190" s="11">
        <f>_xlfn.XLOOKUP(TableDailySummary[[#This Row],[Fecha]],SummaryDaily[day],SummaryDaily[new_average_order_value],0)</f>
        <v>0</v>
      </c>
      <c r="L190" s="11">
        <f>_xlfn.XLOOKUP(TableDailySummary[[#This Row],[Fecha]],SummaryDaily[day],SummaryDaily[Online Store_net_sales],0)</f>
        <v>0</v>
      </c>
      <c r="M190" s="11">
        <f>_xlfn.XLOOKUP(TableDailySummary[[#This Row],[Fecha]],SummaryDaily[day],SummaryDaily[Online Store_orders],0)</f>
        <v>0</v>
      </c>
      <c r="N190" s="11">
        <f>_xlfn.XLOOKUP(TableDailySummary[[#This Row],[Fecha]],SummaryDaily[day],SummaryDaily[Online Store_average_order_value],0)</f>
        <v>0</v>
      </c>
      <c r="O190" s="11">
        <f>_xlfn.XLOOKUP(TableDailySummary[[#This Row],[Fecha]],SummaryDaily[day],SummaryDaily[Tienda 81_net_sales],0)</f>
        <v>0</v>
      </c>
      <c r="P190" s="11">
        <f>_xlfn.XLOOKUP(TableDailySummary[[#This Row],[Fecha]],SummaryDaily[day],SummaryDaily[Tienda 81_orders],0)</f>
        <v>0</v>
      </c>
      <c r="Q190" s="11">
        <f>_xlfn.XLOOKUP(TableDailySummary[[#This Row],[Fecha]],SummaryDaily[day],SummaryDaily[Tienda 81_average_order_value],0)</f>
        <v>0</v>
      </c>
      <c r="R190" s="11">
        <f>_xlfn.XLOOKUP(TableDailySummary[[#This Row],[Fecha]],SummaryDaily[day],SummaryDaily[Rappi_net_sales],0)</f>
        <v>0</v>
      </c>
      <c r="S190" s="11">
        <f>_xlfn.XLOOKUP(TableDailySummary[[#This Row],[Fecha]],SummaryDaily[day],SummaryDaily[Rappi_orders],0)</f>
        <v>0</v>
      </c>
      <c r="T190" s="11">
        <f>_xlfn.XLOOKUP(TableDailySummary[[#This Row],[Fecha]],SummaryDaily[day],SummaryDaily[Rappi_average_order_value],0)</f>
        <v>0</v>
      </c>
      <c r="U190" s="11">
        <f>_xlfn.XLOOKUP(TableDailySummary[[#This Row],[Fecha]],SummaryDaily[day],SummaryDaily[Corporativo no tienda_net_sales],0)</f>
        <v>0</v>
      </c>
      <c r="V190" s="11">
        <f>_xlfn.XLOOKUP(TableDailySummary[[#This Row],[Fecha]],SummaryDaily[day],SummaryDaily[Corporativo no tienda_orders],0)</f>
        <v>0</v>
      </c>
      <c r="W190" s="11">
        <f>_xlfn.XLOOKUP(TableDailySummary[[#This Row],[Fecha]],SummaryDaily[day],SummaryDaily[Corporativo no tienda_average_order_value],0)</f>
        <v>0</v>
      </c>
      <c r="X190" s="11">
        <f>_xlfn.XLOOKUP(TableDailySummary[[#This Row],[Fecha]],SummaryDaily[day],SummaryDaily[GoogleAdsOperation.Cost],0)</f>
        <v>0</v>
      </c>
      <c r="Y190" s="11">
        <f>SUMIFS(SalesByUTMDaily[google],SalesByUTMDaily[day],TableDailySummary[[#This Row],[Fecha]])</f>
        <v>0</v>
      </c>
      <c r="Z190" s="11">
        <f>_xlfn.XLOOKUP(TableDailySummary[[#This Row],[Fecha]],SummaryDaily[day],SummaryDaily[MetaAdsOperation.spend],0)</f>
        <v>0</v>
      </c>
      <c r="AA190" s="11">
        <f>SUMIFS(SalesByUTMDaily[facebook],SalesByUTMDaily[day],TableDailySummary[[#This Row],[Fecha]])</f>
        <v>0</v>
      </c>
      <c r="AB190" s="11">
        <f>TableDailySummary[[#This Row],[Inversión google ads]]+TableDailySummary[[#This Row],[Inversión meta ads]]</f>
        <v>0</v>
      </c>
      <c r="AC190" s="11">
        <f>TableDailySummary[[#This Row],[Ventas google ads]]+TableDailySummary[[#This Row],[Ventas meta ads]]</f>
        <v>0</v>
      </c>
      <c r="AD190" s="14">
        <f>IFERROR(TableDailySummary[[#This Row],[Ventas publicidad]]/TableDailySummary[[#This Row],[Inversión publicidad]],0)</f>
        <v>0</v>
      </c>
      <c r="AE190" s="14">
        <f>IFERROR(TableDailySummary[[#This Row],[Ventas primer cliente]]/TableDailySummary[[#This Row],[Inversión publicidad]],0)</f>
        <v>0</v>
      </c>
      <c r="AF190" s="14"/>
      <c r="AG190" s="11"/>
      <c r="AM190" s="11">
        <f>_xlfn.XLOOKUP(TableDailySummary[[#This Row],[Fecha]],SummaryDaily[day],SummaryDaily[net_sales_with_cost_recorded],0)</f>
        <v>0</v>
      </c>
      <c r="AN190" s="11">
        <f>_xlfn.XLOOKUP(TableDailySummary[[#This Row],[Fecha]],SummaryDaily[day],SummaryDaily[cost_of_goods_sold],0)</f>
        <v>0</v>
      </c>
      <c r="AO190" s="11">
        <f>_xlfn.XLOOKUP(TableDailySummary[[#This Row],[Fecha]],SummaryDaily[day],SummaryDaily[gross_profit],0)</f>
        <v>0</v>
      </c>
      <c r="AP190" s="18">
        <f>IFERROR(TableDailySummary[[#This Row],[Utilidad bruta]]/TableDailySummary[[#This Row],[Ventas netas con costo registrado]],0)</f>
        <v>0</v>
      </c>
    </row>
    <row r="191" spans="2:42" x14ac:dyDescent="0.2">
      <c r="B191" s="15" cm="1">
        <f t="array" ref="B191">ParamFechaInicioReporte + (ROW(TableDailySummary[#This Row]) - ROW(TableDailySummary[[#Headers],[Dia]]) - 1)</f>
        <v>44718</v>
      </c>
      <c r="C191" s="6">
        <f>TableDailySummary[[#This Row],[Dia]]</f>
        <v>44718</v>
      </c>
      <c r="D191" s="11">
        <f>_xlfn.XLOOKUP(TableDailySummary[[#This Row],[Fecha]],SummaryDaily[day],SummaryDaily[net_sales],0)</f>
        <v>0</v>
      </c>
      <c r="E191" s="11">
        <f>_xlfn.XLOOKUP(TableDailySummary[[#This Row],[Fecha]],SummaryDaily[day],SummaryDaily[orders],0)</f>
        <v>0</v>
      </c>
      <c r="F191" s="11">
        <f>_xlfn.XLOOKUP(TableDailySummary[[#This Row],[Fecha]],SummaryDaily[day],SummaryDaily[average_order_value],0)</f>
        <v>0</v>
      </c>
      <c r="G191" s="24" cm="1">
        <f t="array" ref="G191">_xlfn.XLOOKUP(TableDailySummary[[#This Row],[Fecha]]&amp;"Total site",ConversionRateByReferral[day]&amp;ConversionRateByReferral[referrer_source],ConversionRateByReferral[conversion_rate],0)</f>
        <v>0</v>
      </c>
      <c r="H191" s="11">
        <f>TableDailySummary[[#This Row],[Órden promedio totales]]*TableDailySummary[[#This Row],[CR totales]]</f>
        <v>0</v>
      </c>
      <c r="I191" s="11">
        <f>_xlfn.XLOOKUP(TableDailySummary[[#This Row],[Fecha]],SummaryDaily[day],SummaryDaily[new_net_sales],0)</f>
        <v>0</v>
      </c>
      <c r="J191" s="11">
        <f>_xlfn.XLOOKUP(TableDailySummary[[#This Row],[Fecha]],SummaryDaily[day],SummaryDaily[new_orders],0)</f>
        <v>0</v>
      </c>
      <c r="K191" s="11">
        <f>_xlfn.XLOOKUP(TableDailySummary[[#This Row],[Fecha]],SummaryDaily[day],SummaryDaily[new_average_order_value],0)</f>
        <v>0</v>
      </c>
      <c r="L191" s="11">
        <f>_xlfn.XLOOKUP(TableDailySummary[[#This Row],[Fecha]],SummaryDaily[day],SummaryDaily[Online Store_net_sales],0)</f>
        <v>0</v>
      </c>
      <c r="M191" s="11">
        <f>_xlfn.XLOOKUP(TableDailySummary[[#This Row],[Fecha]],SummaryDaily[day],SummaryDaily[Online Store_orders],0)</f>
        <v>0</v>
      </c>
      <c r="N191" s="11">
        <f>_xlfn.XLOOKUP(TableDailySummary[[#This Row],[Fecha]],SummaryDaily[day],SummaryDaily[Online Store_average_order_value],0)</f>
        <v>0</v>
      </c>
      <c r="O191" s="11">
        <f>_xlfn.XLOOKUP(TableDailySummary[[#This Row],[Fecha]],SummaryDaily[day],SummaryDaily[Tienda 81_net_sales],0)</f>
        <v>0</v>
      </c>
      <c r="P191" s="11">
        <f>_xlfn.XLOOKUP(TableDailySummary[[#This Row],[Fecha]],SummaryDaily[day],SummaryDaily[Tienda 81_orders],0)</f>
        <v>0</v>
      </c>
      <c r="Q191" s="11">
        <f>_xlfn.XLOOKUP(TableDailySummary[[#This Row],[Fecha]],SummaryDaily[day],SummaryDaily[Tienda 81_average_order_value],0)</f>
        <v>0</v>
      </c>
      <c r="R191" s="11">
        <f>_xlfn.XLOOKUP(TableDailySummary[[#This Row],[Fecha]],SummaryDaily[day],SummaryDaily[Rappi_net_sales],0)</f>
        <v>0</v>
      </c>
      <c r="S191" s="11">
        <f>_xlfn.XLOOKUP(TableDailySummary[[#This Row],[Fecha]],SummaryDaily[day],SummaryDaily[Rappi_orders],0)</f>
        <v>0</v>
      </c>
      <c r="T191" s="11">
        <f>_xlfn.XLOOKUP(TableDailySummary[[#This Row],[Fecha]],SummaryDaily[day],SummaryDaily[Rappi_average_order_value],0)</f>
        <v>0</v>
      </c>
      <c r="U191" s="11">
        <f>_xlfn.XLOOKUP(TableDailySummary[[#This Row],[Fecha]],SummaryDaily[day],SummaryDaily[Corporativo no tienda_net_sales],0)</f>
        <v>0</v>
      </c>
      <c r="V191" s="11">
        <f>_xlfn.XLOOKUP(TableDailySummary[[#This Row],[Fecha]],SummaryDaily[day],SummaryDaily[Corporativo no tienda_orders],0)</f>
        <v>0</v>
      </c>
      <c r="W191" s="11">
        <f>_xlfn.XLOOKUP(TableDailySummary[[#This Row],[Fecha]],SummaryDaily[day],SummaryDaily[Corporativo no tienda_average_order_value],0)</f>
        <v>0</v>
      </c>
      <c r="X191" s="11">
        <f>_xlfn.XLOOKUP(TableDailySummary[[#This Row],[Fecha]],SummaryDaily[day],SummaryDaily[GoogleAdsOperation.Cost],0)</f>
        <v>0</v>
      </c>
      <c r="Y191" s="11">
        <f>SUMIFS(SalesByUTMDaily[google],SalesByUTMDaily[day],TableDailySummary[[#This Row],[Fecha]])</f>
        <v>0</v>
      </c>
      <c r="Z191" s="11">
        <f>_xlfn.XLOOKUP(TableDailySummary[[#This Row],[Fecha]],SummaryDaily[day],SummaryDaily[MetaAdsOperation.spend],0)</f>
        <v>0</v>
      </c>
      <c r="AA191" s="11">
        <f>SUMIFS(SalesByUTMDaily[facebook],SalesByUTMDaily[day],TableDailySummary[[#This Row],[Fecha]])</f>
        <v>0</v>
      </c>
      <c r="AB191" s="11">
        <f>TableDailySummary[[#This Row],[Inversión google ads]]+TableDailySummary[[#This Row],[Inversión meta ads]]</f>
        <v>0</v>
      </c>
      <c r="AC191" s="11">
        <f>TableDailySummary[[#This Row],[Ventas google ads]]+TableDailySummary[[#This Row],[Ventas meta ads]]</f>
        <v>0</v>
      </c>
      <c r="AD191" s="14">
        <f>IFERROR(TableDailySummary[[#This Row],[Ventas publicidad]]/TableDailySummary[[#This Row],[Inversión publicidad]],0)</f>
        <v>0</v>
      </c>
      <c r="AE191" s="14">
        <f>IFERROR(TableDailySummary[[#This Row],[Ventas primer cliente]]/TableDailySummary[[#This Row],[Inversión publicidad]],0)</f>
        <v>0</v>
      </c>
      <c r="AF191" s="14"/>
      <c r="AG191" s="11"/>
      <c r="AM191" s="11">
        <f>_xlfn.XLOOKUP(TableDailySummary[[#This Row],[Fecha]],SummaryDaily[day],SummaryDaily[net_sales_with_cost_recorded],0)</f>
        <v>0</v>
      </c>
      <c r="AN191" s="11">
        <f>_xlfn.XLOOKUP(TableDailySummary[[#This Row],[Fecha]],SummaryDaily[day],SummaryDaily[cost_of_goods_sold],0)</f>
        <v>0</v>
      </c>
      <c r="AO191" s="11">
        <f>_xlfn.XLOOKUP(TableDailySummary[[#This Row],[Fecha]],SummaryDaily[day],SummaryDaily[gross_profit],0)</f>
        <v>0</v>
      </c>
      <c r="AP191" s="18">
        <f>IFERROR(TableDailySummary[[#This Row],[Utilidad bruta]]/TableDailySummary[[#This Row],[Ventas netas con costo registrado]],0)</f>
        <v>0</v>
      </c>
    </row>
    <row r="192" spans="2:42" x14ac:dyDescent="0.2">
      <c r="B192" s="15" cm="1">
        <f t="array" ref="B192">ParamFechaInicioReporte + (ROW(TableDailySummary[#This Row]) - ROW(TableDailySummary[[#Headers],[Dia]]) - 1)</f>
        <v>44719</v>
      </c>
      <c r="C192" s="6">
        <f>TableDailySummary[[#This Row],[Dia]]</f>
        <v>44719</v>
      </c>
      <c r="D192" s="11">
        <f>_xlfn.XLOOKUP(TableDailySummary[[#This Row],[Fecha]],SummaryDaily[day],SummaryDaily[net_sales],0)</f>
        <v>0</v>
      </c>
      <c r="E192" s="11">
        <f>_xlfn.XLOOKUP(TableDailySummary[[#This Row],[Fecha]],SummaryDaily[day],SummaryDaily[orders],0)</f>
        <v>0</v>
      </c>
      <c r="F192" s="11">
        <f>_xlfn.XLOOKUP(TableDailySummary[[#This Row],[Fecha]],SummaryDaily[day],SummaryDaily[average_order_value],0)</f>
        <v>0</v>
      </c>
      <c r="G192" s="24" cm="1">
        <f t="array" ref="G192">_xlfn.XLOOKUP(TableDailySummary[[#This Row],[Fecha]]&amp;"Total site",ConversionRateByReferral[day]&amp;ConversionRateByReferral[referrer_source],ConversionRateByReferral[conversion_rate],0)</f>
        <v>0</v>
      </c>
      <c r="H192" s="11">
        <f>TableDailySummary[[#This Row],[Órden promedio totales]]*TableDailySummary[[#This Row],[CR totales]]</f>
        <v>0</v>
      </c>
      <c r="I192" s="11">
        <f>_xlfn.XLOOKUP(TableDailySummary[[#This Row],[Fecha]],SummaryDaily[day],SummaryDaily[new_net_sales],0)</f>
        <v>0</v>
      </c>
      <c r="J192" s="11">
        <f>_xlfn.XLOOKUP(TableDailySummary[[#This Row],[Fecha]],SummaryDaily[day],SummaryDaily[new_orders],0)</f>
        <v>0</v>
      </c>
      <c r="K192" s="11">
        <f>_xlfn.XLOOKUP(TableDailySummary[[#This Row],[Fecha]],SummaryDaily[day],SummaryDaily[new_average_order_value],0)</f>
        <v>0</v>
      </c>
      <c r="L192" s="11">
        <f>_xlfn.XLOOKUP(TableDailySummary[[#This Row],[Fecha]],SummaryDaily[day],SummaryDaily[Online Store_net_sales],0)</f>
        <v>0</v>
      </c>
      <c r="M192" s="11">
        <f>_xlfn.XLOOKUP(TableDailySummary[[#This Row],[Fecha]],SummaryDaily[day],SummaryDaily[Online Store_orders],0)</f>
        <v>0</v>
      </c>
      <c r="N192" s="11">
        <f>_xlfn.XLOOKUP(TableDailySummary[[#This Row],[Fecha]],SummaryDaily[day],SummaryDaily[Online Store_average_order_value],0)</f>
        <v>0</v>
      </c>
      <c r="O192" s="11">
        <f>_xlfn.XLOOKUP(TableDailySummary[[#This Row],[Fecha]],SummaryDaily[day],SummaryDaily[Tienda 81_net_sales],0)</f>
        <v>0</v>
      </c>
      <c r="P192" s="11">
        <f>_xlfn.XLOOKUP(TableDailySummary[[#This Row],[Fecha]],SummaryDaily[day],SummaryDaily[Tienda 81_orders],0)</f>
        <v>0</v>
      </c>
      <c r="Q192" s="11">
        <f>_xlfn.XLOOKUP(TableDailySummary[[#This Row],[Fecha]],SummaryDaily[day],SummaryDaily[Tienda 81_average_order_value],0)</f>
        <v>0</v>
      </c>
      <c r="R192" s="11">
        <f>_xlfn.XLOOKUP(TableDailySummary[[#This Row],[Fecha]],SummaryDaily[day],SummaryDaily[Rappi_net_sales],0)</f>
        <v>0</v>
      </c>
      <c r="S192" s="11">
        <f>_xlfn.XLOOKUP(TableDailySummary[[#This Row],[Fecha]],SummaryDaily[day],SummaryDaily[Rappi_orders],0)</f>
        <v>0</v>
      </c>
      <c r="T192" s="11">
        <f>_xlfn.XLOOKUP(TableDailySummary[[#This Row],[Fecha]],SummaryDaily[day],SummaryDaily[Rappi_average_order_value],0)</f>
        <v>0</v>
      </c>
      <c r="U192" s="11">
        <f>_xlfn.XLOOKUP(TableDailySummary[[#This Row],[Fecha]],SummaryDaily[day],SummaryDaily[Corporativo no tienda_net_sales],0)</f>
        <v>0</v>
      </c>
      <c r="V192" s="11">
        <f>_xlfn.XLOOKUP(TableDailySummary[[#This Row],[Fecha]],SummaryDaily[day],SummaryDaily[Corporativo no tienda_orders],0)</f>
        <v>0</v>
      </c>
      <c r="W192" s="11">
        <f>_xlfn.XLOOKUP(TableDailySummary[[#This Row],[Fecha]],SummaryDaily[day],SummaryDaily[Corporativo no tienda_average_order_value],0)</f>
        <v>0</v>
      </c>
      <c r="X192" s="11">
        <f>_xlfn.XLOOKUP(TableDailySummary[[#This Row],[Fecha]],SummaryDaily[day],SummaryDaily[GoogleAdsOperation.Cost],0)</f>
        <v>0</v>
      </c>
      <c r="Y192" s="11">
        <f>SUMIFS(SalesByUTMDaily[google],SalesByUTMDaily[day],TableDailySummary[[#This Row],[Fecha]])</f>
        <v>0</v>
      </c>
      <c r="Z192" s="11">
        <f>_xlfn.XLOOKUP(TableDailySummary[[#This Row],[Fecha]],SummaryDaily[day],SummaryDaily[MetaAdsOperation.spend],0)</f>
        <v>0</v>
      </c>
      <c r="AA192" s="11">
        <f>SUMIFS(SalesByUTMDaily[facebook],SalesByUTMDaily[day],TableDailySummary[[#This Row],[Fecha]])</f>
        <v>0</v>
      </c>
      <c r="AB192" s="11">
        <f>TableDailySummary[[#This Row],[Inversión google ads]]+TableDailySummary[[#This Row],[Inversión meta ads]]</f>
        <v>0</v>
      </c>
      <c r="AC192" s="11">
        <f>TableDailySummary[[#This Row],[Ventas google ads]]+TableDailySummary[[#This Row],[Ventas meta ads]]</f>
        <v>0</v>
      </c>
      <c r="AD192" s="14">
        <f>IFERROR(TableDailySummary[[#This Row],[Ventas publicidad]]/TableDailySummary[[#This Row],[Inversión publicidad]],0)</f>
        <v>0</v>
      </c>
      <c r="AE192" s="14">
        <f>IFERROR(TableDailySummary[[#This Row],[Ventas primer cliente]]/TableDailySummary[[#This Row],[Inversión publicidad]],0)</f>
        <v>0</v>
      </c>
      <c r="AF192" s="14"/>
      <c r="AG192" s="11"/>
      <c r="AM192" s="11">
        <f>_xlfn.XLOOKUP(TableDailySummary[[#This Row],[Fecha]],SummaryDaily[day],SummaryDaily[net_sales_with_cost_recorded],0)</f>
        <v>0</v>
      </c>
      <c r="AN192" s="11">
        <f>_xlfn.XLOOKUP(TableDailySummary[[#This Row],[Fecha]],SummaryDaily[day],SummaryDaily[cost_of_goods_sold],0)</f>
        <v>0</v>
      </c>
      <c r="AO192" s="11">
        <f>_xlfn.XLOOKUP(TableDailySummary[[#This Row],[Fecha]],SummaryDaily[day],SummaryDaily[gross_profit],0)</f>
        <v>0</v>
      </c>
      <c r="AP192" s="18">
        <f>IFERROR(TableDailySummary[[#This Row],[Utilidad bruta]]/TableDailySummary[[#This Row],[Ventas netas con costo registrado]],0)</f>
        <v>0</v>
      </c>
    </row>
    <row r="193" spans="2:42" x14ac:dyDescent="0.2">
      <c r="B193" s="15" cm="1">
        <f t="array" ref="B193">ParamFechaInicioReporte + (ROW(TableDailySummary[#This Row]) - ROW(TableDailySummary[[#Headers],[Dia]]) - 1)</f>
        <v>44720</v>
      </c>
      <c r="C193" s="6">
        <f>TableDailySummary[[#This Row],[Dia]]</f>
        <v>44720</v>
      </c>
      <c r="D193" s="11">
        <f>_xlfn.XLOOKUP(TableDailySummary[[#This Row],[Fecha]],SummaryDaily[day],SummaryDaily[net_sales],0)</f>
        <v>0</v>
      </c>
      <c r="E193" s="11">
        <f>_xlfn.XLOOKUP(TableDailySummary[[#This Row],[Fecha]],SummaryDaily[day],SummaryDaily[orders],0)</f>
        <v>0</v>
      </c>
      <c r="F193" s="11">
        <f>_xlfn.XLOOKUP(TableDailySummary[[#This Row],[Fecha]],SummaryDaily[day],SummaryDaily[average_order_value],0)</f>
        <v>0</v>
      </c>
      <c r="G193" s="24" cm="1">
        <f t="array" ref="G193">_xlfn.XLOOKUP(TableDailySummary[[#This Row],[Fecha]]&amp;"Total site",ConversionRateByReferral[day]&amp;ConversionRateByReferral[referrer_source],ConversionRateByReferral[conversion_rate],0)</f>
        <v>0</v>
      </c>
      <c r="H193" s="11">
        <f>TableDailySummary[[#This Row],[Órden promedio totales]]*TableDailySummary[[#This Row],[CR totales]]</f>
        <v>0</v>
      </c>
      <c r="I193" s="11">
        <f>_xlfn.XLOOKUP(TableDailySummary[[#This Row],[Fecha]],SummaryDaily[day],SummaryDaily[new_net_sales],0)</f>
        <v>0</v>
      </c>
      <c r="J193" s="11">
        <f>_xlfn.XLOOKUP(TableDailySummary[[#This Row],[Fecha]],SummaryDaily[day],SummaryDaily[new_orders],0)</f>
        <v>0</v>
      </c>
      <c r="K193" s="11">
        <f>_xlfn.XLOOKUP(TableDailySummary[[#This Row],[Fecha]],SummaryDaily[day],SummaryDaily[new_average_order_value],0)</f>
        <v>0</v>
      </c>
      <c r="L193" s="11">
        <f>_xlfn.XLOOKUP(TableDailySummary[[#This Row],[Fecha]],SummaryDaily[day],SummaryDaily[Online Store_net_sales],0)</f>
        <v>0</v>
      </c>
      <c r="M193" s="11">
        <f>_xlfn.XLOOKUP(TableDailySummary[[#This Row],[Fecha]],SummaryDaily[day],SummaryDaily[Online Store_orders],0)</f>
        <v>0</v>
      </c>
      <c r="N193" s="11">
        <f>_xlfn.XLOOKUP(TableDailySummary[[#This Row],[Fecha]],SummaryDaily[day],SummaryDaily[Online Store_average_order_value],0)</f>
        <v>0</v>
      </c>
      <c r="O193" s="11">
        <f>_xlfn.XLOOKUP(TableDailySummary[[#This Row],[Fecha]],SummaryDaily[day],SummaryDaily[Tienda 81_net_sales],0)</f>
        <v>0</v>
      </c>
      <c r="P193" s="11">
        <f>_xlfn.XLOOKUP(TableDailySummary[[#This Row],[Fecha]],SummaryDaily[day],SummaryDaily[Tienda 81_orders],0)</f>
        <v>0</v>
      </c>
      <c r="Q193" s="11">
        <f>_xlfn.XLOOKUP(TableDailySummary[[#This Row],[Fecha]],SummaryDaily[day],SummaryDaily[Tienda 81_average_order_value],0)</f>
        <v>0</v>
      </c>
      <c r="R193" s="11">
        <f>_xlfn.XLOOKUP(TableDailySummary[[#This Row],[Fecha]],SummaryDaily[day],SummaryDaily[Rappi_net_sales],0)</f>
        <v>0</v>
      </c>
      <c r="S193" s="11">
        <f>_xlfn.XLOOKUP(TableDailySummary[[#This Row],[Fecha]],SummaryDaily[day],SummaryDaily[Rappi_orders],0)</f>
        <v>0</v>
      </c>
      <c r="T193" s="11">
        <f>_xlfn.XLOOKUP(TableDailySummary[[#This Row],[Fecha]],SummaryDaily[day],SummaryDaily[Rappi_average_order_value],0)</f>
        <v>0</v>
      </c>
      <c r="U193" s="11">
        <f>_xlfn.XLOOKUP(TableDailySummary[[#This Row],[Fecha]],SummaryDaily[day],SummaryDaily[Corporativo no tienda_net_sales],0)</f>
        <v>0</v>
      </c>
      <c r="V193" s="11">
        <f>_xlfn.XLOOKUP(TableDailySummary[[#This Row],[Fecha]],SummaryDaily[day],SummaryDaily[Corporativo no tienda_orders],0)</f>
        <v>0</v>
      </c>
      <c r="W193" s="11">
        <f>_xlfn.XLOOKUP(TableDailySummary[[#This Row],[Fecha]],SummaryDaily[day],SummaryDaily[Corporativo no tienda_average_order_value],0)</f>
        <v>0</v>
      </c>
      <c r="X193" s="11">
        <f>_xlfn.XLOOKUP(TableDailySummary[[#This Row],[Fecha]],SummaryDaily[day],SummaryDaily[GoogleAdsOperation.Cost],0)</f>
        <v>0</v>
      </c>
      <c r="Y193" s="11">
        <f>SUMIFS(SalesByUTMDaily[google],SalesByUTMDaily[day],TableDailySummary[[#This Row],[Fecha]])</f>
        <v>0</v>
      </c>
      <c r="Z193" s="11">
        <f>_xlfn.XLOOKUP(TableDailySummary[[#This Row],[Fecha]],SummaryDaily[day],SummaryDaily[MetaAdsOperation.spend],0)</f>
        <v>0</v>
      </c>
      <c r="AA193" s="11">
        <f>SUMIFS(SalesByUTMDaily[facebook],SalesByUTMDaily[day],TableDailySummary[[#This Row],[Fecha]])</f>
        <v>0</v>
      </c>
      <c r="AB193" s="11">
        <f>TableDailySummary[[#This Row],[Inversión google ads]]+TableDailySummary[[#This Row],[Inversión meta ads]]</f>
        <v>0</v>
      </c>
      <c r="AC193" s="11">
        <f>TableDailySummary[[#This Row],[Ventas google ads]]+TableDailySummary[[#This Row],[Ventas meta ads]]</f>
        <v>0</v>
      </c>
      <c r="AD193" s="14">
        <f>IFERROR(TableDailySummary[[#This Row],[Ventas publicidad]]/TableDailySummary[[#This Row],[Inversión publicidad]],0)</f>
        <v>0</v>
      </c>
      <c r="AE193" s="14">
        <f>IFERROR(TableDailySummary[[#This Row],[Ventas primer cliente]]/TableDailySummary[[#This Row],[Inversión publicidad]],0)</f>
        <v>0</v>
      </c>
      <c r="AF193" s="14"/>
      <c r="AG193" s="11"/>
      <c r="AM193" s="11">
        <f>_xlfn.XLOOKUP(TableDailySummary[[#This Row],[Fecha]],SummaryDaily[day],SummaryDaily[net_sales_with_cost_recorded],0)</f>
        <v>0</v>
      </c>
      <c r="AN193" s="11">
        <f>_xlfn.XLOOKUP(TableDailySummary[[#This Row],[Fecha]],SummaryDaily[day],SummaryDaily[cost_of_goods_sold],0)</f>
        <v>0</v>
      </c>
      <c r="AO193" s="11">
        <f>_xlfn.XLOOKUP(TableDailySummary[[#This Row],[Fecha]],SummaryDaily[day],SummaryDaily[gross_profit],0)</f>
        <v>0</v>
      </c>
      <c r="AP193" s="18">
        <f>IFERROR(TableDailySummary[[#This Row],[Utilidad bruta]]/TableDailySummary[[#This Row],[Ventas netas con costo registrado]],0)</f>
        <v>0</v>
      </c>
    </row>
    <row r="194" spans="2:42" x14ac:dyDescent="0.2">
      <c r="B194" s="15" cm="1">
        <f t="array" ref="B194">ParamFechaInicioReporte + (ROW(TableDailySummary[#This Row]) - ROW(TableDailySummary[[#Headers],[Dia]]) - 1)</f>
        <v>44721</v>
      </c>
      <c r="C194" s="6">
        <f>TableDailySummary[[#This Row],[Dia]]</f>
        <v>44721</v>
      </c>
      <c r="D194" s="11">
        <f>_xlfn.XLOOKUP(TableDailySummary[[#This Row],[Fecha]],SummaryDaily[day],SummaryDaily[net_sales],0)</f>
        <v>0</v>
      </c>
      <c r="E194" s="11">
        <f>_xlfn.XLOOKUP(TableDailySummary[[#This Row],[Fecha]],SummaryDaily[day],SummaryDaily[orders],0)</f>
        <v>0</v>
      </c>
      <c r="F194" s="11">
        <f>_xlfn.XLOOKUP(TableDailySummary[[#This Row],[Fecha]],SummaryDaily[day],SummaryDaily[average_order_value],0)</f>
        <v>0</v>
      </c>
      <c r="G194" s="24" cm="1">
        <f t="array" ref="G194">_xlfn.XLOOKUP(TableDailySummary[[#This Row],[Fecha]]&amp;"Total site",ConversionRateByReferral[day]&amp;ConversionRateByReferral[referrer_source],ConversionRateByReferral[conversion_rate],0)</f>
        <v>0</v>
      </c>
      <c r="H194" s="11">
        <f>TableDailySummary[[#This Row],[Órden promedio totales]]*TableDailySummary[[#This Row],[CR totales]]</f>
        <v>0</v>
      </c>
      <c r="I194" s="11">
        <f>_xlfn.XLOOKUP(TableDailySummary[[#This Row],[Fecha]],SummaryDaily[day],SummaryDaily[new_net_sales],0)</f>
        <v>0</v>
      </c>
      <c r="J194" s="11">
        <f>_xlfn.XLOOKUP(TableDailySummary[[#This Row],[Fecha]],SummaryDaily[day],SummaryDaily[new_orders],0)</f>
        <v>0</v>
      </c>
      <c r="K194" s="11">
        <f>_xlfn.XLOOKUP(TableDailySummary[[#This Row],[Fecha]],SummaryDaily[day],SummaryDaily[new_average_order_value],0)</f>
        <v>0</v>
      </c>
      <c r="L194" s="11">
        <f>_xlfn.XLOOKUP(TableDailySummary[[#This Row],[Fecha]],SummaryDaily[day],SummaryDaily[Online Store_net_sales],0)</f>
        <v>0</v>
      </c>
      <c r="M194" s="11">
        <f>_xlfn.XLOOKUP(TableDailySummary[[#This Row],[Fecha]],SummaryDaily[day],SummaryDaily[Online Store_orders],0)</f>
        <v>0</v>
      </c>
      <c r="N194" s="11">
        <f>_xlfn.XLOOKUP(TableDailySummary[[#This Row],[Fecha]],SummaryDaily[day],SummaryDaily[Online Store_average_order_value],0)</f>
        <v>0</v>
      </c>
      <c r="O194" s="11">
        <f>_xlfn.XLOOKUP(TableDailySummary[[#This Row],[Fecha]],SummaryDaily[day],SummaryDaily[Tienda 81_net_sales],0)</f>
        <v>0</v>
      </c>
      <c r="P194" s="11">
        <f>_xlfn.XLOOKUP(TableDailySummary[[#This Row],[Fecha]],SummaryDaily[day],SummaryDaily[Tienda 81_orders],0)</f>
        <v>0</v>
      </c>
      <c r="Q194" s="11">
        <f>_xlfn.XLOOKUP(TableDailySummary[[#This Row],[Fecha]],SummaryDaily[day],SummaryDaily[Tienda 81_average_order_value],0)</f>
        <v>0</v>
      </c>
      <c r="R194" s="11">
        <f>_xlfn.XLOOKUP(TableDailySummary[[#This Row],[Fecha]],SummaryDaily[day],SummaryDaily[Rappi_net_sales],0)</f>
        <v>0</v>
      </c>
      <c r="S194" s="11">
        <f>_xlfn.XLOOKUP(TableDailySummary[[#This Row],[Fecha]],SummaryDaily[day],SummaryDaily[Rappi_orders],0)</f>
        <v>0</v>
      </c>
      <c r="T194" s="11">
        <f>_xlfn.XLOOKUP(TableDailySummary[[#This Row],[Fecha]],SummaryDaily[day],SummaryDaily[Rappi_average_order_value],0)</f>
        <v>0</v>
      </c>
      <c r="U194" s="11">
        <f>_xlfn.XLOOKUP(TableDailySummary[[#This Row],[Fecha]],SummaryDaily[day],SummaryDaily[Corporativo no tienda_net_sales],0)</f>
        <v>0</v>
      </c>
      <c r="V194" s="11">
        <f>_xlfn.XLOOKUP(TableDailySummary[[#This Row],[Fecha]],SummaryDaily[day],SummaryDaily[Corporativo no tienda_orders],0)</f>
        <v>0</v>
      </c>
      <c r="W194" s="11">
        <f>_xlfn.XLOOKUP(TableDailySummary[[#This Row],[Fecha]],SummaryDaily[day],SummaryDaily[Corporativo no tienda_average_order_value],0)</f>
        <v>0</v>
      </c>
      <c r="X194" s="11">
        <f>_xlfn.XLOOKUP(TableDailySummary[[#This Row],[Fecha]],SummaryDaily[day],SummaryDaily[GoogleAdsOperation.Cost],0)</f>
        <v>0</v>
      </c>
      <c r="Y194" s="11">
        <f>SUMIFS(SalesByUTMDaily[google],SalesByUTMDaily[day],TableDailySummary[[#This Row],[Fecha]])</f>
        <v>0</v>
      </c>
      <c r="Z194" s="11">
        <f>_xlfn.XLOOKUP(TableDailySummary[[#This Row],[Fecha]],SummaryDaily[day],SummaryDaily[MetaAdsOperation.spend],0)</f>
        <v>0</v>
      </c>
      <c r="AA194" s="11">
        <f>SUMIFS(SalesByUTMDaily[facebook],SalesByUTMDaily[day],TableDailySummary[[#This Row],[Fecha]])</f>
        <v>0</v>
      </c>
      <c r="AB194" s="11">
        <f>TableDailySummary[[#This Row],[Inversión google ads]]+TableDailySummary[[#This Row],[Inversión meta ads]]</f>
        <v>0</v>
      </c>
      <c r="AC194" s="11">
        <f>TableDailySummary[[#This Row],[Ventas google ads]]+TableDailySummary[[#This Row],[Ventas meta ads]]</f>
        <v>0</v>
      </c>
      <c r="AD194" s="14">
        <f>IFERROR(TableDailySummary[[#This Row],[Ventas publicidad]]/TableDailySummary[[#This Row],[Inversión publicidad]],0)</f>
        <v>0</v>
      </c>
      <c r="AE194" s="14">
        <f>IFERROR(TableDailySummary[[#This Row],[Ventas primer cliente]]/TableDailySummary[[#This Row],[Inversión publicidad]],0)</f>
        <v>0</v>
      </c>
      <c r="AF194" s="14"/>
      <c r="AG194" s="11"/>
      <c r="AM194" s="11">
        <f>_xlfn.XLOOKUP(TableDailySummary[[#This Row],[Fecha]],SummaryDaily[day],SummaryDaily[net_sales_with_cost_recorded],0)</f>
        <v>0</v>
      </c>
      <c r="AN194" s="11">
        <f>_xlfn.XLOOKUP(TableDailySummary[[#This Row],[Fecha]],SummaryDaily[day],SummaryDaily[cost_of_goods_sold],0)</f>
        <v>0</v>
      </c>
      <c r="AO194" s="11">
        <f>_xlfn.XLOOKUP(TableDailySummary[[#This Row],[Fecha]],SummaryDaily[day],SummaryDaily[gross_profit],0)</f>
        <v>0</v>
      </c>
      <c r="AP194" s="18">
        <f>IFERROR(TableDailySummary[[#This Row],[Utilidad bruta]]/TableDailySummary[[#This Row],[Ventas netas con costo registrado]],0)</f>
        <v>0</v>
      </c>
    </row>
    <row r="195" spans="2:42" x14ac:dyDescent="0.2">
      <c r="B195" s="15" cm="1">
        <f t="array" ref="B195">ParamFechaInicioReporte + (ROW(TableDailySummary[#This Row]) - ROW(TableDailySummary[[#Headers],[Dia]]) - 1)</f>
        <v>44722</v>
      </c>
      <c r="C195" s="6">
        <f>TableDailySummary[[#This Row],[Dia]]</f>
        <v>44722</v>
      </c>
      <c r="D195" s="11">
        <f>_xlfn.XLOOKUP(TableDailySummary[[#This Row],[Fecha]],SummaryDaily[day],SummaryDaily[net_sales],0)</f>
        <v>0</v>
      </c>
      <c r="E195" s="11">
        <f>_xlfn.XLOOKUP(TableDailySummary[[#This Row],[Fecha]],SummaryDaily[day],SummaryDaily[orders],0)</f>
        <v>0</v>
      </c>
      <c r="F195" s="11">
        <f>_xlfn.XLOOKUP(TableDailySummary[[#This Row],[Fecha]],SummaryDaily[day],SummaryDaily[average_order_value],0)</f>
        <v>0</v>
      </c>
      <c r="G195" s="24" cm="1">
        <f t="array" ref="G195">_xlfn.XLOOKUP(TableDailySummary[[#This Row],[Fecha]]&amp;"Total site",ConversionRateByReferral[day]&amp;ConversionRateByReferral[referrer_source],ConversionRateByReferral[conversion_rate],0)</f>
        <v>0</v>
      </c>
      <c r="H195" s="11">
        <f>TableDailySummary[[#This Row],[Órden promedio totales]]*TableDailySummary[[#This Row],[CR totales]]</f>
        <v>0</v>
      </c>
      <c r="I195" s="11">
        <f>_xlfn.XLOOKUP(TableDailySummary[[#This Row],[Fecha]],SummaryDaily[day],SummaryDaily[new_net_sales],0)</f>
        <v>0</v>
      </c>
      <c r="J195" s="11">
        <f>_xlfn.XLOOKUP(TableDailySummary[[#This Row],[Fecha]],SummaryDaily[day],SummaryDaily[new_orders],0)</f>
        <v>0</v>
      </c>
      <c r="K195" s="11">
        <f>_xlfn.XLOOKUP(TableDailySummary[[#This Row],[Fecha]],SummaryDaily[day],SummaryDaily[new_average_order_value],0)</f>
        <v>0</v>
      </c>
      <c r="L195" s="11">
        <f>_xlfn.XLOOKUP(TableDailySummary[[#This Row],[Fecha]],SummaryDaily[day],SummaryDaily[Online Store_net_sales],0)</f>
        <v>0</v>
      </c>
      <c r="M195" s="11">
        <f>_xlfn.XLOOKUP(TableDailySummary[[#This Row],[Fecha]],SummaryDaily[day],SummaryDaily[Online Store_orders],0)</f>
        <v>0</v>
      </c>
      <c r="N195" s="11">
        <f>_xlfn.XLOOKUP(TableDailySummary[[#This Row],[Fecha]],SummaryDaily[day],SummaryDaily[Online Store_average_order_value],0)</f>
        <v>0</v>
      </c>
      <c r="O195" s="11">
        <f>_xlfn.XLOOKUP(TableDailySummary[[#This Row],[Fecha]],SummaryDaily[day],SummaryDaily[Tienda 81_net_sales],0)</f>
        <v>0</v>
      </c>
      <c r="P195" s="11">
        <f>_xlfn.XLOOKUP(TableDailySummary[[#This Row],[Fecha]],SummaryDaily[day],SummaryDaily[Tienda 81_orders],0)</f>
        <v>0</v>
      </c>
      <c r="Q195" s="11">
        <f>_xlfn.XLOOKUP(TableDailySummary[[#This Row],[Fecha]],SummaryDaily[day],SummaryDaily[Tienda 81_average_order_value],0)</f>
        <v>0</v>
      </c>
      <c r="R195" s="11">
        <f>_xlfn.XLOOKUP(TableDailySummary[[#This Row],[Fecha]],SummaryDaily[day],SummaryDaily[Rappi_net_sales],0)</f>
        <v>0</v>
      </c>
      <c r="S195" s="11">
        <f>_xlfn.XLOOKUP(TableDailySummary[[#This Row],[Fecha]],SummaryDaily[day],SummaryDaily[Rappi_orders],0)</f>
        <v>0</v>
      </c>
      <c r="T195" s="11">
        <f>_xlfn.XLOOKUP(TableDailySummary[[#This Row],[Fecha]],SummaryDaily[day],SummaryDaily[Rappi_average_order_value],0)</f>
        <v>0</v>
      </c>
      <c r="U195" s="11">
        <f>_xlfn.XLOOKUP(TableDailySummary[[#This Row],[Fecha]],SummaryDaily[day],SummaryDaily[Corporativo no tienda_net_sales],0)</f>
        <v>0</v>
      </c>
      <c r="V195" s="11">
        <f>_xlfn.XLOOKUP(TableDailySummary[[#This Row],[Fecha]],SummaryDaily[day],SummaryDaily[Corporativo no tienda_orders],0)</f>
        <v>0</v>
      </c>
      <c r="W195" s="11">
        <f>_xlfn.XLOOKUP(TableDailySummary[[#This Row],[Fecha]],SummaryDaily[day],SummaryDaily[Corporativo no tienda_average_order_value],0)</f>
        <v>0</v>
      </c>
      <c r="X195" s="11">
        <f>_xlfn.XLOOKUP(TableDailySummary[[#This Row],[Fecha]],SummaryDaily[day],SummaryDaily[GoogleAdsOperation.Cost],0)</f>
        <v>0</v>
      </c>
      <c r="Y195" s="11">
        <f>SUMIFS(SalesByUTMDaily[google],SalesByUTMDaily[day],TableDailySummary[[#This Row],[Fecha]])</f>
        <v>0</v>
      </c>
      <c r="Z195" s="11">
        <f>_xlfn.XLOOKUP(TableDailySummary[[#This Row],[Fecha]],SummaryDaily[day],SummaryDaily[MetaAdsOperation.spend],0)</f>
        <v>0</v>
      </c>
      <c r="AA195" s="11">
        <f>SUMIFS(SalesByUTMDaily[facebook],SalesByUTMDaily[day],TableDailySummary[[#This Row],[Fecha]])</f>
        <v>0</v>
      </c>
      <c r="AB195" s="11">
        <f>TableDailySummary[[#This Row],[Inversión google ads]]+TableDailySummary[[#This Row],[Inversión meta ads]]</f>
        <v>0</v>
      </c>
      <c r="AC195" s="11">
        <f>TableDailySummary[[#This Row],[Ventas google ads]]+TableDailySummary[[#This Row],[Ventas meta ads]]</f>
        <v>0</v>
      </c>
      <c r="AD195" s="14">
        <f>IFERROR(TableDailySummary[[#This Row],[Ventas publicidad]]/TableDailySummary[[#This Row],[Inversión publicidad]],0)</f>
        <v>0</v>
      </c>
      <c r="AE195" s="14">
        <f>IFERROR(TableDailySummary[[#This Row],[Ventas primer cliente]]/TableDailySummary[[#This Row],[Inversión publicidad]],0)</f>
        <v>0</v>
      </c>
      <c r="AF195" s="14"/>
      <c r="AG195" s="11"/>
      <c r="AM195" s="11">
        <f>_xlfn.XLOOKUP(TableDailySummary[[#This Row],[Fecha]],SummaryDaily[day],SummaryDaily[net_sales_with_cost_recorded],0)</f>
        <v>0</v>
      </c>
      <c r="AN195" s="11">
        <f>_xlfn.XLOOKUP(TableDailySummary[[#This Row],[Fecha]],SummaryDaily[day],SummaryDaily[cost_of_goods_sold],0)</f>
        <v>0</v>
      </c>
      <c r="AO195" s="11">
        <f>_xlfn.XLOOKUP(TableDailySummary[[#This Row],[Fecha]],SummaryDaily[day],SummaryDaily[gross_profit],0)</f>
        <v>0</v>
      </c>
      <c r="AP195" s="18">
        <f>IFERROR(TableDailySummary[[#This Row],[Utilidad bruta]]/TableDailySummary[[#This Row],[Ventas netas con costo registrado]],0)</f>
        <v>0</v>
      </c>
    </row>
    <row r="196" spans="2:42" x14ac:dyDescent="0.2">
      <c r="B196" s="15" cm="1">
        <f t="array" ref="B196">ParamFechaInicioReporte + (ROW(TableDailySummary[#This Row]) - ROW(TableDailySummary[[#Headers],[Dia]]) - 1)</f>
        <v>44723</v>
      </c>
      <c r="C196" s="6">
        <f>TableDailySummary[[#This Row],[Dia]]</f>
        <v>44723</v>
      </c>
      <c r="D196" s="11">
        <f>_xlfn.XLOOKUP(TableDailySummary[[#This Row],[Fecha]],SummaryDaily[day],SummaryDaily[net_sales],0)</f>
        <v>0</v>
      </c>
      <c r="E196" s="11">
        <f>_xlfn.XLOOKUP(TableDailySummary[[#This Row],[Fecha]],SummaryDaily[day],SummaryDaily[orders],0)</f>
        <v>0</v>
      </c>
      <c r="F196" s="11">
        <f>_xlfn.XLOOKUP(TableDailySummary[[#This Row],[Fecha]],SummaryDaily[day],SummaryDaily[average_order_value],0)</f>
        <v>0</v>
      </c>
      <c r="G196" s="24" cm="1">
        <f t="array" ref="G196">_xlfn.XLOOKUP(TableDailySummary[[#This Row],[Fecha]]&amp;"Total site",ConversionRateByReferral[day]&amp;ConversionRateByReferral[referrer_source],ConversionRateByReferral[conversion_rate],0)</f>
        <v>0</v>
      </c>
      <c r="H196" s="11">
        <f>TableDailySummary[[#This Row],[Órden promedio totales]]*TableDailySummary[[#This Row],[CR totales]]</f>
        <v>0</v>
      </c>
      <c r="I196" s="11">
        <f>_xlfn.XLOOKUP(TableDailySummary[[#This Row],[Fecha]],SummaryDaily[day],SummaryDaily[new_net_sales],0)</f>
        <v>0</v>
      </c>
      <c r="J196" s="11">
        <f>_xlfn.XLOOKUP(TableDailySummary[[#This Row],[Fecha]],SummaryDaily[day],SummaryDaily[new_orders],0)</f>
        <v>0</v>
      </c>
      <c r="K196" s="11">
        <f>_xlfn.XLOOKUP(TableDailySummary[[#This Row],[Fecha]],SummaryDaily[day],SummaryDaily[new_average_order_value],0)</f>
        <v>0</v>
      </c>
      <c r="L196" s="11">
        <f>_xlfn.XLOOKUP(TableDailySummary[[#This Row],[Fecha]],SummaryDaily[day],SummaryDaily[Online Store_net_sales],0)</f>
        <v>0</v>
      </c>
      <c r="M196" s="11">
        <f>_xlfn.XLOOKUP(TableDailySummary[[#This Row],[Fecha]],SummaryDaily[day],SummaryDaily[Online Store_orders],0)</f>
        <v>0</v>
      </c>
      <c r="N196" s="11">
        <f>_xlfn.XLOOKUP(TableDailySummary[[#This Row],[Fecha]],SummaryDaily[day],SummaryDaily[Online Store_average_order_value],0)</f>
        <v>0</v>
      </c>
      <c r="O196" s="11">
        <f>_xlfn.XLOOKUP(TableDailySummary[[#This Row],[Fecha]],SummaryDaily[day],SummaryDaily[Tienda 81_net_sales],0)</f>
        <v>0</v>
      </c>
      <c r="P196" s="11">
        <f>_xlfn.XLOOKUP(TableDailySummary[[#This Row],[Fecha]],SummaryDaily[day],SummaryDaily[Tienda 81_orders],0)</f>
        <v>0</v>
      </c>
      <c r="Q196" s="11">
        <f>_xlfn.XLOOKUP(TableDailySummary[[#This Row],[Fecha]],SummaryDaily[day],SummaryDaily[Tienda 81_average_order_value],0)</f>
        <v>0</v>
      </c>
      <c r="R196" s="11">
        <f>_xlfn.XLOOKUP(TableDailySummary[[#This Row],[Fecha]],SummaryDaily[day],SummaryDaily[Rappi_net_sales],0)</f>
        <v>0</v>
      </c>
      <c r="S196" s="11">
        <f>_xlfn.XLOOKUP(TableDailySummary[[#This Row],[Fecha]],SummaryDaily[day],SummaryDaily[Rappi_orders],0)</f>
        <v>0</v>
      </c>
      <c r="T196" s="11">
        <f>_xlfn.XLOOKUP(TableDailySummary[[#This Row],[Fecha]],SummaryDaily[day],SummaryDaily[Rappi_average_order_value],0)</f>
        <v>0</v>
      </c>
      <c r="U196" s="11">
        <f>_xlfn.XLOOKUP(TableDailySummary[[#This Row],[Fecha]],SummaryDaily[day],SummaryDaily[Corporativo no tienda_net_sales],0)</f>
        <v>0</v>
      </c>
      <c r="V196" s="11">
        <f>_xlfn.XLOOKUP(TableDailySummary[[#This Row],[Fecha]],SummaryDaily[day],SummaryDaily[Corporativo no tienda_orders],0)</f>
        <v>0</v>
      </c>
      <c r="W196" s="11">
        <f>_xlfn.XLOOKUP(TableDailySummary[[#This Row],[Fecha]],SummaryDaily[day],SummaryDaily[Corporativo no tienda_average_order_value],0)</f>
        <v>0</v>
      </c>
      <c r="X196" s="11">
        <f>_xlfn.XLOOKUP(TableDailySummary[[#This Row],[Fecha]],SummaryDaily[day],SummaryDaily[GoogleAdsOperation.Cost],0)</f>
        <v>0</v>
      </c>
      <c r="Y196" s="11">
        <f>SUMIFS(SalesByUTMDaily[google],SalesByUTMDaily[day],TableDailySummary[[#This Row],[Fecha]])</f>
        <v>0</v>
      </c>
      <c r="Z196" s="11">
        <f>_xlfn.XLOOKUP(TableDailySummary[[#This Row],[Fecha]],SummaryDaily[day],SummaryDaily[MetaAdsOperation.spend],0)</f>
        <v>0</v>
      </c>
      <c r="AA196" s="11">
        <f>SUMIFS(SalesByUTMDaily[facebook],SalesByUTMDaily[day],TableDailySummary[[#This Row],[Fecha]])</f>
        <v>0</v>
      </c>
      <c r="AB196" s="11">
        <f>TableDailySummary[[#This Row],[Inversión google ads]]+TableDailySummary[[#This Row],[Inversión meta ads]]</f>
        <v>0</v>
      </c>
      <c r="AC196" s="11">
        <f>TableDailySummary[[#This Row],[Ventas google ads]]+TableDailySummary[[#This Row],[Ventas meta ads]]</f>
        <v>0</v>
      </c>
      <c r="AD196" s="14">
        <f>IFERROR(TableDailySummary[[#This Row],[Ventas publicidad]]/TableDailySummary[[#This Row],[Inversión publicidad]],0)</f>
        <v>0</v>
      </c>
      <c r="AE196" s="14">
        <f>IFERROR(TableDailySummary[[#This Row],[Ventas primer cliente]]/TableDailySummary[[#This Row],[Inversión publicidad]],0)</f>
        <v>0</v>
      </c>
      <c r="AF196" s="14"/>
      <c r="AG196" s="11"/>
      <c r="AM196" s="11">
        <f>_xlfn.XLOOKUP(TableDailySummary[[#This Row],[Fecha]],SummaryDaily[day],SummaryDaily[net_sales_with_cost_recorded],0)</f>
        <v>0</v>
      </c>
      <c r="AN196" s="11">
        <f>_xlfn.XLOOKUP(TableDailySummary[[#This Row],[Fecha]],SummaryDaily[day],SummaryDaily[cost_of_goods_sold],0)</f>
        <v>0</v>
      </c>
      <c r="AO196" s="11">
        <f>_xlfn.XLOOKUP(TableDailySummary[[#This Row],[Fecha]],SummaryDaily[day],SummaryDaily[gross_profit],0)</f>
        <v>0</v>
      </c>
      <c r="AP196" s="18">
        <f>IFERROR(TableDailySummary[[#This Row],[Utilidad bruta]]/TableDailySummary[[#This Row],[Ventas netas con costo registrado]],0)</f>
        <v>0</v>
      </c>
    </row>
    <row r="197" spans="2:42" x14ac:dyDescent="0.2">
      <c r="B197" s="15" cm="1">
        <f t="array" ref="B197">ParamFechaInicioReporte + (ROW(TableDailySummary[#This Row]) - ROW(TableDailySummary[[#Headers],[Dia]]) - 1)</f>
        <v>44724</v>
      </c>
      <c r="C197" s="6">
        <f>TableDailySummary[[#This Row],[Dia]]</f>
        <v>44724</v>
      </c>
      <c r="D197" s="11">
        <f>_xlfn.XLOOKUP(TableDailySummary[[#This Row],[Fecha]],SummaryDaily[day],SummaryDaily[net_sales],0)</f>
        <v>0</v>
      </c>
      <c r="E197" s="11">
        <f>_xlfn.XLOOKUP(TableDailySummary[[#This Row],[Fecha]],SummaryDaily[day],SummaryDaily[orders],0)</f>
        <v>0</v>
      </c>
      <c r="F197" s="11">
        <f>_xlfn.XLOOKUP(TableDailySummary[[#This Row],[Fecha]],SummaryDaily[day],SummaryDaily[average_order_value],0)</f>
        <v>0</v>
      </c>
      <c r="G197" s="24" cm="1">
        <f t="array" ref="G197">_xlfn.XLOOKUP(TableDailySummary[[#This Row],[Fecha]]&amp;"Total site",ConversionRateByReferral[day]&amp;ConversionRateByReferral[referrer_source],ConversionRateByReferral[conversion_rate],0)</f>
        <v>0</v>
      </c>
      <c r="H197" s="11">
        <f>TableDailySummary[[#This Row],[Órden promedio totales]]*TableDailySummary[[#This Row],[CR totales]]</f>
        <v>0</v>
      </c>
      <c r="I197" s="11">
        <f>_xlfn.XLOOKUP(TableDailySummary[[#This Row],[Fecha]],SummaryDaily[day],SummaryDaily[new_net_sales],0)</f>
        <v>0</v>
      </c>
      <c r="J197" s="11">
        <f>_xlfn.XLOOKUP(TableDailySummary[[#This Row],[Fecha]],SummaryDaily[day],SummaryDaily[new_orders],0)</f>
        <v>0</v>
      </c>
      <c r="K197" s="11">
        <f>_xlfn.XLOOKUP(TableDailySummary[[#This Row],[Fecha]],SummaryDaily[day],SummaryDaily[new_average_order_value],0)</f>
        <v>0</v>
      </c>
      <c r="L197" s="11">
        <f>_xlfn.XLOOKUP(TableDailySummary[[#This Row],[Fecha]],SummaryDaily[day],SummaryDaily[Online Store_net_sales],0)</f>
        <v>0</v>
      </c>
      <c r="M197" s="11">
        <f>_xlfn.XLOOKUP(TableDailySummary[[#This Row],[Fecha]],SummaryDaily[day],SummaryDaily[Online Store_orders],0)</f>
        <v>0</v>
      </c>
      <c r="N197" s="11">
        <f>_xlfn.XLOOKUP(TableDailySummary[[#This Row],[Fecha]],SummaryDaily[day],SummaryDaily[Online Store_average_order_value],0)</f>
        <v>0</v>
      </c>
      <c r="O197" s="11">
        <f>_xlfn.XLOOKUP(TableDailySummary[[#This Row],[Fecha]],SummaryDaily[day],SummaryDaily[Tienda 81_net_sales],0)</f>
        <v>0</v>
      </c>
      <c r="P197" s="11">
        <f>_xlfn.XLOOKUP(TableDailySummary[[#This Row],[Fecha]],SummaryDaily[day],SummaryDaily[Tienda 81_orders],0)</f>
        <v>0</v>
      </c>
      <c r="Q197" s="11">
        <f>_xlfn.XLOOKUP(TableDailySummary[[#This Row],[Fecha]],SummaryDaily[day],SummaryDaily[Tienda 81_average_order_value],0)</f>
        <v>0</v>
      </c>
      <c r="R197" s="11">
        <f>_xlfn.XLOOKUP(TableDailySummary[[#This Row],[Fecha]],SummaryDaily[day],SummaryDaily[Rappi_net_sales],0)</f>
        <v>0</v>
      </c>
      <c r="S197" s="11">
        <f>_xlfn.XLOOKUP(TableDailySummary[[#This Row],[Fecha]],SummaryDaily[day],SummaryDaily[Rappi_orders],0)</f>
        <v>0</v>
      </c>
      <c r="T197" s="11">
        <f>_xlfn.XLOOKUP(TableDailySummary[[#This Row],[Fecha]],SummaryDaily[day],SummaryDaily[Rappi_average_order_value],0)</f>
        <v>0</v>
      </c>
      <c r="U197" s="11">
        <f>_xlfn.XLOOKUP(TableDailySummary[[#This Row],[Fecha]],SummaryDaily[day],SummaryDaily[Corporativo no tienda_net_sales],0)</f>
        <v>0</v>
      </c>
      <c r="V197" s="11">
        <f>_xlfn.XLOOKUP(TableDailySummary[[#This Row],[Fecha]],SummaryDaily[day],SummaryDaily[Corporativo no tienda_orders],0)</f>
        <v>0</v>
      </c>
      <c r="W197" s="11">
        <f>_xlfn.XLOOKUP(TableDailySummary[[#This Row],[Fecha]],SummaryDaily[day],SummaryDaily[Corporativo no tienda_average_order_value],0)</f>
        <v>0</v>
      </c>
      <c r="X197" s="11">
        <f>_xlfn.XLOOKUP(TableDailySummary[[#This Row],[Fecha]],SummaryDaily[day],SummaryDaily[GoogleAdsOperation.Cost],0)</f>
        <v>0</v>
      </c>
      <c r="Y197" s="11">
        <f>SUMIFS(SalesByUTMDaily[google],SalesByUTMDaily[day],TableDailySummary[[#This Row],[Fecha]])</f>
        <v>0</v>
      </c>
      <c r="Z197" s="11">
        <f>_xlfn.XLOOKUP(TableDailySummary[[#This Row],[Fecha]],SummaryDaily[day],SummaryDaily[MetaAdsOperation.spend],0)</f>
        <v>0</v>
      </c>
      <c r="AA197" s="11">
        <f>SUMIFS(SalesByUTMDaily[facebook],SalesByUTMDaily[day],TableDailySummary[[#This Row],[Fecha]])</f>
        <v>0</v>
      </c>
      <c r="AB197" s="11">
        <f>TableDailySummary[[#This Row],[Inversión google ads]]+TableDailySummary[[#This Row],[Inversión meta ads]]</f>
        <v>0</v>
      </c>
      <c r="AC197" s="11">
        <f>TableDailySummary[[#This Row],[Ventas google ads]]+TableDailySummary[[#This Row],[Ventas meta ads]]</f>
        <v>0</v>
      </c>
      <c r="AD197" s="14">
        <f>IFERROR(TableDailySummary[[#This Row],[Ventas publicidad]]/TableDailySummary[[#This Row],[Inversión publicidad]],0)</f>
        <v>0</v>
      </c>
      <c r="AE197" s="14">
        <f>IFERROR(TableDailySummary[[#This Row],[Ventas primer cliente]]/TableDailySummary[[#This Row],[Inversión publicidad]],0)</f>
        <v>0</v>
      </c>
      <c r="AF197" s="14"/>
      <c r="AG197" s="11"/>
      <c r="AM197" s="11">
        <f>_xlfn.XLOOKUP(TableDailySummary[[#This Row],[Fecha]],SummaryDaily[day],SummaryDaily[net_sales_with_cost_recorded],0)</f>
        <v>0</v>
      </c>
      <c r="AN197" s="11">
        <f>_xlfn.XLOOKUP(TableDailySummary[[#This Row],[Fecha]],SummaryDaily[day],SummaryDaily[cost_of_goods_sold],0)</f>
        <v>0</v>
      </c>
      <c r="AO197" s="11">
        <f>_xlfn.XLOOKUP(TableDailySummary[[#This Row],[Fecha]],SummaryDaily[day],SummaryDaily[gross_profit],0)</f>
        <v>0</v>
      </c>
      <c r="AP197" s="18">
        <f>IFERROR(TableDailySummary[[#This Row],[Utilidad bruta]]/TableDailySummary[[#This Row],[Ventas netas con costo registrado]],0)</f>
        <v>0</v>
      </c>
    </row>
    <row r="198" spans="2:42" x14ac:dyDescent="0.2">
      <c r="B198" s="15" cm="1">
        <f t="array" ref="B198">ParamFechaInicioReporte + (ROW(TableDailySummary[#This Row]) - ROW(TableDailySummary[[#Headers],[Dia]]) - 1)</f>
        <v>44725</v>
      </c>
      <c r="C198" s="6">
        <f>TableDailySummary[[#This Row],[Dia]]</f>
        <v>44725</v>
      </c>
      <c r="D198" s="11">
        <f>_xlfn.XLOOKUP(TableDailySummary[[#This Row],[Fecha]],SummaryDaily[day],SummaryDaily[net_sales],0)</f>
        <v>0</v>
      </c>
      <c r="E198" s="11">
        <f>_xlfn.XLOOKUP(TableDailySummary[[#This Row],[Fecha]],SummaryDaily[day],SummaryDaily[orders],0)</f>
        <v>0</v>
      </c>
      <c r="F198" s="11">
        <f>_xlfn.XLOOKUP(TableDailySummary[[#This Row],[Fecha]],SummaryDaily[day],SummaryDaily[average_order_value],0)</f>
        <v>0</v>
      </c>
      <c r="G198" s="24" cm="1">
        <f t="array" ref="G198">_xlfn.XLOOKUP(TableDailySummary[[#This Row],[Fecha]]&amp;"Total site",ConversionRateByReferral[day]&amp;ConversionRateByReferral[referrer_source],ConversionRateByReferral[conversion_rate],0)</f>
        <v>0</v>
      </c>
      <c r="H198" s="11">
        <f>TableDailySummary[[#This Row],[Órden promedio totales]]*TableDailySummary[[#This Row],[CR totales]]</f>
        <v>0</v>
      </c>
      <c r="I198" s="11">
        <f>_xlfn.XLOOKUP(TableDailySummary[[#This Row],[Fecha]],SummaryDaily[day],SummaryDaily[new_net_sales],0)</f>
        <v>0</v>
      </c>
      <c r="J198" s="11">
        <f>_xlfn.XLOOKUP(TableDailySummary[[#This Row],[Fecha]],SummaryDaily[day],SummaryDaily[new_orders],0)</f>
        <v>0</v>
      </c>
      <c r="K198" s="11">
        <f>_xlfn.XLOOKUP(TableDailySummary[[#This Row],[Fecha]],SummaryDaily[day],SummaryDaily[new_average_order_value],0)</f>
        <v>0</v>
      </c>
      <c r="L198" s="11">
        <f>_xlfn.XLOOKUP(TableDailySummary[[#This Row],[Fecha]],SummaryDaily[day],SummaryDaily[Online Store_net_sales],0)</f>
        <v>0</v>
      </c>
      <c r="M198" s="11">
        <f>_xlfn.XLOOKUP(TableDailySummary[[#This Row],[Fecha]],SummaryDaily[day],SummaryDaily[Online Store_orders],0)</f>
        <v>0</v>
      </c>
      <c r="N198" s="11">
        <f>_xlfn.XLOOKUP(TableDailySummary[[#This Row],[Fecha]],SummaryDaily[day],SummaryDaily[Online Store_average_order_value],0)</f>
        <v>0</v>
      </c>
      <c r="O198" s="11">
        <f>_xlfn.XLOOKUP(TableDailySummary[[#This Row],[Fecha]],SummaryDaily[day],SummaryDaily[Tienda 81_net_sales],0)</f>
        <v>0</v>
      </c>
      <c r="P198" s="11">
        <f>_xlfn.XLOOKUP(TableDailySummary[[#This Row],[Fecha]],SummaryDaily[day],SummaryDaily[Tienda 81_orders],0)</f>
        <v>0</v>
      </c>
      <c r="Q198" s="11">
        <f>_xlfn.XLOOKUP(TableDailySummary[[#This Row],[Fecha]],SummaryDaily[day],SummaryDaily[Tienda 81_average_order_value],0)</f>
        <v>0</v>
      </c>
      <c r="R198" s="11">
        <f>_xlfn.XLOOKUP(TableDailySummary[[#This Row],[Fecha]],SummaryDaily[day],SummaryDaily[Rappi_net_sales],0)</f>
        <v>0</v>
      </c>
      <c r="S198" s="11">
        <f>_xlfn.XLOOKUP(TableDailySummary[[#This Row],[Fecha]],SummaryDaily[day],SummaryDaily[Rappi_orders],0)</f>
        <v>0</v>
      </c>
      <c r="T198" s="11">
        <f>_xlfn.XLOOKUP(TableDailySummary[[#This Row],[Fecha]],SummaryDaily[day],SummaryDaily[Rappi_average_order_value],0)</f>
        <v>0</v>
      </c>
      <c r="U198" s="11">
        <f>_xlfn.XLOOKUP(TableDailySummary[[#This Row],[Fecha]],SummaryDaily[day],SummaryDaily[Corporativo no tienda_net_sales],0)</f>
        <v>0</v>
      </c>
      <c r="V198" s="11">
        <f>_xlfn.XLOOKUP(TableDailySummary[[#This Row],[Fecha]],SummaryDaily[day],SummaryDaily[Corporativo no tienda_orders],0)</f>
        <v>0</v>
      </c>
      <c r="W198" s="11">
        <f>_xlfn.XLOOKUP(TableDailySummary[[#This Row],[Fecha]],SummaryDaily[day],SummaryDaily[Corporativo no tienda_average_order_value],0)</f>
        <v>0</v>
      </c>
      <c r="X198" s="11">
        <f>_xlfn.XLOOKUP(TableDailySummary[[#This Row],[Fecha]],SummaryDaily[day],SummaryDaily[GoogleAdsOperation.Cost],0)</f>
        <v>0</v>
      </c>
      <c r="Y198" s="11">
        <f>SUMIFS(SalesByUTMDaily[google],SalesByUTMDaily[day],TableDailySummary[[#This Row],[Fecha]])</f>
        <v>0</v>
      </c>
      <c r="Z198" s="11">
        <f>_xlfn.XLOOKUP(TableDailySummary[[#This Row],[Fecha]],SummaryDaily[day],SummaryDaily[MetaAdsOperation.spend],0)</f>
        <v>0</v>
      </c>
      <c r="AA198" s="11">
        <f>SUMIFS(SalesByUTMDaily[facebook],SalesByUTMDaily[day],TableDailySummary[[#This Row],[Fecha]])</f>
        <v>0</v>
      </c>
      <c r="AB198" s="11">
        <f>TableDailySummary[[#This Row],[Inversión google ads]]+TableDailySummary[[#This Row],[Inversión meta ads]]</f>
        <v>0</v>
      </c>
      <c r="AC198" s="11">
        <f>TableDailySummary[[#This Row],[Ventas google ads]]+TableDailySummary[[#This Row],[Ventas meta ads]]</f>
        <v>0</v>
      </c>
      <c r="AD198" s="14">
        <f>IFERROR(TableDailySummary[[#This Row],[Ventas publicidad]]/TableDailySummary[[#This Row],[Inversión publicidad]],0)</f>
        <v>0</v>
      </c>
      <c r="AE198" s="14">
        <f>IFERROR(TableDailySummary[[#This Row],[Ventas primer cliente]]/TableDailySummary[[#This Row],[Inversión publicidad]],0)</f>
        <v>0</v>
      </c>
      <c r="AF198" s="14"/>
      <c r="AG198" s="11"/>
      <c r="AM198" s="11">
        <f>_xlfn.XLOOKUP(TableDailySummary[[#This Row],[Fecha]],SummaryDaily[day],SummaryDaily[net_sales_with_cost_recorded],0)</f>
        <v>0</v>
      </c>
      <c r="AN198" s="11">
        <f>_xlfn.XLOOKUP(TableDailySummary[[#This Row],[Fecha]],SummaryDaily[day],SummaryDaily[cost_of_goods_sold],0)</f>
        <v>0</v>
      </c>
      <c r="AO198" s="11">
        <f>_xlfn.XLOOKUP(TableDailySummary[[#This Row],[Fecha]],SummaryDaily[day],SummaryDaily[gross_profit],0)</f>
        <v>0</v>
      </c>
      <c r="AP198" s="18">
        <f>IFERROR(TableDailySummary[[#This Row],[Utilidad bruta]]/TableDailySummary[[#This Row],[Ventas netas con costo registrado]],0)</f>
        <v>0</v>
      </c>
    </row>
    <row r="199" spans="2:42" x14ac:dyDescent="0.2">
      <c r="B199" s="15" cm="1">
        <f t="array" ref="B199">ParamFechaInicioReporte + (ROW(TableDailySummary[#This Row]) - ROW(TableDailySummary[[#Headers],[Dia]]) - 1)</f>
        <v>44726</v>
      </c>
      <c r="C199" s="6">
        <f>TableDailySummary[[#This Row],[Dia]]</f>
        <v>44726</v>
      </c>
      <c r="D199" s="11">
        <f>_xlfn.XLOOKUP(TableDailySummary[[#This Row],[Fecha]],SummaryDaily[day],SummaryDaily[net_sales],0)</f>
        <v>0</v>
      </c>
      <c r="E199" s="11">
        <f>_xlfn.XLOOKUP(TableDailySummary[[#This Row],[Fecha]],SummaryDaily[day],SummaryDaily[orders],0)</f>
        <v>0</v>
      </c>
      <c r="F199" s="11">
        <f>_xlfn.XLOOKUP(TableDailySummary[[#This Row],[Fecha]],SummaryDaily[day],SummaryDaily[average_order_value],0)</f>
        <v>0</v>
      </c>
      <c r="G199" s="24" cm="1">
        <f t="array" ref="G199">_xlfn.XLOOKUP(TableDailySummary[[#This Row],[Fecha]]&amp;"Total site",ConversionRateByReferral[day]&amp;ConversionRateByReferral[referrer_source],ConversionRateByReferral[conversion_rate],0)</f>
        <v>0</v>
      </c>
      <c r="H199" s="11">
        <f>TableDailySummary[[#This Row],[Órden promedio totales]]*TableDailySummary[[#This Row],[CR totales]]</f>
        <v>0</v>
      </c>
      <c r="I199" s="11">
        <f>_xlfn.XLOOKUP(TableDailySummary[[#This Row],[Fecha]],SummaryDaily[day],SummaryDaily[new_net_sales],0)</f>
        <v>0</v>
      </c>
      <c r="J199" s="11">
        <f>_xlfn.XLOOKUP(TableDailySummary[[#This Row],[Fecha]],SummaryDaily[day],SummaryDaily[new_orders],0)</f>
        <v>0</v>
      </c>
      <c r="K199" s="11">
        <f>_xlfn.XLOOKUP(TableDailySummary[[#This Row],[Fecha]],SummaryDaily[day],SummaryDaily[new_average_order_value],0)</f>
        <v>0</v>
      </c>
      <c r="L199" s="11">
        <f>_xlfn.XLOOKUP(TableDailySummary[[#This Row],[Fecha]],SummaryDaily[day],SummaryDaily[Online Store_net_sales],0)</f>
        <v>0</v>
      </c>
      <c r="M199" s="11">
        <f>_xlfn.XLOOKUP(TableDailySummary[[#This Row],[Fecha]],SummaryDaily[day],SummaryDaily[Online Store_orders],0)</f>
        <v>0</v>
      </c>
      <c r="N199" s="11">
        <f>_xlfn.XLOOKUP(TableDailySummary[[#This Row],[Fecha]],SummaryDaily[day],SummaryDaily[Online Store_average_order_value],0)</f>
        <v>0</v>
      </c>
      <c r="O199" s="11">
        <f>_xlfn.XLOOKUP(TableDailySummary[[#This Row],[Fecha]],SummaryDaily[day],SummaryDaily[Tienda 81_net_sales],0)</f>
        <v>0</v>
      </c>
      <c r="P199" s="11">
        <f>_xlfn.XLOOKUP(TableDailySummary[[#This Row],[Fecha]],SummaryDaily[day],SummaryDaily[Tienda 81_orders],0)</f>
        <v>0</v>
      </c>
      <c r="Q199" s="11">
        <f>_xlfn.XLOOKUP(TableDailySummary[[#This Row],[Fecha]],SummaryDaily[day],SummaryDaily[Tienda 81_average_order_value],0)</f>
        <v>0</v>
      </c>
      <c r="R199" s="11">
        <f>_xlfn.XLOOKUP(TableDailySummary[[#This Row],[Fecha]],SummaryDaily[day],SummaryDaily[Rappi_net_sales],0)</f>
        <v>0</v>
      </c>
      <c r="S199" s="11">
        <f>_xlfn.XLOOKUP(TableDailySummary[[#This Row],[Fecha]],SummaryDaily[day],SummaryDaily[Rappi_orders],0)</f>
        <v>0</v>
      </c>
      <c r="T199" s="11">
        <f>_xlfn.XLOOKUP(TableDailySummary[[#This Row],[Fecha]],SummaryDaily[day],SummaryDaily[Rappi_average_order_value],0)</f>
        <v>0</v>
      </c>
      <c r="U199" s="11">
        <f>_xlfn.XLOOKUP(TableDailySummary[[#This Row],[Fecha]],SummaryDaily[day],SummaryDaily[Corporativo no tienda_net_sales],0)</f>
        <v>0</v>
      </c>
      <c r="V199" s="11">
        <f>_xlfn.XLOOKUP(TableDailySummary[[#This Row],[Fecha]],SummaryDaily[day],SummaryDaily[Corporativo no tienda_orders],0)</f>
        <v>0</v>
      </c>
      <c r="W199" s="11">
        <f>_xlfn.XLOOKUP(TableDailySummary[[#This Row],[Fecha]],SummaryDaily[day],SummaryDaily[Corporativo no tienda_average_order_value],0)</f>
        <v>0</v>
      </c>
      <c r="X199" s="11">
        <f>_xlfn.XLOOKUP(TableDailySummary[[#This Row],[Fecha]],SummaryDaily[day],SummaryDaily[GoogleAdsOperation.Cost],0)</f>
        <v>0</v>
      </c>
      <c r="Y199" s="11">
        <f>SUMIFS(SalesByUTMDaily[google],SalesByUTMDaily[day],TableDailySummary[[#This Row],[Fecha]])</f>
        <v>0</v>
      </c>
      <c r="Z199" s="11">
        <f>_xlfn.XLOOKUP(TableDailySummary[[#This Row],[Fecha]],SummaryDaily[day],SummaryDaily[MetaAdsOperation.spend],0)</f>
        <v>0</v>
      </c>
      <c r="AA199" s="11">
        <f>SUMIFS(SalesByUTMDaily[facebook],SalesByUTMDaily[day],TableDailySummary[[#This Row],[Fecha]])</f>
        <v>0</v>
      </c>
      <c r="AB199" s="11">
        <f>TableDailySummary[[#This Row],[Inversión google ads]]+TableDailySummary[[#This Row],[Inversión meta ads]]</f>
        <v>0</v>
      </c>
      <c r="AC199" s="11">
        <f>TableDailySummary[[#This Row],[Ventas google ads]]+TableDailySummary[[#This Row],[Ventas meta ads]]</f>
        <v>0</v>
      </c>
      <c r="AD199" s="14">
        <f>IFERROR(TableDailySummary[[#This Row],[Ventas publicidad]]/TableDailySummary[[#This Row],[Inversión publicidad]],0)</f>
        <v>0</v>
      </c>
      <c r="AE199" s="14">
        <f>IFERROR(TableDailySummary[[#This Row],[Ventas primer cliente]]/TableDailySummary[[#This Row],[Inversión publicidad]],0)</f>
        <v>0</v>
      </c>
      <c r="AF199" s="14"/>
      <c r="AG199" s="11"/>
      <c r="AM199" s="11">
        <f>_xlfn.XLOOKUP(TableDailySummary[[#This Row],[Fecha]],SummaryDaily[day],SummaryDaily[net_sales_with_cost_recorded],0)</f>
        <v>0</v>
      </c>
      <c r="AN199" s="11">
        <f>_xlfn.XLOOKUP(TableDailySummary[[#This Row],[Fecha]],SummaryDaily[day],SummaryDaily[cost_of_goods_sold],0)</f>
        <v>0</v>
      </c>
      <c r="AO199" s="11">
        <f>_xlfn.XLOOKUP(TableDailySummary[[#This Row],[Fecha]],SummaryDaily[day],SummaryDaily[gross_profit],0)</f>
        <v>0</v>
      </c>
      <c r="AP199" s="18">
        <f>IFERROR(TableDailySummary[[#This Row],[Utilidad bruta]]/TableDailySummary[[#This Row],[Ventas netas con costo registrado]],0)</f>
        <v>0</v>
      </c>
    </row>
    <row r="200" spans="2:42" x14ac:dyDescent="0.2">
      <c r="B200" s="15" cm="1">
        <f t="array" ref="B200">ParamFechaInicioReporte + (ROW(TableDailySummary[#This Row]) - ROW(TableDailySummary[[#Headers],[Dia]]) - 1)</f>
        <v>44727</v>
      </c>
      <c r="C200" s="6">
        <f>TableDailySummary[[#This Row],[Dia]]</f>
        <v>44727</v>
      </c>
      <c r="D200" s="11">
        <f>_xlfn.XLOOKUP(TableDailySummary[[#This Row],[Fecha]],SummaryDaily[day],SummaryDaily[net_sales],0)</f>
        <v>0</v>
      </c>
      <c r="E200" s="11">
        <f>_xlfn.XLOOKUP(TableDailySummary[[#This Row],[Fecha]],SummaryDaily[day],SummaryDaily[orders],0)</f>
        <v>0</v>
      </c>
      <c r="F200" s="11">
        <f>_xlfn.XLOOKUP(TableDailySummary[[#This Row],[Fecha]],SummaryDaily[day],SummaryDaily[average_order_value],0)</f>
        <v>0</v>
      </c>
      <c r="G200" s="24" cm="1">
        <f t="array" ref="G200">_xlfn.XLOOKUP(TableDailySummary[[#This Row],[Fecha]]&amp;"Total site",ConversionRateByReferral[day]&amp;ConversionRateByReferral[referrer_source],ConversionRateByReferral[conversion_rate],0)</f>
        <v>0</v>
      </c>
      <c r="H200" s="11">
        <f>TableDailySummary[[#This Row],[Órden promedio totales]]*TableDailySummary[[#This Row],[CR totales]]</f>
        <v>0</v>
      </c>
      <c r="I200" s="11">
        <f>_xlfn.XLOOKUP(TableDailySummary[[#This Row],[Fecha]],SummaryDaily[day],SummaryDaily[new_net_sales],0)</f>
        <v>0</v>
      </c>
      <c r="J200" s="11">
        <f>_xlfn.XLOOKUP(TableDailySummary[[#This Row],[Fecha]],SummaryDaily[day],SummaryDaily[new_orders],0)</f>
        <v>0</v>
      </c>
      <c r="K200" s="11">
        <f>_xlfn.XLOOKUP(TableDailySummary[[#This Row],[Fecha]],SummaryDaily[day],SummaryDaily[new_average_order_value],0)</f>
        <v>0</v>
      </c>
      <c r="L200" s="11">
        <f>_xlfn.XLOOKUP(TableDailySummary[[#This Row],[Fecha]],SummaryDaily[day],SummaryDaily[Online Store_net_sales],0)</f>
        <v>0</v>
      </c>
      <c r="M200" s="11">
        <f>_xlfn.XLOOKUP(TableDailySummary[[#This Row],[Fecha]],SummaryDaily[day],SummaryDaily[Online Store_orders],0)</f>
        <v>0</v>
      </c>
      <c r="N200" s="11">
        <f>_xlfn.XLOOKUP(TableDailySummary[[#This Row],[Fecha]],SummaryDaily[day],SummaryDaily[Online Store_average_order_value],0)</f>
        <v>0</v>
      </c>
      <c r="O200" s="11">
        <f>_xlfn.XLOOKUP(TableDailySummary[[#This Row],[Fecha]],SummaryDaily[day],SummaryDaily[Tienda 81_net_sales],0)</f>
        <v>0</v>
      </c>
      <c r="P200" s="11">
        <f>_xlfn.XLOOKUP(TableDailySummary[[#This Row],[Fecha]],SummaryDaily[day],SummaryDaily[Tienda 81_orders],0)</f>
        <v>0</v>
      </c>
      <c r="Q200" s="11">
        <f>_xlfn.XLOOKUP(TableDailySummary[[#This Row],[Fecha]],SummaryDaily[day],SummaryDaily[Tienda 81_average_order_value],0)</f>
        <v>0</v>
      </c>
      <c r="R200" s="11">
        <f>_xlfn.XLOOKUP(TableDailySummary[[#This Row],[Fecha]],SummaryDaily[day],SummaryDaily[Rappi_net_sales],0)</f>
        <v>0</v>
      </c>
      <c r="S200" s="11">
        <f>_xlfn.XLOOKUP(TableDailySummary[[#This Row],[Fecha]],SummaryDaily[day],SummaryDaily[Rappi_orders],0)</f>
        <v>0</v>
      </c>
      <c r="T200" s="11">
        <f>_xlfn.XLOOKUP(TableDailySummary[[#This Row],[Fecha]],SummaryDaily[day],SummaryDaily[Rappi_average_order_value],0)</f>
        <v>0</v>
      </c>
      <c r="U200" s="11">
        <f>_xlfn.XLOOKUP(TableDailySummary[[#This Row],[Fecha]],SummaryDaily[day],SummaryDaily[Corporativo no tienda_net_sales],0)</f>
        <v>0</v>
      </c>
      <c r="V200" s="11">
        <f>_xlfn.XLOOKUP(TableDailySummary[[#This Row],[Fecha]],SummaryDaily[day],SummaryDaily[Corporativo no tienda_orders],0)</f>
        <v>0</v>
      </c>
      <c r="W200" s="11">
        <f>_xlfn.XLOOKUP(TableDailySummary[[#This Row],[Fecha]],SummaryDaily[day],SummaryDaily[Corporativo no tienda_average_order_value],0)</f>
        <v>0</v>
      </c>
      <c r="X200" s="11">
        <f>_xlfn.XLOOKUP(TableDailySummary[[#This Row],[Fecha]],SummaryDaily[day],SummaryDaily[GoogleAdsOperation.Cost],0)</f>
        <v>0</v>
      </c>
      <c r="Y200" s="11">
        <f>SUMIFS(SalesByUTMDaily[google],SalesByUTMDaily[day],TableDailySummary[[#This Row],[Fecha]])</f>
        <v>0</v>
      </c>
      <c r="Z200" s="11">
        <f>_xlfn.XLOOKUP(TableDailySummary[[#This Row],[Fecha]],SummaryDaily[day],SummaryDaily[MetaAdsOperation.spend],0)</f>
        <v>0</v>
      </c>
      <c r="AA200" s="11">
        <f>SUMIFS(SalesByUTMDaily[facebook],SalesByUTMDaily[day],TableDailySummary[[#This Row],[Fecha]])</f>
        <v>0</v>
      </c>
      <c r="AB200" s="11">
        <f>TableDailySummary[[#This Row],[Inversión google ads]]+TableDailySummary[[#This Row],[Inversión meta ads]]</f>
        <v>0</v>
      </c>
      <c r="AC200" s="11">
        <f>TableDailySummary[[#This Row],[Ventas google ads]]+TableDailySummary[[#This Row],[Ventas meta ads]]</f>
        <v>0</v>
      </c>
      <c r="AD200" s="14">
        <f>IFERROR(TableDailySummary[[#This Row],[Ventas publicidad]]/TableDailySummary[[#This Row],[Inversión publicidad]],0)</f>
        <v>0</v>
      </c>
      <c r="AE200" s="14">
        <f>IFERROR(TableDailySummary[[#This Row],[Ventas primer cliente]]/TableDailySummary[[#This Row],[Inversión publicidad]],0)</f>
        <v>0</v>
      </c>
      <c r="AF200" s="14"/>
      <c r="AG200" s="11"/>
      <c r="AM200" s="11">
        <f>_xlfn.XLOOKUP(TableDailySummary[[#This Row],[Fecha]],SummaryDaily[day],SummaryDaily[net_sales_with_cost_recorded],0)</f>
        <v>0</v>
      </c>
      <c r="AN200" s="11">
        <f>_xlfn.XLOOKUP(TableDailySummary[[#This Row],[Fecha]],SummaryDaily[day],SummaryDaily[cost_of_goods_sold],0)</f>
        <v>0</v>
      </c>
      <c r="AO200" s="11">
        <f>_xlfn.XLOOKUP(TableDailySummary[[#This Row],[Fecha]],SummaryDaily[day],SummaryDaily[gross_profit],0)</f>
        <v>0</v>
      </c>
      <c r="AP200" s="18">
        <f>IFERROR(TableDailySummary[[#This Row],[Utilidad bruta]]/TableDailySummary[[#This Row],[Ventas netas con costo registrado]],0)</f>
        <v>0</v>
      </c>
    </row>
    <row r="201" spans="2:42" x14ac:dyDescent="0.2">
      <c r="B201" s="15" cm="1">
        <f t="array" ref="B201">ParamFechaInicioReporte + (ROW(TableDailySummary[#This Row]) - ROW(TableDailySummary[[#Headers],[Dia]]) - 1)</f>
        <v>44728</v>
      </c>
      <c r="C201" s="6">
        <f>TableDailySummary[[#This Row],[Dia]]</f>
        <v>44728</v>
      </c>
      <c r="D201" s="11">
        <f>_xlfn.XLOOKUP(TableDailySummary[[#This Row],[Fecha]],SummaryDaily[day],SummaryDaily[net_sales],0)</f>
        <v>0</v>
      </c>
      <c r="E201" s="11">
        <f>_xlfn.XLOOKUP(TableDailySummary[[#This Row],[Fecha]],SummaryDaily[day],SummaryDaily[orders],0)</f>
        <v>0</v>
      </c>
      <c r="F201" s="11">
        <f>_xlfn.XLOOKUP(TableDailySummary[[#This Row],[Fecha]],SummaryDaily[day],SummaryDaily[average_order_value],0)</f>
        <v>0</v>
      </c>
      <c r="G201" s="24" cm="1">
        <f t="array" ref="G201">_xlfn.XLOOKUP(TableDailySummary[[#This Row],[Fecha]]&amp;"Total site",ConversionRateByReferral[day]&amp;ConversionRateByReferral[referrer_source],ConversionRateByReferral[conversion_rate],0)</f>
        <v>0</v>
      </c>
      <c r="H201" s="11">
        <f>TableDailySummary[[#This Row],[Órden promedio totales]]*TableDailySummary[[#This Row],[CR totales]]</f>
        <v>0</v>
      </c>
      <c r="I201" s="11">
        <f>_xlfn.XLOOKUP(TableDailySummary[[#This Row],[Fecha]],SummaryDaily[day],SummaryDaily[new_net_sales],0)</f>
        <v>0</v>
      </c>
      <c r="J201" s="11">
        <f>_xlfn.XLOOKUP(TableDailySummary[[#This Row],[Fecha]],SummaryDaily[day],SummaryDaily[new_orders],0)</f>
        <v>0</v>
      </c>
      <c r="K201" s="11">
        <f>_xlfn.XLOOKUP(TableDailySummary[[#This Row],[Fecha]],SummaryDaily[day],SummaryDaily[new_average_order_value],0)</f>
        <v>0</v>
      </c>
      <c r="L201" s="11">
        <f>_xlfn.XLOOKUP(TableDailySummary[[#This Row],[Fecha]],SummaryDaily[day],SummaryDaily[Online Store_net_sales],0)</f>
        <v>0</v>
      </c>
      <c r="M201" s="11">
        <f>_xlfn.XLOOKUP(TableDailySummary[[#This Row],[Fecha]],SummaryDaily[day],SummaryDaily[Online Store_orders],0)</f>
        <v>0</v>
      </c>
      <c r="N201" s="11">
        <f>_xlfn.XLOOKUP(TableDailySummary[[#This Row],[Fecha]],SummaryDaily[day],SummaryDaily[Online Store_average_order_value],0)</f>
        <v>0</v>
      </c>
      <c r="O201" s="11">
        <f>_xlfn.XLOOKUP(TableDailySummary[[#This Row],[Fecha]],SummaryDaily[day],SummaryDaily[Tienda 81_net_sales],0)</f>
        <v>0</v>
      </c>
      <c r="P201" s="11">
        <f>_xlfn.XLOOKUP(TableDailySummary[[#This Row],[Fecha]],SummaryDaily[day],SummaryDaily[Tienda 81_orders],0)</f>
        <v>0</v>
      </c>
      <c r="Q201" s="11">
        <f>_xlfn.XLOOKUP(TableDailySummary[[#This Row],[Fecha]],SummaryDaily[day],SummaryDaily[Tienda 81_average_order_value],0)</f>
        <v>0</v>
      </c>
      <c r="R201" s="11">
        <f>_xlfn.XLOOKUP(TableDailySummary[[#This Row],[Fecha]],SummaryDaily[day],SummaryDaily[Rappi_net_sales],0)</f>
        <v>0</v>
      </c>
      <c r="S201" s="11">
        <f>_xlfn.XLOOKUP(TableDailySummary[[#This Row],[Fecha]],SummaryDaily[day],SummaryDaily[Rappi_orders],0)</f>
        <v>0</v>
      </c>
      <c r="T201" s="11">
        <f>_xlfn.XLOOKUP(TableDailySummary[[#This Row],[Fecha]],SummaryDaily[day],SummaryDaily[Rappi_average_order_value],0)</f>
        <v>0</v>
      </c>
      <c r="U201" s="11">
        <f>_xlfn.XLOOKUP(TableDailySummary[[#This Row],[Fecha]],SummaryDaily[day],SummaryDaily[Corporativo no tienda_net_sales],0)</f>
        <v>0</v>
      </c>
      <c r="V201" s="11">
        <f>_xlfn.XLOOKUP(TableDailySummary[[#This Row],[Fecha]],SummaryDaily[day],SummaryDaily[Corporativo no tienda_orders],0)</f>
        <v>0</v>
      </c>
      <c r="W201" s="11">
        <f>_xlfn.XLOOKUP(TableDailySummary[[#This Row],[Fecha]],SummaryDaily[day],SummaryDaily[Corporativo no tienda_average_order_value],0)</f>
        <v>0</v>
      </c>
      <c r="X201" s="11">
        <f>_xlfn.XLOOKUP(TableDailySummary[[#This Row],[Fecha]],SummaryDaily[day],SummaryDaily[GoogleAdsOperation.Cost],0)</f>
        <v>0</v>
      </c>
      <c r="Y201" s="11">
        <f>SUMIFS(SalesByUTMDaily[google],SalesByUTMDaily[day],TableDailySummary[[#This Row],[Fecha]])</f>
        <v>0</v>
      </c>
      <c r="Z201" s="11">
        <f>_xlfn.XLOOKUP(TableDailySummary[[#This Row],[Fecha]],SummaryDaily[day],SummaryDaily[MetaAdsOperation.spend],0)</f>
        <v>0</v>
      </c>
      <c r="AA201" s="11">
        <f>SUMIFS(SalesByUTMDaily[facebook],SalesByUTMDaily[day],TableDailySummary[[#This Row],[Fecha]])</f>
        <v>0</v>
      </c>
      <c r="AB201" s="11">
        <f>TableDailySummary[[#This Row],[Inversión google ads]]+TableDailySummary[[#This Row],[Inversión meta ads]]</f>
        <v>0</v>
      </c>
      <c r="AC201" s="11">
        <f>TableDailySummary[[#This Row],[Ventas google ads]]+TableDailySummary[[#This Row],[Ventas meta ads]]</f>
        <v>0</v>
      </c>
      <c r="AD201" s="14">
        <f>IFERROR(TableDailySummary[[#This Row],[Ventas publicidad]]/TableDailySummary[[#This Row],[Inversión publicidad]],0)</f>
        <v>0</v>
      </c>
      <c r="AE201" s="14">
        <f>IFERROR(TableDailySummary[[#This Row],[Ventas primer cliente]]/TableDailySummary[[#This Row],[Inversión publicidad]],0)</f>
        <v>0</v>
      </c>
      <c r="AF201" s="14"/>
      <c r="AG201" s="11"/>
      <c r="AM201" s="11">
        <f>_xlfn.XLOOKUP(TableDailySummary[[#This Row],[Fecha]],SummaryDaily[day],SummaryDaily[net_sales_with_cost_recorded],0)</f>
        <v>0</v>
      </c>
      <c r="AN201" s="11">
        <f>_xlfn.XLOOKUP(TableDailySummary[[#This Row],[Fecha]],SummaryDaily[day],SummaryDaily[cost_of_goods_sold],0)</f>
        <v>0</v>
      </c>
      <c r="AO201" s="11">
        <f>_xlfn.XLOOKUP(TableDailySummary[[#This Row],[Fecha]],SummaryDaily[day],SummaryDaily[gross_profit],0)</f>
        <v>0</v>
      </c>
      <c r="AP201" s="18">
        <f>IFERROR(TableDailySummary[[#This Row],[Utilidad bruta]]/TableDailySummary[[#This Row],[Ventas netas con costo registrado]],0)</f>
        <v>0</v>
      </c>
    </row>
    <row r="202" spans="2:42" x14ac:dyDescent="0.2">
      <c r="B202" s="15" cm="1">
        <f t="array" ref="B202">ParamFechaInicioReporte + (ROW(TableDailySummary[#This Row]) - ROW(TableDailySummary[[#Headers],[Dia]]) - 1)</f>
        <v>44729</v>
      </c>
      <c r="C202" s="6">
        <f>TableDailySummary[[#This Row],[Dia]]</f>
        <v>44729</v>
      </c>
      <c r="D202" s="11">
        <f>_xlfn.XLOOKUP(TableDailySummary[[#This Row],[Fecha]],SummaryDaily[day],SummaryDaily[net_sales],0)</f>
        <v>0</v>
      </c>
      <c r="E202" s="11">
        <f>_xlfn.XLOOKUP(TableDailySummary[[#This Row],[Fecha]],SummaryDaily[day],SummaryDaily[orders],0)</f>
        <v>0</v>
      </c>
      <c r="F202" s="11">
        <f>_xlfn.XLOOKUP(TableDailySummary[[#This Row],[Fecha]],SummaryDaily[day],SummaryDaily[average_order_value],0)</f>
        <v>0</v>
      </c>
      <c r="G202" s="24" cm="1">
        <f t="array" ref="G202">_xlfn.XLOOKUP(TableDailySummary[[#This Row],[Fecha]]&amp;"Total site",ConversionRateByReferral[day]&amp;ConversionRateByReferral[referrer_source],ConversionRateByReferral[conversion_rate],0)</f>
        <v>0</v>
      </c>
      <c r="H202" s="11">
        <f>TableDailySummary[[#This Row],[Órden promedio totales]]*TableDailySummary[[#This Row],[CR totales]]</f>
        <v>0</v>
      </c>
      <c r="I202" s="11">
        <f>_xlfn.XLOOKUP(TableDailySummary[[#This Row],[Fecha]],SummaryDaily[day],SummaryDaily[new_net_sales],0)</f>
        <v>0</v>
      </c>
      <c r="J202" s="11">
        <f>_xlfn.XLOOKUP(TableDailySummary[[#This Row],[Fecha]],SummaryDaily[day],SummaryDaily[new_orders],0)</f>
        <v>0</v>
      </c>
      <c r="K202" s="11">
        <f>_xlfn.XLOOKUP(TableDailySummary[[#This Row],[Fecha]],SummaryDaily[day],SummaryDaily[new_average_order_value],0)</f>
        <v>0</v>
      </c>
      <c r="L202" s="11">
        <f>_xlfn.XLOOKUP(TableDailySummary[[#This Row],[Fecha]],SummaryDaily[day],SummaryDaily[Online Store_net_sales],0)</f>
        <v>0</v>
      </c>
      <c r="M202" s="11">
        <f>_xlfn.XLOOKUP(TableDailySummary[[#This Row],[Fecha]],SummaryDaily[day],SummaryDaily[Online Store_orders],0)</f>
        <v>0</v>
      </c>
      <c r="N202" s="11">
        <f>_xlfn.XLOOKUP(TableDailySummary[[#This Row],[Fecha]],SummaryDaily[day],SummaryDaily[Online Store_average_order_value],0)</f>
        <v>0</v>
      </c>
      <c r="O202" s="11">
        <f>_xlfn.XLOOKUP(TableDailySummary[[#This Row],[Fecha]],SummaryDaily[day],SummaryDaily[Tienda 81_net_sales],0)</f>
        <v>0</v>
      </c>
      <c r="P202" s="11">
        <f>_xlfn.XLOOKUP(TableDailySummary[[#This Row],[Fecha]],SummaryDaily[day],SummaryDaily[Tienda 81_orders],0)</f>
        <v>0</v>
      </c>
      <c r="Q202" s="11">
        <f>_xlfn.XLOOKUP(TableDailySummary[[#This Row],[Fecha]],SummaryDaily[day],SummaryDaily[Tienda 81_average_order_value],0)</f>
        <v>0</v>
      </c>
      <c r="R202" s="11">
        <f>_xlfn.XLOOKUP(TableDailySummary[[#This Row],[Fecha]],SummaryDaily[day],SummaryDaily[Rappi_net_sales],0)</f>
        <v>0</v>
      </c>
      <c r="S202" s="11">
        <f>_xlfn.XLOOKUP(TableDailySummary[[#This Row],[Fecha]],SummaryDaily[day],SummaryDaily[Rappi_orders],0)</f>
        <v>0</v>
      </c>
      <c r="T202" s="11">
        <f>_xlfn.XLOOKUP(TableDailySummary[[#This Row],[Fecha]],SummaryDaily[day],SummaryDaily[Rappi_average_order_value],0)</f>
        <v>0</v>
      </c>
      <c r="U202" s="11">
        <f>_xlfn.XLOOKUP(TableDailySummary[[#This Row],[Fecha]],SummaryDaily[day],SummaryDaily[Corporativo no tienda_net_sales],0)</f>
        <v>0</v>
      </c>
      <c r="V202" s="11">
        <f>_xlfn.XLOOKUP(TableDailySummary[[#This Row],[Fecha]],SummaryDaily[day],SummaryDaily[Corporativo no tienda_orders],0)</f>
        <v>0</v>
      </c>
      <c r="W202" s="11">
        <f>_xlfn.XLOOKUP(TableDailySummary[[#This Row],[Fecha]],SummaryDaily[day],SummaryDaily[Corporativo no tienda_average_order_value],0)</f>
        <v>0</v>
      </c>
      <c r="X202" s="11">
        <f>_xlfn.XLOOKUP(TableDailySummary[[#This Row],[Fecha]],SummaryDaily[day],SummaryDaily[GoogleAdsOperation.Cost],0)</f>
        <v>0</v>
      </c>
      <c r="Y202" s="11">
        <f>SUMIFS(SalesByUTMDaily[google],SalesByUTMDaily[day],TableDailySummary[[#This Row],[Fecha]])</f>
        <v>0</v>
      </c>
      <c r="Z202" s="11">
        <f>_xlfn.XLOOKUP(TableDailySummary[[#This Row],[Fecha]],SummaryDaily[day],SummaryDaily[MetaAdsOperation.spend],0)</f>
        <v>0</v>
      </c>
      <c r="AA202" s="11">
        <f>SUMIFS(SalesByUTMDaily[facebook],SalesByUTMDaily[day],TableDailySummary[[#This Row],[Fecha]])</f>
        <v>0</v>
      </c>
      <c r="AB202" s="11">
        <f>TableDailySummary[[#This Row],[Inversión google ads]]+TableDailySummary[[#This Row],[Inversión meta ads]]</f>
        <v>0</v>
      </c>
      <c r="AC202" s="11">
        <f>TableDailySummary[[#This Row],[Ventas google ads]]+TableDailySummary[[#This Row],[Ventas meta ads]]</f>
        <v>0</v>
      </c>
      <c r="AD202" s="14">
        <f>IFERROR(TableDailySummary[[#This Row],[Ventas publicidad]]/TableDailySummary[[#This Row],[Inversión publicidad]],0)</f>
        <v>0</v>
      </c>
      <c r="AE202" s="14">
        <f>IFERROR(TableDailySummary[[#This Row],[Ventas primer cliente]]/TableDailySummary[[#This Row],[Inversión publicidad]],0)</f>
        <v>0</v>
      </c>
      <c r="AF202" s="14"/>
      <c r="AG202" s="11"/>
      <c r="AM202" s="11">
        <f>_xlfn.XLOOKUP(TableDailySummary[[#This Row],[Fecha]],SummaryDaily[day],SummaryDaily[net_sales_with_cost_recorded],0)</f>
        <v>0</v>
      </c>
      <c r="AN202" s="11">
        <f>_xlfn.XLOOKUP(TableDailySummary[[#This Row],[Fecha]],SummaryDaily[day],SummaryDaily[cost_of_goods_sold],0)</f>
        <v>0</v>
      </c>
      <c r="AO202" s="11">
        <f>_xlfn.XLOOKUP(TableDailySummary[[#This Row],[Fecha]],SummaryDaily[day],SummaryDaily[gross_profit],0)</f>
        <v>0</v>
      </c>
      <c r="AP202" s="18">
        <f>IFERROR(TableDailySummary[[#This Row],[Utilidad bruta]]/TableDailySummary[[#This Row],[Ventas netas con costo registrado]],0)</f>
        <v>0</v>
      </c>
    </row>
    <row r="203" spans="2:42" x14ac:dyDescent="0.2">
      <c r="B203" s="15" cm="1">
        <f t="array" ref="B203">ParamFechaInicioReporte + (ROW(TableDailySummary[#This Row]) - ROW(TableDailySummary[[#Headers],[Dia]]) - 1)</f>
        <v>44730</v>
      </c>
      <c r="C203" s="6">
        <f>TableDailySummary[[#This Row],[Dia]]</f>
        <v>44730</v>
      </c>
      <c r="D203" s="11">
        <f>_xlfn.XLOOKUP(TableDailySummary[[#This Row],[Fecha]],SummaryDaily[day],SummaryDaily[net_sales],0)</f>
        <v>0</v>
      </c>
      <c r="E203" s="11">
        <f>_xlfn.XLOOKUP(TableDailySummary[[#This Row],[Fecha]],SummaryDaily[day],SummaryDaily[orders],0)</f>
        <v>0</v>
      </c>
      <c r="F203" s="11">
        <f>_xlfn.XLOOKUP(TableDailySummary[[#This Row],[Fecha]],SummaryDaily[day],SummaryDaily[average_order_value],0)</f>
        <v>0</v>
      </c>
      <c r="G203" s="24" cm="1">
        <f t="array" ref="G203">_xlfn.XLOOKUP(TableDailySummary[[#This Row],[Fecha]]&amp;"Total site",ConversionRateByReferral[day]&amp;ConversionRateByReferral[referrer_source],ConversionRateByReferral[conversion_rate],0)</f>
        <v>0</v>
      </c>
      <c r="H203" s="11">
        <f>TableDailySummary[[#This Row],[Órden promedio totales]]*TableDailySummary[[#This Row],[CR totales]]</f>
        <v>0</v>
      </c>
      <c r="I203" s="11">
        <f>_xlfn.XLOOKUP(TableDailySummary[[#This Row],[Fecha]],SummaryDaily[day],SummaryDaily[new_net_sales],0)</f>
        <v>0</v>
      </c>
      <c r="J203" s="11">
        <f>_xlfn.XLOOKUP(TableDailySummary[[#This Row],[Fecha]],SummaryDaily[day],SummaryDaily[new_orders],0)</f>
        <v>0</v>
      </c>
      <c r="K203" s="11">
        <f>_xlfn.XLOOKUP(TableDailySummary[[#This Row],[Fecha]],SummaryDaily[day],SummaryDaily[new_average_order_value],0)</f>
        <v>0</v>
      </c>
      <c r="L203" s="11">
        <f>_xlfn.XLOOKUP(TableDailySummary[[#This Row],[Fecha]],SummaryDaily[day],SummaryDaily[Online Store_net_sales],0)</f>
        <v>0</v>
      </c>
      <c r="M203" s="11">
        <f>_xlfn.XLOOKUP(TableDailySummary[[#This Row],[Fecha]],SummaryDaily[day],SummaryDaily[Online Store_orders],0)</f>
        <v>0</v>
      </c>
      <c r="N203" s="11">
        <f>_xlfn.XLOOKUP(TableDailySummary[[#This Row],[Fecha]],SummaryDaily[day],SummaryDaily[Online Store_average_order_value],0)</f>
        <v>0</v>
      </c>
      <c r="O203" s="11">
        <f>_xlfn.XLOOKUP(TableDailySummary[[#This Row],[Fecha]],SummaryDaily[day],SummaryDaily[Tienda 81_net_sales],0)</f>
        <v>0</v>
      </c>
      <c r="P203" s="11">
        <f>_xlfn.XLOOKUP(TableDailySummary[[#This Row],[Fecha]],SummaryDaily[day],SummaryDaily[Tienda 81_orders],0)</f>
        <v>0</v>
      </c>
      <c r="Q203" s="11">
        <f>_xlfn.XLOOKUP(TableDailySummary[[#This Row],[Fecha]],SummaryDaily[day],SummaryDaily[Tienda 81_average_order_value],0)</f>
        <v>0</v>
      </c>
      <c r="R203" s="11">
        <f>_xlfn.XLOOKUP(TableDailySummary[[#This Row],[Fecha]],SummaryDaily[day],SummaryDaily[Rappi_net_sales],0)</f>
        <v>0</v>
      </c>
      <c r="S203" s="11">
        <f>_xlfn.XLOOKUP(TableDailySummary[[#This Row],[Fecha]],SummaryDaily[day],SummaryDaily[Rappi_orders],0)</f>
        <v>0</v>
      </c>
      <c r="T203" s="11">
        <f>_xlfn.XLOOKUP(TableDailySummary[[#This Row],[Fecha]],SummaryDaily[day],SummaryDaily[Rappi_average_order_value],0)</f>
        <v>0</v>
      </c>
      <c r="U203" s="11">
        <f>_xlfn.XLOOKUP(TableDailySummary[[#This Row],[Fecha]],SummaryDaily[day],SummaryDaily[Corporativo no tienda_net_sales],0)</f>
        <v>0</v>
      </c>
      <c r="V203" s="11">
        <f>_xlfn.XLOOKUP(TableDailySummary[[#This Row],[Fecha]],SummaryDaily[day],SummaryDaily[Corporativo no tienda_orders],0)</f>
        <v>0</v>
      </c>
      <c r="W203" s="11">
        <f>_xlfn.XLOOKUP(TableDailySummary[[#This Row],[Fecha]],SummaryDaily[day],SummaryDaily[Corporativo no tienda_average_order_value],0)</f>
        <v>0</v>
      </c>
      <c r="X203" s="11">
        <f>_xlfn.XLOOKUP(TableDailySummary[[#This Row],[Fecha]],SummaryDaily[day],SummaryDaily[GoogleAdsOperation.Cost],0)</f>
        <v>0</v>
      </c>
      <c r="Y203" s="11">
        <f>SUMIFS(SalesByUTMDaily[google],SalesByUTMDaily[day],TableDailySummary[[#This Row],[Fecha]])</f>
        <v>0</v>
      </c>
      <c r="Z203" s="11">
        <f>_xlfn.XLOOKUP(TableDailySummary[[#This Row],[Fecha]],SummaryDaily[day],SummaryDaily[MetaAdsOperation.spend],0)</f>
        <v>0</v>
      </c>
      <c r="AA203" s="11">
        <f>SUMIFS(SalesByUTMDaily[facebook],SalesByUTMDaily[day],TableDailySummary[[#This Row],[Fecha]])</f>
        <v>0</v>
      </c>
      <c r="AB203" s="11">
        <f>TableDailySummary[[#This Row],[Inversión google ads]]+TableDailySummary[[#This Row],[Inversión meta ads]]</f>
        <v>0</v>
      </c>
      <c r="AC203" s="11">
        <f>TableDailySummary[[#This Row],[Ventas google ads]]+TableDailySummary[[#This Row],[Ventas meta ads]]</f>
        <v>0</v>
      </c>
      <c r="AD203" s="14">
        <f>IFERROR(TableDailySummary[[#This Row],[Ventas publicidad]]/TableDailySummary[[#This Row],[Inversión publicidad]],0)</f>
        <v>0</v>
      </c>
      <c r="AE203" s="14">
        <f>IFERROR(TableDailySummary[[#This Row],[Ventas primer cliente]]/TableDailySummary[[#This Row],[Inversión publicidad]],0)</f>
        <v>0</v>
      </c>
      <c r="AF203" s="14"/>
      <c r="AG203" s="11"/>
      <c r="AM203" s="11">
        <f>_xlfn.XLOOKUP(TableDailySummary[[#This Row],[Fecha]],SummaryDaily[day],SummaryDaily[net_sales_with_cost_recorded],0)</f>
        <v>0</v>
      </c>
      <c r="AN203" s="11">
        <f>_xlfn.XLOOKUP(TableDailySummary[[#This Row],[Fecha]],SummaryDaily[day],SummaryDaily[cost_of_goods_sold],0)</f>
        <v>0</v>
      </c>
      <c r="AO203" s="11">
        <f>_xlfn.XLOOKUP(TableDailySummary[[#This Row],[Fecha]],SummaryDaily[day],SummaryDaily[gross_profit],0)</f>
        <v>0</v>
      </c>
      <c r="AP203" s="18">
        <f>IFERROR(TableDailySummary[[#This Row],[Utilidad bruta]]/TableDailySummary[[#This Row],[Ventas netas con costo registrado]],0)</f>
        <v>0</v>
      </c>
    </row>
    <row r="204" spans="2:42" x14ac:dyDescent="0.2">
      <c r="B204" s="15" cm="1">
        <f t="array" ref="B204">ParamFechaInicioReporte + (ROW(TableDailySummary[#This Row]) - ROW(TableDailySummary[[#Headers],[Dia]]) - 1)</f>
        <v>44731</v>
      </c>
      <c r="C204" s="6">
        <f>TableDailySummary[[#This Row],[Dia]]</f>
        <v>44731</v>
      </c>
      <c r="D204" s="11">
        <f>_xlfn.XLOOKUP(TableDailySummary[[#This Row],[Fecha]],SummaryDaily[day],SummaryDaily[net_sales],0)</f>
        <v>0</v>
      </c>
      <c r="E204" s="11">
        <f>_xlfn.XLOOKUP(TableDailySummary[[#This Row],[Fecha]],SummaryDaily[day],SummaryDaily[orders],0)</f>
        <v>0</v>
      </c>
      <c r="F204" s="11">
        <f>_xlfn.XLOOKUP(TableDailySummary[[#This Row],[Fecha]],SummaryDaily[day],SummaryDaily[average_order_value],0)</f>
        <v>0</v>
      </c>
      <c r="G204" s="24" cm="1">
        <f t="array" ref="G204">_xlfn.XLOOKUP(TableDailySummary[[#This Row],[Fecha]]&amp;"Total site",ConversionRateByReferral[day]&amp;ConversionRateByReferral[referrer_source],ConversionRateByReferral[conversion_rate],0)</f>
        <v>0</v>
      </c>
      <c r="H204" s="11">
        <f>TableDailySummary[[#This Row],[Órden promedio totales]]*TableDailySummary[[#This Row],[CR totales]]</f>
        <v>0</v>
      </c>
      <c r="I204" s="11">
        <f>_xlfn.XLOOKUP(TableDailySummary[[#This Row],[Fecha]],SummaryDaily[day],SummaryDaily[new_net_sales],0)</f>
        <v>0</v>
      </c>
      <c r="J204" s="11">
        <f>_xlfn.XLOOKUP(TableDailySummary[[#This Row],[Fecha]],SummaryDaily[day],SummaryDaily[new_orders],0)</f>
        <v>0</v>
      </c>
      <c r="K204" s="11">
        <f>_xlfn.XLOOKUP(TableDailySummary[[#This Row],[Fecha]],SummaryDaily[day],SummaryDaily[new_average_order_value],0)</f>
        <v>0</v>
      </c>
      <c r="L204" s="11">
        <f>_xlfn.XLOOKUP(TableDailySummary[[#This Row],[Fecha]],SummaryDaily[day],SummaryDaily[Online Store_net_sales],0)</f>
        <v>0</v>
      </c>
      <c r="M204" s="11">
        <f>_xlfn.XLOOKUP(TableDailySummary[[#This Row],[Fecha]],SummaryDaily[day],SummaryDaily[Online Store_orders],0)</f>
        <v>0</v>
      </c>
      <c r="N204" s="11">
        <f>_xlfn.XLOOKUP(TableDailySummary[[#This Row],[Fecha]],SummaryDaily[day],SummaryDaily[Online Store_average_order_value],0)</f>
        <v>0</v>
      </c>
      <c r="O204" s="11">
        <f>_xlfn.XLOOKUP(TableDailySummary[[#This Row],[Fecha]],SummaryDaily[day],SummaryDaily[Tienda 81_net_sales],0)</f>
        <v>0</v>
      </c>
      <c r="P204" s="11">
        <f>_xlfn.XLOOKUP(TableDailySummary[[#This Row],[Fecha]],SummaryDaily[day],SummaryDaily[Tienda 81_orders],0)</f>
        <v>0</v>
      </c>
      <c r="Q204" s="11">
        <f>_xlfn.XLOOKUP(TableDailySummary[[#This Row],[Fecha]],SummaryDaily[day],SummaryDaily[Tienda 81_average_order_value],0)</f>
        <v>0</v>
      </c>
      <c r="R204" s="11">
        <f>_xlfn.XLOOKUP(TableDailySummary[[#This Row],[Fecha]],SummaryDaily[day],SummaryDaily[Rappi_net_sales],0)</f>
        <v>0</v>
      </c>
      <c r="S204" s="11">
        <f>_xlfn.XLOOKUP(TableDailySummary[[#This Row],[Fecha]],SummaryDaily[day],SummaryDaily[Rappi_orders],0)</f>
        <v>0</v>
      </c>
      <c r="T204" s="11">
        <f>_xlfn.XLOOKUP(TableDailySummary[[#This Row],[Fecha]],SummaryDaily[day],SummaryDaily[Rappi_average_order_value],0)</f>
        <v>0</v>
      </c>
      <c r="U204" s="11">
        <f>_xlfn.XLOOKUP(TableDailySummary[[#This Row],[Fecha]],SummaryDaily[day],SummaryDaily[Corporativo no tienda_net_sales],0)</f>
        <v>0</v>
      </c>
      <c r="V204" s="11">
        <f>_xlfn.XLOOKUP(TableDailySummary[[#This Row],[Fecha]],SummaryDaily[day],SummaryDaily[Corporativo no tienda_orders],0)</f>
        <v>0</v>
      </c>
      <c r="W204" s="11">
        <f>_xlfn.XLOOKUP(TableDailySummary[[#This Row],[Fecha]],SummaryDaily[day],SummaryDaily[Corporativo no tienda_average_order_value],0)</f>
        <v>0</v>
      </c>
      <c r="X204" s="11">
        <f>_xlfn.XLOOKUP(TableDailySummary[[#This Row],[Fecha]],SummaryDaily[day],SummaryDaily[GoogleAdsOperation.Cost],0)</f>
        <v>0</v>
      </c>
      <c r="Y204" s="11">
        <f>SUMIFS(SalesByUTMDaily[google],SalesByUTMDaily[day],TableDailySummary[[#This Row],[Fecha]])</f>
        <v>0</v>
      </c>
      <c r="Z204" s="11">
        <f>_xlfn.XLOOKUP(TableDailySummary[[#This Row],[Fecha]],SummaryDaily[day],SummaryDaily[MetaAdsOperation.spend],0)</f>
        <v>0</v>
      </c>
      <c r="AA204" s="11">
        <f>SUMIFS(SalesByUTMDaily[facebook],SalesByUTMDaily[day],TableDailySummary[[#This Row],[Fecha]])</f>
        <v>0</v>
      </c>
      <c r="AB204" s="11">
        <f>TableDailySummary[[#This Row],[Inversión google ads]]+TableDailySummary[[#This Row],[Inversión meta ads]]</f>
        <v>0</v>
      </c>
      <c r="AC204" s="11">
        <f>TableDailySummary[[#This Row],[Ventas google ads]]+TableDailySummary[[#This Row],[Ventas meta ads]]</f>
        <v>0</v>
      </c>
      <c r="AD204" s="14">
        <f>IFERROR(TableDailySummary[[#This Row],[Ventas publicidad]]/TableDailySummary[[#This Row],[Inversión publicidad]],0)</f>
        <v>0</v>
      </c>
      <c r="AE204" s="14">
        <f>IFERROR(TableDailySummary[[#This Row],[Ventas primer cliente]]/TableDailySummary[[#This Row],[Inversión publicidad]],0)</f>
        <v>0</v>
      </c>
      <c r="AF204" s="14"/>
      <c r="AG204" s="11"/>
      <c r="AM204" s="11">
        <f>_xlfn.XLOOKUP(TableDailySummary[[#This Row],[Fecha]],SummaryDaily[day],SummaryDaily[net_sales_with_cost_recorded],0)</f>
        <v>0</v>
      </c>
      <c r="AN204" s="11">
        <f>_xlfn.XLOOKUP(TableDailySummary[[#This Row],[Fecha]],SummaryDaily[day],SummaryDaily[cost_of_goods_sold],0)</f>
        <v>0</v>
      </c>
      <c r="AO204" s="11">
        <f>_xlfn.XLOOKUP(TableDailySummary[[#This Row],[Fecha]],SummaryDaily[day],SummaryDaily[gross_profit],0)</f>
        <v>0</v>
      </c>
      <c r="AP204" s="18">
        <f>IFERROR(TableDailySummary[[#This Row],[Utilidad bruta]]/TableDailySummary[[#This Row],[Ventas netas con costo registrado]],0)</f>
        <v>0</v>
      </c>
    </row>
    <row r="205" spans="2:42" x14ac:dyDescent="0.2">
      <c r="B205" s="15" cm="1">
        <f t="array" ref="B205">ParamFechaInicioReporte + (ROW(TableDailySummary[#This Row]) - ROW(TableDailySummary[[#Headers],[Dia]]) - 1)</f>
        <v>44732</v>
      </c>
      <c r="C205" s="6">
        <f>TableDailySummary[[#This Row],[Dia]]</f>
        <v>44732</v>
      </c>
      <c r="D205" s="11">
        <f>_xlfn.XLOOKUP(TableDailySummary[[#This Row],[Fecha]],SummaryDaily[day],SummaryDaily[net_sales],0)</f>
        <v>0</v>
      </c>
      <c r="E205" s="11">
        <f>_xlfn.XLOOKUP(TableDailySummary[[#This Row],[Fecha]],SummaryDaily[day],SummaryDaily[orders],0)</f>
        <v>0</v>
      </c>
      <c r="F205" s="11">
        <f>_xlfn.XLOOKUP(TableDailySummary[[#This Row],[Fecha]],SummaryDaily[day],SummaryDaily[average_order_value],0)</f>
        <v>0</v>
      </c>
      <c r="G205" s="24" cm="1">
        <f t="array" ref="G205">_xlfn.XLOOKUP(TableDailySummary[[#This Row],[Fecha]]&amp;"Total site",ConversionRateByReferral[day]&amp;ConversionRateByReferral[referrer_source],ConversionRateByReferral[conversion_rate],0)</f>
        <v>0</v>
      </c>
      <c r="H205" s="11">
        <f>TableDailySummary[[#This Row],[Órden promedio totales]]*TableDailySummary[[#This Row],[CR totales]]</f>
        <v>0</v>
      </c>
      <c r="I205" s="11">
        <f>_xlfn.XLOOKUP(TableDailySummary[[#This Row],[Fecha]],SummaryDaily[day],SummaryDaily[new_net_sales],0)</f>
        <v>0</v>
      </c>
      <c r="J205" s="11">
        <f>_xlfn.XLOOKUP(TableDailySummary[[#This Row],[Fecha]],SummaryDaily[day],SummaryDaily[new_orders],0)</f>
        <v>0</v>
      </c>
      <c r="K205" s="11">
        <f>_xlfn.XLOOKUP(TableDailySummary[[#This Row],[Fecha]],SummaryDaily[day],SummaryDaily[new_average_order_value],0)</f>
        <v>0</v>
      </c>
      <c r="L205" s="11">
        <f>_xlfn.XLOOKUP(TableDailySummary[[#This Row],[Fecha]],SummaryDaily[day],SummaryDaily[Online Store_net_sales],0)</f>
        <v>0</v>
      </c>
      <c r="M205" s="11">
        <f>_xlfn.XLOOKUP(TableDailySummary[[#This Row],[Fecha]],SummaryDaily[day],SummaryDaily[Online Store_orders],0)</f>
        <v>0</v>
      </c>
      <c r="N205" s="11">
        <f>_xlfn.XLOOKUP(TableDailySummary[[#This Row],[Fecha]],SummaryDaily[day],SummaryDaily[Online Store_average_order_value],0)</f>
        <v>0</v>
      </c>
      <c r="O205" s="11">
        <f>_xlfn.XLOOKUP(TableDailySummary[[#This Row],[Fecha]],SummaryDaily[day],SummaryDaily[Tienda 81_net_sales],0)</f>
        <v>0</v>
      </c>
      <c r="P205" s="11">
        <f>_xlfn.XLOOKUP(TableDailySummary[[#This Row],[Fecha]],SummaryDaily[day],SummaryDaily[Tienda 81_orders],0)</f>
        <v>0</v>
      </c>
      <c r="Q205" s="11">
        <f>_xlfn.XLOOKUP(TableDailySummary[[#This Row],[Fecha]],SummaryDaily[day],SummaryDaily[Tienda 81_average_order_value],0)</f>
        <v>0</v>
      </c>
      <c r="R205" s="11">
        <f>_xlfn.XLOOKUP(TableDailySummary[[#This Row],[Fecha]],SummaryDaily[day],SummaryDaily[Rappi_net_sales],0)</f>
        <v>0</v>
      </c>
      <c r="S205" s="11">
        <f>_xlfn.XLOOKUP(TableDailySummary[[#This Row],[Fecha]],SummaryDaily[day],SummaryDaily[Rappi_orders],0)</f>
        <v>0</v>
      </c>
      <c r="T205" s="11">
        <f>_xlfn.XLOOKUP(TableDailySummary[[#This Row],[Fecha]],SummaryDaily[day],SummaryDaily[Rappi_average_order_value],0)</f>
        <v>0</v>
      </c>
      <c r="U205" s="11">
        <f>_xlfn.XLOOKUP(TableDailySummary[[#This Row],[Fecha]],SummaryDaily[day],SummaryDaily[Corporativo no tienda_net_sales],0)</f>
        <v>0</v>
      </c>
      <c r="V205" s="11">
        <f>_xlfn.XLOOKUP(TableDailySummary[[#This Row],[Fecha]],SummaryDaily[day],SummaryDaily[Corporativo no tienda_orders],0)</f>
        <v>0</v>
      </c>
      <c r="W205" s="11">
        <f>_xlfn.XLOOKUP(TableDailySummary[[#This Row],[Fecha]],SummaryDaily[day],SummaryDaily[Corporativo no tienda_average_order_value],0)</f>
        <v>0</v>
      </c>
      <c r="X205" s="11">
        <f>_xlfn.XLOOKUP(TableDailySummary[[#This Row],[Fecha]],SummaryDaily[day],SummaryDaily[GoogleAdsOperation.Cost],0)</f>
        <v>0</v>
      </c>
      <c r="Y205" s="11">
        <f>SUMIFS(SalesByUTMDaily[google],SalesByUTMDaily[day],TableDailySummary[[#This Row],[Fecha]])</f>
        <v>0</v>
      </c>
      <c r="Z205" s="11">
        <f>_xlfn.XLOOKUP(TableDailySummary[[#This Row],[Fecha]],SummaryDaily[day],SummaryDaily[MetaAdsOperation.spend],0)</f>
        <v>0</v>
      </c>
      <c r="AA205" s="11">
        <f>SUMIFS(SalesByUTMDaily[facebook],SalesByUTMDaily[day],TableDailySummary[[#This Row],[Fecha]])</f>
        <v>0</v>
      </c>
      <c r="AB205" s="11">
        <f>TableDailySummary[[#This Row],[Inversión google ads]]+TableDailySummary[[#This Row],[Inversión meta ads]]</f>
        <v>0</v>
      </c>
      <c r="AC205" s="11">
        <f>TableDailySummary[[#This Row],[Ventas google ads]]+TableDailySummary[[#This Row],[Ventas meta ads]]</f>
        <v>0</v>
      </c>
      <c r="AD205" s="14">
        <f>IFERROR(TableDailySummary[[#This Row],[Ventas publicidad]]/TableDailySummary[[#This Row],[Inversión publicidad]],0)</f>
        <v>0</v>
      </c>
      <c r="AE205" s="14">
        <f>IFERROR(TableDailySummary[[#This Row],[Ventas primer cliente]]/TableDailySummary[[#This Row],[Inversión publicidad]],0)</f>
        <v>0</v>
      </c>
      <c r="AF205" s="14"/>
      <c r="AG205" s="11"/>
      <c r="AM205" s="11">
        <f>_xlfn.XLOOKUP(TableDailySummary[[#This Row],[Fecha]],SummaryDaily[day],SummaryDaily[net_sales_with_cost_recorded],0)</f>
        <v>0</v>
      </c>
      <c r="AN205" s="11">
        <f>_xlfn.XLOOKUP(TableDailySummary[[#This Row],[Fecha]],SummaryDaily[day],SummaryDaily[cost_of_goods_sold],0)</f>
        <v>0</v>
      </c>
      <c r="AO205" s="11">
        <f>_xlfn.XLOOKUP(TableDailySummary[[#This Row],[Fecha]],SummaryDaily[day],SummaryDaily[gross_profit],0)</f>
        <v>0</v>
      </c>
      <c r="AP205" s="18">
        <f>IFERROR(TableDailySummary[[#This Row],[Utilidad bruta]]/TableDailySummary[[#This Row],[Ventas netas con costo registrado]],0)</f>
        <v>0</v>
      </c>
    </row>
    <row r="206" spans="2:42" x14ac:dyDescent="0.2">
      <c r="B206" s="15" cm="1">
        <f t="array" ref="B206">ParamFechaInicioReporte + (ROW(TableDailySummary[#This Row]) - ROW(TableDailySummary[[#Headers],[Dia]]) - 1)</f>
        <v>44733</v>
      </c>
      <c r="C206" s="6">
        <f>TableDailySummary[[#This Row],[Dia]]</f>
        <v>44733</v>
      </c>
      <c r="D206" s="11">
        <f>_xlfn.XLOOKUP(TableDailySummary[[#This Row],[Fecha]],SummaryDaily[day],SummaryDaily[net_sales],0)</f>
        <v>0</v>
      </c>
      <c r="E206" s="11">
        <f>_xlfn.XLOOKUP(TableDailySummary[[#This Row],[Fecha]],SummaryDaily[day],SummaryDaily[orders],0)</f>
        <v>0</v>
      </c>
      <c r="F206" s="11">
        <f>_xlfn.XLOOKUP(TableDailySummary[[#This Row],[Fecha]],SummaryDaily[day],SummaryDaily[average_order_value],0)</f>
        <v>0</v>
      </c>
      <c r="G206" s="24" cm="1">
        <f t="array" ref="G206">_xlfn.XLOOKUP(TableDailySummary[[#This Row],[Fecha]]&amp;"Total site",ConversionRateByReferral[day]&amp;ConversionRateByReferral[referrer_source],ConversionRateByReferral[conversion_rate],0)</f>
        <v>0</v>
      </c>
      <c r="H206" s="11">
        <f>TableDailySummary[[#This Row],[Órden promedio totales]]*TableDailySummary[[#This Row],[CR totales]]</f>
        <v>0</v>
      </c>
      <c r="I206" s="11">
        <f>_xlfn.XLOOKUP(TableDailySummary[[#This Row],[Fecha]],SummaryDaily[day],SummaryDaily[new_net_sales],0)</f>
        <v>0</v>
      </c>
      <c r="J206" s="11">
        <f>_xlfn.XLOOKUP(TableDailySummary[[#This Row],[Fecha]],SummaryDaily[day],SummaryDaily[new_orders],0)</f>
        <v>0</v>
      </c>
      <c r="K206" s="11">
        <f>_xlfn.XLOOKUP(TableDailySummary[[#This Row],[Fecha]],SummaryDaily[day],SummaryDaily[new_average_order_value],0)</f>
        <v>0</v>
      </c>
      <c r="L206" s="11">
        <f>_xlfn.XLOOKUP(TableDailySummary[[#This Row],[Fecha]],SummaryDaily[day],SummaryDaily[Online Store_net_sales],0)</f>
        <v>0</v>
      </c>
      <c r="M206" s="11">
        <f>_xlfn.XLOOKUP(TableDailySummary[[#This Row],[Fecha]],SummaryDaily[day],SummaryDaily[Online Store_orders],0)</f>
        <v>0</v>
      </c>
      <c r="N206" s="11">
        <f>_xlfn.XLOOKUP(TableDailySummary[[#This Row],[Fecha]],SummaryDaily[day],SummaryDaily[Online Store_average_order_value],0)</f>
        <v>0</v>
      </c>
      <c r="O206" s="11">
        <f>_xlfn.XLOOKUP(TableDailySummary[[#This Row],[Fecha]],SummaryDaily[day],SummaryDaily[Tienda 81_net_sales],0)</f>
        <v>0</v>
      </c>
      <c r="P206" s="11">
        <f>_xlfn.XLOOKUP(TableDailySummary[[#This Row],[Fecha]],SummaryDaily[day],SummaryDaily[Tienda 81_orders],0)</f>
        <v>0</v>
      </c>
      <c r="Q206" s="11">
        <f>_xlfn.XLOOKUP(TableDailySummary[[#This Row],[Fecha]],SummaryDaily[day],SummaryDaily[Tienda 81_average_order_value],0)</f>
        <v>0</v>
      </c>
      <c r="R206" s="11">
        <f>_xlfn.XLOOKUP(TableDailySummary[[#This Row],[Fecha]],SummaryDaily[day],SummaryDaily[Rappi_net_sales],0)</f>
        <v>0</v>
      </c>
      <c r="S206" s="11">
        <f>_xlfn.XLOOKUP(TableDailySummary[[#This Row],[Fecha]],SummaryDaily[day],SummaryDaily[Rappi_orders],0)</f>
        <v>0</v>
      </c>
      <c r="T206" s="11">
        <f>_xlfn.XLOOKUP(TableDailySummary[[#This Row],[Fecha]],SummaryDaily[day],SummaryDaily[Rappi_average_order_value],0)</f>
        <v>0</v>
      </c>
      <c r="U206" s="11">
        <f>_xlfn.XLOOKUP(TableDailySummary[[#This Row],[Fecha]],SummaryDaily[day],SummaryDaily[Corporativo no tienda_net_sales],0)</f>
        <v>0</v>
      </c>
      <c r="V206" s="11">
        <f>_xlfn.XLOOKUP(TableDailySummary[[#This Row],[Fecha]],SummaryDaily[day],SummaryDaily[Corporativo no tienda_orders],0)</f>
        <v>0</v>
      </c>
      <c r="W206" s="11">
        <f>_xlfn.XLOOKUP(TableDailySummary[[#This Row],[Fecha]],SummaryDaily[day],SummaryDaily[Corporativo no tienda_average_order_value],0)</f>
        <v>0</v>
      </c>
      <c r="X206" s="11">
        <f>_xlfn.XLOOKUP(TableDailySummary[[#This Row],[Fecha]],SummaryDaily[day],SummaryDaily[GoogleAdsOperation.Cost],0)</f>
        <v>0</v>
      </c>
      <c r="Y206" s="11">
        <f>SUMIFS(SalesByUTMDaily[google],SalesByUTMDaily[day],TableDailySummary[[#This Row],[Fecha]])</f>
        <v>0</v>
      </c>
      <c r="Z206" s="11">
        <f>_xlfn.XLOOKUP(TableDailySummary[[#This Row],[Fecha]],SummaryDaily[day],SummaryDaily[MetaAdsOperation.spend],0)</f>
        <v>0</v>
      </c>
      <c r="AA206" s="11">
        <f>SUMIFS(SalesByUTMDaily[facebook],SalesByUTMDaily[day],TableDailySummary[[#This Row],[Fecha]])</f>
        <v>0</v>
      </c>
      <c r="AB206" s="11">
        <f>TableDailySummary[[#This Row],[Inversión google ads]]+TableDailySummary[[#This Row],[Inversión meta ads]]</f>
        <v>0</v>
      </c>
      <c r="AC206" s="11">
        <f>TableDailySummary[[#This Row],[Ventas google ads]]+TableDailySummary[[#This Row],[Ventas meta ads]]</f>
        <v>0</v>
      </c>
      <c r="AD206" s="14">
        <f>IFERROR(TableDailySummary[[#This Row],[Ventas publicidad]]/TableDailySummary[[#This Row],[Inversión publicidad]],0)</f>
        <v>0</v>
      </c>
      <c r="AE206" s="14">
        <f>IFERROR(TableDailySummary[[#This Row],[Ventas primer cliente]]/TableDailySummary[[#This Row],[Inversión publicidad]],0)</f>
        <v>0</v>
      </c>
      <c r="AF206" s="14"/>
      <c r="AG206" s="11"/>
      <c r="AM206" s="11">
        <f>_xlfn.XLOOKUP(TableDailySummary[[#This Row],[Fecha]],SummaryDaily[day],SummaryDaily[net_sales_with_cost_recorded],0)</f>
        <v>0</v>
      </c>
      <c r="AN206" s="11">
        <f>_xlfn.XLOOKUP(TableDailySummary[[#This Row],[Fecha]],SummaryDaily[day],SummaryDaily[cost_of_goods_sold],0)</f>
        <v>0</v>
      </c>
      <c r="AO206" s="11">
        <f>_xlfn.XLOOKUP(TableDailySummary[[#This Row],[Fecha]],SummaryDaily[day],SummaryDaily[gross_profit],0)</f>
        <v>0</v>
      </c>
      <c r="AP206" s="18">
        <f>IFERROR(TableDailySummary[[#This Row],[Utilidad bruta]]/TableDailySummary[[#This Row],[Ventas netas con costo registrado]],0)</f>
        <v>0</v>
      </c>
    </row>
    <row r="207" spans="2:42" x14ac:dyDescent="0.2">
      <c r="B207" s="15" cm="1">
        <f t="array" ref="B207">ParamFechaInicioReporte + (ROW(TableDailySummary[#This Row]) - ROW(TableDailySummary[[#Headers],[Dia]]) - 1)</f>
        <v>44734</v>
      </c>
      <c r="C207" s="6">
        <f>TableDailySummary[[#This Row],[Dia]]</f>
        <v>44734</v>
      </c>
      <c r="D207" s="11">
        <f>_xlfn.XLOOKUP(TableDailySummary[[#This Row],[Fecha]],SummaryDaily[day],SummaryDaily[net_sales],0)</f>
        <v>0</v>
      </c>
      <c r="E207" s="11">
        <f>_xlfn.XLOOKUP(TableDailySummary[[#This Row],[Fecha]],SummaryDaily[day],SummaryDaily[orders],0)</f>
        <v>0</v>
      </c>
      <c r="F207" s="11">
        <f>_xlfn.XLOOKUP(TableDailySummary[[#This Row],[Fecha]],SummaryDaily[day],SummaryDaily[average_order_value],0)</f>
        <v>0</v>
      </c>
      <c r="G207" s="24" cm="1">
        <f t="array" ref="G207">_xlfn.XLOOKUP(TableDailySummary[[#This Row],[Fecha]]&amp;"Total site",ConversionRateByReferral[day]&amp;ConversionRateByReferral[referrer_source],ConversionRateByReferral[conversion_rate],0)</f>
        <v>0</v>
      </c>
      <c r="H207" s="11">
        <f>TableDailySummary[[#This Row],[Órden promedio totales]]*TableDailySummary[[#This Row],[CR totales]]</f>
        <v>0</v>
      </c>
      <c r="I207" s="11">
        <f>_xlfn.XLOOKUP(TableDailySummary[[#This Row],[Fecha]],SummaryDaily[day],SummaryDaily[new_net_sales],0)</f>
        <v>0</v>
      </c>
      <c r="J207" s="11">
        <f>_xlfn.XLOOKUP(TableDailySummary[[#This Row],[Fecha]],SummaryDaily[day],SummaryDaily[new_orders],0)</f>
        <v>0</v>
      </c>
      <c r="K207" s="11">
        <f>_xlfn.XLOOKUP(TableDailySummary[[#This Row],[Fecha]],SummaryDaily[day],SummaryDaily[new_average_order_value],0)</f>
        <v>0</v>
      </c>
      <c r="L207" s="11">
        <f>_xlfn.XLOOKUP(TableDailySummary[[#This Row],[Fecha]],SummaryDaily[day],SummaryDaily[Online Store_net_sales],0)</f>
        <v>0</v>
      </c>
      <c r="M207" s="11">
        <f>_xlfn.XLOOKUP(TableDailySummary[[#This Row],[Fecha]],SummaryDaily[day],SummaryDaily[Online Store_orders],0)</f>
        <v>0</v>
      </c>
      <c r="N207" s="11">
        <f>_xlfn.XLOOKUP(TableDailySummary[[#This Row],[Fecha]],SummaryDaily[day],SummaryDaily[Online Store_average_order_value],0)</f>
        <v>0</v>
      </c>
      <c r="O207" s="11">
        <f>_xlfn.XLOOKUP(TableDailySummary[[#This Row],[Fecha]],SummaryDaily[day],SummaryDaily[Tienda 81_net_sales],0)</f>
        <v>0</v>
      </c>
      <c r="P207" s="11">
        <f>_xlfn.XLOOKUP(TableDailySummary[[#This Row],[Fecha]],SummaryDaily[day],SummaryDaily[Tienda 81_orders],0)</f>
        <v>0</v>
      </c>
      <c r="Q207" s="11">
        <f>_xlfn.XLOOKUP(TableDailySummary[[#This Row],[Fecha]],SummaryDaily[day],SummaryDaily[Tienda 81_average_order_value],0)</f>
        <v>0</v>
      </c>
      <c r="R207" s="11">
        <f>_xlfn.XLOOKUP(TableDailySummary[[#This Row],[Fecha]],SummaryDaily[day],SummaryDaily[Rappi_net_sales],0)</f>
        <v>0</v>
      </c>
      <c r="S207" s="11">
        <f>_xlfn.XLOOKUP(TableDailySummary[[#This Row],[Fecha]],SummaryDaily[day],SummaryDaily[Rappi_orders],0)</f>
        <v>0</v>
      </c>
      <c r="T207" s="11">
        <f>_xlfn.XLOOKUP(TableDailySummary[[#This Row],[Fecha]],SummaryDaily[day],SummaryDaily[Rappi_average_order_value],0)</f>
        <v>0</v>
      </c>
      <c r="U207" s="11">
        <f>_xlfn.XLOOKUP(TableDailySummary[[#This Row],[Fecha]],SummaryDaily[day],SummaryDaily[Corporativo no tienda_net_sales],0)</f>
        <v>0</v>
      </c>
      <c r="V207" s="11">
        <f>_xlfn.XLOOKUP(TableDailySummary[[#This Row],[Fecha]],SummaryDaily[day],SummaryDaily[Corporativo no tienda_orders],0)</f>
        <v>0</v>
      </c>
      <c r="W207" s="11">
        <f>_xlfn.XLOOKUP(TableDailySummary[[#This Row],[Fecha]],SummaryDaily[day],SummaryDaily[Corporativo no tienda_average_order_value],0)</f>
        <v>0</v>
      </c>
      <c r="X207" s="11">
        <f>_xlfn.XLOOKUP(TableDailySummary[[#This Row],[Fecha]],SummaryDaily[day],SummaryDaily[GoogleAdsOperation.Cost],0)</f>
        <v>0</v>
      </c>
      <c r="Y207" s="11">
        <f>SUMIFS(SalesByUTMDaily[google],SalesByUTMDaily[day],TableDailySummary[[#This Row],[Fecha]])</f>
        <v>0</v>
      </c>
      <c r="Z207" s="11">
        <f>_xlfn.XLOOKUP(TableDailySummary[[#This Row],[Fecha]],SummaryDaily[day],SummaryDaily[MetaAdsOperation.spend],0)</f>
        <v>0</v>
      </c>
      <c r="AA207" s="11">
        <f>SUMIFS(SalesByUTMDaily[facebook],SalesByUTMDaily[day],TableDailySummary[[#This Row],[Fecha]])</f>
        <v>0</v>
      </c>
      <c r="AB207" s="11">
        <f>TableDailySummary[[#This Row],[Inversión google ads]]+TableDailySummary[[#This Row],[Inversión meta ads]]</f>
        <v>0</v>
      </c>
      <c r="AC207" s="11">
        <f>TableDailySummary[[#This Row],[Ventas google ads]]+TableDailySummary[[#This Row],[Ventas meta ads]]</f>
        <v>0</v>
      </c>
      <c r="AD207" s="14">
        <f>IFERROR(TableDailySummary[[#This Row],[Ventas publicidad]]/TableDailySummary[[#This Row],[Inversión publicidad]],0)</f>
        <v>0</v>
      </c>
      <c r="AE207" s="14">
        <f>IFERROR(TableDailySummary[[#This Row],[Ventas primer cliente]]/TableDailySummary[[#This Row],[Inversión publicidad]],0)</f>
        <v>0</v>
      </c>
      <c r="AF207" s="14"/>
      <c r="AG207" s="11"/>
      <c r="AM207" s="11">
        <f>_xlfn.XLOOKUP(TableDailySummary[[#This Row],[Fecha]],SummaryDaily[day],SummaryDaily[net_sales_with_cost_recorded],0)</f>
        <v>0</v>
      </c>
      <c r="AN207" s="11">
        <f>_xlfn.XLOOKUP(TableDailySummary[[#This Row],[Fecha]],SummaryDaily[day],SummaryDaily[cost_of_goods_sold],0)</f>
        <v>0</v>
      </c>
      <c r="AO207" s="11">
        <f>_xlfn.XLOOKUP(TableDailySummary[[#This Row],[Fecha]],SummaryDaily[day],SummaryDaily[gross_profit],0)</f>
        <v>0</v>
      </c>
      <c r="AP207" s="18">
        <f>IFERROR(TableDailySummary[[#This Row],[Utilidad bruta]]/TableDailySummary[[#This Row],[Ventas netas con costo registrado]],0)</f>
        <v>0</v>
      </c>
    </row>
    <row r="208" spans="2:42" x14ac:dyDescent="0.2">
      <c r="B208" s="15" cm="1">
        <f t="array" ref="B208">ParamFechaInicioReporte + (ROW(TableDailySummary[#This Row]) - ROW(TableDailySummary[[#Headers],[Dia]]) - 1)</f>
        <v>44735</v>
      </c>
      <c r="C208" s="6">
        <f>TableDailySummary[[#This Row],[Dia]]</f>
        <v>44735</v>
      </c>
      <c r="D208" s="11">
        <f>_xlfn.XLOOKUP(TableDailySummary[[#This Row],[Fecha]],SummaryDaily[day],SummaryDaily[net_sales],0)</f>
        <v>0</v>
      </c>
      <c r="E208" s="11">
        <f>_xlfn.XLOOKUP(TableDailySummary[[#This Row],[Fecha]],SummaryDaily[day],SummaryDaily[orders],0)</f>
        <v>0</v>
      </c>
      <c r="F208" s="11">
        <f>_xlfn.XLOOKUP(TableDailySummary[[#This Row],[Fecha]],SummaryDaily[day],SummaryDaily[average_order_value],0)</f>
        <v>0</v>
      </c>
      <c r="G208" s="24" cm="1">
        <f t="array" ref="G208">_xlfn.XLOOKUP(TableDailySummary[[#This Row],[Fecha]]&amp;"Total site",ConversionRateByReferral[day]&amp;ConversionRateByReferral[referrer_source],ConversionRateByReferral[conversion_rate],0)</f>
        <v>0</v>
      </c>
      <c r="H208" s="11">
        <f>TableDailySummary[[#This Row],[Órden promedio totales]]*TableDailySummary[[#This Row],[CR totales]]</f>
        <v>0</v>
      </c>
      <c r="I208" s="11">
        <f>_xlfn.XLOOKUP(TableDailySummary[[#This Row],[Fecha]],SummaryDaily[day],SummaryDaily[new_net_sales],0)</f>
        <v>0</v>
      </c>
      <c r="J208" s="11">
        <f>_xlfn.XLOOKUP(TableDailySummary[[#This Row],[Fecha]],SummaryDaily[day],SummaryDaily[new_orders],0)</f>
        <v>0</v>
      </c>
      <c r="K208" s="11">
        <f>_xlfn.XLOOKUP(TableDailySummary[[#This Row],[Fecha]],SummaryDaily[day],SummaryDaily[new_average_order_value],0)</f>
        <v>0</v>
      </c>
      <c r="L208" s="11">
        <f>_xlfn.XLOOKUP(TableDailySummary[[#This Row],[Fecha]],SummaryDaily[day],SummaryDaily[Online Store_net_sales],0)</f>
        <v>0</v>
      </c>
      <c r="M208" s="11">
        <f>_xlfn.XLOOKUP(TableDailySummary[[#This Row],[Fecha]],SummaryDaily[day],SummaryDaily[Online Store_orders],0)</f>
        <v>0</v>
      </c>
      <c r="N208" s="11">
        <f>_xlfn.XLOOKUP(TableDailySummary[[#This Row],[Fecha]],SummaryDaily[day],SummaryDaily[Online Store_average_order_value],0)</f>
        <v>0</v>
      </c>
      <c r="O208" s="11">
        <f>_xlfn.XLOOKUP(TableDailySummary[[#This Row],[Fecha]],SummaryDaily[day],SummaryDaily[Tienda 81_net_sales],0)</f>
        <v>0</v>
      </c>
      <c r="P208" s="11">
        <f>_xlfn.XLOOKUP(TableDailySummary[[#This Row],[Fecha]],SummaryDaily[day],SummaryDaily[Tienda 81_orders],0)</f>
        <v>0</v>
      </c>
      <c r="Q208" s="11">
        <f>_xlfn.XLOOKUP(TableDailySummary[[#This Row],[Fecha]],SummaryDaily[day],SummaryDaily[Tienda 81_average_order_value],0)</f>
        <v>0</v>
      </c>
      <c r="R208" s="11">
        <f>_xlfn.XLOOKUP(TableDailySummary[[#This Row],[Fecha]],SummaryDaily[day],SummaryDaily[Rappi_net_sales],0)</f>
        <v>0</v>
      </c>
      <c r="S208" s="11">
        <f>_xlfn.XLOOKUP(TableDailySummary[[#This Row],[Fecha]],SummaryDaily[day],SummaryDaily[Rappi_orders],0)</f>
        <v>0</v>
      </c>
      <c r="T208" s="11">
        <f>_xlfn.XLOOKUP(TableDailySummary[[#This Row],[Fecha]],SummaryDaily[day],SummaryDaily[Rappi_average_order_value],0)</f>
        <v>0</v>
      </c>
      <c r="U208" s="11">
        <f>_xlfn.XLOOKUP(TableDailySummary[[#This Row],[Fecha]],SummaryDaily[day],SummaryDaily[Corporativo no tienda_net_sales],0)</f>
        <v>0</v>
      </c>
      <c r="V208" s="11">
        <f>_xlfn.XLOOKUP(TableDailySummary[[#This Row],[Fecha]],SummaryDaily[day],SummaryDaily[Corporativo no tienda_orders],0)</f>
        <v>0</v>
      </c>
      <c r="W208" s="11">
        <f>_xlfn.XLOOKUP(TableDailySummary[[#This Row],[Fecha]],SummaryDaily[day],SummaryDaily[Corporativo no tienda_average_order_value],0)</f>
        <v>0</v>
      </c>
      <c r="X208" s="11">
        <f>_xlfn.XLOOKUP(TableDailySummary[[#This Row],[Fecha]],SummaryDaily[day],SummaryDaily[GoogleAdsOperation.Cost],0)</f>
        <v>0</v>
      </c>
      <c r="Y208" s="11">
        <f>SUMIFS(SalesByUTMDaily[google],SalesByUTMDaily[day],TableDailySummary[[#This Row],[Fecha]])</f>
        <v>0</v>
      </c>
      <c r="Z208" s="11">
        <f>_xlfn.XLOOKUP(TableDailySummary[[#This Row],[Fecha]],SummaryDaily[day],SummaryDaily[MetaAdsOperation.spend],0)</f>
        <v>0</v>
      </c>
      <c r="AA208" s="11">
        <f>SUMIFS(SalesByUTMDaily[facebook],SalesByUTMDaily[day],TableDailySummary[[#This Row],[Fecha]])</f>
        <v>0</v>
      </c>
      <c r="AB208" s="11">
        <f>TableDailySummary[[#This Row],[Inversión google ads]]+TableDailySummary[[#This Row],[Inversión meta ads]]</f>
        <v>0</v>
      </c>
      <c r="AC208" s="11">
        <f>TableDailySummary[[#This Row],[Ventas google ads]]+TableDailySummary[[#This Row],[Ventas meta ads]]</f>
        <v>0</v>
      </c>
      <c r="AD208" s="14">
        <f>IFERROR(TableDailySummary[[#This Row],[Ventas publicidad]]/TableDailySummary[[#This Row],[Inversión publicidad]],0)</f>
        <v>0</v>
      </c>
      <c r="AE208" s="14">
        <f>IFERROR(TableDailySummary[[#This Row],[Ventas primer cliente]]/TableDailySummary[[#This Row],[Inversión publicidad]],0)</f>
        <v>0</v>
      </c>
      <c r="AF208" s="14"/>
      <c r="AG208" s="11"/>
      <c r="AM208" s="11">
        <f>_xlfn.XLOOKUP(TableDailySummary[[#This Row],[Fecha]],SummaryDaily[day],SummaryDaily[net_sales_with_cost_recorded],0)</f>
        <v>0</v>
      </c>
      <c r="AN208" s="11">
        <f>_xlfn.XLOOKUP(TableDailySummary[[#This Row],[Fecha]],SummaryDaily[day],SummaryDaily[cost_of_goods_sold],0)</f>
        <v>0</v>
      </c>
      <c r="AO208" s="11">
        <f>_xlfn.XLOOKUP(TableDailySummary[[#This Row],[Fecha]],SummaryDaily[day],SummaryDaily[gross_profit],0)</f>
        <v>0</v>
      </c>
      <c r="AP208" s="18">
        <f>IFERROR(TableDailySummary[[#This Row],[Utilidad bruta]]/TableDailySummary[[#This Row],[Ventas netas con costo registrado]],0)</f>
        <v>0</v>
      </c>
    </row>
    <row r="209" spans="2:42" x14ac:dyDescent="0.2">
      <c r="B209" s="15" cm="1">
        <f t="array" ref="B209">ParamFechaInicioReporte + (ROW(TableDailySummary[#This Row]) - ROW(TableDailySummary[[#Headers],[Dia]]) - 1)</f>
        <v>44736</v>
      </c>
      <c r="C209" s="6">
        <f>TableDailySummary[[#This Row],[Dia]]</f>
        <v>44736</v>
      </c>
      <c r="D209" s="11">
        <f>_xlfn.XLOOKUP(TableDailySummary[[#This Row],[Fecha]],SummaryDaily[day],SummaryDaily[net_sales],0)</f>
        <v>0</v>
      </c>
      <c r="E209" s="11">
        <f>_xlfn.XLOOKUP(TableDailySummary[[#This Row],[Fecha]],SummaryDaily[day],SummaryDaily[orders],0)</f>
        <v>0</v>
      </c>
      <c r="F209" s="11">
        <f>_xlfn.XLOOKUP(TableDailySummary[[#This Row],[Fecha]],SummaryDaily[day],SummaryDaily[average_order_value],0)</f>
        <v>0</v>
      </c>
      <c r="G209" s="24" cm="1">
        <f t="array" ref="G209">_xlfn.XLOOKUP(TableDailySummary[[#This Row],[Fecha]]&amp;"Total site",ConversionRateByReferral[day]&amp;ConversionRateByReferral[referrer_source],ConversionRateByReferral[conversion_rate],0)</f>
        <v>0</v>
      </c>
      <c r="H209" s="11">
        <f>TableDailySummary[[#This Row],[Órden promedio totales]]*TableDailySummary[[#This Row],[CR totales]]</f>
        <v>0</v>
      </c>
      <c r="I209" s="11">
        <f>_xlfn.XLOOKUP(TableDailySummary[[#This Row],[Fecha]],SummaryDaily[day],SummaryDaily[new_net_sales],0)</f>
        <v>0</v>
      </c>
      <c r="J209" s="11">
        <f>_xlfn.XLOOKUP(TableDailySummary[[#This Row],[Fecha]],SummaryDaily[day],SummaryDaily[new_orders],0)</f>
        <v>0</v>
      </c>
      <c r="K209" s="11">
        <f>_xlfn.XLOOKUP(TableDailySummary[[#This Row],[Fecha]],SummaryDaily[day],SummaryDaily[new_average_order_value],0)</f>
        <v>0</v>
      </c>
      <c r="L209" s="11">
        <f>_xlfn.XLOOKUP(TableDailySummary[[#This Row],[Fecha]],SummaryDaily[day],SummaryDaily[Online Store_net_sales],0)</f>
        <v>0</v>
      </c>
      <c r="M209" s="11">
        <f>_xlfn.XLOOKUP(TableDailySummary[[#This Row],[Fecha]],SummaryDaily[day],SummaryDaily[Online Store_orders],0)</f>
        <v>0</v>
      </c>
      <c r="N209" s="11">
        <f>_xlfn.XLOOKUP(TableDailySummary[[#This Row],[Fecha]],SummaryDaily[day],SummaryDaily[Online Store_average_order_value],0)</f>
        <v>0</v>
      </c>
      <c r="O209" s="11">
        <f>_xlfn.XLOOKUP(TableDailySummary[[#This Row],[Fecha]],SummaryDaily[day],SummaryDaily[Tienda 81_net_sales],0)</f>
        <v>0</v>
      </c>
      <c r="P209" s="11">
        <f>_xlfn.XLOOKUP(TableDailySummary[[#This Row],[Fecha]],SummaryDaily[day],SummaryDaily[Tienda 81_orders],0)</f>
        <v>0</v>
      </c>
      <c r="Q209" s="11">
        <f>_xlfn.XLOOKUP(TableDailySummary[[#This Row],[Fecha]],SummaryDaily[day],SummaryDaily[Tienda 81_average_order_value],0)</f>
        <v>0</v>
      </c>
      <c r="R209" s="11">
        <f>_xlfn.XLOOKUP(TableDailySummary[[#This Row],[Fecha]],SummaryDaily[day],SummaryDaily[Rappi_net_sales],0)</f>
        <v>0</v>
      </c>
      <c r="S209" s="11">
        <f>_xlfn.XLOOKUP(TableDailySummary[[#This Row],[Fecha]],SummaryDaily[day],SummaryDaily[Rappi_orders],0)</f>
        <v>0</v>
      </c>
      <c r="T209" s="11">
        <f>_xlfn.XLOOKUP(TableDailySummary[[#This Row],[Fecha]],SummaryDaily[day],SummaryDaily[Rappi_average_order_value],0)</f>
        <v>0</v>
      </c>
      <c r="U209" s="11">
        <f>_xlfn.XLOOKUP(TableDailySummary[[#This Row],[Fecha]],SummaryDaily[day],SummaryDaily[Corporativo no tienda_net_sales],0)</f>
        <v>0</v>
      </c>
      <c r="V209" s="11">
        <f>_xlfn.XLOOKUP(TableDailySummary[[#This Row],[Fecha]],SummaryDaily[day],SummaryDaily[Corporativo no tienda_orders],0)</f>
        <v>0</v>
      </c>
      <c r="W209" s="11">
        <f>_xlfn.XLOOKUP(TableDailySummary[[#This Row],[Fecha]],SummaryDaily[day],SummaryDaily[Corporativo no tienda_average_order_value],0)</f>
        <v>0</v>
      </c>
      <c r="X209" s="11">
        <f>_xlfn.XLOOKUP(TableDailySummary[[#This Row],[Fecha]],SummaryDaily[day],SummaryDaily[GoogleAdsOperation.Cost],0)</f>
        <v>0</v>
      </c>
      <c r="Y209" s="11">
        <f>SUMIFS(SalesByUTMDaily[google],SalesByUTMDaily[day],TableDailySummary[[#This Row],[Fecha]])</f>
        <v>0</v>
      </c>
      <c r="Z209" s="11">
        <f>_xlfn.XLOOKUP(TableDailySummary[[#This Row],[Fecha]],SummaryDaily[day],SummaryDaily[MetaAdsOperation.spend],0)</f>
        <v>0</v>
      </c>
      <c r="AA209" s="11">
        <f>SUMIFS(SalesByUTMDaily[facebook],SalesByUTMDaily[day],TableDailySummary[[#This Row],[Fecha]])</f>
        <v>0</v>
      </c>
      <c r="AB209" s="11">
        <f>TableDailySummary[[#This Row],[Inversión google ads]]+TableDailySummary[[#This Row],[Inversión meta ads]]</f>
        <v>0</v>
      </c>
      <c r="AC209" s="11">
        <f>TableDailySummary[[#This Row],[Ventas google ads]]+TableDailySummary[[#This Row],[Ventas meta ads]]</f>
        <v>0</v>
      </c>
      <c r="AD209" s="14">
        <f>IFERROR(TableDailySummary[[#This Row],[Ventas publicidad]]/TableDailySummary[[#This Row],[Inversión publicidad]],0)</f>
        <v>0</v>
      </c>
      <c r="AE209" s="14">
        <f>IFERROR(TableDailySummary[[#This Row],[Ventas primer cliente]]/TableDailySummary[[#This Row],[Inversión publicidad]],0)</f>
        <v>0</v>
      </c>
      <c r="AF209" s="14"/>
      <c r="AG209" s="11"/>
      <c r="AM209" s="11">
        <f>_xlfn.XLOOKUP(TableDailySummary[[#This Row],[Fecha]],SummaryDaily[day],SummaryDaily[net_sales_with_cost_recorded],0)</f>
        <v>0</v>
      </c>
      <c r="AN209" s="11">
        <f>_xlfn.XLOOKUP(TableDailySummary[[#This Row],[Fecha]],SummaryDaily[day],SummaryDaily[cost_of_goods_sold],0)</f>
        <v>0</v>
      </c>
      <c r="AO209" s="11">
        <f>_xlfn.XLOOKUP(TableDailySummary[[#This Row],[Fecha]],SummaryDaily[day],SummaryDaily[gross_profit],0)</f>
        <v>0</v>
      </c>
      <c r="AP209" s="18">
        <f>IFERROR(TableDailySummary[[#This Row],[Utilidad bruta]]/TableDailySummary[[#This Row],[Ventas netas con costo registrado]],0)</f>
        <v>0</v>
      </c>
    </row>
    <row r="210" spans="2:42" x14ac:dyDescent="0.2">
      <c r="B210" s="15" cm="1">
        <f t="array" ref="B210">ParamFechaInicioReporte + (ROW(TableDailySummary[#This Row]) - ROW(TableDailySummary[[#Headers],[Dia]]) - 1)</f>
        <v>44737</v>
      </c>
      <c r="C210" s="6">
        <f>TableDailySummary[[#This Row],[Dia]]</f>
        <v>44737</v>
      </c>
      <c r="D210" s="11">
        <f>_xlfn.XLOOKUP(TableDailySummary[[#This Row],[Fecha]],SummaryDaily[day],SummaryDaily[net_sales],0)</f>
        <v>0</v>
      </c>
      <c r="E210" s="11">
        <f>_xlfn.XLOOKUP(TableDailySummary[[#This Row],[Fecha]],SummaryDaily[day],SummaryDaily[orders],0)</f>
        <v>0</v>
      </c>
      <c r="F210" s="11">
        <f>_xlfn.XLOOKUP(TableDailySummary[[#This Row],[Fecha]],SummaryDaily[day],SummaryDaily[average_order_value],0)</f>
        <v>0</v>
      </c>
      <c r="G210" s="24" cm="1">
        <f t="array" ref="G210">_xlfn.XLOOKUP(TableDailySummary[[#This Row],[Fecha]]&amp;"Total site",ConversionRateByReferral[day]&amp;ConversionRateByReferral[referrer_source],ConversionRateByReferral[conversion_rate],0)</f>
        <v>0</v>
      </c>
      <c r="H210" s="11">
        <f>TableDailySummary[[#This Row],[Órden promedio totales]]*TableDailySummary[[#This Row],[CR totales]]</f>
        <v>0</v>
      </c>
      <c r="I210" s="11">
        <f>_xlfn.XLOOKUP(TableDailySummary[[#This Row],[Fecha]],SummaryDaily[day],SummaryDaily[new_net_sales],0)</f>
        <v>0</v>
      </c>
      <c r="J210" s="11">
        <f>_xlfn.XLOOKUP(TableDailySummary[[#This Row],[Fecha]],SummaryDaily[day],SummaryDaily[new_orders],0)</f>
        <v>0</v>
      </c>
      <c r="K210" s="11">
        <f>_xlfn.XLOOKUP(TableDailySummary[[#This Row],[Fecha]],SummaryDaily[day],SummaryDaily[new_average_order_value],0)</f>
        <v>0</v>
      </c>
      <c r="L210" s="11">
        <f>_xlfn.XLOOKUP(TableDailySummary[[#This Row],[Fecha]],SummaryDaily[day],SummaryDaily[Online Store_net_sales],0)</f>
        <v>0</v>
      </c>
      <c r="M210" s="11">
        <f>_xlfn.XLOOKUP(TableDailySummary[[#This Row],[Fecha]],SummaryDaily[day],SummaryDaily[Online Store_orders],0)</f>
        <v>0</v>
      </c>
      <c r="N210" s="11">
        <f>_xlfn.XLOOKUP(TableDailySummary[[#This Row],[Fecha]],SummaryDaily[day],SummaryDaily[Online Store_average_order_value],0)</f>
        <v>0</v>
      </c>
      <c r="O210" s="11">
        <f>_xlfn.XLOOKUP(TableDailySummary[[#This Row],[Fecha]],SummaryDaily[day],SummaryDaily[Tienda 81_net_sales],0)</f>
        <v>0</v>
      </c>
      <c r="P210" s="11">
        <f>_xlfn.XLOOKUP(TableDailySummary[[#This Row],[Fecha]],SummaryDaily[day],SummaryDaily[Tienda 81_orders],0)</f>
        <v>0</v>
      </c>
      <c r="Q210" s="11">
        <f>_xlfn.XLOOKUP(TableDailySummary[[#This Row],[Fecha]],SummaryDaily[day],SummaryDaily[Tienda 81_average_order_value],0)</f>
        <v>0</v>
      </c>
      <c r="R210" s="11">
        <f>_xlfn.XLOOKUP(TableDailySummary[[#This Row],[Fecha]],SummaryDaily[day],SummaryDaily[Rappi_net_sales],0)</f>
        <v>0</v>
      </c>
      <c r="S210" s="11">
        <f>_xlfn.XLOOKUP(TableDailySummary[[#This Row],[Fecha]],SummaryDaily[day],SummaryDaily[Rappi_orders],0)</f>
        <v>0</v>
      </c>
      <c r="T210" s="11">
        <f>_xlfn.XLOOKUP(TableDailySummary[[#This Row],[Fecha]],SummaryDaily[day],SummaryDaily[Rappi_average_order_value],0)</f>
        <v>0</v>
      </c>
      <c r="U210" s="11">
        <f>_xlfn.XLOOKUP(TableDailySummary[[#This Row],[Fecha]],SummaryDaily[day],SummaryDaily[Corporativo no tienda_net_sales],0)</f>
        <v>0</v>
      </c>
      <c r="V210" s="11">
        <f>_xlfn.XLOOKUP(TableDailySummary[[#This Row],[Fecha]],SummaryDaily[day],SummaryDaily[Corporativo no tienda_orders],0)</f>
        <v>0</v>
      </c>
      <c r="W210" s="11">
        <f>_xlfn.XLOOKUP(TableDailySummary[[#This Row],[Fecha]],SummaryDaily[day],SummaryDaily[Corporativo no tienda_average_order_value],0)</f>
        <v>0</v>
      </c>
      <c r="X210" s="11">
        <f>_xlfn.XLOOKUP(TableDailySummary[[#This Row],[Fecha]],SummaryDaily[day],SummaryDaily[GoogleAdsOperation.Cost],0)</f>
        <v>0</v>
      </c>
      <c r="Y210" s="11">
        <f>SUMIFS(SalesByUTMDaily[google],SalesByUTMDaily[day],TableDailySummary[[#This Row],[Fecha]])</f>
        <v>0</v>
      </c>
      <c r="Z210" s="11">
        <f>_xlfn.XLOOKUP(TableDailySummary[[#This Row],[Fecha]],SummaryDaily[day],SummaryDaily[MetaAdsOperation.spend],0)</f>
        <v>0</v>
      </c>
      <c r="AA210" s="11">
        <f>SUMIFS(SalesByUTMDaily[facebook],SalesByUTMDaily[day],TableDailySummary[[#This Row],[Fecha]])</f>
        <v>0</v>
      </c>
      <c r="AB210" s="11">
        <f>TableDailySummary[[#This Row],[Inversión google ads]]+TableDailySummary[[#This Row],[Inversión meta ads]]</f>
        <v>0</v>
      </c>
      <c r="AC210" s="11">
        <f>TableDailySummary[[#This Row],[Ventas google ads]]+TableDailySummary[[#This Row],[Ventas meta ads]]</f>
        <v>0</v>
      </c>
      <c r="AD210" s="14">
        <f>IFERROR(TableDailySummary[[#This Row],[Ventas publicidad]]/TableDailySummary[[#This Row],[Inversión publicidad]],0)</f>
        <v>0</v>
      </c>
      <c r="AE210" s="14">
        <f>IFERROR(TableDailySummary[[#This Row],[Ventas primer cliente]]/TableDailySummary[[#This Row],[Inversión publicidad]],0)</f>
        <v>0</v>
      </c>
      <c r="AF210" s="14"/>
      <c r="AG210" s="11"/>
      <c r="AM210" s="11">
        <f>_xlfn.XLOOKUP(TableDailySummary[[#This Row],[Fecha]],SummaryDaily[day],SummaryDaily[net_sales_with_cost_recorded],0)</f>
        <v>0</v>
      </c>
      <c r="AN210" s="11">
        <f>_xlfn.XLOOKUP(TableDailySummary[[#This Row],[Fecha]],SummaryDaily[day],SummaryDaily[cost_of_goods_sold],0)</f>
        <v>0</v>
      </c>
      <c r="AO210" s="11">
        <f>_xlfn.XLOOKUP(TableDailySummary[[#This Row],[Fecha]],SummaryDaily[day],SummaryDaily[gross_profit],0)</f>
        <v>0</v>
      </c>
      <c r="AP210" s="18">
        <f>IFERROR(TableDailySummary[[#This Row],[Utilidad bruta]]/TableDailySummary[[#This Row],[Ventas netas con costo registrado]],0)</f>
        <v>0</v>
      </c>
    </row>
    <row r="211" spans="2:42" x14ac:dyDescent="0.2">
      <c r="B211" s="15" cm="1">
        <f t="array" ref="B211">ParamFechaInicioReporte + (ROW(TableDailySummary[#This Row]) - ROW(TableDailySummary[[#Headers],[Dia]]) - 1)</f>
        <v>44738</v>
      </c>
      <c r="C211" s="6">
        <f>TableDailySummary[[#This Row],[Dia]]</f>
        <v>44738</v>
      </c>
      <c r="D211" s="11">
        <f>_xlfn.XLOOKUP(TableDailySummary[[#This Row],[Fecha]],SummaryDaily[day],SummaryDaily[net_sales],0)</f>
        <v>0</v>
      </c>
      <c r="E211" s="11">
        <f>_xlfn.XLOOKUP(TableDailySummary[[#This Row],[Fecha]],SummaryDaily[day],SummaryDaily[orders],0)</f>
        <v>0</v>
      </c>
      <c r="F211" s="11">
        <f>_xlfn.XLOOKUP(TableDailySummary[[#This Row],[Fecha]],SummaryDaily[day],SummaryDaily[average_order_value],0)</f>
        <v>0</v>
      </c>
      <c r="G211" s="24" cm="1">
        <f t="array" ref="G211">_xlfn.XLOOKUP(TableDailySummary[[#This Row],[Fecha]]&amp;"Total site",ConversionRateByReferral[day]&amp;ConversionRateByReferral[referrer_source],ConversionRateByReferral[conversion_rate],0)</f>
        <v>0</v>
      </c>
      <c r="H211" s="11">
        <f>TableDailySummary[[#This Row],[Órden promedio totales]]*TableDailySummary[[#This Row],[CR totales]]</f>
        <v>0</v>
      </c>
      <c r="I211" s="11">
        <f>_xlfn.XLOOKUP(TableDailySummary[[#This Row],[Fecha]],SummaryDaily[day],SummaryDaily[new_net_sales],0)</f>
        <v>0</v>
      </c>
      <c r="J211" s="11">
        <f>_xlfn.XLOOKUP(TableDailySummary[[#This Row],[Fecha]],SummaryDaily[day],SummaryDaily[new_orders],0)</f>
        <v>0</v>
      </c>
      <c r="K211" s="11">
        <f>_xlfn.XLOOKUP(TableDailySummary[[#This Row],[Fecha]],SummaryDaily[day],SummaryDaily[new_average_order_value],0)</f>
        <v>0</v>
      </c>
      <c r="L211" s="11">
        <f>_xlfn.XLOOKUP(TableDailySummary[[#This Row],[Fecha]],SummaryDaily[day],SummaryDaily[Online Store_net_sales],0)</f>
        <v>0</v>
      </c>
      <c r="M211" s="11">
        <f>_xlfn.XLOOKUP(TableDailySummary[[#This Row],[Fecha]],SummaryDaily[day],SummaryDaily[Online Store_orders],0)</f>
        <v>0</v>
      </c>
      <c r="N211" s="11">
        <f>_xlfn.XLOOKUP(TableDailySummary[[#This Row],[Fecha]],SummaryDaily[day],SummaryDaily[Online Store_average_order_value],0)</f>
        <v>0</v>
      </c>
      <c r="O211" s="11">
        <f>_xlfn.XLOOKUP(TableDailySummary[[#This Row],[Fecha]],SummaryDaily[day],SummaryDaily[Tienda 81_net_sales],0)</f>
        <v>0</v>
      </c>
      <c r="P211" s="11">
        <f>_xlfn.XLOOKUP(TableDailySummary[[#This Row],[Fecha]],SummaryDaily[day],SummaryDaily[Tienda 81_orders],0)</f>
        <v>0</v>
      </c>
      <c r="Q211" s="11">
        <f>_xlfn.XLOOKUP(TableDailySummary[[#This Row],[Fecha]],SummaryDaily[day],SummaryDaily[Tienda 81_average_order_value],0)</f>
        <v>0</v>
      </c>
      <c r="R211" s="11">
        <f>_xlfn.XLOOKUP(TableDailySummary[[#This Row],[Fecha]],SummaryDaily[day],SummaryDaily[Rappi_net_sales],0)</f>
        <v>0</v>
      </c>
      <c r="S211" s="11">
        <f>_xlfn.XLOOKUP(TableDailySummary[[#This Row],[Fecha]],SummaryDaily[day],SummaryDaily[Rappi_orders],0)</f>
        <v>0</v>
      </c>
      <c r="T211" s="11">
        <f>_xlfn.XLOOKUP(TableDailySummary[[#This Row],[Fecha]],SummaryDaily[day],SummaryDaily[Rappi_average_order_value],0)</f>
        <v>0</v>
      </c>
      <c r="U211" s="11">
        <f>_xlfn.XLOOKUP(TableDailySummary[[#This Row],[Fecha]],SummaryDaily[day],SummaryDaily[Corporativo no tienda_net_sales],0)</f>
        <v>0</v>
      </c>
      <c r="V211" s="11">
        <f>_xlfn.XLOOKUP(TableDailySummary[[#This Row],[Fecha]],SummaryDaily[day],SummaryDaily[Corporativo no tienda_orders],0)</f>
        <v>0</v>
      </c>
      <c r="W211" s="11">
        <f>_xlfn.XLOOKUP(TableDailySummary[[#This Row],[Fecha]],SummaryDaily[day],SummaryDaily[Corporativo no tienda_average_order_value],0)</f>
        <v>0</v>
      </c>
      <c r="X211" s="11">
        <f>_xlfn.XLOOKUP(TableDailySummary[[#This Row],[Fecha]],SummaryDaily[day],SummaryDaily[GoogleAdsOperation.Cost],0)</f>
        <v>0</v>
      </c>
      <c r="Y211" s="11">
        <f>SUMIFS(SalesByUTMDaily[google],SalesByUTMDaily[day],TableDailySummary[[#This Row],[Fecha]])</f>
        <v>0</v>
      </c>
      <c r="Z211" s="11">
        <f>_xlfn.XLOOKUP(TableDailySummary[[#This Row],[Fecha]],SummaryDaily[day],SummaryDaily[MetaAdsOperation.spend],0)</f>
        <v>0</v>
      </c>
      <c r="AA211" s="11">
        <f>SUMIFS(SalesByUTMDaily[facebook],SalesByUTMDaily[day],TableDailySummary[[#This Row],[Fecha]])</f>
        <v>0</v>
      </c>
      <c r="AB211" s="11">
        <f>TableDailySummary[[#This Row],[Inversión google ads]]+TableDailySummary[[#This Row],[Inversión meta ads]]</f>
        <v>0</v>
      </c>
      <c r="AC211" s="11">
        <f>TableDailySummary[[#This Row],[Ventas google ads]]+TableDailySummary[[#This Row],[Ventas meta ads]]</f>
        <v>0</v>
      </c>
      <c r="AD211" s="14">
        <f>IFERROR(TableDailySummary[[#This Row],[Ventas publicidad]]/TableDailySummary[[#This Row],[Inversión publicidad]],0)</f>
        <v>0</v>
      </c>
      <c r="AE211" s="14">
        <f>IFERROR(TableDailySummary[[#This Row],[Ventas primer cliente]]/TableDailySummary[[#This Row],[Inversión publicidad]],0)</f>
        <v>0</v>
      </c>
      <c r="AF211" s="14"/>
      <c r="AG211" s="11"/>
      <c r="AM211" s="11">
        <f>_xlfn.XLOOKUP(TableDailySummary[[#This Row],[Fecha]],SummaryDaily[day],SummaryDaily[net_sales_with_cost_recorded],0)</f>
        <v>0</v>
      </c>
      <c r="AN211" s="11">
        <f>_xlfn.XLOOKUP(TableDailySummary[[#This Row],[Fecha]],SummaryDaily[day],SummaryDaily[cost_of_goods_sold],0)</f>
        <v>0</v>
      </c>
      <c r="AO211" s="11">
        <f>_xlfn.XLOOKUP(TableDailySummary[[#This Row],[Fecha]],SummaryDaily[day],SummaryDaily[gross_profit],0)</f>
        <v>0</v>
      </c>
      <c r="AP211" s="18">
        <f>IFERROR(TableDailySummary[[#This Row],[Utilidad bruta]]/TableDailySummary[[#This Row],[Ventas netas con costo registrado]],0)</f>
        <v>0</v>
      </c>
    </row>
    <row r="212" spans="2:42" x14ac:dyDescent="0.2">
      <c r="B212" s="15" cm="1">
        <f t="array" ref="B212">ParamFechaInicioReporte + (ROW(TableDailySummary[#This Row]) - ROW(TableDailySummary[[#Headers],[Dia]]) - 1)</f>
        <v>44739</v>
      </c>
      <c r="C212" s="6">
        <f>TableDailySummary[[#This Row],[Dia]]</f>
        <v>44739</v>
      </c>
      <c r="D212" s="11">
        <f>_xlfn.XLOOKUP(TableDailySummary[[#This Row],[Fecha]],SummaryDaily[day],SummaryDaily[net_sales],0)</f>
        <v>0</v>
      </c>
      <c r="E212" s="11">
        <f>_xlfn.XLOOKUP(TableDailySummary[[#This Row],[Fecha]],SummaryDaily[day],SummaryDaily[orders],0)</f>
        <v>0</v>
      </c>
      <c r="F212" s="11">
        <f>_xlfn.XLOOKUP(TableDailySummary[[#This Row],[Fecha]],SummaryDaily[day],SummaryDaily[average_order_value],0)</f>
        <v>0</v>
      </c>
      <c r="G212" s="24" cm="1">
        <f t="array" ref="G212">_xlfn.XLOOKUP(TableDailySummary[[#This Row],[Fecha]]&amp;"Total site",ConversionRateByReferral[day]&amp;ConversionRateByReferral[referrer_source],ConversionRateByReferral[conversion_rate],0)</f>
        <v>0</v>
      </c>
      <c r="H212" s="11">
        <f>TableDailySummary[[#This Row],[Órden promedio totales]]*TableDailySummary[[#This Row],[CR totales]]</f>
        <v>0</v>
      </c>
      <c r="I212" s="11">
        <f>_xlfn.XLOOKUP(TableDailySummary[[#This Row],[Fecha]],SummaryDaily[day],SummaryDaily[new_net_sales],0)</f>
        <v>0</v>
      </c>
      <c r="J212" s="11">
        <f>_xlfn.XLOOKUP(TableDailySummary[[#This Row],[Fecha]],SummaryDaily[day],SummaryDaily[new_orders],0)</f>
        <v>0</v>
      </c>
      <c r="K212" s="11">
        <f>_xlfn.XLOOKUP(TableDailySummary[[#This Row],[Fecha]],SummaryDaily[day],SummaryDaily[new_average_order_value],0)</f>
        <v>0</v>
      </c>
      <c r="L212" s="11">
        <f>_xlfn.XLOOKUP(TableDailySummary[[#This Row],[Fecha]],SummaryDaily[day],SummaryDaily[Online Store_net_sales],0)</f>
        <v>0</v>
      </c>
      <c r="M212" s="11">
        <f>_xlfn.XLOOKUP(TableDailySummary[[#This Row],[Fecha]],SummaryDaily[day],SummaryDaily[Online Store_orders],0)</f>
        <v>0</v>
      </c>
      <c r="N212" s="11">
        <f>_xlfn.XLOOKUP(TableDailySummary[[#This Row],[Fecha]],SummaryDaily[day],SummaryDaily[Online Store_average_order_value],0)</f>
        <v>0</v>
      </c>
      <c r="O212" s="11">
        <f>_xlfn.XLOOKUP(TableDailySummary[[#This Row],[Fecha]],SummaryDaily[day],SummaryDaily[Tienda 81_net_sales],0)</f>
        <v>0</v>
      </c>
      <c r="P212" s="11">
        <f>_xlfn.XLOOKUP(TableDailySummary[[#This Row],[Fecha]],SummaryDaily[day],SummaryDaily[Tienda 81_orders],0)</f>
        <v>0</v>
      </c>
      <c r="Q212" s="11">
        <f>_xlfn.XLOOKUP(TableDailySummary[[#This Row],[Fecha]],SummaryDaily[day],SummaryDaily[Tienda 81_average_order_value],0)</f>
        <v>0</v>
      </c>
      <c r="R212" s="11">
        <f>_xlfn.XLOOKUP(TableDailySummary[[#This Row],[Fecha]],SummaryDaily[day],SummaryDaily[Rappi_net_sales],0)</f>
        <v>0</v>
      </c>
      <c r="S212" s="11">
        <f>_xlfn.XLOOKUP(TableDailySummary[[#This Row],[Fecha]],SummaryDaily[day],SummaryDaily[Rappi_orders],0)</f>
        <v>0</v>
      </c>
      <c r="T212" s="11">
        <f>_xlfn.XLOOKUP(TableDailySummary[[#This Row],[Fecha]],SummaryDaily[day],SummaryDaily[Rappi_average_order_value],0)</f>
        <v>0</v>
      </c>
      <c r="U212" s="11">
        <f>_xlfn.XLOOKUP(TableDailySummary[[#This Row],[Fecha]],SummaryDaily[day],SummaryDaily[Corporativo no tienda_net_sales],0)</f>
        <v>0</v>
      </c>
      <c r="V212" s="11">
        <f>_xlfn.XLOOKUP(TableDailySummary[[#This Row],[Fecha]],SummaryDaily[day],SummaryDaily[Corporativo no tienda_orders],0)</f>
        <v>0</v>
      </c>
      <c r="W212" s="11">
        <f>_xlfn.XLOOKUP(TableDailySummary[[#This Row],[Fecha]],SummaryDaily[day],SummaryDaily[Corporativo no tienda_average_order_value],0)</f>
        <v>0</v>
      </c>
      <c r="X212" s="11">
        <f>_xlfn.XLOOKUP(TableDailySummary[[#This Row],[Fecha]],SummaryDaily[day],SummaryDaily[GoogleAdsOperation.Cost],0)</f>
        <v>0</v>
      </c>
      <c r="Y212" s="11">
        <f>SUMIFS(SalesByUTMDaily[google],SalesByUTMDaily[day],TableDailySummary[[#This Row],[Fecha]])</f>
        <v>0</v>
      </c>
      <c r="Z212" s="11">
        <f>_xlfn.XLOOKUP(TableDailySummary[[#This Row],[Fecha]],SummaryDaily[day],SummaryDaily[MetaAdsOperation.spend],0)</f>
        <v>0</v>
      </c>
      <c r="AA212" s="11">
        <f>SUMIFS(SalesByUTMDaily[facebook],SalesByUTMDaily[day],TableDailySummary[[#This Row],[Fecha]])</f>
        <v>0</v>
      </c>
      <c r="AB212" s="11">
        <f>TableDailySummary[[#This Row],[Inversión google ads]]+TableDailySummary[[#This Row],[Inversión meta ads]]</f>
        <v>0</v>
      </c>
      <c r="AC212" s="11">
        <f>TableDailySummary[[#This Row],[Ventas google ads]]+TableDailySummary[[#This Row],[Ventas meta ads]]</f>
        <v>0</v>
      </c>
      <c r="AD212" s="14">
        <f>IFERROR(TableDailySummary[[#This Row],[Ventas publicidad]]/TableDailySummary[[#This Row],[Inversión publicidad]],0)</f>
        <v>0</v>
      </c>
      <c r="AE212" s="14">
        <f>IFERROR(TableDailySummary[[#This Row],[Ventas primer cliente]]/TableDailySummary[[#This Row],[Inversión publicidad]],0)</f>
        <v>0</v>
      </c>
      <c r="AF212" s="14"/>
      <c r="AG212" s="11"/>
      <c r="AM212" s="11">
        <f>_xlfn.XLOOKUP(TableDailySummary[[#This Row],[Fecha]],SummaryDaily[day],SummaryDaily[net_sales_with_cost_recorded],0)</f>
        <v>0</v>
      </c>
      <c r="AN212" s="11">
        <f>_xlfn.XLOOKUP(TableDailySummary[[#This Row],[Fecha]],SummaryDaily[day],SummaryDaily[cost_of_goods_sold],0)</f>
        <v>0</v>
      </c>
      <c r="AO212" s="11">
        <f>_xlfn.XLOOKUP(TableDailySummary[[#This Row],[Fecha]],SummaryDaily[day],SummaryDaily[gross_profit],0)</f>
        <v>0</v>
      </c>
      <c r="AP212" s="18">
        <f>IFERROR(TableDailySummary[[#This Row],[Utilidad bruta]]/TableDailySummary[[#This Row],[Ventas netas con costo registrado]],0)</f>
        <v>0</v>
      </c>
    </row>
    <row r="213" spans="2:42" x14ac:dyDescent="0.2">
      <c r="B213" s="15" cm="1">
        <f t="array" ref="B213">ParamFechaInicioReporte + (ROW(TableDailySummary[#This Row]) - ROW(TableDailySummary[[#Headers],[Dia]]) - 1)</f>
        <v>44740</v>
      </c>
      <c r="C213" s="6">
        <f>TableDailySummary[[#This Row],[Dia]]</f>
        <v>44740</v>
      </c>
      <c r="D213" s="11">
        <f>_xlfn.XLOOKUP(TableDailySummary[[#This Row],[Fecha]],SummaryDaily[day],SummaryDaily[net_sales],0)</f>
        <v>0</v>
      </c>
      <c r="E213" s="11">
        <f>_xlfn.XLOOKUP(TableDailySummary[[#This Row],[Fecha]],SummaryDaily[day],SummaryDaily[orders],0)</f>
        <v>0</v>
      </c>
      <c r="F213" s="11">
        <f>_xlfn.XLOOKUP(TableDailySummary[[#This Row],[Fecha]],SummaryDaily[day],SummaryDaily[average_order_value],0)</f>
        <v>0</v>
      </c>
      <c r="G213" s="24" cm="1">
        <f t="array" ref="G213">_xlfn.XLOOKUP(TableDailySummary[[#This Row],[Fecha]]&amp;"Total site",ConversionRateByReferral[day]&amp;ConversionRateByReferral[referrer_source],ConversionRateByReferral[conversion_rate],0)</f>
        <v>0</v>
      </c>
      <c r="H213" s="11">
        <f>TableDailySummary[[#This Row],[Órden promedio totales]]*TableDailySummary[[#This Row],[CR totales]]</f>
        <v>0</v>
      </c>
      <c r="I213" s="11">
        <f>_xlfn.XLOOKUP(TableDailySummary[[#This Row],[Fecha]],SummaryDaily[day],SummaryDaily[new_net_sales],0)</f>
        <v>0</v>
      </c>
      <c r="J213" s="11">
        <f>_xlfn.XLOOKUP(TableDailySummary[[#This Row],[Fecha]],SummaryDaily[day],SummaryDaily[new_orders],0)</f>
        <v>0</v>
      </c>
      <c r="K213" s="11">
        <f>_xlfn.XLOOKUP(TableDailySummary[[#This Row],[Fecha]],SummaryDaily[day],SummaryDaily[new_average_order_value],0)</f>
        <v>0</v>
      </c>
      <c r="L213" s="11">
        <f>_xlfn.XLOOKUP(TableDailySummary[[#This Row],[Fecha]],SummaryDaily[day],SummaryDaily[Online Store_net_sales],0)</f>
        <v>0</v>
      </c>
      <c r="M213" s="11">
        <f>_xlfn.XLOOKUP(TableDailySummary[[#This Row],[Fecha]],SummaryDaily[day],SummaryDaily[Online Store_orders],0)</f>
        <v>0</v>
      </c>
      <c r="N213" s="11">
        <f>_xlfn.XLOOKUP(TableDailySummary[[#This Row],[Fecha]],SummaryDaily[day],SummaryDaily[Online Store_average_order_value],0)</f>
        <v>0</v>
      </c>
      <c r="O213" s="11">
        <f>_xlfn.XLOOKUP(TableDailySummary[[#This Row],[Fecha]],SummaryDaily[day],SummaryDaily[Tienda 81_net_sales],0)</f>
        <v>0</v>
      </c>
      <c r="P213" s="11">
        <f>_xlfn.XLOOKUP(TableDailySummary[[#This Row],[Fecha]],SummaryDaily[day],SummaryDaily[Tienda 81_orders],0)</f>
        <v>0</v>
      </c>
      <c r="Q213" s="11">
        <f>_xlfn.XLOOKUP(TableDailySummary[[#This Row],[Fecha]],SummaryDaily[day],SummaryDaily[Tienda 81_average_order_value],0)</f>
        <v>0</v>
      </c>
      <c r="R213" s="11">
        <f>_xlfn.XLOOKUP(TableDailySummary[[#This Row],[Fecha]],SummaryDaily[day],SummaryDaily[Rappi_net_sales],0)</f>
        <v>0</v>
      </c>
      <c r="S213" s="11">
        <f>_xlfn.XLOOKUP(TableDailySummary[[#This Row],[Fecha]],SummaryDaily[day],SummaryDaily[Rappi_orders],0)</f>
        <v>0</v>
      </c>
      <c r="T213" s="11">
        <f>_xlfn.XLOOKUP(TableDailySummary[[#This Row],[Fecha]],SummaryDaily[day],SummaryDaily[Rappi_average_order_value],0)</f>
        <v>0</v>
      </c>
      <c r="U213" s="11">
        <f>_xlfn.XLOOKUP(TableDailySummary[[#This Row],[Fecha]],SummaryDaily[day],SummaryDaily[Corporativo no tienda_net_sales],0)</f>
        <v>0</v>
      </c>
      <c r="V213" s="11">
        <f>_xlfn.XLOOKUP(TableDailySummary[[#This Row],[Fecha]],SummaryDaily[day],SummaryDaily[Corporativo no tienda_orders],0)</f>
        <v>0</v>
      </c>
      <c r="W213" s="11">
        <f>_xlfn.XLOOKUP(TableDailySummary[[#This Row],[Fecha]],SummaryDaily[day],SummaryDaily[Corporativo no tienda_average_order_value],0)</f>
        <v>0</v>
      </c>
      <c r="X213" s="11">
        <f>_xlfn.XLOOKUP(TableDailySummary[[#This Row],[Fecha]],SummaryDaily[day],SummaryDaily[GoogleAdsOperation.Cost],0)</f>
        <v>0</v>
      </c>
      <c r="Y213" s="11">
        <f>SUMIFS(SalesByUTMDaily[google],SalesByUTMDaily[day],TableDailySummary[[#This Row],[Fecha]])</f>
        <v>0</v>
      </c>
      <c r="Z213" s="11">
        <f>_xlfn.XLOOKUP(TableDailySummary[[#This Row],[Fecha]],SummaryDaily[day],SummaryDaily[MetaAdsOperation.spend],0)</f>
        <v>0</v>
      </c>
      <c r="AA213" s="11">
        <f>SUMIFS(SalesByUTMDaily[facebook],SalesByUTMDaily[day],TableDailySummary[[#This Row],[Fecha]])</f>
        <v>0</v>
      </c>
      <c r="AB213" s="11">
        <f>TableDailySummary[[#This Row],[Inversión google ads]]+TableDailySummary[[#This Row],[Inversión meta ads]]</f>
        <v>0</v>
      </c>
      <c r="AC213" s="11">
        <f>TableDailySummary[[#This Row],[Ventas google ads]]+TableDailySummary[[#This Row],[Ventas meta ads]]</f>
        <v>0</v>
      </c>
      <c r="AD213" s="14">
        <f>IFERROR(TableDailySummary[[#This Row],[Ventas publicidad]]/TableDailySummary[[#This Row],[Inversión publicidad]],0)</f>
        <v>0</v>
      </c>
      <c r="AE213" s="14">
        <f>IFERROR(TableDailySummary[[#This Row],[Ventas primer cliente]]/TableDailySummary[[#This Row],[Inversión publicidad]],0)</f>
        <v>0</v>
      </c>
      <c r="AF213" s="14"/>
      <c r="AG213" s="11"/>
      <c r="AM213" s="11">
        <f>_xlfn.XLOOKUP(TableDailySummary[[#This Row],[Fecha]],SummaryDaily[day],SummaryDaily[net_sales_with_cost_recorded],0)</f>
        <v>0</v>
      </c>
      <c r="AN213" s="11">
        <f>_xlfn.XLOOKUP(TableDailySummary[[#This Row],[Fecha]],SummaryDaily[day],SummaryDaily[cost_of_goods_sold],0)</f>
        <v>0</v>
      </c>
      <c r="AO213" s="11">
        <f>_xlfn.XLOOKUP(TableDailySummary[[#This Row],[Fecha]],SummaryDaily[day],SummaryDaily[gross_profit],0)</f>
        <v>0</v>
      </c>
      <c r="AP213" s="18">
        <f>IFERROR(TableDailySummary[[#This Row],[Utilidad bruta]]/TableDailySummary[[#This Row],[Ventas netas con costo registrado]],0)</f>
        <v>0</v>
      </c>
    </row>
    <row r="214" spans="2:42" x14ac:dyDescent="0.2">
      <c r="B214" s="15" cm="1">
        <f t="array" ref="B214">ParamFechaInicioReporte + (ROW(TableDailySummary[#This Row]) - ROW(TableDailySummary[[#Headers],[Dia]]) - 1)</f>
        <v>44741</v>
      </c>
      <c r="C214" s="6">
        <f>TableDailySummary[[#This Row],[Dia]]</f>
        <v>44741</v>
      </c>
      <c r="D214" s="11">
        <f>_xlfn.XLOOKUP(TableDailySummary[[#This Row],[Fecha]],SummaryDaily[day],SummaryDaily[net_sales],0)</f>
        <v>0</v>
      </c>
      <c r="E214" s="11">
        <f>_xlfn.XLOOKUP(TableDailySummary[[#This Row],[Fecha]],SummaryDaily[day],SummaryDaily[orders],0)</f>
        <v>0</v>
      </c>
      <c r="F214" s="11">
        <f>_xlfn.XLOOKUP(TableDailySummary[[#This Row],[Fecha]],SummaryDaily[day],SummaryDaily[average_order_value],0)</f>
        <v>0</v>
      </c>
      <c r="G214" s="24" cm="1">
        <f t="array" ref="G214">_xlfn.XLOOKUP(TableDailySummary[[#This Row],[Fecha]]&amp;"Total site",ConversionRateByReferral[day]&amp;ConversionRateByReferral[referrer_source],ConversionRateByReferral[conversion_rate],0)</f>
        <v>0</v>
      </c>
      <c r="H214" s="11">
        <f>TableDailySummary[[#This Row],[Órden promedio totales]]*TableDailySummary[[#This Row],[CR totales]]</f>
        <v>0</v>
      </c>
      <c r="I214" s="11">
        <f>_xlfn.XLOOKUP(TableDailySummary[[#This Row],[Fecha]],SummaryDaily[day],SummaryDaily[new_net_sales],0)</f>
        <v>0</v>
      </c>
      <c r="J214" s="11">
        <f>_xlfn.XLOOKUP(TableDailySummary[[#This Row],[Fecha]],SummaryDaily[day],SummaryDaily[new_orders],0)</f>
        <v>0</v>
      </c>
      <c r="K214" s="11">
        <f>_xlfn.XLOOKUP(TableDailySummary[[#This Row],[Fecha]],SummaryDaily[day],SummaryDaily[new_average_order_value],0)</f>
        <v>0</v>
      </c>
      <c r="L214" s="11">
        <f>_xlfn.XLOOKUP(TableDailySummary[[#This Row],[Fecha]],SummaryDaily[day],SummaryDaily[Online Store_net_sales],0)</f>
        <v>0</v>
      </c>
      <c r="M214" s="11">
        <f>_xlfn.XLOOKUP(TableDailySummary[[#This Row],[Fecha]],SummaryDaily[day],SummaryDaily[Online Store_orders],0)</f>
        <v>0</v>
      </c>
      <c r="N214" s="11">
        <f>_xlfn.XLOOKUP(TableDailySummary[[#This Row],[Fecha]],SummaryDaily[day],SummaryDaily[Online Store_average_order_value],0)</f>
        <v>0</v>
      </c>
      <c r="O214" s="11">
        <f>_xlfn.XLOOKUP(TableDailySummary[[#This Row],[Fecha]],SummaryDaily[day],SummaryDaily[Tienda 81_net_sales],0)</f>
        <v>0</v>
      </c>
      <c r="P214" s="11">
        <f>_xlfn.XLOOKUP(TableDailySummary[[#This Row],[Fecha]],SummaryDaily[day],SummaryDaily[Tienda 81_orders],0)</f>
        <v>0</v>
      </c>
      <c r="Q214" s="11">
        <f>_xlfn.XLOOKUP(TableDailySummary[[#This Row],[Fecha]],SummaryDaily[day],SummaryDaily[Tienda 81_average_order_value],0)</f>
        <v>0</v>
      </c>
      <c r="R214" s="11">
        <f>_xlfn.XLOOKUP(TableDailySummary[[#This Row],[Fecha]],SummaryDaily[day],SummaryDaily[Rappi_net_sales],0)</f>
        <v>0</v>
      </c>
      <c r="S214" s="11">
        <f>_xlfn.XLOOKUP(TableDailySummary[[#This Row],[Fecha]],SummaryDaily[day],SummaryDaily[Rappi_orders],0)</f>
        <v>0</v>
      </c>
      <c r="T214" s="11">
        <f>_xlfn.XLOOKUP(TableDailySummary[[#This Row],[Fecha]],SummaryDaily[day],SummaryDaily[Rappi_average_order_value],0)</f>
        <v>0</v>
      </c>
      <c r="U214" s="11">
        <f>_xlfn.XLOOKUP(TableDailySummary[[#This Row],[Fecha]],SummaryDaily[day],SummaryDaily[Corporativo no tienda_net_sales],0)</f>
        <v>0</v>
      </c>
      <c r="V214" s="11">
        <f>_xlfn.XLOOKUP(TableDailySummary[[#This Row],[Fecha]],SummaryDaily[day],SummaryDaily[Corporativo no tienda_orders],0)</f>
        <v>0</v>
      </c>
      <c r="W214" s="11">
        <f>_xlfn.XLOOKUP(TableDailySummary[[#This Row],[Fecha]],SummaryDaily[day],SummaryDaily[Corporativo no tienda_average_order_value],0)</f>
        <v>0</v>
      </c>
      <c r="X214" s="11">
        <f>_xlfn.XLOOKUP(TableDailySummary[[#This Row],[Fecha]],SummaryDaily[day],SummaryDaily[GoogleAdsOperation.Cost],0)</f>
        <v>0</v>
      </c>
      <c r="Y214" s="11">
        <f>SUMIFS(SalesByUTMDaily[google],SalesByUTMDaily[day],TableDailySummary[[#This Row],[Fecha]])</f>
        <v>0</v>
      </c>
      <c r="Z214" s="11">
        <f>_xlfn.XLOOKUP(TableDailySummary[[#This Row],[Fecha]],SummaryDaily[day],SummaryDaily[MetaAdsOperation.spend],0)</f>
        <v>0</v>
      </c>
      <c r="AA214" s="11">
        <f>SUMIFS(SalesByUTMDaily[facebook],SalesByUTMDaily[day],TableDailySummary[[#This Row],[Fecha]])</f>
        <v>0</v>
      </c>
      <c r="AB214" s="11">
        <f>TableDailySummary[[#This Row],[Inversión google ads]]+TableDailySummary[[#This Row],[Inversión meta ads]]</f>
        <v>0</v>
      </c>
      <c r="AC214" s="11">
        <f>TableDailySummary[[#This Row],[Ventas google ads]]+TableDailySummary[[#This Row],[Ventas meta ads]]</f>
        <v>0</v>
      </c>
      <c r="AD214" s="14">
        <f>IFERROR(TableDailySummary[[#This Row],[Ventas publicidad]]/TableDailySummary[[#This Row],[Inversión publicidad]],0)</f>
        <v>0</v>
      </c>
      <c r="AE214" s="14">
        <f>IFERROR(TableDailySummary[[#This Row],[Ventas primer cliente]]/TableDailySummary[[#This Row],[Inversión publicidad]],0)</f>
        <v>0</v>
      </c>
      <c r="AF214" s="14"/>
      <c r="AG214" s="11"/>
      <c r="AM214" s="11">
        <f>_xlfn.XLOOKUP(TableDailySummary[[#This Row],[Fecha]],SummaryDaily[day],SummaryDaily[net_sales_with_cost_recorded],0)</f>
        <v>0</v>
      </c>
      <c r="AN214" s="11">
        <f>_xlfn.XLOOKUP(TableDailySummary[[#This Row],[Fecha]],SummaryDaily[day],SummaryDaily[cost_of_goods_sold],0)</f>
        <v>0</v>
      </c>
      <c r="AO214" s="11">
        <f>_xlfn.XLOOKUP(TableDailySummary[[#This Row],[Fecha]],SummaryDaily[day],SummaryDaily[gross_profit],0)</f>
        <v>0</v>
      </c>
      <c r="AP214" s="18">
        <f>IFERROR(TableDailySummary[[#This Row],[Utilidad bruta]]/TableDailySummary[[#This Row],[Ventas netas con costo registrado]],0)</f>
        <v>0</v>
      </c>
    </row>
    <row r="215" spans="2:42" x14ac:dyDescent="0.2">
      <c r="B215" s="15" cm="1">
        <f t="array" ref="B215">ParamFechaInicioReporte + (ROW(TableDailySummary[#This Row]) - ROW(TableDailySummary[[#Headers],[Dia]]) - 1)</f>
        <v>44742</v>
      </c>
      <c r="C215" s="6">
        <f>TableDailySummary[[#This Row],[Dia]]</f>
        <v>44742</v>
      </c>
      <c r="D215" s="11">
        <f>_xlfn.XLOOKUP(TableDailySummary[[#This Row],[Fecha]],SummaryDaily[day],SummaryDaily[net_sales],0)</f>
        <v>0</v>
      </c>
      <c r="E215" s="11">
        <f>_xlfn.XLOOKUP(TableDailySummary[[#This Row],[Fecha]],SummaryDaily[day],SummaryDaily[orders],0)</f>
        <v>0</v>
      </c>
      <c r="F215" s="11">
        <f>_xlfn.XLOOKUP(TableDailySummary[[#This Row],[Fecha]],SummaryDaily[day],SummaryDaily[average_order_value],0)</f>
        <v>0</v>
      </c>
      <c r="G215" s="24" cm="1">
        <f t="array" ref="G215">_xlfn.XLOOKUP(TableDailySummary[[#This Row],[Fecha]]&amp;"Total site",ConversionRateByReferral[day]&amp;ConversionRateByReferral[referrer_source],ConversionRateByReferral[conversion_rate],0)</f>
        <v>0</v>
      </c>
      <c r="H215" s="11">
        <f>TableDailySummary[[#This Row],[Órden promedio totales]]*TableDailySummary[[#This Row],[CR totales]]</f>
        <v>0</v>
      </c>
      <c r="I215" s="11">
        <f>_xlfn.XLOOKUP(TableDailySummary[[#This Row],[Fecha]],SummaryDaily[day],SummaryDaily[new_net_sales],0)</f>
        <v>0</v>
      </c>
      <c r="J215" s="11">
        <f>_xlfn.XLOOKUP(TableDailySummary[[#This Row],[Fecha]],SummaryDaily[day],SummaryDaily[new_orders],0)</f>
        <v>0</v>
      </c>
      <c r="K215" s="11">
        <f>_xlfn.XLOOKUP(TableDailySummary[[#This Row],[Fecha]],SummaryDaily[day],SummaryDaily[new_average_order_value],0)</f>
        <v>0</v>
      </c>
      <c r="L215" s="11">
        <f>_xlfn.XLOOKUP(TableDailySummary[[#This Row],[Fecha]],SummaryDaily[day],SummaryDaily[Online Store_net_sales],0)</f>
        <v>0</v>
      </c>
      <c r="M215" s="11">
        <f>_xlfn.XLOOKUP(TableDailySummary[[#This Row],[Fecha]],SummaryDaily[day],SummaryDaily[Online Store_orders],0)</f>
        <v>0</v>
      </c>
      <c r="N215" s="11">
        <f>_xlfn.XLOOKUP(TableDailySummary[[#This Row],[Fecha]],SummaryDaily[day],SummaryDaily[Online Store_average_order_value],0)</f>
        <v>0</v>
      </c>
      <c r="O215" s="11">
        <f>_xlfn.XLOOKUP(TableDailySummary[[#This Row],[Fecha]],SummaryDaily[day],SummaryDaily[Tienda 81_net_sales],0)</f>
        <v>0</v>
      </c>
      <c r="P215" s="11">
        <f>_xlfn.XLOOKUP(TableDailySummary[[#This Row],[Fecha]],SummaryDaily[day],SummaryDaily[Tienda 81_orders],0)</f>
        <v>0</v>
      </c>
      <c r="Q215" s="11">
        <f>_xlfn.XLOOKUP(TableDailySummary[[#This Row],[Fecha]],SummaryDaily[day],SummaryDaily[Tienda 81_average_order_value],0)</f>
        <v>0</v>
      </c>
      <c r="R215" s="11">
        <f>_xlfn.XLOOKUP(TableDailySummary[[#This Row],[Fecha]],SummaryDaily[day],SummaryDaily[Rappi_net_sales],0)</f>
        <v>0</v>
      </c>
      <c r="S215" s="11">
        <f>_xlfn.XLOOKUP(TableDailySummary[[#This Row],[Fecha]],SummaryDaily[day],SummaryDaily[Rappi_orders],0)</f>
        <v>0</v>
      </c>
      <c r="T215" s="11">
        <f>_xlfn.XLOOKUP(TableDailySummary[[#This Row],[Fecha]],SummaryDaily[day],SummaryDaily[Rappi_average_order_value],0)</f>
        <v>0</v>
      </c>
      <c r="U215" s="11">
        <f>_xlfn.XLOOKUP(TableDailySummary[[#This Row],[Fecha]],SummaryDaily[day],SummaryDaily[Corporativo no tienda_net_sales],0)</f>
        <v>0</v>
      </c>
      <c r="V215" s="11">
        <f>_xlfn.XLOOKUP(TableDailySummary[[#This Row],[Fecha]],SummaryDaily[day],SummaryDaily[Corporativo no tienda_orders],0)</f>
        <v>0</v>
      </c>
      <c r="W215" s="11">
        <f>_xlfn.XLOOKUP(TableDailySummary[[#This Row],[Fecha]],SummaryDaily[day],SummaryDaily[Corporativo no tienda_average_order_value],0)</f>
        <v>0</v>
      </c>
      <c r="X215" s="11">
        <f>_xlfn.XLOOKUP(TableDailySummary[[#This Row],[Fecha]],SummaryDaily[day],SummaryDaily[GoogleAdsOperation.Cost],0)</f>
        <v>0</v>
      </c>
      <c r="Y215" s="11">
        <f>SUMIFS(SalesByUTMDaily[google],SalesByUTMDaily[day],TableDailySummary[[#This Row],[Fecha]])</f>
        <v>0</v>
      </c>
      <c r="Z215" s="11">
        <f>_xlfn.XLOOKUP(TableDailySummary[[#This Row],[Fecha]],SummaryDaily[day],SummaryDaily[MetaAdsOperation.spend],0)</f>
        <v>0</v>
      </c>
      <c r="AA215" s="11">
        <f>SUMIFS(SalesByUTMDaily[facebook],SalesByUTMDaily[day],TableDailySummary[[#This Row],[Fecha]])</f>
        <v>0</v>
      </c>
      <c r="AB215" s="11">
        <f>TableDailySummary[[#This Row],[Inversión google ads]]+TableDailySummary[[#This Row],[Inversión meta ads]]</f>
        <v>0</v>
      </c>
      <c r="AC215" s="11">
        <f>TableDailySummary[[#This Row],[Ventas google ads]]+TableDailySummary[[#This Row],[Ventas meta ads]]</f>
        <v>0</v>
      </c>
      <c r="AD215" s="14">
        <f>IFERROR(TableDailySummary[[#This Row],[Ventas publicidad]]/TableDailySummary[[#This Row],[Inversión publicidad]],0)</f>
        <v>0</v>
      </c>
      <c r="AE215" s="14">
        <f>IFERROR(TableDailySummary[[#This Row],[Ventas primer cliente]]/TableDailySummary[[#This Row],[Inversión publicidad]],0)</f>
        <v>0</v>
      </c>
      <c r="AF215" s="14"/>
      <c r="AG215" s="11"/>
      <c r="AM215" s="11">
        <f>_xlfn.XLOOKUP(TableDailySummary[[#This Row],[Fecha]],SummaryDaily[day],SummaryDaily[net_sales_with_cost_recorded],0)</f>
        <v>0</v>
      </c>
      <c r="AN215" s="11">
        <f>_xlfn.XLOOKUP(TableDailySummary[[#This Row],[Fecha]],SummaryDaily[day],SummaryDaily[cost_of_goods_sold],0)</f>
        <v>0</v>
      </c>
      <c r="AO215" s="11">
        <f>_xlfn.XLOOKUP(TableDailySummary[[#This Row],[Fecha]],SummaryDaily[day],SummaryDaily[gross_profit],0)</f>
        <v>0</v>
      </c>
      <c r="AP215" s="18">
        <f>IFERROR(TableDailySummary[[#This Row],[Utilidad bruta]]/TableDailySummary[[#This Row],[Ventas netas con costo registrado]],0)</f>
        <v>0</v>
      </c>
    </row>
    <row r="216" spans="2:42" x14ac:dyDescent="0.2">
      <c r="B216" s="15" cm="1">
        <f t="array" ref="B216">ParamFechaInicioReporte + (ROW(TableDailySummary[#This Row]) - ROW(TableDailySummary[[#Headers],[Dia]]) - 1)</f>
        <v>44743</v>
      </c>
      <c r="C216" s="6">
        <f>TableDailySummary[[#This Row],[Dia]]</f>
        <v>44743</v>
      </c>
      <c r="D216" s="11">
        <f>_xlfn.XLOOKUP(TableDailySummary[[#This Row],[Fecha]],SummaryDaily[day],SummaryDaily[net_sales],0)</f>
        <v>0</v>
      </c>
      <c r="E216" s="11">
        <f>_xlfn.XLOOKUP(TableDailySummary[[#This Row],[Fecha]],SummaryDaily[day],SummaryDaily[orders],0)</f>
        <v>0</v>
      </c>
      <c r="F216" s="11">
        <f>_xlfn.XLOOKUP(TableDailySummary[[#This Row],[Fecha]],SummaryDaily[day],SummaryDaily[average_order_value],0)</f>
        <v>0</v>
      </c>
      <c r="G216" s="24" cm="1">
        <f t="array" ref="G216">_xlfn.XLOOKUP(TableDailySummary[[#This Row],[Fecha]]&amp;"Total site",ConversionRateByReferral[day]&amp;ConversionRateByReferral[referrer_source],ConversionRateByReferral[conversion_rate],0)</f>
        <v>0</v>
      </c>
      <c r="H216" s="11">
        <f>TableDailySummary[[#This Row],[Órden promedio totales]]*TableDailySummary[[#This Row],[CR totales]]</f>
        <v>0</v>
      </c>
      <c r="I216" s="11">
        <f>_xlfn.XLOOKUP(TableDailySummary[[#This Row],[Fecha]],SummaryDaily[day],SummaryDaily[new_net_sales],0)</f>
        <v>0</v>
      </c>
      <c r="J216" s="11">
        <f>_xlfn.XLOOKUP(TableDailySummary[[#This Row],[Fecha]],SummaryDaily[day],SummaryDaily[new_orders],0)</f>
        <v>0</v>
      </c>
      <c r="K216" s="11">
        <f>_xlfn.XLOOKUP(TableDailySummary[[#This Row],[Fecha]],SummaryDaily[day],SummaryDaily[new_average_order_value],0)</f>
        <v>0</v>
      </c>
      <c r="L216" s="11">
        <f>_xlfn.XLOOKUP(TableDailySummary[[#This Row],[Fecha]],SummaryDaily[day],SummaryDaily[Online Store_net_sales],0)</f>
        <v>0</v>
      </c>
      <c r="M216" s="11">
        <f>_xlfn.XLOOKUP(TableDailySummary[[#This Row],[Fecha]],SummaryDaily[day],SummaryDaily[Online Store_orders],0)</f>
        <v>0</v>
      </c>
      <c r="N216" s="11">
        <f>_xlfn.XLOOKUP(TableDailySummary[[#This Row],[Fecha]],SummaryDaily[day],SummaryDaily[Online Store_average_order_value],0)</f>
        <v>0</v>
      </c>
      <c r="O216" s="11">
        <f>_xlfn.XLOOKUP(TableDailySummary[[#This Row],[Fecha]],SummaryDaily[day],SummaryDaily[Tienda 81_net_sales],0)</f>
        <v>0</v>
      </c>
      <c r="P216" s="11">
        <f>_xlfn.XLOOKUP(TableDailySummary[[#This Row],[Fecha]],SummaryDaily[day],SummaryDaily[Tienda 81_orders],0)</f>
        <v>0</v>
      </c>
      <c r="Q216" s="11">
        <f>_xlfn.XLOOKUP(TableDailySummary[[#This Row],[Fecha]],SummaryDaily[day],SummaryDaily[Tienda 81_average_order_value],0)</f>
        <v>0</v>
      </c>
      <c r="R216" s="11">
        <f>_xlfn.XLOOKUP(TableDailySummary[[#This Row],[Fecha]],SummaryDaily[day],SummaryDaily[Rappi_net_sales],0)</f>
        <v>0</v>
      </c>
      <c r="S216" s="11">
        <f>_xlfn.XLOOKUP(TableDailySummary[[#This Row],[Fecha]],SummaryDaily[day],SummaryDaily[Rappi_orders],0)</f>
        <v>0</v>
      </c>
      <c r="T216" s="11">
        <f>_xlfn.XLOOKUP(TableDailySummary[[#This Row],[Fecha]],SummaryDaily[day],SummaryDaily[Rappi_average_order_value],0)</f>
        <v>0</v>
      </c>
      <c r="U216" s="11">
        <f>_xlfn.XLOOKUP(TableDailySummary[[#This Row],[Fecha]],SummaryDaily[day],SummaryDaily[Corporativo no tienda_net_sales],0)</f>
        <v>0</v>
      </c>
      <c r="V216" s="11">
        <f>_xlfn.XLOOKUP(TableDailySummary[[#This Row],[Fecha]],SummaryDaily[day],SummaryDaily[Corporativo no tienda_orders],0)</f>
        <v>0</v>
      </c>
      <c r="W216" s="11">
        <f>_xlfn.XLOOKUP(TableDailySummary[[#This Row],[Fecha]],SummaryDaily[day],SummaryDaily[Corporativo no tienda_average_order_value],0)</f>
        <v>0</v>
      </c>
      <c r="X216" s="11">
        <f>_xlfn.XLOOKUP(TableDailySummary[[#This Row],[Fecha]],SummaryDaily[day],SummaryDaily[GoogleAdsOperation.Cost],0)</f>
        <v>0</v>
      </c>
      <c r="Y216" s="11">
        <f>SUMIFS(SalesByUTMDaily[google],SalesByUTMDaily[day],TableDailySummary[[#This Row],[Fecha]])</f>
        <v>0</v>
      </c>
      <c r="Z216" s="11">
        <f>_xlfn.XLOOKUP(TableDailySummary[[#This Row],[Fecha]],SummaryDaily[day],SummaryDaily[MetaAdsOperation.spend],0)</f>
        <v>0</v>
      </c>
      <c r="AA216" s="11">
        <f>SUMIFS(SalesByUTMDaily[facebook],SalesByUTMDaily[day],TableDailySummary[[#This Row],[Fecha]])</f>
        <v>0</v>
      </c>
      <c r="AB216" s="11">
        <f>TableDailySummary[[#This Row],[Inversión google ads]]+TableDailySummary[[#This Row],[Inversión meta ads]]</f>
        <v>0</v>
      </c>
      <c r="AC216" s="11">
        <f>TableDailySummary[[#This Row],[Ventas google ads]]+TableDailySummary[[#This Row],[Ventas meta ads]]</f>
        <v>0</v>
      </c>
      <c r="AD216" s="14">
        <f>IFERROR(TableDailySummary[[#This Row],[Ventas publicidad]]/TableDailySummary[[#This Row],[Inversión publicidad]],0)</f>
        <v>0</v>
      </c>
      <c r="AE216" s="14">
        <f>IFERROR(TableDailySummary[[#This Row],[Ventas primer cliente]]/TableDailySummary[[#This Row],[Inversión publicidad]],0)</f>
        <v>0</v>
      </c>
      <c r="AF216" s="14"/>
      <c r="AG216" s="11"/>
      <c r="AM216" s="11">
        <f>_xlfn.XLOOKUP(TableDailySummary[[#This Row],[Fecha]],SummaryDaily[day],SummaryDaily[net_sales_with_cost_recorded],0)</f>
        <v>0</v>
      </c>
      <c r="AN216" s="11">
        <f>_xlfn.XLOOKUP(TableDailySummary[[#This Row],[Fecha]],SummaryDaily[day],SummaryDaily[cost_of_goods_sold],0)</f>
        <v>0</v>
      </c>
      <c r="AO216" s="11">
        <f>_xlfn.XLOOKUP(TableDailySummary[[#This Row],[Fecha]],SummaryDaily[day],SummaryDaily[gross_profit],0)</f>
        <v>0</v>
      </c>
      <c r="AP216" s="18">
        <f>IFERROR(TableDailySummary[[#This Row],[Utilidad bruta]]/TableDailySummary[[#This Row],[Ventas netas con costo registrado]],0)</f>
        <v>0</v>
      </c>
    </row>
    <row r="217" spans="2:42" x14ac:dyDescent="0.2">
      <c r="B217" s="15" cm="1">
        <f t="array" ref="B217">ParamFechaInicioReporte + (ROW(TableDailySummary[#This Row]) - ROW(TableDailySummary[[#Headers],[Dia]]) - 1)</f>
        <v>44744</v>
      </c>
      <c r="C217" s="6">
        <f>TableDailySummary[[#This Row],[Dia]]</f>
        <v>44744</v>
      </c>
      <c r="D217" s="11">
        <f>_xlfn.XLOOKUP(TableDailySummary[[#This Row],[Fecha]],SummaryDaily[day],SummaryDaily[net_sales],0)</f>
        <v>0</v>
      </c>
      <c r="E217" s="11">
        <f>_xlfn.XLOOKUP(TableDailySummary[[#This Row],[Fecha]],SummaryDaily[day],SummaryDaily[orders],0)</f>
        <v>0</v>
      </c>
      <c r="F217" s="11">
        <f>_xlfn.XLOOKUP(TableDailySummary[[#This Row],[Fecha]],SummaryDaily[day],SummaryDaily[average_order_value],0)</f>
        <v>0</v>
      </c>
      <c r="G217" s="24" cm="1">
        <f t="array" ref="G217">_xlfn.XLOOKUP(TableDailySummary[[#This Row],[Fecha]]&amp;"Total site",ConversionRateByReferral[day]&amp;ConversionRateByReferral[referrer_source],ConversionRateByReferral[conversion_rate],0)</f>
        <v>0</v>
      </c>
      <c r="H217" s="11">
        <f>TableDailySummary[[#This Row],[Órden promedio totales]]*TableDailySummary[[#This Row],[CR totales]]</f>
        <v>0</v>
      </c>
      <c r="I217" s="11">
        <f>_xlfn.XLOOKUP(TableDailySummary[[#This Row],[Fecha]],SummaryDaily[day],SummaryDaily[new_net_sales],0)</f>
        <v>0</v>
      </c>
      <c r="J217" s="11">
        <f>_xlfn.XLOOKUP(TableDailySummary[[#This Row],[Fecha]],SummaryDaily[day],SummaryDaily[new_orders],0)</f>
        <v>0</v>
      </c>
      <c r="K217" s="11">
        <f>_xlfn.XLOOKUP(TableDailySummary[[#This Row],[Fecha]],SummaryDaily[day],SummaryDaily[new_average_order_value],0)</f>
        <v>0</v>
      </c>
      <c r="L217" s="11">
        <f>_xlfn.XLOOKUP(TableDailySummary[[#This Row],[Fecha]],SummaryDaily[day],SummaryDaily[Online Store_net_sales],0)</f>
        <v>0</v>
      </c>
      <c r="M217" s="11">
        <f>_xlfn.XLOOKUP(TableDailySummary[[#This Row],[Fecha]],SummaryDaily[day],SummaryDaily[Online Store_orders],0)</f>
        <v>0</v>
      </c>
      <c r="N217" s="11">
        <f>_xlfn.XLOOKUP(TableDailySummary[[#This Row],[Fecha]],SummaryDaily[day],SummaryDaily[Online Store_average_order_value],0)</f>
        <v>0</v>
      </c>
      <c r="O217" s="11">
        <f>_xlfn.XLOOKUP(TableDailySummary[[#This Row],[Fecha]],SummaryDaily[day],SummaryDaily[Tienda 81_net_sales],0)</f>
        <v>0</v>
      </c>
      <c r="P217" s="11">
        <f>_xlfn.XLOOKUP(TableDailySummary[[#This Row],[Fecha]],SummaryDaily[day],SummaryDaily[Tienda 81_orders],0)</f>
        <v>0</v>
      </c>
      <c r="Q217" s="11">
        <f>_xlfn.XLOOKUP(TableDailySummary[[#This Row],[Fecha]],SummaryDaily[day],SummaryDaily[Tienda 81_average_order_value],0)</f>
        <v>0</v>
      </c>
      <c r="R217" s="11">
        <f>_xlfn.XLOOKUP(TableDailySummary[[#This Row],[Fecha]],SummaryDaily[day],SummaryDaily[Rappi_net_sales],0)</f>
        <v>0</v>
      </c>
      <c r="S217" s="11">
        <f>_xlfn.XLOOKUP(TableDailySummary[[#This Row],[Fecha]],SummaryDaily[day],SummaryDaily[Rappi_orders],0)</f>
        <v>0</v>
      </c>
      <c r="T217" s="11">
        <f>_xlfn.XLOOKUP(TableDailySummary[[#This Row],[Fecha]],SummaryDaily[day],SummaryDaily[Rappi_average_order_value],0)</f>
        <v>0</v>
      </c>
      <c r="U217" s="11">
        <f>_xlfn.XLOOKUP(TableDailySummary[[#This Row],[Fecha]],SummaryDaily[day],SummaryDaily[Corporativo no tienda_net_sales],0)</f>
        <v>0</v>
      </c>
      <c r="V217" s="11">
        <f>_xlfn.XLOOKUP(TableDailySummary[[#This Row],[Fecha]],SummaryDaily[day],SummaryDaily[Corporativo no tienda_orders],0)</f>
        <v>0</v>
      </c>
      <c r="W217" s="11">
        <f>_xlfn.XLOOKUP(TableDailySummary[[#This Row],[Fecha]],SummaryDaily[day],SummaryDaily[Corporativo no tienda_average_order_value],0)</f>
        <v>0</v>
      </c>
      <c r="X217" s="11">
        <f>_xlfn.XLOOKUP(TableDailySummary[[#This Row],[Fecha]],SummaryDaily[day],SummaryDaily[GoogleAdsOperation.Cost],0)</f>
        <v>0</v>
      </c>
      <c r="Y217" s="11">
        <f>SUMIFS(SalesByUTMDaily[google],SalesByUTMDaily[day],TableDailySummary[[#This Row],[Fecha]])</f>
        <v>0</v>
      </c>
      <c r="Z217" s="11">
        <f>_xlfn.XLOOKUP(TableDailySummary[[#This Row],[Fecha]],SummaryDaily[day],SummaryDaily[MetaAdsOperation.spend],0)</f>
        <v>0</v>
      </c>
      <c r="AA217" s="11">
        <f>SUMIFS(SalesByUTMDaily[facebook],SalesByUTMDaily[day],TableDailySummary[[#This Row],[Fecha]])</f>
        <v>0</v>
      </c>
      <c r="AB217" s="11">
        <f>TableDailySummary[[#This Row],[Inversión google ads]]+TableDailySummary[[#This Row],[Inversión meta ads]]</f>
        <v>0</v>
      </c>
      <c r="AC217" s="11">
        <f>TableDailySummary[[#This Row],[Ventas google ads]]+TableDailySummary[[#This Row],[Ventas meta ads]]</f>
        <v>0</v>
      </c>
      <c r="AD217" s="14">
        <f>IFERROR(TableDailySummary[[#This Row],[Ventas publicidad]]/TableDailySummary[[#This Row],[Inversión publicidad]],0)</f>
        <v>0</v>
      </c>
      <c r="AE217" s="14">
        <f>IFERROR(TableDailySummary[[#This Row],[Ventas primer cliente]]/TableDailySummary[[#This Row],[Inversión publicidad]],0)</f>
        <v>0</v>
      </c>
      <c r="AF217" s="14"/>
      <c r="AG217" s="11"/>
      <c r="AM217" s="11">
        <f>_xlfn.XLOOKUP(TableDailySummary[[#This Row],[Fecha]],SummaryDaily[day],SummaryDaily[net_sales_with_cost_recorded],0)</f>
        <v>0</v>
      </c>
      <c r="AN217" s="11">
        <f>_xlfn.XLOOKUP(TableDailySummary[[#This Row],[Fecha]],SummaryDaily[day],SummaryDaily[cost_of_goods_sold],0)</f>
        <v>0</v>
      </c>
      <c r="AO217" s="11">
        <f>_xlfn.XLOOKUP(TableDailySummary[[#This Row],[Fecha]],SummaryDaily[day],SummaryDaily[gross_profit],0)</f>
        <v>0</v>
      </c>
      <c r="AP217" s="18">
        <f>IFERROR(TableDailySummary[[#This Row],[Utilidad bruta]]/TableDailySummary[[#This Row],[Ventas netas con costo registrado]],0)</f>
        <v>0</v>
      </c>
    </row>
    <row r="218" spans="2:42" x14ac:dyDescent="0.2">
      <c r="B218" s="15" cm="1">
        <f t="array" ref="B218">ParamFechaInicioReporte + (ROW(TableDailySummary[#This Row]) - ROW(TableDailySummary[[#Headers],[Dia]]) - 1)</f>
        <v>44745</v>
      </c>
      <c r="C218" s="6">
        <f>TableDailySummary[[#This Row],[Dia]]</f>
        <v>44745</v>
      </c>
      <c r="D218" s="11">
        <f>_xlfn.XLOOKUP(TableDailySummary[[#This Row],[Fecha]],SummaryDaily[day],SummaryDaily[net_sales],0)</f>
        <v>0</v>
      </c>
      <c r="E218" s="11">
        <f>_xlfn.XLOOKUP(TableDailySummary[[#This Row],[Fecha]],SummaryDaily[day],SummaryDaily[orders],0)</f>
        <v>0</v>
      </c>
      <c r="F218" s="11">
        <f>_xlfn.XLOOKUP(TableDailySummary[[#This Row],[Fecha]],SummaryDaily[day],SummaryDaily[average_order_value],0)</f>
        <v>0</v>
      </c>
      <c r="G218" s="24" cm="1">
        <f t="array" ref="G218">_xlfn.XLOOKUP(TableDailySummary[[#This Row],[Fecha]]&amp;"Total site",ConversionRateByReferral[day]&amp;ConversionRateByReferral[referrer_source],ConversionRateByReferral[conversion_rate],0)</f>
        <v>0</v>
      </c>
      <c r="H218" s="11">
        <f>TableDailySummary[[#This Row],[Órden promedio totales]]*TableDailySummary[[#This Row],[CR totales]]</f>
        <v>0</v>
      </c>
      <c r="I218" s="11">
        <f>_xlfn.XLOOKUP(TableDailySummary[[#This Row],[Fecha]],SummaryDaily[day],SummaryDaily[new_net_sales],0)</f>
        <v>0</v>
      </c>
      <c r="J218" s="11">
        <f>_xlfn.XLOOKUP(TableDailySummary[[#This Row],[Fecha]],SummaryDaily[day],SummaryDaily[new_orders],0)</f>
        <v>0</v>
      </c>
      <c r="K218" s="11">
        <f>_xlfn.XLOOKUP(TableDailySummary[[#This Row],[Fecha]],SummaryDaily[day],SummaryDaily[new_average_order_value],0)</f>
        <v>0</v>
      </c>
      <c r="L218" s="11">
        <f>_xlfn.XLOOKUP(TableDailySummary[[#This Row],[Fecha]],SummaryDaily[day],SummaryDaily[Online Store_net_sales],0)</f>
        <v>0</v>
      </c>
      <c r="M218" s="11">
        <f>_xlfn.XLOOKUP(TableDailySummary[[#This Row],[Fecha]],SummaryDaily[day],SummaryDaily[Online Store_orders],0)</f>
        <v>0</v>
      </c>
      <c r="N218" s="11">
        <f>_xlfn.XLOOKUP(TableDailySummary[[#This Row],[Fecha]],SummaryDaily[day],SummaryDaily[Online Store_average_order_value],0)</f>
        <v>0</v>
      </c>
      <c r="O218" s="11">
        <f>_xlfn.XLOOKUP(TableDailySummary[[#This Row],[Fecha]],SummaryDaily[day],SummaryDaily[Tienda 81_net_sales],0)</f>
        <v>0</v>
      </c>
      <c r="P218" s="11">
        <f>_xlfn.XLOOKUP(TableDailySummary[[#This Row],[Fecha]],SummaryDaily[day],SummaryDaily[Tienda 81_orders],0)</f>
        <v>0</v>
      </c>
      <c r="Q218" s="11">
        <f>_xlfn.XLOOKUP(TableDailySummary[[#This Row],[Fecha]],SummaryDaily[day],SummaryDaily[Tienda 81_average_order_value],0)</f>
        <v>0</v>
      </c>
      <c r="R218" s="11">
        <f>_xlfn.XLOOKUP(TableDailySummary[[#This Row],[Fecha]],SummaryDaily[day],SummaryDaily[Rappi_net_sales],0)</f>
        <v>0</v>
      </c>
      <c r="S218" s="11">
        <f>_xlfn.XLOOKUP(TableDailySummary[[#This Row],[Fecha]],SummaryDaily[day],SummaryDaily[Rappi_orders],0)</f>
        <v>0</v>
      </c>
      <c r="T218" s="11">
        <f>_xlfn.XLOOKUP(TableDailySummary[[#This Row],[Fecha]],SummaryDaily[day],SummaryDaily[Rappi_average_order_value],0)</f>
        <v>0</v>
      </c>
      <c r="U218" s="11">
        <f>_xlfn.XLOOKUP(TableDailySummary[[#This Row],[Fecha]],SummaryDaily[day],SummaryDaily[Corporativo no tienda_net_sales],0)</f>
        <v>0</v>
      </c>
      <c r="V218" s="11">
        <f>_xlfn.XLOOKUP(TableDailySummary[[#This Row],[Fecha]],SummaryDaily[day],SummaryDaily[Corporativo no tienda_orders],0)</f>
        <v>0</v>
      </c>
      <c r="W218" s="11">
        <f>_xlfn.XLOOKUP(TableDailySummary[[#This Row],[Fecha]],SummaryDaily[day],SummaryDaily[Corporativo no tienda_average_order_value],0)</f>
        <v>0</v>
      </c>
      <c r="X218" s="11">
        <f>_xlfn.XLOOKUP(TableDailySummary[[#This Row],[Fecha]],SummaryDaily[day],SummaryDaily[GoogleAdsOperation.Cost],0)</f>
        <v>0</v>
      </c>
      <c r="Y218" s="11">
        <f>SUMIFS(SalesByUTMDaily[google],SalesByUTMDaily[day],TableDailySummary[[#This Row],[Fecha]])</f>
        <v>0</v>
      </c>
      <c r="Z218" s="11">
        <f>_xlfn.XLOOKUP(TableDailySummary[[#This Row],[Fecha]],SummaryDaily[day],SummaryDaily[MetaAdsOperation.spend],0)</f>
        <v>0</v>
      </c>
      <c r="AA218" s="11">
        <f>SUMIFS(SalesByUTMDaily[facebook],SalesByUTMDaily[day],TableDailySummary[[#This Row],[Fecha]])</f>
        <v>0</v>
      </c>
      <c r="AB218" s="11">
        <f>TableDailySummary[[#This Row],[Inversión google ads]]+TableDailySummary[[#This Row],[Inversión meta ads]]</f>
        <v>0</v>
      </c>
      <c r="AC218" s="11">
        <f>TableDailySummary[[#This Row],[Ventas google ads]]+TableDailySummary[[#This Row],[Ventas meta ads]]</f>
        <v>0</v>
      </c>
      <c r="AD218" s="14">
        <f>IFERROR(TableDailySummary[[#This Row],[Ventas publicidad]]/TableDailySummary[[#This Row],[Inversión publicidad]],0)</f>
        <v>0</v>
      </c>
      <c r="AE218" s="14">
        <f>IFERROR(TableDailySummary[[#This Row],[Ventas primer cliente]]/TableDailySummary[[#This Row],[Inversión publicidad]],0)</f>
        <v>0</v>
      </c>
      <c r="AF218" s="14"/>
      <c r="AG218" s="11"/>
      <c r="AM218" s="11">
        <f>_xlfn.XLOOKUP(TableDailySummary[[#This Row],[Fecha]],SummaryDaily[day],SummaryDaily[net_sales_with_cost_recorded],0)</f>
        <v>0</v>
      </c>
      <c r="AN218" s="11">
        <f>_xlfn.XLOOKUP(TableDailySummary[[#This Row],[Fecha]],SummaryDaily[day],SummaryDaily[cost_of_goods_sold],0)</f>
        <v>0</v>
      </c>
      <c r="AO218" s="11">
        <f>_xlfn.XLOOKUP(TableDailySummary[[#This Row],[Fecha]],SummaryDaily[day],SummaryDaily[gross_profit],0)</f>
        <v>0</v>
      </c>
      <c r="AP218" s="18">
        <f>IFERROR(TableDailySummary[[#This Row],[Utilidad bruta]]/TableDailySummary[[#This Row],[Ventas netas con costo registrado]],0)</f>
        <v>0</v>
      </c>
    </row>
    <row r="219" spans="2:42" x14ac:dyDescent="0.2">
      <c r="B219" s="15" cm="1">
        <f t="array" ref="B219">ParamFechaInicioReporte + (ROW(TableDailySummary[#This Row]) - ROW(TableDailySummary[[#Headers],[Dia]]) - 1)</f>
        <v>44746</v>
      </c>
      <c r="C219" s="6">
        <f>TableDailySummary[[#This Row],[Dia]]</f>
        <v>44746</v>
      </c>
      <c r="D219" s="11">
        <f>_xlfn.XLOOKUP(TableDailySummary[[#This Row],[Fecha]],SummaryDaily[day],SummaryDaily[net_sales],0)</f>
        <v>0</v>
      </c>
      <c r="E219" s="11">
        <f>_xlfn.XLOOKUP(TableDailySummary[[#This Row],[Fecha]],SummaryDaily[day],SummaryDaily[orders],0)</f>
        <v>0</v>
      </c>
      <c r="F219" s="11">
        <f>_xlfn.XLOOKUP(TableDailySummary[[#This Row],[Fecha]],SummaryDaily[day],SummaryDaily[average_order_value],0)</f>
        <v>0</v>
      </c>
      <c r="G219" s="24" cm="1">
        <f t="array" ref="G219">_xlfn.XLOOKUP(TableDailySummary[[#This Row],[Fecha]]&amp;"Total site",ConversionRateByReferral[day]&amp;ConversionRateByReferral[referrer_source],ConversionRateByReferral[conversion_rate],0)</f>
        <v>0</v>
      </c>
      <c r="H219" s="11">
        <f>TableDailySummary[[#This Row],[Órden promedio totales]]*TableDailySummary[[#This Row],[CR totales]]</f>
        <v>0</v>
      </c>
      <c r="I219" s="11">
        <f>_xlfn.XLOOKUP(TableDailySummary[[#This Row],[Fecha]],SummaryDaily[day],SummaryDaily[new_net_sales],0)</f>
        <v>0</v>
      </c>
      <c r="J219" s="11">
        <f>_xlfn.XLOOKUP(TableDailySummary[[#This Row],[Fecha]],SummaryDaily[day],SummaryDaily[new_orders],0)</f>
        <v>0</v>
      </c>
      <c r="K219" s="11">
        <f>_xlfn.XLOOKUP(TableDailySummary[[#This Row],[Fecha]],SummaryDaily[day],SummaryDaily[new_average_order_value],0)</f>
        <v>0</v>
      </c>
      <c r="L219" s="11">
        <f>_xlfn.XLOOKUP(TableDailySummary[[#This Row],[Fecha]],SummaryDaily[day],SummaryDaily[Online Store_net_sales],0)</f>
        <v>0</v>
      </c>
      <c r="M219" s="11">
        <f>_xlfn.XLOOKUP(TableDailySummary[[#This Row],[Fecha]],SummaryDaily[day],SummaryDaily[Online Store_orders],0)</f>
        <v>0</v>
      </c>
      <c r="N219" s="11">
        <f>_xlfn.XLOOKUP(TableDailySummary[[#This Row],[Fecha]],SummaryDaily[day],SummaryDaily[Online Store_average_order_value],0)</f>
        <v>0</v>
      </c>
      <c r="O219" s="11">
        <f>_xlfn.XLOOKUP(TableDailySummary[[#This Row],[Fecha]],SummaryDaily[day],SummaryDaily[Tienda 81_net_sales],0)</f>
        <v>0</v>
      </c>
      <c r="P219" s="11">
        <f>_xlfn.XLOOKUP(TableDailySummary[[#This Row],[Fecha]],SummaryDaily[day],SummaryDaily[Tienda 81_orders],0)</f>
        <v>0</v>
      </c>
      <c r="Q219" s="11">
        <f>_xlfn.XLOOKUP(TableDailySummary[[#This Row],[Fecha]],SummaryDaily[day],SummaryDaily[Tienda 81_average_order_value],0)</f>
        <v>0</v>
      </c>
      <c r="R219" s="11">
        <f>_xlfn.XLOOKUP(TableDailySummary[[#This Row],[Fecha]],SummaryDaily[day],SummaryDaily[Rappi_net_sales],0)</f>
        <v>0</v>
      </c>
      <c r="S219" s="11">
        <f>_xlfn.XLOOKUP(TableDailySummary[[#This Row],[Fecha]],SummaryDaily[day],SummaryDaily[Rappi_orders],0)</f>
        <v>0</v>
      </c>
      <c r="T219" s="11">
        <f>_xlfn.XLOOKUP(TableDailySummary[[#This Row],[Fecha]],SummaryDaily[day],SummaryDaily[Rappi_average_order_value],0)</f>
        <v>0</v>
      </c>
      <c r="U219" s="11">
        <f>_xlfn.XLOOKUP(TableDailySummary[[#This Row],[Fecha]],SummaryDaily[day],SummaryDaily[Corporativo no tienda_net_sales],0)</f>
        <v>0</v>
      </c>
      <c r="V219" s="11">
        <f>_xlfn.XLOOKUP(TableDailySummary[[#This Row],[Fecha]],SummaryDaily[day],SummaryDaily[Corporativo no tienda_orders],0)</f>
        <v>0</v>
      </c>
      <c r="W219" s="11">
        <f>_xlfn.XLOOKUP(TableDailySummary[[#This Row],[Fecha]],SummaryDaily[day],SummaryDaily[Corporativo no tienda_average_order_value],0)</f>
        <v>0</v>
      </c>
      <c r="X219" s="11">
        <f>_xlfn.XLOOKUP(TableDailySummary[[#This Row],[Fecha]],SummaryDaily[day],SummaryDaily[GoogleAdsOperation.Cost],0)</f>
        <v>0</v>
      </c>
      <c r="Y219" s="11">
        <f>SUMIFS(SalesByUTMDaily[google],SalesByUTMDaily[day],TableDailySummary[[#This Row],[Fecha]])</f>
        <v>0</v>
      </c>
      <c r="Z219" s="11">
        <f>_xlfn.XLOOKUP(TableDailySummary[[#This Row],[Fecha]],SummaryDaily[day],SummaryDaily[MetaAdsOperation.spend],0)</f>
        <v>0</v>
      </c>
      <c r="AA219" s="11">
        <f>SUMIFS(SalesByUTMDaily[facebook],SalesByUTMDaily[day],TableDailySummary[[#This Row],[Fecha]])</f>
        <v>0</v>
      </c>
      <c r="AB219" s="11">
        <f>TableDailySummary[[#This Row],[Inversión google ads]]+TableDailySummary[[#This Row],[Inversión meta ads]]</f>
        <v>0</v>
      </c>
      <c r="AC219" s="11">
        <f>TableDailySummary[[#This Row],[Ventas google ads]]+TableDailySummary[[#This Row],[Ventas meta ads]]</f>
        <v>0</v>
      </c>
      <c r="AD219" s="14">
        <f>IFERROR(TableDailySummary[[#This Row],[Ventas publicidad]]/TableDailySummary[[#This Row],[Inversión publicidad]],0)</f>
        <v>0</v>
      </c>
      <c r="AE219" s="14">
        <f>IFERROR(TableDailySummary[[#This Row],[Ventas primer cliente]]/TableDailySummary[[#This Row],[Inversión publicidad]],0)</f>
        <v>0</v>
      </c>
      <c r="AF219" s="14"/>
      <c r="AG219" s="11"/>
      <c r="AM219" s="11">
        <f>_xlfn.XLOOKUP(TableDailySummary[[#This Row],[Fecha]],SummaryDaily[day],SummaryDaily[net_sales_with_cost_recorded],0)</f>
        <v>0</v>
      </c>
      <c r="AN219" s="11">
        <f>_xlfn.XLOOKUP(TableDailySummary[[#This Row],[Fecha]],SummaryDaily[day],SummaryDaily[cost_of_goods_sold],0)</f>
        <v>0</v>
      </c>
      <c r="AO219" s="11">
        <f>_xlfn.XLOOKUP(TableDailySummary[[#This Row],[Fecha]],SummaryDaily[day],SummaryDaily[gross_profit],0)</f>
        <v>0</v>
      </c>
      <c r="AP219" s="18">
        <f>IFERROR(TableDailySummary[[#This Row],[Utilidad bruta]]/TableDailySummary[[#This Row],[Ventas netas con costo registrado]],0)</f>
        <v>0</v>
      </c>
    </row>
    <row r="220" spans="2:42" x14ac:dyDescent="0.2">
      <c r="B220" s="15" cm="1">
        <f t="array" ref="B220">ParamFechaInicioReporte + (ROW(TableDailySummary[#This Row]) - ROW(TableDailySummary[[#Headers],[Dia]]) - 1)</f>
        <v>44747</v>
      </c>
      <c r="C220" s="6">
        <f>TableDailySummary[[#This Row],[Dia]]</f>
        <v>44747</v>
      </c>
      <c r="D220" s="11">
        <f>_xlfn.XLOOKUP(TableDailySummary[[#This Row],[Fecha]],SummaryDaily[day],SummaryDaily[net_sales],0)</f>
        <v>0</v>
      </c>
      <c r="E220" s="11">
        <f>_xlfn.XLOOKUP(TableDailySummary[[#This Row],[Fecha]],SummaryDaily[day],SummaryDaily[orders],0)</f>
        <v>0</v>
      </c>
      <c r="F220" s="11">
        <f>_xlfn.XLOOKUP(TableDailySummary[[#This Row],[Fecha]],SummaryDaily[day],SummaryDaily[average_order_value],0)</f>
        <v>0</v>
      </c>
      <c r="G220" s="24" cm="1">
        <f t="array" ref="G220">_xlfn.XLOOKUP(TableDailySummary[[#This Row],[Fecha]]&amp;"Total site",ConversionRateByReferral[day]&amp;ConversionRateByReferral[referrer_source],ConversionRateByReferral[conversion_rate],0)</f>
        <v>0</v>
      </c>
      <c r="H220" s="11">
        <f>TableDailySummary[[#This Row],[Órden promedio totales]]*TableDailySummary[[#This Row],[CR totales]]</f>
        <v>0</v>
      </c>
      <c r="I220" s="11">
        <f>_xlfn.XLOOKUP(TableDailySummary[[#This Row],[Fecha]],SummaryDaily[day],SummaryDaily[new_net_sales],0)</f>
        <v>0</v>
      </c>
      <c r="J220" s="11">
        <f>_xlfn.XLOOKUP(TableDailySummary[[#This Row],[Fecha]],SummaryDaily[day],SummaryDaily[new_orders],0)</f>
        <v>0</v>
      </c>
      <c r="K220" s="11">
        <f>_xlfn.XLOOKUP(TableDailySummary[[#This Row],[Fecha]],SummaryDaily[day],SummaryDaily[new_average_order_value],0)</f>
        <v>0</v>
      </c>
      <c r="L220" s="11">
        <f>_xlfn.XLOOKUP(TableDailySummary[[#This Row],[Fecha]],SummaryDaily[day],SummaryDaily[Online Store_net_sales],0)</f>
        <v>0</v>
      </c>
      <c r="M220" s="11">
        <f>_xlfn.XLOOKUP(TableDailySummary[[#This Row],[Fecha]],SummaryDaily[day],SummaryDaily[Online Store_orders],0)</f>
        <v>0</v>
      </c>
      <c r="N220" s="11">
        <f>_xlfn.XLOOKUP(TableDailySummary[[#This Row],[Fecha]],SummaryDaily[day],SummaryDaily[Online Store_average_order_value],0)</f>
        <v>0</v>
      </c>
      <c r="O220" s="11">
        <f>_xlfn.XLOOKUP(TableDailySummary[[#This Row],[Fecha]],SummaryDaily[day],SummaryDaily[Tienda 81_net_sales],0)</f>
        <v>0</v>
      </c>
      <c r="P220" s="11">
        <f>_xlfn.XLOOKUP(TableDailySummary[[#This Row],[Fecha]],SummaryDaily[day],SummaryDaily[Tienda 81_orders],0)</f>
        <v>0</v>
      </c>
      <c r="Q220" s="11">
        <f>_xlfn.XLOOKUP(TableDailySummary[[#This Row],[Fecha]],SummaryDaily[day],SummaryDaily[Tienda 81_average_order_value],0)</f>
        <v>0</v>
      </c>
      <c r="R220" s="11">
        <f>_xlfn.XLOOKUP(TableDailySummary[[#This Row],[Fecha]],SummaryDaily[day],SummaryDaily[Rappi_net_sales],0)</f>
        <v>0</v>
      </c>
      <c r="S220" s="11">
        <f>_xlfn.XLOOKUP(TableDailySummary[[#This Row],[Fecha]],SummaryDaily[day],SummaryDaily[Rappi_orders],0)</f>
        <v>0</v>
      </c>
      <c r="T220" s="11">
        <f>_xlfn.XLOOKUP(TableDailySummary[[#This Row],[Fecha]],SummaryDaily[day],SummaryDaily[Rappi_average_order_value],0)</f>
        <v>0</v>
      </c>
      <c r="U220" s="11">
        <f>_xlfn.XLOOKUP(TableDailySummary[[#This Row],[Fecha]],SummaryDaily[day],SummaryDaily[Corporativo no tienda_net_sales],0)</f>
        <v>0</v>
      </c>
      <c r="V220" s="11">
        <f>_xlfn.XLOOKUP(TableDailySummary[[#This Row],[Fecha]],SummaryDaily[day],SummaryDaily[Corporativo no tienda_orders],0)</f>
        <v>0</v>
      </c>
      <c r="W220" s="11">
        <f>_xlfn.XLOOKUP(TableDailySummary[[#This Row],[Fecha]],SummaryDaily[day],SummaryDaily[Corporativo no tienda_average_order_value],0)</f>
        <v>0</v>
      </c>
      <c r="X220" s="11">
        <f>_xlfn.XLOOKUP(TableDailySummary[[#This Row],[Fecha]],SummaryDaily[day],SummaryDaily[GoogleAdsOperation.Cost],0)</f>
        <v>0</v>
      </c>
      <c r="Y220" s="11">
        <f>SUMIFS(SalesByUTMDaily[google],SalesByUTMDaily[day],TableDailySummary[[#This Row],[Fecha]])</f>
        <v>0</v>
      </c>
      <c r="Z220" s="11">
        <f>_xlfn.XLOOKUP(TableDailySummary[[#This Row],[Fecha]],SummaryDaily[day],SummaryDaily[MetaAdsOperation.spend],0)</f>
        <v>0</v>
      </c>
      <c r="AA220" s="11">
        <f>SUMIFS(SalesByUTMDaily[facebook],SalesByUTMDaily[day],TableDailySummary[[#This Row],[Fecha]])</f>
        <v>0</v>
      </c>
      <c r="AB220" s="11">
        <f>TableDailySummary[[#This Row],[Inversión google ads]]+TableDailySummary[[#This Row],[Inversión meta ads]]</f>
        <v>0</v>
      </c>
      <c r="AC220" s="11">
        <f>TableDailySummary[[#This Row],[Ventas google ads]]+TableDailySummary[[#This Row],[Ventas meta ads]]</f>
        <v>0</v>
      </c>
      <c r="AD220" s="14">
        <f>IFERROR(TableDailySummary[[#This Row],[Ventas publicidad]]/TableDailySummary[[#This Row],[Inversión publicidad]],0)</f>
        <v>0</v>
      </c>
      <c r="AE220" s="14">
        <f>IFERROR(TableDailySummary[[#This Row],[Ventas primer cliente]]/TableDailySummary[[#This Row],[Inversión publicidad]],0)</f>
        <v>0</v>
      </c>
      <c r="AF220" s="14"/>
      <c r="AG220" s="11"/>
      <c r="AM220" s="11">
        <f>_xlfn.XLOOKUP(TableDailySummary[[#This Row],[Fecha]],SummaryDaily[day],SummaryDaily[net_sales_with_cost_recorded],0)</f>
        <v>0</v>
      </c>
      <c r="AN220" s="11">
        <f>_xlfn.XLOOKUP(TableDailySummary[[#This Row],[Fecha]],SummaryDaily[day],SummaryDaily[cost_of_goods_sold],0)</f>
        <v>0</v>
      </c>
      <c r="AO220" s="11">
        <f>_xlfn.XLOOKUP(TableDailySummary[[#This Row],[Fecha]],SummaryDaily[day],SummaryDaily[gross_profit],0)</f>
        <v>0</v>
      </c>
      <c r="AP220" s="18">
        <f>IFERROR(TableDailySummary[[#This Row],[Utilidad bruta]]/TableDailySummary[[#This Row],[Ventas netas con costo registrado]],0)</f>
        <v>0</v>
      </c>
    </row>
    <row r="221" spans="2:42" x14ac:dyDescent="0.2">
      <c r="B221" s="15" cm="1">
        <f t="array" ref="B221">ParamFechaInicioReporte + (ROW(TableDailySummary[#This Row]) - ROW(TableDailySummary[[#Headers],[Dia]]) - 1)</f>
        <v>44748</v>
      </c>
      <c r="C221" s="6">
        <f>TableDailySummary[[#This Row],[Dia]]</f>
        <v>44748</v>
      </c>
      <c r="D221" s="11">
        <f>_xlfn.XLOOKUP(TableDailySummary[[#This Row],[Fecha]],SummaryDaily[day],SummaryDaily[net_sales],0)</f>
        <v>0</v>
      </c>
      <c r="E221" s="11">
        <f>_xlfn.XLOOKUP(TableDailySummary[[#This Row],[Fecha]],SummaryDaily[day],SummaryDaily[orders],0)</f>
        <v>0</v>
      </c>
      <c r="F221" s="11">
        <f>_xlfn.XLOOKUP(TableDailySummary[[#This Row],[Fecha]],SummaryDaily[day],SummaryDaily[average_order_value],0)</f>
        <v>0</v>
      </c>
      <c r="G221" s="24" cm="1">
        <f t="array" ref="G221">_xlfn.XLOOKUP(TableDailySummary[[#This Row],[Fecha]]&amp;"Total site",ConversionRateByReferral[day]&amp;ConversionRateByReferral[referrer_source],ConversionRateByReferral[conversion_rate],0)</f>
        <v>0</v>
      </c>
      <c r="H221" s="11">
        <f>TableDailySummary[[#This Row],[Órden promedio totales]]*TableDailySummary[[#This Row],[CR totales]]</f>
        <v>0</v>
      </c>
      <c r="I221" s="11">
        <f>_xlfn.XLOOKUP(TableDailySummary[[#This Row],[Fecha]],SummaryDaily[day],SummaryDaily[new_net_sales],0)</f>
        <v>0</v>
      </c>
      <c r="J221" s="11">
        <f>_xlfn.XLOOKUP(TableDailySummary[[#This Row],[Fecha]],SummaryDaily[day],SummaryDaily[new_orders],0)</f>
        <v>0</v>
      </c>
      <c r="K221" s="11">
        <f>_xlfn.XLOOKUP(TableDailySummary[[#This Row],[Fecha]],SummaryDaily[day],SummaryDaily[new_average_order_value],0)</f>
        <v>0</v>
      </c>
      <c r="L221" s="11">
        <f>_xlfn.XLOOKUP(TableDailySummary[[#This Row],[Fecha]],SummaryDaily[day],SummaryDaily[Online Store_net_sales],0)</f>
        <v>0</v>
      </c>
      <c r="M221" s="11">
        <f>_xlfn.XLOOKUP(TableDailySummary[[#This Row],[Fecha]],SummaryDaily[day],SummaryDaily[Online Store_orders],0)</f>
        <v>0</v>
      </c>
      <c r="N221" s="11">
        <f>_xlfn.XLOOKUP(TableDailySummary[[#This Row],[Fecha]],SummaryDaily[day],SummaryDaily[Online Store_average_order_value],0)</f>
        <v>0</v>
      </c>
      <c r="O221" s="11">
        <f>_xlfn.XLOOKUP(TableDailySummary[[#This Row],[Fecha]],SummaryDaily[day],SummaryDaily[Tienda 81_net_sales],0)</f>
        <v>0</v>
      </c>
      <c r="P221" s="11">
        <f>_xlfn.XLOOKUP(TableDailySummary[[#This Row],[Fecha]],SummaryDaily[day],SummaryDaily[Tienda 81_orders],0)</f>
        <v>0</v>
      </c>
      <c r="Q221" s="11">
        <f>_xlfn.XLOOKUP(TableDailySummary[[#This Row],[Fecha]],SummaryDaily[day],SummaryDaily[Tienda 81_average_order_value],0)</f>
        <v>0</v>
      </c>
      <c r="R221" s="11">
        <f>_xlfn.XLOOKUP(TableDailySummary[[#This Row],[Fecha]],SummaryDaily[day],SummaryDaily[Rappi_net_sales],0)</f>
        <v>0</v>
      </c>
      <c r="S221" s="11">
        <f>_xlfn.XLOOKUP(TableDailySummary[[#This Row],[Fecha]],SummaryDaily[day],SummaryDaily[Rappi_orders],0)</f>
        <v>0</v>
      </c>
      <c r="T221" s="11">
        <f>_xlfn.XLOOKUP(TableDailySummary[[#This Row],[Fecha]],SummaryDaily[day],SummaryDaily[Rappi_average_order_value],0)</f>
        <v>0</v>
      </c>
      <c r="U221" s="11">
        <f>_xlfn.XLOOKUP(TableDailySummary[[#This Row],[Fecha]],SummaryDaily[day],SummaryDaily[Corporativo no tienda_net_sales],0)</f>
        <v>0</v>
      </c>
      <c r="V221" s="11">
        <f>_xlfn.XLOOKUP(TableDailySummary[[#This Row],[Fecha]],SummaryDaily[day],SummaryDaily[Corporativo no tienda_orders],0)</f>
        <v>0</v>
      </c>
      <c r="W221" s="11">
        <f>_xlfn.XLOOKUP(TableDailySummary[[#This Row],[Fecha]],SummaryDaily[day],SummaryDaily[Corporativo no tienda_average_order_value],0)</f>
        <v>0</v>
      </c>
      <c r="X221" s="11">
        <f>_xlfn.XLOOKUP(TableDailySummary[[#This Row],[Fecha]],SummaryDaily[day],SummaryDaily[GoogleAdsOperation.Cost],0)</f>
        <v>0</v>
      </c>
      <c r="Y221" s="11">
        <f>SUMIFS(SalesByUTMDaily[google],SalesByUTMDaily[day],TableDailySummary[[#This Row],[Fecha]])</f>
        <v>0</v>
      </c>
      <c r="Z221" s="11">
        <f>_xlfn.XLOOKUP(TableDailySummary[[#This Row],[Fecha]],SummaryDaily[day],SummaryDaily[MetaAdsOperation.spend],0)</f>
        <v>0</v>
      </c>
      <c r="AA221" s="11">
        <f>SUMIFS(SalesByUTMDaily[facebook],SalesByUTMDaily[day],TableDailySummary[[#This Row],[Fecha]])</f>
        <v>0</v>
      </c>
      <c r="AB221" s="11">
        <f>TableDailySummary[[#This Row],[Inversión google ads]]+TableDailySummary[[#This Row],[Inversión meta ads]]</f>
        <v>0</v>
      </c>
      <c r="AC221" s="11">
        <f>TableDailySummary[[#This Row],[Ventas google ads]]+TableDailySummary[[#This Row],[Ventas meta ads]]</f>
        <v>0</v>
      </c>
      <c r="AD221" s="14">
        <f>IFERROR(TableDailySummary[[#This Row],[Ventas publicidad]]/TableDailySummary[[#This Row],[Inversión publicidad]],0)</f>
        <v>0</v>
      </c>
      <c r="AE221" s="14">
        <f>IFERROR(TableDailySummary[[#This Row],[Ventas primer cliente]]/TableDailySummary[[#This Row],[Inversión publicidad]],0)</f>
        <v>0</v>
      </c>
      <c r="AF221" s="14"/>
      <c r="AG221" s="11"/>
      <c r="AM221" s="11">
        <f>_xlfn.XLOOKUP(TableDailySummary[[#This Row],[Fecha]],SummaryDaily[day],SummaryDaily[net_sales_with_cost_recorded],0)</f>
        <v>0</v>
      </c>
      <c r="AN221" s="11">
        <f>_xlfn.XLOOKUP(TableDailySummary[[#This Row],[Fecha]],SummaryDaily[day],SummaryDaily[cost_of_goods_sold],0)</f>
        <v>0</v>
      </c>
      <c r="AO221" s="11">
        <f>_xlfn.XLOOKUP(TableDailySummary[[#This Row],[Fecha]],SummaryDaily[day],SummaryDaily[gross_profit],0)</f>
        <v>0</v>
      </c>
      <c r="AP221" s="18">
        <f>IFERROR(TableDailySummary[[#This Row],[Utilidad bruta]]/TableDailySummary[[#This Row],[Ventas netas con costo registrado]],0)</f>
        <v>0</v>
      </c>
    </row>
    <row r="222" spans="2:42" x14ac:dyDescent="0.2">
      <c r="B222" s="15" cm="1">
        <f t="array" ref="B222">ParamFechaInicioReporte + (ROW(TableDailySummary[#This Row]) - ROW(TableDailySummary[[#Headers],[Dia]]) - 1)</f>
        <v>44749</v>
      </c>
      <c r="C222" s="6">
        <f>TableDailySummary[[#This Row],[Dia]]</f>
        <v>44749</v>
      </c>
      <c r="D222" s="11">
        <f>_xlfn.XLOOKUP(TableDailySummary[[#This Row],[Fecha]],SummaryDaily[day],SummaryDaily[net_sales],0)</f>
        <v>0</v>
      </c>
      <c r="E222" s="11">
        <f>_xlfn.XLOOKUP(TableDailySummary[[#This Row],[Fecha]],SummaryDaily[day],SummaryDaily[orders],0)</f>
        <v>0</v>
      </c>
      <c r="F222" s="11">
        <f>_xlfn.XLOOKUP(TableDailySummary[[#This Row],[Fecha]],SummaryDaily[day],SummaryDaily[average_order_value],0)</f>
        <v>0</v>
      </c>
      <c r="G222" s="24" cm="1">
        <f t="array" ref="G222">_xlfn.XLOOKUP(TableDailySummary[[#This Row],[Fecha]]&amp;"Total site",ConversionRateByReferral[day]&amp;ConversionRateByReferral[referrer_source],ConversionRateByReferral[conversion_rate],0)</f>
        <v>0</v>
      </c>
      <c r="H222" s="11">
        <f>TableDailySummary[[#This Row],[Órden promedio totales]]*TableDailySummary[[#This Row],[CR totales]]</f>
        <v>0</v>
      </c>
      <c r="I222" s="11">
        <f>_xlfn.XLOOKUP(TableDailySummary[[#This Row],[Fecha]],SummaryDaily[day],SummaryDaily[new_net_sales],0)</f>
        <v>0</v>
      </c>
      <c r="J222" s="11">
        <f>_xlfn.XLOOKUP(TableDailySummary[[#This Row],[Fecha]],SummaryDaily[day],SummaryDaily[new_orders],0)</f>
        <v>0</v>
      </c>
      <c r="K222" s="11">
        <f>_xlfn.XLOOKUP(TableDailySummary[[#This Row],[Fecha]],SummaryDaily[day],SummaryDaily[new_average_order_value],0)</f>
        <v>0</v>
      </c>
      <c r="L222" s="11">
        <f>_xlfn.XLOOKUP(TableDailySummary[[#This Row],[Fecha]],SummaryDaily[day],SummaryDaily[Online Store_net_sales],0)</f>
        <v>0</v>
      </c>
      <c r="M222" s="11">
        <f>_xlfn.XLOOKUP(TableDailySummary[[#This Row],[Fecha]],SummaryDaily[day],SummaryDaily[Online Store_orders],0)</f>
        <v>0</v>
      </c>
      <c r="N222" s="11">
        <f>_xlfn.XLOOKUP(TableDailySummary[[#This Row],[Fecha]],SummaryDaily[day],SummaryDaily[Online Store_average_order_value],0)</f>
        <v>0</v>
      </c>
      <c r="O222" s="11">
        <f>_xlfn.XLOOKUP(TableDailySummary[[#This Row],[Fecha]],SummaryDaily[day],SummaryDaily[Tienda 81_net_sales],0)</f>
        <v>0</v>
      </c>
      <c r="P222" s="11">
        <f>_xlfn.XLOOKUP(TableDailySummary[[#This Row],[Fecha]],SummaryDaily[day],SummaryDaily[Tienda 81_orders],0)</f>
        <v>0</v>
      </c>
      <c r="Q222" s="11">
        <f>_xlfn.XLOOKUP(TableDailySummary[[#This Row],[Fecha]],SummaryDaily[day],SummaryDaily[Tienda 81_average_order_value],0)</f>
        <v>0</v>
      </c>
      <c r="R222" s="11">
        <f>_xlfn.XLOOKUP(TableDailySummary[[#This Row],[Fecha]],SummaryDaily[day],SummaryDaily[Rappi_net_sales],0)</f>
        <v>0</v>
      </c>
      <c r="S222" s="11">
        <f>_xlfn.XLOOKUP(TableDailySummary[[#This Row],[Fecha]],SummaryDaily[day],SummaryDaily[Rappi_orders],0)</f>
        <v>0</v>
      </c>
      <c r="T222" s="11">
        <f>_xlfn.XLOOKUP(TableDailySummary[[#This Row],[Fecha]],SummaryDaily[day],SummaryDaily[Rappi_average_order_value],0)</f>
        <v>0</v>
      </c>
      <c r="U222" s="11">
        <f>_xlfn.XLOOKUP(TableDailySummary[[#This Row],[Fecha]],SummaryDaily[day],SummaryDaily[Corporativo no tienda_net_sales],0)</f>
        <v>0</v>
      </c>
      <c r="V222" s="11">
        <f>_xlfn.XLOOKUP(TableDailySummary[[#This Row],[Fecha]],SummaryDaily[day],SummaryDaily[Corporativo no tienda_orders],0)</f>
        <v>0</v>
      </c>
      <c r="W222" s="11">
        <f>_xlfn.XLOOKUP(TableDailySummary[[#This Row],[Fecha]],SummaryDaily[day],SummaryDaily[Corporativo no tienda_average_order_value],0)</f>
        <v>0</v>
      </c>
      <c r="X222" s="11">
        <f>_xlfn.XLOOKUP(TableDailySummary[[#This Row],[Fecha]],SummaryDaily[day],SummaryDaily[GoogleAdsOperation.Cost],0)</f>
        <v>0</v>
      </c>
      <c r="Y222" s="11">
        <f>SUMIFS(SalesByUTMDaily[google],SalesByUTMDaily[day],TableDailySummary[[#This Row],[Fecha]])</f>
        <v>0</v>
      </c>
      <c r="Z222" s="11">
        <f>_xlfn.XLOOKUP(TableDailySummary[[#This Row],[Fecha]],SummaryDaily[day],SummaryDaily[MetaAdsOperation.spend],0)</f>
        <v>0</v>
      </c>
      <c r="AA222" s="11">
        <f>SUMIFS(SalesByUTMDaily[facebook],SalesByUTMDaily[day],TableDailySummary[[#This Row],[Fecha]])</f>
        <v>0</v>
      </c>
      <c r="AB222" s="11">
        <f>TableDailySummary[[#This Row],[Inversión google ads]]+TableDailySummary[[#This Row],[Inversión meta ads]]</f>
        <v>0</v>
      </c>
      <c r="AC222" s="11">
        <f>TableDailySummary[[#This Row],[Ventas google ads]]+TableDailySummary[[#This Row],[Ventas meta ads]]</f>
        <v>0</v>
      </c>
      <c r="AD222" s="14">
        <f>IFERROR(TableDailySummary[[#This Row],[Ventas publicidad]]/TableDailySummary[[#This Row],[Inversión publicidad]],0)</f>
        <v>0</v>
      </c>
      <c r="AE222" s="14">
        <f>IFERROR(TableDailySummary[[#This Row],[Ventas primer cliente]]/TableDailySummary[[#This Row],[Inversión publicidad]],0)</f>
        <v>0</v>
      </c>
      <c r="AF222" s="14"/>
      <c r="AG222" s="11"/>
      <c r="AM222" s="11">
        <f>_xlfn.XLOOKUP(TableDailySummary[[#This Row],[Fecha]],SummaryDaily[day],SummaryDaily[net_sales_with_cost_recorded],0)</f>
        <v>0</v>
      </c>
      <c r="AN222" s="11">
        <f>_xlfn.XLOOKUP(TableDailySummary[[#This Row],[Fecha]],SummaryDaily[day],SummaryDaily[cost_of_goods_sold],0)</f>
        <v>0</v>
      </c>
      <c r="AO222" s="11">
        <f>_xlfn.XLOOKUP(TableDailySummary[[#This Row],[Fecha]],SummaryDaily[day],SummaryDaily[gross_profit],0)</f>
        <v>0</v>
      </c>
      <c r="AP222" s="18">
        <f>IFERROR(TableDailySummary[[#This Row],[Utilidad bruta]]/TableDailySummary[[#This Row],[Ventas netas con costo registrado]],0)</f>
        <v>0</v>
      </c>
    </row>
    <row r="223" spans="2:42" x14ac:dyDescent="0.2">
      <c r="B223" s="15" cm="1">
        <f t="array" ref="B223">ParamFechaInicioReporte + (ROW(TableDailySummary[#This Row]) - ROW(TableDailySummary[[#Headers],[Dia]]) - 1)</f>
        <v>44750</v>
      </c>
      <c r="C223" s="6">
        <f>TableDailySummary[[#This Row],[Dia]]</f>
        <v>44750</v>
      </c>
      <c r="D223" s="11">
        <f>_xlfn.XLOOKUP(TableDailySummary[[#This Row],[Fecha]],SummaryDaily[day],SummaryDaily[net_sales],0)</f>
        <v>0</v>
      </c>
      <c r="E223" s="11">
        <f>_xlfn.XLOOKUP(TableDailySummary[[#This Row],[Fecha]],SummaryDaily[day],SummaryDaily[orders],0)</f>
        <v>0</v>
      </c>
      <c r="F223" s="11">
        <f>_xlfn.XLOOKUP(TableDailySummary[[#This Row],[Fecha]],SummaryDaily[day],SummaryDaily[average_order_value],0)</f>
        <v>0</v>
      </c>
      <c r="G223" s="24" cm="1">
        <f t="array" ref="G223">_xlfn.XLOOKUP(TableDailySummary[[#This Row],[Fecha]]&amp;"Total site",ConversionRateByReferral[day]&amp;ConversionRateByReferral[referrer_source],ConversionRateByReferral[conversion_rate],0)</f>
        <v>0</v>
      </c>
      <c r="H223" s="11">
        <f>TableDailySummary[[#This Row],[Órden promedio totales]]*TableDailySummary[[#This Row],[CR totales]]</f>
        <v>0</v>
      </c>
      <c r="I223" s="11">
        <f>_xlfn.XLOOKUP(TableDailySummary[[#This Row],[Fecha]],SummaryDaily[day],SummaryDaily[new_net_sales],0)</f>
        <v>0</v>
      </c>
      <c r="J223" s="11">
        <f>_xlfn.XLOOKUP(TableDailySummary[[#This Row],[Fecha]],SummaryDaily[day],SummaryDaily[new_orders],0)</f>
        <v>0</v>
      </c>
      <c r="K223" s="11">
        <f>_xlfn.XLOOKUP(TableDailySummary[[#This Row],[Fecha]],SummaryDaily[day],SummaryDaily[new_average_order_value],0)</f>
        <v>0</v>
      </c>
      <c r="L223" s="11">
        <f>_xlfn.XLOOKUP(TableDailySummary[[#This Row],[Fecha]],SummaryDaily[day],SummaryDaily[Online Store_net_sales],0)</f>
        <v>0</v>
      </c>
      <c r="M223" s="11">
        <f>_xlfn.XLOOKUP(TableDailySummary[[#This Row],[Fecha]],SummaryDaily[day],SummaryDaily[Online Store_orders],0)</f>
        <v>0</v>
      </c>
      <c r="N223" s="11">
        <f>_xlfn.XLOOKUP(TableDailySummary[[#This Row],[Fecha]],SummaryDaily[day],SummaryDaily[Online Store_average_order_value],0)</f>
        <v>0</v>
      </c>
      <c r="O223" s="11">
        <f>_xlfn.XLOOKUP(TableDailySummary[[#This Row],[Fecha]],SummaryDaily[day],SummaryDaily[Tienda 81_net_sales],0)</f>
        <v>0</v>
      </c>
      <c r="P223" s="11">
        <f>_xlfn.XLOOKUP(TableDailySummary[[#This Row],[Fecha]],SummaryDaily[day],SummaryDaily[Tienda 81_orders],0)</f>
        <v>0</v>
      </c>
      <c r="Q223" s="11">
        <f>_xlfn.XLOOKUP(TableDailySummary[[#This Row],[Fecha]],SummaryDaily[day],SummaryDaily[Tienda 81_average_order_value],0)</f>
        <v>0</v>
      </c>
      <c r="R223" s="11">
        <f>_xlfn.XLOOKUP(TableDailySummary[[#This Row],[Fecha]],SummaryDaily[day],SummaryDaily[Rappi_net_sales],0)</f>
        <v>0</v>
      </c>
      <c r="S223" s="11">
        <f>_xlfn.XLOOKUP(TableDailySummary[[#This Row],[Fecha]],SummaryDaily[day],SummaryDaily[Rappi_orders],0)</f>
        <v>0</v>
      </c>
      <c r="T223" s="11">
        <f>_xlfn.XLOOKUP(TableDailySummary[[#This Row],[Fecha]],SummaryDaily[day],SummaryDaily[Rappi_average_order_value],0)</f>
        <v>0</v>
      </c>
      <c r="U223" s="11">
        <f>_xlfn.XLOOKUP(TableDailySummary[[#This Row],[Fecha]],SummaryDaily[day],SummaryDaily[Corporativo no tienda_net_sales],0)</f>
        <v>0</v>
      </c>
      <c r="V223" s="11">
        <f>_xlfn.XLOOKUP(TableDailySummary[[#This Row],[Fecha]],SummaryDaily[day],SummaryDaily[Corporativo no tienda_orders],0)</f>
        <v>0</v>
      </c>
      <c r="W223" s="11">
        <f>_xlfn.XLOOKUP(TableDailySummary[[#This Row],[Fecha]],SummaryDaily[day],SummaryDaily[Corporativo no tienda_average_order_value],0)</f>
        <v>0</v>
      </c>
      <c r="X223" s="11">
        <f>_xlfn.XLOOKUP(TableDailySummary[[#This Row],[Fecha]],SummaryDaily[day],SummaryDaily[GoogleAdsOperation.Cost],0)</f>
        <v>0</v>
      </c>
      <c r="Y223" s="11">
        <f>SUMIFS(SalesByUTMDaily[google],SalesByUTMDaily[day],TableDailySummary[[#This Row],[Fecha]])</f>
        <v>0</v>
      </c>
      <c r="Z223" s="11">
        <f>_xlfn.XLOOKUP(TableDailySummary[[#This Row],[Fecha]],SummaryDaily[day],SummaryDaily[MetaAdsOperation.spend],0)</f>
        <v>0</v>
      </c>
      <c r="AA223" s="11">
        <f>SUMIFS(SalesByUTMDaily[facebook],SalesByUTMDaily[day],TableDailySummary[[#This Row],[Fecha]])</f>
        <v>0</v>
      </c>
      <c r="AB223" s="11">
        <f>TableDailySummary[[#This Row],[Inversión google ads]]+TableDailySummary[[#This Row],[Inversión meta ads]]</f>
        <v>0</v>
      </c>
      <c r="AC223" s="11">
        <f>TableDailySummary[[#This Row],[Ventas google ads]]+TableDailySummary[[#This Row],[Ventas meta ads]]</f>
        <v>0</v>
      </c>
      <c r="AD223" s="14">
        <f>IFERROR(TableDailySummary[[#This Row],[Ventas publicidad]]/TableDailySummary[[#This Row],[Inversión publicidad]],0)</f>
        <v>0</v>
      </c>
      <c r="AE223" s="14">
        <f>IFERROR(TableDailySummary[[#This Row],[Ventas primer cliente]]/TableDailySummary[[#This Row],[Inversión publicidad]],0)</f>
        <v>0</v>
      </c>
      <c r="AF223" s="14"/>
      <c r="AG223" s="11"/>
      <c r="AM223" s="11">
        <f>_xlfn.XLOOKUP(TableDailySummary[[#This Row],[Fecha]],SummaryDaily[day],SummaryDaily[net_sales_with_cost_recorded],0)</f>
        <v>0</v>
      </c>
      <c r="AN223" s="11">
        <f>_xlfn.XLOOKUP(TableDailySummary[[#This Row],[Fecha]],SummaryDaily[day],SummaryDaily[cost_of_goods_sold],0)</f>
        <v>0</v>
      </c>
      <c r="AO223" s="11">
        <f>_xlfn.XLOOKUP(TableDailySummary[[#This Row],[Fecha]],SummaryDaily[day],SummaryDaily[gross_profit],0)</f>
        <v>0</v>
      </c>
      <c r="AP223" s="18">
        <f>IFERROR(TableDailySummary[[#This Row],[Utilidad bruta]]/TableDailySummary[[#This Row],[Ventas netas con costo registrado]],0)</f>
        <v>0</v>
      </c>
    </row>
    <row r="224" spans="2:42" x14ac:dyDescent="0.2">
      <c r="B224" s="15" cm="1">
        <f t="array" ref="B224">ParamFechaInicioReporte + (ROW(TableDailySummary[#This Row]) - ROW(TableDailySummary[[#Headers],[Dia]]) - 1)</f>
        <v>44751</v>
      </c>
      <c r="C224" s="6">
        <f>TableDailySummary[[#This Row],[Dia]]</f>
        <v>44751</v>
      </c>
      <c r="D224" s="11">
        <f>_xlfn.XLOOKUP(TableDailySummary[[#This Row],[Fecha]],SummaryDaily[day],SummaryDaily[net_sales],0)</f>
        <v>0</v>
      </c>
      <c r="E224" s="11">
        <f>_xlfn.XLOOKUP(TableDailySummary[[#This Row],[Fecha]],SummaryDaily[day],SummaryDaily[orders],0)</f>
        <v>0</v>
      </c>
      <c r="F224" s="11">
        <f>_xlfn.XLOOKUP(TableDailySummary[[#This Row],[Fecha]],SummaryDaily[day],SummaryDaily[average_order_value],0)</f>
        <v>0</v>
      </c>
      <c r="G224" s="24" cm="1">
        <f t="array" ref="G224">_xlfn.XLOOKUP(TableDailySummary[[#This Row],[Fecha]]&amp;"Total site",ConversionRateByReferral[day]&amp;ConversionRateByReferral[referrer_source],ConversionRateByReferral[conversion_rate],0)</f>
        <v>0</v>
      </c>
      <c r="H224" s="11">
        <f>TableDailySummary[[#This Row],[Órden promedio totales]]*TableDailySummary[[#This Row],[CR totales]]</f>
        <v>0</v>
      </c>
      <c r="I224" s="11">
        <f>_xlfn.XLOOKUP(TableDailySummary[[#This Row],[Fecha]],SummaryDaily[day],SummaryDaily[new_net_sales],0)</f>
        <v>0</v>
      </c>
      <c r="J224" s="11">
        <f>_xlfn.XLOOKUP(TableDailySummary[[#This Row],[Fecha]],SummaryDaily[day],SummaryDaily[new_orders],0)</f>
        <v>0</v>
      </c>
      <c r="K224" s="11">
        <f>_xlfn.XLOOKUP(TableDailySummary[[#This Row],[Fecha]],SummaryDaily[day],SummaryDaily[new_average_order_value],0)</f>
        <v>0</v>
      </c>
      <c r="L224" s="11">
        <f>_xlfn.XLOOKUP(TableDailySummary[[#This Row],[Fecha]],SummaryDaily[day],SummaryDaily[Online Store_net_sales],0)</f>
        <v>0</v>
      </c>
      <c r="M224" s="11">
        <f>_xlfn.XLOOKUP(TableDailySummary[[#This Row],[Fecha]],SummaryDaily[day],SummaryDaily[Online Store_orders],0)</f>
        <v>0</v>
      </c>
      <c r="N224" s="11">
        <f>_xlfn.XLOOKUP(TableDailySummary[[#This Row],[Fecha]],SummaryDaily[day],SummaryDaily[Online Store_average_order_value],0)</f>
        <v>0</v>
      </c>
      <c r="O224" s="11">
        <f>_xlfn.XLOOKUP(TableDailySummary[[#This Row],[Fecha]],SummaryDaily[day],SummaryDaily[Tienda 81_net_sales],0)</f>
        <v>0</v>
      </c>
      <c r="P224" s="11">
        <f>_xlfn.XLOOKUP(TableDailySummary[[#This Row],[Fecha]],SummaryDaily[day],SummaryDaily[Tienda 81_orders],0)</f>
        <v>0</v>
      </c>
      <c r="Q224" s="11">
        <f>_xlfn.XLOOKUP(TableDailySummary[[#This Row],[Fecha]],SummaryDaily[day],SummaryDaily[Tienda 81_average_order_value],0)</f>
        <v>0</v>
      </c>
      <c r="R224" s="11">
        <f>_xlfn.XLOOKUP(TableDailySummary[[#This Row],[Fecha]],SummaryDaily[day],SummaryDaily[Rappi_net_sales],0)</f>
        <v>0</v>
      </c>
      <c r="S224" s="11">
        <f>_xlfn.XLOOKUP(TableDailySummary[[#This Row],[Fecha]],SummaryDaily[day],SummaryDaily[Rappi_orders],0)</f>
        <v>0</v>
      </c>
      <c r="T224" s="11">
        <f>_xlfn.XLOOKUP(TableDailySummary[[#This Row],[Fecha]],SummaryDaily[day],SummaryDaily[Rappi_average_order_value],0)</f>
        <v>0</v>
      </c>
      <c r="U224" s="11">
        <f>_xlfn.XLOOKUP(TableDailySummary[[#This Row],[Fecha]],SummaryDaily[day],SummaryDaily[Corporativo no tienda_net_sales],0)</f>
        <v>0</v>
      </c>
      <c r="V224" s="11">
        <f>_xlfn.XLOOKUP(TableDailySummary[[#This Row],[Fecha]],SummaryDaily[day],SummaryDaily[Corporativo no tienda_orders],0)</f>
        <v>0</v>
      </c>
      <c r="W224" s="11">
        <f>_xlfn.XLOOKUP(TableDailySummary[[#This Row],[Fecha]],SummaryDaily[day],SummaryDaily[Corporativo no tienda_average_order_value],0)</f>
        <v>0</v>
      </c>
      <c r="X224" s="11">
        <f>_xlfn.XLOOKUP(TableDailySummary[[#This Row],[Fecha]],SummaryDaily[day],SummaryDaily[GoogleAdsOperation.Cost],0)</f>
        <v>0</v>
      </c>
      <c r="Y224" s="11">
        <f>SUMIFS(SalesByUTMDaily[google],SalesByUTMDaily[day],TableDailySummary[[#This Row],[Fecha]])</f>
        <v>0</v>
      </c>
      <c r="Z224" s="11">
        <f>_xlfn.XLOOKUP(TableDailySummary[[#This Row],[Fecha]],SummaryDaily[day],SummaryDaily[MetaAdsOperation.spend],0)</f>
        <v>0</v>
      </c>
      <c r="AA224" s="11">
        <f>SUMIFS(SalesByUTMDaily[facebook],SalesByUTMDaily[day],TableDailySummary[[#This Row],[Fecha]])</f>
        <v>0</v>
      </c>
      <c r="AB224" s="11">
        <f>TableDailySummary[[#This Row],[Inversión google ads]]+TableDailySummary[[#This Row],[Inversión meta ads]]</f>
        <v>0</v>
      </c>
      <c r="AC224" s="11">
        <f>TableDailySummary[[#This Row],[Ventas google ads]]+TableDailySummary[[#This Row],[Ventas meta ads]]</f>
        <v>0</v>
      </c>
      <c r="AD224" s="14">
        <f>IFERROR(TableDailySummary[[#This Row],[Ventas publicidad]]/TableDailySummary[[#This Row],[Inversión publicidad]],0)</f>
        <v>0</v>
      </c>
      <c r="AE224" s="14">
        <f>IFERROR(TableDailySummary[[#This Row],[Ventas primer cliente]]/TableDailySummary[[#This Row],[Inversión publicidad]],0)</f>
        <v>0</v>
      </c>
      <c r="AF224" s="14"/>
      <c r="AG224" s="11"/>
      <c r="AM224" s="11">
        <f>_xlfn.XLOOKUP(TableDailySummary[[#This Row],[Fecha]],SummaryDaily[day],SummaryDaily[net_sales_with_cost_recorded],0)</f>
        <v>0</v>
      </c>
      <c r="AN224" s="11">
        <f>_xlfn.XLOOKUP(TableDailySummary[[#This Row],[Fecha]],SummaryDaily[day],SummaryDaily[cost_of_goods_sold],0)</f>
        <v>0</v>
      </c>
      <c r="AO224" s="11">
        <f>_xlfn.XLOOKUP(TableDailySummary[[#This Row],[Fecha]],SummaryDaily[day],SummaryDaily[gross_profit],0)</f>
        <v>0</v>
      </c>
      <c r="AP224" s="18">
        <f>IFERROR(TableDailySummary[[#This Row],[Utilidad bruta]]/TableDailySummary[[#This Row],[Ventas netas con costo registrado]],0)</f>
        <v>0</v>
      </c>
    </row>
    <row r="225" spans="2:42" x14ac:dyDescent="0.2">
      <c r="B225" s="15" cm="1">
        <f t="array" ref="B225">ParamFechaInicioReporte + (ROW(TableDailySummary[#This Row]) - ROW(TableDailySummary[[#Headers],[Dia]]) - 1)</f>
        <v>44752</v>
      </c>
      <c r="C225" s="6">
        <f>TableDailySummary[[#This Row],[Dia]]</f>
        <v>44752</v>
      </c>
      <c r="D225" s="11">
        <f>_xlfn.XLOOKUP(TableDailySummary[[#This Row],[Fecha]],SummaryDaily[day],SummaryDaily[net_sales],0)</f>
        <v>0</v>
      </c>
      <c r="E225" s="11">
        <f>_xlfn.XLOOKUP(TableDailySummary[[#This Row],[Fecha]],SummaryDaily[day],SummaryDaily[orders],0)</f>
        <v>0</v>
      </c>
      <c r="F225" s="11">
        <f>_xlfn.XLOOKUP(TableDailySummary[[#This Row],[Fecha]],SummaryDaily[day],SummaryDaily[average_order_value],0)</f>
        <v>0</v>
      </c>
      <c r="G225" s="24" cm="1">
        <f t="array" ref="G225">_xlfn.XLOOKUP(TableDailySummary[[#This Row],[Fecha]]&amp;"Total site",ConversionRateByReferral[day]&amp;ConversionRateByReferral[referrer_source],ConversionRateByReferral[conversion_rate],0)</f>
        <v>0</v>
      </c>
      <c r="H225" s="11">
        <f>TableDailySummary[[#This Row],[Órden promedio totales]]*TableDailySummary[[#This Row],[CR totales]]</f>
        <v>0</v>
      </c>
      <c r="I225" s="11">
        <f>_xlfn.XLOOKUP(TableDailySummary[[#This Row],[Fecha]],SummaryDaily[day],SummaryDaily[new_net_sales],0)</f>
        <v>0</v>
      </c>
      <c r="J225" s="11">
        <f>_xlfn.XLOOKUP(TableDailySummary[[#This Row],[Fecha]],SummaryDaily[day],SummaryDaily[new_orders],0)</f>
        <v>0</v>
      </c>
      <c r="K225" s="11">
        <f>_xlfn.XLOOKUP(TableDailySummary[[#This Row],[Fecha]],SummaryDaily[day],SummaryDaily[new_average_order_value],0)</f>
        <v>0</v>
      </c>
      <c r="L225" s="11">
        <f>_xlfn.XLOOKUP(TableDailySummary[[#This Row],[Fecha]],SummaryDaily[day],SummaryDaily[Online Store_net_sales],0)</f>
        <v>0</v>
      </c>
      <c r="M225" s="11">
        <f>_xlfn.XLOOKUP(TableDailySummary[[#This Row],[Fecha]],SummaryDaily[day],SummaryDaily[Online Store_orders],0)</f>
        <v>0</v>
      </c>
      <c r="N225" s="11">
        <f>_xlfn.XLOOKUP(TableDailySummary[[#This Row],[Fecha]],SummaryDaily[day],SummaryDaily[Online Store_average_order_value],0)</f>
        <v>0</v>
      </c>
      <c r="O225" s="11">
        <f>_xlfn.XLOOKUP(TableDailySummary[[#This Row],[Fecha]],SummaryDaily[day],SummaryDaily[Tienda 81_net_sales],0)</f>
        <v>0</v>
      </c>
      <c r="P225" s="11">
        <f>_xlfn.XLOOKUP(TableDailySummary[[#This Row],[Fecha]],SummaryDaily[day],SummaryDaily[Tienda 81_orders],0)</f>
        <v>0</v>
      </c>
      <c r="Q225" s="11">
        <f>_xlfn.XLOOKUP(TableDailySummary[[#This Row],[Fecha]],SummaryDaily[day],SummaryDaily[Tienda 81_average_order_value],0)</f>
        <v>0</v>
      </c>
      <c r="R225" s="11">
        <f>_xlfn.XLOOKUP(TableDailySummary[[#This Row],[Fecha]],SummaryDaily[day],SummaryDaily[Rappi_net_sales],0)</f>
        <v>0</v>
      </c>
      <c r="S225" s="11">
        <f>_xlfn.XLOOKUP(TableDailySummary[[#This Row],[Fecha]],SummaryDaily[day],SummaryDaily[Rappi_orders],0)</f>
        <v>0</v>
      </c>
      <c r="T225" s="11">
        <f>_xlfn.XLOOKUP(TableDailySummary[[#This Row],[Fecha]],SummaryDaily[day],SummaryDaily[Rappi_average_order_value],0)</f>
        <v>0</v>
      </c>
      <c r="U225" s="11">
        <f>_xlfn.XLOOKUP(TableDailySummary[[#This Row],[Fecha]],SummaryDaily[day],SummaryDaily[Corporativo no tienda_net_sales],0)</f>
        <v>0</v>
      </c>
      <c r="V225" s="11">
        <f>_xlfn.XLOOKUP(TableDailySummary[[#This Row],[Fecha]],SummaryDaily[day],SummaryDaily[Corporativo no tienda_orders],0)</f>
        <v>0</v>
      </c>
      <c r="W225" s="11">
        <f>_xlfn.XLOOKUP(TableDailySummary[[#This Row],[Fecha]],SummaryDaily[day],SummaryDaily[Corporativo no tienda_average_order_value],0)</f>
        <v>0</v>
      </c>
      <c r="X225" s="11">
        <f>_xlfn.XLOOKUP(TableDailySummary[[#This Row],[Fecha]],SummaryDaily[day],SummaryDaily[GoogleAdsOperation.Cost],0)</f>
        <v>0</v>
      </c>
      <c r="Y225" s="11">
        <f>SUMIFS(SalesByUTMDaily[google],SalesByUTMDaily[day],TableDailySummary[[#This Row],[Fecha]])</f>
        <v>0</v>
      </c>
      <c r="Z225" s="11">
        <f>_xlfn.XLOOKUP(TableDailySummary[[#This Row],[Fecha]],SummaryDaily[day],SummaryDaily[MetaAdsOperation.spend],0)</f>
        <v>0</v>
      </c>
      <c r="AA225" s="11">
        <f>SUMIFS(SalesByUTMDaily[facebook],SalesByUTMDaily[day],TableDailySummary[[#This Row],[Fecha]])</f>
        <v>0</v>
      </c>
      <c r="AB225" s="11">
        <f>TableDailySummary[[#This Row],[Inversión google ads]]+TableDailySummary[[#This Row],[Inversión meta ads]]</f>
        <v>0</v>
      </c>
      <c r="AC225" s="11">
        <f>TableDailySummary[[#This Row],[Ventas google ads]]+TableDailySummary[[#This Row],[Ventas meta ads]]</f>
        <v>0</v>
      </c>
      <c r="AD225" s="14">
        <f>IFERROR(TableDailySummary[[#This Row],[Ventas publicidad]]/TableDailySummary[[#This Row],[Inversión publicidad]],0)</f>
        <v>0</v>
      </c>
      <c r="AE225" s="14">
        <f>IFERROR(TableDailySummary[[#This Row],[Ventas primer cliente]]/TableDailySummary[[#This Row],[Inversión publicidad]],0)</f>
        <v>0</v>
      </c>
      <c r="AF225" s="14"/>
      <c r="AG225" s="11"/>
      <c r="AM225" s="11">
        <f>_xlfn.XLOOKUP(TableDailySummary[[#This Row],[Fecha]],SummaryDaily[day],SummaryDaily[net_sales_with_cost_recorded],0)</f>
        <v>0</v>
      </c>
      <c r="AN225" s="11">
        <f>_xlfn.XLOOKUP(TableDailySummary[[#This Row],[Fecha]],SummaryDaily[day],SummaryDaily[cost_of_goods_sold],0)</f>
        <v>0</v>
      </c>
      <c r="AO225" s="11">
        <f>_xlfn.XLOOKUP(TableDailySummary[[#This Row],[Fecha]],SummaryDaily[day],SummaryDaily[gross_profit],0)</f>
        <v>0</v>
      </c>
      <c r="AP225" s="18">
        <f>IFERROR(TableDailySummary[[#This Row],[Utilidad bruta]]/TableDailySummary[[#This Row],[Ventas netas con costo registrado]],0)</f>
        <v>0</v>
      </c>
    </row>
    <row r="226" spans="2:42" x14ac:dyDescent="0.2">
      <c r="B226" s="15" cm="1">
        <f t="array" ref="B226">ParamFechaInicioReporte + (ROW(TableDailySummary[#This Row]) - ROW(TableDailySummary[[#Headers],[Dia]]) - 1)</f>
        <v>44753</v>
      </c>
      <c r="C226" s="6">
        <f>TableDailySummary[[#This Row],[Dia]]</f>
        <v>44753</v>
      </c>
      <c r="D226" s="11">
        <f>_xlfn.XLOOKUP(TableDailySummary[[#This Row],[Fecha]],SummaryDaily[day],SummaryDaily[net_sales],0)</f>
        <v>0</v>
      </c>
      <c r="E226" s="11">
        <f>_xlfn.XLOOKUP(TableDailySummary[[#This Row],[Fecha]],SummaryDaily[day],SummaryDaily[orders],0)</f>
        <v>0</v>
      </c>
      <c r="F226" s="11">
        <f>_xlfn.XLOOKUP(TableDailySummary[[#This Row],[Fecha]],SummaryDaily[day],SummaryDaily[average_order_value],0)</f>
        <v>0</v>
      </c>
      <c r="G226" s="24" cm="1">
        <f t="array" ref="G226">_xlfn.XLOOKUP(TableDailySummary[[#This Row],[Fecha]]&amp;"Total site",ConversionRateByReferral[day]&amp;ConversionRateByReferral[referrer_source],ConversionRateByReferral[conversion_rate],0)</f>
        <v>0</v>
      </c>
      <c r="H226" s="11">
        <f>TableDailySummary[[#This Row],[Órden promedio totales]]*TableDailySummary[[#This Row],[CR totales]]</f>
        <v>0</v>
      </c>
      <c r="I226" s="11">
        <f>_xlfn.XLOOKUP(TableDailySummary[[#This Row],[Fecha]],SummaryDaily[day],SummaryDaily[new_net_sales],0)</f>
        <v>0</v>
      </c>
      <c r="J226" s="11">
        <f>_xlfn.XLOOKUP(TableDailySummary[[#This Row],[Fecha]],SummaryDaily[day],SummaryDaily[new_orders],0)</f>
        <v>0</v>
      </c>
      <c r="K226" s="11">
        <f>_xlfn.XLOOKUP(TableDailySummary[[#This Row],[Fecha]],SummaryDaily[day],SummaryDaily[new_average_order_value],0)</f>
        <v>0</v>
      </c>
      <c r="L226" s="11">
        <f>_xlfn.XLOOKUP(TableDailySummary[[#This Row],[Fecha]],SummaryDaily[day],SummaryDaily[Online Store_net_sales],0)</f>
        <v>0</v>
      </c>
      <c r="M226" s="11">
        <f>_xlfn.XLOOKUP(TableDailySummary[[#This Row],[Fecha]],SummaryDaily[day],SummaryDaily[Online Store_orders],0)</f>
        <v>0</v>
      </c>
      <c r="N226" s="11">
        <f>_xlfn.XLOOKUP(TableDailySummary[[#This Row],[Fecha]],SummaryDaily[day],SummaryDaily[Online Store_average_order_value],0)</f>
        <v>0</v>
      </c>
      <c r="O226" s="11">
        <f>_xlfn.XLOOKUP(TableDailySummary[[#This Row],[Fecha]],SummaryDaily[day],SummaryDaily[Tienda 81_net_sales],0)</f>
        <v>0</v>
      </c>
      <c r="P226" s="11">
        <f>_xlfn.XLOOKUP(TableDailySummary[[#This Row],[Fecha]],SummaryDaily[day],SummaryDaily[Tienda 81_orders],0)</f>
        <v>0</v>
      </c>
      <c r="Q226" s="11">
        <f>_xlfn.XLOOKUP(TableDailySummary[[#This Row],[Fecha]],SummaryDaily[day],SummaryDaily[Tienda 81_average_order_value],0)</f>
        <v>0</v>
      </c>
      <c r="R226" s="11">
        <f>_xlfn.XLOOKUP(TableDailySummary[[#This Row],[Fecha]],SummaryDaily[day],SummaryDaily[Rappi_net_sales],0)</f>
        <v>0</v>
      </c>
      <c r="S226" s="11">
        <f>_xlfn.XLOOKUP(TableDailySummary[[#This Row],[Fecha]],SummaryDaily[day],SummaryDaily[Rappi_orders],0)</f>
        <v>0</v>
      </c>
      <c r="T226" s="11">
        <f>_xlfn.XLOOKUP(TableDailySummary[[#This Row],[Fecha]],SummaryDaily[day],SummaryDaily[Rappi_average_order_value],0)</f>
        <v>0</v>
      </c>
      <c r="U226" s="11">
        <f>_xlfn.XLOOKUP(TableDailySummary[[#This Row],[Fecha]],SummaryDaily[day],SummaryDaily[Corporativo no tienda_net_sales],0)</f>
        <v>0</v>
      </c>
      <c r="V226" s="11">
        <f>_xlfn.XLOOKUP(TableDailySummary[[#This Row],[Fecha]],SummaryDaily[day],SummaryDaily[Corporativo no tienda_orders],0)</f>
        <v>0</v>
      </c>
      <c r="W226" s="11">
        <f>_xlfn.XLOOKUP(TableDailySummary[[#This Row],[Fecha]],SummaryDaily[day],SummaryDaily[Corporativo no tienda_average_order_value],0)</f>
        <v>0</v>
      </c>
      <c r="X226" s="11">
        <f>_xlfn.XLOOKUP(TableDailySummary[[#This Row],[Fecha]],SummaryDaily[day],SummaryDaily[GoogleAdsOperation.Cost],0)</f>
        <v>0</v>
      </c>
      <c r="Y226" s="11">
        <f>SUMIFS(SalesByUTMDaily[google],SalesByUTMDaily[day],TableDailySummary[[#This Row],[Fecha]])</f>
        <v>0</v>
      </c>
      <c r="Z226" s="11">
        <f>_xlfn.XLOOKUP(TableDailySummary[[#This Row],[Fecha]],SummaryDaily[day],SummaryDaily[MetaAdsOperation.spend],0)</f>
        <v>0</v>
      </c>
      <c r="AA226" s="11">
        <f>SUMIFS(SalesByUTMDaily[facebook],SalesByUTMDaily[day],TableDailySummary[[#This Row],[Fecha]])</f>
        <v>0</v>
      </c>
      <c r="AB226" s="11">
        <f>TableDailySummary[[#This Row],[Inversión google ads]]+TableDailySummary[[#This Row],[Inversión meta ads]]</f>
        <v>0</v>
      </c>
      <c r="AC226" s="11">
        <f>TableDailySummary[[#This Row],[Ventas google ads]]+TableDailySummary[[#This Row],[Ventas meta ads]]</f>
        <v>0</v>
      </c>
      <c r="AD226" s="14">
        <f>IFERROR(TableDailySummary[[#This Row],[Ventas publicidad]]/TableDailySummary[[#This Row],[Inversión publicidad]],0)</f>
        <v>0</v>
      </c>
      <c r="AE226" s="14">
        <f>IFERROR(TableDailySummary[[#This Row],[Ventas primer cliente]]/TableDailySummary[[#This Row],[Inversión publicidad]],0)</f>
        <v>0</v>
      </c>
      <c r="AF226" s="14"/>
      <c r="AG226" s="11"/>
      <c r="AM226" s="11">
        <f>_xlfn.XLOOKUP(TableDailySummary[[#This Row],[Fecha]],SummaryDaily[day],SummaryDaily[net_sales_with_cost_recorded],0)</f>
        <v>0</v>
      </c>
      <c r="AN226" s="11">
        <f>_xlfn.XLOOKUP(TableDailySummary[[#This Row],[Fecha]],SummaryDaily[day],SummaryDaily[cost_of_goods_sold],0)</f>
        <v>0</v>
      </c>
      <c r="AO226" s="11">
        <f>_xlfn.XLOOKUP(TableDailySummary[[#This Row],[Fecha]],SummaryDaily[day],SummaryDaily[gross_profit],0)</f>
        <v>0</v>
      </c>
      <c r="AP226" s="18">
        <f>IFERROR(TableDailySummary[[#This Row],[Utilidad bruta]]/TableDailySummary[[#This Row],[Ventas netas con costo registrado]],0)</f>
        <v>0</v>
      </c>
    </row>
    <row r="227" spans="2:42" x14ac:dyDescent="0.2">
      <c r="B227" s="15" cm="1">
        <f t="array" ref="B227">ParamFechaInicioReporte + (ROW(TableDailySummary[#This Row]) - ROW(TableDailySummary[[#Headers],[Dia]]) - 1)</f>
        <v>44754</v>
      </c>
      <c r="C227" s="6">
        <f>TableDailySummary[[#This Row],[Dia]]</f>
        <v>44754</v>
      </c>
      <c r="D227" s="11">
        <f>_xlfn.XLOOKUP(TableDailySummary[[#This Row],[Fecha]],SummaryDaily[day],SummaryDaily[net_sales],0)</f>
        <v>0</v>
      </c>
      <c r="E227" s="11">
        <f>_xlfn.XLOOKUP(TableDailySummary[[#This Row],[Fecha]],SummaryDaily[day],SummaryDaily[orders],0)</f>
        <v>0</v>
      </c>
      <c r="F227" s="11">
        <f>_xlfn.XLOOKUP(TableDailySummary[[#This Row],[Fecha]],SummaryDaily[day],SummaryDaily[average_order_value],0)</f>
        <v>0</v>
      </c>
      <c r="G227" s="24" cm="1">
        <f t="array" ref="G227">_xlfn.XLOOKUP(TableDailySummary[[#This Row],[Fecha]]&amp;"Total site",ConversionRateByReferral[day]&amp;ConversionRateByReferral[referrer_source],ConversionRateByReferral[conversion_rate],0)</f>
        <v>0</v>
      </c>
      <c r="H227" s="11">
        <f>TableDailySummary[[#This Row],[Órden promedio totales]]*TableDailySummary[[#This Row],[CR totales]]</f>
        <v>0</v>
      </c>
      <c r="I227" s="11">
        <f>_xlfn.XLOOKUP(TableDailySummary[[#This Row],[Fecha]],SummaryDaily[day],SummaryDaily[new_net_sales],0)</f>
        <v>0</v>
      </c>
      <c r="J227" s="11">
        <f>_xlfn.XLOOKUP(TableDailySummary[[#This Row],[Fecha]],SummaryDaily[day],SummaryDaily[new_orders],0)</f>
        <v>0</v>
      </c>
      <c r="K227" s="11">
        <f>_xlfn.XLOOKUP(TableDailySummary[[#This Row],[Fecha]],SummaryDaily[day],SummaryDaily[new_average_order_value],0)</f>
        <v>0</v>
      </c>
      <c r="L227" s="11">
        <f>_xlfn.XLOOKUP(TableDailySummary[[#This Row],[Fecha]],SummaryDaily[day],SummaryDaily[Online Store_net_sales],0)</f>
        <v>0</v>
      </c>
      <c r="M227" s="11">
        <f>_xlfn.XLOOKUP(TableDailySummary[[#This Row],[Fecha]],SummaryDaily[day],SummaryDaily[Online Store_orders],0)</f>
        <v>0</v>
      </c>
      <c r="N227" s="11">
        <f>_xlfn.XLOOKUP(TableDailySummary[[#This Row],[Fecha]],SummaryDaily[day],SummaryDaily[Online Store_average_order_value],0)</f>
        <v>0</v>
      </c>
      <c r="O227" s="11">
        <f>_xlfn.XLOOKUP(TableDailySummary[[#This Row],[Fecha]],SummaryDaily[day],SummaryDaily[Tienda 81_net_sales],0)</f>
        <v>0</v>
      </c>
      <c r="P227" s="11">
        <f>_xlfn.XLOOKUP(TableDailySummary[[#This Row],[Fecha]],SummaryDaily[day],SummaryDaily[Tienda 81_orders],0)</f>
        <v>0</v>
      </c>
      <c r="Q227" s="11">
        <f>_xlfn.XLOOKUP(TableDailySummary[[#This Row],[Fecha]],SummaryDaily[day],SummaryDaily[Tienda 81_average_order_value],0)</f>
        <v>0</v>
      </c>
      <c r="R227" s="11">
        <f>_xlfn.XLOOKUP(TableDailySummary[[#This Row],[Fecha]],SummaryDaily[day],SummaryDaily[Rappi_net_sales],0)</f>
        <v>0</v>
      </c>
      <c r="S227" s="11">
        <f>_xlfn.XLOOKUP(TableDailySummary[[#This Row],[Fecha]],SummaryDaily[day],SummaryDaily[Rappi_orders],0)</f>
        <v>0</v>
      </c>
      <c r="T227" s="11">
        <f>_xlfn.XLOOKUP(TableDailySummary[[#This Row],[Fecha]],SummaryDaily[day],SummaryDaily[Rappi_average_order_value],0)</f>
        <v>0</v>
      </c>
      <c r="U227" s="11">
        <f>_xlfn.XLOOKUP(TableDailySummary[[#This Row],[Fecha]],SummaryDaily[day],SummaryDaily[Corporativo no tienda_net_sales],0)</f>
        <v>0</v>
      </c>
      <c r="V227" s="11">
        <f>_xlfn.XLOOKUP(TableDailySummary[[#This Row],[Fecha]],SummaryDaily[day],SummaryDaily[Corporativo no tienda_orders],0)</f>
        <v>0</v>
      </c>
      <c r="W227" s="11">
        <f>_xlfn.XLOOKUP(TableDailySummary[[#This Row],[Fecha]],SummaryDaily[day],SummaryDaily[Corporativo no tienda_average_order_value],0)</f>
        <v>0</v>
      </c>
      <c r="X227" s="11">
        <f>_xlfn.XLOOKUP(TableDailySummary[[#This Row],[Fecha]],SummaryDaily[day],SummaryDaily[GoogleAdsOperation.Cost],0)</f>
        <v>0</v>
      </c>
      <c r="Y227" s="11">
        <f>SUMIFS(SalesByUTMDaily[google],SalesByUTMDaily[day],TableDailySummary[[#This Row],[Fecha]])</f>
        <v>0</v>
      </c>
      <c r="Z227" s="11">
        <f>_xlfn.XLOOKUP(TableDailySummary[[#This Row],[Fecha]],SummaryDaily[day],SummaryDaily[MetaAdsOperation.spend],0)</f>
        <v>0</v>
      </c>
      <c r="AA227" s="11">
        <f>SUMIFS(SalesByUTMDaily[facebook],SalesByUTMDaily[day],TableDailySummary[[#This Row],[Fecha]])</f>
        <v>0</v>
      </c>
      <c r="AB227" s="11">
        <f>TableDailySummary[[#This Row],[Inversión google ads]]+TableDailySummary[[#This Row],[Inversión meta ads]]</f>
        <v>0</v>
      </c>
      <c r="AC227" s="11">
        <f>TableDailySummary[[#This Row],[Ventas google ads]]+TableDailySummary[[#This Row],[Ventas meta ads]]</f>
        <v>0</v>
      </c>
      <c r="AD227" s="14">
        <f>IFERROR(TableDailySummary[[#This Row],[Ventas publicidad]]/TableDailySummary[[#This Row],[Inversión publicidad]],0)</f>
        <v>0</v>
      </c>
      <c r="AE227" s="14">
        <f>IFERROR(TableDailySummary[[#This Row],[Ventas primer cliente]]/TableDailySummary[[#This Row],[Inversión publicidad]],0)</f>
        <v>0</v>
      </c>
      <c r="AF227" s="14"/>
      <c r="AG227" s="11"/>
      <c r="AM227" s="11">
        <f>_xlfn.XLOOKUP(TableDailySummary[[#This Row],[Fecha]],SummaryDaily[day],SummaryDaily[net_sales_with_cost_recorded],0)</f>
        <v>0</v>
      </c>
      <c r="AN227" s="11">
        <f>_xlfn.XLOOKUP(TableDailySummary[[#This Row],[Fecha]],SummaryDaily[day],SummaryDaily[cost_of_goods_sold],0)</f>
        <v>0</v>
      </c>
      <c r="AO227" s="11">
        <f>_xlfn.XLOOKUP(TableDailySummary[[#This Row],[Fecha]],SummaryDaily[day],SummaryDaily[gross_profit],0)</f>
        <v>0</v>
      </c>
      <c r="AP227" s="18">
        <f>IFERROR(TableDailySummary[[#This Row],[Utilidad bruta]]/TableDailySummary[[#This Row],[Ventas netas con costo registrado]],0)</f>
        <v>0</v>
      </c>
    </row>
    <row r="228" spans="2:42" x14ac:dyDescent="0.2">
      <c r="B228" s="15" cm="1">
        <f t="array" ref="B228">ParamFechaInicioReporte + (ROW(TableDailySummary[#This Row]) - ROW(TableDailySummary[[#Headers],[Dia]]) - 1)</f>
        <v>44755</v>
      </c>
      <c r="C228" s="6">
        <f>TableDailySummary[[#This Row],[Dia]]</f>
        <v>44755</v>
      </c>
      <c r="D228" s="11">
        <f>_xlfn.XLOOKUP(TableDailySummary[[#This Row],[Fecha]],SummaryDaily[day],SummaryDaily[net_sales],0)</f>
        <v>0</v>
      </c>
      <c r="E228" s="11">
        <f>_xlfn.XLOOKUP(TableDailySummary[[#This Row],[Fecha]],SummaryDaily[day],SummaryDaily[orders],0)</f>
        <v>0</v>
      </c>
      <c r="F228" s="11">
        <f>_xlfn.XLOOKUP(TableDailySummary[[#This Row],[Fecha]],SummaryDaily[day],SummaryDaily[average_order_value],0)</f>
        <v>0</v>
      </c>
      <c r="G228" s="24" cm="1">
        <f t="array" ref="G228">_xlfn.XLOOKUP(TableDailySummary[[#This Row],[Fecha]]&amp;"Total site",ConversionRateByReferral[day]&amp;ConversionRateByReferral[referrer_source],ConversionRateByReferral[conversion_rate],0)</f>
        <v>0</v>
      </c>
      <c r="H228" s="11">
        <f>TableDailySummary[[#This Row],[Órden promedio totales]]*TableDailySummary[[#This Row],[CR totales]]</f>
        <v>0</v>
      </c>
      <c r="I228" s="11">
        <f>_xlfn.XLOOKUP(TableDailySummary[[#This Row],[Fecha]],SummaryDaily[day],SummaryDaily[new_net_sales],0)</f>
        <v>0</v>
      </c>
      <c r="J228" s="11">
        <f>_xlfn.XLOOKUP(TableDailySummary[[#This Row],[Fecha]],SummaryDaily[day],SummaryDaily[new_orders],0)</f>
        <v>0</v>
      </c>
      <c r="K228" s="11">
        <f>_xlfn.XLOOKUP(TableDailySummary[[#This Row],[Fecha]],SummaryDaily[day],SummaryDaily[new_average_order_value],0)</f>
        <v>0</v>
      </c>
      <c r="L228" s="11">
        <f>_xlfn.XLOOKUP(TableDailySummary[[#This Row],[Fecha]],SummaryDaily[day],SummaryDaily[Online Store_net_sales],0)</f>
        <v>0</v>
      </c>
      <c r="M228" s="11">
        <f>_xlfn.XLOOKUP(TableDailySummary[[#This Row],[Fecha]],SummaryDaily[day],SummaryDaily[Online Store_orders],0)</f>
        <v>0</v>
      </c>
      <c r="N228" s="11">
        <f>_xlfn.XLOOKUP(TableDailySummary[[#This Row],[Fecha]],SummaryDaily[day],SummaryDaily[Online Store_average_order_value],0)</f>
        <v>0</v>
      </c>
      <c r="O228" s="11">
        <f>_xlfn.XLOOKUP(TableDailySummary[[#This Row],[Fecha]],SummaryDaily[day],SummaryDaily[Tienda 81_net_sales],0)</f>
        <v>0</v>
      </c>
      <c r="P228" s="11">
        <f>_xlfn.XLOOKUP(TableDailySummary[[#This Row],[Fecha]],SummaryDaily[day],SummaryDaily[Tienda 81_orders],0)</f>
        <v>0</v>
      </c>
      <c r="Q228" s="11">
        <f>_xlfn.XLOOKUP(TableDailySummary[[#This Row],[Fecha]],SummaryDaily[day],SummaryDaily[Tienda 81_average_order_value],0)</f>
        <v>0</v>
      </c>
      <c r="R228" s="11">
        <f>_xlfn.XLOOKUP(TableDailySummary[[#This Row],[Fecha]],SummaryDaily[day],SummaryDaily[Rappi_net_sales],0)</f>
        <v>0</v>
      </c>
      <c r="S228" s="11">
        <f>_xlfn.XLOOKUP(TableDailySummary[[#This Row],[Fecha]],SummaryDaily[day],SummaryDaily[Rappi_orders],0)</f>
        <v>0</v>
      </c>
      <c r="T228" s="11">
        <f>_xlfn.XLOOKUP(TableDailySummary[[#This Row],[Fecha]],SummaryDaily[day],SummaryDaily[Rappi_average_order_value],0)</f>
        <v>0</v>
      </c>
      <c r="U228" s="11">
        <f>_xlfn.XLOOKUP(TableDailySummary[[#This Row],[Fecha]],SummaryDaily[day],SummaryDaily[Corporativo no tienda_net_sales],0)</f>
        <v>0</v>
      </c>
      <c r="V228" s="11">
        <f>_xlfn.XLOOKUP(TableDailySummary[[#This Row],[Fecha]],SummaryDaily[day],SummaryDaily[Corporativo no tienda_orders],0)</f>
        <v>0</v>
      </c>
      <c r="W228" s="11">
        <f>_xlfn.XLOOKUP(TableDailySummary[[#This Row],[Fecha]],SummaryDaily[day],SummaryDaily[Corporativo no tienda_average_order_value],0)</f>
        <v>0</v>
      </c>
      <c r="X228" s="11">
        <f>_xlfn.XLOOKUP(TableDailySummary[[#This Row],[Fecha]],SummaryDaily[day],SummaryDaily[GoogleAdsOperation.Cost],0)</f>
        <v>0</v>
      </c>
      <c r="Y228" s="11">
        <f>SUMIFS(SalesByUTMDaily[google],SalesByUTMDaily[day],TableDailySummary[[#This Row],[Fecha]])</f>
        <v>0</v>
      </c>
      <c r="Z228" s="11">
        <f>_xlfn.XLOOKUP(TableDailySummary[[#This Row],[Fecha]],SummaryDaily[day],SummaryDaily[MetaAdsOperation.spend],0)</f>
        <v>0</v>
      </c>
      <c r="AA228" s="11">
        <f>SUMIFS(SalesByUTMDaily[facebook],SalesByUTMDaily[day],TableDailySummary[[#This Row],[Fecha]])</f>
        <v>0</v>
      </c>
      <c r="AB228" s="11">
        <f>TableDailySummary[[#This Row],[Inversión google ads]]+TableDailySummary[[#This Row],[Inversión meta ads]]</f>
        <v>0</v>
      </c>
      <c r="AC228" s="11">
        <f>TableDailySummary[[#This Row],[Ventas google ads]]+TableDailySummary[[#This Row],[Ventas meta ads]]</f>
        <v>0</v>
      </c>
      <c r="AD228" s="14">
        <f>IFERROR(TableDailySummary[[#This Row],[Ventas publicidad]]/TableDailySummary[[#This Row],[Inversión publicidad]],0)</f>
        <v>0</v>
      </c>
      <c r="AE228" s="14">
        <f>IFERROR(TableDailySummary[[#This Row],[Ventas primer cliente]]/TableDailySummary[[#This Row],[Inversión publicidad]],0)</f>
        <v>0</v>
      </c>
      <c r="AF228" s="14"/>
      <c r="AG228" s="11"/>
      <c r="AM228" s="11">
        <f>_xlfn.XLOOKUP(TableDailySummary[[#This Row],[Fecha]],SummaryDaily[day],SummaryDaily[net_sales_with_cost_recorded],0)</f>
        <v>0</v>
      </c>
      <c r="AN228" s="11">
        <f>_xlfn.XLOOKUP(TableDailySummary[[#This Row],[Fecha]],SummaryDaily[day],SummaryDaily[cost_of_goods_sold],0)</f>
        <v>0</v>
      </c>
      <c r="AO228" s="11">
        <f>_xlfn.XLOOKUP(TableDailySummary[[#This Row],[Fecha]],SummaryDaily[day],SummaryDaily[gross_profit],0)</f>
        <v>0</v>
      </c>
      <c r="AP228" s="18">
        <f>IFERROR(TableDailySummary[[#This Row],[Utilidad bruta]]/TableDailySummary[[#This Row],[Ventas netas con costo registrado]],0)</f>
        <v>0</v>
      </c>
    </row>
    <row r="229" spans="2:42" x14ac:dyDescent="0.2">
      <c r="B229" s="15" cm="1">
        <f t="array" ref="B229">ParamFechaInicioReporte + (ROW(TableDailySummary[#This Row]) - ROW(TableDailySummary[[#Headers],[Dia]]) - 1)</f>
        <v>44756</v>
      </c>
      <c r="C229" s="6">
        <f>TableDailySummary[[#This Row],[Dia]]</f>
        <v>44756</v>
      </c>
      <c r="D229" s="11">
        <f>_xlfn.XLOOKUP(TableDailySummary[[#This Row],[Fecha]],SummaryDaily[day],SummaryDaily[net_sales],0)</f>
        <v>0</v>
      </c>
      <c r="E229" s="11">
        <f>_xlfn.XLOOKUP(TableDailySummary[[#This Row],[Fecha]],SummaryDaily[day],SummaryDaily[orders],0)</f>
        <v>0</v>
      </c>
      <c r="F229" s="11">
        <f>_xlfn.XLOOKUP(TableDailySummary[[#This Row],[Fecha]],SummaryDaily[day],SummaryDaily[average_order_value],0)</f>
        <v>0</v>
      </c>
      <c r="G229" s="24" cm="1">
        <f t="array" ref="G229">_xlfn.XLOOKUP(TableDailySummary[[#This Row],[Fecha]]&amp;"Total site",ConversionRateByReferral[day]&amp;ConversionRateByReferral[referrer_source],ConversionRateByReferral[conversion_rate],0)</f>
        <v>0</v>
      </c>
      <c r="H229" s="11">
        <f>TableDailySummary[[#This Row],[Órden promedio totales]]*TableDailySummary[[#This Row],[CR totales]]</f>
        <v>0</v>
      </c>
      <c r="I229" s="11">
        <f>_xlfn.XLOOKUP(TableDailySummary[[#This Row],[Fecha]],SummaryDaily[day],SummaryDaily[new_net_sales],0)</f>
        <v>0</v>
      </c>
      <c r="J229" s="11">
        <f>_xlfn.XLOOKUP(TableDailySummary[[#This Row],[Fecha]],SummaryDaily[day],SummaryDaily[new_orders],0)</f>
        <v>0</v>
      </c>
      <c r="K229" s="11">
        <f>_xlfn.XLOOKUP(TableDailySummary[[#This Row],[Fecha]],SummaryDaily[day],SummaryDaily[new_average_order_value],0)</f>
        <v>0</v>
      </c>
      <c r="L229" s="11">
        <f>_xlfn.XLOOKUP(TableDailySummary[[#This Row],[Fecha]],SummaryDaily[day],SummaryDaily[Online Store_net_sales],0)</f>
        <v>0</v>
      </c>
      <c r="M229" s="11">
        <f>_xlfn.XLOOKUP(TableDailySummary[[#This Row],[Fecha]],SummaryDaily[day],SummaryDaily[Online Store_orders],0)</f>
        <v>0</v>
      </c>
      <c r="N229" s="11">
        <f>_xlfn.XLOOKUP(TableDailySummary[[#This Row],[Fecha]],SummaryDaily[day],SummaryDaily[Online Store_average_order_value],0)</f>
        <v>0</v>
      </c>
      <c r="O229" s="11">
        <f>_xlfn.XLOOKUP(TableDailySummary[[#This Row],[Fecha]],SummaryDaily[day],SummaryDaily[Tienda 81_net_sales],0)</f>
        <v>0</v>
      </c>
      <c r="P229" s="11">
        <f>_xlfn.XLOOKUP(TableDailySummary[[#This Row],[Fecha]],SummaryDaily[day],SummaryDaily[Tienda 81_orders],0)</f>
        <v>0</v>
      </c>
      <c r="Q229" s="11">
        <f>_xlfn.XLOOKUP(TableDailySummary[[#This Row],[Fecha]],SummaryDaily[day],SummaryDaily[Tienda 81_average_order_value],0)</f>
        <v>0</v>
      </c>
      <c r="R229" s="11">
        <f>_xlfn.XLOOKUP(TableDailySummary[[#This Row],[Fecha]],SummaryDaily[day],SummaryDaily[Rappi_net_sales],0)</f>
        <v>0</v>
      </c>
      <c r="S229" s="11">
        <f>_xlfn.XLOOKUP(TableDailySummary[[#This Row],[Fecha]],SummaryDaily[day],SummaryDaily[Rappi_orders],0)</f>
        <v>0</v>
      </c>
      <c r="T229" s="11">
        <f>_xlfn.XLOOKUP(TableDailySummary[[#This Row],[Fecha]],SummaryDaily[day],SummaryDaily[Rappi_average_order_value],0)</f>
        <v>0</v>
      </c>
      <c r="U229" s="11">
        <f>_xlfn.XLOOKUP(TableDailySummary[[#This Row],[Fecha]],SummaryDaily[day],SummaryDaily[Corporativo no tienda_net_sales],0)</f>
        <v>0</v>
      </c>
      <c r="V229" s="11">
        <f>_xlfn.XLOOKUP(TableDailySummary[[#This Row],[Fecha]],SummaryDaily[day],SummaryDaily[Corporativo no tienda_orders],0)</f>
        <v>0</v>
      </c>
      <c r="W229" s="11">
        <f>_xlfn.XLOOKUP(TableDailySummary[[#This Row],[Fecha]],SummaryDaily[day],SummaryDaily[Corporativo no tienda_average_order_value],0)</f>
        <v>0</v>
      </c>
      <c r="X229" s="11">
        <f>_xlfn.XLOOKUP(TableDailySummary[[#This Row],[Fecha]],SummaryDaily[day],SummaryDaily[GoogleAdsOperation.Cost],0)</f>
        <v>0</v>
      </c>
      <c r="Y229" s="11">
        <f>SUMIFS(SalesByUTMDaily[google],SalesByUTMDaily[day],TableDailySummary[[#This Row],[Fecha]])</f>
        <v>0</v>
      </c>
      <c r="Z229" s="11">
        <f>_xlfn.XLOOKUP(TableDailySummary[[#This Row],[Fecha]],SummaryDaily[day],SummaryDaily[MetaAdsOperation.spend],0)</f>
        <v>0</v>
      </c>
      <c r="AA229" s="11">
        <f>SUMIFS(SalesByUTMDaily[facebook],SalesByUTMDaily[day],TableDailySummary[[#This Row],[Fecha]])</f>
        <v>0</v>
      </c>
      <c r="AB229" s="11">
        <f>TableDailySummary[[#This Row],[Inversión google ads]]+TableDailySummary[[#This Row],[Inversión meta ads]]</f>
        <v>0</v>
      </c>
      <c r="AC229" s="11">
        <f>TableDailySummary[[#This Row],[Ventas google ads]]+TableDailySummary[[#This Row],[Ventas meta ads]]</f>
        <v>0</v>
      </c>
      <c r="AD229" s="14">
        <f>IFERROR(TableDailySummary[[#This Row],[Ventas publicidad]]/TableDailySummary[[#This Row],[Inversión publicidad]],0)</f>
        <v>0</v>
      </c>
      <c r="AE229" s="14">
        <f>IFERROR(TableDailySummary[[#This Row],[Ventas primer cliente]]/TableDailySummary[[#This Row],[Inversión publicidad]],0)</f>
        <v>0</v>
      </c>
      <c r="AF229" s="14"/>
      <c r="AG229" s="11"/>
      <c r="AM229" s="11">
        <f>_xlfn.XLOOKUP(TableDailySummary[[#This Row],[Fecha]],SummaryDaily[day],SummaryDaily[net_sales_with_cost_recorded],0)</f>
        <v>0</v>
      </c>
      <c r="AN229" s="11">
        <f>_xlfn.XLOOKUP(TableDailySummary[[#This Row],[Fecha]],SummaryDaily[day],SummaryDaily[cost_of_goods_sold],0)</f>
        <v>0</v>
      </c>
      <c r="AO229" s="11">
        <f>_xlfn.XLOOKUP(TableDailySummary[[#This Row],[Fecha]],SummaryDaily[day],SummaryDaily[gross_profit],0)</f>
        <v>0</v>
      </c>
      <c r="AP229" s="18">
        <f>IFERROR(TableDailySummary[[#This Row],[Utilidad bruta]]/TableDailySummary[[#This Row],[Ventas netas con costo registrado]],0)</f>
        <v>0</v>
      </c>
    </row>
    <row r="230" spans="2:42" x14ac:dyDescent="0.2">
      <c r="B230" s="15" cm="1">
        <f t="array" ref="B230">ParamFechaInicioReporte + (ROW(TableDailySummary[#This Row]) - ROW(TableDailySummary[[#Headers],[Dia]]) - 1)</f>
        <v>44757</v>
      </c>
      <c r="C230" s="6">
        <f>TableDailySummary[[#This Row],[Dia]]</f>
        <v>44757</v>
      </c>
      <c r="D230" s="11">
        <f>_xlfn.XLOOKUP(TableDailySummary[[#This Row],[Fecha]],SummaryDaily[day],SummaryDaily[net_sales],0)</f>
        <v>0</v>
      </c>
      <c r="E230" s="11">
        <f>_xlfn.XLOOKUP(TableDailySummary[[#This Row],[Fecha]],SummaryDaily[day],SummaryDaily[orders],0)</f>
        <v>0</v>
      </c>
      <c r="F230" s="11">
        <f>_xlfn.XLOOKUP(TableDailySummary[[#This Row],[Fecha]],SummaryDaily[day],SummaryDaily[average_order_value],0)</f>
        <v>0</v>
      </c>
      <c r="G230" s="24" cm="1">
        <f t="array" ref="G230">_xlfn.XLOOKUP(TableDailySummary[[#This Row],[Fecha]]&amp;"Total site",ConversionRateByReferral[day]&amp;ConversionRateByReferral[referrer_source],ConversionRateByReferral[conversion_rate],0)</f>
        <v>0</v>
      </c>
      <c r="H230" s="11">
        <f>TableDailySummary[[#This Row],[Órden promedio totales]]*TableDailySummary[[#This Row],[CR totales]]</f>
        <v>0</v>
      </c>
      <c r="I230" s="11">
        <f>_xlfn.XLOOKUP(TableDailySummary[[#This Row],[Fecha]],SummaryDaily[day],SummaryDaily[new_net_sales],0)</f>
        <v>0</v>
      </c>
      <c r="J230" s="11">
        <f>_xlfn.XLOOKUP(TableDailySummary[[#This Row],[Fecha]],SummaryDaily[day],SummaryDaily[new_orders],0)</f>
        <v>0</v>
      </c>
      <c r="K230" s="11">
        <f>_xlfn.XLOOKUP(TableDailySummary[[#This Row],[Fecha]],SummaryDaily[day],SummaryDaily[new_average_order_value],0)</f>
        <v>0</v>
      </c>
      <c r="L230" s="11">
        <f>_xlfn.XLOOKUP(TableDailySummary[[#This Row],[Fecha]],SummaryDaily[day],SummaryDaily[Online Store_net_sales],0)</f>
        <v>0</v>
      </c>
      <c r="M230" s="11">
        <f>_xlfn.XLOOKUP(TableDailySummary[[#This Row],[Fecha]],SummaryDaily[day],SummaryDaily[Online Store_orders],0)</f>
        <v>0</v>
      </c>
      <c r="N230" s="11">
        <f>_xlfn.XLOOKUP(TableDailySummary[[#This Row],[Fecha]],SummaryDaily[day],SummaryDaily[Online Store_average_order_value],0)</f>
        <v>0</v>
      </c>
      <c r="O230" s="11">
        <f>_xlfn.XLOOKUP(TableDailySummary[[#This Row],[Fecha]],SummaryDaily[day],SummaryDaily[Tienda 81_net_sales],0)</f>
        <v>0</v>
      </c>
      <c r="P230" s="11">
        <f>_xlfn.XLOOKUP(TableDailySummary[[#This Row],[Fecha]],SummaryDaily[day],SummaryDaily[Tienda 81_orders],0)</f>
        <v>0</v>
      </c>
      <c r="Q230" s="11">
        <f>_xlfn.XLOOKUP(TableDailySummary[[#This Row],[Fecha]],SummaryDaily[day],SummaryDaily[Tienda 81_average_order_value],0)</f>
        <v>0</v>
      </c>
      <c r="R230" s="11">
        <f>_xlfn.XLOOKUP(TableDailySummary[[#This Row],[Fecha]],SummaryDaily[day],SummaryDaily[Rappi_net_sales],0)</f>
        <v>0</v>
      </c>
      <c r="S230" s="11">
        <f>_xlfn.XLOOKUP(TableDailySummary[[#This Row],[Fecha]],SummaryDaily[day],SummaryDaily[Rappi_orders],0)</f>
        <v>0</v>
      </c>
      <c r="T230" s="11">
        <f>_xlfn.XLOOKUP(TableDailySummary[[#This Row],[Fecha]],SummaryDaily[day],SummaryDaily[Rappi_average_order_value],0)</f>
        <v>0</v>
      </c>
      <c r="U230" s="11">
        <f>_xlfn.XLOOKUP(TableDailySummary[[#This Row],[Fecha]],SummaryDaily[day],SummaryDaily[Corporativo no tienda_net_sales],0)</f>
        <v>0</v>
      </c>
      <c r="V230" s="11">
        <f>_xlfn.XLOOKUP(TableDailySummary[[#This Row],[Fecha]],SummaryDaily[day],SummaryDaily[Corporativo no tienda_orders],0)</f>
        <v>0</v>
      </c>
      <c r="W230" s="11">
        <f>_xlfn.XLOOKUP(TableDailySummary[[#This Row],[Fecha]],SummaryDaily[day],SummaryDaily[Corporativo no tienda_average_order_value],0)</f>
        <v>0</v>
      </c>
      <c r="X230" s="11">
        <f>_xlfn.XLOOKUP(TableDailySummary[[#This Row],[Fecha]],SummaryDaily[day],SummaryDaily[GoogleAdsOperation.Cost],0)</f>
        <v>0</v>
      </c>
      <c r="Y230" s="11">
        <f>SUMIFS(SalesByUTMDaily[google],SalesByUTMDaily[day],TableDailySummary[[#This Row],[Fecha]])</f>
        <v>0</v>
      </c>
      <c r="Z230" s="11">
        <f>_xlfn.XLOOKUP(TableDailySummary[[#This Row],[Fecha]],SummaryDaily[day],SummaryDaily[MetaAdsOperation.spend],0)</f>
        <v>0</v>
      </c>
      <c r="AA230" s="11">
        <f>SUMIFS(SalesByUTMDaily[facebook],SalesByUTMDaily[day],TableDailySummary[[#This Row],[Fecha]])</f>
        <v>0</v>
      </c>
      <c r="AB230" s="11">
        <f>TableDailySummary[[#This Row],[Inversión google ads]]+TableDailySummary[[#This Row],[Inversión meta ads]]</f>
        <v>0</v>
      </c>
      <c r="AC230" s="11">
        <f>TableDailySummary[[#This Row],[Ventas google ads]]+TableDailySummary[[#This Row],[Ventas meta ads]]</f>
        <v>0</v>
      </c>
      <c r="AD230" s="14">
        <f>IFERROR(TableDailySummary[[#This Row],[Ventas publicidad]]/TableDailySummary[[#This Row],[Inversión publicidad]],0)</f>
        <v>0</v>
      </c>
      <c r="AE230" s="14">
        <f>IFERROR(TableDailySummary[[#This Row],[Ventas primer cliente]]/TableDailySummary[[#This Row],[Inversión publicidad]],0)</f>
        <v>0</v>
      </c>
      <c r="AF230" s="14"/>
      <c r="AG230" s="11"/>
      <c r="AM230" s="11">
        <f>_xlfn.XLOOKUP(TableDailySummary[[#This Row],[Fecha]],SummaryDaily[day],SummaryDaily[net_sales_with_cost_recorded],0)</f>
        <v>0</v>
      </c>
      <c r="AN230" s="11">
        <f>_xlfn.XLOOKUP(TableDailySummary[[#This Row],[Fecha]],SummaryDaily[day],SummaryDaily[cost_of_goods_sold],0)</f>
        <v>0</v>
      </c>
      <c r="AO230" s="11">
        <f>_xlfn.XLOOKUP(TableDailySummary[[#This Row],[Fecha]],SummaryDaily[day],SummaryDaily[gross_profit],0)</f>
        <v>0</v>
      </c>
      <c r="AP230" s="18">
        <f>IFERROR(TableDailySummary[[#This Row],[Utilidad bruta]]/TableDailySummary[[#This Row],[Ventas netas con costo registrado]],0)</f>
        <v>0</v>
      </c>
    </row>
    <row r="231" spans="2:42" x14ac:dyDescent="0.2">
      <c r="B231" s="15" cm="1">
        <f t="array" ref="B231">ParamFechaInicioReporte + (ROW(TableDailySummary[#This Row]) - ROW(TableDailySummary[[#Headers],[Dia]]) - 1)</f>
        <v>44758</v>
      </c>
      <c r="C231" s="6">
        <f>TableDailySummary[[#This Row],[Dia]]</f>
        <v>44758</v>
      </c>
      <c r="D231" s="11">
        <f>_xlfn.XLOOKUP(TableDailySummary[[#This Row],[Fecha]],SummaryDaily[day],SummaryDaily[net_sales],0)</f>
        <v>0</v>
      </c>
      <c r="E231" s="11">
        <f>_xlfn.XLOOKUP(TableDailySummary[[#This Row],[Fecha]],SummaryDaily[day],SummaryDaily[orders],0)</f>
        <v>0</v>
      </c>
      <c r="F231" s="11">
        <f>_xlfn.XLOOKUP(TableDailySummary[[#This Row],[Fecha]],SummaryDaily[day],SummaryDaily[average_order_value],0)</f>
        <v>0</v>
      </c>
      <c r="G231" s="24" cm="1">
        <f t="array" ref="G231">_xlfn.XLOOKUP(TableDailySummary[[#This Row],[Fecha]]&amp;"Total site",ConversionRateByReferral[day]&amp;ConversionRateByReferral[referrer_source],ConversionRateByReferral[conversion_rate],0)</f>
        <v>0</v>
      </c>
      <c r="H231" s="11">
        <f>TableDailySummary[[#This Row],[Órden promedio totales]]*TableDailySummary[[#This Row],[CR totales]]</f>
        <v>0</v>
      </c>
      <c r="I231" s="11">
        <f>_xlfn.XLOOKUP(TableDailySummary[[#This Row],[Fecha]],SummaryDaily[day],SummaryDaily[new_net_sales],0)</f>
        <v>0</v>
      </c>
      <c r="J231" s="11">
        <f>_xlfn.XLOOKUP(TableDailySummary[[#This Row],[Fecha]],SummaryDaily[day],SummaryDaily[new_orders],0)</f>
        <v>0</v>
      </c>
      <c r="K231" s="11">
        <f>_xlfn.XLOOKUP(TableDailySummary[[#This Row],[Fecha]],SummaryDaily[day],SummaryDaily[new_average_order_value],0)</f>
        <v>0</v>
      </c>
      <c r="L231" s="11">
        <f>_xlfn.XLOOKUP(TableDailySummary[[#This Row],[Fecha]],SummaryDaily[day],SummaryDaily[Online Store_net_sales],0)</f>
        <v>0</v>
      </c>
      <c r="M231" s="11">
        <f>_xlfn.XLOOKUP(TableDailySummary[[#This Row],[Fecha]],SummaryDaily[day],SummaryDaily[Online Store_orders],0)</f>
        <v>0</v>
      </c>
      <c r="N231" s="11">
        <f>_xlfn.XLOOKUP(TableDailySummary[[#This Row],[Fecha]],SummaryDaily[day],SummaryDaily[Online Store_average_order_value],0)</f>
        <v>0</v>
      </c>
      <c r="O231" s="11">
        <f>_xlfn.XLOOKUP(TableDailySummary[[#This Row],[Fecha]],SummaryDaily[day],SummaryDaily[Tienda 81_net_sales],0)</f>
        <v>0</v>
      </c>
      <c r="P231" s="11">
        <f>_xlfn.XLOOKUP(TableDailySummary[[#This Row],[Fecha]],SummaryDaily[day],SummaryDaily[Tienda 81_orders],0)</f>
        <v>0</v>
      </c>
      <c r="Q231" s="11">
        <f>_xlfn.XLOOKUP(TableDailySummary[[#This Row],[Fecha]],SummaryDaily[day],SummaryDaily[Tienda 81_average_order_value],0)</f>
        <v>0</v>
      </c>
      <c r="R231" s="11">
        <f>_xlfn.XLOOKUP(TableDailySummary[[#This Row],[Fecha]],SummaryDaily[day],SummaryDaily[Rappi_net_sales],0)</f>
        <v>0</v>
      </c>
      <c r="S231" s="11">
        <f>_xlfn.XLOOKUP(TableDailySummary[[#This Row],[Fecha]],SummaryDaily[day],SummaryDaily[Rappi_orders],0)</f>
        <v>0</v>
      </c>
      <c r="T231" s="11">
        <f>_xlfn.XLOOKUP(TableDailySummary[[#This Row],[Fecha]],SummaryDaily[day],SummaryDaily[Rappi_average_order_value],0)</f>
        <v>0</v>
      </c>
      <c r="U231" s="11">
        <f>_xlfn.XLOOKUP(TableDailySummary[[#This Row],[Fecha]],SummaryDaily[day],SummaryDaily[Corporativo no tienda_net_sales],0)</f>
        <v>0</v>
      </c>
      <c r="V231" s="11">
        <f>_xlfn.XLOOKUP(TableDailySummary[[#This Row],[Fecha]],SummaryDaily[day],SummaryDaily[Corporativo no tienda_orders],0)</f>
        <v>0</v>
      </c>
      <c r="W231" s="11">
        <f>_xlfn.XLOOKUP(TableDailySummary[[#This Row],[Fecha]],SummaryDaily[day],SummaryDaily[Corporativo no tienda_average_order_value],0)</f>
        <v>0</v>
      </c>
      <c r="X231" s="11">
        <f>_xlfn.XLOOKUP(TableDailySummary[[#This Row],[Fecha]],SummaryDaily[day],SummaryDaily[GoogleAdsOperation.Cost],0)</f>
        <v>0</v>
      </c>
      <c r="Y231" s="11">
        <f>SUMIFS(SalesByUTMDaily[google],SalesByUTMDaily[day],TableDailySummary[[#This Row],[Fecha]])</f>
        <v>0</v>
      </c>
      <c r="Z231" s="11">
        <f>_xlfn.XLOOKUP(TableDailySummary[[#This Row],[Fecha]],SummaryDaily[day],SummaryDaily[MetaAdsOperation.spend],0)</f>
        <v>0</v>
      </c>
      <c r="AA231" s="11">
        <f>SUMIFS(SalesByUTMDaily[facebook],SalesByUTMDaily[day],TableDailySummary[[#This Row],[Fecha]])</f>
        <v>0</v>
      </c>
      <c r="AB231" s="11">
        <f>TableDailySummary[[#This Row],[Inversión google ads]]+TableDailySummary[[#This Row],[Inversión meta ads]]</f>
        <v>0</v>
      </c>
      <c r="AC231" s="11">
        <f>TableDailySummary[[#This Row],[Ventas google ads]]+TableDailySummary[[#This Row],[Ventas meta ads]]</f>
        <v>0</v>
      </c>
      <c r="AD231" s="14">
        <f>IFERROR(TableDailySummary[[#This Row],[Ventas publicidad]]/TableDailySummary[[#This Row],[Inversión publicidad]],0)</f>
        <v>0</v>
      </c>
      <c r="AE231" s="14">
        <f>IFERROR(TableDailySummary[[#This Row],[Ventas primer cliente]]/TableDailySummary[[#This Row],[Inversión publicidad]],0)</f>
        <v>0</v>
      </c>
      <c r="AF231" s="14"/>
      <c r="AG231" s="11"/>
      <c r="AM231" s="11">
        <f>_xlfn.XLOOKUP(TableDailySummary[[#This Row],[Fecha]],SummaryDaily[day],SummaryDaily[net_sales_with_cost_recorded],0)</f>
        <v>0</v>
      </c>
      <c r="AN231" s="11">
        <f>_xlfn.XLOOKUP(TableDailySummary[[#This Row],[Fecha]],SummaryDaily[day],SummaryDaily[cost_of_goods_sold],0)</f>
        <v>0</v>
      </c>
      <c r="AO231" s="11">
        <f>_xlfn.XLOOKUP(TableDailySummary[[#This Row],[Fecha]],SummaryDaily[day],SummaryDaily[gross_profit],0)</f>
        <v>0</v>
      </c>
      <c r="AP231" s="18">
        <f>IFERROR(TableDailySummary[[#This Row],[Utilidad bruta]]/TableDailySummary[[#This Row],[Ventas netas con costo registrado]],0)</f>
        <v>0</v>
      </c>
    </row>
    <row r="232" spans="2:42" x14ac:dyDescent="0.2">
      <c r="B232" s="15" cm="1">
        <f t="array" ref="B232">ParamFechaInicioReporte + (ROW(TableDailySummary[#This Row]) - ROW(TableDailySummary[[#Headers],[Dia]]) - 1)</f>
        <v>44759</v>
      </c>
      <c r="C232" s="6">
        <f>TableDailySummary[[#This Row],[Dia]]</f>
        <v>44759</v>
      </c>
      <c r="D232" s="11">
        <f>_xlfn.XLOOKUP(TableDailySummary[[#This Row],[Fecha]],SummaryDaily[day],SummaryDaily[net_sales],0)</f>
        <v>0</v>
      </c>
      <c r="E232" s="11">
        <f>_xlfn.XLOOKUP(TableDailySummary[[#This Row],[Fecha]],SummaryDaily[day],SummaryDaily[orders],0)</f>
        <v>0</v>
      </c>
      <c r="F232" s="11">
        <f>_xlfn.XLOOKUP(TableDailySummary[[#This Row],[Fecha]],SummaryDaily[day],SummaryDaily[average_order_value],0)</f>
        <v>0</v>
      </c>
      <c r="G232" s="24" cm="1">
        <f t="array" ref="G232">_xlfn.XLOOKUP(TableDailySummary[[#This Row],[Fecha]]&amp;"Total site",ConversionRateByReferral[day]&amp;ConversionRateByReferral[referrer_source],ConversionRateByReferral[conversion_rate],0)</f>
        <v>0</v>
      </c>
      <c r="H232" s="11">
        <f>TableDailySummary[[#This Row],[Órden promedio totales]]*TableDailySummary[[#This Row],[CR totales]]</f>
        <v>0</v>
      </c>
      <c r="I232" s="11">
        <f>_xlfn.XLOOKUP(TableDailySummary[[#This Row],[Fecha]],SummaryDaily[day],SummaryDaily[new_net_sales],0)</f>
        <v>0</v>
      </c>
      <c r="J232" s="11">
        <f>_xlfn.XLOOKUP(TableDailySummary[[#This Row],[Fecha]],SummaryDaily[day],SummaryDaily[new_orders],0)</f>
        <v>0</v>
      </c>
      <c r="K232" s="11">
        <f>_xlfn.XLOOKUP(TableDailySummary[[#This Row],[Fecha]],SummaryDaily[day],SummaryDaily[new_average_order_value],0)</f>
        <v>0</v>
      </c>
      <c r="L232" s="11">
        <f>_xlfn.XLOOKUP(TableDailySummary[[#This Row],[Fecha]],SummaryDaily[day],SummaryDaily[Online Store_net_sales],0)</f>
        <v>0</v>
      </c>
      <c r="M232" s="11">
        <f>_xlfn.XLOOKUP(TableDailySummary[[#This Row],[Fecha]],SummaryDaily[day],SummaryDaily[Online Store_orders],0)</f>
        <v>0</v>
      </c>
      <c r="N232" s="11">
        <f>_xlfn.XLOOKUP(TableDailySummary[[#This Row],[Fecha]],SummaryDaily[day],SummaryDaily[Online Store_average_order_value],0)</f>
        <v>0</v>
      </c>
      <c r="O232" s="11">
        <f>_xlfn.XLOOKUP(TableDailySummary[[#This Row],[Fecha]],SummaryDaily[day],SummaryDaily[Tienda 81_net_sales],0)</f>
        <v>0</v>
      </c>
      <c r="P232" s="11">
        <f>_xlfn.XLOOKUP(TableDailySummary[[#This Row],[Fecha]],SummaryDaily[day],SummaryDaily[Tienda 81_orders],0)</f>
        <v>0</v>
      </c>
      <c r="Q232" s="11">
        <f>_xlfn.XLOOKUP(TableDailySummary[[#This Row],[Fecha]],SummaryDaily[day],SummaryDaily[Tienda 81_average_order_value],0)</f>
        <v>0</v>
      </c>
      <c r="R232" s="11">
        <f>_xlfn.XLOOKUP(TableDailySummary[[#This Row],[Fecha]],SummaryDaily[day],SummaryDaily[Rappi_net_sales],0)</f>
        <v>0</v>
      </c>
      <c r="S232" s="11">
        <f>_xlfn.XLOOKUP(TableDailySummary[[#This Row],[Fecha]],SummaryDaily[day],SummaryDaily[Rappi_orders],0)</f>
        <v>0</v>
      </c>
      <c r="T232" s="11">
        <f>_xlfn.XLOOKUP(TableDailySummary[[#This Row],[Fecha]],SummaryDaily[day],SummaryDaily[Rappi_average_order_value],0)</f>
        <v>0</v>
      </c>
      <c r="U232" s="11">
        <f>_xlfn.XLOOKUP(TableDailySummary[[#This Row],[Fecha]],SummaryDaily[day],SummaryDaily[Corporativo no tienda_net_sales],0)</f>
        <v>0</v>
      </c>
      <c r="V232" s="11">
        <f>_xlfn.XLOOKUP(TableDailySummary[[#This Row],[Fecha]],SummaryDaily[day],SummaryDaily[Corporativo no tienda_orders],0)</f>
        <v>0</v>
      </c>
      <c r="W232" s="11">
        <f>_xlfn.XLOOKUP(TableDailySummary[[#This Row],[Fecha]],SummaryDaily[day],SummaryDaily[Corporativo no tienda_average_order_value],0)</f>
        <v>0</v>
      </c>
      <c r="X232" s="11">
        <f>_xlfn.XLOOKUP(TableDailySummary[[#This Row],[Fecha]],SummaryDaily[day],SummaryDaily[GoogleAdsOperation.Cost],0)</f>
        <v>0</v>
      </c>
      <c r="Y232" s="11">
        <f>SUMIFS(SalesByUTMDaily[google],SalesByUTMDaily[day],TableDailySummary[[#This Row],[Fecha]])</f>
        <v>0</v>
      </c>
      <c r="Z232" s="11">
        <f>_xlfn.XLOOKUP(TableDailySummary[[#This Row],[Fecha]],SummaryDaily[day],SummaryDaily[MetaAdsOperation.spend],0)</f>
        <v>0</v>
      </c>
      <c r="AA232" s="11">
        <f>SUMIFS(SalesByUTMDaily[facebook],SalesByUTMDaily[day],TableDailySummary[[#This Row],[Fecha]])</f>
        <v>0</v>
      </c>
      <c r="AB232" s="11">
        <f>TableDailySummary[[#This Row],[Inversión google ads]]+TableDailySummary[[#This Row],[Inversión meta ads]]</f>
        <v>0</v>
      </c>
      <c r="AC232" s="11">
        <f>TableDailySummary[[#This Row],[Ventas google ads]]+TableDailySummary[[#This Row],[Ventas meta ads]]</f>
        <v>0</v>
      </c>
      <c r="AD232" s="14">
        <f>IFERROR(TableDailySummary[[#This Row],[Ventas publicidad]]/TableDailySummary[[#This Row],[Inversión publicidad]],0)</f>
        <v>0</v>
      </c>
      <c r="AE232" s="14">
        <f>IFERROR(TableDailySummary[[#This Row],[Ventas primer cliente]]/TableDailySummary[[#This Row],[Inversión publicidad]],0)</f>
        <v>0</v>
      </c>
      <c r="AF232" s="14"/>
      <c r="AG232" s="11"/>
      <c r="AM232" s="11">
        <f>_xlfn.XLOOKUP(TableDailySummary[[#This Row],[Fecha]],SummaryDaily[day],SummaryDaily[net_sales_with_cost_recorded],0)</f>
        <v>0</v>
      </c>
      <c r="AN232" s="11">
        <f>_xlfn.XLOOKUP(TableDailySummary[[#This Row],[Fecha]],SummaryDaily[day],SummaryDaily[cost_of_goods_sold],0)</f>
        <v>0</v>
      </c>
      <c r="AO232" s="11">
        <f>_xlfn.XLOOKUP(TableDailySummary[[#This Row],[Fecha]],SummaryDaily[day],SummaryDaily[gross_profit],0)</f>
        <v>0</v>
      </c>
      <c r="AP232" s="18">
        <f>IFERROR(TableDailySummary[[#This Row],[Utilidad bruta]]/TableDailySummary[[#This Row],[Ventas netas con costo registrado]],0)</f>
        <v>0</v>
      </c>
    </row>
    <row r="233" spans="2:42" x14ac:dyDescent="0.2">
      <c r="B233" s="15" cm="1">
        <f t="array" ref="B233">ParamFechaInicioReporte + (ROW(TableDailySummary[#This Row]) - ROW(TableDailySummary[[#Headers],[Dia]]) - 1)</f>
        <v>44760</v>
      </c>
      <c r="C233" s="6">
        <f>TableDailySummary[[#This Row],[Dia]]</f>
        <v>44760</v>
      </c>
      <c r="D233" s="11">
        <f>_xlfn.XLOOKUP(TableDailySummary[[#This Row],[Fecha]],SummaryDaily[day],SummaryDaily[net_sales],0)</f>
        <v>0</v>
      </c>
      <c r="E233" s="11">
        <f>_xlfn.XLOOKUP(TableDailySummary[[#This Row],[Fecha]],SummaryDaily[day],SummaryDaily[orders],0)</f>
        <v>0</v>
      </c>
      <c r="F233" s="11">
        <f>_xlfn.XLOOKUP(TableDailySummary[[#This Row],[Fecha]],SummaryDaily[day],SummaryDaily[average_order_value],0)</f>
        <v>0</v>
      </c>
      <c r="G233" s="24" cm="1">
        <f t="array" ref="G233">_xlfn.XLOOKUP(TableDailySummary[[#This Row],[Fecha]]&amp;"Total site",ConversionRateByReferral[day]&amp;ConversionRateByReferral[referrer_source],ConversionRateByReferral[conversion_rate],0)</f>
        <v>0</v>
      </c>
      <c r="H233" s="11">
        <f>TableDailySummary[[#This Row],[Órden promedio totales]]*TableDailySummary[[#This Row],[CR totales]]</f>
        <v>0</v>
      </c>
      <c r="I233" s="11">
        <f>_xlfn.XLOOKUP(TableDailySummary[[#This Row],[Fecha]],SummaryDaily[day],SummaryDaily[new_net_sales],0)</f>
        <v>0</v>
      </c>
      <c r="J233" s="11">
        <f>_xlfn.XLOOKUP(TableDailySummary[[#This Row],[Fecha]],SummaryDaily[day],SummaryDaily[new_orders],0)</f>
        <v>0</v>
      </c>
      <c r="K233" s="11">
        <f>_xlfn.XLOOKUP(TableDailySummary[[#This Row],[Fecha]],SummaryDaily[day],SummaryDaily[new_average_order_value],0)</f>
        <v>0</v>
      </c>
      <c r="L233" s="11">
        <f>_xlfn.XLOOKUP(TableDailySummary[[#This Row],[Fecha]],SummaryDaily[day],SummaryDaily[Online Store_net_sales],0)</f>
        <v>0</v>
      </c>
      <c r="M233" s="11">
        <f>_xlfn.XLOOKUP(TableDailySummary[[#This Row],[Fecha]],SummaryDaily[day],SummaryDaily[Online Store_orders],0)</f>
        <v>0</v>
      </c>
      <c r="N233" s="11">
        <f>_xlfn.XLOOKUP(TableDailySummary[[#This Row],[Fecha]],SummaryDaily[day],SummaryDaily[Online Store_average_order_value],0)</f>
        <v>0</v>
      </c>
      <c r="O233" s="11">
        <f>_xlfn.XLOOKUP(TableDailySummary[[#This Row],[Fecha]],SummaryDaily[day],SummaryDaily[Tienda 81_net_sales],0)</f>
        <v>0</v>
      </c>
      <c r="P233" s="11">
        <f>_xlfn.XLOOKUP(TableDailySummary[[#This Row],[Fecha]],SummaryDaily[day],SummaryDaily[Tienda 81_orders],0)</f>
        <v>0</v>
      </c>
      <c r="Q233" s="11">
        <f>_xlfn.XLOOKUP(TableDailySummary[[#This Row],[Fecha]],SummaryDaily[day],SummaryDaily[Tienda 81_average_order_value],0)</f>
        <v>0</v>
      </c>
      <c r="R233" s="11">
        <f>_xlfn.XLOOKUP(TableDailySummary[[#This Row],[Fecha]],SummaryDaily[day],SummaryDaily[Rappi_net_sales],0)</f>
        <v>0</v>
      </c>
      <c r="S233" s="11">
        <f>_xlfn.XLOOKUP(TableDailySummary[[#This Row],[Fecha]],SummaryDaily[day],SummaryDaily[Rappi_orders],0)</f>
        <v>0</v>
      </c>
      <c r="T233" s="11">
        <f>_xlfn.XLOOKUP(TableDailySummary[[#This Row],[Fecha]],SummaryDaily[day],SummaryDaily[Rappi_average_order_value],0)</f>
        <v>0</v>
      </c>
      <c r="U233" s="11">
        <f>_xlfn.XLOOKUP(TableDailySummary[[#This Row],[Fecha]],SummaryDaily[day],SummaryDaily[Corporativo no tienda_net_sales],0)</f>
        <v>0</v>
      </c>
      <c r="V233" s="11">
        <f>_xlfn.XLOOKUP(TableDailySummary[[#This Row],[Fecha]],SummaryDaily[day],SummaryDaily[Corporativo no tienda_orders],0)</f>
        <v>0</v>
      </c>
      <c r="W233" s="11">
        <f>_xlfn.XLOOKUP(TableDailySummary[[#This Row],[Fecha]],SummaryDaily[day],SummaryDaily[Corporativo no tienda_average_order_value],0)</f>
        <v>0</v>
      </c>
      <c r="X233" s="11">
        <f>_xlfn.XLOOKUP(TableDailySummary[[#This Row],[Fecha]],SummaryDaily[day],SummaryDaily[GoogleAdsOperation.Cost],0)</f>
        <v>0</v>
      </c>
      <c r="Y233" s="11">
        <f>SUMIFS(SalesByUTMDaily[google],SalesByUTMDaily[day],TableDailySummary[[#This Row],[Fecha]])</f>
        <v>0</v>
      </c>
      <c r="Z233" s="11">
        <f>_xlfn.XLOOKUP(TableDailySummary[[#This Row],[Fecha]],SummaryDaily[day],SummaryDaily[MetaAdsOperation.spend],0)</f>
        <v>0</v>
      </c>
      <c r="AA233" s="11">
        <f>SUMIFS(SalesByUTMDaily[facebook],SalesByUTMDaily[day],TableDailySummary[[#This Row],[Fecha]])</f>
        <v>0</v>
      </c>
      <c r="AB233" s="11">
        <f>TableDailySummary[[#This Row],[Inversión google ads]]+TableDailySummary[[#This Row],[Inversión meta ads]]</f>
        <v>0</v>
      </c>
      <c r="AC233" s="11">
        <f>TableDailySummary[[#This Row],[Ventas google ads]]+TableDailySummary[[#This Row],[Ventas meta ads]]</f>
        <v>0</v>
      </c>
      <c r="AD233" s="14">
        <f>IFERROR(TableDailySummary[[#This Row],[Ventas publicidad]]/TableDailySummary[[#This Row],[Inversión publicidad]],0)</f>
        <v>0</v>
      </c>
      <c r="AE233" s="14">
        <f>IFERROR(TableDailySummary[[#This Row],[Ventas primer cliente]]/TableDailySummary[[#This Row],[Inversión publicidad]],0)</f>
        <v>0</v>
      </c>
      <c r="AF233" s="14"/>
      <c r="AG233" s="11"/>
      <c r="AM233" s="11">
        <f>_xlfn.XLOOKUP(TableDailySummary[[#This Row],[Fecha]],SummaryDaily[day],SummaryDaily[net_sales_with_cost_recorded],0)</f>
        <v>0</v>
      </c>
      <c r="AN233" s="11">
        <f>_xlfn.XLOOKUP(TableDailySummary[[#This Row],[Fecha]],SummaryDaily[day],SummaryDaily[cost_of_goods_sold],0)</f>
        <v>0</v>
      </c>
      <c r="AO233" s="11">
        <f>_xlfn.XLOOKUP(TableDailySummary[[#This Row],[Fecha]],SummaryDaily[day],SummaryDaily[gross_profit],0)</f>
        <v>0</v>
      </c>
      <c r="AP233" s="18">
        <f>IFERROR(TableDailySummary[[#This Row],[Utilidad bruta]]/TableDailySummary[[#This Row],[Ventas netas con costo registrado]],0)</f>
        <v>0</v>
      </c>
    </row>
    <row r="234" spans="2:42" x14ac:dyDescent="0.2">
      <c r="B234" s="15" cm="1">
        <f t="array" ref="B234">ParamFechaInicioReporte + (ROW(TableDailySummary[#This Row]) - ROW(TableDailySummary[[#Headers],[Dia]]) - 1)</f>
        <v>44761</v>
      </c>
      <c r="C234" s="6">
        <f>TableDailySummary[[#This Row],[Dia]]</f>
        <v>44761</v>
      </c>
      <c r="D234" s="11">
        <f>_xlfn.XLOOKUP(TableDailySummary[[#This Row],[Fecha]],SummaryDaily[day],SummaryDaily[net_sales],0)</f>
        <v>0</v>
      </c>
      <c r="E234" s="11">
        <f>_xlfn.XLOOKUP(TableDailySummary[[#This Row],[Fecha]],SummaryDaily[day],SummaryDaily[orders],0)</f>
        <v>0</v>
      </c>
      <c r="F234" s="11">
        <f>_xlfn.XLOOKUP(TableDailySummary[[#This Row],[Fecha]],SummaryDaily[day],SummaryDaily[average_order_value],0)</f>
        <v>0</v>
      </c>
      <c r="G234" s="24" cm="1">
        <f t="array" ref="G234">_xlfn.XLOOKUP(TableDailySummary[[#This Row],[Fecha]]&amp;"Total site",ConversionRateByReferral[day]&amp;ConversionRateByReferral[referrer_source],ConversionRateByReferral[conversion_rate],0)</f>
        <v>0</v>
      </c>
      <c r="H234" s="11">
        <f>TableDailySummary[[#This Row],[Órden promedio totales]]*TableDailySummary[[#This Row],[CR totales]]</f>
        <v>0</v>
      </c>
      <c r="I234" s="11">
        <f>_xlfn.XLOOKUP(TableDailySummary[[#This Row],[Fecha]],SummaryDaily[day],SummaryDaily[new_net_sales],0)</f>
        <v>0</v>
      </c>
      <c r="J234" s="11">
        <f>_xlfn.XLOOKUP(TableDailySummary[[#This Row],[Fecha]],SummaryDaily[day],SummaryDaily[new_orders],0)</f>
        <v>0</v>
      </c>
      <c r="K234" s="11">
        <f>_xlfn.XLOOKUP(TableDailySummary[[#This Row],[Fecha]],SummaryDaily[day],SummaryDaily[new_average_order_value],0)</f>
        <v>0</v>
      </c>
      <c r="L234" s="11">
        <f>_xlfn.XLOOKUP(TableDailySummary[[#This Row],[Fecha]],SummaryDaily[day],SummaryDaily[Online Store_net_sales],0)</f>
        <v>0</v>
      </c>
      <c r="M234" s="11">
        <f>_xlfn.XLOOKUP(TableDailySummary[[#This Row],[Fecha]],SummaryDaily[day],SummaryDaily[Online Store_orders],0)</f>
        <v>0</v>
      </c>
      <c r="N234" s="11">
        <f>_xlfn.XLOOKUP(TableDailySummary[[#This Row],[Fecha]],SummaryDaily[day],SummaryDaily[Online Store_average_order_value],0)</f>
        <v>0</v>
      </c>
      <c r="O234" s="11">
        <f>_xlfn.XLOOKUP(TableDailySummary[[#This Row],[Fecha]],SummaryDaily[day],SummaryDaily[Tienda 81_net_sales],0)</f>
        <v>0</v>
      </c>
      <c r="P234" s="11">
        <f>_xlfn.XLOOKUP(TableDailySummary[[#This Row],[Fecha]],SummaryDaily[day],SummaryDaily[Tienda 81_orders],0)</f>
        <v>0</v>
      </c>
      <c r="Q234" s="11">
        <f>_xlfn.XLOOKUP(TableDailySummary[[#This Row],[Fecha]],SummaryDaily[day],SummaryDaily[Tienda 81_average_order_value],0)</f>
        <v>0</v>
      </c>
      <c r="R234" s="11">
        <f>_xlfn.XLOOKUP(TableDailySummary[[#This Row],[Fecha]],SummaryDaily[day],SummaryDaily[Rappi_net_sales],0)</f>
        <v>0</v>
      </c>
      <c r="S234" s="11">
        <f>_xlfn.XLOOKUP(TableDailySummary[[#This Row],[Fecha]],SummaryDaily[day],SummaryDaily[Rappi_orders],0)</f>
        <v>0</v>
      </c>
      <c r="T234" s="11">
        <f>_xlfn.XLOOKUP(TableDailySummary[[#This Row],[Fecha]],SummaryDaily[day],SummaryDaily[Rappi_average_order_value],0)</f>
        <v>0</v>
      </c>
      <c r="U234" s="11">
        <f>_xlfn.XLOOKUP(TableDailySummary[[#This Row],[Fecha]],SummaryDaily[day],SummaryDaily[Corporativo no tienda_net_sales],0)</f>
        <v>0</v>
      </c>
      <c r="V234" s="11">
        <f>_xlfn.XLOOKUP(TableDailySummary[[#This Row],[Fecha]],SummaryDaily[day],SummaryDaily[Corporativo no tienda_orders],0)</f>
        <v>0</v>
      </c>
      <c r="W234" s="11">
        <f>_xlfn.XLOOKUP(TableDailySummary[[#This Row],[Fecha]],SummaryDaily[day],SummaryDaily[Corporativo no tienda_average_order_value],0)</f>
        <v>0</v>
      </c>
      <c r="X234" s="11">
        <f>_xlfn.XLOOKUP(TableDailySummary[[#This Row],[Fecha]],SummaryDaily[day],SummaryDaily[GoogleAdsOperation.Cost],0)</f>
        <v>0</v>
      </c>
      <c r="Y234" s="11">
        <f>SUMIFS(SalesByUTMDaily[google],SalesByUTMDaily[day],TableDailySummary[[#This Row],[Fecha]])</f>
        <v>0</v>
      </c>
      <c r="Z234" s="11">
        <f>_xlfn.XLOOKUP(TableDailySummary[[#This Row],[Fecha]],SummaryDaily[day],SummaryDaily[MetaAdsOperation.spend],0)</f>
        <v>0</v>
      </c>
      <c r="AA234" s="11">
        <f>SUMIFS(SalesByUTMDaily[facebook],SalesByUTMDaily[day],TableDailySummary[[#This Row],[Fecha]])</f>
        <v>0</v>
      </c>
      <c r="AB234" s="11">
        <f>TableDailySummary[[#This Row],[Inversión google ads]]+TableDailySummary[[#This Row],[Inversión meta ads]]</f>
        <v>0</v>
      </c>
      <c r="AC234" s="11">
        <f>TableDailySummary[[#This Row],[Ventas google ads]]+TableDailySummary[[#This Row],[Ventas meta ads]]</f>
        <v>0</v>
      </c>
      <c r="AD234" s="14">
        <f>IFERROR(TableDailySummary[[#This Row],[Ventas publicidad]]/TableDailySummary[[#This Row],[Inversión publicidad]],0)</f>
        <v>0</v>
      </c>
      <c r="AE234" s="14">
        <f>IFERROR(TableDailySummary[[#This Row],[Ventas primer cliente]]/TableDailySummary[[#This Row],[Inversión publicidad]],0)</f>
        <v>0</v>
      </c>
      <c r="AF234" s="14"/>
      <c r="AG234" s="11"/>
      <c r="AM234" s="11">
        <f>_xlfn.XLOOKUP(TableDailySummary[[#This Row],[Fecha]],SummaryDaily[day],SummaryDaily[net_sales_with_cost_recorded],0)</f>
        <v>0</v>
      </c>
      <c r="AN234" s="11">
        <f>_xlfn.XLOOKUP(TableDailySummary[[#This Row],[Fecha]],SummaryDaily[day],SummaryDaily[cost_of_goods_sold],0)</f>
        <v>0</v>
      </c>
      <c r="AO234" s="11">
        <f>_xlfn.XLOOKUP(TableDailySummary[[#This Row],[Fecha]],SummaryDaily[day],SummaryDaily[gross_profit],0)</f>
        <v>0</v>
      </c>
      <c r="AP234" s="18">
        <f>IFERROR(TableDailySummary[[#This Row],[Utilidad bruta]]/TableDailySummary[[#This Row],[Ventas netas con costo registrado]],0)</f>
        <v>0</v>
      </c>
    </row>
    <row r="235" spans="2:42" x14ac:dyDescent="0.2">
      <c r="B235" s="15" cm="1">
        <f t="array" ref="B235">ParamFechaInicioReporte + (ROW(TableDailySummary[#This Row]) - ROW(TableDailySummary[[#Headers],[Dia]]) - 1)</f>
        <v>44762</v>
      </c>
      <c r="C235" s="6">
        <f>TableDailySummary[[#This Row],[Dia]]</f>
        <v>44762</v>
      </c>
      <c r="D235" s="11">
        <f>_xlfn.XLOOKUP(TableDailySummary[[#This Row],[Fecha]],SummaryDaily[day],SummaryDaily[net_sales],0)</f>
        <v>0</v>
      </c>
      <c r="E235" s="11">
        <f>_xlfn.XLOOKUP(TableDailySummary[[#This Row],[Fecha]],SummaryDaily[day],SummaryDaily[orders],0)</f>
        <v>0</v>
      </c>
      <c r="F235" s="11">
        <f>_xlfn.XLOOKUP(TableDailySummary[[#This Row],[Fecha]],SummaryDaily[day],SummaryDaily[average_order_value],0)</f>
        <v>0</v>
      </c>
      <c r="G235" s="24" cm="1">
        <f t="array" ref="G235">_xlfn.XLOOKUP(TableDailySummary[[#This Row],[Fecha]]&amp;"Total site",ConversionRateByReferral[day]&amp;ConversionRateByReferral[referrer_source],ConversionRateByReferral[conversion_rate],0)</f>
        <v>0</v>
      </c>
      <c r="H235" s="11">
        <f>TableDailySummary[[#This Row],[Órden promedio totales]]*TableDailySummary[[#This Row],[CR totales]]</f>
        <v>0</v>
      </c>
      <c r="I235" s="11">
        <f>_xlfn.XLOOKUP(TableDailySummary[[#This Row],[Fecha]],SummaryDaily[day],SummaryDaily[new_net_sales],0)</f>
        <v>0</v>
      </c>
      <c r="J235" s="11">
        <f>_xlfn.XLOOKUP(TableDailySummary[[#This Row],[Fecha]],SummaryDaily[day],SummaryDaily[new_orders],0)</f>
        <v>0</v>
      </c>
      <c r="K235" s="11">
        <f>_xlfn.XLOOKUP(TableDailySummary[[#This Row],[Fecha]],SummaryDaily[day],SummaryDaily[new_average_order_value],0)</f>
        <v>0</v>
      </c>
      <c r="L235" s="11">
        <f>_xlfn.XLOOKUP(TableDailySummary[[#This Row],[Fecha]],SummaryDaily[day],SummaryDaily[Online Store_net_sales],0)</f>
        <v>0</v>
      </c>
      <c r="M235" s="11">
        <f>_xlfn.XLOOKUP(TableDailySummary[[#This Row],[Fecha]],SummaryDaily[day],SummaryDaily[Online Store_orders],0)</f>
        <v>0</v>
      </c>
      <c r="N235" s="11">
        <f>_xlfn.XLOOKUP(TableDailySummary[[#This Row],[Fecha]],SummaryDaily[day],SummaryDaily[Online Store_average_order_value],0)</f>
        <v>0</v>
      </c>
      <c r="O235" s="11">
        <f>_xlfn.XLOOKUP(TableDailySummary[[#This Row],[Fecha]],SummaryDaily[day],SummaryDaily[Tienda 81_net_sales],0)</f>
        <v>0</v>
      </c>
      <c r="P235" s="11">
        <f>_xlfn.XLOOKUP(TableDailySummary[[#This Row],[Fecha]],SummaryDaily[day],SummaryDaily[Tienda 81_orders],0)</f>
        <v>0</v>
      </c>
      <c r="Q235" s="11">
        <f>_xlfn.XLOOKUP(TableDailySummary[[#This Row],[Fecha]],SummaryDaily[day],SummaryDaily[Tienda 81_average_order_value],0)</f>
        <v>0</v>
      </c>
      <c r="R235" s="11">
        <f>_xlfn.XLOOKUP(TableDailySummary[[#This Row],[Fecha]],SummaryDaily[day],SummaryDaily[Rappi_net_sales],0)</f>
        <v>0</v>
      </c>
      <c r="S235" s="11">
        <f>_xlfn.XLOOKUP(TableDailySummary[[#This Row],[Fecha]],SummaryDaily[day],SummaryDaily[Rappi_orders],0)</f>
        <v>0</v>
      </c>
      <c r="T235" s="11">
        <f>_xlfn.XLOOKUP(TableDailySummary[[#This Row],[Fecha]],SummaryDaily[day],SummaryDaily[Rappi_average_order_value],0)</f>
        <v>0</v>
      </c>
      <c r="U235" s="11">
        <f>_xlfn.XLOOKUP(TableDailySummary[[#This Row],[Fecha]],SummaryDaily[day],SummaryDaily[Corporativo no tienda_net_sales],0)</f>
        <v>0</v>
      </c>
      <c r="V235" s="11">
        <f>_xlfn.XLOOKUP(TableDailySummary[[#This Row],[Fecha]],SummaryDaily[day],SummaryDaily[Corporativo no tienda_orders],0)</f>
        <v>0</v>
      </c>
      <c r="W235" s="11">
        <f>_xlfn.XLOOKUP(TableDailySummary[[#This Row],[Fecha]],SummaryDaily[day],SummaryDaily[Corporativo no tienda_average_order_value],0)</f>
        <v>0</v>
      </c>
      <c r="X235" s="11">
        <f>_xlfn.XLOOKUP(TableDailySummary[[#This Row],[Fecha]],SummaryDaily[day],SummaryDaily[GoogleAdsOperation.Cost],0)</f>
        <v>0</v>
      </c>
      <c r="Y235" s="11">
        <f>SUMIFS(SalesByUTMDaily[google],SalesByUTMDaily[day],TableDailySummary[[#This Row],[Fecha]])</f>
        <v>0</v>
      </c>
      <c r="Z235" s="11">
        <f>_xlfn.XLOOKUP(TableDailySummary[[#This Row],[Fecha]],SummaryDaily[day],SummaryDaily[MetaAdsOperation.spend],0)</f>
        <v>0</v>
      </c>
      <c r="AA235" s="11">
        <f>SUMIFS(SalesByUTMDaily[facebook],SalesByUTMDaily[day],TableDailySummary[[#This Row],[Fecha]])</f>
        <v>0</v>
      </c>
      <c r="AB235" s="11">
        <f>TableDailySummary[[#This Row],[Inversión google ads]]+TableDailySummary[[#This Row],[Inversión meta ads]]</f>
        <v>0</v>
      </c>
      <c r="AC235" s="11">
        <f>TableDailySummary[[#This Row],[Ventas google ads]]+TableDailySummary[[#This Row],[Ventas meta ads]]</f>
        <v>0</v>
      </c>
      <c r="AD235" s="14">
        <f>IFERROR(TableDailySummary[[#This Row],[Ventas publicidad]]/TableDailySummary[[#This Row],[Inversión publicidad]],0)</f>
        <v>0</v>
      </c>
      <c r="AE235" s="14">
        <f>IFERROR(TableDailySummary[[#This Row],[Ventas primer cliente]]/TableDailySummary[[#This Row],[Inversión publicidad]],0)</f>
        <v>0</v>
      </c>
      <c r="AF235" s="14"/>
      <c r="AG235" s="11"/>
      <c r="AM235" s="11">
        <f>_xlfn.XLOOKUP(TableDailySummary[[#This Row],[Fecha]],SummaryDaily[day],SummaryDaily[net_sales_with_cost_recorded],0)</f>
        <v>0</v>
      </c>
      <c r="AN235" s="11">
        <f>_xlfn.XLOOKUP(TableDailySummary[[#This Row],[Fecha]],SummaryDaily[day],SummaryDaily[cost_of_goods_sold],0)</f>
        <v>0</v>
      </c>
      <c r="AO235" s="11">
        <f>_xlfn.XLOOKUP(TableDailySummary[[#This Row],[Fecha]],SummaryDaily[day],SummaryDaily[gross_profit],0)</f>
        <v>0</v>
      </c>
      <c r="AP235" s="18">
        <f>IFERROR(TableDailySummary[[#This Row],[Utilidad bruta]]/TableDailySummary[[#This Row],[Ventas netas con costo registrado]],0)</f>
        <v>0</v>
      </c>
    </row>
    <row r="236" spans="2:42" x14ac:dyDescent="0.2">
      <c r="B236" s="15" cm="1">
        <f t="array" ref="B236">ParamFechaInicioReporte + (ROW(TableDailySummary[#This Row]) - ROW(TableDailySummary[[#Headers],[Dia]]) - 1)</f>
        <v>44763</v>
      </c>
      <c r="C236" s="6">
        <f>TableDailySummary[[#This Row],[Dia]]</f>
        <v>44763</v>
      </c>
      <c r="D236" s="11">
        <f>_xlfn.XLOOKUP(TableDailySummary[[#This Row],[Fecha]],SummaryDaily[day],SummaryDaily[net_sales],0)</f>
        <v>0</v>
      </c>
      <c r="E236" s="11">
        <f>_xlfn.XLOOKUP(TableDailySummary[[#This Row],[Fecha]],SummaryDaily[day],SummaryDaily[orders],0)</f>
        <v>0</v>
      </c>
      <c r="F236" s="11">
        <f>_xlfn.XLOOKUP(TableDailySummary[[#This Row],[Fecha]],SummaryDaily[day],SummaryDaily[average_order_value],0)</f>
        <v>0</v>
      </c>
      <c r="G236" s="24" cm="1">
        <f t="array" ref="G236">_xlfn.XLOOKUP(TableDailySummary[[#This Row],[Fecha]]&amp;"Total site",ConversionRateByReferral[day]&amp;ConversionRateByReferral[referrer_source],ConversionRateByReferral[conversion_rate],0)</f>
        <v>0</v>
      </c>
      <c r="H236" s="11">
        <f>TableDailySummary[[#This Row],[Órden promedio totales]]*TableDailySummary[[#This Row],[CR totales]]</f>
        <v>0</v>
      </c>
      <c r="I236" s="11">
        <f>_xlfn.XLOOKUP(TableDailySummary[[#This Row],[Fecha]],SummaryDaily[day],SummaryDaily[new_net_sales],0)</f>
        <v>0</v>
      </c>
      <c r="J236" s="11">
        <f>_xlfn.XLOOKUP(TableDailySummary[[#This Row],[Fecha]],SummaryDaily[day],SummaryDaily[new_orders],0)</f>
        <v>0</v>
      </c>
      <c r="K236" s="11">
        <f>_xlfn.XLOOKUP(TableDailySummary[[#This Row],[Fecha]],SummaryDaily[day],SummaryDaily[new_average_order_value],0)</f>
        <v>0</v>
      </c>
      <c r="L236" s="11">
        <f>_xlfn.XLOOKUP(TableDailySummary[[#This Row],[Fecha]],SummaryDaily[day],SummaryDaily[Online Store_net_sales],0)</f>
        <v>0</v>
      </c>
      <c r="M236" s="11">
        <f>_xlfn.XLOOKUP(TableDailySummary[[#This Row],[Fecha]],SummaryDaily[day],SummaryDaily[Online Store_orders],0)</f>
        <v>0</v>
      </c>
      <c r="N236" s="11">
        <f>_xlfn.XLOOKUP(TableDailySummary[[#This Row],[Fecha]],SummaryDaily[day],SummaryDaily[Online Store_average_order_value],0)</f>
        <v>0</v>
      </c>
      <c r="O236" s="11">
        <f>_xlfn.XLOOKUP(TableDailySummary[[#This Row],[Fecha]],SummaryDaily[day],SummaryDaily[Tienda 81_net_sales],0)</f>
        <v>0</v>
      </c>
      <c r="P236" s="11">
        <f>_xlfn.XLOOKUP(TableDailySummary[[#This Row],[Fecha]],SummaryDaily[day],SummaryDaily[Tienda 81_orders],0)</f>
        <v>0</v>
      </c>
      <c r="Q236" s="11">
        <f>_xlfn.XLOOKUP(TableDailySummary[[#This Row],[Fecha]],SummaryDaily[day],SummaryDaily[Tienda 81_average_order_value],0)</f>
        <v>0</v>
      </c>
      <c r="R236" s="11">
        <f>_xlfn.XLOOKUP(TableDailySummary[[#This Row],[Fecha]],SummaryDaily[day],SummaryDaily[Rappi_net_sales],0)</f>
        <v>0</v>
      </c>
      <c r="S236" s="11">
        <f>_xlfn.XLOOKUP(TableDailySummary[[#This Row],[Fecha]],SummaryDaily[day],SummaryDaily[Rappi_orders],0)</f>
        <v>0</v>
      </c>
      <c r="T236" s="11">
        <f>_xlfn.XLOOKUP(TableDailySummary[[#This Row],[Fecha]],SummaryDaily[day],SummaryDaily[Rappi_average_order_value],0)</f>
        <v>0</v>
      </c>
      <c r="U236" s="11">
        <f>_xlfn.XLOOKUP(TableDailySummary[[#This Row],[Fecha]],SummaryDaily[day],SummaryDaily[Corporativo no tienda_net_sales],0)</f>
        <v>0</v>
      </c>
      <c r="V236" s="11">
        <f>_xlfn.XLOOKUP(TableDailySummary[[#This Row],[Fecha]],SummaryDaily[day],SummaryDaily[Corporativo no tienda_orders],0)</f>
        <v>0</v>
      </c>
      <c r="W236" s="11">
        <f>_xlfn.XLOOKUP(TableDailySummary[[#This Row],[Fecha]],SummaryDaily[day],SummaryDaily[Corporativo no tienda_average_order_value],0)</f>
        <v>0</v>
      </c>
      <c r="X236" s="11">
        <f>_xlfn.XLOOKUP(TableDailySummary[[#This Row],[Fecha]],SummaryDaily[day],SummaryDaily[GoogleAdsOperation.Cost],0)</f>
        <v>0</v>
      </c>
      <c r="Y236" s="11">
        <f>SUMIFS(SalesByUTMDaily[google],SalesByUTMDaily[day],TableDailySummary[[#This Row],[Fecha]])</f>
        <v>0</v>
      </c>
      <c r="Z236" s="11">
        <f>_xlfn.XLOOKUP(TableDailySummary[[#This Row],[Fecha]],SummaryDaily[day],SummaryDaily[MetaAdsOperation.spend],0)</f>
        <v>0</v>
      </c>
      <c r="AA236" s="11">
        <f>SUMIFS(SalesByUTMDaily[facebook],SalesByUTMDaily[day],TableDailySummary[[#This Row],[Fecha]])</f>
        <v>0</v>
      </c>
      <c r="AB236" s="11">
        <f>TableDailySummary[[#This Row],[Inversión google ads]]+TableDailySummary[[#This Row],[Inversión meta ads]]</f>
        <v>0</v>
      </c>
      <c r="AC236" s="11">
        <f>TableDailySummary[[#This Row],[Ventas google ads]]+TableDailySummary[[#This Row],[Ventas meta ads]]</f>
        <v>0</v>
      </c>
      <c r="AD236" s="14">
        <f>IFERROR(TableDailySummary[[#This Row],[Ventas publicidad]]/TableDailySummary[[#This Row],[Inversión publicidad]],0)</f>
        <v>0</v>
      </c>
      <c r="AE236" s="14">
        <f>IFERROR(TableDailySummary[[#This Row],[Ventas primer cliente]]/TableDailySummary[[#This Row],[Inversión publicidad]],0)</f>
        <v>0</v>
      </c>
      <c r="AF236" s="14"/>
      <c r="AG236" s="11"/>
      <c r="AM236" s="11">
        <f>_xlfn.XLOOKUP(TableDailySummary[[#This Row],[Fecha]],SummaryDaily[day],SummaryDaily[net_sales_with_cost_recorded],0)</f>
        <v>0</v>
      </c>
      <c r="AN236" s="11">
        <f>_xlfn.XLOOKUP(TableDailySummary[[#This Row],[Fecha]],SummaryDaily[day],SummaryDaily[cost_of_goods_sold],0)</f>
        <v>0</v>
      </c>
      <c r="AO236" s="11">
        <f>_xlfn.XLOOKUP(TableDailySummary[[#This Row],[Fecha]],SummaryDaily[day],SummaryDaily[gross_profit],0)</f>
        <v>0</v>
      </c>
      <c r="AP236" s="18">
        <f>IFERROR(TableDailySummary[[#This Row],[Utilidad bruta]]/TableDailySummary[[#This Row],[Ventas netas con costo registrado]],0)</f>
        <v>0</v>
      </c>
    </row>
    <row r="237" spans="2:42" x14ac:dyDescent="0.2">
      <c r="B237" s="15" cm="1">
        <f t="array" ref="B237">ParamFechaInicioReporte + (ROW(TableDailySummary[#This Row]) - ROW(TableDailySummary[[#Headers],[Dia]]) - 1)</f>
        <v>44764</v>
      </c>
      <c r="C237" s="6">
        <f>TableDailySummary[[#This Row],[Dia]]</f>
        <v>44764</v>
      </c>
      <c r="D237" s="11">
        <f>_xlfn.XLOOKUP(TableDailySummary[[#This Row],[Fecha]],SummaryDaily[day],SummaryDaily[net_sales],0)</f>
        <v>0</v>
      </c>
      <c r="E237" s="11">
        <f>_xlfn.XLOOKUP(TableDailySummary[[#This Row],[Fecha]],SummaryDaily[day],SummaryDaily[orders],0)</f>
        <v>0</v>
      </c>
      <c r="F237" s="11">
        <f>_xlfn.XLOOKUP(TableDailySummary[[#This Row],[Fecha]],SummaryDaily[day],SummaryDaily[average_order_value],0)</f>
        <v>0</v>
      </c>
      <c r="G237" s="24" cm="1">
        <f t="array" ref="G237">_xlfn.XLOOKUP(TableDailySummary[[#This Row],[Fecha]]&amp;"Total site",ConversionRateByReferral[day]&amp;ConversionRateByReferral[referrer_source],ConversionRateByReferral[conversion_rate],0)</f>
        <v>0</v>
      </c>
      <c r="H237" s="11">
        <f>TableDailySummary[[#This Row],[Órden promedio totales]]*TableDailySummary[[#This Row],[CR totales]]</f>
        <v>0</v>
      </c>
      <c r="I237" s="11">
        <f>_xlfn.XLOOKUP(TableDailySummary[[#This Row],[Fecha]],SummaryDaily[day],SummaryDaily[new_net_sales],0)</f>
        <v>0</v>
      </c>
      <c r="J237" s="11">
        <f>_xlfn.XLOOKUP(TableDailySummary[[#This Row],[Fecha]],SummaryDaily[day],SummaryDaily[new_orders],0)</f>
        <v>0</v>
      </c>
      <c r="K237" s="11">
        <f>_xlfn.XLOOKUP(TableDailySummary[[#This Row],[Fecha]],SummaryDaily[day],SummaryDaily[new_average_order_value],0)</f>
        <v>0</v>
      </c>
      <c r="L237" s="11">
        <f>_xlfn.XLOOKUP(TableDailySummary[[#This Row],[Fecha]],SummaryDaily[day],SummaryDaily[Online Store_net_sales],0)</f>
        <v>0</v>
      </c>
      <c r="M237" s="11">
        <f>_xlfn.XLOOKUP(TableDailySummary[[#This Row],[Fecha]],SummaryDaily[day],SummaryDaily[Online Store_orders],0)</f>
        <v>0</v>
      </c>
      <c r="N237" s="11">
        <f>_xlfn.XLOOKUP(TableDailySummary[[#This Row],[Fecha]],SummaryDaily[day],SummaryDaily[Online Store_average_order_value],0)</f>
        <v>0</v>
      </c>
      <c r="O237" s="11">
        <f>_xlfn.XLOOKUP(TableDailySummary[[#This Row],[Fecha]],SummaryDaily[day],SummaryDaily[Tienda 81_net_sales],0)</f>
        <v>0</v>
      </c>
      <c r="P237" s="11">
        <f>_xlfn.XLOOKUP(TableDailySummary[[#This Row],[Fecha]],SummaryDaily[day],SummaryDaily[Tienda 81_orders],0)</f>
        <v>0</v>
      </c>
      <c r="Q237" s="11">
        <f>_xlfn.XLOOKUP(TableDailySummary[[#This Row],[Fecha]],SummaryDaily[day],SummaryDaily[Tienda 81_average_order_value],0)</f>
        <v>0</v>
      </c>
      <c r="R237" s="11">
        <f>_xlfn.XLOOKUP(TableDailySummary[[#This Row],[Fecha]],SummaryDaily[day],SummaryDaily[Rappi_net_sales],0)</f>
        <v>0</v>
      </c>
      <c r="S237" s="11">
        <f>_xlfn.XLOOKUP(TableDailySummary[[#This Row],[Fecha]],SummaryDaily[day],SummaryDaily[Rappi_orders],0)</f>
        <v>0</v>
      </c>
      <c r="T237" s="11">
        <f>_xlfn.XLOOKUP(TableDailySummary[[#This Row],[Fecha]],SummaryDaily[day],SummaryDaily[Rappi_average_order_value],0)</f>
        <v>0</v>
      </c>
      <c r="U237" s="11">
        <f>_xlfn.XLOOKUP(TableDailySummary[[#This Row],[Fecha]],SummaryDaily[day],SummaryDaily[Corporativo no tienda_net_sales],0)</f>
        <v>0</v>
      </c>
      <c r="V237" s="11">
        <f>_xlfn.XLOOKUP(TableDailySummary[[#This Row],[Fecha]],SummaryDaily[day],SummaryDaily[Corporativo no tienda_orders],0)</f>
        <v>0</v>
      </c>
      <c r="W237" s="11">
        <f>_xlfn.XLOOKUP(TableDailySummary[[#This Row],[Fecha]],SummaryDaily[day],SummaryDaily[Corporativo no tienda_average_order_value],0)</f>
        <v>0</v>
      </c>
      <c r="X237" s="11">
        <f>_xlfn.XLOOKUP(TableDailySummary[[#This Row],[Fecha]],SummaryDaily[day],SummaryDaily[GoogleAdsOperation.Cost],0)</f>
        <v>0</v>
      </c>
      <c r="Y237" s="11">
        <f>SUMIFS(SalesByUTMDaily[google],SalesByUTMDaily[day],TableDailySummary[[#This Row],[Fecha]])</f>
        <v>0</v>
      </c>
      <c r="Z237" s="11">
        <f>_xlfn.XLOOKUP(TableDailySummary[[#This Row],[Fecha]],SummaryDaily[day],SummaryDaily[MetaAdsOperation.spend],0)</f>
        <v>0</v>
      </c>
      <c r="AA237" s="11">
        <f>SUMIFS(SalesByUTMDaily[facebook],SalesByUTMDaily[day],TableDailySummary[[#This Row],[Fecha]])</f>
        <v>0</v>
      </c>
      <c r="AB237" s="11">
        <f>TableDailySummary[[#This Row],[Inversión google ads]]+TableDailySummary[[#This Row],[Inversión meta ads]]</f>
        <v>0</v>
      </c>
      <c r="AC237" s="11">
        <f>TableDailySummary[[#This Row],[Ventas google ads]]+TableDailySummary[[#This Row],[Ventas meta ads]]</f>
        <v>0</v>
      </c>
      <c r="AD237" s="14">
        <f>IFERROR(TableDailySummary[[#This Row],[Ventas publicidad]]/TableDailySummary[[#This Row],[Inversión publicidad]],0)</f>
        <v>0</v>
      </c>
      <c r="AE237" s="14">
        <f>IFERROR(TableDailySummary[[#This Row],[Ventas primer cliente]]/TableDailySummary[[#This Row],[Inversión publicidad]],0)</f>
        <v>0</v>
      </c>
      <c r="AF237" s="14"/>
      <c r="AG237" s="11"/>
      <c r="AM237" s="11">
        <f>_xlfn.XLOOKUP(TableDailySummary[[#This Row],[Fecha]],SummaryDaily[day],SummaryDaily[net_sales_with_cost_recorded],0)</f>
        <v>0</v>
      </c>
      <c r="AN237" s="11">
        <f>_xlfn.XLOOKUP(TableDailySummary[[#This Row],[Fecha]],SummaryDaily[day],SummaryDaily[cost_of_goods_sold],0)</f>
        <v>0</v>
      </c>
      <c r="AO237" s="11">
        <f>_xlfn.XLOOKUP(TableDailySummary[[#This Row],[Fecha]],SummaryDaily[day],SummaryDaily[gross_profit],0)</f>
        <v>0</v>
      </c>
      <c r="AP237" s="18">
        <f>IFERROR(TableDailySummary[[#This Row],[Utilidad bruta]]/TableDailySummary[[#This Row],[Ventas netas con costo registrado]],0)</f>
        <v>0</v>
      </c>
    </row>
    <row r="238" spans="2:42" x14ac:dyDescent="0.2">
      <c r="B238" s="15" cm="1">
        <f t="array" ref="B238">ParamFechaInicioReporte + (ROW(TableDailySummary[#This Row]) - ROW(TableDailySummary[[#Headers],[Dia]]) - 1)</f>
        <v>44765</v>
      </c>
      <c r="C238" s="6">
        <f>TableDailySummary[[#This Row],[Dia]]</f>
        <v>44765</v>
      </c>
      <c r="D238" s="11">
        <f>_xlfn.XLOOKUP(TableDailySummary[[#This Row],[Fecha]],SummaryDaily[day],SummaryDaily[net_sales],0)</f>
        <v>0</v>
      </c>
      <c r="E238" s="11">
        <f>_xlfn.XLOOKUP(TableDailySummary[[#This Row],[Fecha]],SummaryDaily[day],SummaryDaily[orders],0)</f>
        <v>0</v>
      </c>
      <c r="F238" s="11">
        <f>_xlfn.XLOOKUP(TableDailySummary[[#This Row],[Fecha]],SummaryDaily[day],SummaryDaily[average_order_value],0)</f>
        <v>0</v>
      </c>
      <c r="G238" s="24" cm="1">
        <f t="array" ref="G238">_xlfn.XLOOKUP(TableDailySummary[[#This Row],[Fecha]]&amp;"Total site",ConversionRateByReferral[day]&amp;ConversionRateByReferral[referrer_source],ConversionRateByReferral[conversion_rate],0)</f>
        <v>0</v>
      </c>
      <c r="H238" s="11">
        <f>TableDailySummary[[#This Row],[Órden promedio totales]]*TableDailySummary[[#This Row],[CR totales]]</f>
        <v>0</v>
      </c>
      <c r="I238" s="11">
        <f>_xlfn.XLOOKUP(TableDailySummary[[#This Row],[Fecha]],SummaryDaily[day],SummaryDaily[new_net_sales],0)</f>
        <v>0</v>
      </c>
      <c r="J238" s="11">
        <f>_xlfn.XLOOKUP(TableDailySummary[[#This Row],[Fecha]],SummaryDaily[day],SummaryDaily[new_orders],0)</f>
        <v>0</v>
      </c>
      <c r="K238" s="11">
        <f>_xlfn.XLOOKUP(TableDailySummary[[#This Row],[Fecha]],SummaryDaily[day],SummaryDaily[new_average_order_value],0)</f>
        <v>0</v>
      </c>
      <c r="L238" s="11">
        <f>_xlfn.XLOOKUP(TableDailySummary[[#This Row],[Fecha]],SummaryDaily[day],SummaryDaily[Online Store_net_sales],0)</f>
        <v>0</v>
      </c>
      <c r="M238" s="11">
        <f>_xlfn.XLOOKUP(TableDailySummary[[#This Row],[Fecha]],SummaryDaily[day],SummaryDaily[Online Store_orders],0)</f>
        <v>0</v>
      </c>
      <c r="N238" s="11">
        <f>_xlfn.XLOOKUP(TableDailySummary[[#This Row],[Fecha]],SummaryDaily[day],SummaryDaily[Online Store_average_order_value],0)</f>
        <v>0</v>
      </c>
      <c r="O238" s="11">
        <f>_xlfn.XLOOKUP(TableDailySummary[[#This Row],[Fecha]],SummaryDaily[day],SummaryDaily[Tienda 81_net_sales],0)</f>
        <v>0</v>
      </c>
      <c r="P238" s="11">
        <f>_xlfn.XLOOKUP(TableDailySummary[[#This Row],[Fecha]],SummaryDaily[day],SummaryDaily[Tienda 81_orders],0)</f>
        <v>0</v>
      </c>
      <c r="Q238" s="11">
        <f>_xlfn.XLOOKUP(TableDailySummary[[#This Row],[Fecha]],SummaryDaily[day],SummaryDaily[Tienda 81_average_order_value],0)</f>
        <v>0</v>
      </c>
      <c r="R238" s="11">
        <f>_xlfn.XLOOKUP(TableDailySummary[[#This Row],[Fecha]],SummaryDaily[day],SummaryDaily[Rappi_net_sales],0)</f>
        <v>0</v>
      </c>
      <c r="S238" s="11">
        <f>_xlfn.XLOOKUP(TableDailySummary[[#This Row],[Fecha]],SummaryDaily[day],SummaryDaily[Rappi_orders],0)</f>
        <v>0</v>
      </c>
      <c r="T238" s="11">
        <f>_xlfn.XLOOKUP(TableDailySummary[[#This Row],[Fecha]],SummaryDaily[day],SummaryDaily[Rappi_average_order_value],0)</f>
        <v>0</v>
      </c>
      <c r="U238" s="11">
        <f>_xlfn.XLOOKUP(TableDailySummary[[#This Row],[Fecha]],SummaryDaily[day],SummaryDaily[Corporativo no tienda_net_sales],0)</f>
        <v>0</v>
      </c>
      <c r="V238" s="11">
        <f>_xlfn.XLOOKUP(TableDailySummary[[#This Row],[Fecha]],SummaryDaily[day],SummaryDaily[Corporativo no tienda_orders],0)</f>
        <v>0</v>
      </c>
      <c r="W238" s="11">
        <f>_xlfn.XLOOKUP(TableDailySummary[[#This Row],[Fecha]],SummaryDaily[day],SummaryDaily[Corporativo no tienda_average_order_value],0)</f>
        <v>0</v>
      </c>
      <c r="X238" s="11">
        <f>_xlfn.XLOOKUP(TableDailySummary[[#This Row],[Fecha]],SummaryDaily[day],SummaryDaily[GoogleAdsOperation.Cost],0)</f>
        <v>0</v>
      </c>
      <c r="Y238" s="11">
        <f>SUMIFS(SalesByUTMDaily[google],SalesByUTMDaily[day],TableDailySummary[[#This Row],[Fecha]])</f>
        <v>0</v>
      </c>
      <c r="Z238" s="11">
        <f>_xlfn.XLOOKUP(TableDailySummary[[#This Row],[Fecha]],SummaryDaily[day],SummaryDaily[MetaAdsOperation.spend],0)</f>
        <v>0</v>
      </c>
      <c r="AA238" s="11">
        <f>SUMIFS(SalesByUTMDaily[facebook],SalesByUTMDaily[day],TableDailySummary[[#This Row],[Fecha]])</f>
        <v>0</v>
      </c>
      <c r="AB238" s="11">
        <f>TableDailySummary[[#This Row],[Inversión google ads]]+TableDailySummary[[#This Row],[Inversión meta ads]]</f>
        <v>0</v>
      </c>
      <c r="AC238" s="11">
        <f>TableDailySummary[[#This Row],[Ventas google ads]]+TableDailySummary[[#This Row],[Ventas meta ads]]</f>
        <v>0</v>
      </c>
      <c r="AD238" s="14">
        <f>IFERROR(TableDailySummary[[#This Row],[Ventas publicidad]]/TableDailySummary[[#This Row],[Inversión publicidad]],0)</f>
        <v>0</v>
      </c>
      <c r="AE238" s="14">
        <f>IFERROR(TableDailySummary[[#This Row],[Ventas primer cliente]]/TableDailySummary[[#This Row],[Inversión publicidad]],0)</f>
        <v>0</v>
      </c>
      <c r="AF238" s="14"/>
      <c r="AG238" s="11"/>
      <c r="AM238" s="11">
        <f>_xlfn.XLOOKUP(TableDailySummary[[#This Row],[Fecha]],SummaryDaily[day],SummaryDaily[net_sales_with_cost_recorded],0)</f>
        <v>0</v>
      </c>
      <c r="AN238" s="11">
        <f>_xlfn.XLOOKUP(TableDailySummary[[#This Row],[Fecha]],SummaryDaily[day],SummaryDaily[cost_of_goods_sold],0)</f>
        <v>0</v>
      </c>
      <c r="AO238" s="11">
        <f>_xlfn.XLOOKUP(TableDailySummary[[#This Row],[Fecha]],SummaryDaily[day],SummaryDaily[gross_profit],0)</f>
        <v>0</v>
      </c>
      <c r="AP238" s="18">
        <f>IFERROR(TableDailySummary[[#This Row],[Utilidad bruta]]/TableDailySummary[[#This Row],[Ventas netas con costo registrado]],0)</f>
        <v>0</v>
      </c>
    </row>
    <row r="239" spans="2:42" x14ac:dyDescent="0.2">
      <c r="B239" s="15" cm="1">
        <f t="array" ref="B239">ParamFechaInicioReporte + (ROW(TableDailySummary[#This Row]) - ROW(TableDailySummary[[#Headers],[Dia]]) - 1)</f>
        <v>44766</v>
      </c>
      <c r="C239" s="6">
        <f>TableDailySummary[[#This Row],[Dia]]</f>
        <v>44766</v>
      </c>
      <c r="D239" s="11">
        <f>_xlfn.XLOOKUP(TableDailySummary[[#This Row],[Fecha]],SummaryDaily[day],SummaryDaily[net_sales],0)</f>
        <v>0</v>
      </c>
      <c r="E239" s="11">
        <f>_xlfn.XLOOKUP(TableDailySummary[[#This Row],[Fecha]],SummaryDaily[day],SummaryDaily[orders],0)</f>
        <v>0</v>
      </c>
      <c r="F239" s="11">
        <f>_xlfn.XLOOKUP(TableDailySummary[[#This Row],[Fecha]],SummaryDaily[day],SummaryDaily[average_order_value],0)</f>
        <v>0</v>
      </c>
      <c r="G239" s="24" cm="1">
        <f t="array" ref="G239">_xlfn.XLOOKUP(TableDailySummary[[#This Row],[Fecha]]&amp;"Total site",ConversionRateByReferral[day]&amp;ConversionRateByReferral[referrer_source],ConversionRateByReferral[conversion_rate],0)</f>
        <v>0</v>
      </c>
      <c r="H239" s="11">
        <f>TableDailySummary[[#This Row],[Órden promedio totales]]*TableDailySummary[[#This Row],[CR totales]]</f>
        <v>0</v>
      </c>
      <c r="I239" s="11">
        <f>_xlfn.XLOOKUP(TableDailySummary[[#This Row],[Fecha]],SummaryDaily[day],SummaryDaily[new_net_sales],0)</f>
        <v>0</v>
      </c>
      <c r="J239" s="11">
        <f>_xlfn.XLOOKUP(TableDailySummary[[#This Row],[Fecha]],SummaryDaily[day],SummaryDaily[new_orders],0)</f>
        <v>0</v>
      </c>
      <c r="K239" s="11">
        <f>_xlfn.XLOOKUP(TableDailySummary[[#This Row],[Fecha]],SummaryDaily[day],SummaryDaily[new_average_order_value],0)</f>
        <v>0</v>
      </c>
      <c r="L239" s="11">
        <f>_xlfn.XLOOKUP(TableDailySummary[[#This Row],[Fecha]],SummaryDaily[day],SummaryDaily[Online Store_net_sales],0)</f>
        <v>0</v>
      </c>
      <c r="M239" s="11">
        <f>_xlfn.XLOOKUP(TableDailySummary[[#This Row],[Fecha]],SummaryDaily[day],SummaryDaily[Online Store_orders],0)</f>
        <v>0</v>
      </c>
      <c r="N239" s="11">
        <f>_xlfn.XLOOKUP(TableDailySummary[[#This Row],[Fecha]],SummaryDaily[day],SummaryDaily[Online Store_average_order_value],0)</f>
        <v>0</v>
      </c>
      <c r="O239" s="11">
        <f>_xlfn.XLOOKUP(TableDailySummary[[#This Row],[Fecha]],SummaryDaily[day],SummaryDaily[Tienda 81_net_sales],0)</f>
        <v>0</v>
      </c>
      <c r="P239" s="11">
        <f>_xlfn.XLOOKUP(TableDailySummary[[#This Row],[Fecha]],SummaryDaily[day],SummaryDaily[Tienda 81_orders],0)</f>
        <v>0</v>
      </c>
      <c r="Q239" s="11">
        <f>_xlfn.XLOOKUP(TableDailySummary[[#This Row],[Fecha]],SummaryDaily[day],SummaryDaily[Tienda 81_average_order_value],0)</f>
        <v>0</v>
      </c>
      <c r="R239" s="11">
        <f>_xlfn.XLOOKUP(TableDailySummary[[#This Row],[Fecha]],SummaryDaily[day],SummaryDaily[Rappi_net_sales],0)</f>
        <v>0</v>
      </c>
      <c r="S239" s="11">
        <f>_xlfn.XLOOKUP(TableDailySummary[[#This Row],[Fecha]],SummaryDaily[day],SummaryDaily[Rappi_orders],0)</f>
        <v>0</v>
      </c>
      <c r="T239" s="11">
        <f>_xlfn.XLOOKUP(TableDailySummary[[#This Row],[Fecha]],SummaryDaily[day],SummaryDaily[Rappi_average_order_value],0)</f>
        <v>0</v>
      </c>
      <c r="U239" s="11">
        <f>_xlfn.XLOOKUP(TableDailySummary[[#This Row],[Fecha]],SummaryDaily[day],SummaryDaily[Corporativo no tienda_net_sales],0)</f>
        <v>0</v>
      </c>
      <c r="V239" s="11">
        <f>_xlfn.XLOOKUP(TableDailySummary[[#This Row],[Fecha]],SummaryDaily[day],SummaryDaily[Corporativo no tienda_orders],0)</f>
        <v>0</v>
      </c>
      <c r="W239" s="11">
        <f>_xlfn.XLOOKUP(TableDailySummary[[#This Row],[Fecha]],SummaryDaily[day],SummaryDaily[Corporativo no tienda_average_order_value],0)</f>
        <v>0</v>
      </c>
      <c r="X239" s="11">
        <f>_xlfn.XLOOKUP(TableDailySummary[[#This Row],[Fecha]],SummaryDaily[day],SummaryDaily[GoogleAdsOperation.Cost],0)</f>
        <v>0</v>
      </c>
      <c r="Y239" s="11">
        <f>SUMIFS(SalesByUTMDaily[google],SalesByUTMDaily[day],TableDailySummary[[#This Row],[Fecha]])</f>
        <v>0</v>
      </c>
      <c r="Z239" s="11">
        <f>_xlfn.XLOOKUP(TableDailySummary[[#This Row],[Fecha]],SummaryDaily[day],SummaryDaily[MetaAdsOperation.spend],0)</f>
        <v>0</v>
      </c>
      <c r="AA239" s="11">
        <f>SUMIFS(SalesByUTMDaily[facebook],SalesByUTMDaily[day],TableDailySummary[[#This Row],[Fecha]])</f>
        <v>0</v>
      </c>
      <c r="AB239" s="11">
        <f>TableDailySummary[[#This Row],[Inversión google ads]]+TableDailySummary[[#This Row],[Inversión meta ads]]</f>
        <v>0</v>
      </c>
      <c r="AC239" s="11">
        <f>TableDailySummary[[#This Row],[Ventas google ads]]+TableDailySummary[[#This Row],[Ventas meta ads]]</f>
        <v>0</v>
      </c>
      <c r="AD239" s="14">
        <f>IFERROR(TableDailySummary[[#This Row],[Ventas publicidad]]/TableDailySummary[[#This Row],[Inversión publicidad]],0)</f>
        <v>0</v>
      </c>
      <c r="AE239" s="14">
        <f>IFERROR(TableDailySummary[[#This Row],[Ventas primer cliente]]/TableDailySummary[[#This Row],[Inversión publicidad]],0)</f>
        <v>0</v>
      </c>
      <c r="AF239" s="14"/>
      <c r="AG239" s="11"/>
      <c r="AM239" s="11">
        <f>_xlfn.XLOOKUP(TableDailySummary[[#This Row],[Fecha]],SummaryDaily[day],SummaryDaily[net_sales_with_cost_recorded],0)</f>
        <v>0</v>
      </c>
      <c r="AN239" s="11">
        <f>_xlfn.XLOOKUP(TableDailySummary[[#This Row],[Fecha]],SummaryDaily[day],SummaryDaily[cost_of_goods_sold],0)</f>
        <v>0</v>
      </c>
      <c r="AO239" s="11">
        <f>_xlfn.XLOOKUP(TableDailySummary[[#This Row],[Fecha]],SummaryDaily[day],SummaryDaily[gross_profit],0)</f>
        <v>0</v>
      </c>
      <c r="AP239" s="18">
        <f>IFERROR(TableDailySummary[[#This Row],[Utilidad bruta]]/TableDailySummary[[#This Row],[Ventas netas con costo registrado]],0)</f>
        <v>0</v>
      </c>
    </row>
    <row r="240" spans="2:42" x14ac:dyDescent="0.2">
      <c r="B240" s="15" cm="1">
        <f t="array" ref="B240">ParamFechaInicioReporte + (ROW(TableDailySummary[#This Row]) - ROW(TableDailySummary[[#Headers],[Dia]]) - 1)</f>
        <v>44767</v>
      </c>
      <c r="C240" s="6">
        <f>TableDailySummary[[#This Row],[Dia]]</f>
        <v>44767</v>
      </c>
      <c r="D240" s="11">
        <f>_xlfn.XLOOKUP(TableDailySummary[[#This Row],[Fecha]],SummaryDaily[day],SummaryDaily[net_sales],0)</f>
        <v>0</v>
      </c>
      <c r="E240" s="11">
        <f>_xlfn.XLOOKUP(TableDailySummary[[#This Row],[Fecha]],SummaryDaily[day],SummaryDaily[orders],0)</f>
        <v>0</v>
      </c>
      <c r="F240" s="11">
        <f>_xlfn.XLOOKUP(TableDailySummary[[#This Row],[Fecha]],SummaryDaily[day],SummaryDaily[average_order_value],0)</f>
        <v>0</v>
      </c>
      <c r="G240" s="24" cm="1">
        <f t="array" ref="G240">_xlfn.XLOOKUP(TableDailySummary[[#This Row],[Fecha]]&amp;"Total site",ConversionRateByReferral[day]&amp;ConversionRateByReferral[referrer_source],ConversionRateByReferral[conversion_rate],0)</f>
        <v>0</v>
      </c>
      <c r="H240" s="11">
        <f>TableDailySummary[[#This Row],[Órden promedio totales]]*TableDailySummary[[#This Row],[CR totales]]</f>
        <v>0</v>
      </c>
      <c r="I240" s="11">
        <f>_xlfn.XLOOKUP(TableDailySummary[[#This Row],[Fecha]],SummaryDaily[day],SummaryDaily[new_net_sales],0)</f>
        <v>0</v>
      </c>
      <c r="J240" s="11">
        <f>_xlfn.XLOOKUP(TableDailySummary[[#This Row],[Fecha]],SummaryDaily[day],SummaryDaily[new_orders],0)</f>
        <v>0</v>
      </c>
      <c r="K240" s="11">
        <f>_xlfn.XLOOKUP(TableDailySummary[[#This Row],[Fecha]],SummaryDaily[day],SummaryDaily[new_average_order_value],0)</f>
        <v>0</v>
      </c>
      <c r="L240" s="11">
        <f>_xlfn.XLOOKUP(TableDailySummary[[#This Row],[Fecha]],SummaryDaily[day],SummaryDaily[Online Store_net_sales],0)</f>
        <v>0</v>
      </c>
      <c r="M240" s="11">
        <f>_xlfn.XLOOKUP(TableDailySummary[[#This Row],[Fecha]],SummaryDaily[day],SummaryDaily[Online Store_orders],0)</f>
        <v>0</v>
      </c>
      <c r="N240" s="11">
        <f>_xlfn.XLOOKUP(TableDailySummary[[#This Row],[Fecha]],SummaryDaily[day],SummaryDaily[Online Store_average_order_value],0)</f>
        <v>0</v>
      </c>
      <c r="O240" s="11">
        <f>_xlfn.XLOOKUP(TableDailySummary[[#This Row],[Fecha]],SummaryDaily[day],SummaryDaily[Tienda 81_net_sales],0)</f>
        <v>0</v>
      </c>
      <c r="P240" s="11">
        <f>_xlfn.XLOOKUP(TableDailySummary[[#This Row],[Fecha]],SummaryDaily[day],SummaryDaily[Tienda 81_orders],0)</f>
        <v>0</v>
      </c>
      <c r="Q240" s="11">
        <f>_xlfn.XLOOKUP(TableDailySummary[[#This Row],[Fecha]],SummaryDaily[day],SummaryDaily[Tienda 81_average_order_value],0)</f>
        <v>0</v>
      </c>
      <c r="R240" s="11">
        <f>_xlfn.XLOOKUP(TableDailySummary[[#This Row],[Fecha]],SummaryDaily[day],SummaryDaily[Rappi_net_sales],0)</f>
        <v>0</v>
      </c>
      <c r="S240" s="11">
        <f>_xlfn.XLOOKUP(TableDailySummary[[#This Row],[Fecha]],SummaryDaily[day],SummaryDaily[Rappi_orders],0)</f>
        <v>0</v>
      </c>
      <c r="T240" s="11">
        <f>_xlfn.XLOOKUP(TableDailySummary[[#This Row],[Fecha]],SummaryDaily[day],SummaryDaily[Rappi_average_order_value],0)</f>
        <v>0</v>
      </c>
      <c r="U240" s="11">
        <f>_xlfn.XLOOKUP(TableDailySummary[[#This Row],[Fecha]],SummaryDaily[day],SummaryDaily[Corporativo no tienda_net_sales],0)</f>
        <v>0</v>
      </c>
      <c r="V240" s="11">
        <f>_xlfn.XLOOKUP(TableDailySummary[[#This Row],[Fecha]],SummaryDaily[day],SummaryDaily[Corporativo no tienda_orders],0)</f>
        <v>0</v>
      </c>
      <c r="W240" s="11">
        <f>_xlfn.XLOOKUP(TableDailySummary[[#This Row],[Fecha]],SummaryDaily[day],SummaryDaily[Corporativo no tienda_average_order_value],0)</f>
        <v>0</v>
      </c>
      <c r="X240" s="11">
        <f>_xlfn.XLOOKUP(TableDailySummary[[#This Row],[Fecha]],SummaryDaily[day],SummaryDaily[GoogleAdsOperation.Cost],0)</f>
        <v>0</v>
      </c>
      <c r="Y240" s="11">
        <f>SUMIFS(SalesByUTMDaily[google],SalesByUTMDaily[day],TableDailySummary[[#This Row],[Fecha]])</f>
        <v>0</v>
      </c>
      <c r="Z240" s="11">
        <f>_xlfn.XLOOKUP(TableDailySummary[[#This Row],[Fecha]],SummaryDaily[day],SummaryDaily[MetaAdsOperation.spend],0)</f>
        <v>0</v>
      </c>
      <c r="AA240" s="11">
        <f>SUMIFS(SalesByUTMDaily[facebook],SalesByUTMDaily[day],TableDailySummary[[#This Row],[Fecha]])</f>
        <v>0</v>
      </c>
      <c r="AB240" s="11">
        <f>TableDailySummary[[#This Row],[Inversión google ads]]+TableDailySummary[[#This Row],[Inversión meta ads]]</f>
        <v>0</v>
      </c>
      <c r="AC240" s="11">
        <f>TableDailySummary[[#This Row],[Ventas google ads]]+TableDailySummary[[#This Row],[Ventas meta ads]]</f>
        <v>0</v>
      </c>
      <c r="AD240" s="14">
        <f>IFERROR(TableDailySummary[[#This Row],[Ventas publicidad]]/TableDailySummary[[#This Row],[Inversión publicidad]],0)</f>
        <v>0</v>
      </c>
      <c r="AE240" s="14">
        <f>IFERROR(TableDailySummary[[#This Row],[Ventas primer cliente]]/TableDailySummary[[#This Row],[Inversión publicidad]],0)</f>
        <v>0</v>
      </c>
      <c r="AF240" s="14"/>
      <c r="AG240" s="11"/>
      <c r="AM240" s="11">
        <f>_xlfn.XLOOKUP(TableDailySummary[[#This Row],[Fecha]],SummaryDaily[day],SummaryDaily[net_sales_with_cost_recorded],0)</f>
        <v>0</v>
      </c>
      <c r="AN240" s="11">
        <f>_xlfn.XLOOKUP(TableDailySummary[[#This Row],[Fecha]],SummaryDaily[day],SummaryDaily[cost_of_goods_sold],0)</f>
        <v>0</v>
      </c>
      <c r="AO240" s="11">
        <f>_xlfn.XLOOKUP(TableDailySummary[[#This Row],[Fecha]],SummaryDaily[day],SummaryDaily[gross_profit],0)</f>
        <v>0</v>
      </c>
      <c r="AP240" s="18">
        <f>IFERROR(TableDailySummary[[#This Row],[Utilidad bruta]]/TableDailySummary[[#This Row],[Ventas netas con costo registrado]],0)</f>
        <v>0</v>
      </c>
    </row>
    <row r="241" spans="2:42" x14ac:dyDescent="0.2">
      <c r="B241" s="15" cm="1">
        <f t="array" ref="B241">ParamFechaInicioReporte + (ROW(TableDailySummary[#This Row]) - ROW(TableDailySummary[[#Headers],[Dia]]) - 1)</f>
        <v>44768</v>
      </c>
      <c r="C241" s="6">
        <f>TableDailySummary[[#This Row],[Dia]]</f>
        <v>44768</v>
      </c>
      <c r="D241" s="11">
        <f>_xlfn.XLOOKUP(TableDailySummary[[#This Row],[Fecha]],SummaryDaily[day],SummaryDaily[net_sales],0)</f>
        <v>0</v>
      </c>
      <c r="E241" s="11">
        <f>_xlfn.XLOOKUP(TableDailySummary[[#This Row],[Fecha]],SummaryDaily[day],SummaryDaily[orders],0)</f>
        <v>0</v>
      </c>
      <c r="F241" s="11">
        <f>_xlfn.XLOOKUP(TableDailySummary[[#This Row],[Fecha]],SummaryDaily[day],SummaryDaily[average_order_value],0)</f>
        <v>0</v>
      </c>
      <c r="G241" s="24" cm="1">
        <f t="array" ref="G241">_xlfn.XLOOKUP(TableDailySummary[[#This Row],[Fecha]]&amp;"Total site",ConversionRateByReferral[day]&amp;ConversionRateByReferral[referrer_source],ConversionRateByReferral[conversion_rate],0)</f>
        <v>0</v>
      </c>
      <c r="H241" s="11">
        <f>TableDailySummary[[#This Row],[Órden promedio totales]]*TableDailySummary[[#This Row],[CR totales]]</f>
        <v>0</v>
      </c>
      <c r="I241" s="11">
        <f>_xlfn.XLOOKUP(TableDailySummary[[#This Row],[Fecha]],SummaryDaily[day],SummaryDaily[new_net_sales],0)</f>
        <v>0</v>
      </c>
      <c r="J241" s="11">
        <f>_xlfn.XLOOKUP(TableDailySummary[[#This Row],[Fecha]],SummaryDaily[day],SummaryDaily[new_orders],0)</f>
        <v>0</v>
      </c>
      <c r="K241" s="11">
        <f>_xlfn.XLOOKUP(TableDailySummary[[#This Row],[Fecha]],SummaryDaily[day],SummaryDaily[new_average_order_value],0)</f>
        <v>0</v>
      </c>
      <c r="L241" s="11">
        <f>_xlfn.XLOOKUP(TableDailySummary[[#This Row],[Fecha]],SummaryDaily[day],SummaryDaily[Online Store_net_sales],0)</f>
        <v>0</v>
      </c>
      <c r="M241" s="11">
        <f>_xlfn.XLOOKUP(TableDailySummary[[#This Row],[Fecha]],SummaryDaily[day],SummaryDaily[Online Store_orders],0)</f>
        <v>0</v>
      </c>
      <c r="N241" s="11">
        <f>_xlfn.XLOOKUP(TableDailySummary[[#This Row],[Fecha]],SummaryDaily[day],SummaryDaily[Online Store_average_order_value],0)</f>
        <v>0</v>
      </c>
      <c r="O241" s="11">
        <f>_xlfn.XLOOKUP(TableDailySummary[[#This Row],[Fecha]],SummaryDaily[day],SummaryDaily[Tienda 81_net_sales],0)</f>
        <v>0</v>
      </c>
      <c r="P241" s="11">
        <f>_xlfn.XLOOKUP(TableDailySummary[[#This Row],[Fecha]],SummaryDaily[day],SummaryDaily[Tienda 81_orders],0)</f>
        <v>0</v>
      </c>
      <c r="Q241" s="11">
        <f>_xlfn.XLOOKUP(TableDailySummary[[#This Row],[Fecha]],SummaryDaily[day],SummaryDaily[Tienda 81_average_order_value],0)</f>
        <v>0</v>
      </c>
      <c r="R241" s="11">
        <f>_xlfn.XLOOKUP(TableDailySummary[[#This Row],[Fecha]],SummaryDaily[day],SummaryDaily[Rappi_net_sales],0)</f>
        <v>0</v>
      </c>
      <c r="S241" s="11">
        <f>_xlfn.XLOOKUP(TableDailySummary[[#This Row],[Fecha]],SummaryDaily[day],SummaryDaily[Rappi_orders],0)</f>
        <v>0</v>
      </c>
      <c r="T241" s="11">
        <f>_xlfn.XLOOKUP(TableDailySummary[[#This Row],[Fecha]],SummaryDaily[day],SummaryDaily[Rappi_average_order_value],0)</f>
        <v>0</v>
      </c>
      <c r="U241" s="11">
        <f>_xlfn.XLOOKUP(TableDailySummary[[#This Row],[Fecha]],SummaryDaily[day],SummaryDaily[Corporativo no tienda_net_sales],0)</f>
        <v>0</v>
      </c>
      <c r="V241" s="11">
        <f>_xlfn.XLOOKUP(TableDailySummary[[#This Row],[Fecha]],SummaryDaily[day],SummaryDaily[Corporativo no tienda_orders],0)</f>
        <v>0</v>
      </c>
      <c r="W241" s="11">
        <f>_xlfn.XLOOKUP(TableDailySummary[[#This Row],[Fecha]],SummaryDaily[day],SummaryDaily[Corporativo no tienda_average_order_value],0)</f>
        <v>0</v>
      </c>
      <c r="X241" s="11">
        <f>_xlfn.XLOOKUP(TableDailySummary[[#This Row],[Fecha]],SummaryDaily[day],SummaryDaily[GoogleAdsOperation.Cost],0)</f>
        <v>0</v>
      </c>
      <c r="Y241" s="11">
        <f>SUMIFS(SalesByUTMDaily[google],SalesByUTMDaily[day],TableDailySummary[[#This Row],[Fecha]])</f>
        <v>0</v>
      </c>
      <c r="Z241" s="11">
        <f>_xlfn.XLOOKUP(TableDailySummary[[#This Row],[Fecha]],SummaryDaily[day],SummaryDaily[MetaAdsOperation.spend],0)</f>
        <v>0</v>
      </c>
      <c r="AA241" s="11">
        <f>SUMIFS(SalesByUTMDaily[facebook],SalesByUTMDaily[day],TableDailySummary[[#This Row],[Fecha]])</f>
        <v>0</v>
      </c>
      <c r="AB241" s="11">
        <f>TableDailySummary[[#This Row],[Inversión google ads]]+TableDailySummary[[#This Row],[Inversión meta ads]]</f>
        <v>0</v>
      </c>
      <c r="AC241" s="11">
        <f>TableDailySummary[[#This Row],[Ventas google ads]]+TableDailySummary[[#This Row],[Ventas meta ads]]</f>
        <v>0</v>
      </c>
      <c r="AD241" s="14">
        <f>IFERROR(TableDailySummary[[#This Row],[Ventas publicidad]]/TableDailySummary[[#This Row],[Inversión publicidad]],0)</f>
        <v>0</v>
      </c>
      <c r="AE241" s="14">
        <f>IFERROR(TableDailySummary[[#This Row],[Ventas primer cliente]]/TableDailySummary[[#This Row],[Inversión publicidad]],0)</f>
        <v>0</v>
      </c>
      <c r="AF241" s="14"/>
      <c r="AG241" s="11"/>
      <c r="AM241" s="11">
        <f>_xlfn.XLOOKUP(TableDailySummary[[#This Row],[Fecha]],SummaryDaily[day],SummaryDaily[net_sales_with_cost_recorded],0)</f>
        <v>0</v>
      </c>
      <c r="AN241" s="11">
        <f>_xlfn.XLOOKUP(TableDailySummary[[#This Row],[Fecha]],SummaryDaily[day],SummaryDaily[cost_of_goods_sold],0)</f>
        <v>0</v>
      </c>
      <c r="AO241" s="11">
        <f>_xlfn.XLOOKUP(TableDailySummary[[#This Row],[Fecha]],SummaryDaily[day],SummaryDaily[gross_profit],0)</f>
        <v>0</v>
      </c>
      <c r="AP241" s="18">
        <f>IFERROR(TableDailySummary[[#This Row],[Utilidad bruta]]/TableDailySummary[[#This Row],[Ventas netas con costo registrado]],0)</f>
        <v>0</v>
      </c>
    </row>
    <row r="242" spans="2:42" x14ac:dyDescent="0.2">
      <c r="B242" s="15" cm="1">
        <f t="array" ref="B242">ParamFechaInicioReporte + (ROW(TableDailySummary[#This Row]) - ROW(TableDailySummary[[#Headers],[Dia]]) - 1)</f>
        <v>44769</v>
      </c>
      <c r="C242" s="6">
        <f>TableDailySummary[[#This Row],[Dia]]</f>
        <v>44769</v>
      </c>
      <c r="D242" s="11">
        <f>_xlfn.XLOOKUP(TableDailySummary[[#This Row],[Fecha]],SummaryDaily[day],SummaryDaily[net_sales],0)</f>
        <v>0</v>
      </c>
      <c r="E242" s="11">
        <f>_xlfn.XLOOKUP(TableDailySummary[[#This Row],[Fecha]],SummaryDaily[day],SummaryDaily[orders],0)</f>
        <v>0</v>
      </c>
      <c r="F242" s="11">
        <f>_xlfn.XLOOKUP(TableDailySummary[[#This Row],[Fecha]],SummaryDaily[day],SummaryDaily[average_order_value],0)</f>
        <v>0</v>
      </c>
      <c r="G242" s="24" cm="1">
        <f t="array" ref="G242">_xlfn.XLOOKUP(TableDailySummary[[#This Row],[Fecha]]&amp;"Total site",ConversionRateByReferral[day]&amp;ConversionRateByReferral[referrer_source],ConversionRateByReferral[conversion_rate],0)</f>
        <v>0</v>
      </c>
      <c r="H242" s="11">
        <f>TableDailySummary[[#This Row],[Órden promedio totales]]*TableDailySummary[[#This Row],[CR totales]]</f>
        <v>0</v>
      </c>
      <c r="I242" s="11">
        <f>_xlfn.XLOOKUP(TableDailySummary[[#This Row],[Fecha]],SummaryDaily[day],SummaryDaily[new_net_sales],0)</f>
        <v>0</v>
      </c>
      <c r="J242" s="11">
        <f>_xlfn.XLOOKUP(TableDailySummary[[#This Row],[Fecha]],SummaryDaily[day],SummaryDaily[new_orders],0)</f>
        <v>0</v>
      </c>
      <c r="K242" s="11">
        <f>_xlfn.XLOOKUP(TableDailySummary[[#This Row],[Fecha]],SummaryDaily[day],SummaryDaily[new_average_order_value],0)</f>
        <v>0</v>
      </c>
      <c r="L242" s="11">
        <f>_xlfn.XLOOKUP(TableDailySummary[[#This Row],[Fecha]],SummaryDaily[day],SummaryDaily[Online Store_net_sales],0)</f>
        <v>0</v>
      </c>
      <c r="M242" s="11">
        <f>_xlfn.XLOOKUP(TableDailySummary[[#This Row],[Fecha]],SummaryDaily[day],SummaryDaily[Online Store_orders],0)</f>
        <v>0</v>
      </c>
      <c r="N242" s="11">
        <f>_xlfn.XLOOKUP(TableDailySummary[[#This Row],[Fecha]],SummaryDaily[day],SummaryDaily[Online Store_average_order_value],0)</f>
        <v>0</v>
      </c>
      <c r="O242" s="11">
        <f>_xlfn.XLOOKUP(TableDailySummary[[#This Row],[Fecha]],SummaryDaily[day],SummaryDaily[Tienda 81_net_sales],0)</f>
        <v>0</v>
      </c>
      <c r="P242" s="11">
        <f>_xlfn.XLOOKUP(TableDailySummary[[#This Row],[Fecha]],SummaryDaily[day],SummaryDaily[Tienda 81_orders],0)</f>
        <v>0</v>
      </c>
      <c r="Q242" s="11">
        <f>_xlfn.XLOOKUP(TableDailySummary[[#This Row],[Fecha]],SummaryDaily[day],SummaryDaily[Tienda 81_average_order_value],0)</f>
        <v>0</v>
      </c>
      <c r="R242" s="11">
        <f>_xlfn.XLOOKUP(TableDailySummary[[#This Row],[Fecha]],SummaryDaily[day],SummaryDaily[Rappi_net_sales],0)</f>
        <v>0</v>
      </c>
      <c r="S242" s="11">
        <f>_xlfn.XLOOKUP(TableDailySummary[[#This Row],[Fecha]],SummaryDaily[day],SummaryDaily[Rappi_orders],0)</f>
        <v>0</v>
      </c>
      <c r="T242" s="11">
        <f>_xlfn.XLOOKUP(TableDailySummary[[#This Row],[Fecha]],SummaryDaily[day],SummaryDaily[Rappi_average_order_value],0)</f>
        <v>0</v>
      </c>
      <c r="U242" s="11">
        <f>_xlfn.XLOOKUP(TableDailySummary[[#This Row],[Fecha]],SummaryDaily[day],SummaryDaily[Corporativo no tienda_net_sales],0)</f>
        <v>0</v>
      </c>
      <c r="V242" s="11">
        <f>_xlfn.XLOOKUP(TableDailySummary[[#This Row],[Fecha]],SummaryDaily[day],SummaryDaily[Corporativo no tienda_orders],0)</f>
        <v>0</v>
      </c>
      <c r="W242" s="11">
        <f>_xlfn.XLOOKUP(TableDailySummary[[#This Row],[Fecha]],SummaryDaily[day],SummaryDaily[Corporativo no tienda_average_order_value],0)</f>
        <v>0</v>
      </c>
      <c r="X242" s="11">
        <f>_xlfn.XLOOKUP(TableDailySummary[[#This Row],[Fecha]],SummaryDaily[day],SummaryDaily[GoogleAdsOperation.Cost],0)</f>
        <v>0</v>
      </c>
      <c r="Y242" s="11">
        <f>SUMIFS(SalesByUTMDaily[google],SalesByUTMDaily[day],TableDailySummary[[#This Row],[Fecha]])</f>
        <v>0</v>
      </c>
      <c r="Z242" s="11">
        <f>_xlfn.XLOOKUP(TableDailySummary[[#This Row],[Fecha]],SummaryDaily[day],SummaryDaily[MetaAdsOperation.spend],0)</f>
        <v>0</v>
      </c>
      <c r="AA242" s="11">
        <f>SUMIFS(SalesByUTMDaily[facebook],SalesByUTMDaily[day],TableDailySummary[[#This Row],[Fecha]])</f>
        <v>0</v>
      </c>
      <c r="AB242" s="11">
        <f>TableDailySummary[[#This Row],[Inversión google ads]]+TableDailySummary[[#This Row],[Inversión meta ads]]</f>
        <v>0</v>
      </c>
      <c r="AC242" s="11">
        <f>TableDailySummary[[#This Row],[Ventas google ads]]+TableDailySummary[[#This Row],[Ventas meta ads]]</f>
        <v>0</v>
      </c>
      <c r="AD242" s="14">
        <f>IFERROR(TableDailySummary[[#This Row],[Ventas publicidad]]/TableDailySummary[[#This Row],[Inversión publicidad]],0)</f>
        <v>0</v>
      </c>
      <c r="AE242" s="14">
        <f>IFERROR(TableDailySummary[[#This Row],[Ventas primer cliente]]/TableDailySummary[[#This Row],[Inversión publicidad]],0)</f>
        <v>0</v>
      </c>
      <c r="AF242" s="14"/>
      <c r="AG242" s="11"/>
      <c r="AM242" s="11">
        <f>_xlfn.XLOOKUP(TableDailySummary[[#This Row],[Fecha]],SummaryDaily[day],SummaryDaily[net_sales_with_cost_recorded],0)</f>
        <v>0</v>
      </c>
      <c r="AN242" s="11">
        <f>_xlfn.XLOOKUP(TableDailySummary[[#This Row],[Fecha]],SummaryDaily[day],SummaryDaily[cost_of_goods_sold],0)</f>
        <v>0</v>
      </c>
      <c r="AO242" s="11">
        <f>_xlfn.XLOOKUP(TableDailySummary[[#This Row],[Fecha]],SummaryDaily[day],SummaryDaily[gross_profit],0)</f>
        <v>0</v>
      </c>
      <c r="AP242" s="18">
        <f>IFERROR(TableDailySummary[[#This Row],[Utilidad bruta]]/TableDailySummary[[#This Row],[Ventas netas con costo registrado]],0)</f>
        <v>0</v>
      </c>
    </row>
    <row r="243" spans="2:42" x14ac:dyDescent="0.2">
      <c r="B243" s="15" cm="1">
        <f t="array" ref="B243">ParamFechaInicioReporte + (ROW(TableDailySummary[#This Row]) - ROW(TableDailySummary[[#Headers],[Dia]]) - 1)</f>
        <v>44770</v>
      </c>
      <c r="C243" s="6">
        <f>TableDailySummary[[#This Row],[Dia]]</f>
        <v>44770</v>
      </c>
      <c r="D243" s="11">
        <f>_xlfn.XLOOKUP(TableDailySummary[[#This Row],[Fecha]],SummaryDaily[day],SummaryDaily[net_sales],0)</f>
        <v>0</v>
      </c>
      <c r="E243" s="11">
        <f>_xlfn.XLOOKUP(TableDailySummary[[#This Row],[Fecha]],SummaryDaily[day],SummaryDaily[orders],0)</f>
        <v>0</v>
      </c>
      <c r="F243" s="11">
        <f>_xlfn.XLOOKUP(TableDailySummary[[#This Row],[Fecha]],SummaryDaily[day],SummaryDaily[average_order_value],0)</f>
        <v>0</v>
      </c>
      <c r="G243" s="24" cm="1">
        <f t="array" ref="G243">_xlfn.XLOOKUP(TableDailySummary[[#This Row],[Fecha]]&amp;"Total site",ConversionRateByReferral[day]&amp;ConversionRateByReferral[referrer_source],ConversionRateByReferral[conversion_rate],0)</f>
        <v>0</v>
      </c>
      <c r="H243" s="11">
        <f>TableDailySummary[[#This Row],[Órden promedio totales]]*TableDailySummary[[#This Row],[CR totales]]</f>
        <v>0</v>
      </c>
      <c r="I243" s="11">
        <f>_xlfn.XLOOKUP(TableDailySummary[[#This Row],[Fecha]],SummaryDaily[day],SummaryDaily[new_net_sales],0)</f>
        <v>0</v>
      </c>
      <c r="J243" s="11">
        <f>_xlfn.XLOOKUP(TableDailySummary[[#This Row],[Fecha]],SummaryDaily[day],SummaryDaily[new_orders],0)</f>
        <v>0</v>
      </c>
      <c r="K243" s="11">
        <f>_xlfn.XLOOKUP(TableDailySummary[[#This Row],[Fecha]],SummaryDaily[day],SummaryDaily[new_average_order_value],0)</f>
        <v>0</v>
      </c>
      <c r="L243" s="11">
        <f>_xlfn.XLOOKUP(TableDailySummary[[#This Row],[Fecha]],SummaryDaily[day],SummaryDaily[Online Store_net_sales],0)</f>
        <v>0</v>
      </c>
      <c r="M243" s="11">
        <f>_xlfn.XLOOKUP(TableDailySummary[[#This Row],[Fecha]],SummaryDaily[day],SummaryDaily[Online Store_orders],0)</f>
        <v>0</v>
      </c>
      <c r="N243" s="11">
        <f>_xlfn.XLOOKUP(TableDailySummary[[#This Row],[Fecha]],SummaryDaily[day],SummaryDaily[Online Store_average_order_value],0)</f>
        <v>0</v>
      </c>
      <c r="O243" s="11">
        <f>_xlfn.XLOOKUP(TableDailySummary[[#This Row],[Fecha]],SummaryDaily[day],SummaryDaily[Tienda 81_net_sales],0)</f>
        <v>0</v>
      </c>
      <c r="P243" s="11">
        <f>_xlfn.XLOOKUP(TableDailySummary[[#This Row],[Fecha]],SummaryDaily[day],SummaryDaily[Tienda 81_orders],0)</f>
        <v>0</v>
      </c>
      <c r="Q243" s="11">
        <f>_xlfn.XLOOKUP(TableDailySummary[[#This Row],[Fecha]],SummaryDaily[day],SummaryDaily[Tienda 81_average_order_value],0)</f>
        <v>0</v>
      </c>
      <c r="R243" s="11">
        <f>_xlfn.XLOOKUP(TableDailySummary[[#This Row],[Fecha]],SummaryDaily[day],SummaryDaily[Rappi_net_sales],0)</f>
        <v>0</v>
      </c>
      <c r="S243" s="11">
        <f>_xlfn.XLOOKUP(TableDailySummary[[#This Row],[Fecha]],SummaryDaily[day],SummaryDaily[Rappi_orders],0)</f>
        <v>0</v>
      </c>
      <c r="T243" s="11">
        <f>_xlfn.XLOOKUP(TableDailySummary[[#This Row],[Fecha]],SummaryDaily[day],SummaryDaily[Rappi_average_order_value],0)</f>
        <v>0</v>
      </c>
      <c r="U243" s="11">
        <f>_xlfn.XLOOKUP(TableDailySummary[[#This Row],[Fecha]],SummaryDaily[day],SummaryDaily[Corporativo no tienda_net_sales],0)</f>
        <v>0</v>
      </c>
      <c r="V243" s="11">
        <f>_xlfn.XLOOKUP(TableDailySummary[[#This Row],[Fecha]],SummaryDaily[day],SummaryDaily[Corporativo no tienda_orders],0)</f>
        <v>0</v>
      </c>
      <c r="W243" s="11">
        <f>_xlfn.XLOOKUP(TableDailySummary[[#This Row],[Fecha]],SummaryDaily[day],SummaryDaily[Corporativo no tienda_average_order_value],0)</f>
        <v>0</v>
      </c>
      <c r="X243" s="11">
        <f>_xlfn.XLOOKUP(TableDailySummary[[#This Row],[Fecha]],SummaryDaily[day],SummaryDaily[GoogleAdsOperation.Cost],0)</f>
        <v>0</v>
      </c>
      <c r="Y243" s="11">
        <f>SUMIFS(SalesByUTMDaily[google],SalesByUTMDaily[day],TableDailySummary[[#This Row],[Fecha]])</f>
        <v>0</v>
      </c>
      <c r="Z243" s="11">
        <f>_xlfn.XLOOKUP(TableDailySummary[[#This Row],[Fecha]],SummaryDaily[day],SummaryDaily[MetaAdsOperation.spend],0)</f>
        <v>0</v>
      </c>
      <c r="AA243" s="11">
        <f>SUMIFS(SalesByUTMDaily[facebook],SalesByUTMDaily[day],TableDailySummary[[#This Row],[Fecha]])</f>
        <v>0</v>
      </c>
      <c r="AB243" s="11">
        <f>TableDailySummary[[#This Row],[Inversión google ads]]+TableDailySummary[[#This Row],[Inversión meta ads]]</f>
        <v>0</v>
      </c>
      <c r="AC243" s="11">
        <f>TableDailySummary[[#This Row],[Ventas google ads]]+TableDailySummary[[#This Row],[Ventas meta ads]]</f>
        <v>0</v>
      </c>
      <c r="AD243" s="14">
        <f>IFERROR(TableDailySummary[[#This Row],[Ventas publicidad]]/TableDailySummary[[#This Row],[Inversión publicidad]],0)</f>
        <v>0</v>
      </c>
      <c r="AE243" s="14">
        <f>IFERROR(TableDailySummary[[#This Row],[Ventas primer cliente]]/TableDailySummary[[#This Row],[Inversión publicidad]],0)</f>
        <v>0</v>
      </c>
      <c r="AF243" s="14"/>
      <c r="AG243" s="11"/>
      <c r="AM243" s="11">
        <f>_xlfn.XLOOKUP(TableDailySummary[[#This Row],[Fecha]],SummaryDaily[day],SummaryDaily[net_sales_with_cost_recorded],0)</f>
        <v>0</v>
      </c>
      <c r="AN243" s="11">
        <f>_xlfn.XLOOKUP(TableDailySummary[[#This Row],[Fecha]],SummaryDaily[day],SummaryDaily[cost_of_goods_sold],0)</f>
        <v>0</v>
      </c>
      <c r="AO243" s="11">
        <f>_xlfn.XLOOKUP(TableDailySummary[[#This Row],[Fecha]],SummaryDaily[day],SummaryDaily[gross_profit],0)</f>
        <v>0</v>
      </c>
      <c r="AP243" s="18">
        <f>IFERROR(TableDailySummary[[#This Row],[Utilidad bruta]]/TableDailySummary[[#This Row],[Ventas netas con costo registrado]],0)</f>
        <v>0</v>
      </c>
    </row>
    <row r="244" spans="2:42" x14ac:dyDescent="0.2">
      <c r="B244" s="15" cm="1">
        <f t="array" ref="B244">ParamFechaInicioReporte + (ROW(TableDailySummary[#This Row]) - ROW(TableDailySummary[[#Headers],[Dia]]) - 1)</f>
        <v>44771</v>
      </c>
      <c r="C244" s="6">
        <f>TableDailySummary[[#This Row],[Dia]]</f>
        <v>44771</v>
      </c>
      <c r="D244" s="11">
        <f>_xlfn.XLOOKUP(TableDailySummary[[#This Row],[Fecha]],SummaryDaily[day],SummaryDaily[net_sales],0)</f>
        <v>0</v>
      </c>
      <c r="E244" s="11">
        <f>_xlfn.XLOOKUP(TableDailySummary[[#This Row],[Fecha]],SummaryDaily[day],SummaryDaily[orders],0)</f>
        <v>0</v>
      </c>
      <c r="F244" s="11">
        <f>_xlfn.XLOOKUP(TableDailySummary[[#This Row],[Fecha]],SummaryDaily[day],SummaryDaily[average_order_value],0)</f>
        <v>0</v>
      </c>
      <c r="G244" s="24" cm="1">
        <f t="array" ref="G244">_xlfn.XLOOKUP(TableDailySummary[[#This Row],[Fecha]]&amp;"Total site",ConversionRateByReferral[day]&amp;ConversionRateByReferral[referrer_source],ConversionRateByReferral[conversion_rate],0)</f>
        <v>0</v>
      </c>
      <c r="H244" s="11">
        <f>TableDailySummary[[#This Row],[Órden promedio totales]]*TableDailySummary[[#This Row],[CR totales]]</f>
        <v>0</v>
      </c>
      <c r="I244" s="11">
        <f>_xlfn.XLOOKUP(TableDailySummary[[#This Row],[Fecha]],SummaryDaily[day],SummaryDaily[new_net_sales],0)</f>
        <v>0</v>
      </c>
      <c r="J244" s="11">
        <f>_xlfn.XLOOKUP(TableDailySummary[[#This Row],[Fecha]],SummaryDaily[day],SummaryDaily[new_orders],0)</f>
        <v>0</v>
      </c>
      <c r="K244" s="11">
        <f>_xlfn.XLOOKUP(TableDailySummary[[#This Row],[Fecha]],SummaryDaily[day],SummaryDaily[new_average_order_value],0)</f>
        <v>0</v>
      </c>
      <c r="L244" s="11">
        <f>_xlfn.XLOOKUP(TableDailySummary[[#This Row],[Fecha]],SummaryDaily[day],SummaryDaily[Online Store_net_sales],0)</f>
        <v>0</v>
      </c>
      <c r="M244" s="11">
        <f>_xlfn.XLOOKUP(TableDailySummary[[#This Row],[Fecha]],SummaryDaily[day],SummaryDaily[Online Store_orders],0)</f>
        <v>0</v>
      </c>
      <c r="N244" s="11">
        <f>_xlfn.XLOOKUP(TableDailySummary[[#This Row],[Fecha]],SummaryDaily[day],SummaryDaily[Online Store_average_order_value],0)</f>
        <v>0</v>
      </c>
      <c r="O244" s="11">
        <f>_xlfn.XLOOKUP(TableDailySummary[[#This Row],[Fecha]],SummaryDaily[day],SummaryDaily[Tienda 81_net_sales],0)</f>
        <v>0</v>
      </c>
      <c r="P244" s="11">
        <f>_xlfn.XLOOKUP(TableDailySummary[[#This Row],[Fecha]],SummaryDaily[day],SummaryDaily[Tienda 81_orders],0)</f>
        <v>0</v>
      </c>
      <c r="Q244" s="11">
        <f>_xlfn.XLOOKUP(TableDailySummary[[#This Row],[Fecha]],SummaryDaily[day],SummaryDaily[Tienda 81_average_order_value],0)</f>
        <v>0</v>
      </c>
      <c r="R244" s="11">
        <f>_xlfn.XLOOKUP(TableDailySummary[[#This Row],[Fecha]],SummaryDaily[day],SummaryDaily[Rappi_net_sales],0)</f>
        <v>0</v>
      </c>
      <c r="S244" s="11">
        <f>_xlfn.XLOOKUP(TableDailySummary[[#This Row],[Fecha]],SummaryDaily[day],SummaryDaily[Rappi_orders],0)</f>
        <v>0</v>
      </c>
      <c r="T244" s="11">
        <f>_xlfn.XLOOKUP(TableDailySummary[[#This Row],[Fecha]],SummaryDaily[day],SummaryDaily[Rappi_average_order_value],0)</f>
        <v>0</v>
      </c>
      <c r="U244" s="11">
        <f>_xlfn.XLOOKUP(TableDailySummary[[#This Row],[Fecha]],SummaryDaily[day],SummaryDaily[Corporativo no tienda_net_sales],0)</f>
        <v>0</v>
      </c>
      <c r="V244" s="11">
        <f>_xlfn.XLOOKUP(TableDailySummary[[#This Row],[Fecha]],SummaryDaily[day],SummaryDaily[Corporativo no tienda_orders],0)</f>
        <v>0</v>
      </c>
      <c r="W244" s="11">
        <f>_xlfn.XLOOKUP(TableDailySummary[[#This Row],[Fecha]],SummaryDaily[day],SummaryDaily[Corporativo no tienda_average_order_value],0)</f>
        <v>0</v>
      </c>
      <c r="X244" s="11">
        <f>_xlfn.XLOOKUP(TableDailySummary[[#This Row],[Fecha]],SummaryDaily[day],SummaryDaily[GoogleAdsOperation.Cost],0)</f>
        <v>0</v>
      </c>
      <c r="Y244" s="11">
        <f>SUMIFS(SalesByUTMDaily[google],SalesByUTMDaily[day],TableDailySummary[[#This Row],[Fecha]])</f>
        <v>0</v>
      </c>
      <c r="Z244" s="11">
        <f>_xlfn.XLOOKUP(TableDailySummary[[#This Row],[Fecha]],SummaryDaily[day],SummaryDaily[MetaAdsOperation.spend],0)</f>
        <v>0</v>
      </c>
      <c r="AA244" s="11">
        <f>SUMIFS(SalesByUTMDaily[facebook],SalesByUTMDaily[day],TableDailySummary[[#This Row],[Fecha]])</f>
        <v>0</v>
      </c>
      <c r="AB244" s="11">
        <f>TableDailySummary[[#This Row],[Inversión google ads]]+TableDailySummary[[#This Row],[Inversión meta ads]]</f>
        <v>0</v>
      </c>
      <c r="AC244" s="11">
        <f>TableDailySummary[[#This Row],[Ventas google ads]]+TableDailySummary[[#This Row],[Ventas meta ads]]</f>
        <v>0</v>
      </c>
      <c r="AD244" s="14">
        <f>IFERROR(TableDailySummary[[#This Row],[Ventas publicidad]]/TableDailySummary[[#This Row],[Inversión publicidad]],0)</f>
        <v>0</v>
      </c>
      <c r="AE244" s="14">
        <f>IFERROR(TableDailySummary[[#This Row],[Ventas primer cliente]]/TableDailySummary[[#This Row],[Inversión publicidad]],0)</f>
        <v>0</v>
      </c>
      <c r="AF244" s="14"/>
      <c r="AG244" s="11"/>
      <c r="AM244" s="11">
        <f>_xlfn.XLOOKUP(TableDailySummary[[#This Row],[Fecha]],SummaryDaily[day],SummaryDaily[net_sales_with_cost_recorded],0)</f>
        <v>0</v>
      </c>
      <c r="AN244" s="11">
        <f>_xlfn.XLOOKUP(TableDailySummary[[#This Row],[Fecha]],SummaryDaily[day],SummaryDaily[cost_of_goods_sold],0)</f>
        <v>0</v>
      </c>
      <c r="AO244" s="11">
        <f>_xlfn.XLOOKUP(TableDailySummary[[#This Row],[Fecha]],SummaryDaily[day],SummaryDaily[gross_profit],0)</f>
        <v>0</v>
      </c>
      <c r="AP244" s="18">
        <f>IFERROR(TableDailySummary[[#This Row],[Utilidad bruta]]/TableDailySummary[[#This Row],[Ventas netas con costo registrado]],0)</f>
        <v>0</v>
      </c>
    </row>
    <row r="245" spans="2:42" x14ac:dyDescent="0.2">
      <c r="B245" s="15" cm="1">
        <f t="array" ref="B245">ParamFechaInicioReporte + (ROW(TableDailySummary[#This Row]) - ROW(TableDailySummary[[#Headers],[Dia]]) - 1)</f>
        <v>44772</v>
      </c>
      <c r="C245" s="6">
        <f>TableDailySummary[[#This Row],[Dia]]</f>
        <v>44772</v>
      </c>
      <c r="D245" s="11">
        <f>_xlfn.XLOOKUP(TableDailySummary[[#This Row],[Fecha]],SummaryDaily[day],SummaryDaily[net_sales],0)</f>
        <v>0</v>
      </c>
      <c r="E245" s="11">
        <f>_xlfn.XLOOKUP(TableDailySummary[[#This Row],[Fecha]],SummaryDaily[day],SummaryDaily[orders],0)</f>
        <v>0</v>
      </c>
      <c r="F245" s="11">
        <f>_xlfn.XLOOKUP(TableDailySummary[[#This Row],[Fecha]],SummaryDaily[day],SummaryDaily[average_order_value],0)</f>
        <v>0</v>
      </c>
      <c r="G245" s="24" cm="1">
        <f t="array" ref="G245">_xlfn.XLOOKUP(TableDailySummary[[#This Row],[Fecha]]&amp;"Total site",ConversionRateByReferral[day]&amp;ConversionRateByReferral[referrer_source],ConversionRateByReferral[conversion_rate],0)</f>
        <v>0</v>
      </c>
      <c r="H245" s="11">
        <f>TableDailySummary[[#This Row],[Órden promedio totales]]*TableDailySummary[[#This Row],[CR totales]]</f>
        <v>0</v>
      </c>
      <c r="I245" s="11">
        <f>_xlfn.XLOOKUP(TableDailySummary[[#This Row],[Fecha]],SummaryDaily[day],SummaryDaily[new_net_sales],0)</f>
        <v>0</v>
      </c>
      <c r="J245" s="11">
        <f>_xlfn.XLOOKUP(TableDailySummary[[#This Row],[Fecha]],SummaryDaily[day],SummaryDaily[new_orders],0)</f>
        <v>0</v>
      </c>
      <c r="K245" s="11">
        <f>_xlfn.XLOOKUP(TableDailySummary[[#This Row],[Fecha]],SummaryDaily[day],SummaryDaily[new_average_order_value],0)</f>
        <v>0</v>
      </c>
      <c r="L245" s="11">
        <f>_xlfn.XLOOKUP(TableDailySummary[[#This Row],[Fecha]],SummaryDaily[day],SummaryDaily[Online Store_net_sales],0)</f>
        <v>0</v>
      </c>
      <c r="M245" s="11">
        <f>_xlfn.XLOOKUP(TableDailySummary[[#This Row],[Fecha]],SummaryDaily[day],SummaryDaily[Online Store_orders],0)</f>
        <v>0</v>
      </c>
      <c r="N245" s="11">
        <f>_xlfn.XLOOKUP(TableDailySummary[[#This Row],[Fecha]],SummaryDaily[day],SummaryDaily[Online Store_average_order_value],0)</f>
        <v>0</v>
      </c>
      <c r="O245" s="11">
        <f>_xlfn.XLOOKUP(TableDailySummary[[#This Row],[Fecha]],SummaryDaily[day],SummaryDaily[Tienda 81_net_sales],0)</f>
        <v>0</v>
      </c>
      <c r="P245" s="11">
        <f>_xlfn.XLOOKUP(TableDailySummary[[#This Row],[Fecha]],SummaryDaily[day],SummaryDaily[Tienda 81_orders],0)</f>
        <v>0</v>
      </c>
      <c r="Q245" s="11">
        <f>_xlfn.XLOOKUP(TableDailySummary[[#This Row],[Fecha]],SummaryDaily[day],SummaryDaily[Tienda 81_average_order_value],0)</f>
        <v>0</v>
      </c>
      <c r="R245" s="11">
        <f>_xlfn.XLOOKUP(TableDailySummary[[#This Row],[Fecha]],SummaryDaily[day],SummaryDaily[Rappi_net_sales],0)</f>
        <v>0</v>
      </c>
      <c r="S245" s="11">
        <f>_xlfn.XLOOKUP(TableDailySummary[[#This Row],[Fecha]],SummaryDaily[day],SummaryDaily[Rappi_orders],0)</f>
        <v>0</v>
      </c>
      <c r="T245" s="11">
        <f>_xlfn.XLOOKUP(TableDailySummary[[#This Row],[Fecha]],SummaryDaily[day],SummaryDaily[Rappi_average_order_value],0)</f>
        <v>0</v>
      </c>
      <c r="U245" s="11">
        <f>_xlfn.XLOOKUP(TableDailySummary[[#This Row],[Fecha]],SummaryDaily[day],SummaryDaily[Corporativo no tienda_net_sales],0)</f>
        <v>0</v>
      </c>
      <c r="V245" s="11">
        <f>_xlfn.XLOOKUP(TableDailySummary[[#This Row],[Fecha]],SummaryDaily[day],SummaryDaily[Corporativo no tienda_orders],0)</f>
        <v>0</v>
      </c>
      <c r="W245" s="11">
        <f>_xlfn.XLOOKUP(TableDailySummary[[#This Row],[Fecha]],SummaryDaily[day],SummaryDaily[Corporativo no tienda_average_order_value],0)</f>
        <v>0</v>
      </c>
      <c r="X245" s="11">
        <f>_xlfn.XLOOKUP(TableDailySummary[[#This Row],[Fecha]],SummaryDaily[day],SummaryDaily[GoogleAdsOperation.Cost],0)</f>
        <v>0</v>
      </c>
      <c r="Y245" s="11">
        <f>SUMIFS(SalesByUTMDaily[google],SalesByUTMDaily[day],TableDailySummary[[#This Row],[Fecha]])</f>
        <v>0</v>
      </c>
      <c r="Z245" s="11">
        <f>_xlfn.XLOOKUP(TableDailySummary[[#This Row],[Fecha]],SummaryDaily[day],SummaryDaily[MetaAdsOperation.spend],0)</f>
        <v>0</v>
      </c>
      <c r="AA245" s="11">
        <f>SUMIFS(SalesByUTMDaily[facebook],SalesByUTMDaily[day],TableDailySummary[[#This Row],[Fecha]])</f>
        <v>0</v>
      </c>
      <c r="AB245" s="11">
        <f>TableDailySummary[[#This Row],[Inversión google ads]]+TableDailySummary[[#This Row],[Inversión meta ads]]</f>
        <v>0</v>
      </c>
      <c r="AC245" s="11">
        <f>TableDailySummary[[#This Row],[Ventas google ads]]+TableDailySummary[[#This Row],[Ventas meta ads]]</f>
        <v>0</v>
      </c>
      <c r="AD245" s="14">
        <f>IFERROR(TableDailySummary[[#This Row],[Ventas publicidad]]/TableDailySummary[[#This Row],[Inversión publicidad]],0)</f>
        <v>0</v>
      </c>
      <c r="AE245" s="14">
        <f>IFERROR(TableDailySummary[[#This Row],[Ventas primer cliente]]/TableDailySummary[[#This Row],[Inversión publicidad]],0)</f>
        <v>0</v>
      </c>
      <c r="AF245" s="14"/>
      <c r="AG245" s="11"/>
      <c r="AM245" s="11">
        <f>_xlfn.XLOOKUP(TableDailySummary[[#This Row],[Fecha]],SummaryDaily[day],SummaryDaily[net_sales_with_cost_recorded],0)</f>
        <v>0</v>
      </c>
      <c r="AN245" s="11">
        <f>_xlfn.XLOOKUP(TableDailySummary[[#This Row],[Fecha]],SummaryDaily[day],SummaryDaily[cost_of_goods_sold],0)</f>
        <v>0</v>
      </c>
      <c r="AO245" s="11">
        <f>_xlfn.XLOOKUP(TableDailySummary[[#This Row],[Fecha]],SummaryDaily[day],SummaryDaily[gross_profit],0)</f>
        <v>0</v>
      </c>
      <c r="AP245" s="18">
        <f>IFERROR(TableDailySummary[[#This Row],[Utilidad bruta]]/TableDailySummary[[#This Row],[Ventas netas con costo registrado]],0)</f>
        <v>0</v>
      </c>
    </row>
    <row r="246" spans="2:42" x14ac:dyDescent="0.2">
      <c r="B246" s="15" cm="1">
        <f t="array" ref="B246">ParamFechaInicioReporte + (ROW(TableDailySummary[#This Row]) - ROW(TableDailySummary[[#Headers],[Dia]]) - 1)</f>
        <v>44773</v>
      </c>
      <c r="C246" s="6">
        <f>TableDailySummary[[#This Row],[Dia]]</f>
        <v>44773</v>
      </c>
      <c r="D246" s="11">
        <f>_xlfn.XLOOKUP(TableDailySummary[[#This Row],[Fecha]],SummaryDaily[day],SummaryDaily[net_sales],0)</f>
        <v>0</v>
      </c>
      <c r="E246" s="11">
        <f>_xlfn.XLOOKUP(TableDailySummary[[#This Row],[Fecha]],SummaryDaily[day],SummaryDaily[orders],0)</f>
        <v>0</v>
      </c>
      <c r="F246" s="11">
        <f>_xlfn.XLOOKUP(TableDailySummary[[#This Row],[Fecha]],SummaryDaily[day],SummaryDaily[average_order_value],0)</f>
        <v>0</v>
      </c>
      <c r="G246" s="24" cm="1">
        <f t="array" ref="G246">_xlfn.XLOOKUP(TableDailySummary[[#This Row],[Fecha]]&amp;"Total site",ConversionRateByReferral[day]&amp;ConversionRateByReferral[referrer_source],ConversionRateByReferral[conversion_rate],0)</f>
        <v>0</v>
      </c>
      <c r="H246" s="11">
        <f>TableDailySummary[[#This Row],[Órden promedio totales]]*TableDailySummary[[#This Row],[CR totales]]</f>
        <v>0</v>
      </c>
      <c r="I246" s="11">
        <f>_xlfn.XLOOKUP(TableDailySummary[[#This Row],[Fecha]],SummaryDaily[day],SummaryDaily[new_net_sales],0)</f>
        <v>0</v>
      </c>
      <c r="J246" s="11">
        <f>_xlfn.XLOOKUP(TableDailySummary[[#This Row],[Fecha]],SummaryDaily[day],SummaryDaily[new_orders],0)</f>
        <v>0</v>
      </c>
      <c r="K246" s="11">
        <f>_xlfn.XLOOKUP(TableDailySummary[[#This Row],[Fecha]],SummaryDaily[day],SummaryDaily[new_average_order_value],0)</f>
        <v>0</v>
      </c>
      <c r="L246" s="11">
        <f>_xlfn.XLOOKUP(TableDailySummary[[#This Row],[Fecha]],SummaryDaily[day],SummaryDaily[Online Store_net_sales],0)</f>
        <v>0</v>
      </c>
      <c r="M246" s="11">
        <f>_xlfn.XLOOKUP(TableDailySummary[[#This Row],[Fecha]],SummaryDaily[day],SummaryDaily[Online Store_orders],0)</f>
        <v>0</v>
      </c>
      <c r="N246" s="11">
        <f>_xlfn.XLOOKUP(TableDailySummary[[#This Row],[Fecha]],SummaryDaily[day],SummaryDaily[Online Store_average_order_value],0)</f>
        <v>0</v>
      </c>
      <c r="O246" s="11">
        <f>_xlfn.XLOOKUP(TableDailySummary[[#This Row],[Fecha]],SummaryDaily[day],SummaryDaily[Tienda 81_net_sales],0)</f>
        <v>0</v>
      </c>
      <c r="P246" s="11">
        <f>_xlfn.XLOOKUP(TableDailySummary[[#This Row],[Fecha]],SummaryDaily[day],SummaryDaily[Tienda 81_orders],0)</f>
        <v>0</v>
      </c>
      <c r="Q246" s="11">
        <f>_xlfn.XLOOKUP(TableDailySummary[[#This Row],[Fecha]],SummaryDaily[day],SummaryDaily[Tienda 81_average_order_value],0)</f>
        <v>0</v>
      </c>
      <c r="R246" s="11">
        <f>_xlfn.XLOOKUP(TableDailySummary[[#This Row],[Fecha]],SummaryDaily[day],SummaryDaily[Rappi_net_sales],0)</f>
        <v>0</v>
      </c>
      <c r="S246" s="11">
        <f>_xlfn.XLOOKUP(TableDailySummary[[#This Row],[Fecha]],SummaryDaily[day],SummaryDaily[Rappi_orders],0)</f>
        <v>0</v>
      </c>
      <c r="T246" s="11">
        <f>_xlfn.XLOOKUP(TableDailySummary[[#This Row],[Fecha]],SummaryDaily[day],SummaryDaily[Rappi_average_order_value],0)</f>
        <v>0</v>
      </c>
      <c r="U246" s="11">
        <f>_xlfn.XLOOKUP(TableDailySummary[[#This Row],[Fecha]],SummaryDaily[day],SummaryDaily[Corporativo no tienda_net_sales],0)</f>
        <v>0</v>
      </c>
      <c r="V246" s="11">
        <f>_xlfn.XLOOKUP(TableDailySummary[[#This Row],[Fecha]],SummaryDaily[day],SummaryDaily[Corporativo no tienda_orders],0)</f>
        <v>0</v>
      </c>
      <c r="W246" s="11">
        <f>_xlfn.XLOOKUP(TableDailySummary[[#This Row],[Fecha]],SummaryDaily[day],SummaryDaily[Corporativo no tienda_average_order_value],0)</f>
        <v>0</v>
      </c>
      <c r="X246" s="11">
        <f>_xlfn.XLOOKUP(TableDailySummary[[#This Row],[Fecha]],SummaryDaily[day],SummaryDaily[GoogleAdsOperation.Cost],0)</f>
        <v>0</v>
      </c>
      <c r="Y246" s="11">
        <f>SUMIFS(SalesByUTMDaily[google],SalesByUTMDaily[day],TableDailySummary[[#This Row],[Fecha]])</f>
        <v>0</v>
      </c>
      <c r="Z246" s="11">
        <f>_xlfn.XLOOKUP(TableDailySummary[[#This Row],[Fecha]],SummaryDaily[day],SummaryDaily[MetaAdsOperation.spend],0)</f>
        <v>0</v>
      </c>
      <c r="AA246" s="11">
        <f>SUMIFS(SalesByUTMDaily[facebook],SalesByUTMDaily[day],TableDailySummary[[#This Row],[Fecha]])</f>
        <v>0</v>
      </c>
      <c r="AB246" s="11">
        <f>TableDailySummary[[#This Row],[Inversión google ads]]+TableDailySummary[[#This Row],[Inversión meta ads]]</f>
        <v>0</v>
      </c>
      <c r="AC246" s="11">
        <f>TableDailySummary[[#This Row],[Ventas google ads]]+TableDailySummary[[#This Row],[Ventas meta ads]]</f>
        <v>0</v>
      </c>
      <c r="AD246" s="14">
        <f>IFERROR(TableDailySummary[[#This Row],[Ventas publicidad]]/TableDailySummary[[#This Row],[Inversión publicidad]],0)</f>
        <v>0</v>
      </c>
      <c r="AE246" s="14">
        <f>IFERROR(TableDailySummary[[#This Row],[Ventas primer cliente]]/TableDailySummary[[#This Row],[Inversión publicidad]],0)</f>
        <v>0</v>
      </c>
      <c r="AF246" s="14"/>
      <c r="AG246" s="11"/>
      <c r="AM246" s="11">
        <f>_xlfn.XLOOKUP(TableDailySummary[[#This Row],[Fecha]],SummaryDaily[day],SummaryDaily[net_sales_with_cost_recorded],0)</f>
        <v>0</v>
      </c>
      <c r="AN246" s="11">
        <f>_xlfn.XLOOKUP(TableDailySummary[[#This Row],[Fecha]],SummaryDaily[day],SummaryDaily[cost_of_goods_sold],0)</f>
        <v>0</v>
      </c>
      <c r="AO246" s="11">
        <f>_xlfn.XLOOKUP(TableDailySummary[[#This Row],[Fecha]],SummaryDaily[day],SummaryDaily[gross_profit],0)</f>
        <v>0</v>
      </c>
      <c r="AP246" s="18">
        <f>IFERROR(TableDailySummary[[#This Row],[Utilidad bruta]]/TableDailySummary[[#This Row],[Ventas netas con costo registrado]],0)</f>
        <v>0</v>
      </c>
    </row>
    <row r="247" spans="2:42" x14ac:dyDescent="0.2">
      <c r="B247" s="15" cm="1">
        <f t="array" ref="B247">ParamFechaInicioReporte + (ROW(TableDailySummary[#This Row]) - ROW(TableDailySummary[[#Headers],[Dia]]) - 1)</f>
        <v>44774</v>
      </c>
      <c r="C247" s="6">
        <f>TableDailySummary[[#This Row],[Dia]]</f>
        <v>44774</v>
      </c>
      <c r="D247" s="11">
        <f>_xlfn.XLOOKUP(TableDailySummary[[#This Row],[Fecha]],SummaryDaily[day],SummaryDaily[net_sales],0)</f>
        <v>0</v>
      </c>
      <c r="E247" s="11">
        <f>_xlfn.XLOOKUP(TableDailySummary[[#This Row],[Fecha]],SummaryDaily[day],SummaryDaily[orders],0)</f>
        <v>0</v>
      </c>
      <c r="F247" s="11">
        <f>_xlfn.XLOOKUP(TableDailySummary[[#This Row],[Fecha]],SummaryDaily[day],SummaryDaily[average_order_value],0)</f>
        <v>0</v>
      </c>
      <c r="G247" s="24" cm="1">
        <f t="array" ref="G247">_xlfn.XLOOKUP(TableDailySummary[[#This Row],[Fecha]]&amp;"Total site",ConversionRateByReferral[day]&amp;ConversionRateByReferral[referrer_source],ConversionRateByReferral[conversion_rate],0)</f>
        <v>0</v>
      </c>
      <c r="H247" s="11">
        <f>TableDailySummary[[#This Row],[Órden promedio totales]]*TableDailySummary[[#This Row],[CR totales]]</f>
        <v>0</v>
      </c>
      <c r="I247" s="11">
        <f>_xlfn.XLOOKUP(TableDailySummary[[#This Row],[Fecha]],SummaryDaily[day],SummaryDaily[new_net_sales],0)</f>
        <v>0</v>
      </c>
      <c r="J247" s="11">
        <f>_xlfn.XLOOKUP(TableDailySummary[[#This Row],[Fecha]],SummaryDaily[day],SummaryDaily[new_orders],0)</f>
        <v>0</v>
      </c>
      <c r="K247" s="11">
        <f>_xlfn.XLOOKUP(TableDailySummary[[#This Row],[Fecha]],SummaryDaily[day],SummaryDaily[new_average_order_value],0)</f>
        <v>0</v>
      </c>
      <c r="L247" s="11">
        <f>_xlfn.XLOOKUP(TableDailySummary[[#This Row],[Fecha]],SummaryDaily[day],SummaryDaily[Online Store_net_sales],0)</f>
        <v>0</v>
      </c>
      <c r="M247" s="11">
        <f>_xlfn.XLOOKUP(TableDailySummary[[#This Row],[Fecha]],SummaryDaily[day],SummaryDaily[Online Store_orders],0)</f>
        <v>0</v>
      </c>
      <c r="N247" s="11">
        <f>_xlfn.XLOOKUP(TableDailySummary[[#This Row],[Fecha]],SummaryDaily[day],SummaryDaily[Online Store_average_order_value],0)</f>
        <v>0</v>
      </c>
      <c r="O247" s="11">
        <f>_xlfn.XLOOKUP(TableDailySummary[[#This Row],[Fecha]],SummaryDaily[day],SummaryDaily[Tienda 81_net_sales],0)</f>
        <v>0</v>
      </c>
      <c r="P247" s="11">
        <f>_xlfn.XLOOKUP(TableDailySummary[[#This Row],[Fecha]],SummaryDaily[day],SummaryDaily[Tienda 81_orders],0)</f>
        <v>0</v>
      </c>
      <c r="Q247" s="11">
        <f>_xlfn.XLOOKUP(TableDailySummary[[#This Row],[Fecha]],SummaryDaily[day],SummaryDaily[Tienda 81_average_order_value],0)</f>
        <v>0</v>
      </c>
      <c r="R247" s="11">
        <f>_xlfn.XLOOKUP(TableDailySummary[[#This Row],[Fecha]],SummaryDaily[day],SummaryDaily[Rappi_net_sales],0)</f>
        <v>0</v>
      </c>
      <c r="S247" s="11">
        <f>_xlfn.XLOOKUP(TableDailySummary[[#This Row],[Fecha]],SummaryDaily[day],SummaryDaily[Rappi_orders],0)</f>
        <v>0</v>
      </c>
      <c r="T247" s="11">
        <f>_xlfn.XLOOKUP(TableDailySummary[[#This Row],[Fecha]],SummaryDaily[day],SummaryDaily[Rappi_average_order_value],0)</f>
        <v>0</v>
      </c>
      <c r="U247" s="11">
        <f>_xlfn.XLOOKUP(TableDailySummary[[#This Row],[Fecha]],SummaryDaily[day],SummaryDaily[Corporativo no tienda_net_sales],0)</f>
        <v>0</v>
      </c>
      <c r="V247" s="11">
        <f>_xlfn.XLOOKUP(TableDailySummary[[#This Row],[Fecha]],SummaryDaily[day],SummaryDaily[Corporativo no tienda_orders],0)</f>
        <v>0</v>
      </c>
      <c r="W247" s="11">
        <f>_xlfn.XLOOKUP(TableDailySummary[[#This Row],[Fecha]],SummaryDaily[day],SummaryDaily[Corporativo no tienda_average_order_value],0)</f>
        <v>0</v>
      </c>
      <c r="X247" s="11">
        <f>_xlfn.XLOOKUP(TableDailySummary[[#This Row],[Fecha]],SummaryDaily[day],SummaryDaily[GoogleAdsOperation.Cost],0)</f>
        <v>0</v>
      </c>
      <c r="Y247" s="11">
        <f>SUMIFS(SalesByUTMDaily[google],SalesByUTMDaily[day],TableDailySummary[[#This Row],[Fecha]])</f>
        <v>0</v>
      </c>
      <c r="Z247" s="11">
        <f>_xlfn.XLOOKUP(TableDailySummary[[#This Row],[Fecha]],SummaryDaily[day],SummaryDaily[MetaAdsOperation.spend],0)</f>
        <v>0</v>
      </c>
      <c r="AA247" s="11">
        <f>SUMIFS(SalesByUTMDaily[facebook],SalesByUTMDaily[day],TableDailySummary[[#This Row],[Fecha]])</f>
        <v>0</v>
      </c>
      <c r="AB247" s="11">
        <f>TableDailySummary[[#This Row],[Inversión google ads]]+TableDailySummary[[#This Row],[Inversión meta ads]]</f>
        <v>0</v>
      </c>
      <c r="AC247" s="11">
        <f>TableDailySummary[[#This Row],[Ventas google ads]]+TableDailySummary[[#This Row],[Ventas meta ads]]</f>
        <v>0</v>
      </c>
      <c r="AD247" s="14">
        <f>IFERROR(TableDailySummary[[#This Row],[Ventas publicidad]]/TableDailySummary[[#This Row],[Inversión publicidad]],0)</f>
        <v>0</v>
      </c>
      <c r="AE247" s="14">
        <f>IFERROR(TableDailySummary[[#This Row],[Ventas primer cliente]]/TableDailySummary[[#This Row],[Inversión publicidad]],0)</f>
        <v>0</v>
      </c>
      <c r="AF247" s="14"/>
      <c r="AG247" s="11"/>
      <c r="AM247" s="11">
        <f>_xlfn.XLOOKUP(TableDailySummary[[#This Row],[Fecha]],SummaryDaily[day],SummaryDaily[net_sales_with_cost_recorded],0)</f>
        <v>0</v>
      </c>
      <c r="AN247" s="11">
        <f>_xlfn.XLOOKUP(TableDailySummary[[#This Row],[Fecha]],SummaryDaily[day],SummaryDaily[cost_of_goods_sold],0)</f>
        <v>0</v>
      </c>
      <c r="AO247" s="11">
        <f>_xlfn.XLOOKUP(TableDailySummary[[#This Row],[Fecha]],SummaryDaily[day],SummaryDaily[gross_profit],0)</f>
        <v>0</v>
      </c>
      <c r="AP247" s="18">
        <f>IFERROR(TableDailySummary[[#This Row],[Utilidad bruta]]/TableDailySummary[[#This Row],[Ventas netas con costo registrado]],0)</f>
        <v>0</v>
      </c>
    </row>
    <row r="248" spans="2:42" x14ac:dyDescent="0.2">
      <c r="B248" s="15" cm="1">
        <f t="array" ref="B248">ParamFechaInicioReporte + (ROW(TableDailySummary[#This Row]) - ROW(TableDailySummary[[#Headers],[Dia]]) - 1)</f>
        <v>44775</v>
      </c>
      <c r="C248" s="6">
        <f>TableDailySummary[[#This Row],[Dia]]</f>
        <v>44775</v>
      </c>
      <c r="D248" s="11">
        <f>_xlfn.XLOOKUP(TableDailySummary[[#This Row],[Fecha]],SummaryDaily[day],SummaryDaily[net_sales],0)</f>
        <v>0</v>
      </c>
      <c r="E248" s="11">
        <f>_xlfn.XLOOKUP(TableDailySummary[[#This Row],[Fecha]],SummaryDaily[day],SummaryDaily[orders],0)</f>
        <v>0</v>
      </c>
      <c r="F248" s="11">
        <f>_xlfn.XLOOKUP(TableDailySummary[[#This Row],[Fecha]],SummaryDaily[day],SummaryDaily[average_order_value],0)</f>
        <v>0</v>
      </c>
      <c r="G248" s="24" cm="1">
        <f t="array" ref="G248">_xlfn.XLOOKUP(TableDailySummary[[#This Row],[Fecha]]&amp;"Total site",ConversionRateByReferral[day]&amp;ConversionRateByReferral[referrer_source],ConversionRateByReferral[conversion_rate],0)</f>
        <v>0</v>
      </c>
      <c r="H248" s="11">
        <f>TableDailySummary[[#This Row],[Órden promedio totales]]*TableDailySummary[[#This Row],[CR totales]]</f>
        <v>0</v>
      </c>
      <c r="I248" s="11">
        <f>_xlfn.XLOOKUP(TableDailySummary[[#This Row],[Fecha]],SummaryDaily[day],SummaryDaily[new_net_sales],0)</f>
        <v>0</v>
      </c>
      <c r="J248" s="11">
        <f>_xlfn.XLOOKUP(TableDailySummary[[#This Row],[Fecha]],SummaryDaily[day],SummaryDaily[new_orders],0)</f>
        <v>0</v>
      </c>
      <c r="K248" s="11">
        <f>_xlfn.XLOOKUP(TableDailySummary[[#This Row],[Fecha]],SummaryDaily[day],SummaryDaily[new_average_order_value],0)</f>
        <v>0</v>
      </c>
      <c r="L248" s="11">
        <f>_xlfn.XLOOKUP(TableDailySummary[[#This Row],[Fecha]],SummaryDaily[day],SummaryDaily[Online Store_net_sales],0)</f>
        <v>0</v>
      </c>
      <c r="M248" s="11">
        <f>_xlfn.XLOOKUP(TableDailySummary[[#This Row],[Fecha]],SummaryDaily[day],SummaryDaily[Online Store_orders],0)</f>
        <v>0</v>
      </c>
      <c r="N248" s="11">
        <f>_xlfn.XLOOKUP(TableDailySummary[[#This Row],[Fecha]],SummaryDaily[day],SummaryDaily[Online Store_average_order_value],0)</f>
        <v>0</v>
      </c>
      <c r="O248" s="11">
        <f>_xlfn.XLOOKUP(TableDailySummary[[#This Row],[Fecha]],SummaryDaily[day],SummaryDaily[Tienda 81_net_sales],0)</f>
        <v>0</v>
      </c>
      <c r="P248" s="11">
        <f>_xlfn.XLOOKUP(TableDailySummary[[#This Row],[Fecha]],SummaryDaily[day],SummaryDaily[Tienda 81_orders],0)</f>
        <v>0</v>
      </c>
      <c r="Q248" s="11">
        <f>_xlfn.XLOOKUP(TableDailySummary[[#This Row],[Fecha]],SummaryDaily[day],SummaryDaily[Tienda 81_average_order_value],0)</f>
        <v>0</v>
      </c>
      <c r="R248" s="11">
        <f>_xlfn.XLOOKUP(TableDailySummary[[#This Row],[Fecha]],SummaryDaily[day],SummaryDaily[Rappi_net_sales],0)</f>
        <v>0</v>
      </c>
      <c r="S248" s="11">
        <f>_xlfn.XLOOKUP(TableDailySummary[[#This Row],[Fecha]],SummaryDaily[day],SummaryDaily[Rappi_orders],0)</f>
        <v>0</v>
      </c>
      <c r="T248" s="11">
        <f>_xlfn.XLOOKUP(TableDailySummary[[#This Row],[Fecha]],SummaryDaily[day],SummaryDaily[Rappi_average_order_value],0)</f>
        <v>0</v>
      </c>
      <c r="U248" s="11">
        <f>_xlfn.XLOOKUP(TableDailySummary[[#This Row],[Fecha]],SummaryDaily[day],SummaryDaily[Corporativo no tienda_net_sales],0)</f>
        <v>0</v>
      </c>
      <c r="V248" s="11">
        <f>_xlfn.XLOOKUP(TableDailySummary[[#This Row],[Fecha]],SummaryDaily[day],SummaryDaily[Corporativo no tienda_orders],0)</f>
        <v>0</v>
      </c>
      <c r="W248" s="11">
        <f>_xlfn.XLOOKUP(TableDailySummary[[#This Row],[Fecha]],SummaryDaily[day],SummaryDaily[Corporativo no tienda_average_order_value],0)</f>
        <v>0</v>
      </c>
      <c r="X248" s="11">
        <f>_xlfn.XLOOKUP(TableDailySummary[[#This Row],[Fecha]],SummaryDaily[day],SummaryDaily[GoogleAdsOperation.Cost],0)</f>
        <v>0</v>
      </c>
      <c r="Y248" s="11">
        <f>SUMIFS(SalesByUTMDaily[google],SalesByUTMDaily[day],TableDailySummary[[#This Row],[Fecha]])</f>
        <v>0</v>
      </c>
      <c r="Z248" s="11">
        <f>_xlfn.XLOOKUP(TableDailySummary[[#This Row],[Fecha]],SummaryDaily[day],SummaryDaily[MetaAdsOperation.spend],0)</f>
        <v>0</v>
      </c>
      <c r="AA248" s="11">
        <f>SUMIFS(SalesByUTMDaily[facebook],SalesByUTMDaily[day],TableDailySummary[[#This Row],[Fecha]])</f>
        <v>0</v>
      </c>
      <c r="AB248" s="11">
        <f>TableDailySummary[[#This Row],[Inversión google ads]]+TableDailySummary[[#This Row],[Inversión meta ads]]</f>
        <v>0</v>
      </c>
      <c r="AC248" s="11">
        <f>TableDailySummary[[#This Row],[Ventas google ads]]+TableDailySummary[[#This Row],[Ventas meta ads]]</f>
        <v>0</v>
      </c>
      <c r="AD248" s="14">
        <f>IFERROR(TableDailySummary[[#This Row],[Ventas publicidad]]/TableDailySummary[[#This Row],[Inversión publicidad]],0)</f>
        <v>0</v>
      </c>
      <c r="AE248" s="14">
        <f>IFERROR(TableDailySummary[[#This Row],[Ventas primer cliente]]/TableDailySummary[[#This Row],[Inversión publicidad]],0)</f>
        <v>0</v>
      </c>
      <c r="AF248" s="14"/>
      <c r="AG248" s="11"/>
      <c r="AM248" s="11">
        <f>_xlfn.XLOOKUP(TableDailySummary[[#This Row],[Fecha]],SummaryDaily[day],SummaryDaily[net_sales_with_cost_recorded],0)</f>
        <v>0</v>
      </c>
      <c r="AN248" s="11">
        <f>_xlfn.XLOOKUP(TableDailySummary[[#This Row],[Fecha]],SummaryDaily[day],SummaryDaily[cost_of_goods_sold],0)</f>
        <v>0</v>
      </c>
      <c r="AO248" s="11">
        <f>_xlfn.XLOOKUP(TableDailySummary[[#This Row],[Fecha]],SummaryDaily[day],SummaryDaily[gross_profit],0)</f>
        <v>0</v>
      </c>
      <c r="AP248" s="18">
        <f>IFERROR(TableDailySummary[[#This Row],[Utilidad bruta]]/TableDailySummary[[#This Row],[Ventas netas con costo registrado]],0)</f>
        <v>0</v>
      </c>
    </row>
    <row r="249" spans="2:42" x14ac:dyDescent="0.2">
      <c r="B249" s="15" cm="1">
        <f t="array" ref="B249">ParamFechaInicioReporte + (ROW(TableDailySummary[#This Row]) - ROW(TableDailySummary[[#Headers],[Dia]]) - 1)</f>
        <v>44776</v>
      </c>
      <c r="C249" s="6">
        <f>TableDailySummary[[#This Row],[Dia]]</f>
        <v>44776</v>
      </c>
      <c r="D249" s="11">
        <f>_xlfn.XLOOKUP(TableDailySummary[[#This Row],[Fecha]],SummaryDaily[day],SummaryDaily[net_sales],0)</f>
        <v>0</v>
      </c>
      <c r="E249" s="11">
        <f>_xlfn.XLOOKUP(TableDailySummary[[#This Row],[Fecha]],SummaryDaily[day],SummaryDaily[orders],0)</f>
        <v>0</v>
      </c>
      <c r="F249" s="11">
        <f>_xlfn.XLOOKUP(TableDailySummary[[#This Row],[Fecha]],SummaryDaily[day],SummaryDaily[average_order_value],0)</f>
        <v>0</v>
      </c>
      <c r="G249" s="24" cm="1">
        <f t="array" ref="G249">_xlfn.XLOOKUP(TableDailySummary[[#This Row],[Fecha]]&amp;"Total site",ConversionRateByReferral[day]&amp;ConversionRateByReferral[referrer_source],ConversionRateByReferral[conversion_rate],0)</f>
        <v>0</v>
      </c>
      <c r="H249" s="11">
        <f>TableDailySummary[[#This Row],[Órden promedio totales]]*TableDailySummary[[#This Row],[CR totales]]</f>
        <v>0</v>
      </c>
      <c r="I249" s="11">
        <f>_xlfn.XLOOKUP(TableDailySummary[[#This Row],[Fecha]],SummaryDaily[day],SummaryDaily[new_net_sales],0)</f>
        <v>0</v>
      </c>
      <c r="J249" s="11">
        <f>_xlfn.XLOOKUP(TableDailySummary[[#This Row],[Fecha]],SummaryDaily[day],SummaryDaily[new_orders],0)</f>
        <v>0</v>
      </c>
      <c r="K249" s="11">
        <f>_xlfn.XLOOKUP(TableDailySummary[[#This Row],[Fecha]],SummaryDaily[day],SummaryDaily[new_average_order_value],0)</f>
        <v>0</v>
      </c>
      <c r="L249" s="11">
        <f>_xlfn.XLOOKUP(TableDailySummary[[#This Row],[Fecha]],SummaryDaily[day],SummaryDaily[Online Store_net_sales],0)</f>
        <v>0</v>
      </c>
      <c r="M249" s="11">
        <f>_xlfn.XLOOKUP(TableDailySummary[[#This Row],[Fecha]],SummaryDaily[day],SummaryDaily[Online Store_orders],0)</f>
        <v>0</v>
      </c>
      <c r="N249" s="11">
        <f>_xlfn.XLOOKUP(TableDailySummary[[#This Row],[Fecha]],SummaryDaily[day],SummaryDaily[Online Store_average_order_value],0)</f>
        <v>0</v>
      </c>
      <c r="O249" s="11">
        <f>_xlfn.XLOOKUP(TableDailySummary[[#This Row],[Fecha]],SummaryDaily[day],SummaryDaily[Tienda 81_net_sales],0)</f>
        <v>0</v>
      </c>
      <c r="P249" s="11">
        <f>_xlfn.XLOOKUP(TableDailySummary[[#This Row],[Fecha]],SummaryDaily[day],SummaryDaily[Tienda 81_orders],0)</f>
        <v>0</v>
      </c>
      <c r="Q249" s="11">
        <f>_xlfn.XLOOKUP(TableDailySummary[[#This Row],[Fecha]],SummaryDaily[day],SummaryDaily[Tienda 81_average_order_value],0)</f>
        <v>0</v>
      </c>
      <c r="R249" s="11">
        <f>_xlfn.XLOOKUP(TableDailySummary[[#This Row],[Fecha]],SummaryDaily[day],SummaryDaily[Rappi_net_sales],0)</f>
        <v>0</v>
      </c>
      <c r="S249" s="11">
        <f>_xlfn.XLOOKUP(TableDailySummary[[#This Row],[Fecha]],SummaryDaily[day],SummaryDaily[Rappi_orders],0)</f>
        <v>0</v>
      </c>
      <c r="T249" s="11">
        <f>_xlfn.XLOOKUP(TableDailySummary[[#This Row],[Fecha]],SummaryDaily[day],SummaryDaily[Rappi_average_order_value],0)</f>
        <v>0</v>
      </c>
      <c r="U249" s="11">
        <f>_xlfn.XLOOKUP(TableDailySummary[[#This Row],[Fecha]],SummaryDaily[day],SummaryDaily[Corporativo no tienda_net_sales],0)</f>
        <v>0</v>
      </c>
      <c r="V249" s="11">
        <f>_xlfn.XLOOKUP(TableDailySummary[[#This Row],[Fecha]],SummaryDaily[day],SummaryDaily[Corporativo no tienda_orders],0)</f>
        <v>0</v>
      </c>
      <c r="W249" s="11">
        <f>_xlfn.XLOOKUP(TableDailySummary[[#This Row],[Fecha]],SummaryDaily[day],SummaryDaily[Corporativo no tienda_average_order_value],0)</f>
        <v>0</v>
      </c>
      <c r="X249" s="11">
        <f>_xlfn.XLOOKUP(TableDailySummary[[#This Row],[Fecha]],SummaryDaily[day],SummaryDaily[GoogleAdsOperation.Cost],0)</f>
        <v>0</v>
      </c>
      <c r="Y249" s="11">
        <f>SUMIFS(SalesByUTMDaily[google],SalesByUTMDaily[day],TableDailySummary[[#This Row],[Fecha]])</f>
        <v>0</v>
      </c>
      <c r="Z249" s="11">
        <f>_xlfn.XLOOKUP(TableDailySummary[[#This Row],[Fecha]],SummaryDaily[day],SummaryDaily[MetaAdsOperation.spend],0)</f>
        <v>0</v>
      </c>
      <c r="AA249" s="11">
        <f>SUMIFS(SalesByUTMDaily[facebook],SalesByUTMDaily[day],TableDailySummary[[#This Row],[Fecha]])</f>
        <v>0</v>
      </c>
      <c r="AB249" s="11">
        <f>TableDailySummary[[#This Row],[Inversión google ads]]+TableDailySummary[[#This Row],[Inversión meta ads]]</f>
        <v>0</v>
      </c>
      <c r="AC249" s="11">
        <f>TableDailySummary[[#This Row],[Ventas google ads]]+TableDailySummary[[#This Row],[Ventas meta ads]]</f>
        <v>0</v>
      </c>
      <c r="AD249" s="14">
        <f>IFERROR(TableDailySummary[[#This Row],[Ventas publicidad]]/TableDailySummary[[#This Row],[Inversión publicidad]],0)</f>
        <v>0</v>
      </c>
      <c r="AE249" s="14">
        <f>IFERROR(TableDailySummary[[#This Row],[Ventas primer cliente]]/TableDailySummary[[#This Row],[Inversión publicidad]],0)</f>
        <v>0</v>
      </c>
      <c r="AF249" s="14"/>
      <c r="AG249" s="11"/>
      <c r="AM249" s="11">
        <f>_xlfn.XLOOKUP(TableDailySummary[[#This Row],[Fecha]],SummaryDaily[day],SummaryDaily[net_sales_with_cost_recorded],0)</f>
        <v>0</v>
      </c>
      <c r="AN249" s="11">
        <f>_xlfn.XLOOKUP(TableDailySummary[[#This Row],[Fecha]],SummaryDaily[day],SummaryDaily[cost_of_goods_sold],0)</f>
        <v>0</v>
      </c>
      <c r="AO249" s="11">
        <f>_xlfn.XLOOKUP(TableDailySummary[[#This Row],[Fecha]],SummaryDaily[day],SummaryDaily[gross_profit],0)</f>
        <v>0</v>
      </c>
      <c r="AP249" s="18">
        <f>IFERROR(TableDailySummary[[#This Row],[Utilidad bruta]]/TableDailySummary[[#This Row],[Ventas netas con costo registrado]],0)</f>
        <v>0</v>
      </c>
    </row>
    <row r="250" spans="2:42" x14ac:dyDescent="0.2">
      <c r="B250" s="15" cm="1">
        <f t="array" ref="B250">ParamFechaInicioReporte + (ROW(TableDailySummary[#This Row]) - ROW(TableDailySummary[[#Headers],[Dia]]) - 1)</f>
        <v>44777</v>
      </c>
      <c r="C250" s="6">
        <f>TableDailySummary[[#This Row],[Dia]]</f>
        <v>44777</v>
      </c>
      <c r="D250" s="11">
        <f>_xlfn.XLOOKUP(TableDailySummary[[#This Row],[Fecha]],SummaryDaily[day],SummaryDaily[net_sales],0)</f>
        <v>0</v>
      </c>
      <c r="E250" s="11">
        <f>_xlfn.XLOOKUP(TableDailySummary[[#This Row],[Fecha]],SummaryDaily[day],SummaryDaily[orders],0)</f>
        <v>0</v>
      </c>
      <c r="F250" s="11">
        <f>_xlfn.XLOOKUP(TableDailySummary[[#This Row],[Fecha]],SummaryDaily[day],SummaryDaily[average_order_value],0)</f>
        <v>0</v>
      </c>
      <c r="G250" s="24" cm="1">
        <f t="array" ref="G250">_xlfn.XLOOKUP(TableDailySummary[[#This Row],[Fecha]]&amp;"Total site",ConversionRateByReferral[day]&amp;ConversionRateByReferral[referrer_source],ConversionRateByReferral[conversion_rate],0)</f>
        <v>0</v>
      </c>
      <c r="H250" s="11">
        <f>TableDailySummary[[#This Row],[Órden promedio totales]]*TableDailySummary[[#This Row],[CR totales]]</f>
        <v>0</v>
      </c>
      <c r="I250" s="11">
        <f>_xlfn.XLOOKUP(TableDailySummary[[#This Row],[Fecha]],SummaryDaily[day],SummaryDaily[new_net_sales],0)</f>
        <v>0</v>
      </c>
      <c r="J250" s="11">
        <f>_xlfn.XLOOKUP(TableDailySummary[[#This Row],[Fecha]],SummaryDaily[day],SummaryDaily[new_orders],0)</f>
        <v>0</v>
      </c>
      <c r="K250" s="11">
        <f>_xlfn.XLOOKUP(TableDailySummary[[#This Row],[Fecha]],SummaryDaily[day],SummaryDaily[new_average_order_value],0)</f>
        <v>0</v>
      </c>
      <c r="L250" s="11">
        <f>_xlfn.XLOOKUP(TableDailySummary[[#This Row],[Fecha]],SummaryDaily[day],SummaryDaily[Online Store_net_sales],0)</f>
        <v>0</v>
      </c>
      <c r="M250" s="11">
        <f>_xlfn.XLOOKUP(TableDailySummary[[#This Row],[Fecha]],SummaryDaily[day],SummaryDaily[Online Store_orders],0)</f>
        <v>0</v>
      </c>
      <c r="N250" s="11">
        <f>_xlfn.XLOOKUP(TableDailySummary[[#This Row],[Fecha]],SummaryDaily[day],SummaryDaily[Online Store_average_order_value],0)</f>
        <v>0</v>
      </c>
      <c r="O250" s="11">
        <f>_xlfn.XLOOKUP(TableDailySummary[[#This Row],[Fecha]],SummaryDaily[day],SummaryDaily[Tienda 81_net_sales],0)</f>
        <v>0</v>
      </c>
      <c r="P250" s="11">
        <f>_xlfn.XLOOKUP(TableDailySummary[[#This Row],[Fecha]],SummaryDaily[day],SummaryDaily[Tienda 81_orders],0)</f>
        <v>0</v>
      </c>
      <c r="Q250" s="11">
        <f>_xlfn.XLOOKUP(TableDailySummary[[#This Row],[Fecha]],SummaryDaily[day],SummaryDaily[Tienda 81_average_order_value],0)</f>
        <v>0</v>
      </c>
      <c r="R250" s="11">
        <f>_xlfn.XLOOKUP(TableDailySummary[[#This Row],[Fecha]],SummaryDaily[day],SummaryDaily[Rappi_net_sales],0)</f>
        <v>0</v>
      </c>
      <c r="S250" s="11">
        <f>_xlfn.XLOOKUP(TableDailySummary[[#This Row],[Fecha]],SummaryDaily[day],SummaryDaily[Rappi_orders],0)</f>
        <v>0</v>
      </c>
      <c r="T250" s="11">
        <f>_xlfn.XLOOKUP(TableDailySummary[[#This Row],[Fecha]],SummaryDaily[day],SummaryDaily[Rappi_average_order_value],0)</f>
        <v>0</v>
      </c>
      <c r="U250" s="11">
        <f>_xlfn.XLOOKUP(TableDailySummary[[#This Row],[Fecha]],SummaryDaily[day],SummaryDaily[Corporativo no tienda_net_sales],0)</f>
        <v>0</v>
      </c>
      <c r="V250" s="11">
        <f>_xlfn.XLOOKUP(TableDailySummary[[#This Row],[Fecha]],SummaryDaily[day],SummaryDaily[Corporativo no tienda_orders],0)</f>
        <v>0</v>
      </c>
      <c r="W250" s="11">
        <f>_xlfn.XLOOKUP(TableDailySummary[[#This Row],[Fecha]],SummaryDaily[day],SummaryDaily[Corporativo no tienda_average_order_value],0)</f>
        <v>0</v>
      </c>
      <c r="X250" s="11">
        <f>_xlfn.XLOOKUP(TableDailySummary[[#This Row],[Fecha]],SummaryDaily[day],SummaryDaily[GoogleAdsOperation.Cost],0)</f>
        <v>0</v>
      </c>
      <c r="Y250" s="11">
        <f>SUMIFS(SalesByUTMDaily[google],SalesByUTMDaily[day],TableDailySummary[[#This Row],[Fecha]])</f>
        <v>0</v>
      </c>
      <c r="Z250" s="11">
        <f>_xlfn.XLOOKUP(TableDailySummary[[#This Row],[Fecha]],SummaryDaily[day],SummaryDaily[MetaAdsOperation.spend],0)</f>
        <v>0</v>
      </c>
      <c r="AA250" s="11">
        <f>SUMIFS(SalesByUTMDaily[facebook],SalesByUTMDaily[day],TableDailySummary[[#This Row],[Fecha]])</f>
        <v>0</v>
      </c>
      <c r="AB250" s="11">
        <f>TableDailySummary[[#This Row],[Inversión google ads]]+TableDailySummary[[#This Row],[Inversión meta ads]]</f>
        <v>0</v>
      </c>
      <c r="AC250" s="11">
        <f>TableDailySummary[[#This Row],[Ventas google ads]]+TableDailySummary[[#This Row],[Ventas meta ads]]</f>
        <v>0</v>
      </c>
      <c r="AD250" s="14">
        <f>IFERROR(TableDailySummary[[#This Row],[Ventas publicidad]]/TableDailySummary[[#This Row],[Inversión publicidad]],0)</f>
        <v>0</v>
      </c>
      <c r="AE250" s="14">
        <f>IFERROR(TableDailySummary[[#This Row],[Ventas primer cliente]]/TableDailySummary[[#This Row],[Inversión publicidad]],0)</f>
        <v>0</v>
      </c>
      <c r="AF250" s="14"/>
      <c r="AG250" s="11"/>
      <c r="AM250" s="11">
        <f>_xlfn.XLOOKUP(TableDailySummary[[#This Row],[Fecha]],SummaryDaily[day],SummaryDaily[net_sales_with_cost_recorded],0)</f>
        <v>0</v>
      </c>
      <c r="AN250" s="11">
        <f>_xlfn.XLOOKUP(TableDailySummary[[#This Row],[Fecha]],SummaryDaily[day],SummaryDaily[cost_of_goods_sold],0)</f>
        <v>0</v>
      </c>
      <c r="AO250" s="11">
        <f>_xlfn.XLOOKUP(TableDailySummary[[#This Row],[Fecha]],SummaryDaily[day],SummaryDaily[gross_profit],0)</f>
        <v>0</v>
      </c>
      <c r="AP250" s="18">
        <f>IFERROR(TableDailySummary[[#This Row],[Utilidad bruta]]/TableDailySummary[[#This Row],[Ventas netas con costo registrado]],0)</f>
        <v>0</v>
      </c>
    </row>
    <row r="251" spans="2:42" x14ac:dyDescent="0.2">
      <c r="B251" s="15" cm="1">
        <f t="array" ref="B251">ParamFechaInicioReporte + (ROW(TableDailySummary[#This Row]) - ROW(TableDailySummary[[#Headers],[Dia]]) - 1)</f>
        <v>44778</v>
      </c>
      <c r="C251" s="6">
        <f>TableDailySummary[[#This Row],[Dia]]</f>
        <v>44778</v>
      </c>
      <c r="D251" s="11">
        <f>_xlfn.XLOOKUP(TableDailySummary[[#This Row],[Fecha]],SummaryDaily[day],SummaryDaily[net_sales],0)</f>
        <v>0</v>
      </c>
      <c r="E251" s="11">
        <f>_xlfn.XLOOKUP(TableDailySummary[[#This Row],[Fecha]],SummaryDaily[day],SummaryDaily[orders],0)</f>
        <v>0</v>
      </c>
      <c r="F251" s="11">
        <f>_xlfn.XLOOKUP(TableDailySummary[[#This Row],[Fecha]],SummaryDaily[day],SummaryDaily[average_order_value],0)</f>
        <v>0</v>
      </c>
      <c r="G251" s="24" cm="1">
        <f t="array" ref="G251">_xlfn.XLOOKUP(TableDailySummary[[#This Row],[Fecha]]&amp;"Total site",ConversionRateByReferral[day]&amp;ConversionRateByReferral[referrer_source],ConversionRateByReferral[conversion_rate],0)</f>
        <v>0</v>
      </c>
      <c r="H251" s="11">
        <f>TableDailySummary[[#This Row],[Órden promedio totales]]*TableDailySummary[[#This Row],[CR totales]]</f>
        <v>0</v>
      </c>
      <c r="I251" s="11">
        <f>_xlfn.XLOOKUP(TableDailySummary[[#This Row],[Fecha]],SummaryDaily[day],SummaryDaily[new_net_sales],0)</f>
        <v>0</v>
      </c>
      <c r="J251" s="11">
        <f>_xlfn.XLOOKUP(TableDailySummary[[#This Row],[Fecha]],SummaryDaily[day],SummaryDaily[new_orders],0)</f>
        <v>0</v>
      </c>
      <c r="K251" s="11">
        <f>_xlfn.XLOOKUP(TableDailySummary[[#This Row],[Fecha]],SummaryDaily[day],SummaryDaily[new_average_order_value],0)</f>
        <v>0</v>
      </c>
      <c r="L251" s="11">
        <f>_xlfn.XLOOKUP(TableDailySummary[[#This Row],[Fecha]],SummaryDaily[day],SummaryDaily[Online Store_net_sales],0)</f>
        <v>0</v>
      </c>
      <c r="M251" s="11">
        <f>_xlfn.XLOOKUP(TableDailySummary[[#This Row],[Fecha]],SummaryDaily[day],SummaryDaily[Online Store_orders],0)</f>
        <v>0</v>
      </c>
      <c r="N251" s="11">
        <f>_xlfn.XLOOKUP(TableDailySummary[[#This Row],[Fecha]],SummaryDaily[day],SummaryDaily[Online Store_average_order_value],0)</f>
        <v>0</v>
      </c>
      <c r="O251" s="11">
        <f>_xlfn.XLOOKUP(TableDailySummary[[#This Row],[Fecha]],SummaryDaily[day],SummaryDaily[Tienda 81_net_sales],0)</f>
        <v>0</v>
      </c>
      <c r="P251" s="11">
        <f>_xlfn.XLOOKUP(TableDailySummary[[#This Row],[Fecha]],SummaryDaily[day],SummaryDaily[Tienda 81_orders],0)</f>
        <v>0</v>
      </c>
      <c r="Q251" s="11">
        <f>_xlfn.XLOOKUP(TableDailySummary[[#This Row],[Fecha]],SummaryDaily[day],SummaryDaily[Tienda 81_average_order_value],0)</f>
        <v>0</v>
      </c>
      <c r="R251" s="11">
        <f>_xlfn.XLOOKUP(TableDailySummary[[#This Row],[Fecha]],SummaryDaily[day],SummaryDaily[Rappi_net_sales],0)</f>
        <v>0</v>
      </c>
      <c r="S251" s="11">
        <f>_xlfn.XLOOKUP(TableDailySummary[[#This Row],[Fecha]],SummaryDaily[day],SummaryDaily[Rappi_orders],0)</f>
        <v>0</v>
      </c>
      <c r="T251" s="11">
        <f>_xlfn.XLOOKUP(TableDailySummary[[#This Row],[Fecha]],SummaryDaily[day],SummaryDaily[Rappi_average_order_value],0)</f>
        <v>0</v>
      </c>
      <c r="U251" s="11">
        <f>_xlfn.XLOOKUP(TableDailySummary[[#This Row],[Fecha]],SummaryDaily[day],SummaryDaily[Corporativo no tienda_net_sales],0)</f>
        <v>0</v>
      </c>
      <c r="V251" s="11">
        <f>_xlfn.XLOOKUP(TableDailySummary[[#This Row],[Fecha]],SummaryDaily[day],SummaryDaily[Corporativo no tienda_orders],0)</f>
        <v>0</v>
      </c>
      <c r="W251" s="11">
        <f>_xlfn.XLOOKUP(TableDailySummary[[#This Row],[Fecha]],SummaryDaily[day],SummaryDaily[Corporativo no tienda_average_order_value],0)</f>
        <v>0</v>
      </c>
      <c r="X251" s="11">
        <f>_xlfn.XLOOKUP(TableDailySummary[[#This Row],[Fecha]],SummaryDaily[day],SummaryDaily[GoogleAdsOperation.Cost],0)</f>
        <v>0</v>
      </c>
      <c r="Y251" s="11">
        <f>SUMIFS(SalesByUTMDaily[google],SalesByUTMDaily[day],TableDailySummary[[#This Row],[Fecha]])</f>
        <v>0</v>
      </c>
      <c r="Z251" s="11">
        <f>_xlfn.XLOOKUP(TableDailySummary[[#This Row],[Fecha]],SummaryDaily[day],SummaryDaily[MetaAdsOperation.spend],0)</f>
        <v>0</v>
      </c>
      <c r="AA251" s="11">
        <f>SUMIFS(SalesByUTMDaily[facebook],SalesByUTMDaily[day],TableDailySummary[[#This Row],[Fecha]])</f>
        <v>0</v>
      </c>
      <c r="AB251" s="11">
        <f>TableDailySummary[[#This Row],[Inversión google ads]]+TableDailySummary[[#This Row],[Inversión meta ads]]</f>
        <v>0</v>
      </c>
      <c r="AC251" s="11">
        <f>TableDailySummary[[#This Row],[Ventas google ads]]+TableDailySummary[[#This Row],[Ventas meta ads]]</f>
        <v>0</v>
      </c>
      <c r="AD251" s="14">
        <f>IFERROR(TableDailySummary[[#This Row],[Ventas publicidad]]/TableDailySummary[[#This Row],[Inversión publicidad]],0)</f>
        <v>0</v>
      </c>
      <c r="AE251" s="14">
        <f>IFERROR(TableDailySummary[[#This Row],[Ventas primer cliente]]/TableDailySummary[[#This Row],[Inversión publicidad]],0)</f>
        <v>0</v>
      </c>
      <c r="AF251" s="14"/>
      <c r="AG251" s="11"/>
      <c r="AM251" s="11">
        <f>_xlfn.XLOOKUP(TableDailySummary[[#This Row],[Fecha]],SummaryDaily[day],SummaryDaily[net_sales_with_cost_recorded],0)</f>
        <v>0</v>
      </c>
      <c r="AN251" s="11">
        <f>_xlfn.XLOOKUP(TableDailySummary[[#This Row],[Fecha]],SummaryDaily[day],SummaryDaily[cost_of_goods_sold],0)</f>
        <v>0</v>
      </c>
      <c r="AO251" s="11">
        <f>_xlfn.XLOOKUP(TableDailySummary[[#This Row],[Fecha]],SummaryDaily[day],SummaryDaily[gross_profit],0)</f>
        <v>0</v>
      </c>
      <c r="AP251" s="18">
        <f>IFERROR(TableDailySummary[[#This Row],[Utilidad bruta]]/TableDailySummary[[#This Row],[Ventas netas con costo registrado]],0)</f>
        <v>0</v>
      </c>
    </row>
    <row r="252" spans="2:42" x14ac:dyDescent="0.2">
      <c r="B252" s="15" cm="1">
        <f t="array" ref="B252">ParamFechaInicioReporte + (ROW(TableDailySummary[#This Row]) - ROW(TableDailySummary[[#Headers],[Dia]]) - 1)</f>
        <v>44779</v>
      </c>
      <c r="C252" s="6">
        <f>TableDailySummary[[#This Row],[Dia]]</f>
        <v>44779</v>
      </c>
      <c r="D252" s="11">
        <f>_xlfn.XLOOKUP(TableDailySummary[[#This Row],[Fecha]],SummaryDaily[day],SummaryDaily[net_sales],0)</f>
        <v>0</v>
      </c>
      <c r="E252" s="11">
        <f>_xlfn.XLOOKUP(TableDailySummary[[#This Row],[Fecha]],SummaryDaily[day],SummaryDaily[orders],0)</f>
        <v>0</v>
      </c>
      <c r="F252" s="11">
        <f>_xlfn.XLOOKUP(TableDailySummary[[#This Row],[Fecha]],SummaryDaily[day],SummaryDaily[average_order_value],0)</f>
        <v>0</v>
      </c>
      <c r="G252" s="24" cm="1">
        <f t="array" ref="G252">_xlfn.XLOOKUP(TableDailySummary[[#This Row],[Fecha]]&amp;"Total site",ConversionRateByReferral[day]&amp;ConversionRateByReferral[referrer_source],ConversionRateByReferral[conversion_rate],0)</f>
        <v>0</v>
      </c>
      <c r="H252" s="11">
        <f>TableDailySummary[[#This Row],[Órden promedio totales]]*TableDailySummary[[#This Row],[CR totales]]</f>
        <v>0</v>
      </c>
      <c r="I252" s="11">
        <f>_xlfn.XLOOKUP(TableDailySummary[[#This Row],[Fecha]],SummaryDaily[day],SummaryDaily[new_net_sales],0)</f>
        <v>0</v>
      </c>
      <c r="J252" s="11">
        <f>_xlfn.XLOOKUP(TableDailySummary[[#This Row],[Fecha]],SummaryDaily[day],SummaryDaily[new_orders],0)</f>
        <v>0</v>
      </c>
      <c r="K252" s="11">
        <f>_xlfn.XLOOKUP(TableDailySummary[[#This Row],[Fecha]],SummaryDaily[day],SummaryDaily[new_average_order_value],0)</f>
        <v>0</v>
      </c>
      <c r="L252" s="11">
        <f>_xlfn.XLOOKUP(TableDailySummary[[#This Row],[Fecha]],SummaryDaily[day],SummaryDaily[Online Store_net_sales],0)</f>
        <v>0</v>
      </c>
      <c r="M252" s="11">
        <f>_xlfn.XLOOKUP(TableDailySummary[[#This Row],[Fecha]],SummaryDaily[day],SummaryDaily[Online Store_orders],0)</f>
        <v>0</v>
      </c>
      <c r="N252" s="11">
        <f>_xlfn.XLOOKUP(TableDailySummary[[#This Row],[Fecha]],SummaryDaily[day],SummaryDaily[Online Store_average_order_value],0)</f>
        <v>0</v>
      </c>
      <c r="O252" s="11">
        <f>_xlfn.XLOOKUP(TableDailySummary[[#This Row],[Fecha]],SummaryDaily[day],SummaryDaily[Tienda 81_net_sales],0)</f>
        <v>0</v>
      </c>
      <c r="P252" s="11">
        <f>_xlfn.XLOOKUP(TableDailySummary[[#This Row],[Fecha]],SummaryDaily[day],SummaryDaily[Tienda 81_orders],0)</f>
        <v>0</v>
      </c>
      <c r="Q252" s="11">
        <f>_xlfn.XLOOKUP(TableDailySummary[[#This Row],[Fecha]],SummaryDaily[day],SummaryDaily[Tienda 81_average_order_value],0)</f>
        <v>0</v>
      </c>
      <c r="R252" s="11">
        <f>_xlfn.XLOOKUP(TableDailySummary[[#This Row],[Fecha]],SummaryDaily[day],SummaryDaily[Rappi_net_sales],0)</f>
        <v>0</v>
      </c>
      <c r="S252" s="11">
        <f>_xlfn.XLOOKUP(TableDailySummary[[#This Row],[Fecha]],SummaryDaily[day],SummaryDaily[Rappi_orders],0)</f>
        <v>0</v>
      </c>
      <c r="T252" s="11">
        <f>_xlfn.XLOOKUP(TableDailySummary[[#This Row],[Fecha]],SummaryDaily[day],SummaryDaily[Rappi_average_order_value],0)</f>
        <v>0</v>
      </c>
      <c r="U252" s="11">
        <f>_xlfn.XLOOKUP(TableDailySummary[[#This Row],[Fecha]],SummaryDaily[day],SummaryDaily[Corporativo no tienda_net_sales],0)</f>
        <v>0</v>
      </c>
      <c r="V252" s="11">
        <f>_xlfn.XLOOKUP(TableDailySummary[[#This Row],[Fecha]],SummaryDaily[day],SummaryDaily[Corporativo no tienda_orders],0)</f>
        <v>0</v>
      </c>
      <c r="W252" s="11">
        <f>_xlfn.XLOOKUP(TableDailySummary[[#This Row],[Fecha]],SummaryDaily[day],SummaryDaily[Corporativo no tienda_average_order_value],0)</f>
        <v>0</v>
      </c>
      <c r="X252" s="11">
        <f>_xlfn.XLOOKUP(TableDailySummary[[#This Row],[Fecha]],SummaryDaily[day],SummaryDaily[GoogleAdsOperation.Cost],0)</f>
        <v>0</v>
      </c>
      <c r="Y252" s="11">
        <f>SUMIFS(SalesByUTMDaily[google],SalesByUTMDaily[day],TableDailySummary[[#This Row],[Fecha]])</f>
        <v>0</v>
      </c>
      <c r="Z252" s="11">
        <f>_xlfn.XLOOKUP(TableDailySummary[[#This Row],[Fecha]],SummaryDaily[day],SummaryDaily[MetaAdsOperation.spend],0)</f>
        <v>0</v>
      </c>
      <c r="AA252" s="11">
        <f>SUMIFS(SalesByUTMDaily[facebook],SalesByUTMDaily[day],TableDailySummary[[#This Row],[Fecha]])</f>
        <v>0</v>
      </c>
      <c r="AB252" s="11">
        <f>TableDailySummary[[#This Row],[Inversión google ads]]+TableDailySummary[[#This Row],[Inversión meta ads]]</f>
        <v>0</v>
      </c>
      <c r="AC252" s="11">
        <f>TableDailySummary[[#This Row],[Ventas google ads]]+TableDailySummary[[#This Row],[Ventas meta ads]]</f>
        <v>0</v>
      </c>
      <c r="AD252" s="14">
        <f>IFERROR(TableDailySummary[[#This Row],[Ventas publicidad]]/TableDailySummary[[#This Row],[Inversión publicidad]],0)</f>
        <v>0</v>
      </c>
      <c r="AE252" s="14">
        <f>IFERROR(TableDailySummary[[#This Row],[Ventas primer cliente]]/TableDailySummary[[#This Row],[Inversión publicidad]],0)</f>
        <v>0</v>
      </c>
      <c r="AF252" s="14"/>
      <c r="AG252" s="11"/>
      <c r="AM252" s="11">
        <f>_xlfn.XLOOKUP(TableDailySummary[[#This Row],[Fecha]],SummaryDaily[day],SummaryDaily[net_sales_with_cost_recorded],0)</f>
        <v>0</v>
      </c>
      <c r="AN252" s="11">
        <f>_xlfn.XLOOKUP(TableDailySummary[[#This Row],[Fecha]],SummaryDaily[day],SummaryDaily[cost_of_goods_sold],0)</f>
        <v>0</v>
      </c>
      <c r="AO252" s="11">
        <f>_xlfn.XLOOKUP(TableDailySummary[[#This Row],[Fecha]],SummaryDaily[day],SummaryDaily[gross_profit],0)</f>
        <v>0</v>
      </c>
      <c r="AP252" s="18">
        <f>IFERROR(TableDailySummary[[#This Row],[Utilidad bruta]]/TableDailySummary[[#This Row],[Ventas netas con costo registrado]],0)</f>
        <v>0</v>
      </c>
    </row>
    <row r="253" spans="2:42" x14ac:dyDescent="0.2">
      <c r="B253" s="15" cm="1">
        <f t="array" ref="B253">ParamFechaInicioReporte + (ROW(TableDailySummary[#This Row]) - ROW(TableDailySummary[[#Headers],[Dia]]) - 1)</f>
        <v>44780</v>
      </c>
      <c r="C253" s="6">
        <f>TableDailySummary[[#This Row],[Dia]]</f>
        <v>44780</v>
      </c>
      <c r="D253" s="11">
        <f>_xlfn.XLOOKUP(TableDailySummary[[#This Row],[Fecha]],SummaryDaily[day],SummaryDaily[net_sales],0)</f>
        <v>0</v>
      </c>
      <c r="E253" s="11">
        <f>_xlfn.XLOOKUP(TableDailySummary[[#This Row],[Fecha]],SummaryDaily[day],SummaryDaily[orders],0)</f>
        <v>0</v>
      </c>
      <c r="F253" s="11">
        <f>_xlfn.XLOOKUP(TableDailySummary[[#This Row],[Fecha]],SummaryDaily[day],SummaryDaily[average_order_value],0)</f>
        <v>0</v>
      </c>
      <c r="G253" s="24" cm="1">
        <f t="array" ref="G253">_xlfn.XLOOKUP(TableDailySummary[[#This Row],[Fecha]]&amp;"Total site",ConversionRateByReferral[day]&amp;ConversionRateByReferral[referrer_source],ConversionRateByReferral[conversion_rate],0)</f>
        <v>0</v>
      </c>
      <c r="H253" s="11">
        <f>TableDailySummary[[#This Row],[Órden promedio totales]]*TableDailySummary[[#This Row],[CR totales]]</f>
        <v>0</v>
      </c>
      <c r="I253" s="11">
        <f>_xlfn.XLOOKUP(TableDailySummary[[#This Row],[Fecha]],SummaryDaily[day],SummaryDaily[new_net_sales],0)</f>
        <v>0</v>
      </c>
      <c r="J253" s="11">
        <f>_xlfn.XLOOKUP(TableDailySummary[[#This Row],[Fecha]],SummaryDaily[day],SummaryDaily[new_orders],0)</f>
        <v>0</v>
      </c>
      <c r="K253" s="11">
        <f>_xlfn.XLOOKUP(TableDailySummary[[#This Row],[Fecha]],SummaryDaily[day],SummaryDaily[new_average_order_value],0)</f>
        <v>0</v>
      </c>
      <c r="L253" s="11">
        <f>_xlfn.XLOOKUP(TableDailySummary[[#This Row],[Fecha]],SummaryDaily[day],SummaryDaily[Online Store_net_sales],0)</f>
        <v>0</v>
      </c>
      <c r="M253" s="11">
        <f>_xlfn.XLOOKUP(TableDailySummary[[#This Row],[Fecha]],SummaryDaily[day],SummaryDaily[Online Store_orders],0)</f>
        <v>0</v>
      </c>
      <c r="N253" s="11">
        <f>_xlfn.XLOOKUP(TableDailySummary[[#This Row],[Fecha]],SummaryDaily[day],SummaryDaily[Online Store_average_order_value],0)</f>
        <v>0</v>
      </c>
      <c r="O253" s="11">
        <f>_xlfn.XLOOKUP(TableDailySummary[[#This Row],[Fecha]],SummaryDaily[day],SummaryDaily[Tienda 81_net_sales],0)</f>
        <v>0</v>
      </c>
      <c r="P253" s="11">
        <f>_xlfn.XLOOKUP(TableDailySummary[[#This Row],[Fecha]],SummaryDaily[day],SummaryDaily[Tienda 81_orders],0)</f>
        <v>0</v>
      </c>
      <c r="Q253" s="11">
        <f>_xlfn.XLOOKUP(TableDailySummary[[#This Row],[Fecha]],SummaryDaily[day],SummaryDaily[Tienda 81_average_order_value],0)</f>
        <v>0</v>
      </c>
      <c r="R253" s="11">
        <f>_xlfn.XLOOKUP(TableDailySummary[[#This Row],[Fecha]],SummaryDaily[day],SummaryDaily[Rappi_net_sales],0)</f>
        <v>0</v>
      </c>
      <c r="S253" s="11">
        <f>_xlfn.XLOOKUP(TableDailySummary[[#This Row],[Fecha]],SummaryDaily[day],SummaryDaily[Rappi_orders],0)</f>
        <v>0</v>
      </c>
      <c r="T253" s="11">
        <f>_xlfn.XLOOKUP(TableDailySummary[[#This Row],[Fecha]],SummaryDaily[day],SummaryDaily[Rappi_average_order_value],0)</f>
        <v>0</v>
      </c>
      <c r="U253" s="11">
        <f>_xlfn.XLOOKUP(TableDailySummary[[#This Row],[Fecha]],SummaryDaily[day],SummaryDaily[Corporativo no tienda_net_sales],0)</f>
        <v>0</v>
      </c>
      <c r="V253" s="11">
        <f>_xlfn.XLOOKUP(TableDailySummary[[#This Row],[Fecha]],SummaryDaily[day],SummaryDaily[Corporativo no tienda_orders],0)</f>
        <v>0</v>
      </c>
      <c r="W253" s="11">
        <f>_xlfn.XLOOKUP(TableDailySummary[[#This Row],[Fecha]],SummaryDaily[day],SummaryDaily[Corporativo no tienda_average_order_value],0)</f>
        <v>0</v>
      </c>
      <c r="X253" s="11">
        <f>_xlfn.XLOOKUP(TableDailySummary[[#This Row],[Fecha]],SummaryDaily[day],SummaryDaily[GoogleAdsOperation.Cost],0)</f>
        <v>0</v>
      </c>
      <c r="Y253" s="11">
        <f>SUMIFS(SalesByUTMDaily[google],SalesByUTMDaily[day],TableDailySummary[[#This Row],[Fecha]])</f>
        <v>0</v>
      </c>
      <c r="Z253" s="11">
        <f>_xlfn.XLOOKUP(TableDailySummary[[#This Row],[Fecha]],SummaryDaily[day],SummaryDaily[MetaAdsOperation.spend],0)</f>
        <v>0</v>
      </c>
      <c r="AA253" s="11">
        <f>SUMIFS(SalesByUTMDaily[facebook],SalesByUTMDaily[day],TableDailySummary[[#This Row],[Fecha]])</f>
        <v>0</v>
      </c>
      <c r="AB253" s="11">
        <f>TableDailySummary[[#This Row],[Inversión google ads]]+TableDailySummary[[#This Row],[Inversión meta ads]]</f>
        <v>0</v>
      </c>
      <c r="AC253" s="11">
        <f>TableDailySummary[[#This Row],[Ventas google ads]]+TableDailySummary[[#This Row],[Ventas meta ads]]</f>
        <v>0</v>
      </c>
      <c r="AD253" s="14">
        <f>IFERROR(TableDailySummary[[#This Row],[Ventas publicidad]]/TableDailySummary[[#This Row],[Inversión publicidad]],0)</f>
        <v>0</v>
      </c>
      <c r="AE253" s="14">
        <f>IFERROR(TableDailySummary[[#This Row],[Ventas primer cliente]]/TableDailySummary[[#This Row],[Inversión publicidad]],0)</f>
        <v>0</v>
      </c>
      <c r="AF253" s="14"/>
      <c r="AG253" s="11"/>
      <c r="AM253" s="11">
        <f>_xlfn.XLOOKUP(TableDailySummary[[#This Row],[Fecha]],SummaryDaily[day],SummaryDaily[net_sales_with_cost_recorded],0)</f>
        <v>0</v>
      </c>
      <c r="AN253" s="11">
        <f>_xlfn.XLOOKUP(TableDailySummary[[#This Row],[Fecha]],SummaryDaily[day],SummaryDaily[cost_of_goods_sold],0)</f>
        <v>0</v>
      </c>
      <c r="AO253" s="11">
        <f>_xlfn.XLOOKUP(TableDailySummary[[#This Row],[Fecha]],SummaryDaily[day],SummaryDaily[gross_profit],0)</f>
        <v>0</v>
      </c>
      <c r="AP253" s="18">
        <f>IFERROR(TableDailySummary[[#This Row],[Utilidad bruta]]/TableDailySummary[[#This Row],[Ventas netas con costo registrado]],0)</f>
        <v>0</v>
      </c>
    </row>
    <row r="254" spans="2:42" x14ac:dyDescent="0.2">
      <c r="B254" s="15" cm="1">
        <f t="array" ref="B254">ParamFechaInicioReporte + (ROW(TableDailySummary[#This Row]) - ROW(TableDailySummary[[#Headers],[Dia]]) - 1)</f>
        <v>44781</v>
      </c>
      <c r="C254" s="6">
        <f>TableDailySummary[[#This Row],[Dia]]</f>
        <v>44781</v>
      </c>
      <c r="D254" s="11">
        <f>_xlfn.XLOOKUP(TableDailySummary[[#This Row],[Fecha]],SummaryDaily[day],SummaryDaily[net_sales],0)</f>
        <v>0</v>
      </c>
      <c r="E254" s="11">
        <f>_xlfn.XLOOKUP(TableDailySummary[[#This Row],[Fecha]],SummaryDaily[day],SummaryDaily[orders],0)</f>
        <v>0</v>
      </c>
      <c r="F254" s="11">
        <f>_xlfn.XLOOKUP(TableDailySummary[[#This Row],[Fecha]],SummaryDaily[day],SummaryDaily[average_order_value],0)</f>
        <v>0</v>
      </c>
      <c r="G254" s="24" cm="1">
        <f t="array" ref="G254">_xlfn.XLOOKUP(TableDailySummary[[#This Row],[Fecha]]&amp;"Total site",ConversionRateByReferral[day]&amp;ConversionRateByReferral[referrer_source],ConversionRateByReferral[conversion_rate],0)</f>
        <v>0</v>
      </c>
      <c r="H254" s="11">
        <f>TableDailySummary[[#This Row],[Órden promedio totales]]*TableDailySummary[[#This Row],[CR totales]]</f>
        <v>0</v>
      </c>
      <c r="I254" s="11">
        <f>_xlfn.XLOOKUP(TableDailySummary[[#This Row],[Fecha]],SummaryDaily[day],SummaryDaily[new_net_sales],0)</f>
        <v>0</v>
      </c>
      <c r="J254" s="11">
        <f>_xlfn.XLOOKUP(TableDailySummary[[#This Row],[Fecha]],SummaryDaily[day],SummaryDaily[new_orders],0)</f>
        <v>0</v>
      </c>
      <c r="K254" s="11">
        <f>_xlfn.XLOOKUP(TableDailySummary[[#This Row],[Fecha]],SummaryDaily[day],SummaryDaily[new_average_order_value],0)</f>
        <v>0</v>
      </c>
      <c r="L254" s="11">
        <f>_xlfn.XLOOKUP(TableDailySummary[[#This Row],[Fecha]],SummaryDaily[day],SummaryDaily[Online Store_net_sales],0)</f>
        <v>0</v>
      </c>
      <c r="M254" s="11">
        <f>_xlfn.XLOOKUP(TableDailySummary[[#This Row],[Fecha]],SummaryDaily[day],SummaryDaily[Online Store_orders],0)</f>
        <v>0</v>
      </c>
      <c r="N254" s="11">
        <f>_xlfn.XLOOKUP(TableDailySummary[[#This Row],[Fecha]],SummaryDaily[day],SummaryDaily[Online Store_average_order_value],0)</f>
        <v>0</v>
      </c>
      <c r="O254" s="11">
        <f>_xlfn.XLOOKUP(TableDailySummary[[#This Row],[Fecha]],SummaryDaily[day],SummaryDaily[Tienda 81_net_sales],0)</f>
        <v>0</v>
      </c>
      <c r="P254" s="11">
        <f>_xlfn.XLOOKUP(TableDailySummary[[#This Row],[Fecha]],SummaryDaily[day],SummaryDaily[Tienda 81_orders],0)</f>
        <v>0</v>
      </c>
      <c r="Q254" s="11">
        <f>_xlfn.XLOOKUP(TableDailySummary[[#This Row],[Fecha]],SummaryDaily[day],SummaryDaily[Tienda 81_average_order_value],0)</f>
        <v>0</v>
      </c>
      <c r="R254" s="11">
        <f>_xlfn.XLOOKUP(TableDailySummary[[#This Row],[Fecha]],SummaryDaily[day],SummaryDaily[Rappi_net_sales],0)</f>
        <v>0</v>
      </c>
      <c r="S254" s="11">
        <f>_xlfn.XLOOKUP(TableDailySummary[[#This Row],[Fecha]],SummaryDaily[day],SummaryDaily[Rappi_orders],0)</f>
        <v>0</v>
      </c>
      <c r="T254" s="11">
        <f>_xlfn.XLOOKUP(TableDailySummary[[#This Row],[Fecha]],SummaryDaily[day],SummaryDaily[Rappi_average_order_value],0)</f>
        <v>0</v>
      </c>
      <c r="U254" s="11">
        <f>_xlfn.XLOOKUP(TableDailySummary[[#This Row],[Fecha]],SummaryDaily[day],SummaryDaily[Corporativo no tienda_net_sales],0)</f>
        <v>0</v>
      </c>
      <c r="V254" s="11">
        <f>_xlfn.XLOOKUP(TableDailySummary[[#This Row],[Fecha]],SummaryDaily[day],SummaryDaily[Corporativo no tienda_orders],0)</f>
        <v>0</v>
      </c>
      <c r="W254" s="11">
        <f>_xlfn.XLOOKUP(TableDailySummary[[#This Row],[Fecha]],SummaryDaily[day],SummaryDaily[Corporativo no tienda_average_order_value],0)</f>
        <v>0</v>
      </c>
      <c r="X254" s="11">
        <f>_xlfn.XLOOKUP(TableDailySummary[[#This Row],[Fecha]],SummaryDaily[day],SummaryDaily[GoogleAdsOperation.Cost],0)</f>
        <v>0</v>
      </c>
      <c r="Y254" s="11">
        <f>SUMIFS(SalesByUTMDaily[google],SalesByUTMDaily[day],TableDailySummary[[#This Row],[Fecha]])</f>
        <v>0</v>
      </c>
      <c r="Z254" s="11">
        <f>_xlfn.XLOOKUP(TableDailySummary[[#This Row],[Fecha]],SummaryDaily[day],SummaryDaily[MetaAdsOperation.spend],0)</f>
        <v>0</v>
      </c>
      <c r="AA254" s="11">
        <f>SUMIFS(SalesByUTMDaily[facebook],SalesByUTMDaily[day],TableDailySummary[[#This Row],[Fecha]])</f>
        <v>0</v>
      </c>
      <c r="AB254" s="11">
        <f>TableDailySummary[[#This Row],[Inversión google ads]]+TableDailySummary[[#This Row],[Inversión meta ads]]</f>
        <v>0</v>
      </c>
      <c r="AC254" s="11">
        <f>TableDailySummary[[#This Row],[Ventas google ads]]+TableDailySummary[[#This Row],[Ventas meta ads]]</f>
        <v>0</v>
      </c>
      <c r="AD254" s="14">
        <f>IFERROR(TableDailySummary[[#This Row],[Ventas publicidad]]/TableDailySummary[[#This Row],[Inversión publicidad]],0)</f>
        <v>0</v>
      </c>
      <c r="AE254" s="14">
        <f>IFERROR(TableDailySummary[[#This Row],[Ventas primer cliente]]/TableDailySummary[[#This Row],[Inversión publicidad]],0)</f>
        <v>0</v>
      </c>
      <c r="AF254" s="14"/>
      <c r="AG254" s="11"/>
      <c r="AM254" s="11">
        <f>_xlfn.XLOOKUP(TableDailySummary[[#This Row],[Fecha]],SummaryDaily[day],SummaryDaily[net_sales_with_cost_recorded],0)</f>
        <v>0</v>
      </c>
      <c r="AN254" s="11">
        <f>_xlfn.XLOOKUP(TableDailySummary[[#This Row],[Fecha]],SummaryDaily[day],SummaryDaily[cost_of_goods_sold],0)</f>
        <v>0</v>
      </c>
      <c r="AO254" s="11">
        <f>_xlfn.XLOOKUP(TableDailySummary[[#This Row],[Fecha]],SummaryDaily[day],SummaryDaily[gross_profit],0)</f>
        <v>0</v>
      </c>
      <c r="AP254" s="18">
        <f>IFERROR(TableDailySummary[[#This Row],[Utilidad bruta]]/TableDailySummary[[#This Row],[Ventas netas con costo registrado]],0)</f>
        <v>0</v>
      </c>
    </row>
    <row r="255" spans="2:42" x14ac:dyDescent="0.2">
      <c r="B255" s="15" cm="1">
        <f t="array" ref="B255">ParamFechaInicioReporte + (ROW(TableDailySummary[#This Row]) - ROW(TableDailySummary[[#Headers],[Dia]]) - 1)</f>
        <v>44782</v>
      </c>
      <c r="C255" s="6">
        <f>TableDailySummary[[#This Row],[Dia]]</f>
        <v>44782</v>
      </c>
      <c r="D255" s="11">
        <f>_xlfn.XLOOKUP(TableDailySummary[[#This Row],[Fecha]],SummaryDaily[day],SummaryDaily[net_sales],0)</f>
        <v>0</v>
      </c>
      <c r="E255" s="11">
        <f>_xlfn.XLOOKUP(TableDailySummary[[#This Row],[Fecha]],SummaryDaily[day],SummaryDaily[orders],0)</f>
        <v>0</v>
      </c>
      <c r="F255" s="11">
        <f>_xlfn.XLOOKUP(TableDailySummary[[#This Row],[Fecha]],SummaryDaily[day],SummaryDaily[average_order_value],0)</f>
        <v>0</v>
      </c>
      <c r="G255" s="24" cm="1">
        <f t="array" ref="G255">_xlfn.XLOOKUP(TableDailySummary[[#This Row],[Fecha]]&amp;"Total site",ConversionRateByReferral[day]&amp;ConversionRateByReferral[referrer_source],ConversionRateByReferral[conversion_rate],0)</f>
        <v>0</v>
      </c>
      <c r="H255" s="11">
        <f>TableDailySummary[[#This Row],[Órden promedio totales]]*TableDailySummary[[#This Row],[CR totales]]</f>
        <v>0</v>
      </c>
      <c r="I255" s="11">
        <f>_xlfn.XLOOKUP(TableDailySummary[[#This Row],[Fecha]],SummaryDaily[day],SummaryDaily[new_net_sales],0)</f>
        <v>0</v>
      </c>
      <c r="J255" s="11">
        <f>_xlfn.XLOOKUP(TableDailySummary[[#This Row],[Fecha]],SummaryDaily[day],SummaryDaily[new_orders],0)</f>
        <v>0</v>
      </c>
      <c r="K255" s="11">
        <f>_xlfn.XLOOKUP(TableDailySummary[[#This Row],[Fecha]],SummaryDaily[day],SummaryDaily[new_average_order_value],0)</f>
        <v>0</v>
      </c>
      <c r="L255" s="11">
        <f>_xlfn.XLOOKUP(TableDailySummary[[#This Row],[Fecha]],SummaryDaily[day],SummaryDaily[Online Store_net_sales],0)</f>
        <v>0</v>
      </c>
      <c r="M255" s="11">
        <f>_xlfn.XLOOKUP(TableDailySummary[[#This Row],[Fecha]],SummaryDaily[day],SummaryDaily[Online Store_orders],0)</f>
        <v>0</v>
      </c>
      <c r="N255" s="11">
        <f>_xlfn.XLOOKUP(TableDailySummary[[#This Row],[Fecha]],SummaryDaily[day],SummaryDaily[Online Store_average_order_value],0)</f>
        <v>0</v>
      </c>
      <c r="O255" s="11">
        <f>_xlfn.XLOOKUP(TableDailySummary[[#This Row],[Fecha]],SummaryDaily[day],SummaryDaily[Tienda 81_net_sales],0)</f>
        <v>0</v>
      </c>
      <c r="P255" s="11">
        <f>_xlfn.XLOOKUP(TableDailySummary[[#This Row],[Fecha]],SummaryDaily[day],SummaryDaily[Tienda 81_orders],0)</f>
        <v>0</v>
      </c>
      <c r="Q255" s="11">
        <f>_xlfn.XLOOKUP(TableDailySummary[[#This Row],[Fecha]],SummaryDaily[day],SummaryDaily[Tienda 81_average_order_value],0)</f>
        <v>0</v>
      </c>
      <c r="R255" s="11">
        <f>_xlfn.XLOOKUP(TableDailySummary[[#This Row],[Fecha]],SummaryDaily[day],SummaryDaily[Rappi_net_sales],0)</f>
        <v>0</v>
      </c>
      <c r="S255" s="11">
        <f>_xlfn.XLOOKUP(TableDailySummary[[#This Row],[Fecha]],SummaryDaily[day],SummaryDaily[Rappi_orders],0)</f>
        <v>0</v>
      </c>
      <c r="T255" s="11">
        <f>_xlfn.XLOOKUP(TableDailySummary[[#This Row],[Fecha]],SummaryDaily[day],SummaryDaily[Rappi_average_order_value],0)</f>
        <v>0</v>
      </c>
      <c r="U255" s="11">
        <f>_xlfn.XLOOKUP(TableDailySummary[[#This Row],[Fecha]],SummaryDaily[day],SummaryDaily[Corporativo no tienda_net_sales],0)</f>
        <v>0</v>
      </c>
      <c r="V255" s="11">
        <f>_xlfn.XLOOKUP(TableDailySummary[[#This Row],[Fecha]],SummaryDaily[day],SummaryDaily[Corporativo no tienda_orders],0)</f>
        <v>0</v>
      </c>
      <c r="W255" s="11">
        <f>_xlfn.XLOOKUP(TableDailySummary[[#This Row],[Fecha]],SummaryDaily[day],SummaryDaily[Corporativo no tienda_average_order_value],0)</f>
        <v>0</v>
      </c>
      <c r="X255" s="11">
        <f>_xlfn.XLOOKUP(TableDailySummary[[#This Row],[Fecha]],SummaryDaily[day],SummaryDaily[GoogleAdsOperation.Cost],0)</f>
        <v>0</v>
      </c>
      <c r="Y255" s="11">
        <f>SUMIFS(SalesByUTMDaily[google],SalesByUTMDaily[day],TableDailySummary[[#This Row],[Fecha]])</f>
        <v>0</v>
      </c>
      <c r="Z255" s="11">
        <f>_xlfn.XLOOKUP(TableDailySummary[[#This Row],[Fecha]],SummaryDaily[day],SummaryDaily[MetaAdsOperation.spend],0)</f>
        <v>0</v>
      </c>
      <c r="AA255" s="11">
        <f>SUMIFS(SalesByUTMDaily[facebook],SalesByUTMDaily[day],TableDailySummary[[#This Row],[Fecha]])</f>
        <v>0</v>
      </c>
      <c r="AB255" s="11">
        <f>TableDailySummary[[#This Row],[Inversión google ads]]+TableDailySummary[[#This Row],[Inversión meta ads]]</f>
        <v>0</v>
      </c>
      <c r="AC255" s="11">
        <f>TableDailySummary[[#This Row],[Ventas google ads]]+TableDailySummary[[#This Row],[Ventas meta ads]]</f>
        <v>0</v>
      </c>
      <c r="AD255" s="14">
        <f>IFERROR(TableDailySummary[[#This Row],[Ventas publicidad]]/TableDailySummary[[#This Row],[Inversión publicidad]],0)</f>
        <v>0</v>
      </c>
      <c r="AE255" s="14">
        <f>IFERROR(TableDailySummary[[#This Row],[Ventas primer cliente]]/TableDailySummary[[#This Row],[Inversión publicidad]],0)</f>
        <v>0</v>
      </c>
      <c r="AF255" s="14"/>
      <c r="AG255" s="11"/>
      <c r="AM255" s="11">
        <f>_xlfn.XLOOKUP(TableDailySummary[[#This Row],[Fecha]],SummaryDaily[day],SummaryDaily[net_sales_with_cost_recorded],0)</f>
        <v>0</v>
      </c>
      <c r="AN255" s="11">
        <f>_xlfn.XLOOKUP(TableDailySummary[[#This Row],[Fecha]],SummaryDaily[day],SummaryDaily[cost_of_goods_sold],0)</f>
        <v>0</v>
      </c>
      <c r="AO255" s="11">
        <f>_xlfn.XLOOKUP(TableDailySummary[[#This Row],[Fecha]],SummaryDaily[day],SummaryDaily[gross_profit],0)</f>
        <v>0</v>
      </c>
      <c r="AP255" s="18">
        <f>IFERROR(TableDailySummary[[#This Row],[Utilidad bruta]]/TableDailySummary[[#This Row],[Ventas netas con costo registrado]],0)</f>
        <v>0</v>
      </c>
    </row>
    <row r="256" spans="2:42" x14ac:dyDescent="0.2">
      <c r="B256" s="15" cm="1">
        <f t="array" ref="B256">ParamFechaInicioReporte + (ROW(TableDailySummary[#This Row]) - ROW(TableDailySummary[[#Headers],[Dia]]) - 1)</f>
        <v>44783</v>
      </c>
      <c r="C256" s="6">
        <f>TableDailySummary[[#This Row],[Dia]]</f>
        <v>44783</v>
      </c>
      <c r="D256" s="11">
        <f>_xlfn.XLOOKUP(TableDailySummary[[#This Row],[Fecha]],SummaryDaily[day],SummaryDaily[net_sales],0)</f>
        <v>0</v>
      </c>
      <c r="E256" s="11">
        <f>_xlfn.XLOOKUP(TableDailySummary[[#This Row],[Fecha]],SummaryDaily[day],SummaryDaily[orders],0)</f>
        <v>0</v>
      </c>
      <c r="F256" s="11">
        <f>_xlfn.XLOOKUP(TableDailySummary[[#This Row],[Fecha]],SummaryDaily[day],SummaryDaily[average_order_value],0)</f>
        <v>0</v>
      </c>
      <c r="G256" s="24" cm="1">
        <f t="array" ref="G256">_xlfn.XLOOKUP(TableDailySummary[[#This Row],[Fecha]]&amp;"Total site",ConversionRateByReferral[day]&amp;ConversionRateByReferral[referrer_source],ConversionRateByReferral[conversion_rate],0)</f>
        <v>0</v>
      </c>
      <c r="H256" s="11">
        <f>TableDailySummary[[#This Row],[Órden promedio totales]]*TableDailySummary[[#This Row],[CR totales]]</f>
        <v>0</v>
      </c>
      <c r="I256" s="11">
        <f>_xlfn.XLOOKUP(TableDailySummary[[#This Row],[Fecha]],SummaryDaily[day],SummaryDaily[new_net_sales],0)</f>
        <v>0</v>
      </c>
      <c r="J256" s="11">
        <f>_xlfn.XLOOKUP(TableDailySummary[[#This Row],[Fecha]],SummaryDaily[day],SummaryDaily[new_orders],0)</f>
        <v>0</v>
      </c>
      <c r="K256" s="11">
        <f>_xlfn.XLOOKUP(TableDailySummary[[#This Row],[Fecha]],SummaryDaily[day],SummaryDaily[new_average_order_value],0)</f>
        <v>0</v>
      </c>
      <c r="L256" s="11">
        <f>_xlfn.XLOOKUP(TableDailySummary[[#This Row],[Fecha]],SummaryDaily[day],SummaryDaily[Online Store_net_sales],0)</f>
        <v>0</v>
      </c>
      <c r="M256" s="11">
        <f>_xlfn.XLOOKUP(TableDailySummary[[#This Row],[Fecha]],SummaryDaily[day],SummaryDaily[Online Store_orders],0)</f>
        <v>0</v>
      </c>
      <c r="N256" s="11">
        <f>_xlfn.XLOOKUP(TableDailySummary[[#This Row],[Fecha]],SummaryDaily[day],SummaryDaily[Online Store_average_order_value],0)</f>
        <v>0</v>
      </c>
      <c r="O256" s="11">
        <f>_xlfn.XLOOKUP(TableDailySummary[[#This Row],[Fecha]],SummaryDaily[day],SummaryDaily[Tienda 81_net_sales],0)</f>
        <v>0</v>
      </c>
      <c r="P256" s="11">
        <f>_xlfn.XLOOKUP(TableDailySummary[[#This Row],[Fecha]],SummaryDaily[day],SummaryDaily[Tienda 81_orders],0)</f>
        <v>0</v>
      </c>
      <c r="Q256" s="11">
        <f>_xlfn.XLOOKUP(TableDailySummary[[#This Row],[Fecha]],SummaryDaily[day],SummaryDaily[Tienda 81_average_order_value],0)</f>
        <v>0</v>
      </c>
      <c r="R256" s="11">
        <f>_xlfn.XLOOKUP(TableDailySummary[[#This Row],[Fecha]],SummaryDaily[day],SummaryDaily[Rappi_net_sales],0)</f>
        <v>0</v>
      </c>
      <c r="S256" s="11">
        <f>_xlfn.XLOOKUP(TableDailySummary[[#This Row],[Fecha]],SummaryDaily[day],SummaryDaily[Rappi_orders],0)</f>
        <v>0</v>
      </c>
      <c r="T256" s="11">
        <f>_xlfn.XLOOKUP(TableDailySummary[[#This Row],[Fecha]],SummaryDaily[day],SummaryDaily[Rappi_average_order_value],0)</f>
        <v>0</v>
      </c>
      <c r="U256" s="11">
        <f>_xlfn.XLOOKUP(TableDailySummary[[#This Row],[Fecha]],SummaryDaily[day],SummaryDaily[Corporativo no tienda_net_sales],0)</f>
        <v>0</v>
      </c>
      <c r="V256" s="11">
        <f>_xlfn.XLOOKUP(TableDailySummary[[#This Row],[Fecha]],SummaryDaily[day],SummaryDaily[Corporativo no tienda_orders],0)</f>
        <v>0</v>
      </c>
      <c r="W256" s="11">
        <f>_xlfn.XLOOKUP(TableDailySummary[[#This Row],[Fecha]],SummaryDaily[day],SummaryDaily[Corporativo no tienda_average_order_value],0)</f>
        <v>0</v>
      </c>
      <c r="X256" s="11">
        <f>_xlfn.XLOOKUP(TableDailySummary[[#This Row],[Fecha]],SummaryDaily[day],SummaryDaily[GoogleAdsOperation.Cost],0)</f>
        <v>0</v>
      </c>
      <c r="Y256" s="11">
        <f>SUMIFS(SalesByUTMDaily[google],SalesByUTMDaily[day],TableDailySummary[[#This Row],[Fecha]])</f>
        <v>0</v>
      </c>
      <c r="Z256" s="11">
        <f>_xlfn.XLOOKUP(TableDailySummary[[#This Row],[Fecha]],SummaryDaily[day],SummaryDaily[MetaAdsOperation.spend],0)</f>
        <v>0</v>
      </c>
      <c r="AA256" s="11">
        <f>SUMIFS(SalesByUTMDaily[facebook],SalesByUTMDaily[day],TableDailySummary[[#This Row],[Fecha]])</f>
        <v>0</v>
      </c>
      <c r="AB256" s="11">
        <f>TableDailySummary[[#This Row],[Inversión google ads]]+TableDailySummary[[#This Row],[Inversión meta ads]]</f>
        <v>0</v>
      </c>
      <c r="AC256" s="11">
        <f>TableDailySummary[[#This Row],[Ventas google ads]]+TableDailySummary[[#This Row],[Ventas meta ads]]</f>
        <v>0</v>
      </c>
      <c r="AD256" s="14">
        <f>IFERROR(TableDailySummary[[#This Row],[Ventas publicidad]]/TableDailySummary[[#This Row],[Inversión publicidad]],0)</f>
        <v>0</v>
      </c>
      <c r="AE256" s="14">
        <f>IFERROR(TableDailySummary[[#This Row],[Ventas primer cliente]]/TableDailySummary[[#This Row],[Inversión publicidad]],0)</f>
        <v>0</v>
      </c>
      <c r="AF256" s="14"/>
      <c r="AG256" s="11"/>
      <c r="AM256" s="11">
        <f>_xlfn.XLOOKUP(TableDailySummary[[#This Row],[Fecha]],SummaryDaily[day],SummaryDaily[net_sales_with_cost_recorded],0)</f>
        <v>0</v>
      </c>
      <c r="AN256" s="11">
        <f>_xlfn.XLOOKUP(TableDailySummary[[#This Row],[Fecha]],SummaryDaily[day],SummaryDaily[cost_of_goods_sold],0)</f>
        <v>0</v>
      </c>
      <c r="AO256" s="11">
        <f>_xlfn.XLOOKUP(TableDailySummary[[#This Row],[Fecha]],SummaryDaily[day],SummaryDaily[gross_profit],0)</f>
        <v>0</v>
      </c>
      <c r="AP256" s="18">
        <f>IFERROR(TableDailySummary[[#This Row],[Utilidad bruta]]/TableDailySummary[[#This Row],[Ventas netas con costo registrado]],0)</f>
        <v>0</v>
      </c>
    </row>
    <row r="257" spans="2:42" x14ac:dyDescent="0.2">
      <c r="B257" s="15" cm="1">
        <f t="array" ref="B257">ParamFechaInicioReporte + (ROW(TableDailySummary[#This Row]) - ROW(TableDailySummary[[#Headers],[Dia]]) - 1)</f>
        <v>44784</v>
      </c>
      <c r="C257" s="6">
        <f>TableDailySummary[[#This Row],[Dia]]</f>
        <v>44784</v>
      </c>
      <c r="D257" s="11">
        <f>_xlfn.XLOOKUP(TableDailySummary[[#This Row],[Fecha]],SummaryDaily[day],SummaryDaily[net_sales],0)</f>
        <v>0</v>
      </c>
      <c r="E257" s="11">
        <f>_xlfn.XLOOKUP(TableDailySummary[[#This Row],[Fecha]],SummaryDaily[day],SummaryDaily[orders],0)</f>
        <v>0</v>
      </c>
      <c r="F257" s="11">
        <f>_xlfn.XLOOKUP(TableDailySummary[[#This Row],[Fecha]],SummaryDaily[day],SummaryDaily[average_order_value],0)</f>
        <v>0</v>
      </c>
      <c r="G257" s="24" cm="1">
        <f t="array" ref="G257">_xlfn.XLOOKUP(TableDailySummary[[#This Row],[Fecha]]&amp;"Total site",ConversionRateByReferral[day]&amp;ConversionRateByReferral[referrer_source],ConversionRateByReferral[conversion_rate],0)</f>
        <v>0</v>
      </c>
      <c r="H257" s="11">
        <f>TableDailySummary[[#This Row],[Órden promedio totales]]*TableDailySummary[[#This Row],[CR totales]]</f>
        <v>0</v>
      </c>
      <c r="I257" s="11">
        <f>_xlfn.XLOOKUP(TableDailySummary[[#This Row],[Fecha]],SummaryDaily[day],SummaryDaily[new_net_sales],0)</f>
        <v>0</v>
      </c>
      <c r="J257" s="11">
        <f>_xlfn.XLOOKUP(TableDailySummary[[#This Row],[Fecha]],SummaryDaily[day],SummaryDaily[new_orders],0)</f>
        <v>0</v>
      </c>
      <c r="K257" s="11">
        <f>_xlfn.XLOOKUP(TableDailySummary[[#This Row],[Fecha]],SummaryDaily[day],SummaryDaily[new_average_order_value],0)</f>
        <v>0</v>
      </c>
      <c r="L257" s="11">
        <f>_xlfn.XLOOKUP(TableDailySummary[[#This Row],[Fecha]],SummaryDaily[day],SummaryDaily[Online Store_net_sales],0)</f>
        <v>0</v>
      </c>
      <c r="M257" s="11">
        <f>_xlfn.XLOOKUP(TableDailySummary[[#This Row],[Fecha]],SummaryDaily[day],SummaryDaily[Online Store_orders],0)</f>
        <v>0</v>
      </c>
      <c r="N257" s="11">
        <f>_xlfn.XLOOKUP(TableDailySummary[[#This Row],[Fecha]],SummaryDaily[day],SummaryDaily[Online Store_average_order_value],0)</f>
        <v>0</v>
      </c>
      <c r="O257" s="11">
        <f>_xlfn.XLOOKUP(TableDailySummary[[#This Row],[Fecha]],SummaryDaily[day],SummaryDaily[Tienda 81_net_sales],0)</f>
        <v>0</v>
      </c>
      <c r="P257" s="11">
        <f>_xlfn.XLOOKUP(TableDailySummary[[#This Row],[Fecha]],SummaryDaily[day],SummaryDaily[Tienda 81_orders],0)</f>
        <v>0</v>
      </c>
      <c r="Q257" s="11">
        <f>_xlfn.XLOOKUP(TableDailySummary[[#This Row],[Fecha]],SummaryDaily[day],SummaryDaily[Tienda 81_average_order_value],0)</f>
        <v>0</v>
      </c>
      <c r="R257" s="11">
        <f>_xlfn.XLOOKUP(TableDailySummary[[#This Row],[Fecha]],SummaryDaily[day],SummaryDaily[Rappi_net_sales],0)</f>
        <v>0</v>
      </c>
      <c r="S257" s="11">
        <f>_xlfn.XLOOKUP(TableDailySummary[[#This Row],[Fecha]],SummaryDaily[day],SummaryDaily[Rappi_orders],0)</f>
        <v>0</v>
      </c>
      <c r="T257" s="11">
        <f>_xlfn.XLOOKUP(TableDailySummary[[#This Row],[Fecha]],SummaryDaily[day],SummaryDaily[Rappi_average_order_value],0)</f>
        <v>0</v>
      </c>
      <c r="U257" s="11">
        <f>_xlfn.XLOOKUP(TableDailySummary[[#This Row],[Fecha]],SummaryDaily[day],SummaryDaily[Corporativo no tienda_net_sales],0)</f>
        <v>0</v>
      </c>
      <c r="V257" s="11">
        <f>_xlfn.XLOOKUP(TableDailySummary[[#This Row],[Fecha]],SummaryDaily[day],SummaryDaily[Corporativo no tienda_orders],0)</f>
        <v>0</v>
      </c>
      <c r="W257" s="11">
        <f>_xlfn.XLOOKUP(TableDailySummary[[#This Row],[Fecha]],SummaryDaily[day],SummaryDaily[Corporativo no tienda_average_order_value],0)</f>
        <v>0</v>
      </c>
      <c r="X257" s="11">
        <f>_xlfn.XLOOKUP(TableDailySummary[[#This Row],[Fecha]],SummaryDaily[day],SummaryDaily[GoogleAdsOperation.Cost],0)</f>
        <v>0</v>
      </c>
      <c r="Y257" s="11">
        <f>SUMIFS(SalesByUTMDaily[google],SalesByUTMDaily[day],TableDailySummary[[#This Row],[Fecha]])</f>
        <v>0</v>
      </c>
      <c r="Z257" s="11">
        <f>_xlfn.XLOOKUP(TableDailySummary[[#This Row],[Fecha]],SummaryDaily[day],SummaryDaily[MetaAdsOperation.spend],0)</f>
        <v>0</v>
      </c>
      <c r="AA257" s="11">
        <f>SUMIFS(SalesByUTMDaily[facebook],SalesByUTMDaily[day],TableDailySummary[[#This Row],[Fecha]])</f>
        <v>0</v>
      </c>
      <c r="AB257" s="11">
        <f>TableDailySummary[[#This Row],[Inversión google ads]]+TableDailySummary[[#This Row],[Inversión meta ads]]</f>
        <v>0</v>
      </c>
      <c r="AC257" s="11">
        <f>TableDailySummary[[#This Row],[Ventas google ads]]+TableDailySummary[[#This Row],[Ventas meta ads]]</f>
        <v>0</v>
      </c>
      <c r="AD257" s="14">
        <f>IFERROR(TableDailySummary[[#This Row],[Ventas publicidad]]/TableDailySummary[[#This Row],[Inversión publicidad]],0)</f>
        <v>0</v>
      </c>
      <c r="AE257" s="14">
        <f>IFERROR(TableDailySummary[[#This Row],[Ventas primer cliente]]/TableDailySummary[[#This Row],[Inversión publicidad]],0)</f>
        <v>0</v>
      </c>
      <c r="AF257" s="14"/>
      <c r="AG257" s="11"/>
      <c r="AM257" s="11">
        <f>_xlfn.XLOOKUP(TableDailySummary[[#This Row],[Fecha]],SummaryDaily[day],SummaryDaily[net_sales_with_cost_recorded],0)</f>
        <v>0</v>
      </c>
      <c r="AN257" s="11">
        <f>_xlfn.XLOOKUP(TableDailySummary[[#This Row],[Fecha]],SummaryDaily[day],SummaryDaily[cost_of_goods_sold],0)</f>
        <v>0</v>
      </c>
      <c r="AO257" s="11">
        <f>_xlfn.XLOOKUP(TableDailySummary[[#This Row],[Fecha]],SummaryDaily[day],SummaryDaily[gross_profit],0)</f>
        <v>0</v>
      </c>
      <c r="AP257" s="18">
        <f>IFERROR(TableDailySummary[[#This Row],[Utilidad bruta]]/TableDailySummary[[#This Row],[Ventas netas con costo registrado]],0)</f>
        <v>0</v>
      </c>
    </row>
    <row r="258" spans="2:42" x14ac:dyDescent="0.2">
      <c r="B258" s="15" cm="1">
        <f t="array" ref="B258">ParamFechaInicioReporte + (ROW(TableDailySummary[#This Row]) - ROW(TableDailySummary[[#Headers],[Dia]]) - 1)</f>
        <v>44785</v>
      </c>
      <c r="C258" s="6">
        <f>TableDailySummary[[#This Row],[Dia]]</f>
        <v>44785</v>
      </c>
      <c r="D258" s="11">
        <f>_xlfn.XLOOKUP(TableDailySummary[[#This Row],[Fecha]],SummaryDaily[day],SummaryDaily[net_sales],0)</f>
        <v>0</v>
      </c>
      <c r="E258" s="11">
        <f>_xlfn.XLOOKUP(TableDailySummary[[#This Row],[Fecha]],SummaryDaily[day],SummaryDaily[orders],0)</f>
        <v>0</v>
      </c>
      <c r="F258" s="11">
        <f>_xlfn.XLOOKUP(TableDailySummary[[#This Row],[Fecha]],SummaryDaily[day],SummaryDaily[average_order_value],0)</f>
        <v>0</v>
      </c>
      <c r="G258" s="24" cm="1">
        <f t="array" ref="G258">_xlfn.XLOOKUP(TableDailySummary[[#This Row],[Fecha]]&amp;"Total site",ConversionRateByReferral[day]&amp;ConversionRateByReferral[referrer_source],ConversionRateByReferral[conversion_rate],0)</f>
        <v>0</v>
      </c>
      <c r="H258" s="11">
        <f>TableDailySummary[[#This Row],[Órden promedio totales]]*TableDailySummary[[#This Row],[CR totales]]</f>
        <v>0</v>
      </c>
      <c r="I258" s="11">
        <f>_xlfn.XLOOKUP(TableDailySummary[[#This Row],[Fecha]],SummaryDaily[day],SummaryDaily[new_net_sales],0)</f>
        <v>0</v>
      </c>
      <c r="J258" s="11">
        <f>_xlfn.XLOOKUP(TableDailySummary[[#This Row],[Fecha]],SummaryDaily[day],SummaryDaily[new_orders],0)</f>
        <v>0</v>
      </c>
      <c r="K258" s="11">
        <f>_xlfn.XLOOKUP(TableDailySummary[[#This Row],[Fecha]],SummaryDaily[day],SummaryDaily[new_average_order_value],0)</f>
        <v>0</v>
      </c>
      <c r="L258" s="11">
        <f>_xlfn.XLOOKUP(TableDailySummary[[#This Row],[Fecha]],SummaryDaily[day],SummaryDaily[Online Store_net_sales],0)</f>
        <v>0</v>
      </c>
      <c r="M258" s="11">
        <f>_xlfn.XLOOKUP(TableDailySummary[[#This Row],[Fecha]],SummaryDaily[day],SummaryDaily[Online Store_orders],0)</f>
        <v>0</v>
      </c>
      <c r="N258" s="11">
        <f>_xlfn.XLOOKUP(TableDailySummary[[#This Row],[Fecha]],SummaryDaily[day],SummaryDaily[Online Store_average_order_value],0)</f>
        <v>0</v>
      </c>
      <c r="O258" s="11">
        <f>_xlfn.XLOOKUP(TableDailySummary[[#This Row],[Fecha]],SummaryDaily[day],SummaryDaily[Tienda 81_net_sales],0)</f>
        <v>0</v>
      </c>
      <c r="P258" s="11">
        <f>_xlfn.XLOOKUP(TableDailySummary[[#This Row],[Fecha]],SummaryDaily[day],SummaryDaily[Tienda 81_orders],0)</f>
        <v>0</v>
      </c>
      <c r="Q258" s="11">
        <f>_xlfn.XLOOKUP(TableDailySummary[[#This Row],[Fecha]],SummaryDaily[day],SummaryDaily[Tienda 81_average_order_value],0)</f>
        <v>0</v>
      </c>
      <c r="R258" s="11">
        <f>_xlfn.XLOOKUP(TableDailySummary[[#This Row],[Fecha]],SummaryDaily[day],SummaryDaily[Rappi_net_sales],0)</f>
        <v>0</v>
      </c>
      <c r="S258" s="11">
        <f>_xlfn.XLOOKUP(TableDailySummary[[#This Row],[Fecha]],SummaryDaily[day],SummaryDaily[Rappi_orders],0)</f>
        <v>0</v>
      </c>
      <c r="T258" s="11">
        <f>_xlfn.XLOOKUP(TableDailySummary[[#This Row],[Fecha]],SummaryDaily[day],SummaryDaily[Rappi_average_order_value],0)</f>
        <v>0</v>
      </c>
      <c r="U258" s="11">
        <f>_xlfn.XLOOKUP(TableDailySummary[[#This Row],[Fecha]],SummaryDaily[day],SummaryDaily[Corporativo no tienda_net_sales],0)</f>
        <v>0</v>
      </c>
      <c r="V258" s="11">
        <f>_xlfn.XLOOKUP(TableDailySummary[[#This Row],[Fecha]],SummaryDaily[day],SummaryDaily[Corporativo no tienda_orders],0)</f>
        <v>0</v>
      </c>
      <c r="W258" s="11">
        <f>_xlfn.XLOOKUP(TableDailySummary[[#This Row],[Fecha]],SummaryDaily[day],SummaryDaily[Corporativo no tienda_average_order_value],0)</f>
        <v>0</v>
      </c>
      <c r="X258" s="11">
        <f>_xlfn.XLOOKUP(TableDailySummary[[#This Row],[Fecha]],SummaryDaily[day],SummaryDaily[GoogleAdsOperation.Cost],0)</f>
        <v>0</v>
      </c>
      <c r="Y258" s="11">
        <f>SUMIFS(SalesByUTMDaily[google],SalesByUTMDaily[day],TableDailySummary[[#This Row],[Fecha]])</f>
        <v>0</v>
      </c>
      <c r="Z258" s="11">
        <f>_xlfn.XLOOKUP(TableDailySummary[[#This Row],[Fecha]],SummaryDaily[day],SummaryDaily[MetaAdsOperation.spend],0)</f>
        <v>0</v>
      </c>
      <c r="AA258" s="11">
        <f>SUMIFS(SalesByUTMDaily[facebook],SalesByUTMDaily[day],TableDailySummary[[#This Row],[Fecha]])</f>
        <v>0</v>
      </c>
      <c r="AB258" s="11">
        <f>TableDailySummary[[#This Row],[Inversión google ads]]+TableDailySummary[[#This Row],[Inversión meta ads]]</f>
        <v>0</v>
      </c>
      <c r="AC258" s="11">
        <f>TableDailySummary[[#This Row],[Ventas google ads]]+TableDailySummary[[#This Row],[Ventas meta ads]]</f>
        <v>0</v>
      </c>
      <c r="AD258" s="14">
        <f>IFERROR(TableDailySummary[[#This Row],[Ventas publicidad]]/TableDailySummary[[#This Row],[Inversión publicidad]],0)</f>
        <v>0</v>
      </c>
      <c r="AE258" s="14">
        <f>IFERROR(TableDailySummary[[#This Row],[Ventas primer cliente]]/TableDailySummary[[#This Row],[Inversión publicidad]],0)</f>
        <v>0</v>
      </c>
      <c r="AF258" s="14"/>
      <c r="AG258" s="11"/>
      <c r="AM258" s="11">
        <f>_xlfn.XLOOKUP(TableDailySummary[[#This Row],[Fecha]],SummaryDaily[day],SummaryDaily[net_sales_with_cost_recorded],0)</f>
        <v>0</v>
      </c>
      <c r="AN258" s="11">
        <f>_xlfn.XLOOKUP(TableDailySummary[[#This Row],[Fecha]],SummaryDaily[day],SummaryDaily[cost_of_goods_sold],0)</f>
        <v>0</v>
      </c>
      <c r="AO258" s="11">
        <f>_xlfn.XLOOKUP(TableDailySummary[[#This Row],[Fecha]],SummaryDaily[day],SummaryDaily[gross_profit],0)</f>
        <v>0</v>
      </c>
      <c r="AP258" s="18">
        <f>IFERROR(TableDailySummary[[#This Row],[Utilidad bruta]]/TableDailySummary[[#This Row],[Ventas netas con costo registrado]],0)</f>
        <v>0</v>
      </c>
    </row>
    <row r="259" spans="2:42" x14ac:dyDescent="0.2">
      <c r="B259" s="15" cm="1">
        <f t="array" ref="B259">ParamFechaInicioReporte + (ROW(TableDailySummary[#This Row]) - ROW(TableDailySummary[[#Headers],[Dia]]) - 1)</f>
        <v>44786</v>
      </c>
      <c r="C259" s="6">
        <f>TableDailySummary[[#This Row],[Dia]]</f>
        <v>44786</v>
      </c>
      <c r="D259" s="11">
        <f>_xlfn.XLOOKUP(TableDailySummary[[#This Row],[Fecha]],SummaryDaily[day],SummaryDaily[net_sales],0)</f>
        <v>0</v>
      </c>
      <c r="E259" s="11">
        <f>_xlfn.XLOOKUP(TableDailySummary[[#This Row],[Fecha]],SummaryDaily[day],SummaryDaily[orders],0)</f>
        <v>0</v>
      </c>
      <c r="F259" s="11">
        <f>_xlfn.XLOOKUP(TableDailySummary[[#This Row],[Fecha]],SummaryDaily[day],SummaryDaily[average_order_value],0)</f>
        <v>0</v>
      </c>
      <c r="G259" s="24" cm="1">
        <f t="array" ref="G259">_xlfn.XLOOKUP(TableDailySummary[[#This Row],[Fecha]]&amp;"Total site",ConversionRateByReferral[day]&amp;ConversionRateByReferral[referrer_source],ConversionRateByReferral[conversion_rate],0)</f>
        <v>0</v>
      </c>
      <c r="H259" s="11">
        <f>TableDailySummary[[#This Row],[Órden promedio totales]]*TableDailySummary[[#This Row],[CR totales]]</f>
        <v>0</v>
      </c>
      <c r="I259" s="11">
        <f>_xlfn.XLOOKUP(TableDailySummary[[#This Row],[Fecha]],SummaryDaily[day],SummaryDaily[new_net_sales],0)</f>
        <v>0</v>
      </c>
      <c r="J259" s="11">
        <f>_xlfn.XLOOKUP(TableDailySummary[[#This Row],[Fecha]],SummaryDaily[day],SummaryDaily[new_orders],0)</f>
        <v>0</v>
      </c>
      <c r="K259" s="11">
        <f>_xlfn.XLOOKUP(TableDailySummary[[#This Row],[Fecha]],SummaryDaily[day],SummaryDaily[new_average_order_value],0)</f>
        <v>0</v>
      </c>
      <c r="L259" s="11">
        <f>_xlfn.XLOOKUP(TableDailySummary[[#This Row],[Fecha]],SummaryDaily[day],SummaryDaily[Online Store_net_sales],0)</f>
        <v>0</v>
      </c>
      <c r="M259" s="11">
        <f>_xlfn.XLOOKUP(TableDailySummary[[#This Row],[Fecha]],SummaryDaily[day],SummaryDaily[Online Store_orders],0)</f>
        <v>0</v>
      </c>
      <c r="N259" s="11">
        <f>_xlfn.XLOOKUP(TableDailySummary[[#This Row],[Fecha]],SummaryDaily[day],SummaryDaily[Online Store_average_order_value],0)</f>
        <v>0</v>
      </c>
      <c r="O259" s="11">
        <f>_xlfn.XLOOKUP(TableDailySummary[[#This Row],[Fecha]],SummaryDaily[day],SummaryDaily[Tienda 81_net_sales],0)</f>
        <v>0</v>
      </c>
      <c r="P259" s="11">
        <f>_xlfn.XLOOKUP(TableDailySummary[[#This Row],[Fecha]],SummaryDaily[day],SummaryDaily[Tienda 81_orders],0)</f>
        <v>0</v>
      </c>
      <c r="Q259" s="11">
        <f>_xlfn.XLOOKUP(TableDailySummary[[#This Row],[Fecha]],SummaryDaily[day],SummaryDaily[Tienda 81_average_order_value],0)</f>
        <v>0</v>
      </c>
      <c r="R259" s="11">
        <f>_xlfn.XLOOKUP(TableDailySummary[[#This Row],[Fecha]],SummaryDaily[day],SummaryDaily[Rappi_net_sales],0)</f>
        <v>0</v>
      </c>
      <c r="S259" s="11">
        <f>_xlfn.XLOOKUP(TableDailySummary[[#This Row],[Fecha]],SummaryDaily[day],SummaryDaily[Rappi_orders],0)</f>
        <v>0</v>
      </c>
      <c r="T259" s="11">
        <f>_xlfn.XLOOKUP(TableDailySummary[[#This Row],[Fecha]],SummaryDaily[day],SummaryDaily[Rappi_average_order_value],0)</f>
        <v>0</v>
      </c>
      <c r="U259" s="11">
        <f>_xlfn.XLOOKUP(TableDailySummary[[#This Row],[Fecha]],SummaryDaily[day],SummaryDaily[Corporativo no tienda_net_sales],0)</f>
        <v>0</v>
      </c>
      <c r="V259" s="11">
        <f>_xlfn.XLOOKUP(TableDailySummary[[#This Row],[Fecha]],SummaryDaily[day],SummaryDaily[Corporativo no tienda_orders],0)</f>
        <v>0</v>
      </c>
      <c r="W259" s="11">
        <f>_xlfn.XLOOKUP(TableDailySummary[[#This Row],[Fecha]],SummaryDaily[day],SummaryDaily[Corporativo no tienda_average_order_value],0)</f>
        <v>0</v>
      </c>
      <c r="X259" s="11">
        <f>_xlfn.XLOOKUP(TableDailySummary[[#This Row],[Fecha]],SummaryDaily[day],SummaryDaily[GoogleAdsOperation.Cost],0)</f>
        <v>0</v>
      </c>
      <c r="Y259" s="11">
        <f>SUMIFS(SalesByUTMDaily[google],SalesByUTMDaily[day],TableDailySummary[[#This Row],[Fecha]])</f>
        <v>0</v>
      </c>
      <c r="Z259" s="11">
        <f>_xlfn.XLOOKUP(TableDailySummary[[#This Row],[Fecha]],SummaryDaily[day],SummaryDaily[MetaAdsOperation.spend],0)</f>
        <v>0</v>
      </c>
      <c r="AA259" s="11">
        <f>SUMIFS(SalesByUTMDaily[facebook],SalesByUTMDaily[day],TableDailySummary[[#This Row],[Fecha]])</f>
        <v>0</v>
      </c>
      <c r="AB259" s="11">
        <f>TableDailySummary[[#This Row],[Inversión google ads]]+TableDailySummary[[#This Row],[Inversión meta ads]]</f>
        <v>0</v>
      </c>
      <c r="AC259" s="11">
        <f>TableDailySummary[[#This Row],[Ventas google ads]]+TableDailySummary[[#This Row],[Ventas meta ads]]</f>
        <v>0</v>
      </c>
      <c r="AD259" s="14">
        <f>IFERROR(TableDailySummary[[#This Row],[Ventas publicidad]]/TableDailySummary[[#This Row],[Inversión publicidad]],0)</f>
        <v>0</v>
      </c>
      <c r="AE259" s="14">
        <f>IFERROR(TableDailySummary[[#This Row],[Ventas primer cliente]]/TableDailySummary[[#This Row],[Inversión publicidad]],0)</f>
        <v>0</v>
      </c>
      <c r="AF259" s="14"/>
      <c r="AG259" s="11"/>
      <c r="AM259" s="11">
        <f>_xlfn.XLOOKUP(TableDailySummary[[#This Row],[Fecha]],SummaryDaily[day],SummaryDaily[net_sales_with_cost_recorded],0)</f>
        <v>0</v>
      </c>
      <c r="AN259" s="11">
        <f>_xlfn.XLOOKUP(TableDailySummary[[#This Row],[Fecha]],SummaryDaily[day],SummaryDaily[cost_of_goods_sold],0)</f>
        <v>0</v>
      </c>
      <c r="AO259" s="11">
        <f>_xlfn.XLOOKUP(TableDailySummary[[#This Row],[Fecha]],SummaryDaily[day],SummaryDaily[gross_profit],0)</f>
        <v>0</v>
      </c>
      <c r="AP259" s="18">
        <f>IFERROR(TableDailySummary[[#This Row],[Utilidad bruta]]/TableDailySummary[[#This Row],[Ventas netas con costo registrado]],0)</f>
        <v>0</v>
      </c>
    </row>
    <row r="260" spans="2:42" x14ac:dyDescent="0.2">
      <c r="B260" s="15" cm="1">
        <f t="array" ref="B260">ParamFechaInicioReporte + (ROW(TableDailySummary[#This Row]) - ROW(TableDailySummary[[#Headers],[Dia]]) - 1)</f>
        <v>44787</v>
      </c>
      <c r="C260" s="6">
        <f>TableDailySummary[[#This Row],[Dia]]</f>
        <v>44787</v>
      </c>
      <c r="D260" s="11">
        <f>_xlfn.XLOOKUP(TableDailySummary[[#This Row],[Fecha]],SummaryDaily[day],SummaryDaily[net_sales],0)</f>
        <v>0</v>
      </c>
      <c r="E260" s="11">
        <f>_xlfn.XLOOKUP(TableDailySummary[[#This Row],[Fecha]],SummaryDaily[day],SummaryDaily[orders],0)</f>
        <v>0</v>
      </c>
      <c r="F260" s="11">
        <f>_xlfn.XLOOKUP(TableDailySummary[[#This Row],[Fecha]],SummaryDaily[day],SummaryDaily[average_order_value],0)</f>
        <v>0</v>
      </c>
      <c r="G260" s="24" cm="1">
        <f t="array" ref="G260">_xlfn.XLOOKUP(TableDailySummary[[#This Row],[Fecha]]&amp;"Total site",ConversionRateByReferral[day]&amp;ConversionRateByReferral[referrer_source],ConversionRateByReferral[conversion_rate],0)</f>
        <v>0</v>
      </c>
      <c r="H260" s="11">
        <f>TableDailySummary[[#This Row],[Órden promedio totales]]*TableDailySummary[[#This Row],[CR totales]]</f>
        <v>0</v>
      </c>
      <c r="I260" s="11">
        <f>_xlfn.XLOOKUP(TableDailySummary[[#This Row],[Fecha]],SummaryDaily[day],SummaryDaily[new_net_sales],0)</f>
        <v>0</v>
      </c>
      <c r="J260" s="11">
        <f>_xlfn.XLOOKUP(TableDailySummary[[#This Row],[Fecha]],SummaryDaily[day],SummaryDaily[new_orders],0)</f>
        <v>0</v>
      </c>
      <c r="K260" s="11">
        <f>_xlfn.XLOOKUP(TableDailySummary[[#This Row],[Fecha]],SummaryDaily[day],SummaryDaily[new_average_order_value],0)</f>
        <v>0</v>
      </c>
      <c r="L260" s="11">
        <f>_xlfn.XLOOKUP(TableDailySummary[[#This Row],[Fecha]],SummaryDaily[day],SummaryDaily[Online Store_net_sales],0)</f>
        <v>0</v>
      </c>
      <c r="M260" s="11">
        <f>_xlfn.XLOOKUP(TableDailySummary[[#This Row],[Fecha]],SummaryDaily[day],SummaryDaily[Online Store_orders],0)</f>
        <v>0</v>
      </c>
      <c r="N260" s="11">
        <f>_xlfn.XLOOKUP(TableDailySummary[[#This Row],[Fecha]],SummaryDaily[day],SummaryDaily[Online Store_average_order_value],0)</f>
        <v>0</v>
      </c>
      <c r="O260" s="11">
        <f>_xlfn.XLOOKUP(TableDailySummary[[#This Row],[Fecha]],SummaryDaily[day],SummaryDaily[Tienda 81_net_sales],0)</f>
        <v>0</v>
      </c>
      <c r="P260" s="11">
        <f>_xlfn.XLOOKUP(TableDailySummary[[#This Row],[Fecha]],SummaryDaily[day],SummaryDaily[Tienda 81_orders],0)</f>
        <v>0</v>
      </c>
      <c r="Q260" s="11">
        <f>_xlfn.XLOOKUP(TableDailySummary[[#This Row],[Fecha]],SummaryDaily[day],SummaryDaily[Tienda 81_average_order_value],0)</f>
        <v>0</v>
      </c>
      <c r="R260" s="11">
        <f>_xlfn.XLOOKUP(TableDailySummary[[#This Row],[Fecha]],SummaryDaily[day],SummaryDaily[Rappi_net_sales],0)</f>
        <v>0</v>
      </c>
      <c r="S260" s="11">
        <f>_xlfn.XLOOKUP(TableDailySummary[[#This Row],[Fecha]],SummaryDaily[day],SummaryDaily[Rappi_orders],0)</f>
        <v>0</v>
      </c>
      <c r="T260" s="11">
        <f>_xlfn.XLOOKUP(TableDailySummary[[#This Row],[Fecha]],SummaryDaily[day],SummaryDaily[Rappi_average_order_value],0)</f>
        <v>0</v>
      </c>
      <c r="U260" s="11">
        <f>_xlfn.XLOOKUP(TableDailySummary[[#This Row],[Fecha]],SummaryDaily[day],SummaryDaily[Corporativo no tienda_net_sales],0)</f>
        <v>0</v>
      </c>
      <c r="V260" s="11">
        <f>_xlfn.XLOOKUP(TableDailySummary[[#This Row],[Fecha]],SummaryDaily[day],SummaryDaily[Corporativo no tienda_orders],0)</f>
        <v>0</v>
      </c>
      <c r="W260" s="11">
        <f>_xlfn.XLOOKUP(TableDailySummary[[#This Row],[Fecha]],SummaryDaily[day],SummaryDaily[Corporativo no tienda_average_order_value],0)</f>
        <v>0</v>
      </c>
      <c r="X260" s="11">
        <f>_xlfn.XLOOKUP(TableDailySummary[[#This Row],[Fecha]],SummaryDaily[day],SummaryDaily[GoogleAdsOperation.Cost],0)</f>
        <v>0</v>
      </c>
      <c r="Y260" s="11">
        <f>SUMIFS(SalesByUTMDaily[google],SalesByUTMDaily[day],TableDailySummary[[#This Row],[Fecha]])</f>
        <v>0</v>
      </c>
      <c r="Z260" s="11">
        <f>_xlfn.XLOOKUP(TableDailySummary[[#This Row],[Fecha]],SummaryDaily[day],SummaryDaily[MetaAdsOperation.spend],0)</f>
        <v>0</v>
      </c>
      <c r="AA260" s="11">
        <f>SUMIFS(SalesByUTMDaily[facebook],SalesByUTMDaily[day],TableDailySummary[[#This Row],[Fecha]])</f>
        <v>0</v>
      </c>
      <c r="AB260" s="11">
        <f>TableDailySummary[[#This Row],[Inversión google ads]]+TableDailySummary[[#This Row],[Inversión meta ads]]</f>
        <v>0</v>
      </c>
      <c r="AC260" s="11">
        <f>TableDailySummary[[#This Row],[Ventas google ads]]+TableDailySummary[[#This Row],[Ventas meta ads]]</f>
        <v>0</v>
      </c>
      <c r="AD260" s="14">
        <f>IFERROR(TableDailySummary[[#This Row],[Ventas publicidad]]/TableDailySummary[[#This Row],[Inversión publicidad]],0)</f>
        <v>0</v>
      </c>
      <c r="AE260" s="14">
        <f>IFERROR(TableDailySummary[[#This Row],[Ventas primer cliente]]/TableDailySummary[[#This Row],[Inversión publicidad]],0)</f>
        <v>0</v>
      </c>
      <c r="AF260" s="14"/>
      <c r="AG260" s="11"/>
      <c r="AM260" s="11">
        <f>_xlfn.XLOOKUP(TableDailySummary[[#This Row],[Fecha]],SummaryDaily[day],SummaryDaily[net_sales_with_cost_recorded],0)</f>
        <v>0</v>
      </c>
      <c r="AN260" s="11">
        <f>_xlfn.XLOOKUP(TableDailySummary[[#This Row],[Fecha]],SummaryDaily[day],SummaryDaily[cost_of_goods_sold],0)</f>
        <v>0</v>
      </c>
      <c r="AO260" s="11">
        <f>_xlfn.XLOOKUP(TableDailySummary[[#This Row],[Fecha]],SummaryDaily[day],SummaryDaily[gross_profit],0)</f>
        <v>0</v>
      </c>
      <c r="AP260" s="18">
        <f>IFERROR(TableDailySummary[[#This Row],[Utilidad bruta]]/TableDailySummary[[#This Row],[Ventas netas con costo registrado]],0)</f>
        <v>0</v>
      </c>
    </row>
    <row r="261" spans="2:42" x14ac:dyDescent="0.2">
      <c r="B261" s="15" cm="1">
        <f t="array" ref="B261">ParamFechaInicioReporte + (ROW(TableDailySummary[#This Row]) - ROW(TableDailySummary[[#Headers],[Dia]]) - 1)</f>
        <v>44788</v>
      </c>
      <c r="C261" s="6">
        <f>TableDailySummary[[#This Row],[Dia]]</f>
        <v>44788</v>
      </c>
      <c r="D261" s="11">
        <f>_xlfn.XLOOKUP(TableDailySummary[[#This Row],[Fecha]],SummaryDaily[day],SummaryDaily[net_sales],0)</f>
        <v>0</v>
      </c>
      <c r="E261" s="11">
        <f>_xlfn.XLOOKUP(TableDailySummary[[#This Row],[Fecha]],SummaryDaily[day],SummaryDaily[orders],0)</f>
        <v>0</v>
      </c>
      <c r="F261" s="11">
        <f>_xlfn.XLOOKUP(TableDailySummary[[#This Row],[Fecha]],SummaryDaily[day],SummaryDaily[average_order_value],0)</f>
        <v>0</v>
      </c>
      <c r="G261" s="24" cm="1">
        <f t="array" ref="G261">_xlfn.XLOOKUP(TableDailySummary[[#This Row],[Fecha]]&amp;"Total site",ConversionRateByReferral[day]&amp;ConversionRateByReferral[referrer_source],ConversionRateByReferral[conversion_rate],0)</f>
        <v>0</v>
      </c>
      <c r="H261" s="11">
        <f>TableDailySummary[[#This Row],[Órden promedio totales]]*TableDailySummary[[#This Row],[CR totales]]</f>
        <v>0</v>
      </c>
      <c r="I261" s="11">
        <f>_xlfn.XLOOKUP(TableDailySummary[[#This Row],[Fecha]],SummaryDaily[day],SummaryDaily[new_net_sales],0)</f>
        <v>0</v>
      </c>
      <c r="J261" s="11">
        <f>_xlfn.XLOOKUP(TableDailySummary[[#This Row],[Fecha]],SummaryDaily[day],SummaryDaily[new_orders],0)</f>
        <v>0</v>
      </c>
      <c r="K261" s="11">
        <f>_xlfn.XLOOKUP(TableDailySummary[[#This Row],[Fecha]],SummaryDaily[day],SummaryDaily[new_average_order_value],0)</f>
        <v>0</v>
      </c>
      <c r="L261" s="11">
        <f>_xlfn.XLOOKUP(TableDailySummary[[#This Row],[Fecha]],SummaryDaily[day],SummaryDaily[Online Store_net_sales],0)</f>
        <v>0</v>
      </c>
      <c r="M261" s="11">
        <f>_xlfn.XLOOKUP(TableDailySummary[[#This Row],[Fecha]],SummaryDaily[day],SummaryDaily[Online Store_orders],0)</f>
        <v>0</v>
      </c>
      <c r="N261" s="11">
        <f>_xlfn.XLOOKUP(TableDailySummary[[#This Row],[Fecha]],SummaryDaily[day],SummaryDaily[Online Store_average_order_value],0)</f>
        <v>0</v>
      </c>
      <c r="O261" s="11">
        <f>_xlfn.XLOOKUP(TableDailySummary[[#This Row],[Fecha]],SummaryDaily[day],SummaryDaily[Tienda 81_net_sales],0)</f>
        <v>0</v>
      </c>
      <c r="P261" s="11">
        <f>_xlfn.XLOOKUP(TableDailySummary[[#This Row],[Fecha]],SummaryDaily[day],SummaryDaily[Tienda 81_orders],0)</f>
        <v>0</v>
      </c>
      <c r="Q261" s="11">
        <f>_xlfn.XLOOKUP(TableDailySummary[[#This Row],[Fecha]],SummaryDaily[day],SummaryDaily[Tienda 81_average_order_value],0)</f>
        <v>0</v>
      </c>
      <c r="R261" s="11">
        <f>_xlfn.XLOOKUP(TableDailySummary[[#This Row],[Fecha]],SummaryDaily[day],SummaryDaily[Rappi_net_sales],0)</f>
        <v>0</v>
      </c>
      <c r="S261" s="11">
        <f>_xlfn.XLOOKUP(TableDailySummary[[#This Row],[Fecha]],SummaryDaily[day],SummaryDaily[Rappi_orders],0)</f>
        <v>0</v>
      </c>
      <c r="T261" s="11">
        <f>_xlfn.XLOOKUP(TableDailySummary[[#This Row],[Fecha]],SummaryDaily[day],SummaryDaily[Rappi_average_order_value],0)</f>
        <v>0</v>
      </c>
      <c r="U261" s="11">
        <f>_xlfn.XLOOKUP(TableDailySummary[[#This Row],[Fecha]],SummaryDaily[day],SummaryDaily[Corporativo no tienda_net_sales],0)</f>
        <v>0</v>
      </c>
      <c r="V261" s="11">
        <f>_xlfn.XLOOKUP(TableDailySummary[[#This Row],[Fecha]],SummaryDaily[day],SummaryDaily[Corporativo no tienda_orders],0)</f>
        <v>0</v>
      </c>
      <c r="W261" s="11">
        <f>_xlfn.XLOOKUP(TableDailySummary[[#This Row],[Fecha]],SummaryDaily[day],SummaryDaily[Corporativo no tienda_average_order_value],0)</f>
        <v>0</v>
      </c>
      <c r="X261" s="11">
        <f>_xlfn.XLOOKUP(TableDailySummary[[#This Row],[Fecha]],SummaryDaily[day],SummaryDaily[GoogleAdsOperation.Cost],0)</f>
        <v>0</v>
      </c>
      <c r="Y261" s="11">
        <f>SUMIFS(SalesByUTMDaily[google],SalesByUTMDaily[day],TableDailySummary[[#This Row],[Fecha]])</f>
        <v>0</v>
      </c>
      <c r="Z261" s="11">
        <f>_xlfn.XLOOKUP(TableDailySummary[[#This Row],[Fecha]],SummaryDaily[day],SummaryDaily[MetaAdsOperation.spend],0)</f>
        <v>0</v>
      </c>
      <c r="AA261" s="11">
        <f>SUMIFS(SalesByUTMDaily[facebook],SalesByUTMDaily[day],TableDailySummary[[#This Row],[Fecha]])</f>
        <v>0</v>
      </c>
      <c r="AB261" s="11">
        <f>TableDailySummary[[#This Row],[Inversión google ads]]+TableDailySummary[[#This Row],[Inversión meta ads]]</f>
        <v>0</v>
      </c>
      <c r="AC261" s="11">
        <f>TableDailySummary[[#This Row],[Ventas google ads]]+TableDailySummary[[#This Row],[Ventas meta ads]]</f>
        <v>0</v>
      </c>
      <c r="AD261" s="14">
        <f>IFERROR(TableDailySummary[[#This Row],[Ventas publicidad]]/TableDailySummary[[#This Row],[Inversión publicidad]],0)</f>
        <v>0</v>
      </c>
      <c r="AE261" s="14">
        <f>IFERROR(TableDailySummary[[#This Row],[Ventas primer cliente]]/TableDailySummary[[#This Row],[Inversión publicidad]],0)</f>
        <v>0</v>
      </c>
      <c r="AF261" s="14"/>
      <c r="AG261" s="11"/>
      <c r="AM261" s="11">
        <f>_xlfn.XLOOKUP(TableDailySummary[[#This Row],[Fecha]],SummaryDaily[day],SummaryDaily[net_sales_with_cost_recorded],0)</f>
        <v>0</v>
      </c>
      <c r="AN261" s="11">
        <f>_xlfn.XLOOKUP(TableDailySummary[[#This Row],[Fecha]],SummaryDaily[day],SummaryDaily[cost_of_goods_sold],0)</f>
        <v>0</v>
      </c>
      <c r="AO261" s="11">
        <f>_xlfn.XLOOKUP(TableDailySummary[[#This Row],[Fecha]],SummaryDaily[day],SummaryDaily[gross_profit],0)</f>
        <v>0</v>
      </c>
      <c r="AP261" s="18">
        <f>IFERROR(TableDailySummary[[#This Row],[Utilidad bruta]]/TableDailySummary[[#This Row],[Ventas netas con costo registrado]],0)</f>
        <v>0</v>
      </c>
    </row>
    <row r="262" spans="2:42" x14ac:dyDescent="0.2">
      <c r="B262" s="15" cm="1">
        <f t="array" ref="B262">ParamFechaInicioReporte + (ROW(TableDailySummary[#This Row]) - ROW(TableDailySummary[[#Headers],[Dia]]) - 1)</f>
        <v>44789</v>
      </c>
      <c r="C262" s="6">
        <f>TableDailySummary[[#This Row],[Dia]]</f>
        <v>44789</v>
      </c>
      <c r="D262" s="11">
        <f>_xlfn.XLOOKUP(TableDailySummary[[#This Row],[Fecha]],SummaryDaily[day],SummaryDaily[net_sales],0)</f>
        <v>0</v>
      </c>
      <c r="E262" s="11">
        <f>_xlfn.XLOOKUP(TableDailySummary[[#This Row],[Fecha]],SummaryDaily[day],SummaryDaily[orders],0)</f>
        <v>0</v>
      </c>
      <c r="F262" s="11">
        <f>_xlfn.XLOOKUP(TableDailySummary[[#This Row],[Fecha]],SummaryDaily[day],SummaryDaily[average_order_value],0)</f>
        <v>0</v>
      </c>
      <c r="G262" s="24" cm="1">
        <f t="array" ref="G262">_xlfn.XLOOKUP(TableDailySummary[[#This Row],[Fecha]]&amp;"Total site",ConversionRateByReferral[day]&amp;ConversionRateByReferral[referrer_source],ConversionRateByReferral[conversion_rate],0)</f>
        <v>0</v>
      </c>
      <c r="H262" s="11">
        <f>TableDailySummary[[#This Row],[Órden promedio totales]]*TableDailySummary[[#This Row],[CR totales]]</f>
        <v>0</v>
      </c>
      <c r="I262" s="11">
        <f>_xlfn.XLOOKUP(TableDailySummary[[#This Row],[Fecha]],SummaryDaily[day],SummaryDaily[new_net_sales],0)</f>
        <v>0</v>
      </c>
      <c r="J262" s="11">
        <f>_xlfn.XLOOKUP(TableDailySummary[[#This Row],[Fecha]],SummaryDaily[day],SummaryDaily[new_orders],0)</f>
        <v>0</v>
      </c>
      <c r="K262" s="11">
        <f>_xlfn.XLOOKUP(TableDailySummary[[#This Row],[Fecha]],SummaryDaily[day],SummaryDaily[new_average_order_value],0)</f>
        <v>0</v>
      </c>
      <c r="L262" s="11">
        <f>_xlfn.XLOOKUP(TableDailySummary[[#This Row],[Fecha]],SummaryDaily[day],SummaryDaily[Online Store_net_sales],0)</f>
        <v>0</v>
      </c>
      <c r="M262" s="11">
        <f>_xlfn.XLOOKUP(TableDailySummary[[#This Row],[Fecha]],SummaryDaily[day],SummaryDaily[Online Store_orders],0)</f>
        <v>0</v>
      </c>
      <c r="N262" s="11">
        <f>_xlfn.XLOOKUP(TableDailySummary[[#This Row],[Fecha]],SummaryDaily[day],SummaryDaily[Online Store_average_order_value],0)</f>
        <v>0</v>
      </c>
      <c r="O262" s="11">
        <f>_xlfn.XLOOKUP(TableDailySummary[[#This Row],[Fecha]],SummaryDaily[day],SummaryDaily[Tienda 81_net_sales],0)</f>
        <v>0</v>
      </c>
      <c r="P262" s="11">
        <f>_xlfn.XLOOKUP(TableDailySummary[[#This Row],[Fecha]],SummaryDaily[day],SummaryDaily[Tienda 81_orders],0)</f>
        <v>0</v>
      </c>
      <c r="Q262" s="11">
        <f>_xlfn.XLOOKUP(TableDailySummary[[#This Row],[Fecha]],SummaryDaily[day],SummaryDaily[Tienda 81_average_order_value],0)</f>
        <v>0</v>
      </c>
      <c r="R262" s="11">
        <f>_xlfn.XLOOKUP(TableDailySummary[[#This Row],[Fecha]],SummaryDaily[day],SummaryDaily[Rappi_net_sales],0)</f>
        <v>0</v>
      </c>
      <c r="S262" s="11">
        <f>_xlfn.XLOOKUP(TableDailySummary[[#This Row],[Fecha]],SummaryDaily[day],SummaryDaily[Rappi_orders],0)</f>
        <v>0</v>
      </c>
      <c r="T262" s="11">
        <f>_xlfn.XLOOKUP(TableDailySummary[[#This Row],[Fecha]],SummaryDaily[day],SummaryDaily[Rappi_average_order_value],0)</f>
        <v>0</v>
      </c>
      <c r="U262" s="11">
        <f>_xlfn.XLOOKUP(TableDailySummary[[#This Row],[Fecha]],SummaryDaily[day],SummaryDaily[Corporativo no tienda_net_sales],0)</f>
        <v>0</v>
      </c>
      <c r="V262" s="11">
        <f>_xlfn.XLOOKUP(TableDailySummary[[#This Row],[Fecha]],SummaryDaily[day],SummaryDaily[Corporativo no tienda_orders],0)</f>
        <v>0</v>
      </c>
      <c r="W262" s="11">
        <f>_xlfn.XLOOKUP(TableDailySummary[[#This Row],[Fecha]],SummaryDaily[day],SummaryDaily[Corporativo no tienda_average_order_value],0)</f>
        <v>0</v>
      </c>
      <c r="X262" s="11">
        <f>_xlfn.XLOOKUP(TableDailySummary[[#This Row],[Fecha]],SummaryDaily[day],SummaryDaily[GoogleAdsOperation.Cost],0)</f>
        <v>0</v>
      </c>
      <c r="Y262" s="11">
        <f>SUMIFS(SalesByUTMDaily[google],SalesByUTMDaily[day],TableDailySummary[[#This Row],[Fecha]])</f>
        <v>0</v>
      </c>
      <c r="Z262" s="11">
        <f>_xlfn.XLOOKUP(TableDailySummary[[#This Row],[Fecha]],SummaryDaily[day],SummaryDaily[MetaAdsOperation.spend],0)</f>
        <v>0</v>
      </c>
      <c r="AA262" s="11">
        <f>SUMIFS(SalesByUTMDaily[facebook],SalesByUTMDaily[day],TableDailySummary[[#This Row],[Fecha]])</f>
        <v>0</v>
      </c>
      <c r="AB262" s="11">
        <f>TableDailySummary[[#This Row],[Inversión google ads]]+TableDailySummary[[#This Row],[Inversión meta ads]]</f>
        <v>0</v>
      </c>
      <c r="AC262" s="11">
        <f>TableDailySummary[[#This Row],[Ventas google ads]]+TableDailySummary[[#This Row],[Ventas meta ads]]</f>
        <v>0</v>
      </c>
      <c r="AD262" s="14">
        <f>IFERROR(TableDailySummary[[#This Row],[Ventas publicidad]]/TableDailySummary[[#This Row],[Inversión publicidad]],0)</f>
        <v>0</v>
      </c>
      <c r="AE262" s="14">
        <f>IFERROR(TableDailySummary[[#This Row],[Ventas primer cliente]]/TableDailySummary[[#This Row],[Inversión publicidad]],0)</f>
        <v>0</v>
      </c>
      <c r="AF262" s="14"/>
      <c r="AG262" s="11"/>
      <c r="AM262" s="11">
        <f>_xlfn.XLOOKUP(TableDailySummary[[#This Row],[Fecha]],SummaryDaily[day],SummaryDaily[net_sales_with_cost_recorded],0)</f>
        <v>0</v>
      </c>
      <c r="AN262" s="11">
        <f>_xlfn.XLOOKUP(TableDailySummary[[#This Row],[Fecha]],SummaryDaily[day],SummaryDaily[cost_of_goods_sold],0)</f>
        <v>0</v>
      </c>
      <c r="AO262" s="11">
        <f>_xlfn.XLOOKUP(TableDailySummary[[#This Row],[Fecha]],SummaryDaily[day],SummaryDaily[gross_profit],0)</f>
        <v>0</v>
      </c>
      <c r="AP262" s="18">
        <f>IFERROR(TableDailySummary[[#This Row],[Utilidad bruta]]/TableDailySummary[[#This Row],[Ventas netas con costo registrado]],0)</f>
        <v>0</v>
      </c>
    </row>
    <row r="263" spans="2:42" x14ac:dyDescent="0.2">
      <c r="B263" s="15" cm="1">
        <f t="array" ref="B263">ParamFechaInicioReporte + (ROW(TableDailySummary[#This Row]) - ROW(TableDailySummary[[#Headers],[Dia]]) - 1)</f>
        <v>44790</v>
      </c>
      <c r="C263" s="6">
        <f>TableDailySummary[[#This Row],[Dia]]</f>
        <v>44790</v>
      </c>
      <c r="D263" s="11">
        <f>_xlfn.XLOOKUP(TableDailySummary[[#This Row],[Fecha]],SummaryDaily[day],SummaryDaily[net_sales],0)</f>
        <v>0</v>
      </c>
      <c r="E263" s="11">
        <f>_xlfn.XLOOKUP(TableDailySummary[[#This Row],[Fecha]],SummaryDaily[day],SummaryDaily[orders],0)</f>
        <v>0</v>
      </c>
      <c r="F263" s="11">
        <f>_xlfn.XLOOKUP(TableDailySummary[[#This Row],[Fecha]],SummaryDaily[day],SummaryDaily[average_order_value],0)</f>
        <v>0</v>
      </c>
      <c r="G263" s="24" cm="1">
        <f t="array" ref="G263">_xlfn.XLOOKUP(TableDailySummary[[#This Row],[Fecha]]&amp;"Total site",ConversionRateByReferral[day]&amp;ConversionRateByReferral[referrer_source],ConversionRateByReferral[conversion_rate],0)</f>
        <v>0</v>
      </c>
      <c r="H263" s="11">
        <f>TableDailySummary[[#This Row],[Órden promedio totales]]*TableDailySummary[[#This Row],[CR totales]]</f>
        <v>0</v>
      </c>
      <c r="I263" s="11">
        <f>_xlfn.XLOOKUP(TableDailySummary[[#This Row],[Fecha]],SummaryDaily[day],SummaryDaily[new_net_sales],0)</f>
        <v>0</v>
      </c>
      <c r="J263" s="11">
        <f>_xlfn.XLOOKUP(TableDailySummary[[#This Row],[Fecha]],SummaryDaily[day],SummaryDaily[new_orders],0)</f>
        <v>0</v>
      </c>
      <c r="K263" s="11">
        <f>_xlfn.XLOOKUP(TableDailySummary[[#This Row],[Fecha]],SummaryDaily[day],SummaryDaily[new_average_order_value],0)</f>
        <v>0</v>
      </c>
      <c r="L263" s="11">
        <f>_xlfn.XLOOKUP(TableDailySummary[[#This Row],[Fecha]],SummaryDaily[day],SummaryDaily[Online Store_net_sales],0)</f>
        <v>0</v>
      </c>
      <c r="M263" s="11">
        <f>_xlfn.XLOOKUP(TableDailySummary[[#This Row],[Fecha]],SummaryDaily[day],SummaryDaily[Online Store_orders],0)</f>
        <v>0</v>
      </c>
      <c r="N263" s="11">
        <f>_xlfn.XLOOKUP(TableDailySummary[[#This Row],[Fecha]],SummaryDaily[day],SummaryDaily[Online Store_average_order_value],0)</f>
        <v>0</v>
      </c>
      <c r="O263" s="11">
        <f>_xlfn.XLOOKUP(TableDailySummary[[#This Row],[Fecha]],SummaryDaily[day],SummaryDaily[Tienda 81_net_sales],0)</f>
        <v>0</v>
      </c>
      <c r="P263" s="11">
        <f>_xlfn.XLOOKUP(TableDailySummary[[#This Row],[Fecha]],SummaryDaily[day],SummaryDaily[Tienda 81_orders],0)</f>
        <v>0</v>
      </c>
      <c r="Q263" s="11">
        <f>_xlfn.XLOOKUP(TableDailySummary[[#This Row],[Fecha]],SummaryDaily[day],SummaryDaily[Tienda 81_average_order_value],0)</f>
        <v>0</v>
      </c>
      <c r="R263" s="11">
        <f>_xlfn.XLOOKUP(TableDailySummary[[#This Row],[Fecha]],SummaryDaily[day],SummaryDaily[Rappi_net_sales],0)</f>
        <v>0</v>
      </c>
      <c r="S263" s="11">
        <f>_xlfn.XLOOKUP(TableDailySummary[[#This Row],[Fecha]],SummaryDaily[day],SummaryDaily[Rappi_orders],0)</f>
        <v>0</v>
      </c>
      <c r="T263" s="11">
        <f>_xlfn.XLOOKUP(TableDailySummary[[#This Row],[Fecha]],SummaryDaily[day],SummaryDaily[Rappi_average_order_value],0)</f>
        <v>0</v>
      </c>
      <c r="U263" s="11">
        <f>_xlfn.XLOOKUP(TableDailySummary[[#This Row],[Fecha]],SummaryDaily[day],SummaryDaily[Corporativo no tienda_net_sales],0)</f>
        <v>0</v>
      </c>
      <c r="V263" s="11">
        <f>_xlfn.XLOOKUP(TableDailySummary[[#This Row],[Fecha]],SummaryDaily[day],SummaryDaily[Corporativo no tienda_orders],0)</f>
        <v>0</v>
      </c>
      <c r="W263" s="11">
        <f>_xlfn.XLOOKUP(TableDailySummary[[#This Row],[Fecha]],SummaryDaily[day],SummaryDaily[Corporativo no tienda_average_order_value],0)</f>
        <v>0</v>
      </c>
      <c r="X263" s="11">
        <f>_xlfn.XLOOKUP(TableDailySummary[[#This Row],[Fecha]],SummaryDaily[day],SummaryDaily[GoogleAdsOperation.Cost],0)</f>
        <v>0</v>
      </c>
      <c r="Y263" s="11">
        <f>SUMIFS(SalesByUTMDaily[google],SalesByUTMDaily[day],TableDailySummary[[#This Row],[Fecha]])</f>
        <v>0</v>
      </c>
      <c r="Z263" s="11">
        <f>_xlfn.XLOOKUP(TableDailySummary[[#This Row],[Fecha]],SummaryDaily[day],SummaryDaily[MetaAdsOperation.spend],0)</f>
        <v>0</v>
      </c>
      <c r="AA263" s="11">
        <f>SUMIFS(SalesByUTMDaily[facebook],SalesByUTMDaily[day],TableDailySummary[[#This Row],[Fecha]])</f>
        <v>0</v>
      </c>
      <c r="AB263" s="11">
        <f>TableDailySummary[[#This Row],[Inversión google ads]]+TableDailySummary[[#This Row],[Inversión meta ads]]</f>
        <v>0</v>
      </c>
      <c r="AC263" s="11">
        <f>TableDailySummary[[#This Row],[Ventas google ads]]+TableDailySummary[[#This Row],[Ventas meta ads]]</f>
        <v>0</v>
      </c>
      <c r="AD263" s="14">
        <f>IFERROR(TableDailySummary[[#This Row],[Ventas publicidad]]/TableDailySummary[[#This Row],[Inversión publicidad]],0)</f>
        <v>0</v>
      </c>
      <c r="AE263" s="14">
        <f>IFERROR(TableDailySummary[[#This Row],[Ventas primer cliente]]/TableDailySummary[[#This Row],[Inversión publicidad]],0)</f>
        <v>0</v>
      </c>
      <c r="AF263" s="14"/>
      <c r="AG263" s="11"/>
      <c r="AM263" s="11">
        <f>_xlfn.XLOOKUP(TableDailySummary[[#This Row],[Fecha]],SummaryDaily[day],SummaryDaily[net_sales_with_cost_recorded],0)</f>
        <v>0</v>
      </c>
      <c r="AN263" s="11">
        <f>_xlfn.XLOOKUP(TableDailySummary[[#This Row],[Fecha]],SummaryDaily[day],SummaryDaily[cost_of_goods_sold],0)</f>
        <v>0</v>
      </c>
      <c r="AO263" s="11">
        <f>_xlfn.XLOOKUP(TableDailySummary[[#This Row],[Fecha]],SummaryDaily[day],SummaryDaily[gross_profit],0)</f>
        <v>0</v>
      </c>
      <c r="AP263" s="18">
        <f>IFERROR(TableDailySummary[[#This Row],[Utilidad bruta]]/TableDailySummary[[#This Row],[Ventas netas con costo registrado]],0)</f>
        <v>0</v>
      </c>
    </row>
    <row r="264" spans="2:42" x14ac:dyDescent="0.2">
      <c r="B264" s="15" cm="1">
        <f t="array" ref="B264">ParamFechaInicioReporte + (ROW(TableDailySummary[#This Row]) - ROW(TableDailySummary[[#Headers],[Dia]]) - 1)</f>
        <v>44791</v>
      </c>
      <c r="C264" s="6">
        <f>TableDailySummary[[#This Row],[Dia]]</f>
        <v>44791</v>
      </c>
      <c r="D264" s="11">
        <f>_xlfn.XLOOKUP(TableDailySummary[[#This Row],[Fecha]],SummaryDaily[day],SummaryDaily[net_sales],0)</f>
        <v>0</v>
      </c>
      <c r="E264" s="11">
        <f>_xlfn.XLOOKUP(TableDailySummary[[#This Row],[Fecha]],SummaryDaily[day],SummaryDaily[orders],0)</f>
        <v>0</v>
      </c>
      <c r="F264" s="11">
        <f>_xlfn.XLOOKUP(TableDailySummary[[#This Row],[Fecha]],SummaryDaily[day],SummaryDaily[average_order_value],0)</f>
        <v>0</v>
      </c>
      <c r="G264" s="24" cm="1">
        <f t="array" ref="G264">_xlfn.XLOOKUP(TableDailySummary[[#This Row],[Fecha]]&amp;"Total site",ConversionRateByReferral[day]&amp;ConversionRateByReferral[referrer_source],ConversionRateByReferral[conversion_rate],0)</f>
        <v>0</v>
      </c>
      <c r="H264" s="11">
        <f>TableDailySummary[[#This Row],[Órden promedio totales]]*TableDailySummary[[#This Row],[CR totales]]</f>
        <v>0</v>
      </c>
      <c r="I264" s="11">
        <f>_xlfn.XLOOKUP(TableDailySummary[[#This Row],[Fecha]],SummaryDaily[day],SummaryDaily[new_net_sales],0)</f>
        <v>0</v>
      </c>
      <c r="J264" s="11">
        <f>_xlfn.XLOOKUP(TableDailySummary[[#This Row],[Fecha]],SummaryDaily[day],SummaryDaily[new_orders],0)</f>
        <v>0</v>
      </c>
      <c r="K264" s="11">
        <f>_xlfn.XLOOKUP(TableDailySummary[[#This Row],[Fecha]],SummaryDaily[day],SummaryDaily[new_average_order_value],0)</f>
        <v>0</v>
      </c>
      <c r="L264" s="11">
        <f>_xlfn.XLOOKUP(TableDailySummary[[#This Row],[Fecha]],SummaryDaily[day],SummaryDaily[Online Store_net_sales],0)</f>
        <v>0</v>
      </c>
      <c r="M264" s="11">
        <f>_xlfn.XLOOKUP(TableDailySummary[[#This Row],[Fecha]],SummaryDaily[day],SummaryDaily[Online Store_orders],0)</f>
        <v>0</v>
      </c>
      <c r="N264" s="11">
        <f>_xlfn.XLOOKUP(TableDailySummary[[#This Row],[Fecha]],SummaryDaily[day],SummaryDaily[Online Store_average_order_value],0)</f>
        <v>0</v>
      </c>
      <c r="O264" s="11">
        <f>_xlfn.XLOOKUP(TableDailySummary[[#This Row],[Fecha]],SummaryDaily[day],SummaryDaily[Tienda 81_net_sales],0)</f>
        <v>0</v>
      </c>
      <c r="P264" s="11">
        <f>_xlfn.XLOOKUP(TableDailySummary[[#This Row],[Fecha]],SummaryDaily[day],SummaryDaily[Tienda 81_orders],0)</f>
        <v>0</v>
      </c>
      <c r="Q264" s="11">
        <f>_xlfn.XLOOKUP(TableDailySummary[[#This Row],[Fecha]],SummaryDaily[day],SummaryDaily[Tienda 81_average_order_value],0)</f>
        <v>0</v>
      </c>
      <c r="R264" s="11">
        <f>_xlfn.XLOOKUP(TableDailySummary[[#This Row],[Fecha]],SummaryDaily[day],SummaryDaily[Rappi_net_sales],0)</f>
        <v>0</v>
      </c>
      <c r="S264" s="11">
        <f>_xlfn.XLOOKUP(TableDailySummary[[#This Row],[Fecha]],SummaryDaily[day],SummaryDaily[Rappi_orders],0)</f>
        <v>0</v>
      </c>
      <c r="T264" s="11">
        <f>_xlfn.XLOOKUP(TableDailySummary[[#This Row],[Fecha]],SummaryDaily[day],SummaryDaily[Rappi_average_order_value],0)</f>
        <v>0</v>
      </c>
      <c r="U264" s="11">
        <f>_xlfn.XLOOKUP(TableDailySummary[[#This Row],[Fecha]],SummaryDaily[day],SummaryDaily[Corporativo no tienda_net_sales],0)</f>
        <v>0</v>
      </c>
      <c r="V264" s="11">
        <f>_xlfn.XLOOKUP(TableDailySummary[[#This Row],[Fecha]],SummaryDaily[day],SummaryDaily[Corporativo no tienda_orders],0)</f>
        <v>0</v>
      </c>
      <c r="W264" s="11">
        <f>_xlfn.XLOOKUP(TableDailySummary[[#This Row],[Fecha]],SummaryDaily[day],SummaryDaily[Corporativo no tienda_average_order_value],0)</f>
        <v>0</v>
      </c>
      <c r="X264" s="11">
        <f>_xlfn.XLOOKUP(TableDailySummary[[#This Row],[Fecha]],SummaryDaily[day],SummaryDaily[GoogleAdsOperation.Cost],0)</f>
        <v>0</v>
      </c>
      <c r="Y264" s="11">
        <f>SUMIFS(SalesByUTMDaily[google],SalesByUTMDaily[day],TableDailySummary[[#This Row],[Fecha]])</f>
        <v>0</v>
      </c>
      <c r="Z264" s="11">
        <f>_xlfn.XLOOKUP(TableDailySummary[[#This Row],[Fecha]],SummaryDaily[day],SummaryDaily[MetaAdsOperation.spend],0)</f>
        <v>0</v>
      </c>
      <c r="AA264" s="11">
        <f>SUMIFS(SalesByUTMDaily[facebook],SalesByUTMDaily[day],TableDailySummary[[#This Row],[Fecha]])</f>
        <v>0</v>
      </c>
      <c r="AB264" s="11">
        <f>TableDailySummary[[#This Row],[Inversión google ads]]+TableDailySummary[[#This Row],[Inversión meta ads]]</f>
        <v>0</v>
      </c>
      <c r="AC264" s="11">
        <f>TableDailySummary[[#This Row],[Ventas google ads]]+TableDailySummary[[#This Row],[Ventas meta ads]]</f>
        <v>0</v>
      </c>
      <c r="AD264" s="14">
        <f>IFERROR(TableDailySummary[[#This Row],[Ventas publicidad]]/TableDailySummary[[#This Row],[Inversión publicidad]],0)</f>
        <v>0</v>
      </c>
      <c r="AE264" s="14">
        <f>IFERROR(TableDailySummary[[#This Row],[Ventas primer cliente]]/TableDailySummary[[#This Row],[Inversión publicidad]],0)</f>
        <v>0</v>
      </c>
      <c r="AF264" s="14"/>
      <c r="AG264" s="11"/>
      <c r="AM264" s="11">
        <f>_xlfn.XLOOKUP(TableDailySummary[[#This Row],[Fecha]],SummaryDaily[day],SummaryDaily[net_sales_with_cost_recorded],0)</f>
        <v>0</v>
      </c>
      <c r="AN264" s="11">
        <f>_xlfn.XLOOKUP(TableDailySummary[[#This Row],[Fecha]],SummaryDaily[day],SummaryDaily[cost_of_goods_sold],0)</f>
        <v>0</v>
      </c>
      <c r="AO264" s="11">
        <f>_xlfn.XLOOKUP(TableDailySummary[[#This Row],[Fecha]],SummaryDaily[day],SummaryDaily[gross_profit],0)</f>
        <v>0</v>
      </c>
      <c r="AP264" s="18">
        <f>IFERROR(TableDailySummary[[#This Row],[Utilidad bruta]]/TableDailySummary[[#This Row],[Ventas netas con costo registrado]],0)</f>
        <v>0</v>
      </c>
    </row>
    <row r="265" spans="2:42" x14ac:dyDescent="0.2">
      <c r="B265" s="15" cm="1">
        <f t="array" ref="B265">ParamFechaInicioReporte + (ROW(TableDailySummary[#This Row]) - ROW(TableDailySummary[[#Headers],[Dia]]) - 1)</f>
        <v>44792</v>
      </c>
      <c r="C265" s="6">
        <f>TableDailySummary[[#This Row],[Dia]]</f>
        <v>44792</v>
      </c>
      <c r="D265" s="11">
        <f>_xlfn.XLOOKUP(TableDailySummary[[#This Row],[Fecha]],SummaryDaily[day],SummaryDaily[net_sales],0)</f>
        <v>0</v>
      </c>
      <c r="E265" s="11">
        <f>_xlfn.XLOOKUP(TableDailySummary[[#This Row],[Fecha]],SummaryDaily[day],SummaryDaily[orders],0)</f>
        <v>0</v>
      </c>
      <c r="F265" s="11">
        <f>_xlfn.XLOOKUP(TableDailySummary[[#This Row],[Fecha]],SummaryDaily[day],SummaryDaily[average_order_value],0)</f>
        <v>0</v>
      </c>
      <c r="G265" s="24" cm="1">
        <f t="array" ref="G265">_xlfn.XLOOKUP(TableDailySummary[[#This Row],[Fecha]]&amp;"Total site",ConversionRateByReferral[day]&amp;ConversionRateByReferral[referrer_source],ConversionRateByReferral[conversion_rate],0)</f>
        <v>0</v>
      </c>
      <c r="H265" s="11">
        <f>TableDailySummary[[#This Row],[Órden promedio totales]]*TableDailySummary[[#This Row],[CR totales]]</f>
        <v>0</v>
      </c>
      <c r="I265" s="11">
        <f>_xlfn.XLOOKUP(TableDailySummary[[#This Row],[Fecha]],SummaryDaily[day],SummaryDaily[new_net_sales],0)</f>
        <v>0</v>
      </c>
      <c r="J265" s="11">
        <f>_xlfn.XLOOKUP(TableDailySummary[[#This Row],[Fecha]],SummaryDaily[day],SummaryDaily[new_orders],0)</f>
        <v>0</v>
      </c>
      <c r="K265" s="11">
        <f>_xlfn.XLOOKUP(TableDailySummary[[#This Row],[Fecha]],SummaryDaily[day],SummaryDaily[new_average_order_value],0)</f>
        <v>0</v>
      </c>
      <c r="L265" s="11">
        <f>_xlfn.XLOOKUP(TableDailySummary[[#This Row],[Fecha]],SummaryDaily[day],SummaryDaily[Online Store_net_sales],0)</f>
        <v>0</v>
      </c>
      <c r="M265" s="11">
        <f>_xlfn.XLOOKUP(TableDailySummary[[#This Row],[Fecha]],SummaryDaily[day],SummaryDaily[Online Store_orders],0)</f>
        <v>0</v>
      </c>
      <c r="N265" s="11">
        <f>_xlfn.XLOOKUP(TableDailySummary[[#This Row],[Fecha]],SummaryDaily[day],SummaryDaily[Online Store_average_order_value],0)</f>
        <v>0</v>
      </c>
      <c r="O265" s="11">
        <f>_xlfn.XLOOKUP(TableDailySummary[[#This Row],[Fecha]],SummaryDaily[day],SummaryDaily[Tienda 81_net_sales],0)</f>
        <v>0</v>
      </c>
      <c r="P265" s="11">
        <f>_xlfn.XLOOKUP(TableDailySummary[[#This Row],[Fecha]],SummaryDaily[day],SummaryDaily[Tienda 81_orders],0)</f>
        <v>0</v>
      </c>
      <c r="Q265" s="11">
        <f>_xlfn.XLOOKUP(TableDailySummary[[#This Row],[Fecha]],SummaryDaily[day],SummaryDaily[Tienda 81_average_order_value],0)</f>
        <v>0</v>
      </c>
      <c r="R265" s="11">
        <f>_xlfn.XLOOKUP(TableDailySummary[[#This Row],[Fecha]],SummaryDaily[day],SummaryDaily[Rappi_net_sales],0)</f>
        <v>0</v>
      </c>
      <c r="S265" s="11">
        <f>_xlfn.XLOOKUP(TableDailySummary[[#This Row],[Fecha]],SummaryDaily[day],SummaryDaily[Rappi_orders],0)</f>
        <v>0</v>
      </c>
      <c r="T265" s="11">
        <f>_xlfn.XLOOKUP(TableDailySummary[[#This Row],[Fecha]],SummaryDaily[day],SummaryDaily[Rappi_average_order_value],0)</f>
        <v>0</v>
      </c>
      <c r="U265" s="11">
        <f>_xlfn.XLOOKUP(TableDailySummary[[#This Row],[Fecha]],SummaryDaily[day],SummaryDaily[Corporativo no tienda_net_sales],0)</f>
        <v>0</v>
      </c>
      <c r="V265" s="11">
        <f>_xlfn.XLOOKUP(TableDailySummary[[#This Row],[Fecha]],SummaryDaily[day],SummaryDaily[Corporativo no tienda_orders],0)</f>
        <v>0</v>
      </c>
      <c r="W265" s="11">
        <f>_xlfn.XLOOKUP(TableDailySummary[[#This Row],[Fecha]],SummaryDaily[day],SummaryDaily[Corporativo no tienda_average_order_value],0)</f>
        <v>0</v>
      </c>
      <c r="X265" s="11">
        <f>_xlfn.XLOOKUP(TableDailySummary[[#This Row],[Fecha]],SummaryDaily[day],SummaryDaily[GoogleAdsOperation.Cost],0)</f>
        <v>0</v>
      </c>
      <c r="Y265" s="11">
        <f>SUMIFS(SalesByUTMDaily[google],SalesByUTMDaily[day],TableDailySummary[[#This Row],[Fecha]])</f>
        <v>0</v>
      </c>
      <c r="Z265" s="11">
        <f>_xlfn.XLOOKUP(TableDailySummary[[#This Row],[Fecha]],SummaryDaily[day],SummaryDaily[MetaAdsOperation.spend],0)</f>
        <v>0</v>
      </c>
      <c r="AA265" s="11">
        <f>SUMIFS(SalesByUTMDaily[facebook],SalesByUTMDaily[day],TableDailySummary[[#This Row],[Fecha]])</f>
        <v>0</v>
      </c>
      <c r="AB265" s="11">
        <f>TableDailySummary[[#This Row],[Inversión google ads]]+TableDailySummary[[#This Row],[Inversión meta ads]]</f>
        <v>0</v>
      </c>
      <c r="AC265" s="11">
        <f>TableDailySummary[[#This Row],[Ventas google ads]]+TableDailySummary[[#This Row],[Ventas meta ads]]</f>
        <v>0</v>
      </c>
      <c r="AD265" s="14">
        <f>IFERROR(TableDailySummary[[#This Row],[Ventas publicidad]]/TableDailySummary[[#This Row],[Inversión publicidad]],0)</f>
        <v>0</v>
      </c>
      <c r="AE265" s="14">
        <f>IFERROR(TableDailySummary[[#This Row],[Ventas primer cliente]]/TableDailySummary[[#This Row],[Inversión publicidad]],0)</f>
        <v>0</v>
      </c>
      <c r="AF265" s="14"/>
      <c r="AG265" s="11"/>
      <c r="AM265" s="11">
        <f>_xlfn.XLOOKUP(TableDailySummary[[#This Row],[Fecha]],SummaryDaily[day],SummaryDaily[net_sales_with_cost_recorded],0)</f>
        <v>0</v>
      </c>
      <c r="AN265" s="11">
        <f>_xlfn.XLOOKUP(TableDailySummary[[#This Row],[Fecha]],SummaryDaily[day],SummaryDaily[cost_of_goods_sold],0)</f>
        <v>0</v>
      </c>
      <c r="AO265" s="11">
        <f>_xlfn.XLOOKUP(TableDailySummary[[#This Row],[Fecha]],SummaryDaily[day],SummaryDaily[gross_profit],0)</f>
        <v>0</v>
      </c>
      <c r="AP265" s="18">
        <f>IFERROR(TableDailySummary[[#This Row],[Utilidad bruta]]/TableDailySummary[[#This Row],[Ventas netas con costo registrado]],0)</f>
        <v>0</v>
      </c>
    </row>
    <row r="266" spans="2:42" x14ac:dyDescent="0.2">
      <c r="B266" s="15" cm="1">
        <f t="array" ref="B266">ParamFechaInicioReporte + (ROW(TableDailySummary[#This Row]) - ROW(TableDailySummary[[#Headers],[Dia]]) - 1)</f>
        <v>44793</v>
      </c>
      <c r="C266" s="6">
        <f>TableDailySummary[[#This Row],[Dia]]</f>
        <v>44793</v>
      </c>
      <c r="D266" s="11">
        <f>_xlfn.XLOOKUP(TableDailySummary[[#This Row],[Fecha]],SummaryDaily[day],SummaryDaily[net_sales],0)</f>
        <v>0</v>
      </c>
      <c r="E266" s="11">
        <f>_xlfn.XLOOKUP(TableDailySummary[[#This Row],[Fecha]],SummaryDaily[day],SummaryDaily[orders],0)</f>
        <v>0</v>
      </c>
      <c r="F266" s="11">
        <f>_xlfn.XLOOKUP(TableDailySummary[[#This Row],[Fecha]],SummaryDaily[day],SummaryDaily[average_order_value],0)</f>
        <v>0</v>
      </c>
      <c r="G266" s="24" cm="1">
        <f t="array" ref="G266">_xlfn.XLOOKUP(TableDailySummary[[#This Row],[Fecha]]&amp;"Total site",ConversionRateByReferral[day]&amp;ConversionRateByReferral[referrer_source],ConversionRateByReferral[conversion_rate],0)</f>
        <v>0</v>
      </c>
      <c r="H266" s="11">
        <f>TableDailySummary[[#This Row],[Órden promedio totales]]*TableDailySummary[[#This Row],[CR totales]]</f>
        <v>0</v>
      </c>
      <c r="I266" s="11">
        <f>_xlfn.XLOOKUP(TableDailySummary[[#This Row],[Fecha]],SummaryDaily[day],SummaryDaily[new_net_sales],0)</f>
        <v>0</v>
      </c>
      <c r="J266" s="11">
        <f>_xlfn.XLOOKUP(TableDailySummary[[#This Row],[Fecha]],SummaryDaily[day],SummaryDaily[new_orders],0)</f>
        <v>0</v>
      </c>
      <c r="K266" s="11">
        <f>_xlfn.XLOOKUP(TableDailySummary[[#This Row],[Fecha]],SummaryDaily[day],SummaryDaily[new_average_order_value],0)</f>
        <v>0</v>
      </c>
      <c r="L266" s="11">
        <f>_xlfn.XLOOKUP(TableDailySummary[[#This Row],[Fecha]],SummaryDaily[day],SummaryDaily[Online Store_net_sales],0)</f>
        <v>0</v>
      </c>
      <c r="M266" s="11">
        <f>_xlfn.XLOOKUP(TableDailySummary[[#This Row],[Fecha]],SummaryDaily[day],SummaryDaily[Online Store_orders],0)</f>
        <v>0</v>
      </c>
      <c r="N266" s="11">
        <f>_xlfn.XLOOKUP(TableDailySummary[[#This Row],[Fecha]],SummaryDaily[day],SummaryDaily[Online Store_average_order_value],0)</f>
        <v>0</v>
      </c>
      <c r="O266" s="11">
        <f>_xlfn.XLOOKUP(TableDailySummary[[#This Row],[Fecha]],SummaryDaily[day],SummaryDaily[Tienda 81_net_sales],0)</f>
        <v>0</v>
      </c>
      <c r="P266" s="11">
        <f>_xlfn.XLOOKUP(TableDailySummary[[#This Row],[Fecha]],SummaryDaily[day],SummaryDaily[Tienda 81_orders],0)</f>
        <v>0</v>
      </c>
      <c r="Q266" s="11">
        <f>_xlfn.XLOOKUP(TableDailySummary[[#This Row],[Fecha]],SummaryDaily[day],SummaryDaily[Tienda 81_average_order_value],0)</f>
        <v>0</v>
      </c>
      <c r="R266" s="11">
        <f>_xlfn.XLOOKUP(TableDailySummary[[#This Row],[Fecha]],SummaryDaily[day],SummaryDaily[Rappi_net_sales],0)</f>
        <v>0</v>
      </c>
      <c r="S266" s="11">
        <f>_xlfn.XLOOKUP(TableDailySummary[[#This Row],[Fecha]],SummaryDaily[day],SummaryDaily[Rappi_orders],0)</f>
        <v>0</v>
      </c>
      <c r="T266" s="11">
        <f>_xlfn.XLOOKUP(TableDailySummary[[#This Row],[Fecha]],SummaryDaily[day],SummaryDaily[Rappi_average_order_value],0)</f>
        <v>0</v>
      </c>
      <c r="U266" s="11">
        <f>_xlfn.XLOOKUP(TableDailySummary[[#This Row],[Fecha]],SummaryDaily[day],SummaryDaily[Corporativo no tienda_net_sales],0)</f>
        <v>0</v>
      </c>
      <c r="V266" s="11">
        <f>_xlfn.XLOOKUP(TableDailySummary[[#This Row],[Fecha]],SummaryDaily[day],SummaryDaily[Corporativo no tienda_orders],0)</f>
        <v>0</v>
      </c>
      <c r="W266" s="11">
        <f>_xlfn.XLOOKUP(TableDailySummary[[#This Row],[Fecha]],SummaryDaily[day],SummaryDaily[Corporativo no tienda_average_order_value],0)</f>
        <v>0</v>
      </c>
      <c r="X266" s="11">
        <f>_xlfn.XLOOKUP(TableDailySummary[[#This Row],[Fecha]],SummaryDaily[day],SummaryDaily[GoogleAdsOperation.Cost],0)</f>
        <v>0</v>
      </c>
      <c r="Y266" s="11">
        <f>SUMIFS(SalesByUTMDaily[google],SalesByUTMDaily[day],TableDailySummary[[#This Row],[Fecha]])</f>
        <v>0</v>
      </c>
      <c r="Z266" s="11">
        <f>_xlfn.XLOOKUP(TableDailySummary[[#This Row],[Fecha]],SummaryDaily[day],SummaryDaily[MetaAdsOperation.spend],0)</f>
        <v>0</v>
      </c>
      <c r="AA266" s="11">
        <f>SUMIFS(SalesByUTMDaily[facebook],SalesByUTMDaily[day],TableDailySummary[[#This Row],[Fecha]])</f>
        <v>0</v>
      </c>
      <c r="AB266" s="11">
        <f>TableDailySummary[[#This Row],[Inversión google ads]]+TableDailySummary[[#This Row],[Inversión meta ads]]</f>
        <v>0</v>
      </c>
      <c r="AC266" s="11">
        <f>TableDailySummary[[#This Row],[Ventas google ads]]+TableDailySummary[[#This Row],[Ventas meta ads]]</f>
        <v>0</v>
      </c>
      <c r="AD266" s="14">
        <f>IFERROR(TableDailySummary[[#This Row],[Ventas publicidad]]/TableDailySummary[[#This Row],[Inversión publicidad]],0)</f>
        <v>0</v>
      </c>
      <c r="AE266" s="14">
        <f>IFERROR(TableDailySummary[[#This Row],[Ventas primer cliente]]/TableDailySummary[[#This Row],[Inversión publicidad]],0)</f>
        <v>0</v>
      </c>
      <c r="AF266" s="14"/>
      <c r="AG266" s="11"/>
      <c r="AM266" s="11">
        <f>_xlfn.XLOOKUP(TableDailySummary[[#This Row],[Fecha]],SummaryDaily[day],SummaryDaily[net_sales_with_cost_recorded],0)</f>
        <v>0</v>
      </c>
      <c r="AN266" s="11">
        <f>_xlfn.XLOOKUP(TableDailySummary[[#This Row],[Fecha]],SummaryDaily[day],SummaryDaily[cost_of_goods_sold],0)</f>
        <v>0</v>
      </c>
      <c r="AO266" s="11">
        <f>_xlfn.XLOOKUP(TableDailySummary[[#This Row],[Fecha]],SummaryDaily[day],SummaryDaily[gross_profit],0)</f>
        <v>0</v>
      </c>
      <c r="AP266" s="18">
        <f>IFERROR(TableDailySummary[[#This Row],[Utilidad bruta]]/TableDailySummary[[#This Row],[Ventas netas con costo registrado]],0)</f>
        <v>0</v>
      </c>
    </row>
    <row r="267" spans="2:42" x14ac:dyDescent="0.2">
      <c r="B267" s="15" cm="1">
        <f t="array" ref="B267">ParamFechaInicioReporte + (ROW(TableDailySummary[#This Row]) - ROW(TableDailySummary[[#Headers],[Dia]]) - 1)</f>
        <v>44794</v>
      </c>
      <c r="C267" s="6">
        <f>TableDailySummary[[#This Row],[Dia]]</f>
        <v>44794</v>
      </c>
      <c r="D267" s="11">
        <f>_xlfn.XLOOKUP(TableDailySummary[[#This Row],[Fecha]],SummaryDaily[day],SummaryDaily[net_sales],0)</f>
        <v>0</v>
      </c>
      <c r="E267" s="11">
        <f>_xlfn.XLOOKUP(TableDailySummary[[#This Row],[Fecha]],SummaryDaily[day],SummaryDaily[orders],0)</f>
        <v>0</v>
      </c>
      <c r="F267" s="11">
        <f>_xlfn.XLOOKUP(TableDailySummary[[#This Row],[Fecha]],SummaryDaily[day],SummaryDaily[average_order_value],0)</f>
        <v>0</v>
      </c>
      <c r="G267" s="24" cm="1">
        <f t="array" ref="G267">_xlfn.XLOOKUP(TableDailySummary[[#This Row],[Fecha]]&amp;"Total site",ConversionRateByReferral[day]&amp;ConversionRateByReferral[referrer_source],ConversionRateByReferral[conversion_rate],0)</f>
        <v>0</v>
      </c>
      <c r="H267" s="11">
        <f>TableDailySummary[[#This Row],[Órden promedio totales]]*TableDailySummary[[#This Row],[CR totales]]</f>
        <v>0</v>
      </c>
      <c r="I267" s="11">
        <f>_xlfn.XLOOKUP(TableDailySummary[[#This Row],[Fecha]],SummaryDaily[day],SummaryDaily[new_net_sales],0)</f>
        <v>0</v>
      </c>
      <c r="J267" s="11">
        <f>_xlfn.XLOOKUP(TableDailySummary[[#This Row],[Fecha]],SummaryDaily[day],SummaryDaily[new_orders],0)</f>
        <v>0</v>
      </c>
      <c r="K267" s="11">
        <f>_xlfn.XLOOKUP(TableDailySummary[[#This Row],[Fecha]],SummaryDaily[day],SummaryDaily[new_average_order_value],0)</f>
        <v>0</v>
      </c>
      <c r="L267" s="11">
        <f>_xlfn.XLOOKUP(TableDailySummary[[#This Row],[Fecha]],SummaryDaily[day],SummaryDaily[Online Store_net_sales],0)</f>
        <v>0</v>
      </c>
      <c r="M267" s="11">
        <f>_xlfn.XLOOKUP(TableDailySummary[[#This Row],[Fecha]],SummaryDaily[day],SummaryDaily[Online Store_orders],0)</f>
        <v>0</v>
      </c>
      <c r="N267" s="11">
        <f>_xlfn.XLOOKUP(TableDailySummary[[#This Row],[Fecha]],SummaryDaily[day],SummaryDaily[Online Store_average_order_value],0)</f>
        <v>0</v>
      </c>
      <c r="O267" s="11">
        <f>_xlfn.XLOOKUP(TableDailySummary[[#This Row],[Fecha]],SummaryDaily[day],SummaryDaily[Tienda 81_net_sales],0)</f>
        <v>0</v>
      </c>
      <c r="P267" s="11">
        <f>_xlfn.XLOOKUP(TableDailySummary[[#This Row],[Fecha]],SummaryDaily[day],SummaryDaily[Tienda 81_orders],0)</f>
        <v>0</v>
      </c>
      <c r="Q267" s="11">
        <f>_xlfn.XLOOKUP(TableDailySummary[[#This Row],[Fecha]],SummaryDaily[day],SummaryDaily[Tienda 81_average_order_value],0)</f>
        <v>0</v>
      </c>
      <c r="R267" s="11">
        <f>_xlfn.XLOOKUP(TableDailySummary[[#This Row],[Fecha]],SummaryDaily[day],SummaryDaily[Rappi_net_sales],0)</f>
        <v>0</v>
      </c>
      <c r="S267" s="11">
        <f>_xlfn.XLOOKUP(TableDailySummary[[#This Row],[Fecha]],SummaryDaily[day],SummaryDaily[Rappi_orders],0)</f>
        <v>0</v>
      </c>
      <c r="T267" s="11">
        <f>_xlfn.XLOOKUP(TableDailySummary[[#This Row],[Fecha]],SummaryDaily[day],SummaryDaily[Rappi_average_order_value],0)</f>
        <v>0</v>
      </c>
      <c r="U267" s="11">
        <f>_xlfn.XLOOKUP(TableDailySummary[[#This Row],[Fecha]],SummaryDaily[day],SummaryDaily[Corporativo no tienda_net_sales],0)</f>
        <v>0</v>
      </c>
      <c r="V267" s="11">
        <f>_xlfn.XLOOKUP(TableDailySummary[[#This Row],[Fecha]],SummaryDaily[day],SummaryDaily[Corporativo no tienda_orders],0)</f>
        <v>0</v>
      </c>
      <c r="W267" s="11">
        <f>_xlfn.XLOOKUP(TableDailySummary[[#This Row],[Fecha]],SummaryDaily[day],SummaryDaily[Corporativo no tienda_average_order_value],0)</f>
        <v>0</v>
      </c>
      <c r="X267" s="11">
        <f>_xlfn.XLOOKUP(TableDailySummary[[#This Row],[Fecha]],SummaryDaily[day],SummaryDaily[GoogleAdsOperation.Cost],0)</f>
        <v>0</v>
      </c>
      <c r="Y267" s="11">
        <f>SUMIFS(SalesByUTMDaily[google],SalesByUTMDaily[day],TableDailySummary[[#This Row],[Fecha]])</f>
        <v>0</v>
      </c>
      <c r="Z267" s="11">
        <f>_xlfn.XLOOKUP(TableDailySummary[[#This Row],[Fecha]],SummaryDaily[day],SummaryDaily[MetaAdsOperation.spend],0)</f>
        <v>0</v>
      </c>
      <c r="AA267" s="11">
        <f>SUMIFS(SalesByUTMDaily[facebook],SalesByUTMDaily[day],TableDailySummary[[#This Row],[Fecha]])</f>
        <v>0</v>
      </c>
      <c r="AB267" s="11">
        <f>TableDailySummary[[#This Row],[Inversión google ads]]+TableDailySummary[[#This Row],[Inversión meta ads]]</f>
        <v>0</v>
      </c>
      <c r="AC267" s="11">
        <f>TableDailySummary[[#This Row],[Ventas google ads]]+TableDailySummary[[#This Row],[Ventas meta ads]]</f>
        <v>0</v>
      </c>
      <c r="AD267" s="14">
        <f>IFERROR(TableDailySummary[[#This Row],[Ventas publicidad]]/TableDailySummary[[#This Row],[Inversión publicidad]],0)</f>
        <v>0</v>
      </c>
      <c r="AE267" s="14">
        <f>IFERROR(TableDailySummary[[#This Row],[Ventas primer cliente]]/TableDailySummary[[#This Row],[Inversión publicidad]],0)</f>
        <v>0</v>
      </c>
      <c r="AF267" s="14"/>
      <c r="AG267" s="11"/>
      <c r="AM267" s="11">
        <f>_xlfn.XLOOKUP(TableDailySummary[[#This Row],[Fecha]],SummaryDaily[day],SummaryDaily[net_sales_with_cost_recorded],0)</f>
        <v>0</v>
      </c>
      <c r="AN267" s="11">
        <f>_xlfn.XLOOKUP(TableDailySummary[[#This Row],[Fecha]],SummaryDaily[day],SummaryDaily[cost_of_goods_sold],0)</f>
        <v>0</v>
      </c>
      <c r="AO267" s="11">
        <f>_xlfn.XLOOKUP(TableDailySummary[[#This Row],[Fecha]],SummaryDaily[day],SummaryDaily[gross_profit],0)</f>
        <v>0</v>
      </c>
      <c r="AP267" s="18">
        <f>IFERROR(TableDailySummary[[#This Row],[Utilidad bruta]]/TableDailySummary[[#This Row],[Ventas netas con costo registrado]],0)</f>
        <v>0</v>
      </c>
    </row>
    <row r="268" spans="2:42" x14ac:dyDescent="0.2">
      <c r="B268" s="15" cm="1">
        <f t="array" ref="B268">ParamFechaInicioReporte + (ROW(TableDailySummary[#This Row]) - ROW(TableDailySummary[[#Headers],[Dia]]) - 1)</f>
        <v>44795</v>
      </c>
      <c r="C268" s="6">
        <f>TableDailySummary[[#This Row],[Dia]]</f>
        <v>44795</v>
      </c>
      <c r="D268" s="11">
        <f>_xlfn.XLOOKUP(TableDailySummary[[#This Row],[Fecha]],SummaryDaily[day],SummaryDaily[net_sales],0)</f>
        <v>0</v>
      </c>
      <c r="E268" s="11">
        <f>_xlfn.XLOOKUP(TableDailySummary[[#This Row],[Fecha]],SummaryDaily[day],SummaryDaily[orders],0)</f>
        <v>0</v>
      </c>
      <c r="F268" s="11">
        <f>_xlfn.XLOOKUP(TableDailySummary[[#This Row],[Fecha]],SummaryDaily[day],SummaryDaily[average_order_value],0)</f>
        <v>0</v>
      </c>
      <c r="G268" s="24" cm="1">
        <f t="array" ref="G268">_xlfn.XLOOKUP(TableDailySummary[[#This Row],[Fecha]]&amp;"Total site",ConversionRateByReferral[day]&amp;ConversionRateByReferral[referrer_source],ConversionRateByReferral[conversion_rate],0)</f>
        <v>0</v>
      </c>
      <c r="H268" s="11">
        <f>TableDailySummary[[#This Row],[Órden promedio totales]]*TableDailySummary[[#This Row],[CR totales]]</f>
        <v>0</v>
      </c>
      <c r="I268" s="11">
        <f>_xlfn.XLOOKUP(TableDailySummary[[#This Row],[Fecha]],SummaryDaily[day],SummaryDaily[new_net_sales],0)</f>
        <v>0</v>
      </c>
      <c r="J268" s="11">
        <f>_xlfn.XLOOKUP(TableDailySummary[[#This Row],[Fecha]],SummaryDaily[day],SummaryDaily[new_orders],0)</f>
        <v>0</v>
      </c>
      <c r="K268" s="11">
        <f>_xlfn.XLOOKUP(TableDailySummary[[#This Row],[Fecha]],SummaryDaily[day],SummaryDaily[new_average_order_value],0)</f>
        <v>0</v>
      </c>
      <c r="L268" s="11">
        <f>_xlfn.XLOOKUP(TableDailySummary[[#This Row],[Fecha]],SummaryDaily[day],SummaryDaily[Online Store_net_sales],0)</f>
        <v>0</v>
      </c>
      <c r="M268" s="11">
        <f>_xlfn.XLOOKUP(TableDailySummary[[#This Row],[Fecha]],SummaryDaily[day],SummaryDaily[Online Store_orders],0)</f>
        <v>0</v>
      </c>
      <c r="N268" s="11">
        <f>_xlfn.XLOOKUP(TableDailySummary[[#This Row],[Fecha]],SummaryDaily[day],SummaryDaily[Online Store_average_order_value],0)</f>
        <v>0</v>
      </c>
      <c r="O268" s="11">
        <f>_xlfn.XLOOKUP(TableDailySummary[[#This Row],[Fecha]],SummaryDaily[day],SummaryDaily[Tienda 81_net_sales],0)</f>
        <v>0</v>
      </c>
      <c r="P268" s="11">
        <f>_xlfn.XLOOKUP(TableDailySummary[[#This Row],[Fecha]],SummaryDaily[day],SummaryDaily[Tienda 81_orders],0)</f>
        <v>0</v>
      </c>
      <c r="Q268" s="11">
        <f>_xlfn.XLOOKUP(TableDailySummary[[#This Row],[Fecha]],SummaryDaily[day],SummaryDaily[Tienda 81_average_order_value],0)</f>
        <v>0</v>
      </c>
      <c r="R268" s="11">
        <f>_xlfn.XLOOKUP(TableDailySummary[[#This Row],[Fecha]],SummaryDaily[day],SummaryDaily[Rappi_net_sales],0)</f>
        <v>0</v>
      </c>
      <c r="S268" s="11">
        <f>_xlfn.XLOOKUP(TableDailySummary[[#This Row],[Fecha]],SummaryDaily[day],SummaryDaily[Rappi_orders],0)</f>
        <v>0</v>
      </c>
      <c r="T268" s="11">
        <f>_xlfn.XLOOKUP(TableDailySummary[[#This Row],[Fecha]],SummaryDaily[day],SummaryDaily[Rappi_average_order_value],0)</f>
        <v>0</v>
      </c>
      <c r="U268" s="11">
        <f>_xlfn.XLOOKUP(TableDailySummary[[#This Row],[Fecha]],SummaryDaily[day],SummaryDaily[Corporativo no tienda_net_sales],0)</f>
        <v>0</v>
      </c>
      <c r="V268" s="11">
        <f>_xlfn.XLOOKUP(TableDailySummary[[#This Row],[Fecha]],SummaryDaily[day],SummaryDaily[Corporativo no tienda_orders],0)</f>
        <v>0</v>
      </c>
      <c r="W268" s="11">
        <f>_xlfn.XLOOKUP(TableDailySummary[[#This Row],[Fecha]],SummaryDaily[day],SummaryDaily[Corporativo no tienda_average_order_value],0)</f>
        <v>0</v>
      </c>
      <c r="X268" s="11">
        <f>_xlfn.XLOOKUP(TableDailySummary[[#This Row],[Fecha]],SummaryDaily[day],SummaryDaily[GoogleAdsOperation.Cost],0)</f>
        <v>0</v>
      </c>
      <c r="Y268" s="11">
        <f>SUMIFS(SalesByUTMDaily[google],SalesByUTMDaily[day],TableDailySummary[[#This Row],[Fecha]])</f>
        <v>0</v>
      </c>
      <c r="Z268" s="11">
        <f>_xlfn.XLOOKUP(TableDailySummary[[#This Row],[Fecha]],SummaryDaily[day],SummaryDaily[MetaAdsOperation.spend],0)</f>
        <v>0</v>
      </c>
      <c r="AA268" s="11">
        <f>SUMIFS(SalesByUTMDaily[facebook],SalesByUTMDaily[day],TableDailySummary[[#This Row],[Fecha]])</f>
        <v>0</v>
      </c>
      <c r="AB268" s="11">
        <f>TableDailySummary[[#This Row],[Inversión google ads]]+TableDailySummary[[#This Row],[Inversión meta ads]]</f>
        <v>0</v>
      </c>
      <c r="AC268" s="11">
        <f>TableDailySummary[[#This Row],[Ventas google ads]]+TableDailySummary[[#This Row],[Ventas meta ads]]</f>
        <v>0</v>
      </c>
      <c r="AD268" s="14">
        <f>IFERROR(TableDailySummary[[#This Row],[Ventas publicidad]]/TableDailySummary[[#This Row],[Inversión publicidad]],0)</f>
        <v>0</v>
      </c>
      <c r="AE268" s="14">
        <f>IFERROR(TableDailySummary[[#This Row],[Ventas primer cliente]]/TableDailySummary[[#This Row],[Inversión publicidad]],0)</f>
        <v>0</v>
      </c>
      <c r="AF268" s="14"/>
      <c r="AG268" s="11"/>
      <c r="AM268" s="11">
        <f>_xlfn.XLOOKUP(TableDailySummary[[#This Row],[Fecha]],SummaryDaily[day],SummaryDaily[net_sales_with_cost_recorded],0)</f>
        <v>0</v>
      </c>
      <c r="AN268" s="11">
        <f>_xlfn.XLOOKUP(TableDailySummary[[#This Row],[Fecha]],SummaryDaily[day],SummaryDaily[cost_of_goods_sold],0)</f>
        <v>0</v>
      </c>
      <c r="AO268" s="11">
        <f>_xlfn.XLOOKUP(TableDailySummary[[#This Row],[Fecha]],SummaryDaily[day],SummaryDaily[gross_profit],0)</f>
        <v>0</v>
      </c>
      <c r="AP268" s="18">
        <f>IFERROR(TableDailySummary[[#This Row],[Utilidad bruta]]/TableDailySummary[[#This Row],[Ventas netas con costo registrado]],0)</f>
        <v>0</v>
      </c>
    </row>
    <row r="269" spans="2:42" x14ac:dyDescent="0.2">
      <c r="B269" s="15" cm="1">
        <f t="array" ref="B269">ParamFechaInicioReporte + (ROW(TableDailySummary[#This Row]) - ROW(TableDailySummary[[#Headers],[Dia]]) - 1)</f>
        <v>44796</v>
      </c>
      <c r="C269" s="6">
        <f>TableDailySummary[[#This Row],[Dia]]</f>
        <v>44796</v>
      </c>
      <c r="D269" s="11">
        <f>_xlfn.XLOOKUP(TableDailySummary[[#This Row],[Fecha]],SummaryDaily[day],SummaryDaily[net_sales],0)</f>
        <v>0</v>
      </c>
      <c r="E269" s="11">
        <f>_xlfn.XLOOKUP(TableDailySummary[[#This Row],[Fecha]],SummaryDaily[day],SummaryDaily[orders],0)</f>
        <v>0</v>
      </c>
      <c r="F269" s="11">
        <f>_xlfn.XLOOKUP(TableDailySummary[[#This Row],[Fecha]],SummaryDaily[day],SummaryDaily[average_order_value],0)</f>
        <v>0</v>
      </c>
      <c r="G269" s="24" cm="1">
        <f t="array" ref="G269">_xlfn.XLOOKUP(TableDailySummary[[#This Row],[Fecha]]&amp;"Total site",ConversionRateByReferral[day]&amp;ConversionRateByReferral[referrer_source],ConversionRateByReferral[conversion_rate],0)</f>
        <v>0</v>
      </c>
      <c r="H269" s="11">
        <f>TableDailySummary[[#This Row],[Órden promedio totales]]*TableDailySummary[[#This Row],[CR totales]]</f>
        <v>0</v>
      </c>
      <c r="I269" s="11">
        <f>_xlfn.XLOOKUP(TableDailySummary[[#This Row],[Fecha]],SummaryDaily[day],SummaryDaily[new_net_sales],0)</f>
        <v>0</v>
      </c>
      <c r="J269" s="11">
        <f>_xlfn.XLOOKUP(TableDailySummary[[#This Row],[Fecha]],SummaryDaily[day],SummaryDaily[new_orders],0)</f>
        <v>0</v>
      </c>
      <c r="K269" s="11">
        <f>_xlfn.XLOOKUP(TableDailySummary[[#This Row],[Fecha]],SummaryDaily[day],SummaryDaily[new_average_order_value],0)</f>
        <v>0</v>
      </c>
      <c r="L269" s="11">
        <f>_xlfn.XLOOKUP(TableDailySummary[[#This Row],[Fecha]],SummaryDaily[day],SummaryDaily[Online Store_net_sales],0)</f>
        <v>0</v>
      </c>
      <c r="M269" s="11">
        <f>_xlfn.XLOOKUP(TableDailySummary[[#This Row],[Fecha]],SummaryDaily[day],SummaryDaily[Online Store_orders],0)</f>
        <v>0</v>
      </c>
      <c r="N269" s="11">
        <f>_xlfn.XLOOKUP(TableDailySummary[[#This Row],[Fecha]],SummaryDaily[day],SummaryDaily[Online Store_average_order_value],0)</f>
        <v>0</v>
      </c>
      <c r="O269" s="11">
        <f>_xlfn.XLOOKUP(TableDailySummary[[#This Row],[Fecha]],SummaryDaily[day],SummaryDaily[Tienda 81_net_sales],0)</f>
        <v>0</v>
      </c>
      <c r="P269" s="11">
        <f>_xlfn.XLOOKUP(TableDailySummary[[#This Row],[Fecha]],SummaryDaily[day],SummaryDaily[Tienda 81_orders],0)</f>
        <v>0</v>
      </c>
      <c r="Q269" s="11">
        <f>_xlfn.XLOOKUP(TableDailySummary[[#This Row],[Fecha]],SummaryDaily[day],SummaryDaily[Tienda 81_average_order_value],0)</f>
        <v>0</v>
      </c>
      <c r="R269" s="11">
        <f>_xlfn.XLOOKUP(TableDailySummary[[#This Row],[Fecha]],SummaryDaily[day],SummaryDaily[Rappi_net_sales],0)</f>
        <v>0</v>
      </c>
      <c r="S269" s="11">
        <f>_xlfn.XLOOKUP(TableDailySummary[[#This Row],[Fecha]],SummaryDaily[day],SummaryDaily[Rappi_orders],0)</f>
        <v>0</v>
      </c>
      <c r="T269" s="11">
        <f>_xlfn.XLOOKUP(TableDailySummary[[#This Row],[Fecha]],SummaryDaily[day],SummaryDaily[Rappi_average_order_value],0)</f>
        <v>0</v>
      </c>
      <c r="U269" s="11">
        <f>_xlfn.XLOOKUP(TableDailySummary[[#This Row],[Fecha]],SummaryDaily[day],SummaryDaily[Corporativo no tienda_net_sales],0)</f>
        <v>0</v>
      </c>
      <c r="V269" s="11">
        <f>_xlfn.XLOOKUP(TableDailySummary[[#This Row],[Fecha]],SummaryDaily[day],SummaryDaily[Corporativo no tienda_orders],0)</f>
        <v>0</v>
      </c>
      <c r="W269" s="11">
        <f>_xlfn.XLOOKUP(TableDailySummary[[#This Row],[Fecha]],SummaryDaily[day],SummaryDaily[Corporativo no tienda_average_order_value],0)</f>
        <v>0</v>
      </c>
      <c r="X269" s="11">
        <f>_xlfn.XLOOKUP(TableDailySummary[[#This Row],[Fecha]],SummaryDaily[day],SummaryDaily[GoogleAdsOperation.Cost],0)</f>
        <v>0</v>
      </c>
      <c r="Y269" s="11">
        <f>SUMIFS(SalesByUTMDaily[google],SalesByUTMDaily[day],TableDailySummary[[#This Row],[Fecha]])</f>
        <v>0</v>
      </c>
      <c r="Z269" s="11">
        <f>_xlfn.XLOOKUP(TableDailySummary[[#This Row],[Fecha]],SummaryDaily[day],SummaryDaily[MetaAdsOperation.spend],0)</f>
        <v>0</v>
      </c>
      <c r="AA269" s="11">
        <f>SUMIFS(SalesByUTMDaily[facebook],SalesByUTMDaily[day],TableDailySummary[[#This Row],[Fecha]])</f>
        <v>0</v>
      </c>
      <c r="AB269" s="11">
        <f>TableDailySummary[[#This Row],[Inversión google ads]]+TableDailySummary[[#This Row],[Inversión meta ads]]</f>
        <v>0</v>
      </c>
      <c r="AC269" s="11">
        <f>TableDailySummary[[#This Row],[Ventas google ads]]+TableDailySummary[[#This Row],[Ventas meta ads]]</f>
        <v>0</v>
      </c>
      <c r="AD269" s="14">
        <f>IFERROR(TableDailySummary[[#This Row],[Ventas publicidad]]/TableDailySummary[[#This Row],[Inversión publicidad]],0)</f>
        <v>0</v>
      </c>
      <c r="AE269" s="14">
        <f>IFERROR(TableDailySummary[[#This Row],[Ventas primer cliente]]/TableDailySummary[[#This Row],[Inversión publicidad]],0)</f>
        <v>0</v>
      </c>
      <c r="AF269" s="14"/>
      <c r="AG269" s="11"/>
      <c r="AM269" s="11">
        <f>_xlfn.XLOOKUP(TableDailySummary[[#This Row],[Fecha]],SummaryDaily[day],SummaryDaily[net_sales_with_cost_recorded],0)</f>
        <v>0</v>
      </c>
      <c r="AN269" s="11">
        <f>_xlfn.XLOOKUP(TableDailySummary[[#This Row],[Fecha]],SummaryDaily[day],SummaryDaily[cost_of_goods_sold],0)</f>
        <v>0</v>
      </c>
      <c r="AO269" s="11">
        <f>_xlfn.XLOOKUP(TableDailySummary[[#This Row],[Fecha]],SummaryDaily[day],SummaryDaily[gross_profit],0)</f>
        <v>0</v>
      </c>
      <c r="AP269" s="18">
        <f>IFERROR(TableDailySummary[[#This Row],[Utilidad bruta]]/TableDailySummary[[#This Row],[Ventas netas con costo registrado]],0)</f>
        <v>0</v>
      </c>
    </row>
    <row r="270" spans="2:42" x14ac:dyDescent="0.2">
      <c r="B270" s="15" cm="1">
        <f t="array" ref="B270">ParamFechaInicioReporte + (ROW(TableDailySummary[#This Row]) - ROW(TableDailySummary[[#Headers],[Dia]]) - 1)</f>
        <v>44797</v>
      </c>
      <c r="C270" s="6">
        <f>TableDailySummary[[#This Row],[Dia]]</f>
        <v>44797</v>
      </c>
      <c r="D270" s="11">
        <f>_xlfn.XLOOKUP(TableDailySummary[[#This Row],[Fecha]],SummaryDaily[day],SummaryDaily[net_sales],0)</f>
        <v>0</v>
      </c>
      <c r="E270" s="11">
        <f>_xlfn.XLOOKUP(TableDailySummary[[#This Row],[Fecha]],SummaryDaily[day],SummaryDaily[orders],0)</f>
        <v>0</v>
      </c>
      <c r="F270" s="11">
        <f>_xlfn.XLOOKUP(TableDailySummary[[#This Row],[Fecha]],SummaryDaily[day],SummaryDaily[average_order_value],0)</f>
        <v>0</v>
      </c>
      <c r="G270" s="24" cm="1">
        <f t="array" ref="G270">_xlfn.XLOOKUP(TableDailySummary[[#This Row],[Fecha]]&amp;"Total site",ConversionRateByReferral[day]&amp;ConversionRateByReferral[referrer_source],ConversionRateByReferral[conversion_rate],0)</f>
        <v>0</v>
      </c>
      <c r="H270" s="11">
        <f>TableDailySummary[[#This Row],[Órden promedio totales]]*TableDailySummary[[#This Row],[CR totales]]</f>
        <v>0</v>
      </c>
      <c r="I270" s="11">
        <f>_xlfn.XLOOKUP(TableDailySummary[[#This Row],[Fecha]],SummaryDaily[day],SummaryDaily[new_net_sales],0)</f>
        <v>0</v>
      </c>
      <c r="J270" s="11">
        <f>_xlfn.XLOOKUP(TableDailySummary[[#This Row],[Fecha]],SummaryDaily[day],SummaryDaily[new_orders],0)</f>
        <v>0</v>
      </c>
      <c r="K270" s="11">
        <f>_xlfn.XLOOKUP(TableDailySummary[[#This Row],[Fecha]],SummaryDaily[day],SummaryDaily[new_average_order_value],0)</f>
        <v>0</v>
      </c>
      <c r="L270" s="11">
        <f>_xlfn.XLOOKUP(TableDailySummary[[#This Row],[Fecha]],SummaryDaily[day],SummaryDaily[Online Store_net_sales],0)</f>
        <v>0</v>
      </c>
      <c r="M270" s="11">
        <f>_xlfn.XLOOKUP(TableDailySummary[[#This Row],[Fecha]],SummaryDaily[day],SummaryDaily[Online Store_orders],0)</f>
        <v>0</v>
      </c>
      <c r="N270" s="11">
        <f>_xlfn.XLOOKUP(TableDailySummary[[#This Row],[Fecha]],SummaryDaily[day],SummaryDaily[Online Store_average_order_value],0)</f>
        <v>0</v>
      </c>
      <c r="O270" s="11">
        <f>_xlfn.XLOOKUP(TableDailySummary[[#This Row],[Fecha]],SummaryDaily[day],SummaryDaily[Tienda 81_net_sales],0)</f>
        <v>0</v>
      </c>
      <c r="P270" s="11">
        <f>_xlfn.XLOOKUP(TableDailySummary[[#This Row],[Fecha]],SummaryDaily[day],SummaryDaily[Tienda 81_orders],0)</f>
        <v>0</v>
      </c>
      <c r="Q270" s="11">
        <f>_xlfn.XLOOKUP(TableDailySummary[[#This Row],[Fecha]],SummaryDaily[day],SummaryDaily[Tienda 81_average_order_value],0)</f>
        <v>0</v>
      </c>
      <c r="R270" s="11">
        <f>_xlfn.XLOOKUP(TableDailySummary[[#This Row],[Fecha]],SummaryDaily[day],SummaryDaily[Rappi_net_sales],0)</f>
        <v>0</v>
      </c>
      <c r="S270" s="11">
        <f>_xlfn.XLOOKUP(TableDailySummary[[#This Row],[Fecha]],SummaryDaily[day],SummaryDaily[Rappi_orders],0)</f>
        <v>0</v>
      </c>
      <c r="T270" s="11">
        <f>_xlfn.XLOOKUP(TableDailySummary[[#This Row],[Fecha]],SummaryDaily[day],SummaryDaily[Rappi_average_order_value],0)</f>
        <v>0</v>
      </c>
      <c r="U270" s="11">
        <f>_xlfn.XLOOKUP(TableDailySummary[[#This Row],[Fecha]],SummaryDaily[day],SummaryDaily[Corporativo no tienda_net_sales],0)</f>
        <v>0</v>
      </c>
      <c r="V270" s="11">
        <f>_xlfn.XLOOKUP(TableDailySummary[[#This Row],[Fecha]],SummaryDaily[day],SummaryDaily[Corporativo no tienda_orders],0)</f>
        <v>0</v>
      </c>
      <c r="W270" s="11">
        <f>_xlfn.XLOOKUP(TableDailySummary[[#This Row],[Fecha]],SummaryDaily[day],SummaryDaily[Corporativo no tienda_average_order_value],0)</f>
        <v>0</v>
      </c>
      <c r="X270" s="11">
        <f>_xlfn.XLOOKUP(TableDailySummary[[#This Row],[Fecha]],SummaryDaily[day],SummaryDaily[GoogleAdsOperation.Cost],0)</f>
        <v>0</v>
      </c>
      <c r="Y270" s="11">
        <f>SUMIFS(SalesByUTMDaily[google],SalesByUTMDaily[day],TableDailySummary[[#This Row],[Fecha]])</f>
        <v>0</v>
      </c>
      <c r="Z270" s="11">
        <f>_xlfn.XLOOKUP(TableDailySummary[[#This Row],[Fecha]],SummaryDaily[day],SummaryDaily[MetaAdsOperation.spend],0)</f>
        <v>0</v>
      </c>
      <c r="AA270" s="11">
        <f>SUMIFS(SalesByUTMDaily[facebook],SalesByUTMDaily[day],TableDailySummary[[#This Row],[Fecha]])</f>
        <v>0</v>
      </c>
      <c r="AB270" s="11">
        <f>TableDailySummary[[#This Row],[Inversión google ads]]+TableDailySummary[[#This Row],[Inversión meta ads]]</f>
        <v>0</v>
      </c>
      <c r="AC270" s="11">
        <f>TableDailySummary[[#This Row],[Ventas google ads]]+TableDailySummary[[#This Row],[Ventas meta ads]]</f>
        <v>0</v>
      </c>
      <c r="AD270" s="14">
        <f>IFERROR(TableDailySummary[[#This Row],[Ventas publicidad]]/TableDailySummary[[#This Row],[Inversión publicidad]],0)</f>
        <v>0</v>
      </c>
      <c r="AE270" s="14">
        <f>IFERROR(TableDailySummary[[#This Row],[Ventas primer cliente]]/TableDailySummary[[#This Row],[Inversión publicidad]],0)</f>
        <v>0</v>
      </c>
      <c r="AF270" s="14"/>
      <c r="AG270" s="11"/>
      <c r="AM270" s="11">
        <f>_xlfn.XLOOKUP(TableDailySummary[[#This Row],[Fecha]],SummaryDaily[day],SummaryDaily[net_sales_with_cost_recorded],0)</f>
        <v>0</v>
      </c>
      <c r="AN270" s="11">
        <f>_xlfn.XLOOKUP(TableDailySummary[[#This Row],[Fecha]],SummaryDaily[day],SummaryDaily[cost_of_goods_sold],0)</f>
        <v>0</v>
      </c>
      <c r="AO270" s="11">
        <f>_xlfn.XLOOKUP(TableDailySummary[[#This Row],[Fecha]],SummaryDaily[day],SummaryDaily[gross_profit],0)</f>
        <v>0</v>
      </c>
      <c r="AP270" s="18">
        <f>IFERROR(TableDailySummary[[#This Row],[Utilidad bruta]]/TableDailySummary[[#This Row],[Ventas netas con costo registrado]],0)</f>
        <v>0</v>
      </c>
    </row>
    <row r="271" spans="2:42" x14ac:dyDescent="0.2">
      <c r="B271" s="15" cm="1">
        <f t="array" ref="B271">ParamFechaInicioReporte + (ROW(TableDailySummary[#This Row]) - ROW(TableDailySummary[[#Headers],[Dia]]) - 1)</f>
        <v>44798</v>
      </c>
      <c r="C271" s="6">
        <f>TableDailySummary[[#This Row],[Dia]]</f>
        <v>44798</v>
      </c>
      <c r="D271" s="11">
        <f>_xlfn.XLOOKUP(TableDailySummary[[#This Row],[Fecha]],SummaryDaily[day],SummaryDaily[net_sales],0)</f>
        <v>0</v>
      </c>
      <c r="E271" s="11">
        <f>_xlfn.XLOOKUP(TableDailySummary[[#This Row],[Fecha]],SummaryDaily[day],SummaryDaily[orders],0)</f>
        <v>0</v>
      </c>
      <c r="F271" s="11">
        <f>_xlfn.XLOOKUP(TableDailySummary[[#This Row],[Fecha]],SummaryDaily[day],SummaryDaily[average_order_value],0)</f>
        <v>0</v>
      </c>
      <c r="G271" s="24" cm="1">
        <f t="array" ref="G271">_xlfn.XLOOKUP(TableDailySummary[[#This Row],[Fecha]]&amp;"Total site",ConversionRateByReferral[day]&amp;ConversionRateByReferral[referrer_source],ConversionRateByReferral[conversion_rate],0)</f>
        <v>0</v>
      </c>
      <c r="H271" s="11">
        <f>TableDailySummary[[#This Row],[Órden promedio totales]]*TableDailySummary[[#This Row],[CR totales]]</f>
        <v>0</v>
      </c>
      <c r="I271" s="11">
        <f>_xlfn.XLOOKUP(TableDailySummary[[#This Row],[Fecha]],SummaryDaily[day],SummaryDaily[new_net_sales],0)</f>
        <v>0</v>
      </c>
      <c r="J271" s="11">
        <f>_xlfn.XLOOKUP(TableDailySummary[[#This Row],[Fecha]],SummaryDaily[day],SummaryDaily[new_orders],0)</f>
        <v>0</v>
      </c>
      <c r="K271" s="11">
        <f>_xlfn.XLOOKUP(TableDailySummary[[#This Row],[Fecha]],SummaryDaily[day],SummaryDaily[new_average_order_value],0)</f>
        <v>0</v>
      </c>
      <c r="L271" s="11">
        <f>_xlfn.XLOOKUP(TableDailySummary[[#This Row],[Fecha]],SummaryDaily[day],SummaryDaily[Online Store_net_sales],0)</f>
        <v>0</v>
      </c>
      <c r="M271" s="11">
        <f>_xlfn.XLOOKUP(TableDailySummary[[#This Row],[Fecha]],SummaryDaily[day],SummaryDaily[Online Store_orders],0)</f>
        <v>0</v>
      </c>
      <c r="N271" s="11">
        <f>_xlfn.XLOOKUP(TableDailySummary[[#This Row],[Fecha]],SummaryDaily[day],SummaryDaily[Online Store_average_order_value],0)</f>
        <v>0</v>
      </c>
      <c r="O271" s="11">
        <f>_xlfn.XLOOKUP(TableDailySummary[[#This Row],[Fecha]],SummaryDaily[day],SummaryDaily[Tienda 81_net_sales],0)</f>
        <v>0</v>
      </c>
      <c r="P271" s="11">
        <f>_xlfn.XLOOKUP(TableDailySummary[[#This Row],[Fecha]],SummaryDaily[day],SummaryDaily[Tienda 81_orders],0)</f>
        <v>0</v>
      </c>
      <c r="Q271" s="11">
        <f>_xlfn.XLOOKUP(TableDailySummary[[#This Row],[Fecha]],SummaryDaily[day],SummaryDaily[Tienda 81_average_order_value],0)</f>
        <v>0</v>
      </c>
      <c r="R271" s="11">
        <f>_xlfn.XLOOKUP(TableDailySummary[[#This Row],[Fecha]],SummaryDaily[day],SummaryDaily[Rappi_net_sales],0)</f>
        <v>0</v>
      </c>
      <c r="S271" s="11">
        <f>_xlfn.XLOOKUP(TableDailySummary[[#This Row],[Fecha]],SummaryDaily[day],SummaryDaily[Rappi_orders],0)</f>
        <v>0</v>
      </c>
      <c r="T271" s="11">
        <f>_xlfn.XLOOKUP(TableDailySummary[[#This Row],[Fecha]],SummaryDaily[day],SummaryDaily[Rappi_average_order_value],0)</f>
        <v>0</v>
      </c>
      <c r="U271" s="11">
        <f>_xlfn.XLOOKUP(TableDailySummary[[#This Row],[Fecha]],SummaryDaily[day],SummaryDaily[Corporativo no tienda_net_sales],0)</f>
        <v>0</v>
      </c>
      <c r="V271" s="11">
        <f>_xlfn.XLOOKUP(TableDailySummary[[#This Row],[Fecha]],SummaryDaily[day],SummaryDaily[Corporativo no tienda_orders],0)</f>
        <v>0</v>
      </c>
      <c r="W271" s="11">
        <f>_xlfn.XLOOKUP(TableDailySummary[[#This Row],[Fecha]],SummaryDaily[day],SummaryDaily[Corporativo no tienda_average_order_value],0)</f>
        <v>0</v>
      </c>
      <c r="X271" s="11">
        <f>_xlfn.XLOOKUP(TableDailySummary[[#This Row],[Fecha]],SummaryDaily[day],SummaryDaily[GoogleAdsOperation.Cost],0)</f>
        <v>0</v>
      </c>
      <c r="Y271" s="11">
        <f>SUMIFS(SalesByUTMDaily[google],SalesByUTMDaily[day],TableDailySummary[[#This Row],[Fecha]])</f>
        <v>0</v>
      </c>
      <c r="Z271" s="11">
        <f>_xlfn.XLOOKUP(TableDailySummary[[#This Row],[Fecha]],SummaryDaily[day],SummaryDaily[MetaAdsOperation.spend],0)</f>
        <v>0</v>
      </c>
      <c r="AA271" s="11">
        <f>SUMIFS(SalesByUTMDaily[facebook],SalesByUTMDaily[day],TableDailySummary[[#This Row],[Fecha]])</f>
        <v>0</v>
      </c>
      <c r="AB271" s="11">
        <f>TableDailySummary[[#This Row],[Inversión google ads]]+TableDailySummary[[#This Row],[Inversión meta ads]]</f>
        <v>0</v>
      </c>
      <c r="AC271" s="11">
        <f>TableDailySummary[[#This Row],[Ventas google ads]]+TableDailySummary[[#This Row],[Ventas meta ads]]</f>
        <v>0</v>
      </c>
      <c r="AD271" s="14">
        <f>IFERROR(TableDailySummary[[#This Row],[Ventas publicidad]]/TableDailySummary[[#This Row],[Inversión publicidad]],0)</f>
        <v>0</v>
      </c>
      <c r="AE271" s="14">
        <f>IFERROR(TableDailySummary[[#This Row],[Ventas primer cliente]]/TableDailySummary[[#This Row],[Inversión publicidad]],0)</f>
        <v>0</v>
      </c>
      <c r="AF271" s="14"/>
      <c r="AG271" s="11"/>
      <c r="AM271" s="11">
        <f>_xlfn.XLOOKUP(TableDailySummary[[#This Row],[Fecha]],SummaryDaily[day],SummaryDaily[net_sales_with_cost_recorded],0)</f>
        <v>0</v>
      </c>
      <c r="AN271" s="11">
        <f>_xlfn.XLOOKUP(TableDailySummary[[#This Row],[Fecha]],SummaryDaily[day],SummaryDaily[cost_of_goods_sold],0)</f>
        <v>0</v>
      </c>
      <c r="AO271" s="11">
        <f>_xlfn.XLOOKUP(TableDailySummary[[#This Row],[Fecha]],SummaryDaily[day],SummaryDaily[gross_profit],0)</f>
        <v>0</v>
      </c>
      <c r="AP271" s="18">
        <f>IFERROR(TableDailySummary[[#This Row],[Utilidad bruta]]/TableDailySummary[[#This Row],[Ventas netas con costo registrado]],0)</f>
        <v>0</v>
      </c>
    </row>
    <row r="272" spans="2:42" x14ac:dyDescent="0.2">
      <c r="B272" s="15" cm="1">
        <f t="array" ref="B272">ParamFechaInicioReporte + (ROW(TableDailySummary[#This Row]) - ROW(TableDailySummary[[#Headers],[Dia]]) - 1)</f>
        <v>44799</v>
      </c>
      <c r="C272" s="6">
        <f>TableDailySummary[[#This Row],[Dia]]</f>
        <v>44799</v>
      </c>
      <c r="D272" s="11">
        <f>_xlfn.XLOOKUP(TableDailySummary[[#This Row],[Fecha]],SummaryDaily[day],SummaryDaily[net_sales],0)</f>
        <v>0</v>
      </c>
      <c r="E272" s="11">
        <f>_xlfn.XLOOKUP(TableDailySummary[[#This Row],[Fecha]],SummaryDaily[day],SummaryDaily[orders],0)</f>
        <v>0</v>
      </c>
      <c r="F272" s="11">
        <f>_xlfn.XLOOKUP(TableDailySummary[[#This Row],[Fecha]],SummaryDaily[day],SummaryDaily[average_order_value],0)</f>
        <v>0</v>
      </c>
      <c r="G272" s="24" cm="1">
        <f t="array" ref="G272">_xlfn.XLOOKUP(TableDailySummary[[#This Row],[Fecha]]&amp;"Total site",ConversionRateByReferral[day]&amp;ConversionRateByReferral[referrer_source],ConversionRateByReferral[conversion_rate],0)</f>
        <v>0</v>
      </c>
      <c r="H272" s="11">
        <f>TableDailySummary[[#This Row],[Órden promedio totales]]*TableDailySummary[[#This Row],[CR totales]]</f>
        <v>0</v>
      </c>
      <c r="I272" s="11">
        <f>_xlfn.XLOOKUP(TableDailySummary[[#This Row],[Fecha]],SummaryDaily[day],SummaryDaily[new_net_sales],0)</f>
        <v>0</v>
      </c>
      <c r="J272" s="11">
        <f>_xlfn.XLOOKUP(TableDailySummary[[#This Row],[Fecha]],SummaryDaily[day],SummaryDaily[new_orders],0)</f>
        <v>0</v>
      </c>
      <c r="K272" s="11">
        <f>_xlfn.XLOOKUP(TableDailySummary[[#This Row],[Fecha]],SummaryDaily[day],SummaryDaily[new_average_order_value],0)</f>
        <v>0</v>
      </c>
      <c r="L272" s="11">
        <f>_xlfn.XLOOKUP(TableDailySummary[[#This Row],[Fecha]],SummaryDaily[day],SummaryDaily[Online Store_net_sales],0)</f>
        <v>0</v>
      </c>
      <c r="M272" s="11">
        <f>_xlfn.XLOOKUP(TableDailySummary[[#This Row],[Fecha]],SummaryDaily[day],SummaryDaily[Online Store_orders],0)</f>
        <v>0</v>
      </c>
      <c r="N272" s="11">
        <f>_xlfn.XLOOKUP(TableDailySummary[[#This Row],[Fecha]],SummaryDaily[day],SummaryDaily[Online Store_average_order_value],0)</f>
        <v>0</v>
      </c>
      <c r="O272" s="11">
        <f>_xlfn.XLOOKUP(TableDailySummary[[#This Row],[Fecha]],SummaryDaily[day],SummaryDaily[Tienda 81_net_sales],0)</f>
        <v>0</v>
      </c>
      <c r="P272" s="11">
        <f>_xlfn.XLOOKUP(TableDailySummary[[#This Row],[Fecha]],SummaryDaily[day],SummaryDaily[Tienda 81_orders],0)</f>
        <v>0</v>
      </c>
      <c r="Q272" s="11">
        <f>_xlfn.XLOOKUP(TableDailySummary[[#This Row],[Fecha]],SummaryDaily[day],SummaryDaily[Tienda 81_average_order_value],0)</f>
        <v>0</v>
      </c>
      <c r="R272" s="11">
        <f>_xlfn.XLOOKUP(TableDailySummary[[#This Row],[Fecha]],SummaryDaily[day],SummaryDaily[Rappi_net_sales],0)</f>
        <v>0</v>
      </c>
      <c r="S272" s="11">
        <f>_xlfn.XLOOKUP(TableDailySummary[[#This Row],[Fecha]],SummaryDaily[day],SummaryDaily[Rappi_orders],0)</f>
        <v>0</v>
      </c>
      <c r="T272" s="11">
        <f>_xlfn.XLOOKUP(TableDailySummary[[#This Row],[Fecha]],SummaryDaily[day],SummaryDaily[Rappi_average_order_value],0)</f>
        <v>0</v>
      </c>
      <c r="U272" s="11">
        <f>_xlfn.XLOOKUP(TableDailySummary[[#This Row],[Fecha]],SummaryDaily[day],SummaryDaily[Corporativo no tienda_net_sales],0)</f>
        <v>0</v>
      </c>
      <c r="V272" s="11">
        <f>_xlfn.XLOOKUP(TableDailySummary[[#This Row],[Fecha]],SummaryDaily[day],SummaryDaily[Corporativo no tienda_orders],0)</f>
        <v>0</v>
      </c>
      <c r="W272" s="11">
        <f>_xlfn.XLOOKUP(TableDailySummary[[#This Row],[Fecha]],SummaryDaily[day],SummaryDaily[Corporativo no tienda_average_order_value],0)</f>
        <v>0</v>
      </c>
      <c r="X272" s="11">
        <f>_xlfn.XLOOKUP(TableDailySummary[[#This Row],[Fecha]],SummaryDaily[day],SummaryDaily[GoogleAdsOperation.Cost],0)</f>
        <v>0</v>
      </c>
      <c r="Y272" s="11">
        <f>SUMIFS(SalesByUTMDaily[google],SalesByUTMDaily[day],TableDailySummary[[#This Row],[Fecha]])</f>
        <v>0</v>
      </c>
      <c r="Z272" s="11">
        <f>_xlfn.XLOOKUP(TableDailySummary[[#This Row],[Fecha]],SummaryDaily[day],SummaryDaily[MetaAdsOperation.spend],0)</f>
        <v>0</v>
      </c>
      <c r="AA272" s="11">
        <f>SUMIFS(SalesByUTMDaily[facebook],SalesByUTMDaily[day],TableDailySummary[[#This Row],[Fecha]])</f>
        <v>0</v>
      </c>
      <c r="AB272" s="11">
        <f>TableDailySummary[[#This Row],[Inversión google ads]]+TableDailySummary[[#This Row],[Inversión meta ads]]</f>
        <v>0</v>
      </c>
      <c r="AC272" s="11">
        <f>TableDailySummary[[#This Row],[Ventas google ads]]+TableDailySummary[[#This Row],[Ventas meta ads]]</f>
        <v>0</v>
      </c>
      <c r="AD272" s="14">
        <f>IFERROR(TableDailySummary[[#This Row],[Ventas publicidad]]/TableDailySummary[[#This Row],[Inversión publicidad]],0)</f>
        <v>0</v>
      </c>
      <c r="AE272" s="14">
        <f>IFERROR(TableDailySummary[[#This Row],[Ventas primer cliente]]/TableDailySummary[[#This Row],[Inversión publicidad]],0)</f>
        <v>0</v>
      </c>
      <c r="AF272" s="14"/>
      <c r="AG272" s="11"/>
      <c r="AM272" s="11">
        <f>_xlfn.XLOOKUP(TableDailySummary[[#This Row],[Fecha]],SummaryDaily[day],SummaryDaily[net_sales_with_cost_recorded],0)</f>
        <v>0</v>
      </c>
      <c r="AN272" s="11">
        <f>_xlfn.XLOOKUP(TableDailySummary[[#This Row],[Fecha]],SummaryDaily[day],SummaryDaily[cost_of_goods_sold],0)</f>
        <v>0</v>
      </c>
      <c r="AO272" s="11">
        <f>_xlfn.XLOOKUP(TableDailySummary[[#This Row],[Fecha]],SummaryDaily[day],SummaryDaily[gross_profit],0)</f>
        <v>0</v>
      </c>
      <c r="AP272" s="18">
        <f>IFERROR(TableDailySummary[[#This Row],[Utilidad bruta]]/TableDailySummary[[#This Row],[Ventas netas con costo registrado]],0)</f>
        <v>0</v>
      </c>
    </row>
    <row r="273" spans="2:42" x14ac:dyDescent="0.2">
      <c r="B273" s="15" cm="1">
        <f t="array" ref="B273">ParamFechaInicioReporte + (ROW(TableDailySummary[#This Row]) - ROW(TableDailySummary[[#Headers],[Dia]]) - 1)</f>
        <v>44800</v>
      </c>
      <c r="C273" s="6">
        <f>TableDailySummary[[#This Row],[Dia]]</f>
        <v>44800</v>
      </c>
      <c r="D273" s="11">
        <f>_xlfn.XLOOKUP(TableDailySummary[[#This Row],[Fecha]],SummaryDaily[day],SummaryDaily[net_sales],0)</f>
        <v>0</v>
      </c>
      <c r="E273" s="11">
        <f>_xlfn.XLOOKUP(TableDailySummary[[#This Row],[Fecha]],SummaryDaily[day],SummaryDaily[orders],0)</f>
        <v>0</v>
      </c>
      <c r="F273" s="11">
        <f>_xlfn.XLOOKUP(TableDailySummary[[#This Row],[Fecha]],SummaryDaily[day],SummaryDaily[average_order_value],0)</f>
        <v>0</v>
      </c>
      <c r="G273" s="24" cm="1">
        <f t="array" ref="G273">_xlfn.XLOOKUP(TableDailySummary[[#This Row],[Fecha]]&amp;"Total site",ConversionRateByReferral[day]&amp;ConversionRateByReferral[referrer_source],ConversionRateByReferral[conversion_rate],0)</f>
        <v>0</v>
      </c>
      <c r="H273" s="11">
        <f>TableDailySummary[[#This Row],[Órden promedio totales]]*TableDailySummary[[#This Row],[CR totales]]</f>
        <v>0</v>
      </c>
      <c r="I273" s="11">
        <f>_xlfn.XLOOKUP(TableDailySummary[[#This Row],[Fecha]],SummaryDaily[day],SummaryDaily[new_net_sales],0)</f>
        <v>0</v>
      </c>
      <c r="J273" s="11">
        <f>_xlfn.XLOOKUP(TableDailySummary[[#This Row],[Fecha]],SummaryDaily[day],SummaryDaily[new_orders],0)</f>
        <v>0</v>
      </c>
      <c r="K273" s="11">
        <f>_xlfn.XLOOKUP(TableDailySummary[[#This Row],[Fecha]],SummaryDaily[day],SummaryDaily[new_average_order_value],0)</f>
        <v>0</v>
      </c>
      <c r="L273" s="11">
        <f>_xlfn.XLOOKUP(TableDailySummary[[#This Row],[Fecha]],SummaryDaily[day],SummaryDaily[Online Store_net_sales],0)</f>
        <v>0</v>
      </c>
      <c r="M273" s="11">
        <f>_xlfn.XLOOKUP(TableDailySummary[[#This Row],[Fecha]],SummaryDaily[day],SummaryDaily[Online Store_orders],0)</f>
        <v>0</v>
      </c>
      <c r="N273" s="11">
        <f>_xlfn.XLOOKUP(TableDailySummary[[#This Row],[Fecha]],SummaryDaily[day],SummaryDaily[Online Store_average_order_value],0)</f>
        <v>0</v>
      </c>
      <c r="O273" s="11">
        <f>_xlfn.XLOOKUP(TableDailySummary[[#This Row],[Fecha]],SummaryDaily[day],SummaryDaily[Tienda 81_net_sales],0)</f>
        <v>0</v>
      </c>
      <c r="P273" s="11">
        <f>_xlfn.XLOOKUP(TableDailySummary[[#This Row],[Fecha]],SummaryDaily[day],SummaryDaily[Tienda 81_orders],0)</f>
        <v>0</v>
      </c>
      <c r="Q273" s="11">
        <f>_xlfn.XLOOKUP(TableDailySummary[[#This Row],[Fecha]],SummaryDaily[day],SummaryDaily[Tienda 81_average_order_value],0)</f>
        <v>0</v>
      </c>
      <c r="R273" s="11">
        <f>_xlfn.XLOOKUP(TableDailySummary[[#This Row],[Fecha]],SummaryDaily[day],SummaryDaily[Rappi_net_sales],0)</f>
        <v>0</v>
      </c>
      <c r="S273" s="11">
        <f>_xlfn.XLOOKUP(TableDailySummary[[#This Row],[Fecha]],SummaryDaily[day],SummaryDaily[Rappi_orders],0)</f>
        <v>0</v>
      </c>
      <c r="T273" s="11">
        <f>_xlfn.XLOOKUP(TableDailySummary[[#This Row],[Fecha]],SummaryDaily[day],SummaryDaily[Rappi_average_order_value],0)</f>
        <v>0</v>
      </c>
      <c r="U273" s="11">
        <f>_xlfn.XLOOKUP(TableDailySummary[[#This Row],[Fecha]],SummaryDaily[day],SummaryDaily[Corporativo no tienda_net_sales],0)</f>
        <v>0</v>
      </c>
      <c r="V273" s="11">
        <f>_xlfn.XLOOKUP(TableDailySummary[[#This Row],[Fecha]],SummaryDaily[day],SummaryDaily[Corporativo no tienda_orders],0)</f>
        <v>0</v>
      </c>
      <c r="W273" s="11">
        <f>_xlfn.XLOOKUP(TableDailySummary[[#This Row],[Fecha]],SummaryDaily[day],SummaryDaily[Corporativo no tienda_average_order_value],0)</f>
        <v>0</v>
      </c>
      <c r="X273" s="11">
        <f>_xlfn.XLOOKUP(TableDailySummary[[#This Row],[Fecha]],SummaryDaily[day],SummaryDaily[GoogleAdsOperation.Cost],0)</f>
        <v>0</v>
      </c>
      <c r="Y273" s="11">
        <f>SUMIFS(SalesByUTMDaily[google],SalesByUTMDaily[day],TableDailySummary[[#This Row],[Fecha]])</f>
        <v>0</v>
      </c>
      <c r="Z273" s="11">
        <f>_xlfn.XLOOKUP(TableDailySummary[[#This Row],[Fecha]],SummaryDaily[day],SummaryDaily[MetaAdsOperation.spend],0)</f>
        <v>0</v>
      </c>
      <c r="AA273" s="11">
        <f>SUMIFS(SalesByUTMDaily[facebook],SalesByUTMDaily[day],TableDailySummary[[#This Row],[Fecha]])</f>
        <v>0</v>
      </c>
      <c r="AB273" s="11">
        <f>TableDailySummary[[#This Row],[Inversión google ads]]+TableDailySummary[[#This Row],[Inversión meta ads]]</f>
        <v>0</v>
      </c>
      <c r="AC273" s="11">
        <f>TableDailySummary[[#This Row],[Ventas google ads]]+TableDailySummary[[#This Row],[Ventas meta ads]]</f>
        <v>0</v>
      </c>
      <c r="AD273" s="14">
        <f>IFERROR(TableDailySummary[[#This Row],[Ventas publicidad]]/TableDailySummary[[#This Row],[Inversión publicidad]],0)</f>
        <v>0</v>
      </c>
      <c r="AE273" s="14">
        <f>IFERROR(TableDailySummary[[#This Row],[Ventas primer cliente]]/TableDailySummary[[#This Row],[Inversión publicidad]],0)</f>
        <v>0</v>
      </c>
      <c r="AF273" s="14"/>
      <c r="AG273" s="11"/>
      <c r="AM273" s="11">
        <f>_xlfn.XLOOKUP(TableDailySummary[[#This Row],[Fecha]],SummaryDaily[day],SummaryDaily[net_sales_with_cost_recorded],0)</f>
        <v>0</v>
      </c>
      <c r="AN273" s="11">
        <f>_xlfn.XLOOKUP(TableDailySummary[[#This Row],[Fecha]],SummaryDaily[day],SummaryDaily[cost_of_goods_sold],0)</f>
        <v>0</v>
      </c>
      <c r="AO273" s="11">
        <f>_xlfn.XLOOKUP(TableDailySummary[[#This Row],[Fecha]],SummaryDaily[day],SummaryDaily[gross_profit],0)</f>
        <v>0</v>
      </c>
      <c r="AP273" s="18">
        <f>IFERROR(TableDailySummary[[#This Row],[Utilidad bruta]]/TableDailySummary[[#This Row],[Ventas netas con costo registrado]],0)</f>
        <v>0</v>
      </c>
    </row>
    <row r="274" spans="2:42" x14ac:dyDescent="0.2">
      <c r="B274" s="15" cm="1">
        <f t="array" ref="B274">ParamFechaInicioReporte + (ROW(TableDailySummary[#This Row]) - ROW(TableDailySummary[[#Headers],[Dia]]) - 1)</f>
        <v>44801</v>
      </c>
      <c r="C274" s="6">
        <f>TableDailySummary[[#This Row],[Dia]]</f>
        <v>44801</v>
      </c>
      <c r="D274" s="11">
        <f>_xlfn.XLOOKUP(TableDailySummary[[#This Row],[Fecha]],SummaryDaily[day],SummaryDaily[net_sales],0)</f>
        <v>0</v>
      </c>
      <c r="E274" s="11">
        <f>_xlfn.XLOOKUP(TableDailySummary[[#This Row],[Fecha]],SummaryDaily[day],SummaryDaily[orders],0)</f>
        <v>0</v>
      </c>
      <c r="F274" s="11">
        <f>_xlfn.XLOOKUP(TableDailySummary[[#This Row],[Fecha]],SummaryDaily[day],SummaryDaily[average_order_value],0)</f>
        <v>0</v>
      </c>
      <c r="G274" s="24" cm="1">
        <f t="array" ref="G274">_xlfn.XLOOKUP(TableDailySummary[[#This Row],[Fecha]]&amp;"Total site",ConversionRateByReferral[day]&amp;ConversionRateByReferral[referrer_source],ConversionRateByReferral[conversion_rate],0)</f>
        <v>0</v>
      </c>
      <c r="H274" s="11">
        <f>TableDailySummary[[#This Row],[Órden promedio totales]]*TableDailySummary[[#This Row],[CR totales]]</f>
        <v>0</v>
      </c>
      <c r="I274" s="11">
        <f>_xlfn.XLOOKUP(TableDailySummary[[#This Row],[Fecha]],SummaryDaily[day],SummaryDaily[new_net_sales],0)</f>
        <v>0</v>
      </c>
      <c r="J274" s="11">
        <f>_xlfn.XLOOKUP(TableDailySummary[[#This Row],[Fecha]],SummaryDaily[day],SummaryDaily[new_orders],0)</f>
        <v>0</v>
      </c>
      <c r="K274" s="11">
        <f>_xlfn.XLOOKUP(TableDailySummary[[#This Row],[Fecha]],SummaryDaily[day],SummaryDaily[new_average_order_value],0)</f>
        <v>0</v>
      </c>
      <c r="L274" s="11">
        <f>_xlfn.XLOOKUP(TableDailySummary[[#This Row],[Fecha]],SummaryDaily[day],SummaryDaily[Online Store_net_sales],0)</f>
        <v>0</v>
      </c>
      <c r="M274" s="11">
        <f>_xlfn.XLOOKUP(TableDailySummary[[#This Row],[Fecha]],SummaryDaily[day],SummaryDaily[Online Store_orders],0)</f>
        <v>0</v>
      </c>
      <c r="N274" s="11">
        <f>_xlfn.XLOOKUP(TableDailySummary[[#This Row],[Fecha]],SummaryDaily[day],SummaryDaily[Online Store_average_order_value],0)</f>
        <v>0</v>
      </c>
      <c r="O274" s="11">
        <f>_xlfn.XLOOKUP(TableDailySummary[[#This Row],[Fecha]],SummaryDaily[day],SummaryDaily[Tienda 81_net_sales],0)</f>
        <v>0</v>
      </c>
      <c r="P274" s="11">
        <f>_xlfn.XLOOKUP(TableDailySummary[[#This Row],[Fecha]],SummaryDaily[day],SummaryDaily[Tienda 81_orders],0)</f>
        <v>0</v>
      </c>
      <c r="Q274" s="11">
        <f>_xlfn.XLOOKUP(TableDailySummary[[#This Row],[Fecha]],SummaryDaily[day],SummaryDaily[Tienda 81_average_order_value],0)</f>
        <v>0</v>
      </c>
      <c r="R274" s="11">
        <f>_xlfn.XLOOKUP(TableDailySummary[[#This Row],[Fecha]],SummaryDaily[day],SummaryDaily[Rappi_net_sales],0)</f>
        <v>0</v>
      </c>
      <c r="S274" s="11">
        <f>_xlfn.XLOOKUP(TableDailySummary[[#This Row],[Fecha]],SummaryDaily[day],SummaryDaily[Rappi_orders],0)</f>
        <v>0</v>
      </c>
      <c r="T274" s="11">
        <f>_xlfn.XLOOKUP(TableDailySummary[[#This Row],[Fecha]],SummaryDaily[day],SummaryDaily[Rappi_average_order_value],0)</f>
        <v>0</v>
      </c>
      <c r="U274" s="11">
        <f>_xlfn.XLOOKUP(TableDailySummary[[#This Row],[Fecha]],SummaryDaily[day],SummaryDaily[Corporativo no tienda_net_sales],0)</f>
        <v>0</v>
      </c>
      <c r="V274" s="11">
        <f>_xlfn.XLOOKUP(TableDailySummary[[#This Row],[Fecha]],SummaryDaily[day],SummaryDaily[Corporativo no tienda_orders],0)</f>
        <v>0</v>
      </c>
      <c r="W274" s="11">
        <f>_xlfn.XLOOKUP(TableDailySummary[[#This Row],[Fecha]],SummaryDaily[day],SummaryDaily[Corporativo no tienda_average_order_value],0)</f>
        <v>0</v>
      </c>
      <c r="X274" s="11">
        <f>_xlfn.XLOOKUP(TableDailySummary[[#This Row],[Fecha]],SummaryDaily[day],SummaryDaily[GoogleAdsOperation.Cost],0)</f>
        <v>0</v>
      </c>
      <c r="Y274" s="11">
        <f>SUMIFS(SalesByUTMDaily[google],SalesByUTMDaily[day],TableDailySummary[[#This Row],[Fecha]])</f>
        <v>0</v>
      </c>
      <c r="Z274" s="11">
        <f>_xlfn.XLOOKUP(TableDailySummary[[#This Row],[Fecha]],SummaryDaily[day],SummaryDaily[MetaAdsOperation.spend],0)</f>
        <v>0</v>
      </c>
      <c r="AA274" s="11">
        <f>SUMIFS(SalesByUTMDaily[facebook],SalesByUTMDaily[day],TableDailySummary[[#This Row],[Fecha]])</f>
        <v>0</v>
      </c>
      <c r="AB274" s="11">
        <f>TableDailySummary[[#This Row],[Inversión google ads]]+TableDailySummary[[#This Row],[Inversión meta ads]]</f>
        <v>0</v>
      </c>
      <c r="AC274" s="11">
        <f>TableDailySummary[[#This Row],[Ventas google ads]]+TableDailySummary[[#This Row],[Ventas meta ads]]</f>
        <v>0</v>
      </c>
      <c r="AD274" s="14">
        <f>IFERROR(TableDailySummary[[#This Row],[Ventas publicidad]]/TableDailySummary[[#This Row],[Inversión publicidad]],0)</f>
        <v>0</v>
      </c>
      <c r="AE274" s="14">
        <f>IFERROR(TableDailySummary[[#This Row],[Ventas primer cliente]]/TableDailySummary[[#This Row],[Inversión publicidad]],0)</f>
        <v>0</v>
      </c>
      <c r="AF274" s="14"/>
      <c r="AG274" s="11"/>
      <c r="AM274" s="11">
        <f>_xlfn.XLOOKUP(TableDailySummary[[#This Row],[Fecha]],SummaryDaily[day],SummaryDaily[net_sales_with_cost_recorded],0)</f>
        <v>0</v>
      </c>
      <c r="AN274" s="11">
        <f>_xlfn.XLOOKUP(TableDailySummary[[#This Row],[Fecha]],SummaryDaily[day],SummaryDaily[cost_of_goods_sold],0)</f>
        <v>0</v>
      </c>
      <c r="AO274" s="11">
        <f>_xlfn.XLOOKUP(TableDailySummary[[#This Row],[Fecha]],SummaryDaily[day],SummaryDaily[gross_profit],0)</f>
        <v>0</v>
      </c>
      <c r="AP274" s="18">
        <f>IFERROR(TableDailySummary[[#This Row],[Utilidad bruta]]/TableDailySummary[[#This Row],[Ventas netas con costo registrado]],0)</f>
        <v>0</v>
      </c>
    </row>
    <row r="275" spans="2:42" x14ac:dyDescent="0.2">
      <c r="B275" s="15" cm="1">
        <f t="array" ref="B275">ParamFechaInicioReporte + (ROW(TableDailySummary[#This Row]) - ROW(TableDailySummary[[#Headers],[Dia]]) - 1)</f>
        <v>44802</v>
      </c>
      <c r="C275" s="6">
        <f>TableDailySummary[[#This Row],[Dia]]</f>
        <v>44802</v>
      </c>
      <c r="D275" s="11">
        <f>_xlfn.XLOOKUP(TableDailySummary[[#This Row],[Fecha]],SummaryDaily[day],SummaryDaily[net_sales],0)</f>
        <v>0</v>
      </c>
      <c r="E275" s="11">
        <f>_xlfn.XLOOKUP(TableDailySummary[[#This Row],[Fecha]],SummaryDaily[day],SummaryDaily[orders],0)</f>
        <v>0</v>
      </c>
      <c r="F275" s="11">
        <f>_xlfn.XLOOKUP(TableDailySummary[[#This Row],[Fecha]],SummaryDaily[day],SummaryDaily[average_order_value],0)</f>
        <v>0</v>
      </c>
      <c r="G275" s="24" cm="1">
        <f t="array" ref="G275">_xlfn.XLOOKUP(TableDailySummary[[#This Row],[Fecha]]&amp;"Total site",ConversionRateByReferral[day]&amp;ConversionRateByReferral[referrer_source],ConversionRateByReferral[conversion_rate],0)</f>
        <v>0</v>
      </c>
      <c r="H275" s="11">
        <f>TableDailySummary[[#This Row],[Órden promedio totales]]*TableDailySummary[[#This Row],[CR totales]]</f>
        <v>0</v>
      </c>
      <c r="I275" s="11">
        <f>_xlfn.XLOOKUP(TableDailySummary[[#This Row],[Fecha]],SummaryDaily[day],SummaryDaily[new_net_sales],0)</f>
        <v>0</v>
      </c>
      <c r="J275" s="11">
        <f>_xlfn.XLOOKUP(TableDailySummary[[#This Row],[Fecha]],SummaryDaily[day],SummaryDaily[new_orders],0)</f>
        <v>0</v>
      </c>
      <c r="K275" s="11">
        <f>_xlfn.XLOOKUP(TableDailySummary[[#This Row],[Fecha]],SummaryDaily[day],SummaryDaily[new_average_order_value],0)</f>
        <v>0</v>
      </c>
      <c r="L275" s="11">
        <f>_xlfn.XLOOKUP(TableDailySummary[[#This Row],[Fecha]],SummaryDaily[day],SummaryDaily[Online Store_net_sales],0)</f>
        <v>0</v>
      </c>
      <c r="M275" s="11">
        <f>_xlfn.XLOOKUP(TableDailySummary[[#This Row],[Fecha]],SummaryDaily[day],SummaryDaily[Online Store_orders],0)</f>
        <v>0</v>
      </c>
      <c r="N275" s="11">
        <f>_xlfn.XLOOKUP(TableDailySummary[[#This Row],[Fecha]],SummaryDaily[day],SummaryDaily[Online Store_average_order_value],0)</f>
        <v>0</v>
      </c>
      <c r="O275" s="11">
        <f>_xlfn.XLOOKUP(TableDailySummary[[#This Row],[Fecha]],SummaryDaily[day],SummaryDaily[Tienda 81_net_sales],0)</f>
        <v>0</v>
      </c>
      <c r="P275" s="11">
        <f>_xlfn.XLOOKUP(TableDailySummary[[#This Row],[Fecha]],SummaryDaily[day],SummaryDaily[Tienda 81_orders],0)</f>
        <v>0</v>
      </c>
      <c r="Q275" s="11">
        <f>_xlfn.XLOOKUP(TableDailySummary[[#This Row],[Fecha]],SummaryDaily[day],SummaryDaily[Tienda 81_average_order_value],0)</f>
        <v>0</v>
      </c>
      <c r="R275" s="11">
        <f>_xlfn.XLOOKUP(TableDailySummary[[#This Row],[Fecha]],SummaryDaily[day],SummaryDaily[Rappi_net_sales],0)</f>
        <v>0</v>
      </c>
      <c r="S275" s="11">
        <f>_xlfn.XLOOKUP(TableDailySummary[[#This Row],[Fecha]],SummaryDaily[day],SummaryDaily[Rappi_orders],0)</f>
        <v>0</v>
      </c>
      <c r="T275" s="11">
        <f>_xlfn.XLOOKUP(TableDailySummary[[#This Row],[Fecha]],SummaryDaily[day],SummaryDaily[Rappi_average_order_value],0)</f>
        <v>0</v>
      </c>
      <c r="U275" s="11">
        <f>_xlfn.XLOOKUP(TableDailySummary[[#This Row],[Fecha]],SummaryDaily[day],SummaryDaily[Corporativo no tienda_net_sales],0)</f>
        <v>0</v>
      </c>
      <c r="V275" s="11">
        <f>_xlfn.XLOOKUP(TableDailySummary[[#This Row],[Fecha]],SummaryDaily[day],SummaryDaily[Corporativo no tienda_orders],0)</f>
        <v>0</v>
      </c>
      <c r="W275" s="11">
        <f>_xlfn.XLOOKUP(TableDailySummary[[#This Row],[Fecha]],SummaryDaily[day],SummaryDaily[Corporativo no tienda_average_order_value],0)</f>
        <v>0</v>
      </c>
      <c r="X275" s="11">
        <f>_xlfn.XLOOKUP(TableDailySummary[[#This Row],[Fecha]],SummaryDaily[day],SummaryDaily[GoogleAdsOperation.Cost],0)</f>
        <v>0</v>
      </c>
      <c r="Y275" s="11">
        <f>SUMIFS(SalesByUTMDaily[google],SalesByUTMDaily[day],TableDailySummary[[#This Row],[Fecha]])</f>
        <v>0</v>
      </c>
      <c r="Z275" s="11">
        <f>_xlfn.XLOOKUP(TableDailySummary[[#This Row],[Fecha]],SummaryDaily[day],SummaryDaily[MetaAdsOperation.spend],0)</f>
        <v>0</v>
      </c>
      <c r="AA275" s="11">
        <f>SUMIFS(SalesByUTMDaily[facebook],SalesByUTMDaily[day],TableDailySummary[[#This Row],[Fecha]])</f>
        <v>0</v>
      </c>
      <c r="AB275" s="11">
        <f>TableDailySummary[[#This Row],[Inversión google ads]]+TableDailySummary[[#This Row],[Inversión meta ads]]</f>
        <v>0</v>
      </c>
      <c r="AC275" s="11">
        <f>TableDailySummary[[#This Row],[Ventas google ads]]+TableDailySummary[[#This Row],[Ventas meta ads]]</f>
        <v>0</v>
      </c>
      <c r="AD275" s="14">
        <f>IFERROR(TableDailySummary[[#This Row],[Ventas publicidad]]/TableDailySummary[[#This Row],[Inversión publicidad]],0)</f>
        <v>0</v>
      </c>
      <c r="AE275" s="14">
        <f>IFERROR(TableDailySummary[[#This Row],[Ventas primer cliente]]/TableDailySummary[[#This Row],[Inversión publicidad]],0)</f>
        <v>0</v>
      </c>
      <c r="AF275" s="14"/>
      <c r="AG275" s="11"/>
      <c r="AM275" s="11">
        <f>_xlfn.XLOOKUP(TableDailySummary[[#This Row],[Fecha]],SummaryDaily[day],SummaryDaily[net_sales_with_cost_recorded],0)</f>
        <v>0</v>
      </c>
      <c r="AN275" s="11">
        <f>_xlfn.XLOOKUP(TableDailySummary[[#This Row],[Fecha]],SummaryDaily[day],SummaryDaily[cost_of_goods_sold],0)</f>
        <v>0</v>
      </c>
      <c r="AO275" s="11">
        <f>_xlfn.XLOOKUP(TableDailySummary[[#This Row],[Fecha]],SummaryDaily[day],SummaryDaily[gross_profit],0)</f>
        <v>0</v>
      </c>
      <c r="AP275" s="18">
        <f>IFERROR(TableDailySummary[[#This Row],[Utilidad bruta]]/TableDailySummary[[#This Row],[Ventas netas con costo registrado]],0)</f>
        <v>0</v>
      </c>
    </row>
    <row r="276" spans="2:42" x14ac:dyDescent="0.2">
      <c r="B276" s="15" cm="1">
        <f t="array" ref="B276">ParamFechaInicioReporte + (ROW(TableDailySummary[#This Row]) - ROW(TableDailySummary[[#Headers],[Dia]]) - 1)</f>
        <v>44803</v>
      </c>
      <c r="C276" s="6">
        <f>TableDailySummary[[#This Row],[Dia]]</f>
        <v>44803</v>
      </c>
      <c r="D276" s="11">
        <f>_xlfn.XLOOKUP(TableDailySummary[[#This Row],[Fecha]],SummaryDaily[day],SummaryDaily[net_sales],0)</f>
        <v>0</v>
      </c>
      <c r="E276" s="11">
        <f>_xlfn.XLOOKUP(TableDailySummary[[#This Row],[Fecha]],SummaryDaily[day],SummaryDaily[orders],0)</f>
        <v>0</v>
      </c>
      <c r="F276" s="11">
        <f>_xlfn.XLOOKUP(TableDailySummary[[#This Row],[Fecha]],SummaryDaily[day],SummaryDaily[average_order_value],0)</f>
        <v>0</v>
      </c>
      <c r="G276" s="24" cm="1">
        <f t="array" ref="G276">_xlfn.XLOOKUP(TableDailySummary[[#This Row],[Fecha]]&amp;"Total site",ConversionRateByReferral[day]&amp;ConversionRateByReferral[referrer_source],ConversionRateByReferral[conversion_rate],0)</f>
        <v>0</v>
      </c>
      <c r="H276" s="11">
        <f>TableDailySummary[[#This Row],[Órden promedio totales]]*TableDailySummary[[#This Row],[CR totales]]</f>
        <v>0</v>
      </c>
      <c r="I276" s="11">
        <f>_xlfn.XLOOKUP(TableDailySummary[[#This Row],[Fecha]],SummaryDaily[day],SummaryDaily[new_net_sales],0)</f>
        <v>0</v>
      </c>
      <c r="J276" s="11">
        <f>_xlfn.XLOOKUP(TableDailySummary[[#This Row],[Fecha]],SummaryDaily[day],SummaryDaily[new_orders],0)</f>
        <v>0</v>
      </c>
      <c r="K276" s="11">
        <f>_xlfn.XLOOKUP(TableDailySummary[[#This Row],[Fecha]],SummaryDaily[day],SummaryDaily[new_average_order_value],0)</f>
        <v>0</v>
      </c>
      <c r="L276" s="11">
        <f>_xlfn.XLOOKUP(TableDailySummary[[#This Row],[Fecha]],SummaryDaily[day],SummaryDaily[Online Store_net_sales],0)</f>
        <v>0</v>
      </c>
      <c r="M276" s="11">
        <f>_xlfn.XLOOKUP(TableDailySummary[[#This Row],[Fecha]],SummaryDaily[day],SummaryDaily[Online Store_orders],0)</f>
        <v>0</v>
      </c>
      <c r="N276" s="11">
        <f>_xlfn.XLOOKUP(TableDailySummary[[#This Row],[Fecha]],SummaryDaily[day],SummaryDaily[Online Store_average_order_value],0)</f>
        <v>0</v>
      </c>
      <c r="O276" s="11">
        <f>_xlfn.XLOOKUP(TableDailySummary[[#This Row],[Fecha]],SummaryDaily[day],SummaryDaily[Tienda 81_net_sales],0)</f>
        <v>0</v>
      </c>
      <c r="P276" s="11">
        <f>_xlfn.XLOOKUP(TableDailySummary[[#This Row],[Fecha]],SummaryDaily[day],SummaryDaily[Tienda 81_orders],0)</f>
        <v>0</v>
      </c>
      <c r="Q276" s="11">
        <f>_xlfn.XLOOKUP(TableDailySummary[[#This Row],[Fecha]],SummaryDaily[day],SummaryDaily[Tienda 81_average_order_value],0)</f>
        <v>0</v>
      </c>
      <c r="R276" s="11">
        <f>_xlfn.XLOOKUP(TableDailySummary[[#This Row],[Fecha]],SummaryDaily[day],SummaryDaily[Rappi_net_sales],0)</f>
        <v>0</v>
      </c>
      <c r="S276" s="11">
        <f>_xlfn.XLOOKUP(TableDailySummary[[#This Row],[Fecha]],SummaryDaily[day],SummaryDaily[Rappi_orders],0)</f>
        <v>0</v>
      </c>
      <c r="T276" s="11">
        <f>_xlfn.XLOOKUP(TableDailySummary[[#This Row],[Fecha]],SummaryDaily[day],SummaryDaily[Rappi_average_order_value],0)</f>
        <v>0</v>
      </c>
      <c r="U276" s="11">
        <f>_xlfn.XLOOKUP(TableDailySummary[[#This Row],[Fecha]],SummaryDaily[day],SummaryDaily[Corporativo no tienda_net_sales],0)</f>
        <v>0</v>
      </c>
      <c r="V276" s="11">
        <f>_xlfn.XLOOKUP(TableDailySummary[[#This Row],[Fecha]],SummaryDaily[day],SummaryDaily[Corporativo no tienda_orders],0)</f>
        <v>0</v>
      </c>
      <c r="W276" s="11">
        <f>_xlfn.XLOOKUP(TableDailySummary[[#This Row],[Fecha]],SummaryDaily[day],SummaryDaily[Corporativo no tienda_average_order_value],0)</f>
        <v>0</v>
      </c>
      <c r="X276" s="11">
        <f>_xlfn.XLOOKUP(TableDailySummary[[#This Row],[Fecha]],SummaryDaily[day],SummaryDaily[GoogleAdsOperation.Cost],0)</f>
        <v>0</v>
      </c>
      <c r="Y276" s="11">
        <f>SUMIFS(SalesByUTMDaily[google],SalesByUTMDaily[day],TableDailySummary[[#This Row],[Fecha]])</f>
        <v>0</v>
      </c>
      <c r="Z276" s="11">
        <f>_xlfn.XLOOKUP(TableDailySummary[[#This Row],[Fecha]],SummaryDaily[day],SummaryDaily[MetaAdsOperation.spend],0)</f>
        <v>0</v>
      </c>
      <c r="AA276" s="11">
        <f>SUMIFS(SalesByUTMDaily[facebook],SalesByUTMDaily[day],TableDailySummary[[#This Row],[Fecha]])</f>
        <v>0</v>
      </c>
      <c r="AB276" s="11">
        <f>TableDailySummary[[#This Row],[Inversión google ads]]+TableDailySummary[[#This Row],[Inversión meta ads]]</f>
        <v>0</v>
      </c>
      <c r="AC276" s="11">
        <f>TableDailySummary[[#This Row],[Ventas google ads]]+TableDailySummary[[#This Row],[Ventas meta ads]]</f>
        <v>0</v>
      </c>
      <c r="AD276" s="14">
        <f>IFERROR(TableDailySummary[[#This Row],[Ventas publicidad]]/TableDailySummary[[#This Row],[Inversión publicidad]],0)</f>
        <v>0</v>
      </c>
      <c r="AE276" s="14">
        <f>IFERROR(TableDailySummary[[#This Row],[Ventas primer cliente]]/TableDailySummary[[#This Row],[Inversión publicidad]],0)</f>
        <v>0</v>
      </c>
      <c r="AF276" s="14"/>
      <c r="AG276" s="11"/>
      <c r="AM276" s="11">
        <f>_xlfn.XLOOKUP(TableDailySummary[[#This Row],[Fecha]],SummaryDaily[day],SummaryDaily[net_sales_with_cost_recorded],0)</f>
        <v>0</v>
      </c>
      <c r="AN276" s="11">
        <f>_xlfn.XLOOKUP(TableDailySummary[[#This Row],[Fecha]],SummaryDaily[day],SummaryDaily[cost_of_goods_sold],0)</f>
        <v>0</v>
      </c>
      <c r="AO276" s="11">
        <f>_xlfn.XLOOKUP(TableDailySummary[[#This Row],[Fecha]],SummaryDaily[day],SummaryDaily[gross_profit],0)</f>
        <v>0</v>
      </c>
      <c r="AP276" s="18">
        <f>IFERROR(TableDailySummary[[#This Row],[Utilidad bruta]]/TableDailySummary[[#This Row],[Ventas netas con costo registrado]],0)</f>
        <v>0</v>
      </c>
    </row>
    <row r="277" spans="2:42" x14ac:dyDescent="0.2">
      <c r="B277" s="15" cm="1">
        <f t="array" ref="B277">ParamFechaInicioReporte + (ROW(TableDailySummary[#This Row]) - ROW(TableDailySummary[[#Headers],[Dia]]) - 1)</f>
        <v>44804</v>
      </c>
      <c r="C277" s="6">
        <f>TableDailySummary[[#This Row],[Dia]]</f>
        <v>44804</v>
      </c>
      <c r="D277" s="11">
        <f>_xlfn.XLOOKUP(TableDailySummary[[#This Row],[Fecha]],SummaryDaily[day],SummaryDaily[net_sales],0)</f>
        <v>0</v>
      </c>
      <c r="E277" s="11">
        <f>_xlfn.XLOOKUP(TableDailySummary[[#This Row],[Fecha]],SummaryDaily[day],SummaryDaily[orders],0)</f>
        <v>0</v>
      </c>
      <c r="F277" s="11">
        <f>_xlfn.XLOOKUP(TableDailySummary[[#This Row],[Fecha]],SummaryDaily[day],SummaryDaily[average_order_value],0)</f>
        <v>0</v>
      </c>
      <c r="G277" s="24" cm="1">
        <f t="array" ref="G277">_xlfn.XLOOKUP(TableDailySummary[[#This Row],[Fecha]]&amp;"Total site",ConversionRateByReferral[day]&amp;ConversionRateByReferral[referrer_source],ConversionRateByReferral[conversion_rate],0)</f>
        <v>0</v>
      </c>
      <c r="H277" s="11">
        <f>TableDailySummary[[#This Row],[Órden promedio totales]]*TableDailySummary[[#This Row],[CR totales]]</f>
        <v>0</v>
      </c>
      <c r="I277" s="11">
        <f>_xlfn.XLOOKUP(TableDailySummary[[#This Row],[Fecha]],SummaryDaily[day],SummaryDaily[new_net_sales],0)</f>
        <v>0</v>
      </c>
      <c r="J277" s="11">
        <f>_xlfn.XLOOKUP(TableDailySummary[[#This Row],[Fecha]],SummaryDaily[day],SummaryDaily[new_orders],0)</f>
        <v>0</v>
      </c>
      <c r="K277" s="11">
        <f>_xlfn.XLOOKUP(TableDailySummary[[#This Row],[Fecha]],SummaryDaily[day],SummaryDaily[new_average_order_value],0)</f>
        <v>0</v>
      </c>
      <c r="L277" s="11">
        <f>_xlfn.XLOOKUP(TableDailySummary[[#This Row],[Fecha]],SummaryDaily[day],SummaryDaily[Online Store_net_sales],0)</f>
        <v>0</v>
      </c>
      <c r="M277" s="11">
        <f>_xlfn.XLOOKUP(TableDailySummary[[#This Row],[Fecha]],SummaryDaily[day],SummaryDaily[Online Store_orders],0)</f>
        <v>0</v>
      </c>
      <c r="N277" s="11">
        <f>_xlfn.XLOOKUP(TableDailySummary[[#This Row],[Fecha]],SummaryDaily[day],SummaryDaily[Online Store_average_order_value],0)</f>
        <v>0</v>
      </c>
      <c r="O277" s="11">
        <f>_xlfn.XLOOKUP(TableDailySummary[[#This Row],[Fecha]],SummaryDaily[day],SummaryDaily[Tienda 81_net_sales],0)</f>
        <v>0</v>
      </c>
      <c r="P277" s="11">
        <f>_xlfn.XLOOKUP(TableDailySummary[[#This Row],[Fecha]],SummaryDaily[day],SummaryDaily[Tienda 81_orders],0)</f>
        <v>0</v>
      </c>
      <c r="Q277" s="11">
        <f>_xlfn.XLOOKUP(TableDailySummary[[#This Row],[Fecha]],SummaryDaily[day],SummaryDaily[Tienda 81_average_order_value],0)</f>
        <v>0</v>
      </c>
      <c r="R277" s="11">
        <f>_xlfn.XLOOKUP(TableDailySummary[[#This Row],[Fecha]],SummaryDaily[day],SummaryDaily[Rappi_net_sales],0)</f>
        <v>0</v>
      </c>
      <c r="S277" s="11">
        <f>_xlfn.XLOOKUP(TableDailySummary[[#This Row],[Fecha]],SummaryDaily[day],SummaryDaily[Rappi_orders],0)</f>
        <v>0</v>
      </c>
      <c r="T277" s="11">
        <f>_xlfn.XLOOKUP(TableDailySummary[[#This Row],[Fecha]],SummaryDaily[day],SummaryDaily[Rappi_average_order_value],0)</f>
        <v>0</v>
      </c>
      <c r="U277" s="11">
        <f>_xlfn.XLOOKUP(TableDailySummary[[#This Row],[Fecha]],SummaryDaily[day],SummaryDaily[Corporativo no tienda_net_sales],0)</f>
        <v>0</v>
      </c>
      <c r="V277" s="11">
        <f>_xlfn.XLOOKUP(TableDailySummary[[#This Row],[Fecha]],SummaryDaily[day],SummaryDaily[Corporativo no tienda_orders],0)</f>
        <v>0</v>
      </c>
      <c r="W277" s="11">
        <f>_xlfn.XLOOKUP(TableDailySummary[[#This Row],[Fecha]],SummaryDaily[day],SummaryDaily[Corporativo no tienda_average_order_value],0)</f>
        <v>0</v>
      </c>
      <c r="X277" s="11">
        <f>_xlfn.XLOOKUP(TableDailySummary[[#This Row],[Fecha]],SummaryDaily[day],SummaryDaily[GoogleAdsOperation.Cost],0)</f>
        <v>0</v>
      </c>
      <c r="Y277" s="11">
        <f>SUMIFS(SalesByUTMDaily[google],SalesByUTMDaily[day],TableDailySummary[[#This Row],[Fecha]])</f>
        <v>0</v>
      </c>
      <c r="Z277" s="11">
        <f>_xlfn.XLOOKUP(TableDailySummary[[#This Row],[Fecha]],SummaryDaily[day],SummaryDaily[MetaAdsOperation.spend],0)</f>
        <v>0</v>
      </c>
      <c r="AA277" s="11">
        <f>SUMIFS(SalesByUTMDaily[facebook],SalesByUTMDaily[day],TableDailySummary[[#This Row],[Fecha]])</f>
        <v>0</v>
      </c>
      <c r="AB277" s="11">
        <f>TableDailySummary[[#This Row],[Inversión google ads]]+TableDailySummary[[#This Row],[Inversión meta ads]]</f>
        <v>0</v>
      </c>
      <c r="AC277" s="11">
        <f>TableDailySummary[[#This Row],[Ventas google ads]]+TableDailySummary[[#This Row],[Ventas meta ads]]</f>
        <v>0</v>
      </c>
      <c r="AD277" s="14">
        <f>IFERROR(TableDailySummary[[#This Row],[Ventas publicidad]]/TableDailySummary[[#This Row],[Inversión publicidad]],0)</f>
        <v>0</v>
      </c>
      <c r="AE277" s="14">
        <f>IFERROR(TableDailySummary[[#This Row],[Ventas primer cliente]]/TableDailySummary[[#This Row],[Inversión publicidad]],0)</f>
        <v>0</v>
      </c>
      <c r="AF277" s="14"/>
      <c r="AG277" s="11"/>
      <c r="AM277" s="11">
        <f>_xlfn.XLOOKUP(TableDailySummary[[#This Row],[Fecha]],SummaryDaily[day],SummaryDaily[net_sales_with_cost_recorded],0)</f>
        <v>0</v>
      </c>
      <c r="AN277" s="11">
        <f>_xlfn.XLOOKUP(TableDailySummary[[#This Row],[Fecha]],SummaryDaily[day],SummaryDaily[cost_of_goods_sold],0)</f>
        <v>0</v>
      </c>
      <c r="AO277" s="11">
        <f>_xlfn.XLOOKUP(TableDailySummary[[#This Row],[Fecha]],SummaryDaily[day],SummaryDaily[gross_profit],0)</f>
        <v>0</v>
      </c>
      <c r="AP277" s="18">
        <f>IFERROR(TableDailySummary[[#This Row],[Utilidad bruta]]/TableDailySummary[[#This Row],[Ventas netas con costo registrado]],0)</f>
        <v>0</v>
      </c>
    </row>
    <row r="278" spans="2:42" x14ac:dyDescent="0.2">
      <c r="B278" s="15" cm="1">
        <f t="array" ref="B278">ParamFechaInicioReporte + (ROW(TableDailySummary[#This Row]) - ROW(TableDailySummary[[#Headers],[Dia]]) - 1)</f>
        <v>44805</v>
      </c>
      <c r="C278" s="6">
        <f>TableDailySummary[[#This Row],[Dia]]</f>
        <v>44805</v>
      </c>
      <c r="D278" s="11">
        <f>_xlfn.XLOOKUP(TableDailySummary[[#This Row],[Fecha]],SummaryDaily[day],SummaryDaily[net_sales],0)</f>
        <v>0</v>
      </c>
      <c r="E278" s="11">
        <f>_xlfn.XLOOKUP(TableDailySummary[[#This Row],[Fecha]],SummaryDaily[day],SummaryDaily[orders],0)</f>
        <v>0</v>
      </c>
      <c r="F278" s="11">
        <f>_xlfn.XLOOKUP(TableDailySummary[[#This Row],[Fecha]],SummaryDaily[day],SummaryDaily[average_order_value],0)</f>
        <v>0</v>
      </c>
      <c r="G278" s="24" cm="1">
        <f t="array" ref="G278">_xlfn.XLOOKUP(TableDailySummary[[#This Row],[Fecha]]&amp;"Total site",ConversionRateByReferral[day]&amp;ConversionRateByReferral[referrer_source],ConversionRateByReferral[conversion_rate],0)</f>
        <v>0</v>
      </c>
      <c r="H278" s="11">
        <f>TableDailySummary[[#This Row],[Órden promedio totales]]*TableDailySummary[[#This Row],[CR totales]]</f>
        <v>0</v>
      </c>
      <c r="I278" s="11">
        <f>_xlfn.XLOOKUP(TableDailySummary[[#This Row],[Fecha]],SummaryDaily[day],SummaryDaily[new_net_sales],0)</f>
        <v>0</v>
      </c>
      <c r="J278" s="11">
        <f>_xlfn.XLOOKUP(TableDailySummary[[#This Row],[Fecha]],SummaryDaily[day],SummaryDaily[new_orders],0)</f>
        <v>0</v>
      </c>
      <c r="K278" s="11">
        <f>_xlfn.XLOOKUP(TableDailySummary[[#This Row],[Fecha]],SummaryDaily[day],SummaryDaily[new_average_order_value],0)</f>
        <v>0</v>
      </c>
      <c r="L278" s="11">
        <f>_xlfn.XLOOKUP(TableDailySummary[[#This Row],[Fecha]],SummaryDaily[day],SummaryDaily[Online Store_net_sales],0)</f>
        <v>0</v>
      </c>
      <c r="M278" s="11">
        <f>_xlfn.XLOOKUP(TableDailySummary[[#This Row],[Fecha]],SummaryDaily[day],SummaryDaily[Online Store_orders],0)</f>
        <v>0</v>
      </c>
      <c r="N278" s="11">
        <f>_xlfn.XLOOKUP(TableDailySummary[[#This Row],[Fecha]],SummaryDaily[day],SummaryDaily[Online Store_average_order_value],0)</f>
        <v>0</v>
      </c>
      <c r="O278" s="11">
        <f>_xlfn.XLOOKUP(TableDailySummary[[#This Row],[Fecha]],SummaryDaily[day],SummaryDaily[Tienda 81_net_sales],0)</f>
        <v>0</v>
      </c>
      <c r="P278" s="11">
        <f>_xlfn.XLOOKUP(TableDailySummary[[#This Row],[Fecha]],SummaryDaily[day],SummaryDaily[Tienda 81_orders],0)</f>
        <v>0</v>
      </c>
      <c r="Q278" s="11">
        <f>_xlfn.XLOOKUP(TableDailySummary[[#This Row],[Fecha]],SummaryDaily[day],SummaryDaily[Tienda 81_average_order_value],0)</f>
        <v>0</v>
      </c>
      <c r="R278" s="11">
        <f>_xlfn.XLOOKUP(TableDailySummary[[#This Row],[Fecha]],SummaryDaily[day],SummaryDaily[Rappi_net_sales],0)</f>
        <v>0</v>
      </c>
      <c r="S278" s="11">
        <f>_xlfn.XLOOKUP(TableDailySummary[[#This Row],[Fecha]],SummaryDaily[day],SummaryDaily[Rappi_orders],0)</f>
        <v>0</v>
      </c>
      <c r="T278" s="11">
        <f>_xlfn.XLOOKUP(TableDailySummary[[#This Row],[Fecha]],SummaryDaily[day],SummaryDaily[Rappi_average_order_value],0)</f>
        <v>0</v>
      </c>
      <c r="U278" s="11">
        <f>_xlfn.XLOOKUP(TableDailySummary[[#This Row],[Fecha]],SummaryDaily[day],SummaryDaily[Corporativo no tienda_net_sales],0)</f>
        <v>0</v>
      </c>
      <c r="V278" s="11">
        <f>_xlfn.XLOOKUP(TableDailySummary[[#This Row],[Fecha]],SummaryDaily[day],SummaryDaily[Corporativo no tienda_orders],0)</f>
        <v>0</v>
      </c>
      <c r="W278" s="11">
        <f>_xlfn.XLOOKUP(TableDailySummary[[#This Row],[Fecha]],SummaryDaily[day],SummaryDaily[Corporativo no tienda_average_order_value],0)</f>
        <v>0</v>
      </c>
      <c r="X278" s="11">
        <f>_xlfn.XLOOKUP(TableDailySummary[[#This Row],[Fecha]],SummaryDaily[day],SummaryDaily[GoogleAdsOperation.Cost],0)</f>
        <v>0</v>
      </c>
      <c r="Y278" s="11">
        <f>SUMIFS(SalesByUTMDaily[google],SalesByUTMDaily[day],TableDailySummary[[#This Row],[Fecha]])</f>
        <v>0</v>
      </c>
      <c r="Z278" s="11">
        <f>_xlfn.XLOOKUP(TableDailySummary[[#This Row],[Fecha]],SummaryDaily[day],SummaryDaily[MetaAdsOperation.spend],0)</f>
        <v>0</v>
      </c>
      <c r="AA278" s="11">
        <f>SUMIFS(SalesByUTMDaily[facebook],SalesByUTMDaily[day],TableDailySummary[[#This Row],[Fecha]])</f>
        <v>0</v>
      </c>
      <c r="AB278" s="11">
        <f>TableDailySummary[[#This Row],[Inversión google ads]]+TableDailySummary[[#This Row],[Inversión meta ads]]</f>
        <v>0</v>
      </c>
      <c r="AC278" s="11">
        <f>TableDailySummary[[#This Row],[Ventas google ads]]+TableDailySummary[[#This Row],[Ventas meta ads]]</f>
        <v>0</v>
      </c>
      <c r="AD278" s="14">
        <f>IFERROR(TableDailySummary[[#This Row],[Ventas publicidad]]/TableDailySummary[[#This Row],[Inversión publicidad]],0)</f>
        <v>0</v>
      </c>
      <c r="AE278" s="14">
        <f>IFERROR(TableDailySummary[[#This Row],[Ventas primer cliente]]/TableDailySummary[[#This Row],[Inversión publicidad]],0)</f>
        <v>0</v>
      </c>
      <c r="AF278" s="14"/>
      <c r="AG278" s="11"/>
      <c r="AM278" s="11">
        <f>_xlfn.XLOOKUP(TableDailySummary[[#This Row],[Fecha]],SummaryDaily[day],SummaryDaily[net_sales_with_cost_recorded],0)</f>
        <v>0</v>
      </c>
      <c r="AN278" s="11">
        <f>_xlfn.XLOOKUP(TableDailySummary[[#This Row],[Fecha]],SummaryDaily[day],SummaryDaily[cost_of_goods_sold],0)</f>
        <v>0</v>
      </c>
      <c r="AO278" s="11">
        <f>_xlfn.XLOOKUP(TableDailySummary[[#This Row],[Fecha]],SummaryDaily[day],SummaryDaily[gross_profit],0)</f>
        <v>0</v>
      </c>
      <c r="AP278" s="18">
        <f>IFERROR(TableDailySummary[[#This Row],[Utilidad bruta]]/TableDailySummary[[#This Row],[Ventas netas con costo registrado]],0)</f>
        <v>0</v>
      </c>
    </row>
    <row r="279" spans="2:42" x14ac:dyDescent="0.2">
      <c r="B279" s="15" cm="1">
        <f t="array" ref="B279">ParamFechaInicioReporte + (ROW(TableDailySummary[#This Row]) - ROW(TableDailySummary[[#Headers],[Dia]]) - 1)</f>
        <v>44806</v>
      </c>
      <c r="C279" s="6">
        <f>TableDailySummary[[#This Row],[Dia]]</f>
        <v>44806</v>
      </c>
      <c r="D279" s="11">
        <f>_xlfn.XLOOKUP(TableDailySummary[[#This Row],[Fecha]],SummaryDaily[day],SummaryDaily[net_sales],0)</f>
        <v>0</v>
      </c>
      <c r="E279" s="11">
        <f>_xlfn.XLOOKUP(TableDailySummary[[#This Row],[Fecha]],SummaryDaily[day],SummaryDaily[orders],0)</f>
        <v>0</v>
      </c>
      <c r="F279" s="11">
        <f>_xlfn.XLOOKUP(TableDailySummary[[#This Row],[Fecha]],SummaryDaily[day],SummaryDaily[average_order_value],0)</f>
        <v>0</v>
      </c>
      <c r="G279" s="24" cm="1">
        <f t="array" ref="G279">_xlfn.XLOOKUP(TableDailySummary[[#This Row],[Fecha]]&amp;"Total site",ConversionRateByReferral[day]&amp;ConversionRateByReferral[referrer_source],ConversionRateByReferral[conversion_rate],0)</f>
        <v>0</v>
      </c>
      <c r="H279" s="11">
        <f>TableDailySummary[[#This Row],[Órden promedio totales]]*TableDailySummary[[#This Row],[CR totales]]</f>
        <v>0</v>
      </c>
      <c r="I279" s="11">
        <f>_xlfn.XLOOKUP(TableDailySummary[[#This Row],[Fecha]],SummaryDaily[day],SummaryDaily[new_net_sales],0)</f>
        <v>0</v>
      </c>
      <c r="J279" s="11">
        <f>_xlfn.XLOOKUP(TableDailySummary[[#This Row],[Fecha]],SummaryDaily[day],SummaryDaily[new_orders],0)</f>
        <v>0</v>
      </c>
      <c r="K279" s="11">
        <f>_xlfn.XLOOKUP(TableDailySummary[[#This Row],[Fecha]],SummaryDaily[day],SummaryDaily[new_average_order_value],0)</f>
        <v>0</v>
      </c>
      <c r="L279" s="11">
        <f>_xlfn.XLOOKUP(TableDailySummary[[#This Row],[Fecha]],SummaryDaily[day],SummaryDaily[Online Store_net_sales],0)</f>
        <v>0</v>
      </c>
      <c r="M279" s="11">
        <f>_xlfn.XLOOKUP(TableDailySummary[[#This Row],[Fecha]],SummaryDaily[day],SummaryDaily[Online Store_orders],0)</f>
        <v>0</v>
      </c>
      <c r="N279" s="11">
        <f>_xlfn.XLOOKUP(TableDailySummary[[#This Row],[Fecha]],SummaryDaily[day],SummaryDaily[Online Store_average_order_value],0)</f>
        <v>0</v>
      </c>
      <c r="O279" s="11">
        <f>_xlfn.XLOOKUP(TableDailySummary[[#This Row],[Fecha]],SummaryDaily[day],SummaryDaily[Tienda 81_net_sales],0)</f>
        <v>0</v>
      </c>
      <c r="P279" s="11">
        <f>_xlfn.XLOOKUP(TableDailySummary[[#This Row],[Fecha]],SummaryDaily[day],SummaryDaily[Tienda 81_orders],0)</f>
        <v>0</v>
      </c>
      <c r="Q279" s="11">
        <f>_xlfn.XLOOKUP(TableDailySummary[[#This Row],[Fecha]],SummaryDaily[day],SummaryDaily[Tienda 81_average_order_value],0)</f>
        <v>0</v>
      </c>
      <c r="R279" s="11">
        <f>_xlfn.XLOOKUP(TableDailySummary[[#This Row],[Fecha]],SummaryDaily[day],SummaryDaily[Rappi_net_sales],0)</f>
        <v>0</v>
      </c>
      <c r="S279" s="11">
        <f>_xlfn.XLOOKUP(TableDailySummary[[#This Row],[Fecha]],SummaryDaily[day],SummaryDaily[Rappi_orders],0)</f>
        <v>0</v>
      </c>
      <c r="T279" s="11">
        <f>_xlfn.XLOOKUP(TableDailySummary[[#This Row],[Fecha]],SummaryDaily[day],SummaryDaily[Rappi_average_order_value],0)</f>
        <v>0</v>
      </c>
      <c r="U279" s="11">
        <f>_xlfn.XLOOKUP(TableDailySummary[[#This Row],[Fecha]],SummaryDaily[day],SummaryDaily[Corporativo no tienda_net_sales],0)</f>
        <v>0</v>
      </c>
      <c r="V279" s="11">
        <f>_xlfn.XLOOKUP(TableDailySummary[[#This Row],[Fecha]],SummaryDaily[day],SummaryDaily[Corporativo no tienda_orders],0)</f>
        <v>0</v>
      </c>
      <c r="W279" s="11">
        <f>_xlfn.XLOOKUP(TableDailySummary[[#This Row],[Fecha]],SummaryDaily[day],SummaryDaily[Corporativo no tienda_average_order_value],0)</f>
        <v>0</v>
      </c>
      <c r="X279" s="11">
        <f>_xlfn.XLOOKUP(TableDailySummary[[#This Row],[Fecha]],SummaryDaily[day],SummaryDaily[GoogleAdsOperation.Cost],0)</f>
        <v>0</v>
      </c>
      <c r="Y279" s="11">
        <f>SUMIFS(SalesByUTMDaily[google],SalesByUTMDaily[day],TableDailySummary[[#This Row],[Fecha]])</f>
        <v>0</v>
      </c>
      <c r="Z279" s="11">
        <f>_xlfn.XLOOKUP(TableDailySummary[[#This Row],[Fecha]],SummaryDaily[day],SummaryDaily[MetaAdsOperation.spend],0)</f>
        <v>0</v>
      </c>
      <c r="AA279" s="11">
        <f>SUMIFS(SalesByUTMDaily[facebook],SalesByUTMDaily[day],TableDailySummary[[#This Row],[Fecha]])</f>
        <v>0</v>
      </c>
      <c r="AB279" s="11">
        <f>TableDailySummary[[#This Row],[Inversión google ads]]+TableDailySummary[[#This Row],[Inversión meta ads]]</f>
        <v>0</v>
      </c>
      <c r="AC279" s="11">
        <f>TableDailySummary[[#This Row],[Ventas google ads]]+TableDailySummary[[#This Row],[Ventas meta ads]]</f>
        <v>0</v>
      </c>
      <c r="AD279" s="14">
        <f>IFERROR(TableDailySummary[[#This Row],[Ventas publicidad]]/TableDailySummary[[#This Row],[Inversión publicidad]],0)</f>
        <v>0</v>
      </c>
      <c r="AE279" s="14">
        <f>IFERROR(TableDailySummary[[#This Row],[Ventas primer cliente]]/TableDailySummary[[#This Row],[Inversión publicidad]],0)</f>
        <v>0</v>
      </c>
      <c r="AF279" s="14"/>
      <c r="AG279" s="11"/>
      <c r="AM279" s="11">
        <f>_xlfn.XLOOKUP(TableDailySummary[[#This Row],[Fecha]],SummaryDaily[day],SummaryDaily[net_sales_with_cost_recorded],0)</f>
        <v>0</v>
      </c>
      <c r="AN279" s="11">
        <f>_xlfn.XLOOKUP(TableDailySummary[[#This Row],[Fecha]],SummaryDaily[day],SummaryDaily[cost_of_goods_sold],0)</f>
        <v>0</v>
      </c>
      <c r="AO279" s="11">
        <f>_xlfn.XLOOKUP(TableDailySummary[[#This Row],[Fecha]],SummaryDaily[day],SummaryDaily[gross_profit],0)</f>
        <v>0</v>
      </c>
      <c r="AP279" s="18">
        <f>IFERROR(TableDailySummary[[#This Row],[Utilidad bruta]]/TableDailySummary[[#This Row],[Ventas netas con costo registrado]],0)</f>
        <v>0</v>
      </c>
    </row>
    <row r="280" spans="2:42" x14ac:dyDescent="0.2">
      <c r="B280" s="15" cm="1">
        <f t="array" ref="B280">ParamFechaInicioReporte + (ROW(TableDailySummary[#This Row]) - ROW(TableDailySummary[[#Headers],[Dia]]) - 1)</f>
        <v>44807</v>
      </c>
      <c r="C280" s="6">
        <f>TableDailySummary[[#This Row],[Dia]]</f>
        <v>44807</v>
      </c>
      <c r="D280" s="11">
        <f>_xlfn.XLOOKUP(TableDailySummary[[#This Row],[Fecha]],SummaryDaily[day],SummaryDaily[net_sales],0)</f>
        <v>0</v>
      </c>
      <c r="E280" s="11">
        <f>_xlfn.XLOOKUP(TableDailySummary[[#This Row],[Fecha]],SummaryDaily[day],SummaryDaily[orders],0)</f>
        <v>0</v>
      </c>
      <c r="F280" s="11">
        <f>_xlfn.XLOOKUP(TableDailySummary[[#This Row],[Fecha]],SummaryDaily[day],SummaryDaily[average_order_value],0)</f>
        <v>0</v>
      </c>
      <c r="G280" s="24" cm="1">
        <f t="array" ref="G280">_xlfn.XLOOKUP(TableDailySummary[[#This Row],[Fecha]]&amp;"Total site",ConversionRateByReferral[day]&amp;ConversionRateByReferral[referrer_source],ConversionRateByReferral[conversion_rate],0)</f>
        <v>0</v>
      </c>
      <c r="H280" s="11">
        <f>TableDailySummary[[#This Row],[Órden promedio totales]]*TableDailySummary[[#This Row],[CR totales]]</f>
        <v>0</v>
      </c>
      <c r="I280" s="11">
        <f>_xlfn.XLOOKUP(TableDailySummary[[#This Row],[Fecha]],SummaryDaily[day],SummaryDaily[new_net_sales],0)</f>
        <v>0</v>
      </c>
      <c r="J280" s="11">
        <f>_xlfn.XLOOKUP(TableDailySummary[[#This Row],[Fecha]],SummaryDaily[day],SummaryDaily[new_orders],0)</f>
        <v>0</v>
      </c>
      <c r="K280" s="11">
        <f>_xlfn.XLOOKUP(TableDailySummary[[#This Row],[Fecha]],SummaryDaily[day],SummaryDaily[new_average_order_value],0)</f>
        <v>0</v>
      </c>
      <c r="L280" s="11">
        <f>_xlfn.XLOOKUP(TableDailySummary[[#This Row],[Fecha]],SummaryDaily[day],SummaryDaily[Online Store_net_sales],0)</f>
        <v>0</v>
      </c>
      <c r="M280" s="11">
        <f>_xlfn.XLOOKUP(TableDailySummary[[#This Row],[Fecha]],SummaryDaily[day],SummaryDaily[Online Store_orders],0)</f>
        <v>0</v>
      </c>
      <c r="N280" s="11">
        <f>_xlfn.XLOOKUP(TableDailySummary[[#This Row],[Fecha]],SummaryDaily[day],SummaryDaily[Online Store_average_order_value],0)</f>
        <v>0</v>
      </c>
      <c r="O280" s="11">
        <f>_xlfn.XLOOKUP(TableDailySummary[[#This Row],[Fecha]],SummaryDaily[day],SummaryDaily[Tienda 81_net_sales],0)</f>
        <v>0</v>
      </c>
      <c r="P280" s="11">
        <f>_xlfn.XLOOKUP(TableDailySummary[[#This Row],[Fecha]],SummaryDaily[day],SummaryDaily[Tienda 81_orders],0)</f>
        <v>0</v>
      </c>
      <c r="Q280" s="11">
        <f>_xlfn.XLOOKUP(TableDailySummary[[#This Row],[Fecha]],SummaryDaily[day],SummaryDaily[Tienda 81_average_order_value],0)</f>
        <v>0</v>
      </c>
      <c r="R280" s="11">
        <f>_xlfn.XLOOKUP(TableDailySummary[[#This Row],[Fecha]],SummaryDaily[day],SummaryDaily[Rappi_net_sales],0)</f>
        <v>0</v>
      </c>
      <c r="S280" s="11">
        <f>_xlfn.XLOOKUP(TableDailySummary[[#This Row],[Fecha]],SummaryDaily[day],SummaryDaily[Rappi_orders],0)</f>
        <v>0</v>
      </c>
      <c r="T280" s="11">
        <f>_xlfn.XLOOKUP(TableDailySummary[[#This Row],[Fecha]],SummaryDaily[day],SummaryDaily[Rappi_average_order_value],0)</f>
        <v>0</v>
      </c>
      <c r="U280" s="11">
        <f>_xlfn.XLOOKUP(TableDailySummary[[#This Row],[Fecha]],SummaryDaily[day],SummaryDaily[Corporativo no tienda_net_sales],0)</f>
        <v>0</v>
      </c>
      <c r="V280" s="11">
        <f>_xlfn.XLOOKUP(TableDailySummary[[#This Row],[Fecha]],SummaryDaily[day],SummaryDaily[Corporativo no tienda_orders],0)</f>
        <v>0</v>
      </c>
      <c r="W280" s="11">
        <f>_xlfn.XLOOKUP(TableDailySummary[[#This Row],[Fecha]],SummaryDaily[day],SummaryDaily[Corporativo no tienda_average_order_value],0)</f>
        <v>0</v>
      </c>
      <c r="X280" s="11">
        <f>_xlfn.XLOOKUP(TableDailySummary[[#This Row],[Fecha]],SummaryDaily[day],SummaryDaily[GoogleAdsOperation.Cost],0)</f>
        <v>0</v>
      </c>
      <c r="Y280" s="11">
        <f>SUMIFS(SalesByUTMDaily[google],SalesByUTMDaily[day],TableDailySummary[[#This Row],[Fecha]])</f>
        <v>0</v>
      </c>
      <c r="Z280" s="11">
        <f>_xlfn.XLOOKUP(TableDailySummary[[#This Row],[Fecha]],SummaryDaily[day],SummaryDaily[MetaAdsOperation.spend],0)</f>
        <v>0</v>
      </c>
      <c r="AA280" s="11">
        <f>SUMIFS(SalesByUTMDaily[facebook],SalesByUTMDaily[day],TableDailySummary[[#This Row],[Fecha]])</f>
        <v>0</v>
      </c>
      <c r="AB280" s="11">
        <f>TableDailySummary[[#This Row],[Inversión google ads]]+TableDailySummary[[#This Row],[Inversión meta ads]]</f>
        <v>0</v>
      </c>
      <c r="AC280" s="11">
        <f>TableDailySummary[[#This Row],[Ventas google ads]]+TableDailySummary[[#This Row],[Ventas meta ads]]</f>
        <v>0</v>
      </c>
      <c r="AD280" s="14">
        <f>IFERROR(TableDailySummary[[#This Row],[Ventas publicidad]]/TableDailySummary[[#This Row],[Inversión publicidad]],0)</f>
        <v>0</v>
      </c>
      <c r="AE280" s="14">
        <f>IFERROR(TableDailySummary[[#This Row],[Ventas primer cliente]]/TableDailySummary[[#This Row],[Inversión publicidad]],0)</f>
        <v>0</v>
      </c>
      <c r="AF280" s="14"/>
      <c r="AG280" s="11"/>
      <c r="AM280" s="11">
        <f>_xlfn.XLOOKUP(TableDailySummary[[#This Row],[Fecha]],SummaryDaily[day],SummaryDaily[net_sales_with_cost_recorded],0)</f>
        <v>0</v>
      </c>
      <c r="AN280" s="11">
        <f>_xlfn.XLOOKUP(TableDailySummary[[#This Row],[Fecha]],SummaryDaily[day],SummaryDaily[cost_of_goods_sold],0)</f>
        <v>0</v>
      </c>
      <c r="AO280" s="11">
        <f>_xlfn.XLOOKUP(TableDailySummary[[#This Row],[Fecha]],SummaryDaily[day],SummaryDaily[gross_profit],0)</f>
        <v>0</v>
      </c>
      <c r="AP280" s="18">
        <f>IFERROR(TableDailySummary[[#This Row],[Utilidad bruta]]/TableDailySummary[[#This Row],[Ventas netas con costo registrado]],0)</f>
        <v>0</v>
      </c>
    </row>
    <row r="281" spans="2:42" x14ac:dyDescent="0.2">
      <c r="B281" s="15" cm="1">
        <f t="array" ref="B281">ParamFechaInicioReporte + (ROW(TableDailySummary[#This Row]) - ROW(TableDailySummary[[#Headers],[Dia]]) - 1)</f>
        <v>44808</v>
      </c>
      <c r="C281" s="6">
        <f>TableDailySummary[[#This Row],[Dia]]</f>
        <v>44808</v>
      </c>
      <c r="D281" s="11">
        <f>_xlfn.XLOOKUP(TableDailySummary[[#This Row],[Fecha]],SummaryDaily[day],SummaryDaily[net_sales],0)</f>
        <v>0</v>
      </c>
      <c r="E281" s="11">
        <f>_xlfn.XLOOKUP(TableDailySummary[[#This Row],[Fecha]],SummaryDaily[day],SummaryDaily[orders],0)</f>
        <v>0</v>
      </c>
      <c r="F281" s="11">
        <f>_xlfn.XLOOKUP(TableDailySummary[[#This Row],[Fecha]],SummaryDaily[day],SummaryDaily[average_order_value],0)</f>
        <v>0</v>
      </c>
      <c r="G281" s="24" cm="1">
        <f t="array" ref="G281">_xlfn.XLOOKUP(TableDailySummary[[#This Row],[Fecha]]&amp;"Total site",ConversionRateByReferral[day]&amp;ConversionRateByReferral[referrer_source],ConversionRateByReferral[conversion_rate],0)</f>
        <v>0</v>
      </c>
      <c r="H281" s="11">
        <f>TableDailySummary[[#This Row],[Órden promedio totales]]*TableDailySummary[[#This Row],[CR totales]]</f>
        <v>0</v>
      </c>
      <c r="I281" s="11">
        <f>_xlfn.XLOOKUP(TableDailySummary[[#This Row],[Fecha]],SummaryDaily[day],SummaryDaily[new_net_sales],0)</f>
        <v>0</v>
      </c>
      <c r="J281" s="11">
        <f>_xlfn.XLOOKUP(TableDailySummary[[#This Row],[Fecha]],SummaryDaily[day],SummaryDaily[new_orders],0)</f>
        <v>0</v>
      </c>
      <c r="K281" s="11">
        <f>_xlfn.XLOOKUP(TableDailySummary[[#This Row],[Fecha]],SummaryDaily[day],SummaryDaily[new_average_order_value],0)</f>
        <v>0</v>
      </c>
      <c r="L281" s="11">
        <f>_xlfn.XLOOKUP(TableDailySummary[[#This Row],[Fecha]],SummaryDaily[day],SummaryDaily[Online Store_net_sales],0)</f>
        <v>0</v>
      </c>
      <c r="M281" s="11">
        <f>_xlfn.XLOOKUP(TableDailySummary[[#This Row],[Fecha]],SummaryDaily[day],SummaryDaily[Online Store_orders],0)</f>
        <v>0</v>
      </c>
      <c r="N281" s="11">
        <f>_xlfn.XLOOKUP(TableDailySummary[[#This Row],[Fecha]],SummaryDaily[day],SummaryDaily[Online Store_average_order_value],0)</f>
        <v>0</v>
      </c>
      <c r="O281" s="11">
        <f>_xlfn.XLOOKUP(TableDailySummary[[#This Row],[Fecha]],SummaryDaily[day],SummaryDaily[Tienda 81_net_sales],0)</f>
        <v>0</v>
      </c>
      <c r="P281" s="11">
        <f>_xlfn.XLOOKUP(TableDailySummary[[#This Row],[Fecha]],SummaryDaily[day],SummaryDaily[Tienda 81_orders],0)</f>
        <v>0</v>
      </c>
      <c r="Q281" s="11">
        <f>_xlfn.XLOOKUP(TableDailySummary[[#This Row],[Fecha]],SummaryDaily[day],SummaryDaily[Tienda 81_average_order_value],0)</f>
        <v>0</v>
      </c>
      <c r="R281" s="11">
        <f>_xlfn.XLOOKUP(TableDailySummary[[#This Row],[Fecha]],SummaryDaily[day],SummaryDaily[Rappi_net_sales],0)</f>
        <v>0</v>
      </c>
      <c r="S281" s="11">
        <f>_xlfn.XLOOKUP(TableDailySummary[[#This Row],[Fecha]],SummaryDaily[day],SummaryDaily[Rappi_orders],0)</f>
        <v>0</v>
      </c>
      <c r="T281" s="11">
        <f>_xlfn.XLOOKUP(TableDailySummary[[#This Row],[Fecha]],SummaryDaily[day],SummaryDaily[Rappi_average_order_value],0)</f>
        <v>0</v>
      </c>
      <c r="U281" s="11">
        <f>_xlfn.XLOOKUP(TableDailySummary[[#This Row],[Fecha]],SummaryDaily[day],SummaryDaily[Corporativo no tienda_net_sales],0)</f>
        <v>0</v>
      </c>
      <c r="V281" s="11">
        <f>_xlfn.XLOOKUP(TableDailySummary[[#This Row],[Fecha]],SummaryDaily[day],SummaryDaily[Corporativo no tienda_orders],0)</f>
        <v>0</v>
      </c>
      <c r="W281" s="11">
        <f>_xlfn.XLOOKUP(TableDailySummary[[#This Row],[Fecha]],SummaryDaily[day],SummaryDaily[Corporativo no tienda_average_order_value],0)</f>
        <v>0</v>
      </c>
      <c r="X281" s="11">
        <f>_xlfn.XLOOKUP(TableDailySummary[[#This Row],[Fecha]],SummaryDaily[day],SummaryDaily[GoogleAdsOperation.Cost],0)</f>
        <v>0</v>
      </c>
      <c r="Y281" s="11">
        <f>SUMIFS(SalesByUTMDaily[google],SalesByUTMDaily[day],TableDailySummary[[#This Row],[Fecha]])</f>
        <v>0</v>
      </c>
      <c r="Z281" s="11">
        <f>_xlfn.XLOOKUP(TableDailySummary[[#This Row],[Fecha]],SummaryDaily[day],SummaryDaily[MetaAdsOperation.spend],0)</f>
        <v>0</v>
      </c>
      <c r="AA281" s="11">
        <f>SUMIFS(SalesByUTMDaily[facebook],SalesByUTMDaily[day],TableDailySummary[[#This Row],[Fecha]])</f>
        <v>0</v>
      </c>
      <c r="AB281" s="11">
        <f>TableDailySummary[[#This Row],[Inversión google ads]]+TableDailySummary[[#This Row],[Inversión meta ads]]</f>
        <v>0</v>
      </c>
      <c r="AC281" s="11">
        <f>TableDailySummary[[#This Row],[Ventas google ads]]+TableDailySummary[[#This Row],[Ventas meta ads]]</f>
        <v>0</v>
      </c>
      <c r="AD281" s="14">
        <f>IFERROR(TableDailySummary[[#This Row],[Ventas publicidad]]/TableDailySummary[[#This Row],[Inversión publicidad]],0)</f>
        <v>0</v>
      </c>
      <c r="AE281" s="14">
        <f>IFERROR(TableDailySummary[[#This Row],[Ventas primer cliente]]/TableDailySummary[[#This Row],[Inversión publicidad]],0)</f>
        <v>0</v>
      </c>
      <c r="AF281" s="14"/>
      <c r="AG281" s="11"/>
      <c r="AM281" s="11">
        <f>_xlfn.XLOOKUP(TableDailySummary[[#This Row],[Fecha]],SummaryDaily[day],SummaryDaily[net_sales_with_cost_recorded],0)</f>
        <v>0</v>
      </c>
      <c r="AN281" s="11">
        <f>_xlfn.XLOOKUP(TableDailySummary[[#This Row],[Fecha]],SummaryDaily[day],SummaryDaily[cost_of_goods_sold],0)</f>
        <v>0</v>
      </c>
      <c r="AO281" s="11">
        <f>_xlfn.XLOOKUP(TableDailySummary[[#This Row],[Fecha]],SummaryDaily[day],SummaryDaily[gross_profit],0)</f>
        <v>0</v>
      </c>
      <c r="AP281" s="18">
        <f>IFERROR(TableDailySummary[[#This Row],[Utilidad bruta]]/TableDailySummary[[#This Row],[Ventas netas con costo registrado]],0)</f>
        <v>0</v>
      </c>
    </row>
    <row r="282" spans="2:42" x14ac:dyDescent="0.2">
      <c r="B282" s="15" cm="1">
        <f t="array" ref="B282">ParamFechaInicioReporte + (ROW(TableDailySummary[#This Row]) - ROW(TableDailySummary[[#Headers],[Dia]]) - 1)</f>
        <v>44809</v>
      </c>
      <c r="C282" s="6">
        <f>TableDailySummary[[#This Row],[Dia]]</f>
        <v>44809</v>
      </c>
      <c r="D282" s="11">
        <f>_xlfn.XLOOKUP(TableDailySummary[[#This Row],[Fecha]],SummaryDaily[day],SummaryDaily[net_sales],0)</f>
        <v>0</v>
      </c>
      <c r="E282" s="11">
        <f>_xlfn.XLOOKUP(TableDailySummary[[#This Row],[Fecha]],SummaryDaily[day],SummaryDaily[orders],0)</f>
        <v>0</v>
      </c>
      <c r="F282" s="11">
        <f>_xlfn.XLOOKUP(TableDailySummary[[#This Row],[Fecha]],SummaryDaily[day],SummaryDaily[average_order_value],0)</f>
        <v>0</v>
      </c>
      <c r="G282" s="24" cm="1">
        <f t="array" ref="G282">_xlfn.XLOOKUP(TableDailySummary[[#This Row],[Fecha]]&amp;"Total site",ConversionRateByReferral[day]&amp;ConversionRateByReferral[referrer_source],ConversionRateByReferral[conversion_rate],0)</f>
        <v>0</v>
      </c>
      <c r="H282" s="11">
        <f>TableDailySummary[[#This Row],[Órden promedio totales]]*TableDailySummary[[#This Row],[CR totales]]</f>
        <v>0</v>
      </c>
      <c r="I282" s="11">
        <f>_xlfn.XLOOKUP(TableDailySummary[[#This Row],[Fecha]],SummaryDaily[day],SummaryDaily[new_net_sales],0)</f>
        <v>0</v>
      </c>
      <c r="J282" s="11">
        <f>_xlfn.XLOOKUP(TableDailySummary[[#This Row],[Fecha]],SummaryDaily[day],SummaryDaily[new_orders],0)</f>
        <v>0</v>
      </c>
      <c r="K282" s="11">
        <f>_xlfn.XLOOKUP(TableDailySummary[[#This Row],[Fecha]],SummaryDaily[day],SummaryDaily[new_average_order_value],0)</f>
        <v>0</v>
      </c>
      <c r="L282" s="11">
        <f>_xlfn.XLOOKUP(TableDailySummary[[#This Row],[Fecha]],SummaryDaily[day],SummaryDaily[Online Store_net_sales],0)</f>
        <v>0</v>
      </c>
      <c r="M282" s="11">
        <f>_xlfn.XLOOKUP(TableDailySummary[[#This Row],[Fecha]],SummaryDaily[day],SummaryDaily[Online Store_orders],0)</f>
        <v>0</v>
      </c>
      <c r="N282" s="11">
        <f>_xlfn.XLOOKUP(TableDailySummary[[#This Row],[Fecha]],SummaryDaily[day],SummaryDaily[Online Store_average_order_value],0)</f>
        <v>0</v>
      </c>
      <c r="O282" s="11">
        <f>_xlfn.XLOOKUP(TableDailySummary[[#This Row],[Fecha]],SummaryDaily[day],SummaryDaily[Tienda 81_net_sales],0)</f>
        <v>0</v>
      </c>
      <c r="P282" s="11">
        <f>_xlfn.XLOOKUP(TableDailySummary[[#This Row],[Fecha]],SummaryDaily[day],SummaryDaily[Tienda 81_orders],0)</f>
        <v>0</v>
      </c>
      <c r="Q282" s="11">
        <f>_xlfn.XLOOKUP(TableDailySummary[[#This Row],[Fecha]],SummaryDaily[day],SummaryDaily[Tienda 81_average_order_value],0)</f>
        <v>0</v>
      </c>
      <c r="R282" s="11">
        <f>_xlfn.XLOOKUP(TableDailySummary[[#This Row],[Fecha]],SummaryDaily[day],SummaryDaily[Rappi_net_sales],0)</f>
        <v>0</v>
      </c>
      <c r="S282" s="11">
        <f>_xlfn.XLOOKUP(TableDailySummary[[#This Row],[Fecha]],SummaryDaily[day],SummaryDaily[Rappi_orders],0)</f>
        <v>0</v>
      </c>
      <c r="T282" s="11">
        <f>_xlfn.XLOOKUP(TableDailySummary[[#This Row],[Fecha]],SummaryDaily[day],SummaryDaily[Rappi_average_order_value],0)</f>
        <v>0</v>
      </c>
      <c r="U282" s="11">
        <f>_xlfn.XLOOKUP(TableDailySummary[[#This Row],[Fecha]],SummaryDaily[day],SummaryDaily[Corporativo no tienda_net_sales],0)</f>
        <v>0</v>
      </c>
      <c r="V282" s="11">
        <f>_xlfn.XLOOKUP(TableDailySummary[[#This Row],[Fecha]],SummaryDaily[day],SummaryDaily[Corporativo no tienda_orders],0)</f>
        <v>0</v>
      </c>
      <c r="W282" s="11">
        <f>_xlfn.XLOOKUP(TableDailySummary[[#This Row],[Fecha]],SummaryDaily[day],SummaryDaily[Corporativo no tienda_average_order_value],0)</f>
        <v>0</v>
      </c>
      <c r="X282" s="11">
        <f>_xlfn.XLOOKUP(TableDailySummary[[#This Row],[Fecha]],SummaryDaily[day],SummaryDaily[GoogleAdsOperation.Cost],0)</f>
        <v>0</v>
      </c>
      <c r="Y282" s="11">
        <f>SUMIFS(SalesByUTMDaily[google],SalesByUTMDaily[day],TableDailySummary[[#This Row],[Fecha]])</f>
        <v>0</v>
      </c>
      <c r="Z282" s="11">
        <f>_xlfn.XLOOKUP(TableDailySummary[[#This Row],[Fecha]],SummaryDaily[day],SummaryDaily[MetaAdsOperation.spend],0)</f>
        <v>0</v>
      </c>
      <c r="AA282" s="11">
        <f>SUMIFS(SalesByUTMDaily[facebook],SalesByUTMDaily[day],TableDailySummary[[#This Row],[Fecha]])</f>
        <v>0</v>
      </c>
      <c r="AB282" s="11">
        <f>TableDailySummary[[#This Row],[Inversión google ads]]+TableDailySummary[[#This Row],[Inversión meta ads]]</f>
        <v>0</v>
      </c>
      <c r="AC282" s="11">
        <f>TableDailySummary[[#This Row],[Ventas google ads]]+TableDailySummary[[#This Row],[Ventas meta ads]]</f>
        <v>0</v>
      </c>
      <c r="AD282" s="14">
        <f>IFERROR(TableDailySummary[[#This Row],[Ventas publicidad]]/TableDailySummary[[#This Row],[Inversión publicidad]],0)</f>
        <v>0</v>
      </c>
      <c r="AE282" s="14">
        <f>IFERROR(TableDailySummary[[#This Row],[Ventas primer cliente]]/TableDailySummary[[#This Row],[Inversión publicidad]],0)</f>
        <v>0</v>
      </c>
      <c r="AF282" s="14"/>
      <c r="AG282" s="11"/>
      <c r="AM282" s="11">
        <f>_xlfn.XLOOKUP(TableDailySummary[[#This Row],[Fecha]],SummaryDaily[day],SummaryDaily[net_sales_with_cost_recorded],0)</f>
        <v>0</v>
      </c>
      <c r="AN282" s="11">
        <f>_xlfn.XLOOKUP(TableDailySummary[[#This Row],[Fecha]],SummaryDaily[day],SummaryDaily[cost_of_goods_sold],0)</f>
        <v>0</v>
      </c>
      <c r="AO282" s="11">
        <f>_xlfn.XLOOKUP(TableDailySummary[[#This Row],[Fecha]],SummaryDaily[day],SummaryDaily[gross_profit],0)</f>
        <v>0</v>
      </c>
      <c r="AP282" s="18">
        <f>IFERROR(TableDailySummary[[#This Row],[Utilidad bruta]]/TableDailySummary[[#This Row],[Ventas netas con costo registrado]],0)</f>
        <v>0</v>
      </c>
    </row>
    <row r="283" spans="2:42" x14ac:dyDescent="0.2">
      <c r="B283" s="15" cm="1">
        <f t="array" ref="B283">ParamFechaInicioReporte + (ROW(TableDailySummary[#This Row]) - ROW(TableDailySummary[[#Headers],[Dia]]) - 1)</f>
        <v>44810</v>
      </c>
      <c r="C283" s="6">
        <f>TableDailySummary[[#This Row],[Dia]]</f>
        <v>44810</v>
      </c>
      <c r="D283" s="11">
        <f>_xlfn.XLOOKUP(TableDailySummary[[#This Row],[Fecha]],SummaryDaily[day],SummaryDaily[net_sales],0)</f>
        <v>0</v>
      </c>
      <c r="E283" s="11">
        <f>_xlfn.XLOOKUP(TableDailySummary[[#This Row],[Fecha]],SummaryDaily[day],SummaryDaily[orders],0)</f>
        <v>0</v>
      </c>
      <c r="F283" s="11">
        <f>_xlfn.XLOOKUP(TableDailySummary[[#This Row],[Fecha]],SummaryDaily[day],SummaryDaily[average_order_value],0)</f>
        <v>0</v>
      </c>
      <c r="G283" s="24" cm="1">
        <f t="array" ref="G283">_xlfn.XLOOKUP(TableDailySummary[[#This Row],[Fecha]]&amp;"Total site",ConversionRateByReferral[day]&amp;ConversionRateByReferral[referrer_source],ConversionRateByReferral[conversion_rate],0)</f>
        <v>0</v>
      </c>
      <c r="H283" s="11">
        <f>TableDailySummary[[#This Row],[Órden promedio totales]]*TableDailySummary[[#This Row],[CR totales]]</f>
        <v>0</v>
      </c>
      <c r="I283" s="11">
        <f>_xlfn.XLOOKUP(TableDailySummary[[#This Row],[Fecha]],SummaryDaily[day],SummaryDaily[new_net_sales],0)</f>
        <v>0</v>
      </c>
      <c r="J283" s="11">
        <f>_xlfn.XLOOKUP(TableDailySummary[[#This Row],[Fecha]],SummaryDaily[day],SummaryDaily[new_orders],0)</f>
        <v>0</v>
      </c>
      <c r="K283" s="11">
        <f>_xlfn.XLOOKUP(TableDailySummary[[#This Row],[Fecha]],SummaryDaily[day],SummaryDaily[new_average_order_value],0)</f>
        <v>0</v>
      </c>
      <c r="L283" s="11">
        <f>_xlfn.XLOOKUP(TableDailySummary[[#This Row],[Fecha]],SummaryDaily[day],SummaryDaily[Online Store_net_sales],0)</f>
        <v>0</v>
      </c>
      <c r="M283" s="11">
        <f>_xlfn.XLOOKUP(TableDailySummary[[#This Row],[Fecha]],SummaryDaily[day],SummaryDaily[Online Store_orders],0)</f>
        <v>0</v>
      </c>
      <c r="N283" s="11">
        <f>_xlfn.XLOOKUP(TableDailySummary[[#This Row],[Fecha]],SummaryDaily[day],SummaryDaily[Online Store_average_order_value],0)</f>
        <v>0</v>
      </c>
      <c r="O283" s="11">
        <f>_xlfn.XLOOKUP(TableDailySummary[[#This Row],[Fecha]],SummaryDaily[day],SummaryDaily[Tienda 81_net_sales],0)</f>
        <v>0</v>
      </c>
      <c r="P283" s="11">
        <f>_xlfn.XLOOKUP(TableDailySummary[[#This Row],[Fecha]],SummaryDaily[day],SummaryDaily[Tienda 81_orders],0)</f>
        <v>0</v>
      </c>
      <c r="Q283" s="11">
        <f>_xlfn.XLOOKUP(TableDailySummary[[#This Row],[Fecha]],SummaryDaily[day],SummaryDaily[Tienda 81_average_order_value],0)</f>
        <v>0</v>
      </c>
      <c r="R283" s="11">
        <f>_xlfn.XLOOKUP(TableDailySummary[[#This Row],[Fecha]],SummaryDaily[day],SummaryDaily[Rappi_net_sales],0)</f>
        <v>0</v>
      </c>
      <c r="S283" s="11">
        <f>_xlfn.XLOOKUP(TableDailySummary[[#This Row],[Fecha]],SummaryDaily[day],SummaryDaily[Rappi_orders],0)</f>
        <v>0</v>
      </c>
      <c r="T283" s="11">
        <f>_xlfn.XLOOKUP(TableDailySummary[[#This Row],[Fecha]],SummaryDaily[day],SummaryDaily[Rappi_average_order_value],0)</f>
        <v>0</v>
      </c>
      <c r="U283" s="11">
        <f>_xlfn.XLOOKUP(TableDailySummary[[#This Row],[Fecha]],SummaryDaily[day],SummaryDaily[Corporativo no tienda_net_sales],0)</f>
        <v>0</v>
      </c>
      <c r="V283" s="11">
        <f>_xlfn.XLOOKUP(TableDailySummary[[#This Row],[Fecha]],SummaryDaily[day],SummaryDaily[Corporativo no tienda_orders],0)</f>
        <v>0</v>
      </c>
      <c r="W283" s="11">
        <f>_xlfn.XLOOKUP(TableDailySummary[[#This Row],[Fecha]],SummaryDaily[day],SummaryDaily[Corporativo no tienda_average_order_value],0)</f>
        <v>0</v>
      </c>
      <c r="X283" s="11">
        <f>_xlfn.XLOOKUP(TableDailySummary[[#This Row],[Fecha]],SummaryDaily[day],SummaryDaily[GoogleAdsOperation.Cost],0)</f>
        <v>0</v>
      </c>
      <c r="Y283" s="11">
        <f>SUMIFS(SalesByUTMDaily[google],SalesByUTMDaily[day],TableDailySummary[[#This Row],[Fecha]])</f>
        <v>0</v>
      </c>
      <c r="Z283" s="11">
        <f>_xlfn.XLOOKUP(TableDailySummary[[#This Row],[Fecha]],SummaryDaily[day],SummaryDaily[MetaAdsOperation.spend],0)</f>
        <v>0</v>
      </c>
      <c r="AA283" s="11">
        <f>SUMIFS(SalesByUTMDaily[facebook],SalesByUTMDaily[day],TableDailySummary[[#This Row],[Fecha]])</f>
        <v>0</v>
      </c>
      <c r="AB283" s="11">
        <f>TableDailySummary[[#This Row],[Inversión google ads]]+TableDailySummary[[#This Row],[Inversión meta ads]]</f>
        <v>0</v>
      </c>
      <c r="AC283" s="11">
        <f>TableDailySummary[[#This Row],[Ventas google ads]]+TableDailySummary[[#This Row],[Ventas meta ads]]</f>
        <v>0</v>
      </c>
      <c r="AD283" s="14">
        <f>IFERROR(TableDailySummary[[#This Row],[Ventas publicidad]]/TableDailySummary[[#This Row],[Inversión publicidad]],0)</f>
        <v>0</v>
      </c>
      <c r="AE283" s="14">
        <f>IFERROR(TableDailySummary[[#This Row],[Ventas primer cliente]]/TableDailySummary[[#This Row],[Inversión publicidad]],0)</f>
        <v>0</v>
      </c>
      <c r="AF283" s="14"/>
      <c r="AG283" s="11"/>
      <c r="AM283" s="11">
        <f>_xlfn.XLOOKUP(TableDailySummary[[#This Row],[Fecha]],SummaryDaily[day],SummaryDaily[net_sales_with_cost_recorded],0)</f>
        <v>0</v>
      </c>
      <c r="AN283" s="11">
        <f>_xlfn.XLOOKUP(TableDailySummary[[#This Row],[Fecha]],SummaryDaily[day],SummaryDaily[cost_of_goods_sold],0)</f>
        <v>0</v>
      </c>
      <c r="AO283" s="11">
        <f>_xlfn.XLOOKUP(TableDailySummary[[#This Row],[Fecha]],SummaryDaily[day],SummaryDaily[gross_profit],0)</f>
        <v>0</v>
      </c>
      <c r="AP283" s="18">
        <f>IFERROR(TableDailySummary[[#This Row],[Utilidad bruta]]/TableDailySummary[[#This Row],[Ventas netas con costo registrado]],0)</f>
        <v>0</v>
      </c>
    </row>
    <row r="284" spans="2:42" x14ac:dyDescent="0.2">
      <c r="B284" s="15" cm="1">
        <f t="array" ref="B284">ParamFechaInicioReporte + (ROW(TableDailySummary[#This Row]) - ROW(TableDailySummary[[#Headers],[Dia]]) - 1)</f>
        <v>44811</v>
      </c>
      <c r="C284" s="6">
        <f>TableDailySummary[[#This Row],[Dia]]</f>
        <v>44811</v>
      </c>
      <c r="D284" s="11">
        <f>_xlfn.XLOOKUP(TableDailySummary[[#This Row],[Fecha]],SummaryDaily[day],SummaryDaily[net_sales],0)</f>
        <v>0</v>
      </c>
      <c r="E284" s="11">
        <f>_xlfn.XLOOKUP(TableDailySummary[[#This Row],[Fecha]],SummaryDaily[day],SummaryDaily[orders],0)</f>
        <v>0</v>
      </c>
      <c r="F284" s="11">
        <f>_xlfn.XLOOKUP(TableDailySummary[[#This Row],[Fecha]],SummaryDaily[day],SummaryDaily[average_order_value],0)</f>
        <v>0</v>
      </c>
      <c r="G284" s="24" cm="1">
        <f t="array" ref="G284">_xlfn.XLOOKUP(TableDailySummary[[#This Row],[Fecha]]&amp;"Total site",ConversionRateByReferral[day]&amp;ConversionRateByReferral[referrer_source],ConversionRateByReferral[conversion_rate],0)</f>
        <v>0</v>
      </c>
      <c r="H284" s="11">
        <f>TableDailySummary[[#This Row],[Órden promedio totales]]*TableDailySummary[[#This Row],[CR totales]]</f>
        <v>0</v>
      </c>
      <c r="I284" s="11">
        <f>_xlfn.XLOOKUP(TableDailySummary[[#This Row],[Fecha]],SummaryDaily[day],SummaryDaily[new_net_sales],0)</f>
        <v>0</v>
      </c>
      <c r="J284" s="11">
        <f>_xlfn.XLOOKUP(TableDailySummary[[#This Row],[Fecha]],SummaryDaily[day],SummaryDaily[new_orders],0)</f>
        <v>0</v>
      </c>
      <c r="K284" s="11">
        <f>_xlfn.XLOOKUP(TableDailySummary[[#This Row],[Fecha]],SummaryDaily[day],SummaryDaily[new_average_order_value],0)</f>
        <v>0</v>
      </c>
      <c r="L284" s="11">
        <f>_xlfn.XLOOKUP(TableDailySummary[[#This Row],[Fecha]],SummaryDaily[day],SummaryDaily[Online Store_net_sales],0)</f>
        <v>0</v>
      </c>
      <c r="M284" s="11">
        <f>_xlfn.XLOOKUP(TableDailySummary[[#This Row],[Fecha]],SummaryDaily[day],SummaryDaily[Online Store_orders],0)</f>
        <v>0</v>
      </c>
      <c r="N284" s="11">
        <f>_xlfn.XLOOKUP(TableDailySummary[[#This Row],[Fecha]],SummaryDaily[day],SummaryDaily[Online Store_average_order_value],0)</f>
        <v>0</v>
      </c>
      <c r="O284" s="11">
        <f>_xlfn.XLOOKUP(TableDailySummary[[#This Row],[Fecha]],SummaryDaily[day],SummaryDaily[Tienda 81_net_sales],0)</f>
        <v>0</v>
      </c>
      <c r="P284" s="11">
        <f>_xlfn.XLOOKUP(TableDailySummary[[#This Row],[Fecha]],SummaryDaily[day],SummaryDaily[Tienda 81_orders],0)</f>
        <v>0</v>
      </c>
      <c r="Q284" s="11">
        <f>_xlfn.XLOOKUP(TableDailySummary[[#This Row],[Fecha]],SummaryDaily[day],SummaryDaily[Tienda 81_average_order_value],0)</f>
        <v>0</v>
      </c>
      <c r="R284" s="11">
        <f>_xlfn.XLOOKUP(TableDailySummary[[#This Row],[Fecha]],SummaryDaily[day],SummaryDaily[Rappi_net_sales],0)</f>
        <v>0</v>
      </c>
      <c r="S284" s="11">
        <f>_xlfn.XLOOKUP(TableDailySummary[[#This Row],[Fecha]],SummaryDaily[day],SummaryDaily[Rappi_orders],0)</f>
        <v>0</v>
      </c>
      <c r="T284" s="11">
        <f>_xlfn.XLOOKUP(TableDailySummary[[#This Row],[Fecha]],SummaryDaily[day],SummaryDaily[Rappi_average_order_value],0)</f>
        <v>0</v>
      </c>
      <c r="U284" s="11">
        <f>_xlfn.XLOOKUP(TableDailySummary[[#This Row],[Fecha]],SummaryDaily[day],SummaryDaily[Corporativo no tienda_net_sales],0)</f>
        <v>0</v>
      </c>
      <c r="V284" s="11">
        <f>_xlfn.XLOOKUP(TableDailySummary[[#This Row],[Fecha]],SummaryDaily[day],SummaryDaily[Corporativo no tienda_orders],0)</f>
        <v>0</v>
      </c>
      <c r="W284" s="11">
        <f>_xlfn.XLOOKUP(TableDailySummary[[#This Row],[Fecha]],SummaryDaily[day],SummaryDaily[Corporativo no tienda_average_order_value],0)</f>
        <v>0</v>
      </c>
      <c r="X284" s="11">
        <f>_xlfn.XLOOKUP(TableDailySummary[[#This Row],[Fecha]],SummaryDaily[day],SummaryDaily[GoogleAdsOperation.Cost],0)</f>
        <v>0</v>
      </c>
      <c r="Y284" s="11">
        <f>SUMIFS(SalesByUTMDaily[google],SalesByUTMDaily[day],TableDailySummary[[#This Row],[Fecha]])</f>
        <v>0</v>
      </c>
      <c r="Z284" s="11">
        <f>_xlfn.XLOOKUP(TableDailySummary[[#This Row],[Fecha]],SummaryDaily[day],SummaryDaily[MetaAdsOperation.spend],0)</f>
        <v>0</v>
      </c>
      <c r="AA284" s="11">
        <f>SUMIFS(SalesByUTMDaily[facebook],SalesByUTMDaily[day],TableDailySummary[[#This Row],[Fecha]])</f>
        <v>0</v>
      </c>
      <c r="AB284" s="11">
        <f>TableDailySummary[[#This Row],[Inversión google ads]]+TableDailySummary[[#This Row],[Inversión meta ads]]</f>
        <v>0</v>
      </c>
      <c r="AC284" s="11">
        <f>TableDailySummary[[#This Row],[Ventas google ads]]+TableDailySummary[[#This Row],[Ventas meta ads]]</f>
        <v>0</v>
      </c>
      <c r="AD284" s="14">
        <f>IFERROR(TableDailySummary[[#This Row],[Ventas publicidad]]/TableDailySummary[[#This Row],[Inversión publicidad]],0)</f>
        <v>0</v>
      </c>
      <c r="AE284" s="14">
        <f>IFERROR(TableDailySummary[[#This Row],[Ventas primer cliente]]/TableDailySummary[[#This Row],[Inversión publicidad]],0)</f>
        <v>0</v>
      </c>
      <c r="AF284" s="14"/>
      <c r="AG284" s="11"/>
      <c r="AM284" s="11">
        <f>_xlfn.XLOOKUP(TableDailySummary[[#This Row],[Fecha]],SummaryDaily[day],SummaryDaily[net_sales_with_cost_recorded],0)</f>
        <v>0</v>
      </c>
      <c r="AN284" s="11">
        <f>_xlfn.XLOOKUP(TableDailySummary[[#This Row],[Fecha]],SummaryDaily[day],SummaryDaily[cost_of_goods_sold],0)</f>
        <v>0</v>
      </c>
      <c r="AO284" s="11">
        <f>_xlfn.XLOOKUP(TableDailySummary[[#This Row],[Fecha]],SummaryDaily[day],SummaryDaily[gross_profit],0)</f>
        <v>0</v>
      </c>
      <c r="AP284" s="18">
        <f>IFERROR(TableDailySummary[[#This Row],[Utilidad bruta]]/TableDailySummary[[#This Row],[Ventas netas con costo registrado]],0)</f>
        <v>0</v>
      </c>
    </row>
    <row r="285" spans="2:42" x14ac:dyDescent="0.2">
      <c r="B285" s="15" cm="1">
        <f t="array" ref="B285">ParamFechaInicioReporte + (ROW(TableDailySummary[#This Row]) - ROW(TableDailySummary[[#Headers],[Dia]]) - 1)</f>
        <v>44812</v>
      </c>
      <c r="C285" s="6">
        <f>TableDailySummary[[#This Row],[Dia]]</f>
        <v>44812</v>
      </c>
      <c r="D285" s="11">
        <f>_xlfn.XLOOKUP(TableDailySummary[[#This Row],[Fecha]],SummaryDaily[day],SummaryDaily[net_sales],0)</f>
        <v>0</v>
      </c>
      <c r="E285" s="11">
        <f>_xlfn.XLOOKUP(TableDailySummary[[#This Row],[Fecha]],SummaryDaily[day],SummaryDaily[orders],0)</f>
        <v>0</v>
      </c>
      <c r="F285" s="11">
        <f>_xlfn.XLOOKUP(TableDailySummary[[#This Row],[Fecha]],SummaryDaily[day],SummaryDaily[average_order_value],0)</f>
        <v>0</v>
      </c>
      <c r="G285" s="24" cm="1">
        <f t="array" ref="G285">_xlfn.XLOOKUP(TableDailySummary[[#This Row],[Fecha]]&amp;"Total site",ConversionRateByReferral[day]&amp;ConversionRateByReferral[referrer_source],ConversionRateByReferral[conversion_rate],0)</f>
        <v>0</v>
      </c>
      <c r="H285" s="11">
        <f>TableDailySummary[[#This Row],[Órden promedio totales]]*TableDailySummary[[#This Row],[CR totales]]</f>
        <v>0</v>
      </c>
      <c r="I285" s="11">
        <f>_xlfn.XLOOKUP(TableDailySummary[[#This Row],[Fecha]],SummaryDaily[day],SummaryDaily[new_net_sales],0)</f>
        <v>0</v>
      </c>
      <c r="J285" s="11">
        <f>_xlfn.XLOOKUP(TableDailySummary[[#This Row],[Fecha]],SummaryDaily[day],SummaryDaily[new_orders],0)</f>
        <v>0</v>
      </c>
      <c r="K285" s="11">
        <f>_xlfn.XLOOKUP(TableDailySummary[[#This Row],[Fecha]],SummaryDaily[day],SummaryDaily[new_average_order_value],0)</f>
        <v>0</v>
      </c>
      <c r="L285" s="11">
        <f>_xlfn.XLOOKUP(TableDailySummary[[#This Row],[Fecha]],SummaryDaily[day],SummaryDaily[Online Store_net_sales],0)</f>
        <v>0</v>
      </c>
      <c r="M285" s="11">
        <f>_xlfn.XLOOKUP(TableDailySummary[[#This Row],[Fecha]],SummaryDaily[day],SummaryDaily[Online Store_orders],0)</f>
        <v>0</v>
      </c>
      <c r="N285" s="11">
        <f>_xlfn.XLOOKUP(TableDailySummary[[#This Row],[Fecha]],SummaryDaily[day],SummaryDaily[Online Store_average_order_value],0)</f>
        <v>0</v>
      </c>
      <c r="O285" s="11">
        <f>_xlfn.XLOOKUP(TableDailySummary[[#This Row],[Fecha]],SummaryDaily[day],SummaryDaily[Tienda 81_net_sales],0)</f>
        <v>0</v>
      </c>
      <c r="P285" s="11">
        <f>_xlfn.XLOOKUP(TableDailySummary[[#This Row],[Fecha]],SummaryDaily[day],SummaryDaily[Tienda 81_orders],0)</f>
        <v>0</v>
      </c>
      <c r="Q285" s="11">
        <f>_xlfn.XLOOKUP(TableDailySummary[[#This Row],[Fecha]],SummaryDaily[day],SummaryDaily[Tienda 81_average_order_value],0)</f>
        <v>0</v>
      </c>
      <c r="R285" s="11">
        <f>_xlfn.XLOOKUP(TableDailySummary[[#This Row],[Fecha]],SummaryDaily[day],SummaryDaily[Rappi_net_sales],0)</f>
        <v>0</v>
      </c>
      <c r="S285" s="11">
        <f>_xlfn.XLOOKUP(TableDailySummary[[#This Row],[Fecha]],SummaryDaily[day],SummaryDaily[Rappi_orders],0)</f>
        <v>0</v>
      </c>
      <c r="T285" s="11">
        <f>_xlfn.XLOOKUP(TableDailySummary[[#This Row],[Fecha]],SummaryDaily[day],SummaryDaily[Rappi_average_order_value],0)</f>
        <v>0</v>
      </c>
      <c r="U285" s="11">
        <f>_xlfn.XLOOKUP(TableDailySummary[[#This Row],[Fecha]],SummaryDaily[day],SummaryDaily[Corporativo no tienda_net_sales],0)</f>
        <v>0</v>
      </c>
      <c r="V285" s="11">
        <f>_xlfn.XLOOKUP(TableDailySummary[[#This Row],[Fecha]],SummaryDaily[day],SummaryDaily[Corporativo no tienda_orders],0)</f>
        <v>0</v>
      </c>
      <c r="W285" s="11">
        <f>_xlfn.XLOOKUP(TableDailySummary[[#This Row],[Fecha]],SummaryDaily[day],SummaryDaily[Corporativo no tienda_average_order_value],0)</f>
        <v>0</v>
      </c>
      <c r="X285" s="11">
        <f>_xlfn.XLOOKUP(TableDailySummary[[#This Row],[Fecha]],SummaryDaily[day],SummaryDaily[GoogleAdsOperation.Cost],0)</f>
        <v>0</v>
      </c>
      <c r="Y285" s="11">
        <f>SUMIFS(SalesByUTMDaily[google],SalesByUTMDaily[day],TableDailySummary[[#This Row],[Fecha]])</f>
        <v>0</v>
      </c>
      <c r="Z285" s="11">
        <f>_xlfn.XLOOKUP(TableDailySummary[[#This Row],[Fecha]],SummaryDaily[day],SummaryDaily[MetaAdsOperation.spend],0)</f>
        <v>0</v>
      </c>
      <c r="AA285" s="11">
        <f>SUMIFS(SalesByUTMDaily[facebook],SalesByUTMDaily[day],TableDailySummary[[#This Row],[Fecha]])</f>
        <v>0</v>
      </c>
      <c r="AB285" s="11">
        <f>TableDailySummary[[#This Row],[Inversión google ads]]+TableDailySummary[[#This Row],[Inversión meta ads]]</f>
        <v>0</v>
      </c>
      <c r="AC285" s="11">
        <f>TableDailySummary[[#This Row],[Ventas google ads]]+TableDailySummary[[#This Row],[Ventas meta ads]]</f>
        <v>0</v>
      </c>
      <c r="AD285" s="14">
        <f>IFERROR(TableDailySummary[[#This Row],[Ventas publicidad]]/TableDailySummary[[#This Row],[Inversión publicidad]],0)</f>
        <v>0</v>
      </c>
      <c r="AE285" s="14">
        <f>IFERROR(TableDailySummary[[#This Row],[Ventas primer cliente]]/TableDailySummary[[#This Row],[Inversión publicidad]],0)</f>
        <v>0</v>
      </c>
      <c r="AF285" s="14"/>
      <c r="AG285" s="11"/>
      <c r="AM285" s="11">
        <f>_xlfn.XLOOKUP(TableDailySummary[[#This Row],[Fecha]],SummaryDaily[day],SummaryDaily[net_sales_with_cost_recorded],0)</f>
        <v>0</v>
      </c>
      <c r="AN285" s="11">
        <f>_xlfn.XLOOKUP(TableDailySummary[[#This Row],[Fecha]],SummaryDaily[day],SummaryDaily[cost_of_goods_sold],0)</f>
        <v>0</v>
      </c>
      <c r="AO285" s="11">
        <f>_xlfn.XLOOKUP(TableDailySummary[[#This Row],[Fecha]],SummaryDaily[day],SummaryDaily[gross_profit],0)</f>
        <v>0</v>
      </c>
      <c r="AP285" s="18">
        <f>IFERROR(TableDailySummary[[#This Row],[Utilidad bruta]]/TableDailySummary[[#This Row],[Ventas netas con costo registrado]],0)</f>
        <v>0</v>
      </c>
    </row>
    <row r="286" spans="2:42" x14ac:dyDescent="0.2">
      <c r="B286" s="15" cm="1">
        <f t="array" ref="B286">ParamFechaInicioReporte + (ROW(TableDailySummary[#This Row]) - ROW(TableDailySummary[[#Headers],[Dia]]) - 1)</f>
        <v>44813</v>
      </c>
      <c r="C286" s="6">
        <f>TableDailySummary[[#This Row],[Dia]]</f>
        <v>44813</v>
      </c>
      <c r="D286" s="11">
        <f>_xlfn.XLOOKUP(TableDailySummary[[#This Row],[Fecha]],SummaryDaily[day],SummaryDaily[net_sales],0)</f>
        <v>0</v>
      </c>
      <c r="E286" s="11">
        <f>_xlfn.XLOOKUP(TableDailySummary[[#This Row],[Fecha]],SummaryDaily[day],SummaryDaily[orders],0)</f>
        <v>0</v>
      </c>
      <c r="F286" s="11">
        <f>_xlfn.XLOOKUP(TableDailySummary[[#This Row],[Fecha]],SummaryDaily[day],SummaryDaily[average_order_value],0)</f>
        <v>0</v>
      </c>
      <c r="G286" s="24" cm="1">
        <f t="array" ref="G286">_xlfn.XLOOKUP(TableDailySummary[[#This Row],[Fecha]]&amp;"Total site",ConversionRateByReferral[day]&amp;ConversionRateByReferral[referrer_source],ConversionRateByReferral[conversion_rate],0)</f>
        <v>0</v>
      </c>
      <c r="H286" s="11">
        <f>TableDailySummary[[#This Row],[Órden promedio totales]]*TableDailySummary[[#This Row],[CR totales]]</f>
        <v>0</v>
      </c>
      <c r="I286" s="11">
        <f>_xlfn.XLOOKUP(TableDailySummary[[#This Row],[Fecha]],SummaryDaily[day],SummaryDaily[new_net_sales],0)</f>
        <v>0</v>
      </c>
      <c r="J286" s="11">
        <f>_xlfn.XLOOKUP(TableDailySummary[[#This Row],[Fecha]],SummaryDaily[day],SummaryDaily[new_orders],0)</f>
        <v>0</v>
      </c>
      <c r="K286" s="11">
        <f>_xlfn.XLOOKUP(TableDailySummary[[#This Row],[Fecha]],SummaryDaily[day],SummaryDaily[new_average_order_value],0)</f>
        <v>0</v>
      </c>
      <c r="L286" s="11">
        <f>_xlfn.XLOOKUP(TableDailySummary[[#This Row],[Fecha]],SummaryDaily[day],SummaryDaily[Online Store_net_sales],0)</f>
        <v>0</v>
      </c>
      <c r="M286" s="11">
        <f>_xlfn.XLOOKUP(TableDailySummary[[#This Row],[Fecha]],SummaryDaily[day],SummaryDaily[Online Store_orders],0)</f>
        <v>0</v>
      </c>
      <c r="N286" s="11">
        <f>_xlfn.XLOOKUP(TableDailySummary[[#This Row],[Fecha]],SummaryDaily[day],SummaryDaily[Online Store_average_order_value],0)</f>
        <v>0</v>
      </c>
      <c r="O286" s="11">
        <f>_xlfn.XLOOKUP(TableDailySummary[[#This Row],[Fecha]],SummaryDaily[day],SummaryDaily[Tienda 81_net_sales],0)</f>
        <v>0</v>
      </c>
      <c r="P286" s="11">
        <f>_xlfn.XLOOKUP(TableDailySummary[[#This Row],[Fecha]],SummaryDaily[day],SummaryDaily[Tienda 81_orders],0)</f>
        <v>0</v>
      </c>
      <c r="Q286" s="11">
        <f>_xlfn.XLOOKUP(TableDailySummary[[#This Row],[Fecha]],SummaryDaily[day],SummaryDaily[Tienda 81_average_order_value],0)</f>
        <v>0</v>
      </c>
      <c r="R286" s="11">
        <f>_xlfn.XLOOKUP(TableDailySummary[[#This Row],[Fecha]],SummaryDaily[day],SummaryDaily[Rappi_net_sales],0)</f>
        <v>0</v>
      </c>
      <c r="S286" s="11">
        <f>_xlfn.XLOOKUP(TableDailySummary[[#This Row],[Fecha]],SummaryDaily[day],SummaryDaily[Rappi_orders],0)</f>
        <v>0</v>
      </c>
      <c r="T286" s="11">
        <f>_xlfn.XLOOKUP(TableDailySummary[[#This Row],[Fecha]],SummaryDaily[day],SummaryDaily[Rappi_average_order_value],0)</f>
        <v>0</v>
      </c>
      <c r="U286" s="11">
        <f>_xlfn.XLOOKUP(TableDailySummary[[#This Row],[Fecha]],SummaryDaily[day],SummaryDaily[Corporativo no tienda_net_sales],0)</f>
        <v>0</v>
      </c>
      <c r="V286" s="11">
        <f>_xlfn.XLOOKUP(TableDailySummary[[#This Row],[Fecha]],SummaryDaily[day],SummaryDaily[Corporativo no tienda_orders],0)</f>
        <v>0</v>
      </c>
      <c r="W286" s="11">
        <f>_xlfn.XLOOKUP(TableDailySummary[[#This Row],[Fecha]],SummaryDaily[day],SummaryDaily[Corporativo no tienda_average_order_value],0)</f>
        <v>0</v>
      </c>
      <c r="X286" s="11">
        <f>_xlfn.XLOOKUP(TableDailySummary[[#This Row],[Fecha]],SummaryDaily[day],SummaryDaily[GoogleAdsOperation.Cost],0)</f>
        <v>0</v>
      </c>
      <c r="Y286" s="11">
        <f>SUMIFS(SalesByUTMDaily[google],SalesByUTMDaily[day],TableDailySummary[[#This Row],[Fecha]])</f>
        <v>0</v>
      </c>
      <c r="Z286" s="11">
        <f>_xlfn.XLOOKUP(TableDailySummary[[#This Row],[Fecha]],SummaryDaily[day],SummaryDaily[MetaAdsOperation.spend],0)</f>
        <v>0</v>
      </c>
      <c r="AA286" s="11">
        <f>SUMIFS(SalesByUTMDaily[facebook],SalesByUTMDaily[day],TableDailySummary[[#This Row],[Fecha]])</f>
        <v>0</v>
      </c>
      <c r="AB286" s="11">
        <f>TableDailySummary[[#This Row],[Inversión google ads]]+TableDailySummary[[#This Row],[Inversión meta ads]]</f>
        <v>0</v>
      </c>
      <c r="AC286" s="11">
        <f>TableDailySummary[[#This Row],[Ventas google ads]]+TableDailySummary[[#This Row],[Ventas meta ads]]</f>
        <v>0</v>
      </c>
      <c r="AD286" s="14">
        <f>IFERROR(TableDailySummary[[#This Row],[Ventas publicidad]]/TableDailySummary[[#This Row],[Inversión publicidad]],0)</f>
        <v>0</v>
      </c>
      <c r="AE286" s="14">
        <f>IFERROR(TableDailySummary[[#This Row],[Ventas primer cliente]]/TableDailySummary[[#This Row],[Inversión publicidad]],0)</f>
        <v>0</v>
      </c>
      <c r="AF286" s="14"/>
      <c r="AG286" s="11"/>
      <c r="AM286" s="11">
        <f>_xlfn.XLOOKUP(TableDailySummary[[#This Row],[Fecha]],SummaryDaily[day],SummaryDaily[net_sales_with_cost_recorded],0)</f>
        <v>0</v>
      </c>
      <c r="AN286" s="11">
        <f>_xlfn.XLOOKUP(TableDailySummary[[#This Row],[Fecha]],SummaryDaily[day],SummaryDaily[cost_of_goods_sold],0)</f>
        <v>0</v>
      </c>
      <c r="AO286" s="11">
        <f>_xlfn.XLOOKUP(TableDailySummary[[#This Row],[Fecha]],SummaryDaily[day],SummaryDaily[gross_profit],0)</f>
        <v>0</v>
      </c>
      <c r="AP286" s="18">
        <f>IFERROR(TableDailySummary[[#This Row],[Utilidad bruta]]/TableDailySummary[[#This Row],[Ventas netas con costo registrado]],0)</f>
        <v>0</v>
      </c>
    </row>
    <row r="287" spans="2:42" x14ac:dyDescent="0.2">
      <c r="B287" s="15" cm="1">
        <f t="array" ref="B287">ParamFechaInicioReporte + (ROW(TableDailySummary[#This Row]) - ROW(TableDailySummary[[#Headers],[Dia]]) - 1)</f>
        <v>44814</v>
      </c>
      <c r="C287" s="6">
        <f>TableDailySummary[[#This Row],[Dia]]</f>
        <v>44814</v>
      </c>
      <c r="D287" s="11">
        <f>_xlfn.XLOOKUP(TableDailySummary[[#This Row],[Fecha]],SummaryDaily[day],SummaryDaily[net_sales],0)</f>
        <v>0</v>
      </c>
      <c r="E287" s="11">
        <f>_xlfn.XLOOKUP(TableDailySummary[[#This Row],[Fecha]],SummaryDaily[day],SummaryDaily[orders],0)</f>
        <v>0</v>
      </c>
      <c r="F287" s="11">
        <f>_xlfn.XLOOKUP(TableDailySummary[[#This Row],[Fecha]],SummaryDaily[day],SummaryDaily[average_order_value],0)</f>
        <v>0</v>
      </c>
      <c r="G287" s="24" cm="1">
        <f t="array" ref="G287">_xlfn.XLOOKUP(TableDailySummary[[#This Row],[Fecha]]&amp;"Total site",ConversionRateByReferral[day]&amp;ConversionRateByReferral[referrer_source],ConversionRateByReferral[conversion_rate],0)</f>
        <v>0</v>
      </c>
      <c r="H287" s="11">
        <f>TableDailySummary[[#This Row],[Órden promedio totales]]*TableDailySummary[[#This Row],[CR totales]]</f>
        <v>0</v>
      </c>
      <c r="I287" s="11">
        <f>_xlfn.XLOOKUP(TableDailySummary[[#This Row],[Fecha]],SummaryDaily[day],SummaryDaily[new_net_sales],0)</f>
        <v>0</v>
      </c>
      <c r="J287" s="11">
        <f>_xlfn.XLOOKUP(TableDailySummary[[#This Row],[Fecha]],SummaryDaily[day],SummaryDaily[new_orders],0)</f>
        <v>0</v>
      </c>
      <c r="K287" s="11">
        <f>_xlfn.XLOOKUP(TableDailySummary[[#This Row],[Fecha]],SummaryDaily[day],SummaryDaily[new_average_order_value],0)</f>
        <v>0</v>
      </c>
      <c r="L287" s="11">
        <f>_xlfn.XLOOKUP(TableDailySummary[[#This Row],[Fecha]],SummaryDaily[day],SummaryDaily[Online Store_net_sales],0)</f>
        <v>0</v>
      </c>
      <c r="M287" s="11">
        <f>_xlfn.XLOOKUP(TableDailySummary[[#This Row],[Fecha]],SummaryDaily[day],SummaryDaily[Online Store_orders],0)</f>
        <v>0</v>
      </c>
      <c r="N287" s="11">
        <f>_xlfn.XLOOKUP(TableDailySummary[[#This Row],[Fecha]],SummaryDaily[day],SummaryDaily[Online Store_average_order_value],0)</f>
        <v>0</v>
      </c>
      <c r="O287" s="11">
        <f>_xlfn.XLOOKUP(TableDailySummary[[#This Row],[Fecha]],SummaryDaily[day],SummaryDaily[Tienda 81_net_sales],0)</f>
        <v>0</v>
      </c>
      <c r="P287" s="11">
        <f>_xlfn.XLOOKUP(TableDailySummary[[#This Row],[Fecha]],SummaryDaily[day],SummaryDaily[Tienda 81_orders],0)</f>
        <v>0</v>
      </c>
      <c r="Q287" s="11">
        <f>_xlfn.XLOOKUP(TableDailySummary[[#This Row],[Fecha]],SummaryDaily[day],SummaryDaily[Tienda 81_average_order_value],0)</f>
        <v>0</v>
      </c>
      <c r="R287" s="11">
        <f>_xlfn.XLOOKUP(TableDailySummary[[#This Row],[Fecha]],SummaryDaily[day],SummaryDaily[Rappi_net_sales],0)</f>
        <v>0</v>
      </c>
      <c r="S287" s="11">
        <f>_xlfn.XLOOKUP(TableDailySummary[[#This Row],[Fecha]],SummaryDaily[day],SummaryDaily[Rappi_orders],0)</f>
        <v>0</v>
      </c>
      <c r="T287" s="11">
        <f>_xlfn.XLOOKUP(TableDailySummary[[#This Row],[Fecha]],SummaryDaily[day],SummaryDaily[Rappi_average_order_value],0)</f>
        <v>0</v>
      </c>
      <c r="U287" s="11">
        <f>_xlfn.XLOOKUP(TableDailySummary[[#This Row],[Fecha]],SummaryDaily[day],SummaryDaily[Corporativo no tienda_net_sales],0)</f>
        <v>0</v>
      </c>
      <c r="V287" s="11">
        <f>_xlfn.XLOOKUP(TableDailySummary[[#This Row],[Fecha]],SummaryDaily[day],SummaryDaily[Corporativo no tienda_orders],0)</f>
        <v>0</v>
      </c>
      <c r="W287" s="11">
        <f>_xlfn.XLOOKUP(TableDailySummary[[#This Row],[Fecha]],SummaryDaily[day],SummaryDaily[Corporativo no tienda_average_order_value],0)</f>
        <v>0</v>
      </c>
      <c r="X287" s="11">
        <f>_xlfn.XLOOKUP(TableDailySummary[[#This Row],[Fecha]],SummaryDaily[day],SummaryDaily[GoogleAdsOperation.Cost],0)</f>
        <v>0</v>
      </c>
      <c r="Y287" s="11">
        <f>SUMIFS(SalesByUTMDaily[google],SalesByUTMDaily[day],TableDailySummary[[#This Row],[Fecha]])</f>
        <v>0</v>
      </c>
      <c r="Z287" s="11">
        <f>_xlfn.XLOOKUP(TableDailySummary[[#This Row],[Fecha]],SummaryDaily[day],SummaryDaily[MetaAdsOperation.spend],0)</f>
        <v>0</v>
      </c>
      <c r="AA287" s="11">
        <f>SUMIFS(SalesByUTMDaily[facebook],SalesByUTMDaily[day],TableDailySummary[[#This Row],[Fecha]])</f>
        <v>0</v>
      </c>
      <c r="AB287" s="11">
        <f>TableDailySummary[[#This Row],[Inversión google ads]]+TableDailySummary[[#This Row],[Inversión meta ads]]</f>
        <v>0</v>
      </c>
      <c r="AC287" s="11">
        <f>TableDailySummary[[#This Row],[Ventas google ads]]+TableDailySummary[[#This Row],[Ventas meta ads]]</f>
        <v>0</v>
      </c>
      <c r="AD287" s="14">
        <f>IFERROR(TableDailySummary[[#This Row],[Ventas publicidad]]/TableDailySummary[[#This Row],[Inversión publicidad]],0)</f>
        <v>0</v>
      </c>
      <c r="AE287" s="14">
        <f>IFERROR(TableDailySummary[[#This Row],[Ventas primer cliente]]/TableDailySummary[[#This Row],[Inversión publicidad]],0)</f>
        <v>0</v>
      </c>
      <c r="AF287" s="14"/>
      <c r="AG287" s="11"/>
      <c r="AM287" s="11">
        <f>_xlfn.XLOOKUP(TableDailySummary[[#This Row],[Fecha]],SummaryDaily[day],SummaryDaily[net_sales_with_cost_recorded],0)</f>
        <v>0</v>
      </c>
      <c r="AN287" s="11">
        <f>_xlfn.XLOOKUP(TableDailySummary[[#This Row],[Fecha]],SummaryDaily[day],SummaryDaily[cost_of_goods_sold],0)</f>
        <v>0</v>
      </c>
      <c r="AO287" s="11">
        <f>_xlfn.XLOOKUP(TableDailySummary[[#This Row],[Fecha]],SummaryDaily[day],SummaryDaily[gross_profit],0)</f>
        <v>0</v>
      </c>
      <c r="AP287" s="18">
        <f>IFERROR(TableDailySummary[[#This Row],[Utilidad bruta]]/TableDailySummary[[#This Row],[Ventas netas con costo registrado]],0)</f>
        <v>0</v>
      </c>
    </row>
    <row r="288" spans="2:42" x14ac:dyDescent="0.2">
      <c r="B288" s="15" cm="1">
        <f t="array" ref="B288">ParamFechaInicioReporte + (ROW(TableDailySummary[#This Row]) - ROW(TableDailySummary[[#Headers],[Dia]]) - 1)</f>
        <v>44815</v>
      </c>
      <c r="C288" s="6">
        <f>TableDailySummary[[#This Row],[Dia]]</f>
        <v>44815</v>
      </c>
      <c r="D288" s="11">
        <f>_xlfn.XLOOKUP(TableDailySummary[[#This Row],[Fecha]],SummaryDaily[day],SummaryDaily[net_sales],0)</f>
        <v>0</v>
      </c>
      <c r="E288" s="11">
        <f>_xlfn.XLOOKUP(TableDailySummary[[#This Row],[Fecha]],SummaryDaily[day],SummaryDaily[orders],0)</f>
        <v>0</v>
      </c>
      <c r="F288" s="11">
        <f>_xlfn.XLOOKUP(TableDailySummary[[#This Row],[Fecha]],SummaryDaily[day],SummaryDaily[average_order_value],0)</f>
        <v>0</v>
      </c>
      <c r="G288" s="24" cm="1">
        <f t="array" ref="G288">_xlfn.XLOOKUP(TableDailySummary[[#This Row],[Fecha]]&amp;"Total site",ConversionRateByReferral[day]&amp;ConversionRateByReferral[referrer_source],ConversionRateByReferral[conversion_rate],0)</f>
        <v>0</v>
      </c>
      <c r="H288" s="11">
        <f>TableDailySummary[[#This Row],[Órden promedio totales]]*TableDailySummary[[#This Row],[CR totales]]</f>
        <v>0</v>
      </c>
      <c r="I288" s="11">
        <f>_xlfn.XLOOKUP(TableDailySummary[[#This Row],[Fecha]],SummaryDaily[day],SummaryDaily[new_net_sales],0)</f>
        <v>0</v>
      </c>
      <c r="J288" s="11">
        <f>_xlfn.XLOOKUP(TableDailySummary[[#This Row],[Fecha]],SummaryDaily[day],SummaryDaily[new_orders],0)</f>
        <v>0</v>
      </c>
      <c r="K288" s="11">
        <f>_xlfn.XLOOKUP(TableDailySummary[[#This Row],[Fecha]],SummaryDaily[day],SummaryDaily[new_average_order_value],0)</f>
        <v>0</v>
      </c>
      <c r="L288" s="11">
        <f>_xlfn.XLOOKUP(TableDailySummary[[#This Row],[Fecha]],SummaryDaily[day],SummaryDaily[Online Store_net_sales],0)</f>
        <v>0</v>
      </c>
      <c r="M288" s="11">
        <f>_xlfn.XLOOKUP(TableDailySummary[[#This Row],[Fecha]],SummaryDaily[day],SummaryDaily[Online Store_orders],0)</f>
        <v>0</v>
      </c>
      <c r="N288" s="11">
        <f>_xlfn.XLOOKUP(TableDailySummary[[#This Row],[Fecha]],SummaryDaily[day],SummaryDaily[Online Store_average_order_value],0)</f>
        <v>0</v>
      </c>
      <c r="O288" s="11">
        <f>_xlfn.XLOOKUP(TableDailySummary[[#This Row],[Fecha]],SummaryDaily[day],SummaryDaily[Tienda 81_net_sales],0)</f>
        <v>0</v>
      </c>
      <c r="P288" s="11">
        <f>_xlfn.XLOOKUP(TableDailySummary[[#This Row],[Fecha]],SummaryDaily[day],SummaryDaily[Tienda 81_orders],0)</f>
        <v>0</v>
      </c>
      <c r="Q288" s="11">
        <f>_xlfn.XLOOKUP(TableDailySummary[[#This Row],[Fecha]],SummaryDaily[day],SummaryDaily[Tienda 81_average_order_value],0)</f>
        <v>0</v>
      </c>
      <c r="R288" s="11">
        <f>_xlfn.XLOOKUP(TableDailySummary[[#This Row],[Fecha]],SummaryDaily[day],SummaryDaily[Rappi_net_sales],0)</f>
        <v>0</v>
      </c>
      <c r="S288" s="11">
        <f>_xlfn.XLOOKUP(TableDailySummary[[#This Row],[Fecha]],SummaryDaily[day],SummaryDaily[Rappi_orders],0)</f>
        <v>0</v>
      </c>
      <c r="T288" s="11">
        <f>_xlfn.XLOOKUP(TableDailySummary[[#This Row],[Fecha]],SummaryDaily[day],SummaryDaily[Rappi_average_order_value],0)</f>
        <v>0</v>
      </c>
      <c r="U288" s="11">
        <f>_xlfn.XLOOKUP(TableDailySummary[[#This Row],[Fecha]],SummaryDaily[day],SummaryDaily[Corporativo no tienda_net_sales],0)</f>
        <v>0</v>
      </c>
      <c r="V288" s="11">
        <f>_xlfn.XLOOKUP(TableDailySummary[[#This Row],[Fecha]],SummaryDaily[day],SummaryDaily[Corporativo no tienda_orders],0)</f>
        <v>0</v>
      </c>
      <c r="W288" s="11">
        <f>_xlfn.XLOOKUP(TableDailySummary[[#This Row],[Fecha]],SummaryDaily[day],SummaryDaily[Corporativo no tienda_average_order_value],0)</f>
        <v>0</v>
      </c>
      <c r="X288" s="11">
        <f>_xlfn.XLOOKUP(TableDailySummary[[#This Row],[Fecha]],SummaryDaily[day],SummaryDaily[GoogleAdsOperation.Cost],0)</f>
        <v>0</v>
      </c>
      <c r="Y288" s="11">
        <f>SUMIFS(SalesByUTMDaily[google],SalesByUTMDaily[day],TableDailySummary[[#This Row],[Fecha]])</f>
        <v>0</v>
      </c>
      <c r="Z288" s="11">
        <f>_xlfn.XLOOKUP(TableDailySummary[[#This Row],[Fecha]],SummaryDaily[day],SummaryDaily[MetaAdsOperation.spend],0)</f>
        <v>0</v>
      </c>
      <c r="AA288" s="11">
        <f>SUMIFS(SalesByUTMDaily[facebook],SalesByUTMDaily[day],TableDailySummary[[#This Row],[Fecha]])</f>
        <v>0</v>
      </c>
      <c r="AB288" s="11">
        <f>TableDailySummary[[#This Row],[Inversión google ads]]+TableDailySummary[[#This Row],[Inversión meta ads]]</f>
        <v>0</v>
      </c>
      <c r="AC288" s="11">
        <f>TableDailySummary[[#This Row],[Ventas google ads]]+TableDailySummary[[#This Row],[Ventas meta ads]]</f>
        <v>0</v>
      </c>
      <c r="AD288" s="14">
        <f>IFERROR(TableDailySummary[[#This Row],[Ventas publicidad]]/TableDailySummary[[#This Row],[Inversión publicidad]],0)</f>
        <v>0</v>
      </c>
      <c r="AE288" s="14">
        <f>IFERROR(TableDailySummary[[#This Row],[Ventas primer cliente]]/TableDailySummary[[#This Row],[Inversión publicidad]],0)</f>
        <v>0</v>
      </c>
      <c r="AF288" s="14"/>
      <c r="AG288" s="11"/>
      <c r="AM288" s="11">
        <f>_xlfn.XLOOKUP(TableDailySummary[[#This Row],[Fecha]],SummaryDaily[day],SummaryDaily[net_sales_with_cost_recorded],0)</f>
        <v>0</v>
      </c>
      <c r="AN288" s="11">
        <f>_xlfn.XLOOKUP(TableDailySummary[[#This Row],[Fecha]],SummaryDaily[day],SummaryDaily[cost_of_goods_sold],0)</f>
        <v>0</v>
      </c>
      <c r="AO288" s="11">
        <f>_xlfn.XLOOKUP(TableDailySummary[[#This Row],[Fecha]],SummaryDaily[day],SummaryDaily[gross_profit],0)</f>
        <v>0</v>
      </c>
      <c r="AP288" s="18">
        <f>IFERROR(TableDailySummary[[#This Row],[Utilidad bruta]]/TableDailySummary[[#This Row],[Ventas netas con costo registrado]],0)</f>
        <v>0</v>
      </c>
    </row>
    <row r="289" spans="2:42" x14ac:dyDescent="0.2">
      <c r="B289" s="15" cm="1">
        <f t="array" ref="B289">ParamFechaInicioReporte + (ROW(TableDailySummary[#This Row]) - ROW(TableDailySummary[[#Headers],[Dia]]) - 1)</f>
        <v>44816</v>
      </c>
      <c r="C289" s="6">
        <f>TableDailySummary[[#This Row],[Dia]]</f>
        <v>44816</v>
      </c>
      <c r="D289" s="11">
        <f>_xlfn.XLOOKUP(TableDailySummary[[#This Row],[Fecha]],SummaryDaily[day],SummaryDaily[net_sales],0)</f>
        <v>0</v>
      </c>
      <c r="E289" s="11">
        <f>_xlfn.XLOOKUP(TableDailySummary[[#This Row],[Fecha]],SummaryDaily[day],SummaryDaily[orders],0)</f>
        <v>0</v>
      </c>
      <c r="F289" s="11">
        <f>_xlfn.XLOOKUP(TableDailySummary[[#This Row],[Fecha]],SummaryDaily[day],SummaryDaily[average_order_value],0)</f>
        <v>0</v>
      </c>
      <c r="G289" s="24" cm="1">
        <f t="array" ref="G289">_xlfn.XLOOKUP(TableDailySummary[[#This Row],[Fecha]]&amp;"Total site",ConversionRateByReferral[day]&amp;ConversionRateByReferral[referrer_source],ConversionRateByReferral[conversion_rate],0)</f>
        <v>0</v>
      </c>
      <c r="H289" s="11">
        <f>TableDailySummary[[#This Row],[Órden promedio totales]]*TableDailySummary[[#This Row],[CR totales]]</f>
        <v>0</v>
      </c>
      <c r="I289" s="11">
        <f>_xlfn.XLOOKUP(TableDailySummary[[#This Row],[Fecha]],SummaryDaily[day],SummaryDaily[new_net_sales],0)</f>
        <v>0</v>
      </c>
      <c r="J289" s="11">
        <f>_xlfn.XLOOKUP(TableDailySummary[[#This Row],[Fecha]],SummaryDaily[day],SummaryDaily[new_orders],0)</f>
        <v>0</v>
      </c>
      <c r="K289" s="11">
        <f>_xlfn.XLOOKUP(TableDailySummary[[#This Row],[Fecha]],SummaryDaily[day],SummaryDaily[new_average_order_value],0)</f>
        <v>0</v>
      </c>
      <c r="L289" s="11">
        <f>_xlfn.XLOOKUP(TableDailySummary[[#This Row],[Fecha]],SummaryDaily[day],SummaryDaily[Online Store_net_sales],0)</f>
        <v>0</v>
      </c>
      <c r="M289" s="11">
        <f>_xlfn.XLOOKUP(TableDailySummary[[#This Row],[Fecha]],SummaryDaily[day],SummaryDaily[Online Store_orders],0)</f>
        <v>0</v>
      </c>
      <c r="N289" s="11">
        <f>_xlfn.XLOOKUP(TableDailySummary[[#This Row],[Fecha]],SummaryDaily[day],SummaryDaily[Online Store_average_order_value],0)</f>
        <v>0</v>
      </c>
      <c r="O289" s="11">
        <f>_xlfn.XLOOKUP(TableDailySummary[[#This Row],[Fecha]],SummaryDaily[day],SummaryDaily[Tienda 81_net_sales],0)</f>
        <v>0</v>
      </c>
      <c r="P289" s="11">
        <f>_xlfn.XLOOKUP(TableDailySummary[[#This Row],[Fecha]],SummaryDaily[day],SummaryDaily[Tienda 81_orders],0)</f>
        <v>0</v>
      </c>
      <c r="Q289" s="11">
        <f>_xlfn.XLOOKUP(TableDailySummary[[#This Row],[Fecha]],SummaryDaily[day],SummaryDaily[Tienda 81_average_order_value],0)</f>
        <v>0</v>
      </c>
      <c r="R289" s="11">
        <f>_xlfn.XLOOKUP(TableDailySummary[[#This Row],[Fecha]],SummaryDaily[day],SummaryDaily[Rappi_net_sales],0)</f>
        <v>0</v>
      </c>
      <c r="S289" s="11">
        <f>_xlfn.XLOOKUP(TableDailySummary[[#This Row],[Fecha]],SummaryDaily[day],SummaryDaily[Rappi_orders],0)</f>
        <v>0</v>
      </c>
      <c r="T289" s="11">
        <f>_xlfn.XLOOKUP(TableDailySummary[[#This Row],[Fecha]],SummaryDaily[day],SummaryDaily[Rappi_average_order_value],0)</f>
        <v>0</v>
      </c>
      <c r="U289" s="11">
        <f>_xlfn.XLOOKUP(TableDailySummary[[#This Row],[Fecha]],SummaryDaily[day],SummaryDaily[Corporativo no tienda_net_sales],0)</f>
        <v>0</v>
      </c>
      <c r="V289" s="11">
        <f>_xlfn.XLOOKUP(TableDailySummary[[#This Row],[Fecha]],SummaryDaily[day],SummaryDaily[Corporativo no tienda_orders],0)</f>
        <v>0</v>
      </c>
      <c r="W289" s="11">
        <f>_xlfn.XLOOKUP(TableDailySummary[[#This Row],[Fecha]],SummaryDaily[day],SummaryDaily[Corporativo no tienda_average_order_value],0)</f>
        <v>0</v>
      </c>
      <c r="X289" s="11">
        <f>_xlfn.XLOOKUP(TableDailySummary[[#This Row],[Fecha]],SummaryDaily[day],SummaryDaily[GoogleAdsOperation.Cost],0)</f>
        <v>0</v>
      </c>
      <c r="Y289" s="11">
        <f>SUMIFS(SalesByUTMDaily[google],SalesByUTMDaily[day],TableDailySummary[[#This Row],[Fecha]])</f>
        <v>0</v>
      </c>
      <c r="Z289" s="11">
        <f>_xlfn.XLOOKUP(TableDailySummary[[#This Row],[Fecha]],SummaryDaily[day],SummaryDaily[MetaAdsOperation.spend],0)</f>
        <v>0</v>
      </c>
      <c r="AA289" s="11">
        <f>SUMIFS(SalesByUTMDaily[facebook],SalesByUTMDaily[day],TableDailySummary[[#This Row],[Fecha]])</f>
        <v>0</v>
      </c>
      <c r="AB289" s="11">
        <f>TableDailySummary[[#This Row],[Inversión google ads]]+TableDailySummary[[#This Row],[Inversión meta ads]]</f>
        <v>0</v>
      </c>
      <c r="AC289" s="11">
        <f>TableDailySummary[[#This Row],[Ventas google ads]]+TableDailySummary[[#This Row],[Ventas meta ads]]</f>
        <v>0</v>
      </c>
      <c r="AD289" s="14">
        <f>IFERROR(TableDailySummary[[#This Row],[Ventas publicidad]]/TableDailySummary[[#This Row],[Inversión publicidad]],0)</f>
        <v>0</v>
      </c>
      <c r="AE289" s="14">
        <f>IFERROR(TableDailySummary[[#This Row],[Ventas primer cliente]]/TableDailySummary[[#This Row],[Inversión publicidad]],0)</f>
        <v>0</v>
      </c>
      <c r="AF289" s="14"/>
      <c r="AG289" s="11"/>
      <c r="AM289" s="11">
        <f>_xlfn.XLOOKUP(TableDailySummary[[#This Row],[Fecha]],SummaryDaily[day],SummaryDaily[net_sales_with_cost_recorded],0)</f>
        <v>0</v>
      </c>
      <c r="AN289" s="11">
        <f>_xlfn.XLOOKUP(TableDailySummary[[#This Row],[Fecha]],SummaryDaily[day],SummaryDaily[cost_of_goods_sold],0)</f>
        <v>0</v>
      </c>
      <c r="AO289" s="11">
        <f>_xlfn.XLOOKUP(TableDailySummary[[#This Row],[Fecha]],SummaryDaily[day],SummaryDaily[gross_profit],0)</f>
        <v>0</v>
      </c>
      <c r="AP289" s="18">
        <f>IFERROR(TableDailySummary[[#This Row],[Utilidad bruta]]/TableDailySummary[[#This Row],[Ventas netas con costo registrado]],0)</f>
        <v>0</v>
      </c>
    </row>
    <row r="290" spans="2:42" x14ac:dyDescent="0.2">
      <c r="B290" s="15" cm="1">
        <f t="array" ref="B290">ParamFechaInicioReporte + (ROW(TableDailySummary[#This Row]) - ROW(TableDailySummary[[#Headers],[Dia]]) - 1)</f>
        <v>44817</v>
      </c>
      <c r="C290" s="6">
        <f>TableDailySummary[[#This Row],[Dia]]</f>
        <v>44817</v>
      </c>
      <c r="D290" s="11">
        <f>_xlfn.XLOOKUP(TableDailySummary[[#This Row],[Fecha]],SummaryDaily[day],SummaryDaily[net_sales],0)</f>
        <v>0</v>
      </c>
      <c r="E290" s="11">
        <f>_xlfn.XLOOKUP(TableDailySummary[[#This Row],[Fecha]],SummaryDaily[day],SummaryDaily[orders],0)</f>
        <v>0</v>
      </c>
      <c r="F290" s="11">
        <f>_xlfn.XLOOKUP(TableDailySummary[[#This Row],[Fecha]],SummaryDaily[day],SummaryDaily[average_order_value],0)</f>
        <v>0</v>
      </c>
      <c r="G290" s="24" cm="1">
        <f t="array" ref="G290">_xlfn.XLOOKUP(TableDailySummary[[#This Row],[Fecha]]&amp;"Total site",ConversionRateByReferral[day]&amp;ConversionRateByReferral[referrer_source],ConversionRateByReferral[conversion_rate],0)</f>
        <v>0</v>
      </c>
      <c r="H290" s="11">
        <f>TableDailySummary[[#This Row],[Órden promedio totales]]*TableDailySummary[[#This Row],[CR totales]]</f>
        <v>0</v>
      </c>
      <c r="I290" s="11">
        <f>_xlfn.XLOOKUP(TableDailySummary[[#This Row],[Fecha]],SummaryDaily[day],SummaryDaily[new_net_sales],0)</f>
        <v>0</v>
      </c>
      <c r="J290" s="11">
        <f>_xlfn.XLOOKUP(TableDailySummary[[#This Row],[Fecha]],SummaryDaily[day],SummaryDaily[new_orders],0)</f>
        <v>0</v>
      </c>
      <c r="K290" s="11">
        <f>_xlfn.XLOOKUP(TableDailySummary[[#This Row],[Fecha]],SummaryDaily[day],SummaryDaily[new_average_order_value],0)</f>
        <v>0</v>
      </c>
      <c r="L290" s="11">
        <f>_xlfn.XLOOKUP(TableDailySummary[[#This Row],[Fecha]],SummaryDaily[day],SummaryDaily[Online Store_net_sales],0)</f>
        <v>0</v>
      </c>
      <c r="M290" s="11">
        <f>_xlfn.XLOOKUP(TableDailySummary[[#This Row],[Fecha]],SummaryDaily[day],SummaryDaily[Online Store_orders],0)</f>
        <v>0</v>
      </c>
      <c r="N290" s="11">
        <f>_xlfn.XLOOKUP(TableDailySummary[[#This Row],[Fecha]],SummaryDaily[day],SummaryDaily[Online Store_average_order_value],0)</f>
        <v>0</v>
      </c>
      <c r="O290" s="11">
        <f>_xlfn.XLOOKUP(TableDailySummary[[#This Row],[Fecha]],SummaryDaily[day],SummaryDaily[Tienda 81_net_sales],0)</f>
        <v>0</v>
      </c>
      <c r="P290" s="11">
        <f>_xlfn.XLOOKUP(TableDailySummary[[#This Row],[Fecha]],SummaryDaily[day],SummaryDaily[Tienda 81_orders],0)</f>
        <v>0</v>
      </c>
      <c r="Q290" s="11">
        <f>_xlfn.XLOOKUP(TableDailySummary[[#This Row],[Fecha]],SummaryDaily[day],SummaryDaily[Tienda 81_average_order_value],0)</f>
        <v>0</v>
      </c>
      <c r="R290" s="11">
        <f>_xlfn.XLOOKUP(TableDailySummary[[#This Row],[Fecha]],SummaryDaily[day],SummaryDaily[Rappi_net_sales],0)</f>
        <v>0</v>
      </c>
      <c r="S290" s="11">
        <f>_xlfn.XLOOKUP(TableDailySummary[[#This Row],[Fecha]],SummaryDaily[day],SummaryDaily[Rappi_orders],0)</f>
        <v>0</v>
      </c>
      <c r="T290" s="11">
        <f>_xlfn.XLOOKUP(TableDailySummary[[#This Row],[Fecha]],SummaryDaily[day],SummaryDaily[Rappi_average_order_value],0)</f>
        <v>0</v>
      </c>
      <c r="U290" s="11">
        <f>_xlfn.XLOOKUP(TableDailySummary[[#This Row],[Fecha]],SummaryDaily[day],SummaryDaily[Corporativo no tienda_net_sales],0)</f>
        <v>0</v>
      </c>
      <c r="V290" s="11">
        <f>_xlfn.XLOOKUP(TableDailySummary[[#This Row],[Fecha]],SummaryDaily[day],SummaryDaily[Corporativo no tienda_orders],0)</f>
        <v>0</v>
      </c>
      <c r="W290" s="11">
        <f>_xlfn.XLOOKUP(TableDailySummary[[#This Row],[Fecha]],SummaryDaily[day],SummaryDaily[Corporativo no tienda_average_order_value],0)</f>
        <v>0</v>
      </c>
      <c r="X290" s="11">
        <f>_xlfn.XLOOKUP(TableDailySummary[[#This Row],[Fecha]],SummaryDaily[day],SummaryDaily[GoogleAdsOperation.Cost],0)</f>
        <v>0</v>
      </c>
      <c r="Y290" s="11">
        <f>SUMIFS(SalesByUTMDaily[google],SalesByUTMDaily[day],TableDailySummary[[#This Row],[Fecha]])</f>
        <v>0</v>
      </c>
      <c r="Z290" s="11">
        <f>_xlfn.XLOOKUP(TableDailySummary[[#This Row],[Fecha]],SummaryDaily[day],SummaryDaily[MetaAdsOperation.spend],0)</f>
        <v>0</v>
      </c>
      <c r="AA290" s="11">
        <f>SUMIFS(SalesByUTMDaily[facebook],SalesByUTMDaily[day],TableDailySummary[[#This Row],[Fecha]])</f>
        <v>0</v>
      </c>
      <c r="AB290" s="11">
        <f>TableDailySummary[[#This Row],[Inversión google ads]]+TableDailySummary[[#This Row],[Inversión meta ads]]</f>
        <v>0</v>
      </c>
      <c r="AC290" s="11">
        <f>TableDailySummary[[#This Row],[Ventas google ads]]+TableDailySummary[[#This Row],[Ventas meta ads]]</f>
        <v>0</v>
      </c>
      <c r="AD290" s="14">
        <f>IFERROR(TableDailySummary[[#This Row],[Ventas publicidad]]/TableDailySummary[[#This Row],[Inversión publicidad]],0)</f>
        <v>0</v>
      </c>
      <c r="AE290" s="14">
        <f>IFERROR(TableDailySummary[[#This Row],[Ventas primer cliente]]/TableDailySummary[[#This Row],[Inversión publicidad]],0)</f>
        <v>0</v>
      </c>
      <c r="AF290" s="14"/>
      <c r="AG290" s="11"/>
      <c r="AM290" s="11">
        <f>_xlfn.XLOOKUP(TableDailySummary[[#This Row],[Fecha]],SummaryDaily[day],SummaryDaily[net_sales_with_cost_recorded],0)</f>
        <v>0</v>
      </c>
      <c r="AN290" s="11">
        <f>_xlfn.XLOOKUP(TableDailySummary[[#This Row],[Fecha]],SummaryDaily[day],SummaryDaily[cost_of_goods_sold],0)</f>
        <v>0</v>
      </c>
      <c r="AO290" s="11">
        <f>_xlfn.XLOOKUP(TableDailySummary[[#This Row],[Fecha]],SummaryDaily[day],SummaryDaily[gross_profit],0)</f>
        <v>0</v>
      </c>
      <c r="AP290" s="18">
        <f>IFERROR(TableDailySummary[[#This Row],[Utilidad bruta]]/TableDailySummary[[#This Row],[Ventas netas con costo registrado]],0)</f>
        <v>0</v>
      </c>
    </row>
    <row r="291" spans="2:42" x14ac:dyDescent="0.2">
      <c r="B291" s="15" cm="1">
        <f t="array" ref="B291">ParamFechaInicioReporte + (ROW(TableDailySummary[#This Row]) - ROW(TableDailySummary[[#Headers],[Dia]]) - 1)</f>
        <v>44818</v>
      </c>
      <c r="C291" s="6">
        <f>TableDailySummary[[#This Row],[Dia]]</f>
        <v>44818</v>
      </c>
      <c r="D291" s="11">
        <f>_xlfn.XLOOKUP(TableDailySummary[[#This Row],[Fecha]],SummaryDaily[day],SummaryDaily[net_sales],0)</f>
        <v>0</v>
      </c>
      <c r="E291" s="11">
        <f>_xlfn.XLOOKUP(TableDailySummary[[#This Row],[Fecha]],SummaryDaily[day],SummaryDaily[orders],0)</f>
        <v>0</v>
      </c>
      <c r="F291" s="11">
        <f>_xlfn.XLOOKUP(TableDailySummary[[#This Row],[Fecha]],SummaryDaily[day],SummaryDaily[average_order_value],0)</f>
        <v>0</v>
      </c>
      <c r="G291" s="24" cm="1">
        <f t="array" ref="G291">_xlfn.XLOOKUP(TableDailySummary[[#This Row],[Fecha]]&amp;"Total site",ConversionRateByReferral[day]&amp;ConversionRateByReferral[referrer_source],ConversionRateByReferral[conversion_rate],0)</f>
        <v>0</v>
      </c>
      <c r="H291" s="11">
        <f>TableDailySummary[[#This Row],[Órden promedio totales]]*TableDailySummary[[#This Row],[CR totales]]</f>
        <v>0</v>
      </c>
      <c r="I291" s="11">
        <f>_xlfn.XLOOKUP(TableDailySummary[[#This Row],[Fecha]],SummaryDaily[day],SummaryDaily[new_net_sales],0)</f>
        <v>0</v>
      </c>
      <c r="J291" s="11">
        <f>_xlfn.XLOOKUP(TableDailySummary[[#This Row],[Fecha]],SummaryDaily[day],SummaryDaily[new_orders],0)</f>
        <v>0</v>
      </c>
      <c r="K291" s="11">
        <f>_xlfn.XLOOKUP(TableDailySummary[[#This Row],[Fecha]],SummaryDaily[day],SummaryDaily[new_average_order_value],0)</f>
        <v>0</v>
      </c>
      <c r="L291" s="11">
        <f>_xlfn.XLOOKUP(TableDailySummary[[#This Row],[Fecha]],SummaryDaily[day],SummaryDaily[Online Store_net_sales],0)</f>
        <v>0</v>
      </c>
      <c r="M291" s="11">
        <f>_xlfn.XLOOKUP(TableDailySummary[[#This Row],[Fecha]],SummaryDaily[day],SummaryDaily[Online Store_orders],0)</f>
        <v>0</v>
      </c>
      <c r="N291" s="11">
        <f>_xlfn.XLOOKUP(TableDailySummary[[#This Row],[Fecha]],SummaryDaily[day],SummaryDaily[Online Store_average_order_value],0)</f>
        <v>0</v>
      </c>
      <c r="O291" s="11">
        <f>_xlfn.XLOOKUP(TableDailySummary[[#This Row],[Fecha]],SummaryDaily[day],SummaryDaily[Tienda 81_net_sales],0)</f>
        <v>0</v>
      </c>
      <c r="P291" s="11">
        <f>_xlfn.XLOOKUP(TableDailySummary[[#This Row],[Fecha]],SummaryDaily[day],SummaryDaily[Tienda 81_orders],0)</f>
        <v>0</v>
      </c>
      <c r="Q291" s="11">
        <f>_xlfn.XLOOKUP(TableDailySummary[[#This Row],[Fecha]],SummaryDaily[day],SummaryDaily[Tienda 81_average_order_value],0)</f>
        <v>0</v>
      </c>
      <c r="R291" s="11">
        <f>_xlfn.XLOOKUP(TableDailySummary[[#This Row],[Fecha]],SummaryDaily[day],SummaryDaily[Rappi_net_sales],0)</f>
        <v>0</v>
      </c>
      <c r="S291" s="11">
        <f>_xlfn.XLOOKUP(TableDailySummary[[#This Row],[Fecha]],SummaryDaily[day],SummaryDaily[Rappi_orders],0)</f>
        <v>0</v>
      </c>
      <c r="T291" s="11">
        <f>_xlfn.XLOOKUP(TableDailySummary[[#This Row],[Fecha]],SummaryDaily[day],SummaryDaily[Rappi_average_order_value],0)</f>
        <v>0</v>
      </c>
      <c r="U291" s="11">
        <f>_xlfn.XLOOKUP(TableDailySummary[[#This Row],[Fecha]],SummaryDaily[day],SummaryDaily[Corporativo no tienda_net_sales],0)</f>
        <v>0</v>
      </c>
      <c r="V291" s="11">
        <f>_xlfn.XLOOKUP(TableDailySummary[[#This Row],[Fecha]],SummaryDaily[day],SummaryDaily[Corporativo no tienda_orders],0)</f>
        <v>0</v>
      </c>
      <c r="W291" s="11">
        <f>_xlfn.XLOOKUP(TableDailySummary[[#This Row],[Fecha]],SummaryDaily[day],SummaryDaily[Corporativo no tienda_average_order_value],0)</f>
        <v>0</v>
      </c>
      <c r="X291" s="11">
        <f>_xlfn.XLOOKUP(TableDailySummary[[#This Row],[Fecha]],SummaryDaily[day],SummaryDaily[GoogleAdsOperation.Cost],0)</f>
        <v>0</v>
      </c>
      <c r="Y291" s="11">
        <f>SUMIFS(SalesByUTMDaily[google],SalesByUTMDaily[day],TableDailySummary[[#This Row],[Fecha]])</f>
        <v>0</v>
      </c>
      <c r="Z291" s="11">
        <f>_xlfn.XLOOKUP(TableDailySummary[[#This Row],[Fecha]],SummaryDaily[day],SummaryDaily[MetaAdsOperation.spend],0)</f>
        <v>0</v>
      </c>
      <c r="AA291" s="11">
        <f>SUMIFS(SalesByUTMDaily[facebook],SalesByUTMDaily[day],TableDailySummary[[#This Row],[Fecha]])</f>
        <v>0</v>
      </c>
      <c r="AB291" s="11">
        <f>TableDailySummary[[#This Row],[Inversión google ads]]+TableDailySummary[[#This Row],[Inversión meta ads]]</f>
        <v>0</v>
      </c>
      <c r="AC291" s="11">
        <f>TableDailySummary[[#This Row],[Ventas google ads]]+TableDailySummary[[#This Row],[Ventas meta ads]]</f>
        <v>0</v>
      </c>
      <c r="AD291" s="14">
        <f>IFERROR(TableDailySummary[[#This Row],[Ventas publicidad]]/TableDailySummary[[#This Row],[Inversión publicidad]],0)</f>
        <v>0</v>
      </c>
      <c r="AE291" s="14">
        <f>IFERROR(TableDailySummary[[#This Row],[Ventas primer cliente]]/TableDailySummary[[#This Row],[Inversión publicidad]],0)</f>
        <v>0</v>
      </c>
      <c r="AF291" s="14"/>
      <c r="AG291" s="11"/>
      <c r="AM291" s="11">
        <f>_xlfn.XLOOKUP(TableDailySummary[[#This Row],[Fecha]],SummaryDaily[day],SummaryDaily[net_sales_with_cost_recorded],0)</f>
        <v>0</v>
      </c>
      <c r="AN291" s="11">
        <f>_xlfn.XLOOKUP(TableDailySummary[[#This Row],[Fecha]],SummaryDaily[day],SummaryDaily[cost_of_goods_sold],0)</f>
        <v>0</v>
      </c>
      <c r="AO291" s="11">
        <f>_xlfn.XLOOKUP(TableDailySummary[[#This Row],[Fecha]],SummaryDaily[day],SummaryDaily[gross_profit],0)</f>
        <v>0</v>
      </c>
      <c r="AP291" s="18">
        <f>IFERROR(TableDailySummary[[#This Row],[Utilidad bruta]]/TableDailySummary[[#This Row],[Ventas netas con costo registrado]],0)</f>
        <v>0</v>
      </c>
    </row>
    <row r="292" spans="2:42" x14ac:dyDescent="0.2">
      <c r="B292" s="15" cm="1">
        <f t="array" ref="B292">ParamFechaInicioReporte + (ROW(TableDailySummary[#This Row]) - ROW(TableDailySummary[[#Headers],[Dia]]) - 1)</f>
        <v>44819</v>
      </c>
      <c r="C292" s="6">
        <f>TableDailySummary[[#This Row],[Dia]]</f>
        <v>44819</v>
      </c>
      <c r="D292" s="11">
        <f>_xlfn.XLOOKUP(TableDailySummary[[#This Row],[Fecha]],SummaryDaily[day],SummaryDaily[net_sales],0)</f>
        <v>0</v>
      </c>
      <c r="E292" s="11">
        <f>_xlfn.XLOOKUP(TableDailySummary[[#This Row],[Fecha]],SummaryDaily[day],SummaryDaily[orders],0)</f>
        <v>0</v>
      </c>
      <c r="F292" s="11">
        <f>_xlfn.XLOOKUP(TableDailySummary[[#This Row],[Fecha]],SummaryDaily[day],SummaryDaily[average_order_value],0)</f>
        <v>0</v>
      </c>
      <c r="G292" s="24" cm="1">
        <f t="array" ref="G292">_xlfn.XLOOKUP(TableDailySummary[[#This Row],[Fecha]]&amp;"Total site",ConversionRateByReferral[day]&amp;ConversionRateByReferral[referrer_source],ConversionRateByReferral[conversion_rate],0)</f>
        <v>0</v>
      </c>
      <c r="H292" s="11">
        <f>TableDailySummary[[#This Row],[Órden promedio totales]]*TableDailySummary[[#This Row],[CR totales]]</f>
        <v>0</v>
      </c>
      <c r="I292" s="11">
        <f>_xlfn.XLOOKUP(TableDailySummary[[#This Row],[Fecha]],SummaryDaily[day],SummaryDaily[new_net_sales],0)</f>
        <v>0</v>
      </c>
      <c r="J292" s="11">
        <f>_xlfn.XLOOKUP(TableDailySummary[[#This Row],[Fecha]],SummaryDaily[day],SummaryDaily[new_orders],0)</f>
        <v>0</v>
      </c>
      <c r="K292" s="11">
        <f>_xlfn.XLOOKUP(TableDailySummary[[#This Row],[Fecha]],SummaryDaily[day],SummaryDaily[new_average_order_value],0)</f>
        <v>0</v>
      </c>
      <c r="L292" s="11">
        <f>_xlfn.XLOOKUP(TableDailySummary[[#This Row],[Fecha]],SummaryDaily[day],SummaryDaily[Online Store_net_sales],0)</f>
        <v>0</v>
      </c>
      <c r="M292" s="11">
        <f>_xlfn.XLOOKUP(TableDailySummary[[#This Row],[Fecha]],SummaryDaily[day],SummaryDaily[Online Store_orders],0)</f>
        <v>0</v>
      </c>
      <c r="N292" s="11">
        <f>_xlfn.XLOOKUP(TableDailySummary[[#This Row],[Fecha]],SummaryDaily[day],SummaryDaily[Online Store_average_order_value],0)</f>
        <v>0</v>
      </c>
      <c r="O292" s="11">
        <f>_xlfn.XLOOKUP(TableDailySummary[[#This Row],[Fecha]],SummaryDaily[day],SummaryDaily[Tienda 81_net_sales],0)</f>
        <v>0</v>
      </c>
      <c r="P292" s="11">
        <f>_xlfn.XLOOKUP(TableDailySummary[[#This Row],[Fecha]],SummaryDaily[day],SummaryDaily[Tienda 81_orders],0)</f>
        <v>0</v>
      </c>
      <c r="Q292" s="11">
        <f>_xlfn.XLOOKUP(TableDailySummary[[#This Row],[Fecha]],SummaryDaily[day],SummaryDaily[Tienda 81_average_order_value],0)</f>
        <v>0</v>
      </c>
      <c r="R292" s="11">
        <f>_xlfn.XLOOKUP(TableDailySummary[[#This Row],[Fecha]],SummaryDaily[day],SummaryDaily[Rappi_net_sales],0)</f>
        <v>0</v>
      </c>
      <c r="S292" s="11">
        <f>_xlfn.XLOOKUP(TableDailySummary[[#This Row],[Fecha]],SummaryDaily[day],SummaryDaily[Rappi_orders],0)</f>
        <v>0</v>
      </c>
      <c r="T292" s="11">
        <f>_xlfn.XLOOKUP(TableDailySummary[[#This Row],[Fecha]],SummaryDaily[day],SummaryDaily[Rappi_average_order_value],0)</f>
        <v>0</v>
      </c>
      <c r="U292" s="11">
        <f>_xlfn.XLOOKUP(TableDailySummary[[#This Row],[Fecha]],SummaryDaily[day],SummaryDaily[Corporativo no tienda_net_sales],0)</f>
        <v>0</v>
      </c>
      <c r="V292" s="11">
        <f>_xlfn.XLOOKUP(TableDailySummary[[#This Row],[Fecha]],SummaryDaily[day],SummaryDaily[Corporativo no tienda_orders],0)</f>
        <v>0</v>
      </c>
      <c r="W292" s="11">
        <f>_xlfn.XLOOKUP(TableDailySummary[[#This Row],[Fecha]],SummaryDaily[day],SummaryDaily[Corporativo no tienda_average_order_value],0)</f>
        <v>0</v>
      </c>
      <c r="X292" s="11">
        <f>_xlfn.XLOOKUP(TableDailySummary[[#This Row],[Fecha]],SummaryDaily[day],SummaryDaily[GoogleAdsOperation.Cost],0)</f>
        <v>0</v>
      </c>
      <c r="Y292" s="11">
        <f>SUMIFS(SalesByUTMDaily[google],SalesByUTMDaily[day],TableDailySummary[[#This Row],[Fecha]])</f>
        <v>0</v>
      </c>
      <c r="Z292" s="11">
        <f>_xlfn.XLOOKUP(TableDailySummary[[#This Row],[Fecha]],SummaryDaily[day],SummaryDaily[MetaAdsOperation.spend],0)</f>
        <v>0</v>
      </c>
      <c r="AA292" s="11">
        <f>SUMIFS(SalesByUTMDaily[facebook],SalesByUTMDaily[day],TableDailySummary[[#This Row],[Fecha]])</f>
        <v>0</v>
      </c>
      <c r="AB292" s="11">
        <f>TableDailySummary[[#This Row],[Inversión google ads]]+TableDailySummary[[#This Row],[Inversión meta ads]]</f>
        <v>0</v>
      </c>
      <c r="AC292" s="11">
        <f>TableDailySummary[[#This Row],[Ventas google ads]]+TableDailySummary[[#This Row],[Ventas meta ads]]</f>
        <v>0</v>
      </c>
      <c r="AD292" s="14">
        <f>IFERROR(TableDailySummary[[#This Row],[Ventas publicidad]]/TableDailySummary[[#This Row],[Inversión publicidad]],0)</f>
        <v>0</v>
      </c>
      <c r="AE292" s="14">
        <f>IFERROR(TableDailySummary[[#This Row],[Ventas primer cliente]]/TableDailySummary[[#This Row],[Inversión publicidad]],0)</f>
        <v>0</v>
      </c>
      <c r="AF292" s="14"/>
      <c r="AG292" s="11"/>
      <c r="AM292" s="11">
        <f>_xlfn.XLOOKUP(TableDailySummary[[#This Row],[Fecha]],SummaryDaily[day],SummaryDaily[net_sales_with_cost_recorded],0)</f>
        <v>0</v>
      </c>
      <c r="AN292" s="11">
        <f>_xlfn.XLOOKUP(TableDailySummary[[#This Row],[Fecha]],SummaryDaily[day],SummaryDaily[cost_of_goods_sold],0)</f>
        <v>0</v>
      </c>
      <c r="AO292" s="11">
        <f>_xlfn.XLOOKUP(TableDailySummary[[#This Row],[Fecha]],SummaryDaily[day],SummaryDaily[gross_profit],0)</f>
        <v>0</v>
      </c>
      <c r="AP292" s="18">
        <f>IFERROR(TableDailySummary[[#This Row],[Utilidad bruta]]/TableDailySummary[[#This Row],[Ventas netas con costo registrado]],0)</f>
        <v>0</v>
      </c>
    </row>
    <row r="293" spans="2:42" x14ac:dyDescent="0.2">
      <c r="B293" s="15" cm="1">
        <f t="array" ref="B293">ParamFechaInicioReporte + (ROW(TableDailySummary[#This Row]) - ROW(TableDailySummary[[#Headers],[Dia]]) - 1)</f>
        <v>44820</v>
      </c>
      <c r="C293" s="6">
        <f>TableDailySummary[[#This Row],[Dia]]</f>
        <v>44820</v>
      </c>
      <c r="D293" s="11">
        <f>_xlfn.XLOOKUP(TableDailySummary[[#This Row],[Fecha]],SummaryDaily[day],SummaryDaily[net_sales],0)</f>
        <v>0</v>
      </c>
      <c r="E293" s="11">
        <f>_xlfn.XLOOKUP(TableDailySummary[[#This Row],[Fecha]],SummaryDaily[day],SummaryDaily[orders],0)</f>
        <v>0</v>
      </c>
      <c r="F293" s="11">
        <f>_xlfn.XLOOKUP(TableDailySummary[[#This Row],[Fecha]],SummaryDaily[day],SummaryDaily[average_order_value],0)</f>
        <v>0</v>
      </c>
      <c r="G293" s="24" cm="1">
        <f t="array" ref="G293">_xlfn.XLOOKUP(TableDailySummary[[#This Row],[Fecha]]&amp;"Total site",ConversionRateByReferral[day]&amp;ConversionRateByReferral[referrer_source],ConversionRateByReferral[conversion_rate],0)</f>
        <v>0</v>
      </c>
      <c r="H293" s="11">
        <f>TableDailySummary[[#This Row],[Órden promedio totales]]*TableDailySummary[[#This Row],[CR totales]]</f>
        <v>0</v>
      </c>
      <c r="I293" s="11">
        <f>_xlfn.XLOOKUP(TableDailySummary[[#This Row],[Fecha]],SummaryDaily[day],SummaryDaily[new_net_sales],0)</f>
        <v>0</v>
      </c>
      <c r="J293" s="11">
        <f>_xlfn.XLOOKUP(TableDailySummary[[#This Row],[Fecha]],SummaryDaily[day],SummaryDaily[new_orders],0)</f>
        <v>0</v>
      </c>
      <c r="K293" s="11">
        <f>_xlfn.XLOOKUP(TableDailySummary[[#This Row],[Fecha]],SummaryDaily[day],SummaryDaily[new_average_order_value],0)</f>
        <v>0</v>
      </c>
      <c r="L293" s="11">
        <f>_xlfn.XLOOKUP(TableDailySummary[[#This Row],[Fecha]],SummaryDaily[day],SummaryDaily[Online Store_net_sales],0)</f>
        <v>0</v>
      </c>
      <c r="M293" s="11">
        <f>_xlfn.XLOOKUP(TableDailySummary[[#This Row],[Fecha]],SummaryDaily[day],SummaryDaily[Online Store_orders],0)</f>
        <v>0</v>
      </c>
      <c r="N293" s="11">
        <f>_xlfn.XLOOKUP(TableDailySummary[[#This Row],[Fecha]],SummaryDaily[day],SummaryDaily[Online Store_average_order_value],0)</f>
        <v>0</v>
      </c>
      <c r="O293" s="11">
        <f>_xlfn.XLOOKUP(TableDailySummary[[#This Row],[Fecha]],SummaryDaily[day],SummaryDaily[Tienda 81_net_sales],0)</f>
        <v>0</v>
      </c>
      <c r="P293" s="11">
        <f>_xlfn.XLOOKUP(TableDailySummary[[#This Row],[Fecha]],SummaryDaily[day],SummaryDaily[Tienda 81_orders],0)</f>
        <v>0</v>
      </c>
      <c r="Q293" s="11">
        <f>_xlfn.XLOOKUP(TableDailySummary[[#This Row],[Fecha]],SummaryDaily[day],SummaryDaily[Tienda 81_average_order_value],0)</f>
        <v>0</v>
      </c>
      <c r="R293" s="11">
        <f>_xlfn.XLOOKUP(TableDailySummary[[#This Row],[Fecha]],SummaryDaily[day],SummaryDaily[Rappi_net_sales],0)</f>
        <v>0</v>
      </c>
      <c r="S293" s="11">
        <f>_xlfn.XLOOKUP(TableDailySummary[[#This Row],[Fecha]],SummaryDaily[day],SummaryDaily[Rappi_orders],0)</f>
        <v>0</v>
      </c>
      <c r="T293" s="11">
        <f>_xlfn.XLOOKUP(TableDailySummary[[#This Row],[Fecha]],SummaryDaily[day],SummaryDaily[Rappi_average_order_value],0)</f>
        <v>0</v>
      </c>
      <c r="U293" s="11">
        <f>_xlfn.XLOOKUP(TableDailySummary[[#This Row],[Fecha]],SummaryDaily[day],SummaryDaily[Corporativo no tienda_net_sales],0)</f>
        <v>0</v>
      </c>
      <c r="V293" s="11">
        <f>_xlfn.XLOOKUP(TableDailySummary[[#This Row],[Fecha]],SummaryDaily[day],SummaryDaily[Corporativo no tienda_orders],0)</f>
        <v>0</v>
      </c>
      <c r="W293" s="11">
        <f>_xlfn.XLOOKUP(TableDailySummary[[#This Row],[Fecha]],SummaryDaily[day],SummaryDaily[Corporativo no tienda_average_order_value],0)</f>
        <v>0</v>
      </c>
      <c r="X293" s="11">
        <f>_xlfn.XLOOKUP(TableDailySummary[[#This Row],[Fecha]],SummaryDaily[day],SummaryDaily[GoogleAdsOperation.Cost],0)</f>
        <v>0</v>
      </c>
      <c r="Y293" s="11">
        <f>SUMIFS(SalesByUTMDaily[google],SalesByUTMDaily[day],TableDailySummary[[#This Row],[Fecha]])</f>
        <v>0</v>
      </c>
      <c r="Z293" s="11">
        <f>_xlfn.XLOOKUP(TableDailySummary[[#This Row],[Fecha]],SummaryDaily[day],SummaryDaily[MetaAdsOperation.spend],0)</f>
        <v>0</v>
      </c>
      <c r="AA293" s="11">
        <f>SUMIFS(SalesByUTMDaily[facebook],SalesByUTMDaily[day],TableDailySummary[[#This Row],[Fecha]])</f>
        <v>0</v>
      </c>
      <c r="AB293" s="11">
        <f>TableDailySummary[[#This Row],[Inversión google ads]]+TableDailySummary[[#This Row],[Inversión meta ads]]</f>
        <v>0</v>
      </c>
      <c r="AC293" s="11">
        <f>TableDailySummary[[#This Row],[Ventas google ads]]+TableDailySummary[[#This Row],[Ventas meta ads]]</f>
        <v>0</v>
      </c>
      <c r="AD293" s="14">
        <f>IFERROR(TableDailySummary[[#This Row],[Ventas publicidad]]/TableDailySummary[[#This Row],[Inversión publicidad]],0)</f>
        <v>0</v>
      </c>
      <c r="AE293" s="14">
        <f>IFERROR(TableDailySummary[[#This Row],[Ventas primer cliente]]/TableDailySummary[[#This Row],[Inversión publicidad]],0)</f>
        <v>0</v>
      </c>
      <c r="AF293" s="14"/>
      <c r="AG293" s="11"/>
      <c r="AM293" s="11">
        <f>_xlfn.XLOOKUP(TableDailySummary[[#This Row],[Fecha]],SummaryDaily[day],SummaryDaily[net_sales_with_cost_recorded],0)</f>
        <v>0</v>
      </c>
      <c r="AN293" s="11">
        <f>_xlfn.XLOOKUP(TableDailySummary[[#This Row],[Fecha]],SummaryDaily[day],SummaryDaily[cost_of_goods_sold],0)</f>
        <v>0</v>
      </c>
      <c r="AO293" s="11">
        <f>_xlfn.XLOOKUP(TableDailySummary[[#This Row],[Fecha]],SummaryDaily[day],SummaryDaily[gross_profit],0)</f>
        <v>0</v>
      </c>
      <c r="AP293" s="18">
        <f>IFERROR(TableDailySummary[[#This Row],[Utilidad bruta]]/TableDailySummary[[#This Row],[Ventas netas con costo registrado]],0)</f>
        <v>0</v>
      </c>
    </row>
    <row r="294" spans="2:42" x14ac:dyDescent="0.2">
      <c r="B294" s="15" cm="1">
        <f t="array" ref="B294">ParamFechaInicioReporte + (ROW(TableDailySummary[#This Row]) - ROW(TableDailySummary[[#Headers],[Dia]]) - 1)</f>
        <v>44821</v>
      </c>
      <c r="C294" s="6">
        <f>TableDailySummary[[#This Row],[Dia]]</f>
        <v>44821</v>
      </c>
      <c r="D294" s="11">
        <f>_xlfn.XLOOKUP(TableDailySummary[[#This Row],[Fecha]],SummaryDaily[day],SummaryDaily[net_sales],0)</f>
        <v>0</v>
      </c>
      <c r="E294" s="11">
        <f>_xlfn.XLOOKUP(TableDailySummary[[#This Row],[Fecha]],SummaryDaily[day],SummaryDaily[orders],0)</f>
        <v>0</v>
      </c>
      <c r="F294" s="11">
        <f>_xlfn.XLOOKUP(TableDailySummary[[#This Row],[Fecha]],SummaryDaily[day],SummaryDaily[average_order_value],0)</f>
        <v>0</v>
      </c>
      <c r="G294" s="24" cm="1">
        <f t="array" ref="G294">_xlfn.XLOOKUP(TableDailySummary[[#This Row],[Fecha]]&amp;"Total site",ConversionRateByReferral[day]&amp;ConversionRateByReferral[referrer_source],ConversionRateByReferral[conversion_rate],0)</f>
        <v>0</v>
      </c>
      <c r="H294" s="11">
        <f>TableDailySummary[[#This Row],[Órden promedio totales]]*TableDailySummary[[#This Row],[CR totales]]</f>
        <v>0</v>
      </c>
      <c r="I294" s="11">
        <f>_xlfn.XLOOKUP(TableDailySummary[[#This Row],[Fecha]],SummaryDaily[day],SummaryDaily[new_net_sales],0)</f>
        <v>0</v>
      </c>
      <c r="J294" s="11">
        <f>_xlfn.XLOOKUP(TableDailySummary[[#This Row],[Fecha]],SummaryDaily[day],SummaryDaily[new_orders],0)</f>
        <v>0</v>
      </c>
      <c r="K294" s="11">
        <f>_xlfn.XLOOKUP(TableDailySummary[[#This Row],[Fecha]],SummaryDaily[day],SummaryDaily[new_average_order_value],0)</f>
        <v>0</v>
      </c>
      <c r="L294" s="11">
        <f>_xlfn.XLOOKUP(TableDailySummary[[#This Row],[Fecha]],SummaryDaily[day],SummaryDaily[Online Store_net_sales],0)</f>
        <v>0</v>
      </c>
      <c r="M294" s="11">
        <f>_xlfn.XLOOKUP(TableDailySummary[[#This Row],[Fecha]],SummaryDaily[day],SummaryDaily[Online Store_orders],0)</f>
        <v>0</v>
      </c>
      <c r="N294" s="11">
        <f>_xlfn.XLOOKUP(TableDailySummary[[#This Row],[Fecha]],SummaryDaily[day],SummaryDaily[Online Store_average_order_value],0)</f>
        <v>0</v>
      </c>
      <c r="O294" s="11">
        <f>_xlfn.XLOOKUP(TableDailySummary[[#This Row],[Fecha]],SummaryDaily[day],SummaryDaily[Tienda 81_net_sales],0)</f>
        <v>0</v>
      </c>
      <c r="P294" s="11">
        <f>_xlfn.XLOOKUP(TableDailySummary[[#This Row],[Fecha]],SummaryDaily[day],SummaryDaily[Tienda 81_orders],0)</f>
        <v>0</v>
      </c>
      <c r="Q294" s="11">
        <f>_xlfn.XLOOKUP(TableDailySummary[[#This Row],[Fecha]],SummaryDaily[day],SummaryDaily[Tienda 81_average_order_value],0)</f>
        <v>0</v>
      </c>
      <c r="R294" s="11">
        <f>_xlfn.XLOOKUP(TableDailySummary[[#This Row],[Fecha]],SummaryDaily[day],SummaryDaily[Rappi_net_sales],0)</f>
        <v>0</v>
      </c>
      <c r="S294" s="11">
        <f>_xlfn.XLOOKUP(TableDailySummary[[#This Row],[Fecha]],SummaryDaily[day],SummaryDaily[Rappi_orders],0)</f>
        <v>0</v>
      </c>
      <c r="T294" s="11">
        <f>_xlfn.XLOOKUP(TableDailySummary[[#This Row],[Fecha]],SummaryDaily[day],SummaryDaily[Rappi_average_order_value],0)</f>
        <v>0</v>
      </c>
      <c r="U294" s="11">
        <f>_xlfn.XLOOKUP(TableDailySummary[[#This Row],[Fecha]],SummaryDaily[day],SummaryDaily[Corporativo no tienda_net_sales],0)</f>
        <v>0</v>
      </c>
      <c r="V294" s="11">
        <f>_xlfn.XLOOKUP(TableDailySummary[[#This Row],[Fecha]],SummaryDaily[day],SummaryDaily[Corporativo no tienda_orders],0)</f>
        <v>0</v>
      </c>
      <c r="W294" s="11">
        <f>_xlfn.XLOOKUP(TableDailySummary[[#This Row],[Fecha]],SummaryDaily[day],SummaryDaily[Corporativo no tienda_average_order_value],0)</f>
        <v>0</v>
      </c>
      <c r="X294" s="11">
        <f>_xlfn.XLOOKUP(TableDailySummary[[#This Row],[Fecha]],SummaryDaily[day],SummaryDaily[GoogleAdsOperation.Cost],0)</f>
        <v>0</v>
      </c>
      <c r="Y294" s="11">
        <f>SUMIFS(SalesByUTMDaily[google],SalesByUTMDaily[day],TableDailySummary[[#This Row],[Fecha]])</f>
        <v>0</v>
      </c>
      <c r="Z294" s="11">
        <f>_xlfn.XLOOKUP(TableDailySummary[[#This Row],[Fecha]],SummaryDaily[day],SummaryDaily[MetaAdsOperation.spend],0)</f>
        <v>0</v>
      </c>
      <c r="AA294" s="11">
        <f>SUMIFS(SalesByUTMDaily[facebook],SalesByUTMDaily[day],TableDailySummary[[#This Row],[Fecha]])</f>
        <v>0</v>
      </c>
      <c r="AB294" s="11">
        <f>TableDailySummary[[#This Row],[Inversión google ads]]+TableDailySummary[[#This Row],[Inversión meta ads]]</f>
        <v>0</v>
      </c>
      <c r="AC294" s="11">
        <f>TableDailySummary[[#This Row],[Ventas google ads]]+TableDailySummary[[#This Row],[Ventas meta ads]]</f>
        <v>0</v>
      </c>
      <c r="AD294" s="14">
        <f>IFERROR(TableDailySummary[[#This Row],[Ventas publicidad]]/TableDailySummary[[#This Row],[Inversión publicidad]],0)</f>
        <v>0</v>
      </c>
      <c r="AE294" s="14">
        <f>IFERROR(TableDailySummary[[#This Row],[Ventas primer cliente]]/TableDailySummary[[#This Row],[Inversión publicidad]],0)</f>
        <v>0</v>
      </c>
      <c r="AF294" s="14"/>
      <c r="AG294" s="11"/>
      <c r="AM294" s="11">
        <f>_xlfn.XLOOKUP(TableDailySummary[[#This Row],[Fecha]],SummaryDaily[day],SummaryDaily[net_sales_with_cost_recorded],0)</f>
        <v>0</v>
      </c>
      <c r="AN294" s="11">
        <f>_xlfn.XLOOKUP(TableDailySummary[[#This Row],[Fecha]],SummaryDaily[day],SummaryDaily[cost_of_goods_sold],0)</f>
        <v>0</v>
      </c>
      <c r="AO294" s="11">
        <f>_xlfn.XLOOKUP(TableDailySummary[[#This Row],[Fecha]],SummaryDaily[day],SummaryDaily[gross_profit],0)</f>
        <v>0</v>
      </c>
      <c r="AP294" s="18">
        <f>IFERROR(TableDailySummary[[#This Row],[Utilidad bruta]]/TableDailySummary[[#This Row],[Ventas netas con costo registrado]],0)</f>
        <v>0</v>
      </c>
    </row>
    <row r="295" spans="2:42" x14ac:dyDescent="0.2">
      <c r="B295" s="15" cm="1">
        <f t="array" ref="B295">ParamFechaInicioReporte + (ROW(TableDailySummary[#This Row]) - ROW(TableDailySummary[[#Headers],[Dia]]) - 1)</f>
        <v>44822</v>
      </c>
      <c r="C295" s="6">
        <f>TableDailySummary[[#This Row],[Dia]]</f>
        <v>44822</v>
      </c>
      <c r="D295" s="11">
        <f>_xlfn.XLOOKUP(TableDailySummary[[#This Row],[Fecha]],SummaryDaily[day],SummaryDaily[net_sales],0)</f>
        <v>0</v>
      </c>
      <c r="E295" s="11">
        <f>_xlfn.XLOOKUP(TableDailySummary[[#This Row],[Fecha]],SummaryDaily[day],SummaryDaily[orders],0)</f>
        <v>0</v>
      </c>
      <c r="F295" s="11">
        <f>_xlfn.XLOOKUP(TableDailySummary[[#This Row],[Fecha]],SummaryDaily[day],SummaryDaily[average_order_value],0)</f>
        <v>0</v>
      </c>
      <c r="G295" s="24" cm="1">
        <f t="array" ref="G295">_xlfn.XLOOKUP(TableDailySummary[[#This Row],[Fecha]]&amp;"Total site",ConversionRateByReferral[day]&amp;ConversionRateByReferral[referrer_source],ConversionRateByReferral[conversion_rate],0)</f>
        <v>0</v>
      </c>
      <c r="H295" s="11">
        <f>TableDailySummary[[#This Row],[Órden promedio totales]]*TableDailySummary[[#This Row],[CR totales]]</f>
        <v>0</v>
      </c>
      <c r="I295" s="11">
        <f>_xlfn.XLOOKUP(TableDailySummary[[#This Row],[Fecha]],SummaryDaily[day],SummaryDaily[new_net_sales],0)</f>
        <v>0</v>
      </c>
      <c r="J295" s="11">
        <f>_xlfn.XLOOKUP(TableDailySummary[[#This Row],[Fecha]],SummaryDaily[day],SummaryDaily[new_orders],0)</f>
        <v>0</v>
      </c>
      <c r="K295" s="11">
        <f>_xlfn.XLOOKUP(TableDailySummary[[#This Row],[Fecha]],SummaryDaily[day],SummaryDaily[new_average_order_value],0)</f>
        <v>0</v>
      </c>
      <c r="L295" s="11">
        <f>_xlfn.XLOOKUP(TableDailySummary[[#This Row],[Fecha]],SummaryDaily[day],SummaryDaily[Online Store_net_sales],0)</f>
        <v>0</v>
      </c>
      <c r="M295" s="11">
        <f>_xlfn.XLOOKUP(TableDailySummary[[#This Row],[Fecha]],SummaryDaily[day],SummaryDaily[Online Store_orders],0)</f>
        <v>0</v>
      </c>
      <c r="N295" s="11">
        <f>_xlfn.XLOOKUP(TableDailySummary[[#This Row],[Fecha]],SummaryDaily[day],SummaryDaily[Online Store_average_order_value],0)</f>
        <v>0</v>
      </c>
      <c r="O295" s="11">
        <f>_xlfn.XLOOKUP(TableDailySummary[[#This Row],[Fecha]],SummaryDaily[day],SummaryDaily[Tienda 81_net_sales],0)</f>
        <v>0</v>
      </c>
      <c r="P295" s="11">
        <f>_xlfn.XLOOKUP(TableDailySummary[[#This Row],[Fecha]],SummaryDaily[day],SummaryDaily[Tienda 81_orders],0)</f>
        <v>0</v>
      </c>
      <c r="Q295" s="11">
        <f>_xlfn.XLOOKUP(TableDailySummary[[#This Row],[Fecha]],SummaryDaily[day],SummaryDaily[Tienda 81_average_order_value],0)</f>
        <v>0</v>
      </c>
      <c r="R295" s="11">
        <f>_xlfn.XLOOKUP(TableDailySummary[[#This Row],[Fecha]],SummaryDaily[day],SummaryDaily[Rappi_net_sales],0)</f>
        <v>0</v>
      </c>
      <c r="S295" s="11">
        <f>_xlfn.XLOOKUP(TableDailySummary[[#This Row],[Fecha]],SummaryDaily[day],SummaryDaily[Rappi_orders],0)</f>
        <v>0</v>
      </c>
      <c r="T295" s="11">
        <f>_xlfn.XLOOKUP(TableDailySummary[[#This Row],[Fecha]],SummaryDaily[day],SummaryDaily[Rappi_average_order_value],0)</f>
        <v>0</v>
      </c>
      <c r="U295" s="11">
        <f>_xlfn.XLOOKUP(TableDailySummary[[#This Row],[Fecha]],SummaryDaily[day],SummaryDaily[Corporativo no tienda_net_sales],0)</f>
        <v>0</v>
      </c>
      <c r="V295" s="11">
        <f>_xlfn.XLOOKUP(TableDailySummary[[#This Row],[Fecha]],SummaryDaily[day],SummaryDaily[Corporativo no tienda_orders],0)</f>
        <v>0</v>
      </c>
      <c r="W295" s="11">
        <f>_xlfn.XLOOKUP(TableDailySummary[[#This Row],[Fecha]],SummaryDaily[day],SummaryDaily[Corporativo no tienda_average_order_value],0)</f>
        <v>0</v>
      </c>
      <c r="X295" s="11">
        <f>_xlfn.XLOOKUP(TableDailySummary[[#This Row],[Fecha]],SummaryDaily[day],SummaryDaily[GoogleAdsOperation.Cost],0)</f>
        <v>0</v>
      </c>
      <c r="Y295" s="11">
        <f>SUMIFS(SalesByUTMDaily[google],SalesByUTMDaily[day],TableDailySummary[[#This Row],[Fecha]])</f>
        <v>0</v>
      </c>
      <c r="Z295" s="11">
        <f>_xlfn.XLOOKUP(TableDailySummary[[#This Row],[Fecha]],SummaryDaily[day],SummaryDaily[MetaAdsOperation.spend],0)</f>
        <v>0</v>
      </c>
      <c r="AA295" s="11">
        <f>SUMIFS(SalesByUTMDaily[facebook],SalesByUTMDaily[day],TableDailySummary[[#This Row],[Fecha]])</f>
        <v>0</v>
      </c>
      <c r="AB295" s="11">
        <f>TableDailySummary[[#This Row],[Inversión google ads]]+TableDailySummary[[#This Row],[Inversión meta ads]]</f>
        <v>0</v>
      </c>
      <c r="AC295" s="11">
        <f>TableDailySummary[[#This Row],[Ventas google ads]]+TableDailySummary[[#This Row],[Ventas meta ads]]</f>
        <v>0</v>
      </c>
      <c r="AD295" s="14">
        <f>IFERROR(TableDailySummary[[#This Row],[Ventas publicidad]]/TableDailySummary[[#This Row],[Inversión publicidad]],0)</f>
        <v>0</v>
      </c>
      <c r="AE295" s="14">
        <f>IFERROR(TableDailySummary[[#This Row],[Ventas primer cliente]]/TableDailySummary[[#This Row],[Inversión publicidad]],0)</f>
        <v>0</v>
      </c>
      <c r="AF295" s="14"/>
      <c r="AG295" s="11"/>
      <c r="AM295" s="11">
        <f>_xlfn.XLOOKUP(TableDailySummary[[#This Row],[Fecha]],SummaryDaily[day],SummaryDaily[net_sales_with_cost_recorded],0)</f>
        <v>0</v>
      </c>
      <c r="AN295" s="11">
        <f>_xlfn.XLOOKUP(TableDailySummary[[#This Row],[Fecha]],SummaryDaily[day],SummaryDaily[cost_of_goods_sold],0)</f>
        <v>0</v>
      </c>
      <c r="AO295" s="11">
        <f>_xlfn.XLOOKUP(TableDailySummary[[#This Row],[Fecha]],SummaryDaily[day],SummaryDaily[gross_profit],0)</f>
        <v>0</v>
      </c>
      <c r="AP295" s="18">
        <f>IFERROR(TableDailySummary[[#This Row],[Utilidad bruta]]/TableDailySummary[[#This Row],[Ventas netas con costo registrado]],0)</f>
        <v>0</v>
      </c>
    </row>
    <row r="296" spans="2:42" x14ac:dyDescent="0.2">
      <c r="B296" s="15" cm="1">
        <f t="array" ref="B296">ParamFechaInicioReporte + (ROW(TableDailySummary[#This Row]) - ROW(TableDailySummary[[#Headers],[Dia]]) - 1)</f>
        <v>44823</v>
      </c>
      <c r="C296" s="6">
        <f>TableDailySummary[[#This Row],[Dia]]</f>
        <v>44823</v>
      </c>
      <c r="D296" s="11">
        <f>_xlfn.XLOOKUP(TableDailySummary[[#This Row],[Fecha]],SummaryDaily[day],SummaryDaily[net_sales],0)</f>
        <v>0</v>
      </c>
      <c r="E296" s="11">
        <f>_xlfn.XLOOKUP(TableDailySummary[[#This Row],[Fecha]],SummaryDaily[day],SummaryDaily[orders],0)</f>
        <v>0</v>
      </c>
      <c r="F296" s="11">
        <f>_xlfn.XLOOKUP(TableDailySummary[[#This Row],[Fecha]],SummaryDaily[day],SummaryDaily[average_order_value],0)</f>
        <v>0</v>
      </c>
      <c r="G296" s="24" cm="1">
        <f t="array" ref="G296">_xlfn.XLOOKUP(TableDailySummary[[#This Row],[Fecha]]&amp;"Total site",ConversionRateByReferral[day]&amp;ConversionRateByReferral[referrer_source],ConversionRateByReferral[conversion_rate],0)</f>
        <v>0</v>
      </c>
      <c r="H296" s="11">
        <f>TableDailySummary[[#This Row],[Órden promedio totales]]*TableDailySummary[[#This Row],[CR totales]]</f>
        <v>0</v>
      </c>
      <c r="I296" s="11">
        <f>_xlfn.XLOOKUP(TableDailySummary[[#This Row],[Fecha]],SummaryDaily[day],SummaryDaily[new_net_sales],0)</f>
        <v>0</v>
      </c>
      <c r="J296" s="11">
        <f>_xlfn.XLOOKUP(TableDailySummary[[#This Row],[Fecha]],SummaryDaily[day],SummaryDaily[new_orders],0)</f>
        <v>0</v>
      </c>
      <c r="K296" s="11">
        <f>_xlfn.XLOOKUP(TableDailySummary[[#This Row],[Fecha]],SummaryDaily[day],SummaryDaily[new_average_order_value],0)</f>
        <v>0</v>
      </c>
      <c r="L296" s="11">
        <f>_xlfn.XLOOKUP(TableDailySummary[[#This Row],[Fecha]],SummaryDaily[day],SummaryDaily[Online Store_net_sales],0)</f>
        <v>0</v>
      </c>
      <c r="M296" s="11">
        <f>_xlfn.XLOOKUP(TableDailySummary[[#This Row],[Fecha]],SummaryDaily[day],SummaryDaily[Online Store_orders],0)</f>
        <v>0</v>
      </c>
      <c r="N296" s="11">
        <f>_xlfn.XLOOKUP(TableDailySummary[[#This Row],[Fecha]],SummaryDaily[day],SummaryDaily[Online Store_average_order_value],0)</f>
        <v>0</v>
      </c>
      <c r="O296" s="11">
        <f>_xlfn.XLOOKUP(TableDailySummary[[#This Row],[Fecha]],SummaryDaily[day],SummaryDaily[Tienda 81_net_sales],0)</f>
        <v>0</v>
      </c>
      <c r="P296" s="11">
        <f>_xlfn.XLOOKUP(TableDailySummary[[#This Row],[Fecha]],SummaryDaily[day],SummaryDaily[Tienda 81_orders],0)</f>
        <v>0</v>
      </c>
      <c r="Q296" s="11">
        <f>_xlfn.XLOOKUP(TableDailySummary[[#This Row],[Fecha]],SummaryDaily[day],SummaryDaily[Tienda 81_average_order_value],0)</f>
        <v>0</v>
      </c>
      <c r="R296" s="11">
        <f>_xlfn.XLOOKUP(TableDailySummary[[#This Row],[Fecha]],SummaryDaily[day],SummaryDaily[Rappi_net_sales],0)</f>
        <v>0</v>
      </c>
      <c r="S296" s="11">
        <f>_xlfn.XLOOKUP(TableDailySummary[[#This Row],[Fecha]],SummaryDaily[day],SummaryDaily[Rappi_orders],0)</f>
        <v>0</v>
      </c>
      <c r="T296" s="11">
        <f>_xlfn.XLOOKUP(TableDailySummary[[#This Row],[Fecha]],SummaryDaily[day],SummaryDaily[Rappi_average_order_value],0)</f>
        <v>0</v>
      </c>
      <c r="U296" s="11">
        <f>_xlfn.XLOOKUP(TableDailySummary[[#This Row],[Fecha]],SummaryDaily[day],SummaryDaily[Corporativo no tienda_net_sales],0)</f>
        <v>0</v>
      </c>
      <c r="V296" s="11">
        <f>_xlfn.XLOOKUP(TableDailySummary[[#This Row],[Fecha]],SummaryDaily[day],SummaryDaily[Corporativo no tienda_orders],0)</f>
        <v>0</v>
      </c>
      <c r="W296" s="11">
        <f>_xlfn.XLOOKUP(TableDailySummary[[#This Row],[Fecha]],SummaryDaily[day],SummaryDaily[Corporativo no tienda_average_order_value],0)</f>
        <v>0</v>
      </c>
      <c r="X296" s="11">
        <f>_xlfn.XLOOKUP(TableDailySummary[[#This Row],[Fecha]],SummaryDaily[day],SummaryDaily[GoogleAdsOperation.Cost],0)</f>
        <v>0</v>
      </c>
      <c r="Y296" s="11">
        <f>SUMIFS(SalesByUTMDaily[google],SalesByUTMDaily[day],TableDailySummary[[#This Row],[Fecha]])</f>
        <v>0</v>
      </c>
      <c r="Z296" s="11">
        <f>_xlfn.XLOOKUP(TableDailySummary[[#This Row],[Fecha]],SummaryDaily[day],SummaryDaily[MetaAdsOperation.spend],0)</f>
        <v>0</v>
      </c>
      <c r="AA296" s="11">
        <f>SUMIFS(SalesByUTMDaily[facebook],SalesByUTMDaily[day],TableDailySummary[[#This Row],[Fecha]])</f>
        <v>0</v>
      </c>
      <c r="AB296" s="11">
        <f>TableDailySummary[[#This Row],[Inversión google ads]]+TableDailySummary[[#This Row],[Inversión meta ads]]</f>
        <v>0</v>
      </c>
      <c r="AC296" s="11">
        <f>TableDailySummary[[#This Row],[Ventas google ads]]+TableDailySummary[[#This Row],[Ventas meta ads]]</f>
        <v>0</v>
      </c>
      <c r="AD296" s="14">
        <f>IFERROR(TableDailySummary[[#This Row],[Ventas publicidad]]/TableDailySummary[[#This Row],[Inversión publicidad]],0)</f>
        <v>0</v>
      </c>
      <c r="AE296" s="14">
        <f>IFERROR(TableDailySummary[[#This Row],[Ventas primer cliente]]/TableDailySummary[[#This Row],[Inversión publicidad]],0)</f>
        <v>0</v>
      </c>
      <c r="AF296" s="14"/>
      <c r="AG296" s="11"/>
      <c r="AM296" s="11">
        <f>_xlfn.XLOOKUP(TableDailySummary[[#This Row],[Fecha]],SummaryDaily[day],SummaryDaily[net_sales_with_cost_recorded],0)</f>
        <v>0</v>
      </c>
      <c r="AN296" s="11">
        <f>_xlfn.XLOOKUP(TableDailySummary[[#This Row],[Fecha]],SummaryDaily[day],SummaryDaily[cost_of_goods_sold],0)</f>
        <v>0</v>
      </c>
      <c r="AO296" s="11">
        <f>_xlfn.XLOOKUP(TableDailySummary[[#This Row],[Fecha]],SummaryDaily[day],SummaryDaily[gross_profit],0)</f>
        <v>0</v>
      </c>
      <c r="AP296" s="18">
        <f>IFERROR(TableDailySummary[[#This Row],[Utilidad bruta]]/TableDailySummary[[#This Row],[Ventas netas con costo registrado]],0)</f>
        <v>0</v>
      </c>
    </row>
    <row r="297" spans="2:42" x14ac:dyDescent="0.2">
      <c r="B297" s="15" cm="1">
        <f t="array" ref="B297">ParamFechaInicioReporte + (ROW(TableDailySummary[#This Row]) - ROW(TableDailySummary[[#Headers],[Dia]]) - 1)</f>
        <v>44824</v>
      </c>
      <c r="C297" s="6">
        <f>TableDailySummary[[#This Row],[Dia]]</f>
        <v>44824</v>
      </c>
      <c r="D297" s="11">
        <f>_xlfn.XLOOKUP(TableDailySummary[[#This Row],[Fecha]],SummaryDaily[day],SummaryDaily[net_sales],0)</f>
        <v>0</v>
      </c>
      <c r="E297" s="11">
        <f>_xlfn.XLOOKUP(TableDailySummary[[#This Row],[Fecha]],SummaryDaily[day],SummaryDaily[orders],0)</f>
        <v>0</v>
      </c>
      <c r="F297" s="11">
        <f>_xlfn.XLOOKUP(TableDailySummary[[#This Row],[Fecha]],SummaryDaily[day],SummaryDaily[average_order_value],0)</f>
        <v>0</v>
      </c>
      <c r="G297" s="24" cm="1">
        <f t="array" ref="G297">_xlfn.XLOOKUP(TableDailySummary[[#This Row],[Fecha]]&amp;"Total site",ConversionRateByReferral[day]&amp;ConversionRateByReferral[referrer_source],ConversionRateByReferral[conversion_rate],0)</f>
        <v>0</v>
      </c>
      <c r="H297" s="11">
        <f>TableDailySummary[[#This Row],[Órden promedio totales]]*TableDailySummary[[#This Row],[CR totales]]</f>
        <v>0</v>
      </c>
      <c r="I297" s="11">
        <f>_xlfn.XLOOKUP(TableDailySummary[[#This Row],[Fecha]],SummaryDaily[day],SummaryDaily[new_net_sales],0)</f>
        <v>0</v>
      </c>
      <c r="J297" s="11">
        <f>_xlfn.XLOOKUP(TableDailySummary[[#This Row],[Fecha]],SummaryDaily[day],SummaryDaily[new_orders],0)</f>
        <v>0</v>
      </c>
      <c r="K297" s="11">
        <f>_xlfn.XLOOKUP(TableDailySummary[[#This Row],[Fecha]],SummaryDaily[day],SummaryDaily[new_average_order_value],0)</f>
        <v>0</v>
      </c>
      <c r="L297" s="11">
        <f>_xlfn.XLOOKUP(TableDailySummary[[#This Row],[Fecha]],SummaryDaily[day],SummaryDaily[Online Store_net_sales],0)</f>
        <v>0</v>
      </c>
      <c r="M297" s="11">
        <f>_xlfn.XLOOKUP(TableDailySummary[[#This Row],[Fecha]],SummaryDaily[day],SummaryDaily[Online Store_orders],0)</f>
        <v>0</v>
      </c>
      <c r="N297" s="11">
        <f>_xlfn.XLOOKUP(TableDailySummary[[#This Row],[Fecha]],SummaryDaily[day],SummaryDaily[Online Store_average_order_value],0)</f>
        <v>0</v>
      </c>
      <c r="O297" s="11">
        <f>_xlfn.XLOOKUP(TableDailySummary[[#This Row],[Fecha]],SummaryDaily[day],SummaryDaily[Tienda 81_net_sales],0)</f>
        <v>0</v>
      </c>
      <c r="P297" s="11">
        <f>_xlfn.XLOOKUP(TableDailySummary[[#This Row],[Fecha]],SummaryDaily[day],SummaryDaily[Tienda 81_orders],0)</f>
        <v>0</v>
      </c>
      <c r="Q297" s="11">
        <f>_xlfn.XLOOKUP(TableDailySummary[[#This Row],[Fecha]],SummaryDaily[day],SummaryDaily[Tienda 81_average_order_value],0)</f>
        <v>0</v>
      </c>
      <c r="R297" s="11">
        <f>_xlfn.XLOOKUP(TableDailySummary[[#This Row],[Fecha]],SummaryDaily[day],SummaryDaily[Rappi_net_sales],0)</f>
        <v>0</v>
      </c>
      <c r="S297" s="11">
        <f>_xlfn.XLOOKUP(TableDailySummary[[#This Row],[Fecha]],SummaryDaily[day],SummaryDaily[Rappi_orders],0)</f>
        <v>0</v>
      </c>
      <c r="T297" s="11">
        <f>_xlfn.XLOOKUP(TableDailySummary[[#This Row],[Fecha]],SummaryDaily[day],SummaryDaily[Rappi_average_order_value],0)</f>
        <v>0</v>
      </c>
      <c r="U297" s="11">
        <f>_xlfn.XLOOKUP(TableDailySummary[[#This Row],[Fecha]],SummaryDaily[day],SummaryDaily[Corporativo no tienda_net_sales],0)</f>
        <v>0</v>
      </c>
      <c r="V297" s="11">
        <f>_xlfn.XLOOKUP(TableDailySummary[[#This Row],[Fecha]],SummaryDaily[day],SummaryDaily[Corporativo no tienda_orders],0)</f>
        <v>0</v>
      </c>
      <c r="W297" s="11">
        <f>_xlfn.XLOOKUP(TableDailySummary[[#This Row],[Fecha]],SummaryDaily[day],SummaryDaily[Corporativo no tienda_average_order_value],0)</f>
        <v>0</v>
      </c>
      <c r="X297" s="11">
        <f>_xlfn.XLOOKUP(TableDailySummary[[#This Row],[Fecha]],SummaryDaily[day],SummaryDaily[GoogleAdsOperation.Cost],0)</f>
        <v>0</v>
      </c>
      <c r="Y297" s="11">
        <f>SUMIFS(SalesByUTMDaily[google],SalesByUTMDaily[day],TableDailySummary[[#This Row],[Fecha]])</f>
        <v>0</v>
      </c>
      <c r="Z297" s="11">
        <f>_xlfn.XLOOKUP(TableDailySummary[[#This Row],[Fecha]],SummaryDaily[day],SummaryDaily[MetaAdsOperation.spend],0)</f>
        <v>0</v>
      </c>
      <c r="AA297" s="11">
        <f>SUMIFS(SalesByUTMDaily[facebook],SalesByUTMDaily[day],TableDailySummary[[#This Row],[Fecha]])</f>
        <v>0</v>
      </c>
      <c r="AB297" s="11">
        <f>TableDailySummary[[#This Row],[Inversión google ads]]+TableDailySummary[[#This Row],[Inversión meta ads]]</f>
        <v>0</v>
      </c>
      <c r="AC297" s="11">
        <f>TableDailySummary[[#This Row],[Ventas google ads]]+TableDailySummary[[#This Row],[Ventas meta ads]]</f>
        <v>0</v>
      </c>
      <c r="AD297" s="14">
        <f>IFERROR(TableDailySummary[[#This Row],[Ventas publicidad]]/TableDailySummary[[#This Row],[Inversión publicidad]],0)</f>
        <v>0</v>
      </c>
      <c r="AE297" s="14">
        <f>IFERROR(TableDailySummary[[#This Row],[Ventas primer cliente]]/TableDailySummary[[#This Row],[Inversión publicidad]],0)</f>
        <v>0</v>
      </c>
      <c r="AF297" s="14"/>
      <c r="AG297" s="11"/>
      <c r="AM297" s="11">
        <f>_xlfn.XLOOKUP(TableDailySummary[[#This Row],[Fecha]],SummaryDaily[day],SummaryDaily[net_sales_with_cost_recorded],0)</f>
        <v>0</v>
      </c>
      <c r="AN297" s="11">
        <f>_xlfn.XLOOKUP(TableDailySummary[[#This Row],[Fecha]],SummaryDaily[day],SummaryDaily[cost_of_goods_sold],0)</f>
        <v>0</v>
      </c>
      <c r="AO297" s="11">
        <f>_xlfn.XLOOKUP(TableDailySummary[[#This Row],[Fecha]],SummaryDaily[day],SummaryDaily[gross_profit],0)</f>
        <v>0</v>
      </c>
      <c r="AP297" s="18">
        <f>IFERROR(TableDailySummary[[#This Row],[Utilidad bruta]]/TableDailySummary[[#This Row],[Ventas netas con costo registrado]],0)</f>
        <v>0</v>
      </c>
    </row>
    <row r="298" spans="2:42" x14ac:dyDescent="0.2">
      <c r="B298" s="15" cm="1">
        <f t="array" ref="B298">ParamFechaInicioReporte + (ROW(TableDailySummary[#This Row]) - ROW(TableDailySummary[[#Headers],[Dia]]) - 1)</f>
        <v>44825</v>
      </c>
      <c r="C298" s="6">
        <f>TableDailySummary[[#This Row],[Dia]]</f>
        <v>44825</v>
      </c>
      <c r="D298" s="11">
        <f>_xlfn.XLOOKUP(TableDailySummary[[#This Row],[Fecha]],SummaryDaily[day],SummaryDaily[net_sales],0)</f>
        <v>0</v>
      </c>
      <c r="E298" s="11">
        <f>_xlfn.XLOOKUP(TableDailySummary[[#This Row],[Fecha]],SummaryDaily[day],SummaryDaily[orders],0)</f>
        <v>0</v>
      </c>
      <c r="F298" s="11">
        <f>_xlfn.XLOOKUP(TableDailySummary[[#This Row],[Fecha]],SummaryDaily[day],SummaryDaily[average_order_value],0)</f>
        <v>0</v>
      </c>
      <c r="G298" s="24" cm="1">
        <f t="array" ref="G298">_xlfn.XLOOKUP(TableDailySummary[[#This Row],[Fecha]]&amp;"Total site",ConversionRateByReferral[day]&amp;ConversionRateByReferral[referrer_source],ConversionRateByReferral[conversion_rate],0)</f>
        <v>0</v>
      </c>
      <c r="H298" s="11">
        <f>TableDailySummary[[#This Row],[Órden promedio totales]]*TableDailySummary[[#This Row],[CR totales]]</f>
        <v>0</v>
      </c>
      <c r="I298" s="11">
        <f>_xlfn.XLOOKUP(TableDailySummary[[#This Row],[Fecha]],SummaryDaily[day],SummaryDaily[new_net_sales],0)</f>
        <v>0</v>
      </c>
      <c r="J298" s="11">
        <f>_xlfn.XLOOKUP(TableDailySummary[[#This Row],[Fecha]],SummaryDaily[day],SummaryDaily[new_orders],0)</f>
        <v>0</v>
      </c>
      <c r="K298" s="11">
        <f>_xlfn.XLOOKUP(TableDailySummary[[#This Row],[Fecha]],SummaryDaily[day],SummaryDaily[new_average_order_value],0)</f>
        <v>0</v>
      </c>
      <c r="L298" s="11">
        <f>_xlfn.XLOOKUP(TableDailySummary[[#This Row],[Fecha]],SummaryDaily[day],SummaryDaily[Online Store_net_sales],0)</f>
        <v>0</v>
      </c>
      <c r="M298" s="11">
        <f>_xlfn.XLOOKUP(TableDailySummary[[#This Row],[Fecha]],SummaryDaily[day],SummaryDaily[Online Store_orders],0)</f>
        <v>0</v>
      </c>
      <c r="N298" s="11">
        <f>_xlfn.XLOOKUP(TableDailySummary[[#This Row],[Fecha]],SummaryDaily[day],SummaryDaily[Online Store_average_order_value],0)</f>
        <v>0</v>
      </c>
      <c r="O298" s="11">
        <f>_xlfn.XLOOKUP(TableDailySummary[[#This Row],[Fecha]],SummaryDaily[day],SummaryDaily[Tienda 81_net_sales],0)</f>
        <v>0</v>
      </c>
      <c r="P298" s="11">
        <f>_xlfn.XLOOKUP(TableDailySummary[[#This Row],[Fecha]],SummaryDaily[day],SummaryDaily[Tienda 81_orders],0)</f>
        <v>0</v>
      </c>
      <c r="Q298" s="11">
        <f>_xlfn.XLOOKUP(TableDailySummary[[#This Row],[Fecha]],SummaryDaily[day],SummaryDaily[Tienda 81_average_order_value],0)</f>
        <v>0</v>
      </c>
      <c r="R298" s="11">
        <f>_xlfn.XLOOKUP(TableDailySummary[[#This Row],[Fecha]],SummaryDaily[day],SummaryDaily[Rappi_net_sales],0)</f>
        <v>0</v>
      </c>
      <c r="S298" s="11">
        <f>_xlfn.XLOOKUP(TableDailySummary[[#This Row],[Fecha]],SummaryDaily[day],SummaryDaily[Rappi_orders],0)</f>
        <v>0</v>
      </c>
      <c r="T298" s="11">
        <f>_xlfn.XLOOKUP(TableDailySummary[[#This Row],[Fecha]],SummaryDaily[day],SummaryDaily[Rappi_average_order_value],0)</f>
        <v>0</v>
      </c>
      <c r="U298" s="11">
        <f>_xlfn.XLOOKUP(TableDailySummary[[#This Row],[Fecha]],SummaryDaily[day],SummaryDaily[Corporativo no tienda_net_sales],0)</f>
        <v>0</v>
      </c>
      <c r="V298" s="11">
        <f>_xlfn.XLOOKUP(TableDailySummary[[#This Row],[Fecha]],SummaryDaily[day],SummaryDaily[Corporativo no tienda_orders],0)</f>
        <v>0</v>
      </c>
      <c r="W298" s="11">
        <f>_xlfn.XLOOKUP(TableDailySummary[[#This Row],[Fecha]],SummaryDaily[day],SummaryDaily[Corporativo no tienda_average_order_value],0)</f>
        <v>0</v>
      </c>
      <c r="X298" s="11">
        <f>_xlfn.XLOOKUP(TableDailySummary[[#This Row],[Fecha]],SummaryDaily[day],SummaryDaily[GoogleAdsOperation.Cost],0)</f>
        <v>0</v>
      </c>
      <c r="Y298" s="11">
        <f>SUMIFS(SalesByUTMDaily[google],SalesByUTMDaily[day],TableDailySummary[[#This Row],[Fecha]])</f>
        <v>0</v>
      </c>
      <c r="Z298" s="11">
        <f>_xlfn.XLOOKUP(TableDailySummary[[#This Row],[Fecha]],SummaryDaily[day],SummaryDaily[MetaAdsOperation.spend],0)</f>
        <v>0</v>
      </c>
      <c r="AA298" s="11">
        <f>SUMIFS(SalesByUTMDaily[facebook],SalesByUTMDaily[day],TableDailySummary[[#This Row],[Fecha]])</f>
        <v>0</v>
      </c>
      <c r="AB298" s="11">
        <f>TableDailySummary[[#This Row],[Inversión google ads]]+TableDailySummary[[#This Row],[Inversión meta ads]]</f>
        <v>0</v>
      </c>
      <c r="AC298" s="11">
        <f>TableDailySummary[[#This Row],[Ventas google ads]]+TableDailySummary[[#This Row],[Ventas meta ads]]</f>
        <v>0</v>
      </c>
      <c r="AD298" s="14">
        <f>IFERROR(TableDailySummary[[#This Row],[Ventas publicidad]]/TableDailySummary[[#This Row],[Inversión publicidad]],0)</f>
        <v>0</v>
      </c>
      <c r="AE298" s="14">
        <f>IFERROR(TableDailySummary[[#This Row],[Ventas primer cliente]]/TableDailySummary[[#This Row],[Inversión publicidad]],0)</f>
        <v>0</v>
      </c>
      <c r="AF298" s="14"/>
      <c r="AG298" s="11"/>
      <c r="AM298" s="11">
        <f>_xlfn.XLOOKUP(TableDailySummary[[#This Row],[Fecha]],SummaryDaily[day],SummaryDaily[net_sales_with_cost_recorded],0)</f>
        <v>0</v>
      </c>
      <c r="AN298" s="11">
        <f>_xlfn.XLOOKUP(TableDailySummary[[#This Row],[Fecha]],SummaryDaily[day],SummaryDaily[cost_of_goods_sold],0)</f>
        <v>0</v>
      </c>
      <c r="AO298" s="11">
        <f>_xlfn.XLOOKUP(TableDailySummary[[#This Row],[Fecha]],SummaryDaily[day],SummaryDaily[gross_profit],0)</f>
        <v>0</v>
      </c>
      <c r="AP298" s="18">
        <f>IFERROR(TableDailySummary[[#This Row],[Utilidad bruta]]/TableDailySummary[[#This Row],[Ventas netas con costo registrado]],0)</f>
        <v>0</v>
      </c>
    </row>
    <row r="299" spans="2:42" x14ac:dyDescent="0.2">
      <c r="B299" s="15" cm="1">
        <f t="array" ref="B299">ParamFechaInicioReporte + (ROW(TableDailySummary[#This Row]) - ROW(TableDailySummary[[#Headers],[Dia]]) - 1)</f>
        <v>44826</v>
      </c>
      <c r="C299" s="6">
        <f>TableDailySummary[[#This Row],[Dia]]</f>
        <v>44826</v>
      </c>
      <c r="D299" s="11">
        <f>_xlfn.XLOOKUP(TableDailySummary[[#This Row],[Fecha]],SummaryDaily[day],SummaryDaily[net_sales],0)</f>
        <v>0</v>
      </c>
      <c r="E299" s="11">
        <f>_xlfn.XLOOKUP(TableDailySummary[[#This Row],[Fecha]],SummaryDaily[day],SummaryDaily[orders],0)</f>
        <v>0</v>
      </c>
      <c r="F299" s="11">
        <f>_xlfn.XLOOKUP(TableDailySummary[[#This Row],[Fecha]],SummaryDaily[day],SummaryDaily[average_order_value],0)</f>
        <v>0</v>
      </c>
      <c r="G299" s="24" cm="1">
        <f t="array" ref="G299">_xlfn.XLOOKUP(TableDailySummary[[#This Row],[Fecha]]&amp;"Total site",ConversionRateByReferral[day]&amp;ConversionRateByReferral[referrer_source],ConversionRateByReferral[conversion_rate],0)</f>
        <v>0</v>
      </c>
      <c r="H299" s="11">
        <f>TableDailySummary[[#This Row],[Órden promedio totales]]*TableDailySummary[[#This Row],[CR totales]]</f>
        <v>0</v>
      </c>
      <c r="I299" s="11">
        <f>_xlfn.XLOOKUP(TableDailySummary[[#This Row],[Fecha]],SummaryDaily[day],SummaryDaily[new_net_sales],0)</f>
        <v>0</v>
      </c>
      <c r="J299" s="11">
        <f>_xlfn.XLOOKUP(TableDailySummary[[#This Row],[Fecha]],SummaryDaily[day],SummaryDaily[new_orders],0)</f>
        <v>0</v>
      </c>
      <c r="K299" s="11">
        <f>_xlfn.XLOOKUP(TableDailySummary[[#This Row],[Fecha]],SummaryDaily[day],SummaryDaily[new_average_order_value],0)</f>
        <v>0</v>
      </c>
      <c r="L299" s="11">
        <f>_xlfn.XLOOKUP(TableDailySummary[[#This Row],[Fecha]],SummaryDaily[day],SummaryDaily[Online Store_net_sales],0)</f>
        <v>0</v>
      </c>
      <c r="M299" s="11">
        <f>_xlfn.XLOOKUP(TableDailySummary[[#This Row],[Fecha]],SummaryDaily[day],SummaryDaily[Online Store_orders],0)</f>
        <v>0</v>
      </c>
      <c r="N299" s="11">
        <f>_xlfn.XLOOKUP(TableDailySummary[[#This Row],[Fecha]],SummaryDaily[day],SummaryDaily[Online Store_average_order_value],0)</f>
        <v>0</v>
      </c>
      <c r="O299" s="11">
        <f>_xlfn.XLOOKUP(TableDailySummary[[#This Row],[Fecha]],SummaryDaily[day],SummaryDaily[Tienda 81_net_sales],0)</f>
        <v>0</v>
      </c>
      <c r="P299" s="11">
        <f>_xlfn.XLOOKUP(TableDailySummary[[#This Row],[Fecha]],SummaryDaily[day],SummaryDaily[Tienda 81_orders],0)</f>
        <v>0</v>
      </c>
      <c r="Q299" s="11">
        <f>_xlfn.XLOOKUP(TableDailySummary[[#This Row],[Fecha]],SummaryDaily[day],SummaryDaily[Tienda 81_average_order_value],0)</f>
        <v>0</v>
      </c>
      <c r="R299" s="11">
        <f>_xlfn.XLOOKUP(TableDailySummary[[#This Row],[Fecha]],SummaryDaily[day],SummaryDaily[Rappi_net_sales],0)</f>
        <v>0</v>
      </c>
      <c r="S299" s="11">
        <f>_xlfn.XLOOKUP(TableDailySummary[[#This Row],[Fecha]],SummaryDaily[day],SummaryDaily[Rappi_orders],0)</f>
        <v>0</v>
      </c>
      <c r="T299" s="11">
        <f>_xlfn.XLOOKUP(TableDailySummary[[#This Row],[Fecha]],SummaryDaily[day],SummaryDaily[Rappi_average_order_value],0)</f>
        <v>0</v>
      </c>
      <c r="U299" s="11">
        <f>_xlfn.XLOOKUP(TableDailySummary[[#This Row],[Fecha]],SummaryDaily[day],SummaryDaily[Corporativo no tienda_net_sales],0)</f>
        <v>0</v>
      </c>
      <c r="V299" s="11">
        <f>_xlfn.XLOOKUP(TableDailySummary[[#This Row],[Fecha]],SummaryDaily[day],SummaryDaily[Corporativo no tienda_orders],0)</f>
        <v>0</v>
      </c>
      <c r="W299" s="11">
        <f>_xlfn.XLOOKUP(TableDailySummary[[#This Row],[Fecha]],SummaryDaily[day],SummaryDaily[Corporativo no tienda_average_order_value],0)</f>
        <v>0</v>
      </c>
      <c r="X299" s="11">
        <f>_xlfn.XLOOKUP(TableDailySummary[[#This Row],[Fecha]],SummaryDaily[day],SummaryDaily[GoogleAdsOperation.Cost],0)</f>
        <v>0</v>
      </c>
      <c r="Y299" s="11">
        <f>SUMIFS(SalesByUTMDaily[google],SalesByUTMDaily[day],TableDailySummary[[#This Row],[Fecha]])</f>
        <v>0</v>
      </c>
      <c r="Z299" s="11">
        <f>_xlfn.XLOOKUP(TableDailySummary[[#This Row],[Fecha]],SummaryDaily[day],SummaryDaily[MetaAdsOperation.spend],0)</f>
        <v>0</v>
      </c>
      <c r="AA299" s="11">
        <f>SUMIFS(SalesByUTMDaily[facebook],SalesByUTMDaily[day],TableDailySummary[[#This Row],[Fecha]])</f>
        <v>0</v>
      </c>
      <c r="AB299" s="11">
        <f>TableDailySummary[[#This Row],[Inversión google ads]]+TableDailySummary[[#This Row],[Inversión meta ads]]</f>
        <v>0</v>
      </c>
      <c r="AC299" s="11">
        <f>TableDailySummary[[#This Row],[Ventas google ads]]+TableDailySummary[[#This Row],[Ventas meta ads]]</f>
        <v>0</v>
      </c>
      <c r="AD299" s="14">
        <f>IFERROR(TableDailySummary[[#This Row],[Ventas publicidad]]/TableDailySummary[[#This Row],[Inversión publicidad]],0)</f>
        <v>0</v>
      </c>
      <c r="AE299" s="14">
        <f>IFERROR(TableDailySummary[[#This Row],[Ventas primer cliente]]/TableDailySummary[[#This Row],[Inversión publicidad]],0)</f>
        <v>0</v>
      </c>
      <c r="AF299" s="14"/>
      <c r="AG299" s="11"/>
      <c r="AM299" s="11">
        <f>_xlfn.XLOOKUP(TableDailySummary[[#This Row],[Fecha]],SummaryDaily[day],SummaryDaily[net_sales_with_cost_recorded],0)</f>
        <v>0</v>
      </c>
      <c r="AN299" s="11">
        <f>_xlfn.XLOOKUP(TableDailySummary[[#This Row],[Fecha]],SummaryDaily[day],SummaryDaily[cost_of_goods_sold],0)</f>
        <v>0</v>
      </c>
      <c r="AO299" s="11">
        <f>_xlfn.XLOOKUP(TableDailySummary[[#This Row],[Fecha]],SummaryDaily[day],SummaryDaily[gross_profit],0)</f>
        <v>0</v>
      </c>
      <c r="AP299" s="18">
        <f>IFERROR(TableDailySummary[[#This Row],[Utilidad bruta]]/TableDailySummary[[#This Row],[Ventas netas con costo registrado]],0)</f>
        <v>0</v>
      </c>
    </row>
    <row r="300" spans="2:42" x14ac:dyDescent="0.2">
      <c r="B300" s="15" cm="1">
        <f t="array" ref="B300">ParamFechaInicioReporte + (ROW(TableDailySummary[#This Row]) - ROW(TableDailySummary[[#Headers],[Dia]]) - 1)</f>
        <v>44827</v>
      </c>
      <c r="C300" s="6">
        <f>TableDailySummary[[#This Row],[Dia]]</f>
        <v>44827</v>
      </c>
      <c r="D300" s="11">
        <f>_xlfn.XLOOKUP(TableDailySummary[[#This Row],[Fecha]],SummaryDaily[day],SummaryDaily[net_sales],0)</f>
        <v>0</v>
      </c>
      <c r="E300" s="11">
        <f>_xlfn.XLOOKUP(TableDailySummary[[#This Row],[Fecha]],SummaryDaily[day],SummaryDaily[orders],0)</f>
        <v>0</v>
      </c>
      <c r="F300" s="11">
        <f>_xlfn.XLOOKUP(TableDailySummary[[#This Row],[Fecha]],SummaryDaily[day],SummaryDaily[average_order_value],0)</f>
        <v>0</v>
      </c>
      <c r="G300" s="24" cm="1">
        <f t="array" ref="G300">_xlfn.XLOOKUP(TableDailySummary[[#This Row],[Fecha]]&amp;"Total site",ConversionRateByReferral[day]&amp;ConversionRateByReferral[referrer_source],ConversionRateByReferral[conversion_rate],0)</f>
        <v>0</v>
      </c>
      <c r="H300" s="11">
        <f>TableDailySummary[[#This Row],[Órden promedio totales]]*TableDailySummary[[#This Row],[CR totales]]</f>
        <v>0</v>
      </c>
      <c r="I300" s="11">
        <f>_xlfn.XLOOKUP(TableDailySummary[[#This Row],[Fecha]],SummaryDaily[day],SummaryDaily[new_net_sales],0)</f>
        <v>0</v>
      </c>
      <c r="J300" s="11">
        <f>_xlfn.XLOOKUP(TableDailySummary[[#This Row],[Fecha]],SummaryDaily[day],SummaryDaily[new_orders],0)</f>
        <v>0</v>
      </c>
      <c r="K300" s="11">
        <f>_xlfn.XLOOKUP(TableDailySummary[[#This Row],[Fecha]],SummaryDaily[day],SummaryDaily[new_average_order_value],0)</f>
        <v>0</v>
      </c>
      <c r="L300" s="11">
        <f>_xlfn.XLOOKUP(TableDailySummary[[#This Row],[Fecha]],SummaryDaily[day],SummaryDaily[Online Store_net_sales],0)</f>
        <v>0</v>
      </c>
      <c r="M300" s="11">
        <f>_xlfn.XLOOKUP(TableDailySummary[[#This Row],[Fecha]],SummaryDaily[day],SummaryDaily[Online Store_orders],0)</f>
        <v>0</v>
      </c>
      <c r="N300" s="11">
        <f>_xlfn.XLOOKUP(TableDailySummary[[#This Row],[Fecha]],SummaryDaily[day],SummaryDaily[Online Store_average_order_value],0)</f>
        <v>0</v>
      </c>
      <c r="O300" s="11">
        <f>_xlfn.XLOOKUP(TableDailySummary[[#This Row],[Fecha]],SummaryDaily[day],SummaryDaily[Tienda 81_net_sales],0)</f>
        <v>0</v>
      </c>
      <c r="P300" s="11">
        <f>_xlfn.XLOOKUP(TableDailySummary[[#This Row],[Fecha]],SummaryDaily[day],SummaryDaily[Tienda 81_orders],0)</f>
        <v>0</v>
      </c>
      <c r="Q300" s="11">
        <f>_xlfn.XLOOKUP(TableDailySummary[[#This Row],[Fecha]],SummaryDaily[day],SummaryDaily[Tienda 81_average_order_value],0)</f>
        <v>0</v>
      </c>
      <c r="R300" s="11">
        <f>_xlfn.XLOOKUP(TableDailySummary[[#This Row],[Fecha]],SummaryDaily[day],SummaryDaily[Rappi_net_sales],0)</f>
        <v>0</v>
      </c>
      <c r="S300" s="11">
        <f>_xlfn.XLOOKUP(TableDailySummary[[#This Row],[Fecha]],SummaryDaily[day],SummaryDaily[Rappi_orders],0)</f>
        <v>0</v>
      </c>
      <c r="T300" s="11">
        <f>_xlfn.XLOOKUP(TableDailySummary[[#This Row],[Fecha]],SummaryDaily[day],SummaryDaily[Rappi_average_order_value],0)</f>
        <v>0</v>
      </c>
      <c r="U300" s="11">
        <f>_xlfn.XLOOKUP(TableDailySummary[[#This Row],[Fecha]],SummaryDaily[day],SummaryDaily[Corporativo no tienda_net_sales],0)</f>
        <v>0</v>
      </c>
      <c r="V300" s="11">
        <f>_xlfn.XLOOKUP(TableDailySummary[[#This Row],[Fecha]],SummaryDaily[day],SummaryDaily[Corporativo no tienda_orders],0)</f>
        <v>0</v>
      </c>
      <c r="W300" s="11">
        <f>_xlfn.XLOOKUP(TableDailySummary[[#This Row],[Fecha]],SummaryDaily[day],SummaryDaily[Corporativo no tienda_average_order_value],0)</f>
        <v>0</v>
      </c>
      <c r="X300" s="11">
        <f>_xlfn.XLOOKUP(TableDailySummary[[#This Row],[Fecha]],SummaryDaily[day],SummaryDaily[GoogleAdsOperation.Cost],0)</f>
        <v>0</v>
      </c>
      <c r="Y300" s="11">
        <f>SUMIFS(SalesByUTMDaily[google],SalesByUTMDaily[day],TableDailySummary[[#This Row],[Fecha]])</f>
        <v>0</v>
      </c>
      <c r="Z300" s="11">
        <f>_xlfn.XLOOKUP(TableDailySummary[[#This Row],[Fecha]],SummaryDaily[day],SummaryDaily[MetaAdsOperation.spend],0)</f>
        <v>0</v>
      </c>
      <c r="AA300" s="11">
        <f>SUMIFS(SalesByUTMDaily[facebook],SalesByUTMDaily[day],TableDailySummary[[#This Row],[Fecha]])</f>
        <v>0</v>
      </c>
      <c r="AB300" s="11">
        <f>TableDailySummary[[#This Row],[Inversión google ads]]+TableDailySummary[[#This Row],[Inversión meta ads]]</f>
        <v>0</v>
      </c>
      <c r="AC300" s="11">
        <f>TableDailySummary[[#This Row],[Ventas google ads]]+TableDailySummary[[#This Row],[Ventas meta ads]]</f>
        <v>0</v>
      </c>
      <c r="AD300" s="14">
        <f>IFERROR(TableDailySummary[[#This Row],[Ventas publicidad]]/TableDailySummary[[#This Row],[Inversión publicidad]],0)</f>
        <v>0</v>
      </c>
      <c r="AE300" s="14">
        <f>IFERROR(TableDailySummary[[#This Row],[Ventas primer cliente]]/TableDailySummary[[#This Row],[Inversión publicidad]],0)</f>
        <v>0</v>
      </c>
      <c r="AF300" s="14"/>
      <c r="AG300" s="11"/>
      <c r="AM300" s="11">
        <f>_xlfn.XLOOKUP(TableDailySummary[[#This Row],[Fecha]],SummaryDaily[day],SummaryDaily[net_sales_with_cost_recorded],0)</f>
        <v>0</v>
      </c>
      <c r="AN300" s="11">
        <f>_xlfn.XLOOKUP(TableDailySummary[[#This Row],[Fecha]],SummaryDaily[day],SummaryDaily[cost_of_goods_sold],0)</f>
        <v>0</v>
      </c>
      <c r="AO300" s="11">
        <f>_xlfn.XLOOKUP(TableDailySummary[[#This Row],[Fecha]],SummaryDaily[day],SummaryDaily[gross_profit],0)</f>
        <v>0</v>
      </c>
      <c r="AP300" s="18">
        <f>IFERROR(TableDailySummary[[#This Row],[Utilidad bruta]]/TableDailySummary[[#This Row],[Ventas netas con costo registrado]],0)</f>
        <v>0</v>
      </c>
    </row>
    <row r="301" spans="2:42" x14ac:dyDescent="0.2">
      <c r="B301" s="15" cm="1">
        <f t="array" ref="B301">ParamFechaInicioReporte + (ROW(TableDailySummary[#This Row]) - ROW(TableDailySummary[[#Headers],[Dia]]) - 1)</f>
        <v>44828</v>
      </c>
      <c r="C301" s="6">
        <f>TableDailySummary[[#This Row],[Dia]]</f>
        <v>44828</v>
      </c>
      <c r="D301" s="11">
        <f>_xlfn.XLOOKUP(TableDailySummary[[#This Row],[Fecha]],SummaryDaily[day],SummaryDaily[net_sales],0)</f>
        <v>0</v>
      </c>
      <c r="E301" s="11">
        <f>_xlfn.XLOOKUP(TableDailySummary[[#This Row],[Fecha]],SummaryDaily[day],SummaryDaily[orders],0)</f>
        <v>0</v>
      </c>
      <c r="F301" s="11">
        <f>_xlfn.XLOOKUP(TableDailySummary[[#This Row],[Fecha]],SummaryDaily[day],SummaryDaily[average_order_value],0)</f>
        <v>0</v>
      </c>
      <c r="G301" s="24" cm="1">
        <f t="array" ref="G301">_xlfn.XLOOKUP(TableDailySummary[[#This Row],[Fecha]]&amp;"Total site",ConversionRateByReferral[day]&amp;ConversionRateByReferral[referrer_source],ConversionRateByReferral[conversion_rate],0)</f>
        <v>0</v>
      </c>
      <c r="H301" s="11">
        <f>TableDailySummary[[#This Row],[Órden promedio totales]]*TableDailySummary[[#This Row],[CR totales]]</f>
        <v>0</v>
      </c>
      <c r="I301" s="11">
        <f>_xlfn.XLOOKUP(TableDailySummary[[#This Row],[Fecha]],SummaryDaily[day],SummaryDaily[new_net_sales],0)</f>
        <v>0</v>
      </c>
      <c r="J301" s="11">
        <f>_xlfn.XLOOKUP(TableDailySummary[[#This Row],[Fecha]],SummaryDaily[day],SummaryDaily[new_orders],0)</f>
        <v>0</v>
      </c>
      <c r="K301" s="11">
        <f>_xlfn.XLOOKUP(TableDailySummary[[#This Row],[Fecha]],SummaryDaily[day],SummaryDaily[new_average_order_value],0)</f>
        <v>0</v>
      </c>
      <c r="L301" s="11">
        <f>_xlfn.XLOOKUP(TableDailySummary[[#This Row],[Fecha]],SummaryDaily[day],SummaryDaily[Online Store_net_sales],0)</f>
        <v>0</v>
      </c>
      <c r="M301" s="11">
        <f>_xlfn.XLOOKUP(TableDailySummary[[#This Row],[Fecha]],SummaryDaily[day],SummaryDaily[Online Store_orders],0)</f>
        <v>0</v>
      </c>
      <c r="N301" s="11">
        <f>_xlfn.XLOOKUP(TableDailySummary[[#This Row],[Fecha]],SummaryDaily[day],SummaryDaily[Online Store_average_order_value],0)</f>
        <v>0</v>
      </c>
      <c r="O301" s="11">
        <f>_xlfn.XLOOKUP(TableDailySummary[[#This Row],[Fecha]],SummaryDaily[day],SummaryDaily[Tienda 81_net_sales],0)</f>
        <v>0</v>
      </c>
      <c r="P301" s="11">
        <f>_xlfn.XLOOKUP(TableDailySummary[[#This Row],[Fecha]],SummaryDaily[day],SummaryDaily[Tienda 81_orders],0)</f>
        <v>0</v>
      </c>
      <c r="Q301" s="11">
        <f>_xlfn.XLOOKUP(TableDailySummary[[#This Row],[Fecha]],SummaryDaily[day],SummaryDaily[Tienda 81_average_order_value],0)</f>
        <v>0</v>
      </c>
      <c r="R301" s="11">
        <f>_xlfn.XLOOKUP(TableDailySummary[[#This Row],[Fecha]],SummaryDaily[day],SummaryDaily[Rappi_net_sales],0)</f>
        <v>0</v>
      </c>
      <c r="S301" s="11">
        <f>_xlfn.XLOOKUP(TableDailySummary[[#This Row],[Fecha]],SummaryDaily[day],SummaryDaily[Rappi_orders],0)</f>
        <v>0</v>
      </c>
      <c r="T301" s="11">
        <f>_xlfn.XLOOKUP(TableDailySummary[[#This Row],[Fecha]],SummaryDaily[day],SummaryDaily[Rappi_average_order_value],0)</f>
        <v>0</v>
      </c>
      <c r="U301" s="11">
        <f>_xlfn.XLOOKUP(TableDailySummary[[#This Row],[Fecha]],SummaryDaily[day],SummaryDaily[Corporativo no tienda_net_sales],0)</f>
        <v>0</v>
      </c>
      <c r="V301" s="11">
        <f>_xlfn.XLOOKUP(TableDailySummary[[#This Row],[Fecha]],SummaryDaily[day],SummaryDaily[Corporativo no tienda_orders],0)</f>
        <v>0</v>
      </c>
      <c r="W301" s="11">
        <f>_xlfn.XLOOKUP(TableDailySummary[[#This Row],[Fecha]],SummaryDaily[day],SummaryDaily[Corporativo no tienda_average_order_value],0)</f>
        <v>0</v>
      </c>
      <c r="X301" s="11">
        <f>_xlfn.XLOOKUP(TableDailySummary[[#This Row],[Fecha]],SummaryDaily[day],SummaryDaily[GoogleAdsOperation.Cost],0)</f>
        <v>0</v>
      </c>
      <c r="Y301" s="11">
        <f>SUMIFS(SalesByUTMDaily[google],SalesByUTMDaily[day],TableDailySummary[[#This Row],[Fecha]])</f>
        <v>0</v>
      </c>
      <c r="Z301" s="11">
        <f>_xlfn.XLOOKUP(TableDailySummary[[#This Row],[Fecha]],SummaryDaily[day],SummaryDaily[MetaAdsOperation.spend],0)</f>
        <v>0</v>
      </c>
      <c r="AA301" s="11">
        <f>SUMIFS(SalesByUTMDaily[facebook],SalesByUTMDaily[day],TableDailySummary[[#This Row],[Fecha]])</f>
        <v>0</v>
      </c>
      <c r="AB301" s="11">
        <f>TableDailySummary[[#This Row],[Inversión google ads]]+TableDailySummary[[#This Row],[Inversión meta ads]]</f>
        <v>0</v>
      </c>
      <c r="AC301" s="11">
        <f>TableDailySummary[[#This Row],[Ventas google ads]]+TableDailySummary[[#This Row],[Ventas meta ads]]</f>
        <v>0</v>
      </c>
      <c r="AD301" s="14">
        <f>IFERROR(TableDailySummary[[#This Row],[Ventas publicidad]]/TableDailySummary[[#This Row],[Inversión publicidad]],0)</f>
        <v>0</v>
      </c>
      <c r="AE301" s="14">
        <f>IFERROR(TableDailySummary[[#This Row],[Ventas primer cliente]]/TableDailySummary[[#This Row],[Inversión publicidad]],0)</f>
        <v>0</v>
      </c>
      <c r="AF301" s="14"/>
      <c r="AG301" s="11"/>
      <c r="AM301" s="11">
        <f>_xlfn.XLOOKUP(TableDailySummary[[#This Row],[Fecha]],SummaryDaily[day],SummaryDaily[net_sales_with_cost_recorded],0)</f>
        <v>0</v>
      </c>
      <c r="AN301" s="11">
        <f>_xlfn.XLOOKUP(TableDailySummary[[#This Row],[Fecha]],SummaryDaily[day],SummaryDaily[cost_of_goods_sold],0)</f>
        <v>0</v>
      </c>
      <c r="AO301" s="11">
        <f>_xlfn.XLOOKUP(TableDailySummary[[#This Row],[Fecha]],SummaryDaily[day],SummaryDaily[gross_profit],0)</f>
        <v>0</v>
      </c>
      <c r="AP301" s="18">
        <f>IFERROR(TableDailySummary[[#This Row],[Utilidad bruta]]/TableDailySummary[[#This Row],[Ventas netas con costo registrado]],0)</f>
        <v>0</v>
      </c>
    </row>
    <row r="302" spans="2:42" x14ac:dyDescent="0.2">
      <c r="B302" s="15" cm="1">
        <f t="array" ref="B302">ParamFechaInicioReporte + (ROW(TableDailySummary[#This Row]) - ROW(TableDailySummary[[#Headers],[Dia]]) - 1)</f>
        <v>44829</v>
      </c>
      <c r="C302" s="6">
        <f>TableDailySummary[[#This Row],[Dia]]</f>
        <v>44829</v>
      </c>
      <c r="D302" s="11">
        <f>_xlfn.XLOOKUP(TableDailySummary[[#This Row],[Fecha]],SummaryDaily[day],SummaryDaily[net_sales],0)</f>
        <v>0</v>
      </c>
      <c r="E302" s="11">
        <f>_xlfn.XLOOKUP(TableDailySummary[[#This Row],[Fecha]],SummaryDaily[day],SummaryDaily[orders],0)</f>
        <v>0</v>
      </c>
      <c r="F302" s="11">
        <f>_xlfn.XLOOKUP(TableDailySummary[[#This Row],[Fecha]],SummaryDaily[day],SummaryDaily[average_order_value],0)</f>
        <v>0</v>
      </c>
      <c r="G302" s="24" cm="1">
        <f t="array" ref="G302">_xlfn.XLOOKUP(TableDailySummary[[#This Row],[Fecha]]&amp;"Total site",ConversionRateByReferral[day]&amp;ConversionRateByReferral[referrer_source],ConversionRateByReferral[conversion_rate],0)</f>
        <v>0</v>
      </c>
      <c r="H302" s="11">
        <f>TableDailySummary[[#This Row],[Órden promedio totales]]*TableDailySummary[[#This Row],[CR totales]]</f>
        <v>0</v>
      </c>
      <c r="I302" s="11">
        <f>_xlfn.XLOOKUP(TableDailySummary[[#This Row],[Fecha]],SummaryDaily[day],SummaryDaily[new_net_sales],0)</f>
        <v>0</v>
      </c>
      <c r="J302" s="11">
        <f>_xlfn.XLOOKUP(TableDailySummary[[#This Row],[Fecha]],SummaryDaily[day],SummaryDaily[new_orders],0)</f>
        <v>0</v>
      </c>
      <c r="K302" s="11">
        <f>_xlfn.XLOOKUP(TableDailySummary[[#This Row],[Fecha]],SummaryDaily[day],SummaryDaily[new_average_order_value],0)</f>
        <v>0</v>
      </c>
      <c r="L302" s="11">
        <f>_xlfn.XLOOKUP(TableDailySummary[[#This Row],[Fecha]],SummaryDaily[day],SummaryDaily[Online Store_net_sales],0)</f>
        <v>0</v>
      </c>
      <c r="M302" s="11">
        <f>_xlfn.XLOOKUP(TableDailySummary[[#This Row],[Fecha]],SummaryDaily[day],SummaryDaily[Online Store_orders],0)</f>
        <v>0</v>
      </c>
      <c r="N302" s="11">
        <f>_xlfn.XLOOKUP(TableDailySummary[[#This Row],[Fecha]],SummaryDaily[day],SummaryDaily[Online Store_average_order_value],0)</f>
        <v>0</v>
      </c>
      <c r="O302" s="11">
        <f>_xlfn.XLOOKUP(TableDailySummary[[#This Row],[Fecha]],SummaryDaily[day],SummaryDaily[Tienda 81_net_sales],0)</f>
        <v>0</v>
      </c>
      <c r="P302" s="11">
        <f>_xlfn.XLOOKUP(TableDailySummary[[#This Row],[Fecha]],SummaryDaily[day],SummaryDaily[Tienda 81_orders],0)</f>
        <v>0</v>
      </c>
      <c r="Q302" s="11">
        <f>_xlfn.XLOOKUP(TableDailySummary[[#This Row],[Fecha]],SummaryDaily[day],SummaryDaily[Tienda 81_average_order_value],0)</f>
        <v>0</v>
      </c>
      <c r="R302" s="11">
        <f>_xlfn.XLOOKUP(TableDailySummary[[#This Row],[Fecha]],SummaryDaily[day],SummaryDaily[Rappi_net_sales],0)</f>
        <v>0</v>
      </c>
      <c r="S302" s="11">
        <f>_xlfn.XLOOKUP(TableDailySummary[[#This Row],[Fecha]],SummaryDaily[day],SummaryDaily[Rappi_orders],0)</f>
        <v>0</v>
      </c>
      <c r="T302" s="11">
        <f>_xlfn.XLOOKUP(TableDailySummary[[#This Row],[Fecha]],SummaryDaily[day],SummaryDaily[Rappi_average_order_value],0)</f>
        <v>0</v>
      </c>
      <c r="U302" s="11">
        <f>_xlfn.XLOOKUP(TableDailySummary[[#This Row],[Fecha]],SummaryDaily[day],SummaryDaily[Corporativo no tienda_net_sales],0)</f>
        <v>0</v>
      </c>
      <c r="V302" s="11">
        <f>_xlfn.XLOOKUP(TableDailySummary[[#This Row],[Fecha]],SummaryDaily[day],SummaryDaily[Corporativo no tienda_orders],0)</f>
        <v>0</v>
      </c>
      <c r="W302" s="11">
        <f>_xlfn.XLOOKUP(TableDailySummary[[#This Row],[Fecha]],SummaryDaily[day],SummaryDaily[Corporativo no tienda_average_order_value],0)</f>
        <v>0</v>
      </c>
      <c r="X302" s="11">
        <f>_xlfn.XLOOKUP(TableDailySummary[[#This Row],[Fecha]],SummaryDaily[day],SummaryDaily[GoogleAdsOperation.Cost],0)</f>
        <v>0</v>
      </c>
      <c r="Y302" s="11">
        <f>SUMIFS(SalesByUTMDaily[google],SalesByUTMDaily[day],TableDailySummary[[#This Row],[Fecha]])</f>
        <v>0</v>
      </c>
      <c r="Z302" s="11">
        <f>_xlfn.XLOOKUP(TableDailySummary[[#This Row],[Fecha]],SummaryDaily[day],SummaryDaily[MetaAdsOperation.spend],0)</f>
        <v>0</v>
      </c>
      <c r="AA302" s="11">
        <f>SUMIFS(SalesByUTMDaily[facebook],SalesByUTMDaily[day],TableDailySummary[[#This Row],[Fecha]])</f>
        <v>0</v>
      </c>
      <c r="AB302" s="11">
        <f>TableDailySummary[[#This Row],[Inversión google ads]]+TableDailySummary[[#This Row],[Inversión meta ads]]</f>
        <v>0</v>
      </c>
      <c r="AC302" s="11">
        <f>TableDailySummary[[#This Row],[Ventas google ads]]+TableDailySummary[[#This Row],[Ventas meta ads]]</f>
        <v>0</v>
      </c>
      <c r="AD302" s="14">
        <f>IFERROR(TableDailySummary[[#This Row],[Ventas publicidad]]/TableDailySummary[[#This Row],[Inversión publicidad]],0)</f>
        <v>0</v>
      </c>
      <c r="AE302" s="14">
        <f>IFERROR(TableDailySummary[[#This Row],[Ventas primer cliente]]/TableDailySummary[[#This Row],[Inversión publicidad]],0)</f>
        <v>0</v>
      </c>
      <c r="AF302" s="14"/>
      <c r="AG302" s="11"/>
      <c r="AM302" s="11">
        <f>_xlfn.XLOOKUP(TableDailySummary[[#This Row],[Fecha]],SummaryDaily[day],SummaryDaily[net_sales_with_cost_recorded],0)</f>
        <v>0</v>
      </c>
      <c r="AN302" s="11">
        <f>_xlfn.XLOOKUP(TableDailySummary[[#This Row],[Fecha]],SummaryDaily[day],SummaryDaily[cost_of_goods_sold],0)</f>
        <v>0</v>
      </c>
      <c r="AO302" s="11">
        <f>_xlfn.XLOOKUP(TableDailySummary[[#This Row],[Fecha]],SummaryDaily[day],SummaryDaily[gross_profit],0)</f>
        <v>0</v>
      </c>
      <c r="AP302" s="18">
        <f>IFERROR(TableDailySummary[[#This Row],[Utilidad bruta]]/TableDailySummary[[#This Row],[Ventas netas con costo registrado]],0)</f>
        <v>0</v>
      </c>
    </row>
    <row r="303" spans="2:42" x14ac:dyDescent="0.2">
      <c r="B303" s="15" cm="1">
        <f t="array" ref="B303">ParamFechaInicioReporte + (ROW(TableDailySummary[#This Row]) - ROW(TableDailySummary[[#Headers],[Dia]]) - 1)</f>
        <v>44830</v>
      </c>
      <c r="C303" s="6">
        <f>TableDailySummary[[#This Row],[Dia]]</f>
        <v>44830</v>
      </c>
      <c r="D303" s="11">
        <f>_xlfn.XLOOKUP(TableDailySummary[[#This Row],[Fecha]],SummaryDaily[day],SummaryDaily[net_sales],0)</f>
        <v>0</v>
      </c>
      <c r="E303" s="11">
        <f>_xlfn.XLOOKUP(TableDailySummary[[#This Row],[Fecha]],SummaryDaily[day],SummaryDaily[orders],0)</f>
        <v>0</v>
      </c>
      <c r="F303" s="11">
        <f>_xlfn.XLOOKUP(TableDailySummary[[#This Row],[Fecha]],SummaryDaily[day],SummaryDaily[average_order_value],0)</f>
        <v>0</v>
      </c>
      <c r="G303" s="24" cm="1">
        <f t="array" ref="G303">_xlfn.XLOOKUP(TableDailySummary[[#This Row],[Fecha]]&amp;"Total site",ConversionRateByReferral[day]&amp;ConversionRateByReferral[referrer_source],ConversionRateByReferral[conversion_rate],0)</f>
        <v>0</v>
      </c>
      <c r="H303" s="11">
        <f>TableDailySummary[[#This Row],[Órden promedio totales]]*TableDailySummary[[#This Row],[CR totales]]</f>
        <v>0</v>
      </c>
      <c r="I303" s="11">
        <f>_xlfn.XLOOKUP(TableDailySummary[[#This Row],[Fecha]],SummaryDaily[day],SummaryDaily[new_net_sales],0)</f>
        <v>0</v>
      </c>
      <c r="J303" s="11">
        <f>_xlfn.XLOOKUP(TableDailySummary[[#This Row],[Fecha]],SummaryDaily[day],SummaryDaily[new_orders],0)</f>
        <v>0</v>
      </c>
      <c r="K303" s="11">
        <f>_xlfn.XLOOKUP(TableDailySummary[[#This Row],[Fecha]],SummaryDaily[day],SummaryDaily[new_average_order_value],0)</f>
        <v>0</v>
      </c>
      <c r="L303" s="11">
        <f>_xlfn.XLOOKUP(TableDailySummary[[#This Row],[Fecha]],SummaryDaily[day],SummaryDaily[Online Store_net_sales],0)</f>
        <v>0</v>
      </c>
      <c r="M303" s="11">
        <f>_xlfn.XLOOKUP(TableDailySummary[[#This Row],[Fecha]],SummaryDaily[day],SummaryDaily[Online Store_orders],0)</f>
        <v>0</v>
      </c>
      <c r="N303" s="11">
        <f>_xlfn.XLOOKUP(TableDailySummary[[#This Row],[Fecha]],SummaryDaily[day],SummaryDaily[Online Store_average_order_value],0)</f>
        <v>0</v>
      </c>
      <c r="O303" s="11">
        <f>_xlfn.XLOOKUP(TableDailySummary[[#This Row],[Fecha]],SummaryDaily[day],SummaryDaily[Tienda 81_net_sales],0)</f>
        <v>0</v>
      </c>
      <c r="P303" s="11">
        <f>_xlfn.XLOOKUP(TableDailySummary[[#This Row],[Fecha]],SummaryDaily[day],SummaryDaily[Tienda 81_orders],0)</f>
        <v>0</v>
      </c>
      <c r="Q303" s="11">
        <f>_xlfn.XLOOKUP(TableDailySummary[[#This Row],[Fecha]],SummaryDaily[day],SummaryDaily[Tienda 81_average_order_value],0)</f>
        <v>0</v>
      </c>
      <c r="R303" s="11">
        <f>_xlfn.XLOOKUP(TableDailySummary[[#This Row],[Fecha]],SummaryDaily[day],SummaryDaily[Rappi_net_sales],0)</f>
        <v>0</v>
      </c>
      <c r="S303" s="11">
        <f>_xlfn.XLOOKUP(TableDailySummary[[#This Row],[Fecha]],SummaryDaily[day],SummaryDaily[Rappi_orders],0)</f>
        <v>0</v>
      </c>
      <c r="T303" s="11">
        <f>_xlfn.XLOOKUP(TableDailySummary[[#This Row],[Fecha]],SummaryDaily[day],SummaryDaily[Rappi_average_order_value],0)</f>
        <v>0</v>
      </c>
      <c r="U303" s="11">
        <f>_xlfn.XLOOKUP(TableDailySummary[[#This Row],[Fecha]],SummaryDaily[day],SummaryDaily[Corporativo no tienda_net_sales],0)</f>
        <v>0</v>
      </c>
      <c r="V303" s="11">
        <f>_xlfn.XLOOKUP(TableDailySummary[[#This Row],[Fecha]],SummaryDaily[day],SummaryDaily[Corporativo no tienda_orders],0)</f>
        <v>0</v>
      </c>
      <c r="W303" s="11">
        <f>_xlfn.XLOOKUP(TableDailySummary[[#This Row],[Fecha]],SummaryDaily[day],SummaryDaily[Corporativo no tienda_average_order_value],0)</f>
        <v>0</v>
      </c>
      <c r="X303" s="11">
        <f>_xlfn.XLOOKUP(TableDailySummary[[#This Row],[Fecha]],SummaryDaily[day],SummaryDaily[GoogleAdsOperation.Cost],0)</f>
        <v>0</v>
      </c>
      <c r="Y303" s="11">
        <f>SUMIFS(SalesByUTMDaily[google],SalesByUTMDaily[day],TableDailySummary[[#This Row],[Fecha]])</f>
        <v>0</v>
      </c>
      <c r="Z303" s="11">
        <f>_xlfn.XLOOKUP(TableDailySummary[[#This Row],[Fecha]],SummaryDaily[day],SummaryDaily[MetaAdsOperation.spend],0)</f>
        <v>0</v>
      </c>
      <c r="AA303" s="11">
        <f>SUMIFS(SalesByUTMDaily[facebook],SalesByUTMDaily[day],TableDailySummary[[#This Row],[Fecha]])</f>
        <v>0</v>
      </c>
      <c r="AB303" s="11">
        <f>TableDailySummary[[#This Row],[Inversión google ads]]+TableDailySummary[[#This Row],[Inversión meta ads]]</f>
        <v>0</v>
      </c>
      <c r="AC303" s="11">
        <f>TableDailySummary[[#This Row],[Ventas google ads]]+TableDailySummary[[#This Row],[Ventas meta ads]]</f>
        <v>0</v>
      </c>
      <c r="AD303" s="14">
        <f>IFERROR(TableDailySummary[[#This Row],[Ventas publicidad]]/TableDailySummary[[#This Row],[Inversión publicidad]],0)</f>
        <v>0</v>
      </c>
      <c r="AE303" s="14">
        <f>IFERROR(TableDailySummary[[#This Row],[Ventas primer cliente]]/TableDailySummary[[#This Row],[Inversión publicidad]],0)</f>
        <v>0</v>
      </c>
      <c r="AF303" s="14"/>
      <c r="AG303" s="11"/>
      <c r="AM303" s="11">
        <f>_xlfn.XLOOKUP(TableDailySummary[[#This Row],[Fecha]],SummaryDaily[day],SummaryDaily[net_sales_with_cost_recorded],0)</f>
        <v>0</v>
      </c>
      <c r="AN303" s="11">
        <f>_xlfn.XLOOKUP(TableDailySummary[[#This Row],[Fecha]],SummaryDaily[day],SummaryDaily[cost_of_goods_sold],0)</f>
        <v>0</v>
      </c>
      <c r="AO303" s="11">
        <f>_xlfn.XLOOKUP(TableDailySummary[[#This Row],[Fecha]],SummaryDaily[day],SummaryDaily[gross_profit],0)</f>
        <v>0</v>
      </c>
      <c r="AP303" s="18">
        <f>IFERROR(TableDailySummary[[#This Row],[Utilidad bruta]]/TableDailySummary[[#This Row],[Ventas netas con costo registrado]],0)</f>
        <v>0</v>
      </c>
    </row>
    <row r="304" spans="2:42" x14ac:dyDescent="0.2">
      <c r="B304" s="15" cm="1">
        <f t="array" ref="B304">ParamFechaInicioReporte + (ROW(TableDailySummary[#This Row]) - ROW(TableDailySummary[[#Headers],[Dia]]) - 1)</f>
        <v>44831</v>
      </c>
      <c r="C304" s="6">
        <f>TableDailySummary[[#This Row],[Dia]]</f>
        <v>44831</v>
      </c>
      <c r="D304" s="11">
        <f>_xlfn.XLOOKUP(TableDailySummary[[#This Row],[Fecha]],SummaryDaily[day],SummaryDaily[net_sales],0)</f>
        <v>0</v>
      </c>
      <c r="E304" s="11">
        <f>_xlfn.XLOOKUP(TableDailySummary[[#This Row],[Fecha]],SummaryDaily[day],SummaryDaily[orders],0)</f>
        <v>0</v>
      </c>
      <c r="F304" s="11">
        <f>_xlfn.XLOOKUP(TableDailySummary[[#This Row],[Fecha]],SummaryDaily[day],SummaryDaily[average_order_value],0)</f>
        <v>0</v>
      </c>
      <c r="G304" s="24" cm="1">
        <f t="array" ref="G304">_xlfn.XLOOKUP(TableDailySummary[[#This Row],[Fecha]]&amp;"Total site",ConversionRateByReferral[day]&amp;ConversionRateByReferral[referrer_source],ConversionRateByReferral[conversion_rate],0)</f>
        <v>0</v>
      </c>
      <c r="H304" s="11">
        <f>TableDailySummary[[#This Row],[Órden promedio totales]]*TableDailySummary[[#This Row],[CR totales]]</f>
        <v>0</v>
      </c>
      <c r="I304" s="11">
        <f>_xlfn.XLOOKUP(TableDailySummary[[#This Row],[Fecha]],SummaryDaily[day],SummaryDaily[new_net_sales],0)</f>
        <v>0</v>
      </c>
      <c r="J304" s="11">
        <f>_xlfn.XLOOKUP(TableDailySummary[[#This Row],[Fecha]],SummaryDaily[day],SummaryDaily[new_orders],0)</f>
        <v>0</v>
      </c>
      <c r="K304" s="11">
        <f>_xlfn.XLOOKUP(TableDailySummary[[#This Row],[Fecha]],SummaryDaily[day],SummaryDaily[new_average_order_value],0)</f>
        <v>0</v>
      </c>
      <c r="L304" s="11">
        <f>_xlfn.XLOOKUP(TableDailySummary[[#This Row],[Fecha]],SummaryDaily[day],SummaryDaily[Online Store_net_sales],0)</f>
        <v>0</v>
      </c>
      <c r="M304" s="11">
        <f>_xlfn.XLOOKUP(TableDailySummary[[#This Row],[Fecha]],SummaryDaily[day],SummaryDaily[Online Store_orders],0)</f>
        <v>0</v>
      </c>
      <c r="N304" s="11">
        <f>_xlfn.XLOOKUP(TableDailySummary[[#This Row],[Fecha]],SummaryDaily[day],SummaryDaily[Online Store_average_order_value],0)</f>
        <v>0</v>
      </c>
      <c r="O304" s="11">
        <f>_xlfn.XLOOKUP(TableDailySummary[[#This Row],[Fecha]],SummaryDaily[day],SummaryDaily[Tienda 81_net_sales],0)</f>
        <v>0</v>
      </c>
      <c r="P304" s="11">
        <f>_xlfn.XLOOKUP(TableDailySummary[[#This Row],[Fecha]],SummaryDaily[day],SummaryDaily[Tienda 81_orders],0)</f>
        <v>0</v>
      </c>
      <c r="Q304" s="11">
        <f>_xlfn.XLOOKUP(TableDailySummary[[#This Row],[Fecha]],SummaryDaily[day],SummaryDaily[Tienda 81_average_order_value],0)</f>
        <v>0</v>
      </c>
      <c r="R304" s="11">
        <f>_xlfn.XLOOKUP(TableDailySummary[[#This Row],[Fecha]],SummaryDaily[day],SummaryDaily[Rappi_net_sales],0)</f>
        <v>0</v>
      </c>
      <c r="S304" s="11">
        <f>_xlfn.XLOOKUP(TableDailySummary[[#This Row],[Fecha]],SummaryDaily[day],SummaryDaily[Rappi_orders],0)</f>
        <v>0</v>
      </c>
      <c r="T304" s="11">
        <f>_xlfn.XLOOKUP(TableDailySummary[[#This Row],[Fecha]],SummaryDaily[day],SummaryDaily[Rappi_average_order_value],0)</f>
        <v>0</v>
      </c>
      <c r="U304" s="11">
        <f>_xlfn.XLOOKUP(TableDailySummary[[#This Row],[Fecha]],SummaryDaily[day],SummaryDaily[Corporativo no tienda_net_sales],0)</f>
        <v>0</v>
      </c>
      <c r="V304" s="11">
        <f>_xlfn.XLOOKUP(TableDailySummary[[#This Row],[Fecha]],SummaryDaily[day],SummaryDaily[Corporativo no tienda_orders],0)</f>
        <v>0</v>
      </c>
      <c r="W304" s="11">
        <f>_xlfn.XLOOKUP(TableDailySummary[[#This Row],[Fecha]],SummaryDaily[day],SummaryDaily[Corporativo no tienda_average_order_value],0)</f>
        <v>0</v>
      </c>
      <c r="X304" s="11">
        <f>_xlfn.XLOOKUP(TableDailySummary[[#This Row],[Fecha]],SummaryDaily[day],SummaryDaily[GoogleAdsOperation.Cost],0)</f>
        <v>0</v>
      </c>
      <c r="Y304" s="11">
        <f>SUMIFS(SalesByUTMDaily[google],SalesByUTMDaily[day],TableDailySummary[[#This Row],[Fecha]])</f>
        <v>0</v>
      </c>
      <c r="Z304" s="11">
        <f>_xlfn.XLOOKUP(TableDailySummary[[#This Row],[Fecha]],SummaryDaily[day],SummaryDaily[MetaAdsOperation.spend],0)</f>
        <v>0</v>
      </c>
      <c r="AA304" s="11">
        <f>SUMIFS(SalesByUTMDaily[facebook],SalesByUTMDaily[day],TableDailySummary[[#This Row],[Fecha]])</f>
        <v>0</v>
      </c>
      <c r="AB304" s="11">
        <f>TableDailySummary[[#This Row],[Inversión google ads]]+TableDailySummary[[#This Row],[Inversión meta ads]]</f>
        <v>0</v>
      </c>
      <c r="AC304" s="11">
        <f>TableDailySummary[[#This Row],[Ventas google ads]]+TableDailySummary[[#This Row],[Ventas meta ads]]</f>
        <v>0</v>
      </c>
      <c r="AD304" s="14">
        <f>IFERROR(TableDailySummary[[#This Row],[Ventas publicidad]]/TableDailySummary[[#This Row],[Inversión publicidad]],0)</f>
        <v>0</v>
      </c>
      <c r="AE304" s="14">
        <f>IFERROR(TableDailySummary[[#This Row],[Ventas primer cliente]]/TableDailySummary[[#This Row],[Inversión publicidad]],0)</f>
        <v>0</v>
      </c>
      <c r="AF304" s="14"/>
      <c r="AG304" s="11"/>
      <c r="AM304" s="11">
        <f>_xlfn.XLOOKUP(TableDailySummary[[#This Row],[Fecha]],SummaryDaily[day],SummaryDaily[net_sales_with_cost_recorded],0)</f>
        <v>0</v>
      </c>
      <c r="AN304" s="11">
        <f>_xlfn.XLOOKUP(TableDailySummary[[#This Row],[Fecha]],SummaryDaily[day],SummaryDaily[cost_of_goods_sold],0)</f>
        <v>0</v>
      </c>
      <c r="AO304" s="11">
        <f>_xlfn.XLOOKUP(TableDailySummary[[#This Row],[Fecha]],SummaryDaily[day],SummaryDaily[gross_profit],0)</f>
        <v>0</v>
      </c>
      <c r="AP304" s="18">
        <f>IFERROR(TableDailySummary[[#This Row],[Utilidad bruta]]/TableDailySummary[[#This Row],[Ventas netas con costo registrado]],0)</f>
        <v>0</v>
      </c>
    </row>
    <row r="305" spans="2:42" x14ac:dyDescent="0.2">
      <c r="B305" s="15" cm="1">
        <f t="array" ref="B305">ParamFechaInicioReporte + (ROW(TableDailySummary[#This Row]) - ROW(TableDailySummary[[#Headers],[Dia]]) - 1)</f>
        <v>44832</v>
      </c>
      <c r="C305" s="6">
        <f>TableDailySummary[[#This Row],[Dia]]</f>
        <v>44832</v>
      </c>
      <c r="D305" s="11">
        <f>_xlfn.XLOOKUP(TableDailySummary[[#This Row],[Fecha]],SummaryDaily[day],SummaryDaily[net_sales],0)</f>
        <v>0</v>
      </c>
      <c r="E305" s="11">
        <f>_xlfn.XLOOKUP(TableDailySummary[[#This Row],[Fecha]],SummaryDaily[day],SummaryDaily[orders],0)</f>
        <v>0</v>
      </c>
      <c r="F305" s="11">
        <f>_xlfn.XLOOKUP(TableDailySummary[[#This Row],[Fecha]],SummaryDaily[day],SummaryDaily[average_order_value],0)</f>
        <v>0</v>
      </c>
      <c r="G305" s="24" cm="1">
        <f t="array" ref="G305">_xlfn.XLOOKUP(TableDailySummary[[#This Row],[Fecha]]&amp;"Total site",ConversionRateByReferral[day]&amp;ConversionRateByReferral[referrer_source],ConversionRateByReferral[conversion_rate],0)</f>
        <v>0</v>
      </c>
      <c r="H305" s="11">
        <f>TableDailySummary[[#This Row],[Órden promedio totales]]*TableDailySummary[[#This Row],[CR totales]]</f>
        <v>0</v>
      </c>
      <c r="I305" s="11">
        <f>_xlfn.XLOOKUP(TableDailySummary[[#This Row],[Fecha]],SummaryDaily[day],SummaryDaily[new_net_sales],0)</f>
        <v>0</v>
      </c>
      <c r="J305" s="11">
        <f>_xlfn.XLOOKUP(TableDailySummary[[#This Row],[Fecha]],SummaryDaily[day],SummaryDaily[new_orders],0)</f>
        <v>0</v>
      </c>
      <c r="K305" s="11">
        <f>_xlfn.XLOOKUP(TableDailySummary[[#This Row],[Fecha]],SummaryDaily[day],SummaryDaily[new_average_order_value],0)</f>
        <v>0</v>
      </c>
      <c r="L305" s="11">
        <f>_xlfn.XLOOKUP(TableDailySummary[[#This Row],[Fecha]],SummaryDaily[day],SummaryDaily[Online Store_net_sales],0)</f>
        <v>0</v>
      </c>
      <c r="M305" s="11">
        <f>_xlfn.XLOOKUP(TableDailySummary[[#This Row],[Fecha]],SummaryDaily[day],SummaryDaily[Online Store_orders],0)</f>
        <v>0</v>
      </c>
      <c r="N305" s="11">
        <f>_xlfn.XLOOKUP(TableDailySummary[[#This Row],[Fecha]],SummaryDaily[day],SummaryDaily[Online Store_average_order_value],0)</f>
        <v>0</v>
      </c>
      <c r="O305" s="11">
        <f>_xlfn.XLOOKUP(TableDailySummary[[#This Row],[Fecha]],SummaryDaily[day],SummaryDaily[Tienda 81_net_sales],0)</f>
        <v>0</v>
      </c>
      <c r="P305" s="11">
        <f>_xlfn.XLOOKUP(TableDailySummary[[#This Row],[Fecha]],SummaryDaily[day],SummaryDaily[Tienda 81_orders],0)</f>
        <v>0</v>
      </c>
      <c r="Q305" s="11">
        <f>_xlfn.XLOOKUP(TableDailySummary[[#This Row],[Fecha]],SummaryDaily[day],SummaryDaily[Tienda 81_average_order_value],0)</f>
        <v>0</v>
      </c>
      <c r="R305" s="11">
        <f>_xlfn.XLOOKUP(TableDailySummary[[#This Row],[Fecha]],SummaryDaily[day],SummaryDaily[Rappi_net_sales],0)</f>
        <v>0</v>
      </c>
      <c r="S305" s="11">
        <f>_xlfn.XLOOKUP(TableDailySummary[[#This Row],[Fecha]],SummaryDaily[day],SummaryDaily[Rappi_orders],0)</f>
        <v>0</v>
      </c>
      <c r="T305" s="11">
        <f>_xlfn.XLOOKUP(TableDailySummary[[#This Row],[Fecha]],SummaryDaily[day],SummaryDaily[Rappi_average_order_value],0)</f>
        <v>0</v>
      </c>
      <c r="U305" s="11">
        <f>_xlfn.XLOOKUP(TableDailySummary[[#This Row],[Fecha]],SummaryDaily[day],SummaryDaily[Corporativo no tienda_net_sales],0)</f>
        <v>0</v>
      </c>
      <c r="V305" s="11">
        <f>_xlfn.XLOOKUP(TableDailySummary[[#This Row],[Fecha]],SummaryDaily[day],SummaryDaily[Corporativo no tienda_orders],0)</f>
        <v>0</v>
      </c>
      <c r="W305" s="11">
        <f>_xlfn.XLOOKUP(TableDailySummary[[#This Row],[Fecha]],SummaryDaily[day],SummaryDaily[Corporativo no tienda_average_order_value],0)</f>
        <v>0</v>
      </c>
      <c r="X305" s="11">
        <f>_xlfn.XLOOKUP(TableDailySummary[[#This Row],[Fecha]],SummaryDaily[day],SummaryDaily[GoogleAdsOperation.Cost],0)</f>
        <v>0</v>
      </c>
      <c r="Y305" s="11">
        <f>SUMIFS(SalesByUTMDaily[google],SalesByUTMDaily[day],TableDailySummary[[#This Row],[Fecha]])</f>
        <v>0</v>
      </c>
      <c r="Z305" s="11">
        <f>_xlfn.XLOOKUP(TableDailySummary[[#This Row],[Fecha]],SummaryDaily[day],SummaryDaily[MetaAdsOperation.spend],0)</f>
        <v>0</v>
      </c>
      <c r="AA305" s="11">
        <f>SUMIFS(SalesByUTMDaily[facebook],SalesByUTMDaily[day],TableDailySummary[[#This Row],[Fecha]])</f>
        <v>0</v>
      </c>
      <c r="AB305" s="11">
        <f>TableDailySummary[[#This Row],[Inversión google ads]]+TableDailySummary[[#This Row],[Inversión meta ads]]</f>
        <v>0</v>
      </c>
      <c r="AC305" s="11">
        <f>TableDailySummary[[#This Row],[Ventas google ads]]+TableDailySummary[[#This Row],[Ventas meta ads]]</f>
        <v>0</v>
      </c>
      <c r="AD305" s="14">
        <f>IFERROR(TableDailySummary[[#This Row],[Ventas publicidad]]/TableDailySummary[[#This Row],[Inversión publicidad]],0)</f>
        <v>0</v>
      </c>
      <c r="AE305" s="14">
        <f>IFERROR(TableDailySummary[[#This Row],[Ventas primer cliente]]/TableDailySummary[[#This Row],[Inversión publicidad]],0)</f>
        <v>0</v>
      </c>
      <c r="AF305" s="14"/>
      <c r="AG305" s="11"/>
      <c r="AM305" s="11">
        <f>_xlfn.XLOOKUP(TableDailySummary[[#This Row],[Fecha]],SummaryDaily[day],SummaryDaily[net_sales_with_cost_recorded],0)</f>
        <v>0</v>
      </c>
      <c r="AN305" s="11">
        <f>_xlfn.XLOOKUP(TableDailySummary[[#This Row],[Fecha]],SummaryDaily[day],SummaryDaily[cost_of_goods_sold],0)</f>
        <v>0</v>
      </c>
      <c r="AO305" s="11">
        <f>_xlfn.XLOOKUP(TableDailySummary[[#This Row],[Fecha]],SummaryDaily[day],SummaryDaily[gross_profit],0)</f>
        <v>0</v>
      </c>
      <c r="AP305" s="18">
        <f>IFERROR(TableDailySummary[[#This Row],[Utilidad bruta]]/TableDailySummary[[#This Row],[Ventas netas con costo registrado]],0)</f>
        <v>0</v>
      </c>
    </row>
    <row r="306" spans="2:42" x14ac:dyDescent="0.2">
      <c r="B306" s="15" cm="1">
        <f t="array" ref="B306">ParamFechaInicioReporte + (ROW(TableDailySummary[#This Row]) - ROW(TableDailySummary[[#Headers],[Dia]]) - 1)</f>
        <v>44833</v>
      </c>
      <c r="C306" s="6">
        <f>TableDailySummary[[#This Row],[Dia]]</f>
        <v>44833</v>
      </c>
      <c r="D306" s="11">
        <f>_xlfn.XLOOKUP(TableDailySummary[[#This Row],[Fecha]],SummaryDaily[day],SummaryDaily[net_sales],0)</f>
        <v>0</v>
      </c>
      <c r="E306" s="11">
        <f>_xlfn.XLOOKUP(TableDailySummary[[#This Row],[Fecha]],SummaryDaily[day],SummaryDaily[orders],0)</f>
        <v>0</v>
      </c>
      <c r="F306" s="11">
        <f>_xlfn.XLOOKUP(TableDailySummary[[#This Row],[Fecha]],SummaryDaily[day],SummaryDaily[average_order_value],0)</f>
        <v>0</v>
      </c>
      <c r="G306" s="24" cm="1">
        <f t="array" ref="G306">_xlfn.XLOOKUP(TableDailySummary[[#This Row],[Fecha]]&amp;"Total site",ConversionRateByReferral[day]&amp;ConversionRateByReferral[referrer_source],ConversionRateByReferral[conversion_rate],0)</f>
        <v>0</v>
      </c>
      <c r="H306" s="11">
        <f>TableDailySummary[[#This Row],[Órden promedio totales]]*TableDailySummary[[#This Row],[CR totales]]</f>
        <v>0</v>
      </c>
      <c r="I306" s="11">
        <f>_xlfn.XLOOKUP(TableDailySummary[[#This Row],[Fecha]],SummaryDaily[day],SummaryDaily[new_net_sales],0)</f>
        <v>0</v>
      </c>
      <c r="J306" s="11">
        <f>_xlfn.XLOOKUP(TableDailySummary[[#This Row],[Fecha]],SummaryDaily[day],SummaryDaily[new_orders],0)</f>
        <v>0</v>
      </c>
      <c r="K306" s="11">
        <f>_xlfn.XLOOKUP(TableDailySummary[[#This Row],[Fecha]],SummaryDaily[day],SummaryDaily[new_average_order_value],0)</f>
        <v>0</v>
      </c>
      <c r="L306" s="11">
        <f>_xlfn.XLOOKUP(TableDailySummary[[#This Row],[Fecha]],SummaryDaily[day],SummaryDaily[Online Store_net_sales],0)</f>
        <v>0</v>
      </c>
      <c r="M306" s="11">
        <f>_xlfn.XLOOKUP(TableDailySummary[[#This Row],[Fecha]],SummaryDaily[day],SummaryDaily[Online Store_orders],0)</f>
        <v>0</v>
      </c>
      <c r="N306" s="11">
        <f>_xlfn.XLOOKUP(TableDailySummary[[#This Row],[Fecha]],SummaryDaily[day],SummaryDaily[Online Store_average_order_value],0)</f>
        <v>0</v>
      </c>
      <c r="O306" s="11">
        <f>_xlfn.XLOOKUP(TableDailySummary[[#This Row],[Fecha]],SummaryDaily[day],SummaryDaily[Tienda 81_net_sales],0)</f>
        <v>0</v>
      </c>
      <c r="P306" s="11">
        <f>_xlfn.XLOOKUP(TableDailySummary[[#This Row],[Fecha]],SummaryDaily[day],SummaryDaily[Tienda 81_orders],0)</f>
        <v>0</v>
      </c>
      <c r="Q306" s="11">
        <f>_xlfn.XLOOKUP(TableDailySummary[[#This Row],[Fecha]],SummaryDaily[day],SummaryDaily[Tienda 81_average_order_value],0)</f>
        <v>0</v>
      </c>
      <c r="R306" s="11">
        <f>_xlfn.XLOOKUP(TableDailySummary[[#This Row],[Fecha]],SummaryDaily[day],SummaryDaily[Rappi_net_sales],0)</f>
        <v>0</v>
      </c>
      <c r="S306" s="11">
        <f>_xlfn.XLOOKUP(TableDailySummary[[#This Row],[Fecha]],SummaryDaily[day],SummaryDaily[Rappi_orders],0)</f>
        <v>0</v>
      </c>
      <c r="T306" s="11">
        <f>_xlfn.XLOOKUP(TableDailySummary[[#This Row],[Fecha]],SummaryDaily[day],SummaryDaily[Rappi_average_order_value],0)</f>
        <v>0</v>
      </c>
      <c r="U306" s="11">
        <f>_xlfn.XLOOKUP(TableDailySummary[[#This Row],[Fecha]],SummaryDaily[day],SummaryDaily[Corporativo no tienda_net_sales],0)</f>
        <v>0</v>
      </c>
      <c r="V306" s="11">
        <f>_xlfn.XLOOKUP(TableDailySummary[[#This Row],[Fecha]],SummaryDaily[day],SummaryDaily[Corporativo no tienda_orders],0)</f>
        <v>0</v>
      </c>
      <c r="W306" s="11">
        <f>_xlfn.XLOOKUP(TableDailySummary[[#This Row],[Fecha]],SummaryDaily[day],SummaryDaily[Corporativo no tienda_average_order_value],0)</f>
        <v>0</v>
      </c>
      <c r="X306" s="11">
        <f>_xlfn.XLOOKUP(TableDailySummary[[#This Row],[Fecha]],SummaryDaily[day],SummaryDaily[GoogleAdsOperation.Cost],0)</f>
        <v>0</v>
      </c>
      <c r="Y306" s="11">
        <f>SUMIFS(SalesByUTMDaily[google],SalesByUTMDaily[day],TableDailySummary[[#This Row],[Fecha]])</f>
        <v>0</v>
      </c>
      <c r="Z306" s="11">
        <f>_xlfn.XLOOKUP(TableDailySummary[[#This Row],[Fecha]],SummaryDaily[day],SummaryDaily[MetaAdsOperation.spend],0)</f>
        <v>0</v>
      </c>
      <c r="AA306" s="11">
        <f>SUMIFS(SalesByUTMDaily[facebook],SalesByUTMDaily[day],TableDailySummary[[#This Row],[Fecha]])</f>
        <v>0</v>
      </c>
      <c r="AB306" s="11">
        <f>TableDailySummary[[#This Row],[Inversión google ads]]+TableDailySummary[[#This Row],[Inversión meta ads]]</f>
        <v>0</v>
      </c>
      <c r="AC306" s="11">
        <f>TableDailySummary[[#This Row],[Ventas google ads]]+TableDailySummary[[#This Row],[Ventas meta ads]]</f>
        <v>0</v>
      </c>
      <c r="AD306" s="14">
        <f>IFERROR(TableDailySummary[[#This Row],[Ventas publicidad]]/TableDailySummary[[#This Row],[Inversión publicidad]],0)</f>
        <v>0</v>
      </c>
      <c r="AE306" s="14">
        <f>IFERROR(TableDailySummary[[#This Row],[Ventas primer cliente]]/TableDailySummary[[#This Row],[Inversión publicidad]],0)</f>
        <v>0</v>
      </c>
      <c r="AF306" s="14"/>
      <c r="AG306" s="11"/>
      <c r="AM306" s="11">
        <f>_xlfn.XLOOKUP(TableDailySummary[[#This Row],[Fecha]],SummaryDaily[day],SummaryDaily[net_sales_with_cost_recorded],0)</f>
        <v>0</v>
      </c>
      <c r="AN306" s="11">
        <f>_xlfn.XLOOKUP(TableDailySummary[[#This Row],[Fecha]],SummaryDaily[day],SummaryDaily[cost_of_goods_sold],0)</f>
        <v>0</v>
      </c>
      <c r="AO306" s="11">
        <f>_xlfn.XLOOKUP(TableDailySummary[[#This Row],[Fecha]],SummaryDaily[day],SummaryDaily[gross_profit],0)</f>
        <v>0</v>
      </c>
      <c r="AP306" s="18">
        <f>IFERROR(TableDailySummary[[#This Row],[Utilidad bruta]]/TableDailySummary[[#This Row],[Ventas netas con costo registrado]],0)</f>
        <v>0</v>
      </c>
    </row>
    <row r="307" spans="2:42" x14ac:dyDescent="0.2">
      <c r="B307" s="15" cm="1">
        <f t="array" ref="B307">ParamFechaInicioReporte + (ROW(TableDailySummary[#This Row]) - ROW(TableDailySummary[[#Headers],[Dia]]) - 1)</f>
        <v>44834</v>
      </c>
      <c r="C307" s="6">
        <f>TableDailySummary[[#This Row],[Dia]]</f>
        <v>44834</v>
      </c>
      <c r="D307" s="11">
        <f>_xlfn.XLOOKUP(TableDailySummary[[#This Row],[Fecha]],SummaryDaily[day],SummaryDaily[net_sales],0)</f>
        <v>0</v>
      </c>
      <c r="E307" s="11">
        <f>_xlfn.XLOOKUP(TableDailySummary[[#This Row],[Fecha]],SummaryDaily[day],SummaryDaily[orders],0)</f>
        <v>0</v>
      </c>
      <c r="F307" s="11">
        <f>_xlfn.XLOOKUP(TableDailySummary[[#This Row],[Fecha]],SummaryDaily[day],SummaryDaily[average_order_value],0)</f>
        <v>0</v>
      </c>
      <c r="G307" s="24" cm="1">
        <f t="array" ref="G307">_xlfn.XLOOKUP(TableDailySummary[[#This Row],[Fecha]]&amp;"Total site",ConversionRateByReferral[day]&amp;ConversionRateByReferral[referrer_source],ConversionRateByReferral[conversion_rate],0)</f>
        <v>0</v>
      </c>
      <c r="H307" s="11">
        <f>TableDailySummary[[#This Row],[Órden promedio totales]]*TableDailySummary[[#This Row],[CR totales]]</f>
        <v>0</v>
      </c>
      <c r="I307" s="11">
        <f>_xlfn.XLOOKUP(TableDailySummary[[#This Row],[Fecha]],SummaryDaily[day],SummaryDaily[new_net_sales],0)</f>
        <v>0</v>
      </c>
      <c r="J307" s="11">
        <f>_xlfn.XLOOKUP(TableDailySummary[[#This Row],[Fecha]],SummaryDaily[day],SummaryDaily[new_orders],0)</f>
        <v>0</v>
      </c>
      <c r="K307" s="11">
        <f>_xlfn.XLOOKUP(TableDailySummary[[#This Row],[Fecha]],SummaryDaily[day],SummaryDaily[new_average_order_value],0)</f>
        <v>0</v>
      </c>
      <c r="L307" s="11">
        <f>_xlfn.XLOOKUP(TableDailySummary[[#This Row],[Fecha]],SummaryDaily[day],SummaryDaily[Online Store_net_sales],0)</f>
        <v>0</v>
      </c>
      <c r="M307" s="11">
        <f>_xlfn.XLOOKUP(TableDailySummary[[#This Row],[Fecha]],SummaryDaily[day],SummaryDaily[Online Store_orders],0)</f>
        <v>0</v>
      </c>
      <c r="N307" s="11">
        <f>_xlfn.XLOOKUP(TableDailySummary[[#This Row],[Fecha]],SummaryDaily[day],SummaryDaily[Online Store_average_order_value],0)</f>
        <v>0</v>
      </c>
      <c r="O307" s="11">
        <f>_xlfn.XLOOKUP(TableDailySummary[[#This Row],[Fecha]],SummaryDaily[day],SummaryDaily[Tienda 81_net_sales],0)</f>
        <v>0</v>
      </c>
      <c r="P307" s="11">
        <f>_xlfn.XLOOKUP(TableDailySummary[[#This Row],[Fecha]],SummaryDaily[day],SummaryDaily[Tienda 81_orders],0)</f>
        <v>0</v>
      </c>
      <c r="Q307" s="11">
        <f>_xlfn.XLOOKUP(TableDailySummary[[#This Row],[Fecha]],SummaryDaily[day],SummaryDaily[Tienda 81_average_order_value],0)</f>
        <v>0</v>
      </c>
      <c r="R307" s="11">
        <f>_xlfn.XLOOKUP(TableDailySummary[[#This Row],[Fecha]],SummaryDaily[day],SummaryDaily[Rappi_net_sales],0)</f>
        <v>0</v>
      </c>
      <c r="S307" s="11">
        <f>_xlfn.XLOOKUP(TableDailySummary[[#This Row],[Fecha]],SummaryDaily[day],SummaryDaily[Rappi_orders],0)</f>
        <v>0</v>
      </c>
      <c r="T307" s="11">
        <f>_xlfn.XLOOKUP(TableDailySummary[[#This Row],[Fecha]],SummaryDaily[day],SummaryDaily[Rappi_average_order_value],0)</f>
        <v>0</v>
      </c>
      <c r="U307" s="11">
        <f>_xlfn.XLOOKUP(TableDailySummary[[#This Row],[Fecha]],SummaryDaily[day],SummaryDaily[Corporativo no tienda_net_sales],0)</f>
        <v>0</v>
      </c>
      <c r="V307" s="11">
        <f>_xlfn.XLOOKUP(TableDailySummary[[#This Row],[Fecha]],SummaryDaily[day],SummaryDaily[Corporativo no tienda_orders],0)</f>
        <v>0</v>
      </c>
      <c r="W307" s="11">
        <f>_xlfn.XLOOKUP(TableDailySummary[[#This Row],[Fecha]],SummaryDaily[day],SummaryDaily[Corporativo no tienda_average_order_value],0)</f>
        <v>0</v>
      </c>
      <c r="X307" s="11">
        <f>_xlfn.XLOOKUP(TableDailySummary[[#This Row],[Fecha]],SummaryDaily[day],SummaryDaily[GoogleAdsOperation.Cost],0)</f>
        <v>0</v>
      </c>
      <c r="Y307" s="11">
        <f>SUMIFS(SalesByUTMDaily[google],SalesByUTMDaily[day],TableDailySummary[[#This Row],[Fecha]])</f>
        <v>0</v>
      </c>
      <c r="Z307" s="11">
        <f>_xlfn.XLOOKUP(TableDailySummary[[#This Row],[Fecha]],SummaryDaily[day],SummaryDaily[MetaAdsOperation.spend],0)</f>
        <v>0</v>
      </c>
      <c r="AA307" s="11">
        <f>SUMIFS(SalesByUTMDaily[facebook],SalesByUTMDaily[day],TableDailySummary[[#This Row],[Fecha]])</f>
        <v>0</v>
      </c>
      <c r="AB307" s="11">
        <f>TableDailySummary[[#This Row],[Inversión google ads]]+TableDailySummary[[#This Row],[Inversión meta ads]]</f>
        <v>0</v>
      </c>
      <c r="AC307" s="11">
        <f>TableDailySummary[[#This Row],[Ventas google ads]]+TableDailySummary[[#This Row],[Ventas meta ads]]</f>
        <v>0</v>
      </c>
      <c r="AD307" s="14">
        <f>IFERROR(TableDailySummary[[#This Row],[Ventas publicidad]]/TableDailySummary[[#This Row],[Inversión publicidad]],0)</f>
        <v>0</v>
      </c>
      <c r="AE307" s="14">
        <f>IFERROR(TableDailySummary[[#This Row],[Ventas primer cliente]]/TableDailySummary[[#This Row],[Inversión publicidad]],0)</f>
        <v>0</v>
      </c>
      <c r="AF307" s="14"/>
      <c r="AG307" s="11"/>
      <c r="AM307" s="11">
        <f>_xlfn.XLOOKUP(TableDailySummary[[#This Row],[Fecha]],SummaryDaily[day],SummaryDaily[net_sales_with_cost_recorded],0)</f>
        <v>0</v>
      </c>
      <c r="AN307" s="11">
        <f>_xlfn.XLOOKUP(TableDailySummary[[#This Row],[Fecha]],SummaryDaily[day],SummaryDaily[cost_of_goods_sold],0)</f>
        <v>0</v>
      </c>
      <c r="AO307" s="11">
        <f>_xlfn.XLOOKUP(TableDailySummary[[#This Row],[Fecha]],SummaryDaily[day],SummaryDaily[gross_profit],0)</f>
        <v>0</v>
      </c>
      <c r="AP307" s="18">
        <f>IFERROR(TableDailySummary[[#This Row],[Utilidad bruta]]/TableDailySummary[[#This Row],[Ventas netas con costo registrado]],0)</f>
        <v>0</v>
      </c>
    </row>
    <row r="308" spans="2:42" x14ac:dyDescent="0.2">
      <c r="B308" s="15" cm="1">
        <f t="array" ref="B308">ParamFechaInicioReporte + (ROW(TableDailySummary[#This Row]) - ROW(TableDailySummary[[#Headers],[Dia]]) - 1)</f>
        <v>44835</v>
      </c>
      <c r="C308" s="6">
        <f>TableDailySummary[[#This Row],[Dia]]</f>
        <v>44835</v>
      </c>
      <c r="D308" s="11">
        <f>_xlfn.XLOOKUP(TableDailySummary[[#This Row],[Fecha]],SummaryDaily[day],SummaryDaily[net_sales],0)</f>
        <v>0</v>
      </c>
      <c r="E308" s="11">
        <f>_xlfn.XLOOKUP(TableDailySummary[[#This Row],[Fecha]],SummaryDaily[day],SummaryDaily[orders],0)</f>
        <v>0</v>
      </c>
      <c r="F308" s="11">
        <f>_xlfn.XLOOKUP(TableDailySummary[[#This Row],[Fecha]],SummaryDaily[day],SummaryDaily[average_order_value],0)</f>
        <v>0</v>
      </c>
      <c r="G308" s="24" cm="1">
        <f t="array" ref="G308">_xlfn.XLOOKUP(TableDailySummary[[#This Row],[Fecha]]&amp;"Total site",ConversionRateByReferral[day]&amp;ConversionRateByReferral[referrer_source],ConversionRateByReferral[conversion_rate],0)</f>
        <v>0</v>
      </c>
      <c r="H308" s="11">
        <f>TableDailySummary[[#This Row],[Órden promedio totales]]*TableDailySummary[[#This Row],[CR totales]]</f>
        <v>0</v>
      </c>
      <c r="I308" s="11">
        <f>_xlfn.XLOOKUP(TableDailySummary[[#This Row],[Fecha]],SummaryDaily[day],SummaryDaily[new_net_sales],0)</f>
        <v>0</v>
      </c>
      <c r="J308" s="11">
        <f>_xlfn.XLOOKUP(TableDailySummary[[#This Row],[Fecha]],SummaryDaily[day],SummaryDaily[new_orders],0)</f>
        <v>0</v>
      </c>
      <c r="K308" s="11">
        <f>_xlfn.XLOOKUP(TableDailySummary[[#This Row],[Fecha]],SummaryDaily[day],SummaryDaily[new_average_order_value],0)</f>
        <v>0</v>
      </c>
      <c r="L308" s="11">
        <f>_xlfn.XLOOKUP(TableDailySummary[[#This Row],[Fecha]],SummaryDaily[day],SummaryDaily[Online Store_net_sales],0)</f>
        <v>0</v>
      </c>
      <c r="M308" s="11">
        <f>_xlfn.XLOOKUP(TableDailySummary[[#This Row],[Fecha]],SummaryDaily[day],SummaryDaily[Online Store_orders],0)</f>
        <v>0</v>
      </c>
      <c r="N308" s="11">
        <f>_xlfn.XLOOKUP(TableDailySummary[[#This Row],[Fecha]],SummaryDaily[day],SummaryDaily[Online Store_average_order_value],0)</f>
        <v>0</v>
      </c>
      <c r="O308" s="11">
        <f>_xlfn.XLOOKUP(TableDailySummary[[#This Row],[Fecha]],SummaryDaily[day],SummaryDaily[Tienda 81_net_sales],0)</f>
        <v>0</v>
      </c>
      <c r="P308" s="11">
        <f>_xlfn.XLOOKUP(TableDailySummary[[#This Row],[Fecha]],SummaryDaily[day],SummaryDaily[Tienda 81_orders],0)</f>
        <v>0</v>
      </c>
      <c r="Q308" s="11">
        <f>_xlfn.XLOOKUP(TableDailySummary[[#This Row],[Fecha]],SummaryDaily[day],SummaryDaily[Tienda 81_average_order_value],0)</f>
        <v>0</v>
      </c>
      <c r="R308" s="11">
        <f>_xlfn.XLOOKUP(TableDailySummary[[#This Row],[Fecha]],SummaryDaily[day],SummaryDaily[Rappi_net_sales],0)</f>
        <v>0</v>
      </c>
      <c r="S308" s="11">
        <f>_xlfn.XLOOKUP(TableDailySummary[[#This Row],[Fecha]],SummaryDaily[day],SummaryDaily[Rappi_orders],0)</f>
        <v>0</v>
      </c>
      <c r="T308" s="11">
        <f>_xlfn.XLOOKUP(TableDailySummary[[#This Row],[Fecha]],SummaryDaily[day],SummaryDaily[Rappi_average_order_value],0)</f>
        <v>0</v>
      </c>
      <c r="U308" s="11">
        <f>_xlfn.XLOOKUP(TableDailySummary[[#This Row],[Fecha]],SummaryDaily[day],SummaryDaily[Corporativo no tienda_net_sales],0)</f>
        <v>0</v>
      </c>
      <c r="V308" s="11">
        <f>_xlfn.XLOOKUP(TableDailySummary[[#This Row],[Fecha]],SummaryDaily[day],SummaryDaily[Corporativo no tienda_orders],0)</f>
        <v>0</v>
      </c>
      <c r="W308" s="11">
        <f>_xlfn.XLOOKUP(TableDailySummary[[#This Row],[Fecha]],SummaryDaily[day],SummaryDaily[Corporativo no tienda_average_order_value],0)</f>
        <v>0</v>
      </c>
      <c r="X308" s="11">
        <f>_xlfn.XLOOKUP(TableDailySummary[[#This Row],[Fecha]],SummaryDaily[day],SummaryDaily[GoogleAdsOperation.Cost],0)</f>
        <v>0</v>
      </c>
      <c r="Y308" s="11">
        <f>SUMIFS(SalesByUTMDaily[google],SalesByUTMDaily[day],TableDailySummary[[#This Row],[Fecha]])</f>
        <v>0</v>
      </c>
      <c r="Z308" s="11">
        <f>_xlfn.XLOOKUP(TableDailySummary[[#This Row],[Fecha]],SummaryDaily[day],SummaryDaily[MetaAdsOperation.spend],0)</f>
        <v>0</v>
      </c>
      <c r="AA308" s="11">
        <f>SUMIFS(SalesByUTMDaily[facebook],SalesByUTMDaily[day],TableDailySummary[[#This Row],[Fecha]])</f>
        <v>0</v>
      </c>
      <c r="AB308" s="11">
        <f>TableDailySummary[[#This Row],[Inversión google ads]]+TableDailySummary[[#This Row],[Inversión meta ads]]</f>
        <v>0</v>
      </c>
      <c r="AC308" s="11">
        <f>TableDailySummary[[#This Row],[Ventas google ads]]+TableDailySummary[[#This Row],[Ventas meta ads]]</f>
        <v>0</v>
      </c>
      <c r="AD308" s="14">
        <f>IFERROR(TableDailySummary[[#This Row],[Ventas publicidad]]/TableDailySummary[[#This Row],[Inversión publicidad]],0)</f>
        <v>0</v>
      </c>
      <c r="AE308" s="14">
        <f>IFERROR(TableDailySummary[[#This Row],[Ventas primer cliente]]/TableDailySummary[[#This Row],[Inversión publicidad]],0)</f>
        <v>0</v>
      </c>
      <c r="AF308" s="14"/>
      <c r="AG308" s="11"/>
      <c r="AM308" s="11">
        <f>_xlfn.XLOOKUP(TableDailySummary[[#This Row],[Fecha]],SummaryDaily[day],SummaryDaily[net_sales_with_cost_recorded],0)</f>
        <v>0</v>
      </c>
      <c r="AN308" s="11">
        <f>_xlfn.XLOOKUP(TableDailySummary[[#This Row],[Fecha]],SummaryDaily[day],SummaryDaily[cost_of_goods_sold],0)</f>
        <v>0</v>
      </c>
      <c r="AO308" s="11">
        <f>_xlfn.XLOOKUP(TableDailySummary[[#This Row],[Fecha]],SummaryDaily[day],SummaryDaily[gross_profit],0)</f>
        <v>0</v>
      </c>
      <c r="AP308" s="18">
        <f>IFERROR(TableDailySummary[[#This Row],[Utilidad bruta]]/TableDailySummary[[#This Row],[Ventas netas con costo registrado]],0)</f>
        <v>0</v>
      </c>
    </row>
    <row r="309" spans="2:42" x14ac:dyDescent="0.2">
      <c r="B309" s="15" cm="1">
        <f t="array" ref="B309">ParamFechaInicioReporte + (ROW(TableDailySummary[#This Row]) - ROW(TableDailySummary[[#Headers],[Dia]]) - 1)</f>
        <v>44836</v>
      </c>
      <c r="C309" s="6">
        <f>TableDailySummary[[#This Row],[Dia]]</f>
        <v>44836</v>
      </c>
      <c r="D309" s="11">
        <f>_xlfn.XLOOKUP(TableDailySummary[[#This Row],[Fecha]],SummaryDaily[day],SummaryDaily[net_sales],0)</f>
        <v>0</v>
      </c>
      <c r="E309" s="11">
        <f>_xlfn.XLOOKUP(TableDailySummary[[#This Row],[Fecha]],SummaryDaily[day],SummaryDaily[orders],0)</f>
        <v>0</v>
      </c>
      <c r="F309" s="11">
        <f>_xlfn.XLOOKUP(TableDailySummary[[#This Row],[Fecha]],SummaryDaily[day],SummaryDaily[average_order_value],0)</f>
        <v>0</v>
      </c>
      <c r="G309" s="24" cm="1">
        <f t="array" ref="G309">_xlfn.XLOOKUP(TableDailySummary[[#This Row],[Fecha]]&amp;"Total site",ConversionRateByReferral[day]&amp;ConversionRateByReferral[referrer_source],ConversionRateByReferral[conversion_rate],0)</f>
        <v>0</v>
      </c>
      <c r="H309" s="11">
        <f>TableDailySummary[[#This Row],[Órden promedio totales]]*TableDailySummary[[#This Row],[CR totales]]</f>
        <v>0</v>
      </c>
      <c r="I309" s="11">
        <f>_xlfn.XLOOKUP(TableDailySummary[[#This Row],[Fecha]],SummaryDaily[day],SummaryDaily[new_net_sales],0)</f>
        <v>0</v>
      </c>
      <c r="J309" s="11">
        <f>_xlfn.XLOOKUP(TableDailySummary[[#This Row],[Fecha]],SummaryDaily[day],SummaryDaily[new_orders],0)</f>
        <v>0</v>
      </c>
      <c r="K309" s="11">
        <f>_xlfn.XLOOKUP(TableDailySummary[[#This Row],[Fecha]],SummaryDaily[day],SummaryDaily[new_average_order_value],0)</f>
        <v>0</v>
      </c>
      <c r="L309" s="11">
        <f>_xlfn.XLOOKUP(TableDailySummary[[#This Row],[Fecha]],SummaryDaily[day],SummaryDaily[Online Store_net_sales],0)</f>
        <v>0</v>
      </c>
      <c r="M309" s="11">
        <f>_xlfn.XLOOKUP(TableDailySummary[[#This Row],[Fecha]],SummaryDaily[day],SummaryDaily[Online Store_orders],0)</f>
        <v>0</v>
      </c>
      <c r="N309" s="11">
        <f>_xlfn.XLOOKUP(TableDailySummary[[#This Row],[Fecha]],SummaryDaily[day],SummaryDaily[Online Store_average_order_value],0)</f>
        <v>0</v>
      </c>
      <c r="O309" s="11">
        <f>_xlfn.XLOOKUP(TableDailySummary[[#This Row],[Fecha]],SummaryDaily[day],SummaryDaily[Tienda 81_net_sales],0)</f>
        <v>0</v>
      </c>
      <c r="P309" s="11">
        <f>_xlfn.XLOOKUP(TableDailySummary[[#This Row],[Fecha]],SummaryDaily[day],SummaryDaily[Tienda 81_orders],0)</f>
        <v>0</v>
      </c>
      <c r="Q309" s="11">
        <f>_xlfn.XLOOKUP(TableDailySummary[[#This Row],[Fecha]],SummaryDaily[day],SummaryDaily[Tienda 81_average_order_value],0)</f>
        <v>0</v>
      </c>
      <c r="R309" s="11">
        <f>_xlfn.XLOOKUP(TableDailySummary[[#This Row],[Fecha]],SummaryDaily[day],SummaryDaily[Rappi_net_sales],0)</f>
        <v>0</v>
      </c>
      <c r="S309" s="11">
        <f>_xlfn.XLOOKUP(TableDailySummary[[#This Row],[Fecha]],SummaryDaily[day],SummaryDaily[Rappi_orders],0)</f>
        <v>0</v>
      </c>
      <c r="T309" s="11">
        <f>_xlfn.XLOOKUP(TableDailySummary[[#This Row],[Fecha]],SummaryDaily[day],SummaryDaily[Rappi_average_order_value],0)</f>
        <v>0</v>
      </c>
      <c r="U309" s="11">
        <f>_xlfn.XLOOKUP(TableDailySummary[[#This Row],[Fecha]],SummaryDaily[day],SummaryDaily[Corporativo no tienda_net_sales],0)</f>
        <v>0</v>
      </c>
      <c r="V309" s="11">
        <f>_xlfn.XLOOKUP(TableDailySummary[[#This Row],[Fecha]],SummaryDaily[day],SummaryDaily[Corporativo no tienda_orders],0)</f>
        <v>0</v>
      </c>
      <c r="W309" s="11">
        <f>_xlfn.XLOOKUP(TableDailySummary[[#This Row],[Fecha]],SummaryDaily[day],SummaryDaily[Corporativo no tienda_average_order_value],0)</f>
        <v>0</v>
      </c>
      <c r="X309" s="11">
        <f>_xlfn.XLOOKUP(TableDailySummary[[#This Row],[Fecha]],SummaryDaily[day],SummaryDaily[GoogleAdsOperation.Cost],0)</f>
        <v>0</v>
      </c>
      <c r="Y309" s="11">
        <f>SUMIFS(SalesByUTMDaily[google],SalesByUTMDaily[day],TableDailySummary[[#This Row],[Fecha]])</f>
        <v>0</v>
      </c>
      <c r="Z309" s="11">
        <f>_xlfn.XLOOKUP(TableDailySummary[[#This Row],[Fecha]],SummaryDaily[day],SummaryDaily[MetaAdsOperation.spend],0)</f>
        <v>0</v>
      </c>
      <c r="AA309" s="11">
        <f>SUMIFS(SalesByUTMDaily[facebook],SalesByUTMDaily[day],TableDailySummary[[#This Row],[Fecha]])</f>
        <v>0</v>
      </c>
      <c r="AB309" s="11">
        <f>TableDailySummary[[#This Row],[Inversión google ads]]+TableDailySummary[[#This Row],[Inversión meta ads]]</f>
        <v>0</v>
      </c>
      <c r="AC309" s="11">
        <f>TableDailySummary[[#This Row],[Ventas google ads]]+TableDailySummary[[#This Row],[Ventas meta ads]]</f>
        <v>0</v>
      </c>
      <c r="AD309" s="14">
        <f>IFERROR(TableDailySummary[[#This Row],[Ventas publicidad]]/TableDailySummary[[#This Row],[Inversión publicidad]],0)</f>
        <v>0</v>
      </c>
      <c r="AE309" s="14">
        <f>IFERROR(TableDailySummary[[#This Row],[Ventas primer cliente]]/TableDailySummary[[#This Row],[Inversión publicidad]],0)</f>
        <v>0</v>
      </c>
      <c r="AF309" s="14"/>
      <c r="AG309" s="11"/>
      <c r="AM309" s="11">
        <f>_xlfn.XLOOKUP(TableDailySummary[[#This Row],[Fecha]],SummaryDaily[day],SummaryDaily[net_sales_with_cost_recorded],0)</f>
        <v>0</v>
      </c>
      <c r="AN309" s="11">
        <f>_xlfn.XLOOKUP(TableDailySummary[[#This Row],[Fecha]],SummaryDaily[day],SummaryDaily[cost_of_goods_sold],0)</f>
        <v>0</v>
      </c>
      <c r="AO309" s="11">
        <f>_xlfn.XLOOKUP(TableDailySummary[[#This Row],[Fecha]],SummaryDaily[day],SummaryDaily[gross_profit],0)</f>
        <v>0</v>
      </c>
      <c r="AP309" s="18">
        <f>IFERROR(TableDailySummary[[#This Row],[Utilidad bruta]]/TableDailySummary[[#This Row],[Ventas netas con costo registrado]],0)</f>
        <v>0</v>
      </c>
    </row>
    <row r="310" spans="2:42" x14ac:dyDescent="0.2">
      <c r="B310" s="15" cm="1">
        <f t="array" ref="B310">ParamFechaInicioReporte + (ROW(TableDailySummary[#This Row]) - ROW(TableDailySummary[[#Headers],[Dia]]) - 1)</f>
        <v>44837</v>
      </c>
      <c r="C310" s="6">
        <f>TableDailySummary[[#This Row],[Dia]]</f>
        <v>44837</v>
      </c>
      <c r="D310" s="11">
        <f>_xlfn.XLOOKUP(TableDailySummary[[#This Row],[Fecha]],SummaryDaily[day],SummaryDaily[net_sales],0)</f>
        <v>0</v>
      </c>
      <c r="E310" s="11">
        <f>_xlfn.XLOOKUP(TableDailySummary[[#This Row],[Fecha]],SummaryDaily[day],SummaryDaily[orders],0)</f>
        <v>0</v>
      </c>
      <c r="F310" s="11">
        <f>_xlfn.XLOOKUP(TableDailySummary[[#This Row],[Fecha]],SummaryDaily[day],SummaryDaily[average_order_value],0)</f>
        <v>0</v>
      </c>
      <c r="G310" s="24" cm="1">
        <f t="array" ref="G310">_xlfn.XLOOKUP(TableDailySummary[[#This Row],[Fecha]]&amp;"Total site",ConversionRateByReferral[day]&amp;ConversionRateByReferral[referrer_source],ConversionRateByReferral[conversion_rate],0)</f>
        <v>0</v>
      </c>
      <c r="H310" s="11">
        <f>TableDailySummary[[#This Row],[Órden promedio totales]]*TableDailySummary[[#This Row],[CR totales]]</f>
        <v>0</v>
      </c>
      <c r="I310" s="11">
        <f>_xlfn.XLOOKUP(TableDailySummary[[#This Row],[Fecha]],SummaryDaily[day],SummaryDaily[new_net_sales],0)</f>
        <v>0</v>
      </c>
      <c r="J310" s="11">
        <f>_xlfn.XLOOKUP(TableDailySummary[[#This Row],[Fecha]],SummaryDaily[day],SummaryDaily[new_orders],0)</f>
        <v>0</v>
      </c>
      <c r="K310" s="11">
        <f>_xlfn.XLOOKUP(TableDailySummary[[#This Row],[Fecha]],SummaryDaily[day],SummaryDaily[new_average_order_value],0)</f>
        <v>0</v>
      </c>
      <c r="L310" s="11">
        <f>_xlfn.XLOOKUP(TableDailySummary[[#This Row],[Fecha]],SummaryDaily[day],SummaryDaily[Online Store_net_sales],0)</f>
        <v>0</v>
      </c>
      <c r="M310" s="11">
        <f>_xlfn.XLOOKUP(TableDailySummary[[#This Row],[Fecha]],SummaryDaily[day],SummaryDaily[Online Store_orders],0)</f>
        <v>0</v>
      </c>
      <c r="N310" s="11">
        <f>_xlfn.XLOOKUP(TableDailySummary[[#This Row],[Fecha]],SummaryDaily[day],SummaryDaily[Online Store_average_order_value],0)</f>
        <v>0</v>
      </c>
      <c r="O310" s="11">
        <f>_xlfn.XLOOKUP(TableDailySummary[[#This Row],[Fecha]],SummaryDaily[day],SummaryDaily[Tienda 81_net_sales],0)</f>
        <v>0</v>
      </c>
      <c r="P310" s="11">
        <f>_xlfn.XLOOKUP(TableDailySummary[[#This Row],[Fecha]],SummaryDaily[day],SummaryDaily[Tienda 81_orders],0)</f>
        <v>0</v>
      </c>
      <c r="Q310" s="11">
        <f>_xlfn.XLOOKUP(TableDailySummary[[#This Row],[Fecha]],SummaryDaily[day],SummaryDaily[Tienda 81_average_order_value],0)</f>
        <v>0</v>
      </c>
      <c r="R310" s="11">
        <f>_xlfn.XLOOKUP(TableDailySummary[[#This Row],[Fecha]],SummaryDaily[day],SummaryDaily[Rappi_net_sales],0)</f>
        <v>0</v>
      </c>
      <c r="S310" s="11">
        <f>_xlfn.XLOOKUP(TableDailySummary[[#This Row],[Fecha]],SummaryDaily[day],SummaryDaily[Rappi_orders],0)</f>
        <v>0</v>
      </c>
      <c r="T310" s="11">
        <f>_xlfn.XLOOKUP(TableDailySummary[[#This Row],[Fecha]],SummaryDaily[day],SummaryDaily[Rappi_average_order_value],0)</f>
        <v>0</v>
      </c>
      <c r="U310" s="11">
        <f>_xlfn.XLOOKUP(TableDailySummary[[#This Row],[Fecha]],SummaryDaily[day],SummaryDaily[Corporativo no tienda_net_sales],0)</f>
        <v>0</v>
      </c>
      <c r="V310" s="11">
        <f>_xlfn.XLOOKUP(TableDailySummary[[#This Row],[Fecha]],SummaryDaily[day],SummaryDaily[Corporativo no tienda_orders],0)</f>
        <v>0</v>
      </c>
      <c r="W310" s="11">
        <f>_xlfn.XLOOKUP(TableDailySummary[[#This Row],[Fecha]],SummaryDaily[day],SummaryDaily[Corporativo no tienda_average_order_value],0)</f>
        <v>0</v>
      </c>
      <c r="X310" s="11">
        <f>_xlfn.XLOOKUP(TableDailySummary[[#This Row],[Fecha]],SummaryDaily[day],SummaryDaily[GoogleAdsOperation.Cost],0)</f>
        <v>0</v>
      </c>
      <c r="Y310" s="11">
        <f>SUMIFS(SalesByUTMDaily[google],SalesByUTMDaily[day],TableDailySummary[[#This Row],[Fecha]])</f>
        <v>0</v>
      </c>
      <c r="Z310" s="11">
        <f>_xlfn.XLOOKUP(TableDailySummary[[#This Row],[Fecha]],SummaryDaily[day],SummaryDaily[MetaAdsOperation.spend],0)</f>
        <v>0</v>
      </c>
      <c r="AA310" s="11">
        <f>SUMIFS(SalesByUTMDaily[facebook],SalesByUTMDaily[day],TableDailySummary[[#This Row],[Fecha]])</f>
        <v>0</v>
      </c>
      <c r="AB310" s="11">
        <f>TableDailySummary[[#This Row],[Inversión google ads]]+TableDailySummary[[#This Row],[Inversión meta ads]]</f>
        <v>0</v>
      </c>
      <c r="AC310" s="11">
        <f>TableDailySummary[[#This Row],[Ventas google ads]]+TableDailySummary[[#This Row],[Ventas meta ads]]</f>
        <v>0</v>
      </c>
      <c r="AD310" s="14">
        <f>IFERROR(TableDailySummary[[#This Row],[Ventas publicidad]]/TableDailySummary[[#This Row],[Inversión publicidad]],0)</f>
        <v>0</v>
      </c>
      <c r="AE310" s="14">
        <f>IFERROR(TableDailySummary[[#This Row],[Ventas primer cliente]]/TableDailySummary[[#This Row],[Inversión publicidad]],0)</f>
        <v>0</v>
      </c>
      <c r="AF310" s="14"/>
      <c r="AG310" s="11"/>
      <c r="AM310" s="11">
        <f>_xlfn.XLOOKUP(TableDailySummary[[#This Row],[Fecha]],SummaryDaily[day],SummaryDaily[net_sales_with_cost_recorded],0)</f>
        <v>0</v>
      </c>
      <c r="AN310" s="11">
        <f>_xlfn.XLOOKUP(TableDailySummary[[#This Row],[Fecha]],SummaryDaily[day],SummaryDaily[cost_of_goods_sold],0)</f>
        <v>0</v>
      </c>
      <c r="AO310" s="11">
        <f>_xlfn.XLOOKUP(TableDailySummary[[#This Row],[Fecha]],SummaryDaily[day],SummaryDaily[gross_profit],0)</f>
        <v>0</v>
      </c>
      <c r="AP310" s="18">
        <f>IFERROR(TableDailySummary[[#This Row],[Utilidad bruta]]/TableDailySummary[[#This Row],[Ventas netas con costo registrado]],0)</f>
        <v>0</v>
      </c>
    </row>
    <row r="311" spans="2:42" x14ac:dyDescent="0.2">
      <c r="B311" s="15" cm="1">
        <f t="array" ref="B311">ParamFechaInicioReporte + (ROW(TableDailySummary[#This Row]) - ROW(TableDailySummary[[#Headers],[Dia]]) - 1)</f>
        <v>44838</v>
      </c>
      <c r="C311" s="6">
        <f>TableDailySummary[[#This Row],[Dia]]</f>
        <v>44838</v>
      </c>
      <c r="D311" s="11">
        <f>_xlfn.XLOOKUP(TableDailySummary[[#This Row],[Fecha]],SummaryDaily[day],SummaryDaily[net_sales],0)</f>
        <v>0</v>
      </c>
      <c r="E311" s="11">
        <f>_xlfn.XLOOKUP(TableDailySummary[[#This Row],[Fecha]],SummaryDaily[day],SummaryDaily[orders],0)</f>
        <v>0</v>
      </c>
      <c r="F311" s="11">
        <f>_xlfn.XLOOKUP(TableDailySummary[[#This Row],[Fecha]],SummaryDaily[day],SummaryDaily[average_order_value],0)</f>
        <v>0</v>
      </c>
      <c r="G311" s="24" cm="1">
        <f t="array" ref="G311">_xlfn.XLOOKUP(TableDailySummary[[#This Row],[Fecha]]&amp;"Total site",ConversionRateByReferral[day]&amp;ConversionRateByReferral[referrer_source],ConversionRateByReferral[conversion_rate],0)</f>
        <v>0</v>
      </c>
      <c r="H311" s="11">
        <f>TableDailySummary[[#This Row],[Órden promedio totales]]*TableDailySummary[[#This Row],[CR totales]]</f>
        <v>0</v>
      </c>
      <c r="I311" s="11">
        <f>_xlfn.XLOOKUP(TableDailySummary[[#This Row],[Fecha]],SummaryDaily[day],SummaryDaily[new_net_sales],0)</f>
        <v>0</v>
      </c>
      <c r="J311" s="11">
        <f>_xlfn.XLOOKUP(TableDailySummary[[#This Row],[Fecha]],SummaryDaily[day],SummaryDaily[new_orders],0)</f>
        <v>0</v>
      </c>
      <c r="K311" s="11">
        <f>_xlfn.XLOOKUP(TableDailySummary[[#This Row],[Fecha]],SummaryDaily[day],SummaryDaily[new_average_order_value],0)</f>
        <v>0</v>
      </c>
      <c r="L311" s="11">
        <f>_xlfn.XLOOKUP(TableDailySummary[[#This Row],[Fecha]],SummaryDaily[day],SummaryDaily[Online Store_net_sales],0)</f>
        <v>0</v>
      </c>
      <c r="M311" s="11">
        <f>_xlfn.XLOOKUP(TableDailySummary[[#This Row],[Fecha]],SummaryDaily[day],SummaryDaily[Online Store_orders],0)</f>
        <v>0</v>
      </c>
      <c r="N311" s="11">
        <f>_xlfn.XLOOKUP(TableDailySummary[[#This Row],[Fecha]],SummaryDaily[day],SummaryDaily[Online Store_average_order_value],0)</f>
        <v>0</v>
      </c>
      <c r="O311" s="11">
        <f>_xlfn.XLOOKUP(TableDailySummary[[#This Row],[Fecha]],SummaryDaily[day],SummaryDaily[Tienda 81_net_sales],0)</f>
        <v>0</v>
      </c>
      <c r="P311" s="11">
        <f>_xlfn.XLOOKUP(TableDailySummary[[#This Row],[Fecha]],SummaryDaily[day],SummaryDaily[Tienda 81_orders],0)</f>
        <v>0</v>
      </c>
      <c r="Q311" s="11">
        <f>_xlfn.XLOOKUP(TableDailySummary[[#This Row],[Fecha]],SummaryDaily[day],SummaryDaily[Tienda 81_average_order_value],0)</f>
        <v>0</v>
      </c>
      <c r="R311" s="11">
        <f>_xlfn.XLOOKUP(TableDailySummary[[#This Row],[Fecha]],SummaryDaily[day],SummaryDaily[Rappi_net_sales],0)</f>
        <v>0</v>
      </c>
      <c r="S311" s="11">
        <f>_xlfn.XLOOKUP(TableDailySummary[[#This Row],[Fecha]],SummaryDaily[day],SummaryDaily[Rappi_orders],0)</f>
        <v>0</v>
      </c>
      <c r="T311" s="11">
        <f>_xlfn.XLOOKUP(TableDailySummary[[#This Row],[Fecha]],SummaryDaily[day],SummaryDaily[Rappi_average_order_value],0)</f>
        <v>0</v>
      </c>
      <c r="U311" s="11">
        <f>_xlfn.XLOOKUP(TableDailySummary[[#This Row],[Fecha]],SummaryDaily[day],SummaryDaily[Corporativo no tienda_net_sales],0)</f>
        <v>0</v>
      </c>
      <c r="V311" s="11">
        <f>_xlfn.XLOOKUP(TableDailySummary[[#This Row],[Fecha]],SummaryDaily[day],SummaryDaily[Corporativo no tienda_orders],0)</f>
        <v>0</v>
      </c>
      <c r="W311" s="11">
        <f>_xlfn.XLOOKUP(TableDailySummary[[#This Row],[Fecha]],SummaryDaily[day],SummaryDaily[Corporativo no tienda_average_order_value],0)</f>
        <v>0</v>
      </c>
      <c r="X311" s="11">
        <f>_xlfn.XLOOKUP(TableDailySummary[[#This Row],[Fecha]],SummaryDaily[day],SummaryDaily[GoogleAdsOperation.Cost],0)</f>
        <v>0</v>
      </c>
      <c r="Y311" s="11">
        <f>SUMIFS(SalesByUTMDaily[google],SalesByUTMDaily[day],TableDailySummary[[#This Row],[Fecha]])</f>
        <v>0</v>
      </c>
      <c r="Z311" s="11">
        <f>_xlfn.XLOOKUP(TableDailySummary[[#This Row],[Fecha]],SummaryDaily[day],SummaryDaily[MetaAdsOperation.spend],0)</f>
        <v>0</v>
      </c>
      <c r="AA311" s="11">
        <f>SUMIFS(SalesByUTMDaily[facebook],SalesByUTMDaily[day],TableDailySummary[[#This Row],[Fecha]])</f>
        <v>0</v>
      </c>
      <c r="AB311" s="11">
        <f>TableDailySummary[[#This Row],[Inversión google ads]]+TableDailySummary[[#This Row],[Inversión meta ads]]</f>
        <v>0</v>
      </c>
      <c r="AC311" s="11">
        <f>TableDailySummary[[#This Row],[Ventas google ads]]+TableDailySummary[[#This Row],[Ventas meta ads]]</f>
        <v>0</v>
      </c>
      <c r="AD311" s="14">
        <f>IFERROR(TableDailySummary[[#This Row],[Ventas publicidad]]/TableDailySummary[[#This Row],[Inversión publicidad]],0)</f>
        <v>0</v>
      </c>
      <c r="AE311" s="14">
        <f>IFERROR(TableDailySummary[[#This Row],[Ventas primer cliente]]/TableDailySummary[[#This Row],[Inversión publicidad]],0)</f>
        <v>0</v>
      </c>
      <c r="AF311" s="14"/>
      <c r="AG311" s="11"/>
      <c r="AM311" s="11">
        <f>_xlfn.XLOOKUP(TableDailySummary[[#This Row],[Fecha]],SummaryDaily[day],SummaryDaily[net_sales_with_cost_recorded],0)</f>
        <v>0</v>
      </c>
      <c r="AN311" s="11">
        <f>_xlfn.XLOOKUP(TableDailySummary[[#This Row],[Fecha]],SummaryDaily[day],SummaryDaily[cost_of_goods_sold],0)</f>
        <v>0</v>
      </c>
      <c r="AO311" s="11">
        <f>_xlfn.XLOOKUP(TableDailySummary[[#This Row],[Fecha]],SummaryDaily[day],SummaryDaily[gross_profit],0)</f>
        <v>0</v>
      </c>
      <c r="AP311" s="18">
        <f>IFERROR(TableDailySummary[[#This Row],[Utilidad bruta]]/TableDailySummary[[#This Row],[Ventas netas con costo registrado]],0)</f>
        <v>0</v>
      </c>
    </row>
    <row r="312" spans="2:42" x14ac:dyDescent="0.2">
      <c r="B312" s="15" cm="1">
        <f t="array" ref="B312">ParamFechaInicioReporte + (ROW(TableDailySummary[#This Row]) - ROW(TableDailySummary[[#Headers],[Dia]]) - 1)</f>
        <v>44839</v>
      </c>
      <c r="C312" s="6">
        <f>TableDailySummary[[#This Row],[Dia]]</f>
        <v>44839</v>
      </c>
      <c r="D312" s="11">
        <f>_xlfn.XLOOKUP(TableDailySummary[[#This Row],[Fecha]],SummaryDaily[day],SummaryDaily[net_sales],0)</f>
        <v>0</v>
      </c>
      <c r="E312" s="11">
        <f>_xlfn.XLOOKUP(TableDailySummary[[#This Row],[Fecha]],SummaryDaily[day],SummaryDaily[orders],0)</f>
        <v>0</v>
      </c>
      <c r="F312" s="11">
        <f>_xlfn.XLOOKUP(TableDailySummary[[#This Row],[Fecha]],SummaryDaily[day],SummaryDaily[average_order_value],0)</f>
        <v>0</v>
      </c>
      <c r="G312" s="24" cm="1">
        <f t="array" ref="G312">_xlfn.XLOOKUP(TableDailySummary[[#This Row],[Fecha]]&amp;"Total site",ConversionRateByReferral[day]&amp;ConversionRateByReferral[referrer_source],ConversionRateByReferral[conversion_rate],0)</f>
        <v>0</v>
      </c>
      <c r="H312" s="11">
        <f>TableDailySummary[[#This Row],[Órden promedio totales]]*TableDailySummary[[#This Row],[CR totales]]</f>
        <v>0</v>
      </c>
      <c r="I312" s="11">
        <f>_xlfn.XLOOKUP(TableDailySummary[[#This Row],[Fecha]],SummaryDaily[day],SummaryDaily[new_net_sales],0)</f>
        <v>0</v>
      </c>
      <c r="J312" s="11">
        <f>_xlfn.XLOOKUP(TableDailySummary[[#This Row],[Fecha]],SummaryDaily[day],SummaryDaily[new_orders],0)</f>
        <v>0</v>
      </c>
      <c r="K312" s="11">
        <f>_xlfn.XLOOKUP(TableDailySummary[[#This Row],[Fecha]],SummaryDaily[day],SummaryDaily[new_average_order_value],0)</f>
        <v>0</v>
      </c>
      <c r="L312" s="11">
        <f>_xlfn.XLOOKUP(TableDailySummary[[#This Row],[Fecha]],SummaryDaily[day],SummaryDaily[Online Store_net_sales],0)</f>
        <v>0</v>
      </c>
      <c r="M312" s="11">
        <f>_xlfn.XLOOKUP(TableDailySummary[[#This Row],[Fecha]],SummaryDaily[day],SummaryDaily[Online Store_orders],0)</f>
        <v>0</v>
      </c>
      <c r="N312" s="11">
        <f>_xlfn.XLOOKUP(TableDailySummary[[#This Row],[Fecha]],SummaryDaily[day],SummaryDaily[Online Store_average_order_value],0)</f>
        <v>0</v>
      </c>
      <c r="O312" s="11">
        <f>_xlfn.XLOOKUP(TableDailySummary[[#This Row],[Fecha]],SummaryDaily[day],SummaryDaily[Tienda 81_net_sales],0)</f>
        <v>0</v>
      </c>
      <c r="P312" s="11">
        <f>_xlfn.XLOOKUP(TableDailySummary[[#This Row],[Fecha]],SummaryDaily[day],SummaryDaily[Tienda 81_orders],0)</f>
        <v>0</v>
      </c>
      <c r="Q312" s="11">
        <f>_xlfn.XLOOKUP(TableDailySummary[[#This Row],[Fecha]],SummaryDaily[day],SummaryDaily[Tienda 81_average_order_value],0)</f>
        <v>0</v>
      </c>
      <c r="R312" s="11">
        <f>_xlfn.XLOOKUP(TableDailySummary[[#This Row],[Fecha]],SummaryDaily[day],SummaryDaily[Rappi_net_sales],0)</f>
        <v>0</v>
      </c>
      <c r="S312" s="11">
        <f>_xlfn.XLOOKUP(TableDailySummary[[#This Row],[Fecha]],SummaryDaily[day],SummaryDaily[Rappi_orders],0)</f>
        <v>0</v>
      </c>
      <c r="T312" s="11">
        <f>_xlfn.XLOOKUP(TableDailySummary[[#This Row],[Fecha]],SummaryDaily[day],SummaryDaily[Rappi_average_order_value],0)</f>
        <v>0</v>
      </c>
      <c r="U312" s="11">
        <f>_xlfn.XLOOKUP(TableDailySummary[[#This Row],[Fecha]],SummaryDaily[day],SummaryDaily[Corporativo no tienda_net_sales],0)</f>
        <v>0</v>
      </c>
      <c r="V312" s="11">
        <f>_xlfn.XLOOKUP(TableDailySummary[[#This Row],[Fecha]],SummaryDaily[day],SummaryDaily[Corporativo no tienda_orders],0)</f>
        <v>0</v>
      </c>
      <c r="W312" s="11">
        <f>_xlfn.XLOOKUP(TableDailySummary[[#This Row],[Fecha]],SummaryDaily[day],SummaryDaily[Corporativo no tienda_average_order_value],0)</f>
        <v>0</v>
      </c>
      <c r="X312" s="11">
        <f>_xlfn.XLOOKUP(TableDailySummary[[#This Row],[Fecha]],SummaryDaily[day],SummaryDaily[GoogleAdsOperation.Cost],0)</f>
        <v>0</v>
      </c>
      <c r="Y312" s="11">
        <f>SUMIFS(SalesByUTMDaily[google],SalesByUTMDaily[day],TableDailySummary[[#This Row],[Fecha]])</f>
        <v>0</v>
      </c>
      <c r="Z312" s="11">
        <f>_xlfn.XLOOKUP(TableDailySummary[[#This Row],[Fecha]],SummaryDaily[day],SummaryDaily[MetaAdsOperation.spend],0)</f>
        <v>0</v>
      </c>
      <c r="AA312" s="11">
        <f>SUMIFS(SalesByUTMDaily[facebook],SalesByUTMDaily[day],TableDailySummary[[#This Row],[Fecha]])</f>
        <v>0</v>
      </c>
      <c r="AB312" s="11">
        <f>TableDailySummary[[#This Row],[Inversión google ads]]+TableDailySummary[[#This Row],[Inversión meta ads]]</f>
        <v>0</v>
      </c>
      <c r="AC312" s="11">
        <f>TableDailySummary[[#This Row],[Ventas google ads]]+TableDailySummary[[#This Row],[Ventas meta ads]]</f>
        <v>0</v>
      </c>
      <c r="AD312" s="14">
        <f>IFERROR(TableDailySummary[[#This Row],[Ventas publicidad]]/TableDailySummary[[#This Row],[Inversión publicidad]],0)</f>
        <v>0</v>
      </c>
      <c r="AE312" s="14">
        <f>IFERROR(TableDailySummary[[#This Row],[Ventas primer cliente]]/TableDailySummary[[#This Row],[Inversión publicidad]],0)</f>
        <v>0</v>
      </c>
      <c r="AF312" s="14"/>
      <c r="AG312" s="11"/>
      <c r="AM312" s="11">
        <f>_xlfn.XLOOKUP(TableDailySummary[[#This Row],[Fecha]],SummaryDaily[day],SummaryDaily[net_sales_with_cost_recorded],0)</f>
        <v>0</v>
      </c>
      <c r="AN312" s="11">
        <f>_xlfn.XLOOKUP(TableDailySummary[[#This Row],[Fecha]],SummaryDaily[day],SummaryDaily[cost_of_goods_sold],0)</f>
        <v>0</v>
      </c>
      <c r="AO312" s="11">
        <f>_xlfn.XLOOKUP(TableDailySummary[[#This Row],[Fecha]],SummaryDaily[day],SummaryDaily[gross_profit],0)</f>
        <v>0</v>
      </c>
      <c r="AP312" s="18">
        <f>IFERROR(TableDailySummary[[#This Row],[Utilidad bruta]]/TableDailySummary[[#This Row],[Ventas netas con costo registrado]],0)</f>
        <v>0</v>
      </c>
    </row>
    <row r="313" spans="2:42" x14ac:dyDescent="0.2">
      <c r="B313" s="15" cm="1">
        <f t="array" ref="B313">ParamFechaInicioReporte + (ROW(TableDailySummary[#This Row]) - ROW(TableDailySummary[[#Headers],[Dia]]) - 1)</f>
        <v>44840</v>
      </c>
      <c r="C313" s="6">
        <f>TableDailySummary[[#This Row],[Dia]]</f>
        <v>44840</v>
      </c>
      <c r="D313" s="11">
        <f>_xlfn.XLOOKUP(TableDailySummary[[#This Row],[Fecha]],SummaryDaily[day],SummaryDaily[net_sales],0)</f>
        <v>0</v>
      </c>
      <c r="E313" s="11">
        <f>_xlfn.XLOOKUP(TableDailySummary[[#This Row],[Fecha]],SummaryDaily[day],SummaryDaily[orders],0)</f>
        <v>0</v>
      </c>
      <c r="F313" s="11">
        <f>_xlfn.XLOOKUP(TableDailySummary[[#This Row],[Fecha]],SummaryDaily[day],SummaryDaily[average_order_value],0)</f>
        <v>0</v>
      </c>
      <c r="G313" s="24" cm="1">
        <f t="array" ref="G313">_xlfn.XLOOKUP(TableDailySummary[[#This Row],[Fecha]]&amp;"Total site",ConversionRateByReferral[day]&amp;ConversionRateByReferral[referrer_source],ConversionRateByReferral[conversion_rate],0)</f>
        <v>0</v>
      </c>
      <c r="H313" s="11">
        <f>TableDailySummary[[#This Row],[Órden promedio totales]]*TableDailySummary[[#This Row],[CR totales]]</f>
        <v>0</v>
      </c>
      <c r="I313" s="11">
        <f>_xlfn.XLOOKUP(TableDailySummary[[#This Row],[Fecha]],SummaryDaily[day],SummaryDaily[new_net_sales],0)</f>
        <v>0</v>
      </c>
      <c r="J313" s="11">
        <f>_xlfn.XLOOKUP(TableDailySummary[[#This Row],[Fecha]],SummaryDaily[day],SummaryDaily[new_orders],0)</f>
        <v>0</v>
      </c>
      <c r="K313" s="11">
        <f>_xlfn.XLOOKUP(TableDailySummary[[#This Row],[Fecha]],SummaryDaily[day],SummaryDaily[new_average_order_value],0)</f>
        <v>0</v>
      </c>
      <c r="L313" s="11">
        <f>_xlfn.XLOOKUP(TableDailySummary[[#This Row],[Fecha]],SummaryDaily[day],SummaryDaily[Online Store_net_sales],0)</f>
        <v>0</v>
      </c>
      <c r="M313" s="11">
        <f>_xlfn.XLOOKUP(TableDailySummary[[#This Row],[Fecha]],SummaryDaily[day],SummaryDaily[Online Store_orders],0)</f>
        <v>0</v>
      </c>
      <c r="N313" s="11">
        <f>_xlfn.XLOOKUP(TableDailySummary[[#This Row],[Fecha]],SummaryDaily[day],SummaryDaily[Online Store_average_order_value],0)</f>
        <v>0</v>
      </c>
      <c r="O313" s="11">
        <f>_xlfn.XLOOKUP(TableDailySummary[[#This Row],[Fecha]],SummaryDaily[day],SummaryDaily[Tienda 81_net_sales],0)</f>
        <v>0</v>
      </c>
      <c r="P313" s="11">
        <f>_xlfn.XLOOKUP(TableDailySummary[[#This Row],[Fecha]],SummaryDaily[day],SummaryDaily[Tienda 81_orders],0)</f>
        <v>0</v>
      </c>
      <c r="Q313" s="11">
        <f>_xlfn.XLOOKUP(TableDailySummary[[#This Row],[Fecha]],SummaryDaily[day],SummaryDaily[Tienda 81_average_order_value],0)</f>
        <v>0</v>
      </c>
      <c r="R313" s="11">
        <f>_xlfn.XLOOKUP(TableDailySummary[[#This Row],[Fecha]],SummaryDaily[day],SummaryDaily[Rappi_net_sales],0)</f>
        <v>0</v>
      </c>
      <c r="S313" s="11">
        <f>_xlfn.XLOOKUP(TableDailySummary[[#This Row],[Fecha]],SummaryDaily[day],SummaryDaily[Rappi_orders],0)</f>
        <v>0</v>
      </c>
      <c r="T313" s="11">
        <f>_xlfn.XLOOKUP(TableDailySummary[[#This Row],[Fecha]],SummaryDaily[day],SummaryDaily[Rappi_average_order_value],0)</f>
        <v>0</v>
      </c>
      <c r="U313" s="11">
        <f>_xlfn.XLOOKUP(TableDailySummary[[#This Row],[Fecha]],SummaryDaily[day],SummaryDaily[Corporativo no tienda_net_sales],0)</f>
        <v>0</v>
      </c>
      <c r="V313" s="11">
        <f>_xlfn.XLOOKUP(TableDailySummary[[#This Row],[Fecha]],SummaryDaily[day],SummaryDaily[Corporativo no tienda_orders],0)</f>
        <v>0</v>
      </c>
      <c r="W313" s="11">
        <f>_xlfn.XLOOKUP(TableDailySummary[[#This Row],[Fecha]],SummaryDaily[day],SummaryDaily[Corporativo no tienda_average_order_value],0)</f>
        <v>0</v>
      </c>
      <c r="X313" s="11">
        <f>_xlfn.XLOOKUP(TableDailySummary[[#This Row],[Fecha]],SummaryDaily[day],SummaryDaily[GoogleAdsOperation.Cost],0)</f>
        <v>0</v>
      </c>
      <c r="Y313" s="11">
        <f>SUMIFS(SalesByUTMDaily[google],SalesByUTMDaily[day],TableDailySummary[[#This Row],[Fecha]])</f>
        <v>0</v>
      </c>
      <c r="Z313" s="11">
        <f>_xlfn.XLOOKUP(TableDailySummary[[#This Row],[Fecha]],SummaryDaily[day],SummaryDaily[MetaAdsOperation.spend],0)</f>
        <v>0</v>
      </c>
      <c r="AA313" s="11">
        <f>SUMIFS(SalesByUTMDaily[facebook],SalesByUTMDaily[day],TableDailySummary[[#This Row],[Fecha]])</f>
        <v>0</v>
      </c>
      <c r="AB313" s="11">
        <f>TableDailySummary[[#This Row],[Inversión google ads]]+TableDailySummary[[#This Row],[Inversión meta ads]]</f>
        <v>0</v>
      </c>
      <c r="AC313" s="11">
        <f>TableDailySummary[[#This Row],[Ventas google ads]]+TableDailySummary[[#This Row],[Ventas meta ads]]</f>
        <v>0</v>
      </c>
      <c r="AD313" s="14">
        <f>IFERROR(TableDailySummary[[#This Row],[Ventas publicidad]]/TableDailySummary[[#This Row],[Inversión publicidad]],0)</f>
        <v>0</v>
      </c>
      <c r="AE313" s="14">
        <f>IFERROR(TableDailySummary[[#This Row],[Ventas primer cliente]]/TableDailySummary[[#This Row],[Inversión publicidad]],0)</f>
        <v>0</v>
      </c>
      <c r="AF313" s="14"/>
      <c r="AG313" s="11"/>
      <c r="AM313" s="11">
        <f>_xlfn.XLOOKUP(TableDailySummary[[#This Row],[Fecha]],SummaryDaily[day],SummaryDaily[net_sales_with_cost_recorded],0)</f>
        <v>0</v>
      </c>
      <c r="AN313" s="11">
        <f>_xlfn.XLOOKUP(TableDailySummary[[#This Row],[Fecha]],SummaryDaily[day],SummaryDaily[cost_of_goods_sold],0)</f>
        <v>0</v>
      </c>
      <c r="AO313" s="11">
        <f>_xlfn.XLOOKUP(TableDailySummary[[#This Row],[Fecha]],SummaryDaily[day],SummaryDaily[gross_profit],0)</f>
        <v>0</v>
      </c>
      <c r="AP313" s="18">
        <f>IFERROR(TableDailySummary[[#This Row],[Utilidad bruta]]/TableDailySummary[[#This Row],[Ventas netas con costo registrado]],0)</f>
        <v>0</v>
      </c>
    </row>
    <row r="314" spans="2:42" x14ac:dyDescent="0.2">
      <c r="B314" s="15" cm="1">
        <f t="array" ref="B314">ParamFechaInicioReporte + (ROW(TableDailySummary[#This Row]) - ROW(TableDailySummary[[#Headers],[Dia]]) - 1)</f>
        <v>44841</v>
      </c>
      <c r="C314" s="6">
        <f>TableDailySummary[[#This Row],[Dia]]</f>
        <v>44841</v>
      </c>
      <c r="D314" s="11">
        <f>_xlfn.XLOOKUP(TableDailySummary[[#This Row],[Fecha]],SummaryDaily[day],SummaryDaily[net_sales],0)</f>
        <v>0</v>
      </c>
      <c r="E314" s="11">
        <f>_xlfn.XLOOKUP(TableDailySummary[[#This Row],[Fecha]],SummaryDaily[day],SummaryDaily[orders],0)</f>
        <v>0</v>
      </c>
      <c r="F314" s="11">
        <f>_xlfn.XLOOKUP(TableDailySummary[[#This Row],[Fecha]],SummaryDaily[day],SummaryDaily[average_order_value],0)</f>
        <v>0</v>
      </c>
      <c r="G314" s="24" cm="1">
        <f t="array" ref="G314">_xlfn.XLOOKUP(TableDailySummary[[#This Row],[Fecha]]&amp;"Total site",ConversionRateByReferral[day]&amp;ConversionRateByReferral[referrer_source],ConversionRateByReferral[conversion_rate],0)</f>
        <v>0</v>
      </c>
      <c r="H314" s="11">
        <f>TableDailySummary[[#This Row],[Órden promedio totales]]*TableDailySummary[[#This Row],[CR totales]]</f>
        <v>0</v>
      </c>
      <c r="I314" s="11">
        <f>_xlfn.XLOOKUP(TableDailySummary[[#This Row],[Fecha]],SummaryDaily[day],SummaryDaily[new_net_sales],0)</f>
        <v>0</v>
      </c>
      <c r="J314" s="11">
        <f>_xlfn.XLOOKUP(TableDailySummary[[#This Row],[Fecha]],SummaryDaily[day],SummaryDaily[new_orders],0)</f>
        <v>0</v>
      </c>
      <c r="K314" s="11">
        <f>_xlfn.XLOOKUP(TableDailySummary[[#This Row],[Fecha]],SummaryDaily[day],SummaryDaily[new_average_order_value],0)</f>
        <v>0</v>
      </c>
      <c r="L314" s="11">
        <f>_xlfn.XLOOKUP(TableDailySummary[[#This Row],[Fecha]],SummaryDaily[day],SummaryDaily[Online Store_net_sales],0)</f>
        <v>0</v>
      </c>
      <c r="M314" s="11">
        <f>_xlfn.XLOOKUP(TableDailySummary[[#This Row],[Fecha]],SummaryDaily[day],SummaryDaily[Online Store_orders],0)</f>
        <v>0</v>
      </c>
      <c r="N314" s="11">
        <f>_xlfn.XLOOKUP(TableDailySummary[[#This Row],[Fecha]],SummaryDaily[day],SummaryDaily[Online Store_average_order_value],0)</f>
        <v>0</v>
      </c>
      <c r="O314" s="11">
        <f>_xlfn.XLOOKUP(TableDailySummary[[#This Row],[Fecha]],SummaryDaily[day],SummaryDaily[Tienda 81_net_sales],0)</f>
        <v>0</v>
      </c>
      <c r="P314" s="11">
        <f>_xlfn.XLOOKUP(TableDailySummary[[#This Row],[Fecha]],SummaryDaily[day],SummaryDaily[Tienda 81_orders],0)</f>
        <v>0</v>
      </c>
      <c r="Q314" s="11">
        <f>_xlfn.XLOOKUP(TableDailySummary[[#This Row],[Fecha]],SummaryDaily[day],SummaryDaily[Tienda 81_average_order_value],0)</f>
        <v>0</v>
      </c>
      <c r="R314" s="11">
        <f>_xlfn.XLOOKUP(TableDailySummary[[#This Row],[Fecha]],SummaryDaily[day],SummaryDaily[Rappi_net_sales],0)</f>
        <v>0</v>
      </c>
      <c r="S314" s="11">
        <f>_xlfn.XLOOKUP(TableDailySummary[[#This Row],[Fecha]],SummaryDaily[day],SummaryDaily[Rappi_orders],0)</f>
        <v>0</v>
      </c>
      <c r="T314" s="11">
        <f>_xlfn.XLOOKUP(TableDailySummary[[#This Row],[Fecha]],SummaryDaily[day],SummaryDaily[Rappi_average_order_value],0)</f>
        <v>0</v>
      </c>
      <c r="U314" s="11">
        <f>_xlfn.XLOOKUP(TableDailySummary[[#This Row],[Fecha]],SummaryDaily[day],SummaryDaily[Corporativo no tienda_net_sales],0)</f>
        <v>0</v>
      </c>
      <c r="V314" s="11">
        <f>_xlfn.XLOOKUP(TableDailySummary[[#This Row],[Fecha]],SummaryDaily[day],SummaryDaily[Corporativo no tienda_orders],0)</f>
        <v>0</v>
      </c>
      <c r="W314" s="11">
        <f>_xlfn.XLOOKUP(TableDailySummary[[#This Row],[Fecha]],SummaryDaily[day],SummaryDaily[Corporativo no tienda_average_order_value],0)</f>
        <v>0</v>
      </c>
      <c r="X314" s="11">
        <f>_xlfn.XLOOKUP(TableDailySummary[[#This Row],[Fecha]],SummaryDaily[day],SummaryDaily[GoogleAdsOperation.Cost],0)</f>
        <v>0</v>
      </c>
      <c r="Y314" s="11">
        <f>SUMIFS(SalesByUTMDaily[google],SalesByUTMDaily[day],TableDailySummary[[#This Row],[Fecha]])</f>
        <v>0</v>
      </c>
      <c r="Z314" s="11">
        <f>_xlfn.XLOOKUP(TableDailySummary[[#This Row],[Fecha]],SummaryDaily[day],SummaryDaily[MetaAdsOperation.spend],0)</f>
        <v>0</v>
      </c>
      <c r="AA314" s="11">
        <f>SUMIFS(SalesByUTMDaily[facebook],SalesByUTMDaily[day],TableDailySummary[[#This Row],[Fecha]])</f>
        <v>0</v>
      </c>
      <c r="AB314" s="11">
        <f>TableDailySummary[[#This Row],[Inversión google ads]]+TableDailySummary[[#This Row],[Inversión meta ads]]</f>
        <v>0</v>
      </c>
      <c r="AC314" s="11">
        <f>TableDailySummary[[#This Row],[Ventas google ads]]+TableDailySummary[[#This Row],[Ventas meta ads]]</f>
        <v>0</v>
      </c>
      <c r="AD314" s="14">
        <f>IFERROR(TableDailySummary[[#This Row],[Ventas publicidad]]/TableDailySummary[[#This Row],[Inversión publicidad]],0)</f>
        <v>0</v>
      </c>
      <c r="AE314" s="14">
        <f>IFERROR(TableDailySummary[[#This Row],[Ventas primer cliente]]/TableDailySummary[[#This Row],[Inversión publicidad]],0)</f>
        <v>0</v>
      </c>
      <c r="AF314" s="14"/>
      <c r="AG314" s="11"/>
      <c r="AM314" s="11">
        <f>_xlfn.XLOOKUP(TableDailySummary[[#This Row],[Fecha]],SummaryDaily[day],SummaryDaily[net_sales_with_cost_recorded],0)</f>
        <v>0</v>
      </c>
      <c r="AN314" s="11">
        <f>_xlfn.XLOOKUP(TableDailySummary[[#This Row],[Fecha]],SummaryDaily[day],SummaryDaily[cost_of_goods_sold],0)</f>
        <v>0</v>
      </c>
      <c r="AO314" s="11">
        <f>_xlfn.XLOOKUP(TableDailySummary[[#This Row],[Fecha]],SummaryDaily[day],SummaryDaily[gross_profit],0)</f>
        <v>0</v>
      </c>
      <c r="AP314" s="18">
        <f>IFERROR(TableDailySummary[[#This Row],[Utilidad bruta]]/TableDailySummary[[#This Row],[Ventas netas con costo registrado]],0)</f>
        <v>0</v>
      </c>
    </row>
    <row r="315" spans="2:42" x14ac:dyDescent="0.2">
      <c r="B315" s="15" cm="1">
        <f t="array" ref="B315">ParamFechaInicioReporte + (ROW(TableDailySummary[#This Row]) - ROW(TableDailySummary[[#Headers],[Dia]]) - 1)</f>
        <v>44842</v>
      </c>
      <c r="C315" s="6">
        <f>TableDailySummary[[#This Row],[Dia]]</f>
        <v>44842</v>
      </c>
      <c r="D315" s="11">
        <f>_xlfn.XLOOKUP(TableDailySummary[[#This Row],[Fecha]],SummaryDaily[day],SummaryDaily[net_sales],0)</f>
        <v>0</v>
      </c>
      <c r="E315" s="11">
        <f>_xlfn.XLOOKUP(TableDailySummary[[#This Row],[Fecha]],SummaryDaily[day],SummaryDaily[orders],0)</f>
        <v>0</v>
      </c>
      <c r="F315" s="11">
        <f>_xlfn.XLOOKUP(TableDailySummary[[#This Row],[Fecha]],SummaryDaily[day],SummaryDaily[average_order_value],0)</f>
        <v>0</v>
      </c>
      <c r="G315" s="24" cm="1">
        <f t="array" ref="G315">_xlfn.XLOOKUP(TableDailySummary[[#This Row],[Fecha]]&amp;"Total site",ConversionRateByReferral[day]&amp;ConversionRateByReferral[referrer_source],ConversionRateByReferral[conversion_rate],0)</f>
        <v>0</v>
      </c>
      <c r="H315" s="11">
        <f>TableDailySummary[[#This Row],[Órden promedio totales]]*TableDailySummary[[#This Row],[CR totales]]</f>
        <v>0</v>
      </c>
      <c r="I315" s="11">
        <f>_xlfn.XLOOKUP(TableDailySummary[[#This Row],[Fecha]],SummaryDaily[day],SummaryDaily[new_net_sales],0)</f>
        <v>0</v>
      </c>
      <c r="J315" s="11">
        <f>_xlfn.XLOOKUP(TableDailySummary[[#This Row],[Fecha]],SummaryDaily[day],SummaryDaily[new_orders],0)</f>
        <v>0</v>
      </c>
      <c r="K315" s="11">
        <f>_xlfn.XLOOKUP(TableDailySummary[[#This Row],[Fecha]],SummaryDaily[day],SummaryDaily[new_average_order_value],0)</f>
        <v>0</v>
      </c>
      <c r="L315" s="11">
        <f>_xlfn.XLOOKUP(TableDailySummary[[#This Row],[Fecha]],SummaryDaily[day],SummaryDaily[Online Store_net_sales],0)</f>
        <v>0</v>
      </c>
      <c r="M315" s="11">
        <f>_xlfn.XLOOKUP(TableDailySummary[[#This Row],[Fecha]],SummaryDaily[day],SummaryDaily[Online Store_orders],0)</f>
        <v>0</v>
      </c>
      <c r="N315" s="11">
        <f>_xlfn.XLOOKUP(TableDailySummary[[#This Row],[Fecha]],SummaryDaily[day],SummaryDaily[Online Store_average_order_value],0)</f>
        <v>0</v>
      </c>
      <c r="O315" s="11">
        <f>_xlfn.XLOOKUP(TableDailySummary[[#This Row],[Fecha]],SummaryDaily[day],SummaryDaily[Tienda 81_net_sales],0)</f>
        <v>0</v>
      </c>
      <c r="P315" s="11">
        <f>_xlfn.XLOOKUP(TableDailySummary[[#This Row],[Fecha]],SummaryDaily[day],SummaryDaily[Tienda 81_orders],0)</f>
        <v>0</v>
      </c>
      <c r="Q315" s="11">
        <f>_xlfn.XLOOKUP(TableDailySummary[[#This Row],[Fecha]],SummaryDaily[day],SummaryDaily[Tienda 81_average_order_value],0)</f>
        <v>0</v>
      </c>
      <c r="R315" s="11">
        <f>_xlfn.XLOOKUP(TableDailySummary[[#This Row],[Fecha]],SummaryDaily[day],SummaryDaily[Rappi_net_sales],0)</f>
        <v>0</v>
      </c>
      <c r="S315" s="11">
        <f>_xlfn.XLOOKUP(TableDailySummary[[#This Row],[Fecha]],SummaryDaily[day],SummaryDaily[Rappi_orders],0)</f>
        <v>0</v>
      </c>
      <c r="T315" s="11">
        <f>_xlfn.XLOOKUP(TableDailySummary[[#This Row],[Fecha]],SummaryDaily[day],SummaryDaily[Rappi_average_order_value],0)</f>
        <v>0</v>
      </c>
      <c r="U315" s="11">
        <f>_xlfn.XLOOKUP(TableDailySummary[[#This Row],[Fecha]],SummaryDaily[day],SummaryDaily[Corporativo no tienda_net_sales],0)</f>
        <v>0</v>
      </c>
      <c r="V315" s="11">
        <f>_xlfn.XLOOKUP(TableDailySummary[[#This Row],[Fecha]],SummaryDaily[day],SummaryDaily[Corporativo no tienda_orders],0)</f>
        <v>0</v>
      </c>
      <c r="W315" s="11">
        <f>_xlfn.XLOOKUP(TableDailySummary[[#This Row],[Fecha]],SummaryDaily[day],SummaryDaily[Corporativo no tienda_average_order_value],0)</f>
        <v>0</v>
      </c>
      <c r="X315" s="11">
        <f>_xlfn.XLOOKUP(TableDailySummary[[#This Row],[Fecha]],SummaryDaily[day],SummaryDaily[GoogleAdsOperation.Cost],0)</f>
        <v>0</v>
      </c>
      <c r="Y315" s="11">
        <f>SUMIFS(SalesByUTMDaily[google],SalesByUTMDaily[day],TableDailySummary[[#This Row],[Fecha]])</f>
        <v>0</v>
      </c>
      <c r="Z315" s="11">
        <f>_xlfn.XLOOKUP(TableDailySummary[[#This Row],[Fecha]],SummaryDaily[day],SummaryDaily[MetaAdsOperation.spend],0)</f>
        <v>0</v>
      </c>
      <c r="AA315" s="11">
        <f>SUMIFS(SalesByUTMDaily[facebook],SalesByUTMDaily[day],TableDailySummary[[#This Row],[Fecha]])</f>
        <v>0</v>
      </c>
      <c r="AB315" s="11">
        <f>TableDailySummary[[#This Row],[Inversión google ads]]+TableDailySummary[[#This Row],[Inversión meta ads]]</f>
        <v>0</v>
      </c>
      <c r="AC315" s="11">
        <f>TableDailySummary[[#This Row],[Ventas google ads]]+TableDailySummary[[#This Row],[Ventas meta ads]]</f>
        <v>0</v>
      </c>
      <c r="AD315" s="14">
        <f>IFERROR(TableDailySummary[[#This Row],[Ventas publicidad]]/TableDailySummary[[#This Row],[Inversión publicidad]],0)</f>
        <v>0</v>
      </c>
      <c r="AE315" s="14">
        <f>IFERROR(TableDailySummary[[#This Row],[Ventas primer cliente]]/TableDailySummary[[#This Row],[Inversión publicidad]],0)</f>
        <v>0</v>
      </c>
      <c r="AF315" s="14"/>
      <c r="AG315" s="11"/>
      <c r="AM315" s="11">
        <f>_xlfn.XLOOKUP(TableDailySummary[[#This Row],[Fecha]],SummaryDaily[day],SummaryDaily[net_sales_with_cost_recorded],0)</f>
        <v>0</v>
      </c>
      <c r="AN315" s="11">
        <f>_xlfn.XLOOKUP(TableDailySummary[[#This Row],[Fecha]],SummaryDaily[day],SummaryDaily[cost_of_goods_sold],0)</f>
        <v>0</v>
      </c>
      <c r="AO315" s="11">
        <f>_xlfn.XLOOKUP(TableDailySummary[[#This Row],[Fecha]],SummaryDaily[day],SummaryDaily[gross_profit],0)</f>
        <v>0</v>
      </c>
      <c r="AP315" s="18">
        <f>IFERROR(TableDailySummary[[#This Row],[Utilidad bruta]]/TableDailySummary[[#This Row],[Ventas netas con costo registrado]],0)</f>
        <v>0</v>
      </c>
    </row>
    <row r="316" spans="2:42" x14ac:dyDescent="0.2">
      <c r="B316" s="15" cm="1">
        <f t="array" ref="B316">ParamFechaInicioReporte + (ROW(TableDailySummary[#This Row]) - ROW(TableDailySummary[[#Headers],[Dia]]) - 1)</f>
        <v>44843</v>
      </c>
      <c r="C316" s="6">
        <f>TableDailySummary[[#This Row],[Dia]]</f>
        <v>44843</v>
      </c>
      <c r="D316" s="11">
        <f>_xlfn.XLOOKUP(TableDailySummary[[#This Row],[Fecha]],SummaryDaily[day],SummaryDaily[net_sales],0)</f>
        <v>0</v>
      </c>
      <c r="E316" s="11">
        <f>_xlfn.XLOOKUP(TableDailySummary[[#This Row],[Fecha]],SummaryDaily[day],SummaryDaily[orders],0)</f>
        <v>0</v>
      </c>
      <c r="F316" s="11">
        <f>_xlfn.XLOOKUP(TableDailySummary[[#This Row],[Fecha]],SummaryDaily[day],SummaryDaily[average_order_value],0)</f>
        <v>0</v>
      </c>
      <c r="G316" s="24" cm="1">
        <f t="array" ref="G316">_xlfn.XLOOKUP(TableDailySummary[[#This Row],[Fecha]]&amp;"Total site",ConversionRateByReferral[day]&amp;ConversionRateByReferral[referrer_source],ConversionRateByReferral[conversion_rate],0)</f>
        <v>0</v>
      </c>
      <c r="H316" s="11">
        <f>TableDailySummary[[#This Row],[Órden promedio totales]]*TableDailySummary[[#This Row],[CR totales]]</f>
        <v>0</v>
      </c>
      <c r="I316" s="11">
        <f>_xlfn.XLOOKUP(TableDailySummary[[#This Row],[Fecha]],SummaryDaily[day],SummaryDaily[new_net_sales],0)</f>
        <v>0</v>
      </c>
      <c r="J316" s="11">
        <f>_xlfn.XLOOKUP(TableDailySummary[[#This Row],[Fecha]],SummaryDaily[day],SummaryDaily[new_orders],0)</f>
        <v>0</v>
      </c>
      <c r="K316" s="11">
        <f>_xlfn.XLOOKUP(TableDailySummary[[#This Row],[Fecha]],SummaryDaily[day],SummaryDaily[new_average_order_value],0)</f>
        <v>0</v>
      </c>
      <c r="L316" s="11">
        <f>_xlfn.XLOOKUP(TableDailySummary[[#This Row],[Fecha]],SummaryDaily[day],SummaryDaily[Online Store_net_sales],0)</f>
        <v>0</v>
      </c>
      <c r="M316" s="11">
        <f>_xlfn.XLOOKUP(TableDailySummary[[#This Row],[Fecha]],SummaryDaily[day],SummaryDaily[Online Store_orders],0)</f>
        <v>0</v>
      </c>
      <c r="N316" s="11">
        <f>_xlfn.XLOOKUP(TableDailySummary[[#This Row],[Fecha]],SummaryDaily[day],SummaryDaily[Online Store_average_order_value],0)</f>
        <v>0</v>
      </c>
      <c r="O316" s="11">
        <f>_xlfn.XLOOKUP(TableDailySummary[[#This Row],[Fecha]],SummaryDaily[day],SummaryDaily[Tienda 81_net_sales],0)</f>
        <v>0</v>
      </c>
      <c r="P316" s="11">
        <f>_xlfn.XLOOKUP(TableDailySummary[[#This Row],[Fecha]],SummaryDaily[day],SummaryDaily[Tienda 81_orders],0)</f>
        <v>0</v>
      </c>
      <c r="Q316" s="11">
        <f>_xlfn.XLOOKUP(TableDailySummary[[#This Row],[Fecha]],SummaryDaily[day],SummaryDaily[Tienda 81_average_order_value],0)</f>
        <v>0</v>
      </c>
      <c r="R316" s="11">
        <f>_xlfn.XLOOKUP(TableDailySummary[[#This Row],[Fecha]],SummaryDaily[day],SummaryDaily[Rappi_net_sales],0)</f>
        <v>0</v>
      </c>
      <c r="S316" s="11">
        <f>_xlfn.XLOOKUP(TableDailySummary[[#This Row],[Fecha]],SummaryDaily[day],SummaryDaily[Rappi_orders],0)</f>
        <v>0</v>
      </c>
      <c r="T316" s="11">
        <f>_xlfn.XLOOKUP(TableDailySummary[[#This Row],[Fecha]],SummaryDaily[day],SummaryDaily[Rappi_average_order_value],0)</f>
        <v>0</v>
      </c>
      <c r="U316" s="11">
        <f>_xlfn.XLOOKUP(TableDailySummary[[#This Row],[Fecha]],SummaryDaily[day],SummaryDaily[Corporativo no tienda_net_sales],0)</f>
        <v>0</v>
      </c>
      <c r="V316" s="11">
        <f>_xlfn.XLOOKUP(TableDailySummary[[#This Row],[Fecha]],SummaryDaily[day],SummaryDaily[Corporativo no tienda_orders],0)</f>
        <v>0</v>
      </c>
      <c r="W316" s="11">
        <f>_xlfn.XLOOKUP(TableDailySummary[[#This Row],[Fecha]],SummaryDaily[day],SummaryDaily[Corporativo no tienda_average_order_value],0)</f>
        <v>0</v>
      </c>
      <c r="X316" s="11">
        <f>_xlfn.XLOOKUP(TableDailySummary[[#This Row],[Fecha]],SummaryDaily[day],SummaryDaily[GoogleAdsOperation.Cost],0)</f>
        <v>0</v>
      </c>
      <c r="Y316" s="11">
        <f>SUMIFS(SalesByUTMDaily[google],SalesByUTMDaily[day],TableDailySummary[[#This Row],[Fecha]])</f>
        <v>0</v>
      </c>
      <c r="Z316" s="11">
        <f>_xlfn.XLOOKUP(TableDailySummary[[#This Row],[Fecha]],SummaryDaily[day],SummaryDaily[MetaAdsOperation.spend],0)</f>
        <v>0</v>
      </c>
      <c r="AA316" s="11">
        <f>SUMIFS(SalesByUTMDaily[facebook],SalesByUTMDaily[day],TableDailySummary[[#This Row],[Fecha]])</f>
        <v>0</v>
      </c>
      <c r="AB316" s="11">
        <f>TableDailySummary[[#This Row],[Inversión google ads]]+TableDailySummary[[#This Row],[Inversión meta ads]]</f>
        <v>0</v>
      </c>
      <c r="AC316" s="11">
        <f>TableDailySummary[[#This Row],[Ventas google ads]]+TableDailySummary[[#This Row],[Ventas meta ads]]</f>
        <v>0</v>
      </c>
      <c r="AD316" s="14">
        <f>IFERROR(TableDailySummary[[#This Row],[Ventas publicidad]]/TableDailySummary[[#This Row],[Inversión publicidad]],0)</f>
        <v>0</v>
      </c>
      <c r="AE316" s="14">
        <f>IFERROR(TableDailySummary[[#This Row],[Ventas primer cliente]]/TableDailySummary[[#This Row],[Inversión publicidad]],0)</f>
        <v>0</v>
      </c>
      <c r="AF316" s="14"/>
      <c r="AG316" s="11"/>
      <c r="AM316" s="11">
        <f>_xlfn.XLOOKUP(TableDailySummary[[#This Row],[Fecha]],SummaryDaily[day],SummaryDaily[net_sales_with_cost_recorded],0)</f>
        <v>0</v>
      </c>
      <c r="AN316" s="11">
        <f>_xlfn.XLOOKUP(TableDailySummary[[#This Row],[Fecha]],SummaryDaily[day],SummaryDaily[cost_of_goods_sold],0)</f>
        <v>0</v>
      </c>
      <c r="AO316" s="11">
        <f>_xlfn.XLOOKUP(TableDailySummary[[#This Row],[Fecha]],SummaryDaily[day],SummaryDaily[gross_profit],0)</f>
        <v>0</v>
      </c>
      <c r="AP316" s="18">
        <f>IFERROR(TableDailySummary[[#This Row],[Utilidad bruta]]/TableDailySummary[[#This Row],[Ventas netas con costo registrado]],0)</f>
        <v>0</v>
      </c>
    </row>
    <row r="317" spans="2:42" x14ac:dyDescent="0.2">
      <c r="B317" s="15" cm="1">
        <f t="array" ref="B317">ParamFechaInicioReporte + (ROW(TableDailySummary[#This Row]) - ROW(TableDailySummary[[#Headers],[Dia]]) - 1)</f>
        <v>44844</v>
      </c>
      <c r="C317" s="6">
        <f>TableDailySummary[[#This Row],[Dia]]</f>
        <v>44844</v>
      </c>
      <c r="D317" s="11">
        <f>_xlfn.XLOOKUP(TableDailySummary[[#This Row],[Fecha]],SummaryDaily[day],SummaryDaily[net_sales],0)</f>
        <v>0</v>
      </c>
      <c r="E317" s="11">
        <f>_xlfn.XLOOKUP(TableDailySummary[[#This Row],[Fecha]],SummaryDaily[day],SummaryDaily[orders],0)</f>
        <v>0</v>
      </c>
      <c r="F317" s="11">
        <f>_xlfn.XLOOKUP(TableDailySummary[[#This Row],[Fecha]],SummaryDaily[day],SummaryDaily[average_order_value],0)</f>
        <v>0</v>
      </c>
      <c r="G317" s="24" cm="1">
        <f t="array" ref="G317">_xlfn.XLOOKUP(TableDailySummary[[#This Row],[Fecha]]&amp;"Total site",ConversionRateByReferral[day]&amp;ConversionRateByReferral[referrer_source],ConversionRateByReferral[conversion_rate],0)</f>
        <v>0</v>
      </c>
      <c r="H317" s="11">
        <f>TableDailySummary[[#This Row],[Órden promedio totales]]*TableDailySummary[[#This Row],[CR totales]]</f>
        <v>0</v>
      </c>
      <c r="I317" s="11">
        <f>_xlfn.XLOOKUP(TableDailySummary[[#This Row],[Fecha]],SummaryDaily[day],SummaryDaily[new_net_sales],0)</f>
        <v>0</v>
      </c>
      <c r="J317" s="11">
        <f>_xlfn.XLOOKUP(TableDailySummary[[#This Row],[Fecha]],SummaryDaily[day],SummaryDaily[new_orders],0)</f>
        <v>0</v>
      </c>
      <c r="K317" s="11">
        <f>_xlfn.XLOOKUP(TableDailySummary[[#This Row],[Fecha]],SummaryDaily[day],SummaryDaily[new_average_order_value],0)</f>
        <v>0</v>
      </c>
      <c r="L317" s="11">
        <f>_xlfn.XLOOKUP(TableDailySummary[[#This Row],[Fecha]],SummaryDaily[day],SummaryDaily[Online Store_net_sales],0)</f>
        <v>0</v>
      </c>
      <c r="M317" s="11">
        <f>_xlfn.XLOOKUP(TableDailySummary[[#This Row],[Fecha]],SummaryDaily[day],SummaryDaily[Online Store_orders],0)</f>
        <v>0</v>
      </c>
      <c r="N317" s="11">
        <f>_xlfn.XLOOKUP(TableDailySummary[[#This Row],[Fecha]],SummaryDaily[day],SummaryDaily[Online Store_average_order_value],0)</f>
        <v>0</v>
      </c>
      <c r="O317" s="11">
        <f>_xlfn.XLOOKUP(TableDailySummary[[#This Row],[Fecha]],SummaryDaily[day],SummaryDaily[Tienda 81_net_sales],0)</f>
        <v>0</v>
      </c>
      <c r="P317" s="11">
        <f>_xlfn.XLOOKUP(TableDailySummary[[#This Row],[Fecha]],SummaryDaily[day],SummaryDaily[Tienda 81_orders],0)</f>
        <v>0</v>
      </c>
      <c r="Q317" s="11">
        <f>_xlfn.XLOOKUP(TableDailySummary[[#This Row],[Fecha]],SummaryDaily[day],SummaryDaily[Tienda 81_average_order_value],0)</f>
        <v>0</v>
      </c>
      <c r="R317" s="11">
        <f>_xlfn.XLOOKUP(TableDailySummary[[#This Row],[Fecha]],SummaryDaily[day],SummaryDaily[Rappi_net_sales],0)</f>
        <v>0</v>
      </c>
      <c r="S317" s="11">
        <f>_xlfn.XLOOKUP(TableDailySummary[[#This Row],[Fecha]],SummaryDaily[day],SummaryDaily[Rappi_orders],0)</f>
        <v>0</v>
      </c>
      <c r="T317" s="11">
        <f>_xlfn.XLOOKUP(TableDailySummary[[#This Row],[Fecha]],SummaryDaily[day],SummaryDaily[Rappi_average_order_value],0)</f>
        <v>0</v>
      </c>
      <c r="U317" s="11">
        <f>_xlfn.XLOOKUP(TableDailySummary[[#This Row],[Fecha]],SummaryDaily[day],SummaryDaily[Corporativo no tienda_net_sales],0)</f>
        <v>0</v>
      </c>
      <c r="V317" s="11">
        <f>_xlfn.XLOOKUP(TableDailySummary[[#This Row],[Fecha]],SummaryDaily[day],SummaryDaily[Corporativo no tienda_orders],0)</f>
        <v>0</v>
      </c>
      <c r="W317" s="11">
        <f>_xlfn.XLOOKUP(TableDailySummary[[#This Row],[Fecha]],SummaryDaily[day],SummaryDaily[Corporativo no tienda_average_order_value],0)</f>
        <v>0</v>
      </c>
      <c r="X317" s="11">
        <f>_xlfn.XLOOKUP(TableDailySummary[[#This Row],[Fecha]],SummaryDaily[day],SummaryDaily[GoogleAdsOperation.Cost],0)</f>
        <v>0</v>
      </c>
      <c r="Y317" s="11">
        <f>SUMIFS(SalesByUTMDaily[google],SalesByUTMDaily[day],TableDailySummary[[#This Row],[Fecha]])</f>
        <v>0</v>
      </c>
      <c r="Z317" s="11">
        <f>_xlfn.XLOOKUP(TableDailySummary[[#This Row],[Fecha]],SummaryDaily[day],SummaryDaily[MetaAdsOperation.spend],0)</f>
        <v>0</v>
      </c>
      <c r="AA317" s="11">
        <f>SUMIFS(SalesByUTMDaily[facebook],SalesByUTMDaily[day],TableDailySummary[[#This Row],[Fecha]])</f>
        <v>0</v>
      </c>
      <c r="AB317" s="11">
        <f>TableDailySummary[[#This Row],[Inversión google ads]]+TableDailySummary[[#This Row],[Inversión meta ads]]</f>
        <v>0</v>
      </c>
      <c r="AC317" s="11">
        <f>TableDailySummary[[#This Row],[Ventas google ads]]+TableDailySummary[[#This Row],[Ventas meta ads]]</f>
        <v>0</v>
      </c>
      <c r="AD317" s="14">
        <f>IFERROR(TableDailySummary[[#This Row],[Ventas publicidad]]/TableDailySummary[[#This Row],[Inversión publicidad]],0)</f>
        <v>0</v>
      </c>
      <c r="AE317" s="14">
        <f>IFERROR(TableDailySummary[[#This Row],[Ventas primer cliente]]/TableDailySummary[[#This Row],[Inversión publicidad]],0)</f>
        <v>0</v>
      </c>
      <c r="AF317" s="14"/>
      <c r="AG317" s="11"/>
      <c r="AM317" s="11">
        <f>_xlfn.XLOOKUP(TableDailySummary[[#This Row],[Fecha]],SummaryDaily[day],SummaryDaily[net_sales_with_cost_recorded],0)</f>
        <v>0</v>
      </c>
      <c r="AN317" s="11">
        <f>_xlfn.XLOOKUP(TableDailySummary[[#This Row],[Fecha]],SummaryDaily[day],SummaryDaily[cost_of_goods_sold],0)</f>
        <v>0</v>
      </c>
      <c r="AO317" s="11">
        <f>_xlfn.XLOOKUP(TableDailySummary[[#This Row],[Fecha]],SummaryDaily[day],SummaryDaily[gross_profit],0)</f>
        <v>0</v>
      </c>
      <c r="AP317" s="18">
        <f>IFERROR(TableDailySummary[[#This Row],[Utilidad bruta]]/TableDailySummary[[#This Row],[Ventas netas con costo registrado]],0)</f>
        <v>0</v>
      </c>
    </row>
    <row r="318" spans="2:42" x14ac:dyDescent="0.2">
      <c r="B318" s="15" cm="1">
        <f t="array" ref="B318">ParamFechaInicioReporte + (ROW(TableDailySummary[#This Row]) - ROW(TableDailySummary[[#Headers],[Dia]]) - 1)</f>
        <v>44845</v>
      </c>
      <c r="C318" s="6">
        <f>TableDailySummary[[#This Row],[Dia]]</f>
        <v>44845</v>
      </c>
      <c r="D318" s="11">
        <f>_xlfn.XLOOKUP(TableDailySummary[[#This Row],[Fecha]],SummaryDaily[day],SummaryDaily[net_sales],0)</f>
        <v>0</v>
      </c>
      <c r="E318" s="11">
        <f>_xlfn.XLOOKUP(TableDailySummary[[#This Row],[Fecha]],SummaryDaily[day],SummaryDaily[orders],0)</f>
        <v>0</v>
      </c>
      <c r="F318" s="11">
        <f>_xlfn.XLOOKUP(TableDailySummary[[#This Row],[Fecha]],SummaryDaily[day],SummaryDaily[average_order_value],0)</f>
        <v>0</v>
      </c>
      <c r="G318" s="24" cm="1">
        <f t="array" ref="G318">_xlfn.XLOOKUP(TableDailySummary[[#This Row],[Fecha]]&amp;"Total site",ConversionRateByReferral[day]&amp;ConversionRateByReferral[referrer_source],ConversionRateByReferral[conversion_rate],0)</f>
        <v>0</v>
      </c>
      <c r="H318" s="11">
        <f>TableDailySummary[[#This Row],[Órden promedio totales]]*TableDailySummary[[#This Row],[CR totales]]</f>
        <v>0</v>
      </c>
      <c r="I318" s="11">
        <f>_xlfn.XLOOKUP(TableDailySummary[[#This Row],[Fecha]],SummaryDaily[day],SummaryDaily[new_net_sales],0)</f>
        <v>0</v>
      </c>
      <c r="J318" s="11">
        <f>_xlfn.XLOOKUP(TableDailySummary[[#This Row],[Fecha]],SummaryDaily[day],SummaryDaily[new_orders],0)</f>
        <v>0</v>
      </c>
      <c r="K318" s="11">
        <f>_xlfn.XLOOKUP(TableDailySummary[[#This Row],[Fecha]],SummaryDaily[day],SummaryDaily[new_average_order_value],0)</f>
        <v>0</v>
      </c>
      <c r="L318" s="11">
        <f>_xlfn.XLOOKUP(TableDailySummary[[#This Row],[Fecha]],SummaryDaily[day],SummaryDaily[Online Store_net_sales],0)</f>
        <v>0</v>
      </c>
      <c r="M318" s="11">
        <f>_xlfn.XLOOKUP(TableDailySummary[[#This Row],[Fecha]],SummaryDaily[day],SummaryDaily[Online Store_orders],0)</f>
        <v>0</v>
      </c>
      <c r="N318" s="11">
        <f>_xlfn.XLOOKUP(TableDailySummary[[#This Row],[Fecha]],SummaryDaily[day],SummaryDaily[Online Store_average_order_value],0)</f>
        <v>0</v>
      </c>
      <c r="O318" s="11">
        <f>_xlfn.XLOOKUP(TableDailySummary[[#This Row],[Fecha]],SummaryDaily[day],SummaryDaily[Tienda 81_net_sales],0)</f>
        <v>0</v>
      </c>
      <c r="P318" s="11">
        <f>_xlfn.XLOOKUP(TableDailySummary[[#This Row],[Fecha]],SummaryDaily[day],SummaryDaily[Tienda 81_orders],0)</f>
        <v>0</v>
      </c>
      <c r="Q318" s="11">
        <f>_xlfn.XLOOKUP(TableDailySummary[[#This Row],[Fecha]],SummaryDaily[day],SummaryDaily[Tienda 81_average_order_value],0)</f>
        <v>0</v>
      </c>
      <c r="R318" s="11">
        <f>_xlfn.XLOOKUP(TableDailySummary[[#This Row],[Fecha]],SummaryDaily[day],SummaryDaily[Rappi_net_sales],0)</f>
        <v>0</v>
      </c>
      <c r="S318" s="11">
        <f>_xlfn.XLOOKUP(TableDailySummary[[#This Row],[Fecha]],SummaryDaily[day],SummaryDaily[Rappi_orders],0)</f>
        <v>0</v>
      </c>
      <c r="T318" s="11">
        <f>_xlfn.XLOOKUP(TableDailySummary[[#This Row],[Fecha]],SummaryDaily[day],SummaryDaily[Rappi_average_order_value],0)</f>
        <v>0</v>
      </c>
      <c r="U318" s="11">
        <f>_xlfn.XLOOKUP(TableDailySummary[[#This Row],[Fecha]],SummaryDaily[day],SummaryDaily[Corporativo no tienda_net_sales],0)</f>
        <v>0</v>
      </c>
      <c r="V318" s="11">
        <f>_xlfn.XLOOKUP(TableDailySummary[[#This Row],[Fecha]],SummaryDaily[day],SummaryDaily[Corporativo no tienda_orders],0)</f>
        <v>0</v>
      </c>
      <c r="W318" s="11">
        <f>_xlfn.XLOOKUP(TableDailySummary[[#This Row],[Fecha]],SummaryDaily[day],SummaryDaily[Corporativo no tienda_average_order_value],0)</f>
        <v>0</v>
      </c>
      <c r="X318" s="11">
        <f>_xlfn.XLOOKUP(TableDailySummary[[#This Row],[Fecha]],SummaryDaily[day],SummaryDaily[GoogleAdsOperation.Cost],0)</f>
        <v>0</v>
      </c>
      <c r="Y318" s="11">
        <f>SUMIFS(SalesByUTMDaily[google],SalesByUTMDaily[day],TableDailySummary[[#This Row],[Fecha]])</f>
        <v>0</v>
      </c>
      <c r="Z318" s="11">
        <f>_xlfn.XLOOKUP(TableDailySummary[[#This Row],[Fecha]],SummaryDaily[day],SummaryDaily[MetaAdsOperation.spend],0)</f>
        <v>0</v>
      </c>
      <c r="AA318" s="11">
        <f>SUMIFS(SalesByUTMDaily[facebook],SalesByUTMDaily[day],TableDailySummary[[#This Row],[Fecha]])</f>
        <v>0</v>
      </c>
      <c r="AB318" s="11">
        <f>TableDailySummary[[#This Row],[Inversión google ads]]+TableDailySummary[[#This Row],[Inversión meta ads]]</f>
        <v>0</v>
      </c>
      <c r="AC318" s="11">
        <f>TableDailySummary[[#This Row],[Ventas google ads]]+TableDailySummary[[#This Row],[Ventas meta ads]]</f>
        <v>0</v>
      </c>
      <c r="AD318" s="14">
        <f>IFERROR(TableDailySummary[[#This Row],[Ventas publicidad]]/TableDailySummary[[#This Row],[Inversión publicidad]],0)</f>
        <v>0</v>
      </c>
      <c r="AE318" s="14">
        <f>IFERROR(TableDailySummary[[#This Row],[Ventas primer cliente]]/TableDailySummary[[#This Row],[Inversión publicidad]],0)</f>
        <v>0</v>
      </c>
      <c r="AF318" s="14"/>
      <c r="AG318" s="11"/>
      <c r="AM318" s="11">
        <f>_xlfn.XLOOKUP(TableDailySummary[[#This Row],[Fecha]],SummaryDaily[day],SummaryDaily[net_sales_with_cost_recorded],0)</f>
        <v>0</v>
      </c>
      <c r="AN318" s="11">
        <f>_xlfn.XLOOKUP(TableDailySummary[[#This Row],[Fecha]],SummaryDaily[day],SummaryDaily[cost_of_goods_sold],0)</f>
        <v>0</v>
      </c>
      <c r="AO318" s="11">
        <f>_xlfn.XLOOKUP(TableDailySummary[[#This Row],[Fecha]],SummaryDaily[day],SummaryDaily[gross_profit],0)</f>
        <v>0</v>
      </c>
      <c r="AP318" s="18">
        <f>IFERROR(TableDailySummary[[#This Row],[Utilidad bruta]]/TableDailySummary[[#This Row],[Ventas netas con costo registrado]],0)</f>
        <v>0</v>
      </c>
    </row>
    <row r="319" spans="2:42" x14ac:dyDescent="0.2">
      <c r="B319" s="15" cm="1">
        <f t="array" ref="B319">ParamFechaInicioReporte + (ROW(TableDailySummary[#This Row]) - ROW(TableDailySummary[[#Headers],[Dia]]) - 1)</f>
        <v>44846</v>
      </c>
      <c r="C319" s="6">
        <f>TableDailySummary[[#This Row],[Dia]]</f>
        <v>44846</v>
      </c>
      <c r="D319" s="11">
        <f>_xlfn.XLOOKUP(TableDailySummary[[#This Row],[Fecha]],SummaryDaily[day],SummaryDaily[net_sales],0)</f>
        <v>0</v>
      </c>
      <c r="E319" s="11">
        <f>_xlfn.XLOOKUP(TableDailySummary[[#This Row],[Fecha]],SummaryDaily[day],SummaryDaily[orders],0)</f>
        <v>0</v>
      </c>
      <c r="F319" s="11">
        <f>_xlfn.XLOOKUP(TableDailySummary[[#This Row],[Fecha]],SummaryDaily[day],SummaryDaily[average_order_value],0)</f>
        <v>0</v>
      </c>
      <c r="G319" s="24" cm="1">
        <f t="array" ref="G319">_xlfn.XLOOKUP(TableDailySummary[[#This Row],[Fecha]]&amp;"Total site",ConversionRateByReferral[day]&amp;ConversionRateByReferral[referrer_source],ConversionRateByReferral[conversion_rate],0)</f>
        <v>0</v>
      </c>
      <c r="H319" s="11">
        <f>TableDailySummary[[#This Row],[Órden promedio totales]]*TableDailySummary[[#This Row],[CR totales]]</f>
        <v>0</v>
      </c>
      <c r="I319" s="11">
        <f>_xlfn.XLOOKUP(TableDailySummary[[#This Row],[Fecha]],SummaryDaily[day],SummaryDaily[new_net_sales],0)</f>
        <v>0</v>
      </c>
      <c r="J319" s="11">
        <f>_xlfn.XLOOKUP(TableDailySummary[[#This Row],[Fecha]],SummaryDaily[day],SummaryDaily[new_orders],0)</f>
        <v>0</v>
      </c>
      <c r="K319" s="11">
        <f>_xlfn.XLOOKUP(TableDailySummary[[#This Row],[Fecha]],SummaryDaily[day],SummaryDaily[new_average_order_value],0)</f>
        <v>0</v>
      </c>
      <c r="L319" s="11">
        <f>_xlfn.XLOOKUP(TableDailySummary[[#This Row],[Fecha]],SummaryDaily[day],SummaryDaily[Online Store_net_sales],0)</f>
        <v>0</v>
      </c>
      <c r="M319" s="11">
        <f>_xlfn.XLOOKUP(TableDailySummary[[#This Row],[Fecha]],SummaryDaily[day],SummaryDaily[Online Store_orders],0)</f>
        <v>0</v>
      </c>
      <c r="N319" s="11">
        <f>_xlfn.XLOOKUP(TableDailySummary[[#This Row],[Fecha]],SummaryDaily[day],SummaryDaily[Online Store_average_order_value],0)</f>
        <v>0</v>
      </c>
      <c r="O319" s="11">
        <f>_xlfn.XLOOKUP(TableDailySummary[[#This Row],[Fecha]],SummaryDaily[day],SummaryDaily[Tienda 81_net_sales],0)</f>
        <v>0</v>
      </c>
      <c r="P319" s="11">
        <f>_xlfn.XLOOKUP(TableDailySummary[[#This Row],[Fecha]],SummaryDaily[day],SummaryDaily[Tienda 81_orders],0)</f>
        <v>0</v>
      </c>
      <c r="Q319" s="11">
        <f>_xlfn.XLOOKUP(TableDailySummary[[#This Row],[Fecha]],SummaryDaily[day],SummaryDaily[Tienda 81_average_order_value],0)</f>
        <v>0</v>
      </c>
      <c r="R319" s="11">
        <f>_xlfn.XLOOKUP(TableDailySummary[[#This Row],[Fecha]],SummaryDaily[day],SummaryDaily[Rappi_net_sales],0)</f>
        <v>0</v>
      </c>
      <c r="S319" s="11">
        <f>_xlfn.XLOOKUP(TableDailySummary[[#This Row],[Fecha]],SummaryDaily[day],SummaryDaily[Rappi_orders],0)</f>
        <v>0</v>
      </c>
      <c r="T319" s="11">
        <f>_xlfn.XLOOKUP(TableDailySummary[[#This Row],[Fecha]],SummaryDaily[day],SummaryDaily[Rappi_average_order_value],0)</f>
        <v>0</v>
      </c>
      <c r="U319" s="11">
        <f>_xlfn.XLOOKUP(TableDailySummary[[#This Row],[Fecha]],SummaryDaily[day],SummaryDaily[Corporativo no tienda_net_sales],0)</f>
        <v>0</v>
      </c>
      <c r="V319" s="11">
        <f>_xlfn.XLOOKUP(TableDailySummary[[#This Row],[Fecha]],SummaryDaily[day],SummaryDaily[Corporativo no tienda_orders],0)</f>
        <v>0</v>
      </c>
      <c r="W319" s="11">
        <f>_xlfn.XLOOKUP(TableDailySummary[[#This Row],[Fecha]],SummaryDaily[day],SummaryDaily[Corporativo no tienda_average_order_value],0)</f>
        <v>0</v>
      </c>
      <c r="X319" s="11">
        <f>_xlfn.XLOOKUP(TableDailySummary[[#This Row],[Fecha]],SummaryDaily[day],SummaryDaily[GoogleAdsOperation.Cost],0)</f>
        <v>0</v>
      </c>
      <c r="Y319" s="11">
        <f>SUMIFS(SalesByUTMDaily[google],SalesByUTMDaily[day],TableDailySummary[[#This Row],[Fecha]])</f>
        <v>0</v>
      </c>
      <c r="Z319" s="11">
        <f>_xlfn.XLOOKUP(TableDailySummary[[#This Row],[Fecha]],SummaryDaily[day],SummaryDaily[MetaAdsOperation.spend],0)</f>
        <v>0</v>
      </c>
      <c r="AA319" s="11">
        <f>SUMIFS(SalesByUTMDaily[facebook],SalesByUTMDaily[day],TableDailySummary[[#This Row],[Fecha]])</f>
        <v>0</v>
      </c>
      <c r="AB319" s="11">
        <f>TableDailySummary[[#This Row],[Inversión google ads]]+TableDailySummary[[#This Row],[Inversión meta ads]]</f>
        <v>0</v>
      </c>
      <c r="AC319" s="11">
        <f>TableDailySummary[[#This Row],[Ventas google ads]]+TableDailySummary[[#This Row],[Ventas meta ads]]</f>
        <v>0</v>
      </c>
      <c r="AD319" s="14">
        <f>IFERROR(TableDailySummary[[#This Row],[Ventas publicidad]]/TableDailySummary[[#This Row],[Inversión publicidad]],0)</f>
        <v>0</v>
      </c>
      <c r="AE319" s="14">
        <f>IFERROR(TableDailySummary[[#This Row],[Ventas primer cliente]]/TableDailySummary[[#This Row],[Inversión publicidad]],0)</f>
        <v>0</v>
      </c>
      <c r="AF319" s="14"/>
      <c r="AG319" s="11"/>
      <c r="AM319" s="11">
        <f>_xlfn.XLOOKUP(TableDailySummary[[#This Row],[Fecha]],SummaryDaily[day],SummaryDaily[net_sales_with_cost_recorded],0)</f>
        <v>0</v>
      </c>
      <c r="AN319" s="11">
        <f>_xlfn.XLOOKUP(TableDailySummary[[#This Row],[Fecha]],SummaryDaily[day],SummaryDaily[cost_of_goods_sold],0)</f>
        <v>0</v>
      </c>
      <c r="AO319" s="11">
        <f>_xlfn.XLOOKUP(TableDailySummary[[#This Row],[Fecha]],SummaryDaily[day],SummaryDaily[gross_profit],0)</f>
        <v>0</v>
      </c>
      <c r="AP319" s="18">
        <f>IFERROR(TableDailySummary[[#This Row],[Utilidad bruta]]/TableDailySummary[[#This Row],[Ventas netas con costo registrado]],0)</f>
        <v>0</v>
      </c>
    </row>
    <row r="320" spans="2:42" x14ac:dyDescent="0.2">
      <c r="B320" s="15" cm="1">
        <f t="array" ref="B320">ParamFechaInicioReporte + (ROW(TableDailySummary[#This Row]) - ROW(TableDailySummary[[#Headers],[Dia]]) - 1)</f>
        <v>44847</v>
      </c>
      <c r="C320" s="6">
        <f>TableDailySummary[[#This Row],[Dia]]</f>
        <v>44847</v>
      </c>
      <c r="D320" s="11">
        <f>_xlfn.XLOOKUP(TableDailySummary[[#This Row],[Fecha]],SummaryDaily[day],SummaryDaily[net_sales],0)</f>
        <v>0</v>
      </c>
      <c r="E320" s="11">
        <f>_xlfn.XLOOKUP(TableDailySummary[[#This Row],[Fecha]],SummaryDaily[day],SummaryDaily[orders],0)</f>
        <v>0</v>
      </c>
      <c r="F320" s="11">
        <f>_xlfn.XLOOKUP(TableDailySummary[[#This Row],[Fecha]],SummaryDaily[day],SummaryDaily[average_order_value],0)</f>
        <v>0</v>
      </c>
      <c r="G320" s="24" cm="1">
        <f t="array" ref="G320">_xlfn.XLOOKUP(TableDailySummary[[#This Row],[Fecha]]&amp;"Total site",ConversionRateByReferral[day]&amp;ConversionRateByReferral[referrer_source],ConversionRateByReferral[conversion_rate],0)</f>
        <v>0</v>
      </c>
      <c r="H320" s="11">
        <f>TableDailySummary[[#This Row],[Órden promedio totales]]*TableDailySummary[[#This Row],[CR totales]]</f>
        <v>0</v>
      </c>
      <c r="I320" s="11">
        <f>_xlfn.XLOOKUP(TableDailySummary[[#This Row],[Fecha]],SummaryDaily[day],SummaryDaily[new_net_sales],0)</f>
        <v>0</v>
      </c>
      <c r="J320" s="11">
        <f>_xlfn.XLOOKUP(TableDailySummary[[#This Row],[Fecha]],SummaryDaily[day],SummaryDaily[new_orders],0)</f>
        <v>0</v>
      </c>
      <c r="K320" s="11">
        <f>_xlfn.XLOOKUP(TableDailySummary[[#This Row],[Fecha]],SummaryDaily[day],SummaryDaily[new_average_order_value],0)</f>
        <v>0</v>
      </c>
      <c r="L320" s="11">
        <f>_xlfn.XLOOKUP(TableDailySummary[[#This Row],[Fecha]],SummaryDaily[day],SummaryDaily[Online Store_net_sales],0)</f>
        <v>0</v>
      </c>
      <c r="M320" s="11">
        <f>_xlfn.XLOOKUP(TableDailySummary[[#This Row],[Fecha]],SummaryDaily[day],SummaryDaily[Online Store_orders],0)</f>
        <v>0</v>
      </c>
      <c r="N320" s="11">
        <f>_xlfn.XLOOKUP(TableDailySummary[[#This Row],[Fecha]],SummaryDaily[day],SummaryDaily[Online Store_average_order_value],0)</f>
        <v>0</v>
      </c>
      <c r="O320" s="11">
        <f>_xlfn.XLOOKUP(TableDailySummary[[#This Row],[Fecha]],SummaryDaily[day],SummaryDaily[Tienda 81_net_sales],0)</f>
        <v>0</v>
      </c>
      <c r="P320" s="11">
        <f>_xlfn.XLOOKUP(TableDailySummary[[#This Row],[Fecha]],SummaryDaily[day],SummaryDaily[Tienda 81_orders],0)</f>
        <v>0</v>
      </c>
      <c r="Q320" s="11">
        <f>_xlfn.XLOOKUP(TableDailySummary[[#This Row],[Fecha]],SummaryDaily[day],SummaryDaily[Tienda 81_average_order_value],0)</f>
        <v>0</v>
      </c>
      <c r="R320" s="11">
        <f>_xlfn.XLOOKUP(TableDailySummary[[#This Row],[Fecha]],SummaryDaily[day],SummaryDaily[Rappi_net_sales],0)</f>
        <v>0</v>
      </c>
      <c r="S320" s="11">
        <f>_xlfn.XLOOKUP(TableDailySummary[[#This Row],[Fecha]],SummaryDaily[day],SummaryDaily[Rappi_orders],0)</f>
        <v>0</v>
      </c>
      <c r="T320" s="11">
        <f>_xlfn.XLOOKUP(TableDailySummary[[#This Row],[Fecha]],SummaryDaily[day],SummaryDaily[Rappi_average_order_value],0)</f>
        <v>0</v>
      </c>
      <c r="U320" s="11">
        <f>_xlfn.XLOOKUP(TableDailySummary[[#This Row],[Fecha]],SummaryDaily[day],SummaryDaily[Corporativo no tienda_net_sales],0)</f>
        <v>0</v>
      </c>
      <c r="V320" s="11">
        <f>_xlfn.XLOOKUP(TableDailySummary[[#This Row],[Fecha]],SummaryDaily[day],SummaryDaily[Corporativo no tienda_orders],0)</f>
        <v>0</v>
      </c>
      <c r="W320" s="11">
        <f>_xlfn.XLOOKUP(TableDailySummary[[#This Row],[Fecha]],SummaryDaily[day],SummaryDaily[Corporativo no tienda_average_order_value],0)</f>
        <v>0</v>
      </c>
      <c r="X320" s="11">
        <f>_xlfn.XLOOKUP(TableDailySummary[[#This Row],[Fecha]],SummaryDaily[day],SummaryDaily[GoogleAdsOperation.Cost],0)</f>
        <v>0</v>
      </c>
      <c r="Y320" s="11">
        <f>SUMIFS(SalesByUTMDaily[google],SalesByUTMDaily[day],TableDailySummary[[#This Row],[Fecha]])</f>
        <v>0</v>
      </c>
      <c r="Z320" s="11">
        <f>_xlfn.XLOOKUP(TableDailySummary[[#This Row],[Fecha]],SummaryDaily[day],SummaryDaily[MetaAdsOperation.spend],0)</f>
        <v>0</v>
      </c>
      <c r="AA320" s="11">
        <f>SUMIFS(SalesByUTMDaily[facebook],SalesByUTMDaily[day],TableDailySummary[[#This Row],[Fecha]])</f>
        <v>0</v>
      </c>
      <c r="AB320" s="11">
        <f>TableDailySummary[[#This Row],[Inversión google ads]]+TableDailySummary[[#This Row],[Inversión meta ads]]</f>
        <v>0</v>
      </c>
      <c r="AC320" s="11">
        <f>TableDailySummary[[#This Row],[Ventas google ads]]+TableDailySummary[[#This Row],[Ventas meta ads]]</f>
        <v>0</v>
      </c>
      <c r="AD320" s="14">
        <f>IFERROR(TableDailySummary[[#This Row],[Ventas publicidad]]/TableDailySummary[[#This Row],[Inversión publicidad]],0)</f>
        <v>0</v>
      </c>
      <c r="AE320" s="14">
        <f>IFERROR(TableDailySummary[[#This Row],[Ventas primer cliente]]/TableDailySummary[[#This Row],[Inversión publicidad]],0)</f>
        <v>0</v>
      </c>
      <c r="AF320" s="14"/>
      <c r="AG320" s="11"/>
      <c r="AM320" s="11">
        <f>_xlfn.XLOOKUP(TableDailySummary[[#This Row],[Fecha]],SummaryDaily[day],SummaryDaily[net_sales_with_cost_recorded],0)</f>
        <v>0</v>
      </c>
      <c r="AN320" s="11">
        <f>_xlfn.XLOOKUP(TableDailySummary[[#This Row],[Fecha]],SummaryDaily[day],SummaryDaily[cost_of_goods_sold],0)</f>
        <v>0</v>
      </c>
      <c r="AO320" s="11">
        <f>_xlfn.XLOOKUP(TableDailySummary[[#This Row],[Fecha]],SummaryDaily[day],SummaryDaily[gross_profit],0)</f>
        <v>0</v>
      </c>
      <c r="AP320" s="18">
        <f>IFERROR(TableDailySummary[[#This Row],[Utilidad bruta]]/TableDailySummary[[#This Row],[Ventas netas con costo registrado]],0)</f>
        <v>0</v>
      </c>
    </row>
    <row r="321" spans="2:42" x14ac:dyDescent="0.2">
      <c r="B321" s="15" cm="1">
        <f t="array" ref="B321">ParamFechaInicioReporte + (ROW(TableDailySummary[#This Row]) - ROW(TableDailySummary[[#Headers],[Dia]]) - 1)</f>
        <v>44848</v>
      </c>
      <c r="C321" s="6">
        <f>TableDailySummary[[#This Row],[Dia]]</f>
        <v>44848</v>
      </c>
      <c r="D321" s="11">
        <f>_xlfn.XLOOKUP(TableDailySummary[[#This Row],[Fecha]],SummaryDaily[day],SummaryDaily[net_sales],0)</f>
        <v>0</v>
      </c>
      <c r="E321" s="11">
        <f>_xlfn.XLOOKUP(TableDailySummary[[#This Row],[Fecha]],SummaryDaily[day],SummaryDaily[orders],0)</f>
        <v>0</v>
      </c>
      <c r="F321" s="11">
        <f>_xlfn.XLOOKUP(TableDailySummary[[#This Row],[Fecha]],SummaryDaily[day],SummaryDaily[average_order_value],0)</f>
        <v>0</v>
      </c>
      <c r="G321" s="24" cm="1">
        <f t="array" ref="G321">_xlfn.XLOOKUP(TableDailySummary[[#This Row],[Fecha]]&amp;"Total site",ConversionRateByReferral[day]&amp;ConversionRateByReferral[referrer_source],ConversionRateByReferral[conversion_rate],0)</f>
        <v>0</v>
      </c>
      <c r="H321" s="11">
        <f>TableDailySummary[[#This Row],[Órden promedio totales]]*TableDailySummary[[#This Row],[CR totales]]</f>
        <v>0</v>
      </c>
      <c r="I321" s="11">
        <f>_xlfn.XLOOKUP(TableDailySummary[[#This Row],[Fecha]],SummaryDaily[day],SummaryDaily[new_net_sales],0)</f>
        <v>0</v>
      </c>
      <c r="J321" s="11">
        <f>_xlfn.XLOOKUP(TableDailySummary[[#This Row],[Fecha]],SummaryDaily[day],SummaryDaily[new_orders],0)</f>
        <v>0</v>
      </c>
      <c r="K321" s="11">
        <f>_xlfn.XLOOKUP(TableDailySummary[[#This Row],[Fecha]],SummaryDaily[day],SummaryDaily[new_average_order_value],0)</f>
        <v>0</v>
      </c>
      <c r="L321" s="11">
        <f>_xlfn.XLOOKUP(TableDailySummary[[#This Row],[Fecha]],SummaryDaily[day],SummaryDaily[Online Store_net_sales],0)</f>
        <v>0</v>
      </c>
      <c r="M321" s="11">
        <f>_xlfn.XLOOKUP(TableDailySummary[[#This Row],[Fecha]],SummaryDaily[day],SummaryDaily[Online Store_orders],0)</f>
        <v>0</v>
      </c>
      <c r="N321" s="11">
        <f>_xlfn.XLOOKUP(TableDailySummary[[#This Row],[Fecha]],SummaryDaily[day],SummaryDaily[Online Store_average_order_value],0)</f>
        <v>0</v>
      </c>
      <c r="O321" s="11">
        <f>_xlfn.XLOOKUP(TableDailySummary[[#This Row],[Fecha]],SummaryDaily[day],SummaryDaily[Tienda 81_net_sales],0)</f>
        <v>0</v>
      </c>
      <c r="P321" s="11">
        <f>_xlfn.XLOOKUP(TableDailySummary[[#This Row],[Fecha]],SummaryDaily[day],SummaryDaily[Tienda 81_orders],0)</f>
        <v>0</v>
      </c>
      <c r="Q321" s="11">
        <f>_xlfn.XLOOKUP(TableDailySummary[[#This Row],[Fecha]],SummaryDaily[day],SummaryDaily[Tienda 81_average_order_value],0)</f>
        <v>0</v>
      </c>
      <c r="R321" s="11">
        <f>_xlfn.XLOOKUP(TableDailySummary[[#This Row],[Fecha]],SummaryDaily[day],SummaryDaily[Rappi_net_sales],0)</f>
        <v>0</v>
      </c>
      <c r="S321" s="11">
        <f>_xlfn.XLOOKUP(TableDailySummary[[#This Row],[Fecha]],SummaryDaily[day],SummaryDaily[Rappi_orders],0)</f>
        <v>0</v>
      </c>
      <c r="T321" s="11">
        <f>_xlfn.XLOOKUP(TableDailySummary[[#This Row],[Fecha]],SummaryDaily[day],SummaryDaily[Rappi_average_order_value],0)</f>
        <v>0</v>
      </c>
      <c r="U321" s="11">
        <f>_xlfn.XLOOKUP(TableDailySummary[[#This Row],[Fecha]],SummaryDaily[day],SummaryDaily[Corporativo no tienda_net_sales],0)</f>
        <v>0</v>
      </c>
      <c r="V321" s="11">
        <f>_xlfn.XLOOKUP(TableDailySummary[[#This Row],[Fecha]],SummaryDaily[day],SummaryDaily[Corporativo no tienda_orders],0)</f>
        <v>0</v>
      </c>
      <c r="W321" s="11">
        <f>_xlfn.XLOOKUP(TableDailySummary[[#This Row],[Fecha]],SummaryDaily[day],SummaryDaily[Corporativo no tienda_average_order_value],0)</f>
        <v>0</v>
      </c>
      <c r="X321" s="11">
        <f>_xlfn.XLOOKUP(TableDailySummary[[#This Row],[Fecha]],SummaryDaily[day],SummaryDaily[GoogleAdsOperation.Cost],0)</f>
        <v>0</v>
      </c>
      <c r="Y321" s="11">
        <f>SUMIFS(SalesByUTMDaily[google],SalesByUTMDaily[day],TableDailySummary[[#This Row],[Fecha]])</f>
        <v>0</v>
      </c>
      <c r="Z321" s="11">
        <f>_xlfn.XLOOKUP(TableDailySummary[[#This Row],[Fecha]],SummaryDaily[day],SummaryDaily[MetaAdsOperation.spend],0)</f>
        <v>0</v>
      </c>
      <c r="AA321" s="11">
        <f>SUMIFS(SalesByUTMDaily[facebook],SalesByUTMDaily[day],TableDailySummary[[#This Row],[Fecha]])</f>
        <v>0</v>
      </c>
      <c r="AB321" s="11">
        <f>TableDailySummary[[#This Row],[Inversión google ads]]+TableDailySummary[[#This Row],[Inversión meta ads]]</f>
        <v>0</v>
      </c>
      <c r="AC321" s="11">
        <f>TableDailySummary[[#This Row],[Ventas google ads]]+TableDailySummary[[#This Row],[Ventas meta ads]]</f>
        <v>0</v>
      </c>
      <c r="AD321" s="14">
        <f>IFERROR(TableDailySummary[[#This Row],[Ventas publicidad]]/TableDailySummary[[#This Row],[Inversión publicidad]],0)</f>
        <v>0</v>
      </c>
      <c r="AE321" s="14">
        <f>IFERROR(TableDailySummary[[#This Row],[Ventas primer cliente]]/TableDailySummary[[#This Row],[Inversión publicidad]],0)</f>
        <v>0</v>
      </c>
      <c r="AF321" s="14"/>
      <c r="AG321" s="11"/>
      <c r="AM321" s="11">
        <f>_xlfn.XLOOKUP(TableDailySummary[[#This Row],[Fecha]],SummaryDaily[day],SummaryDaily[net_sales_with_cost_recorded],0)</f>
        <v>0</v>
      </c>
      <c r="AN321" s="11">
        <f>_xlfn.XLOOKUP(TableDailySummary[[#This Row],[Fecha]],SummaryDaily[day],SummaryDaily[cost_of_goods_sold],0)</f>
        <v>0</v>
      </c>
      <c r="AO321" s="11">
        <f>_xlfn.XLOOKUP(TableDailySummary[[#This Row],[Fecha]],SummaryDaily[day],SummaryDaily[gross_profit],0)</f>
        <v>0</v>
      </c>
      <c r="AP321" s="18">
        <f>IFERROR(TableDailySummary[[#This Row],[Utilidad bruta]]/TableDailySummary[[#This Row],[Ventas netas con costo registrado]],0)</f>
        <v>0</v>
      </c>
    </row>
    <row r="322" spans="2:42" x14ac:dyDescent="0.2">
      <c r="B322" s="15" cm="1">
        <f t="array" ref="B322">ParamFechaInicioReporte + (ROW(TableDailySummary[#This Row]) - ROW(TableDailySummary[[#Headers],[Dia]]) - 1)</f>
        <v>44849</v>
      </c>
      <c r="C322" s="6">
        <f>TableDailySummary[[#This Row],[Dia]]</f>
        <v>44849</v>
      </c>
      <c r="D322" s="11">
        <f>_xlfn.XLOOKUP(TableDailySummary[[#This Row],[Fecha]],SummaryDaily[day],SummaryDaily[net_sales],0)</f>
        <v>0</v>
      </c>
      <c r="E322" s="11">
        <f>_xlfn.XLOOKUP(TableDailySummary[[#This Row],[Fecha]],SummaryDaily[day],SummaryDaily[orders],0)</f>
        <v>0</v>
      </c>
      <c r="F322" s="11">
        <f>_xlfn.XLOOKUP(TableDailySummary[[#This Row],[Fecha]],SummaryDaily[day],SummaryDaily[average_order_value],0)</f>
        <v>0</v>
      </c>
      <c r="G322" s="24" cm="1">
        <f t="array" ref="G322">_xlfn.XLOOKUP(TableDailySummary[[#This Row],[Fecha]]&amp;"Total site",ConversionRateByReferral[day]&amp;ConversionRateByReferral[referrer_source],ConversionRateByReferral[conversion_rate],0)</f>
        <v>0</v>
      </c>
      <c r="H322" s="11">
        <f>TableDailySummary[[#This Row],[Órden promedio totales]]*TableDailySummary[[#This Row],[CR totales]]</f>
        <v>0</v>
      </c>
      <c r="I322" s="11">
        <f>_xlfn.XLOOKUP(TableDailySummary[[#This Row],[Fecha]],SummaryDaily[day],SummaryDaily[new_net_sales],0)</f>
        <v>0</v>
      </c>
      <c r="J322" s="11">
        <f>_xlfn.XLOOKUP(TableDailySummary[[#This Row],[Fecha]],SummaryDaily[day],SummaryDaily[new_orders],0)</f>
        <v>0</v>
      </c>
      <c r="K322" s="11">
        <f>_xlfn.XLOOKUP(TableDailySummary[[#This Row],[Fecha]],SummaryDaily[day],SummaryDaily[new_average_order_value],0)</f>
        <v>0</v>
      </c>
      <c r="L322" s="11">
        <f>_xlfn.XLOOKUP(TableDailySummary[[#This Row],[Fecha]],SummaryDaily[day],SummaryDaily[Online Store_net_sales],0)</f>
        <v>0</v>
      </c>
      <c r="M322" s="11">
        <f>_xlfn.XLOOKUP(TableDailySummary[[#This Row],[Fecha]],SummaryDaily[day],SummaryDaily[Online Store_orders],0)</f>
        <v>0</v>
      </c>
      <c r="N322" s="11">
        <f>_xlfn.XLOOKUP(TableDailySummary[[#This Row],[Fecha]],SummaryDaily[day],SummaryDaily[Online Store_average_order_value],0)</f>
        <v>0</v>
      </c>
      <c r="O322" s="11">
        <f>_xlfn.XLOOKUP(TableDailySummary[[#This Row],[Fecha]],SummaryDaily[day],SummaryDaily[Tienda 81_net_sales],0)</f>
        <v>0</v>
      </c>
      <c r="P322" s="11">
        <f>_xlfn.XLOOKUP(TableDailySummary[[#This Row],[Fecha]],SummaryDaily[day],SummaryDaily[Tienda 81_orders],0)</f>
        <v>0</v>
      </c>
      <c r="Q322" s="11">
        <f>_xlfn.XLOOKUP(TableDailySummary[[#This Row],[Fecha]],SummaryDaily[day],SummaryDaily[Tienda 81_average_order_value],0)</f>
        <v>0</v>
      </c>
      <c r="R322" s="11">
        <f>_xlfn.XLOOKUP(TableDailySummary[[#This Row],[Fecha]],SummaryDaily[day],SummaryDaily[Rappi_net_sales],0)</f>
        <v>0</v>
      </c>
      <c r="S322" s="11">
        <f>_xlfn.XLOOKUP(TableDailySummary[[#This Row],[Fecha]],SummaryDaily[day],SummaryDaily[Rappi_orders],0)</f>
        <v>0</v>
      </c>
      <c r="T322" s="11">
        <f>_xlfn.XLOOKUP(TableDailySummary[[#This Row],[Fecha]],SummaryDaily[day],SummaryDaily[Rappi_average_order_value],0)</f>
        <v>0</v>
      </c>
      <c r="U322" s="11">
        <f>_xlfn.XLOOKUP(TableDailySummary[[#This Row],[Fecha]],SummaryDaily[day],SummaryDaily[Corporativo no tienda_net_sales],0)</f>
        <v>0</v>
      </c>
      <c r="V322" s="11">
        <f>_xlfn.XLOOKUP(TableDailySummary[[#This Row],[Fecha]],SummaryDaily[day],SummaryDaily[Corporativo no tienda_orders],0)</f>
        <v>0</v>
      </c>
      <c r="W322" s="11">
        <f>_xlfn.XLOOKUP(TableDailySummary[[#This Row],[Fecha]],SummaryDaily[day],SummaryDaily[Corporativo no tienda_average_order_value],0)</f>
        <v>0</v>
      </c>
      <c r="X322" s="11">
        <f>_xlfn.XLOOKUP(TableDailySummary[[#This Row],[Fecha]],SummaryDaily[day],SummaryDaily[GoogleAdsOperation.Cost],0)</f>
        <v>0</v>
      </c>
      <c r="Y322" s="11">
        <f>SUMIFS(SalesByUTMDaily[google],SalesByUTMDaily[day],TableDailySummary[[#This Row],[Fecha]])</f>
        <v>0</v>
      </c>
      <c r="Z322" s="11">
        <f>_xlfn.XLOOKUP(TableDailySummary[[#This Row],[Fecha]],SummaryDaily[day],SummaryDaily[MetaAdsOperation.spend],0)</f>
        <v>0</v>
      </c>
      <c r="AA322" s="11">
        <f>SUMIFS(SalesByUTMDaily[facebook],SalesByUTMDaily[day],TableDailySummary[[#This Row],[Fecha]])</f>
        <v>0</v>
      </c>
      <c r="AB322" s="11">
        <f>TableDailySummary[[#This Row],[Inversión google ads]]+TableDailySummary[[#This Row],[Inversión meta ads]]</f>
        <v>0</v>
      </c>
      <c r="AC322" s="11">
        <f>TableDailySummary[[#This Row],[Ventas google ads]]+TableDailySummary[[#This Row],[Ventas meta ads]]</f>
        <v>0</v>
      </c>
      <c r="AD322" s="14">
        <f>IFERROR(TableDailySummary[[#This Row],[Ventas publicidad]]/TableDailySummary[[#This Row],[Inversión publicidad]],0)</f>
        <v>0</v>
      </c>
      <c r="AE322" s="14">
        <f>IFERROR(TableDailySummary[[#This Row],[Ventas primer cliente]]/TableDailySummary[[#This Row],[Inversión publicidad]],0)</f>
        <v>0</v>
      </c>
      <c r="AF322" s="14"/>
      <c r="AG322" s="11"/>
      <c r="AM322" s="11">
        <f>_xlfn.XLOOKUP(TableDailySummary[[#This Row],[Fecha]],SummaryDaily[day],SummaryDaily[net_sales_with_cost_recorded],0)</f>
        <v>0</v>
      </c>
      <c r="AN322" s="11">
        <f>_xlfn.XLOOKUP(TableDailySummary[[#This Row],[Fecha]],SummaryDaily[day],SummaryDaily[cost_of_goods_sold],0)</f>
        <v>0</v>
      </c>
      <c r="AO322" s="11">
        <f>_xlfn.XLOOKUP(TableDailySummary[[#This Row],[Fecha]],SummaryDaily[day],SummaryDaily[gross_profit],0)</f>
        <v>0</v>
      </c>
      <c r="AP322" s="18">
        <f>IFERROR(TableDailySummary[[#This Row],[Utilidad bruta]]/TableDailySummary[[#This Row],[Ventas netas con costo registrado]],0)</f>
        <v>0</v>
      </c>
    </row>
    <row r="323" spans="2:42" x14ac:dyDescent="0.2">
      <c r="B323" s="15" cm="1">
        <f t="array" ref="B323">ParamFechaInicioReporte + (ROW(TableDailySummary[#This Row]) - ROW(TableDailySummary[[#Headers],[Dia]]) - 1)</f>
        <v>44850</v>
      </c>
      <c r="C323" s="6">
        <f>TableDailySummary[[#This Row],[Dia]]</f>
        <v>44850</v>
      </c>
      <c r="D323" s="11">
        <f>_xlfn.XLOOKUP(TableDailySummary[[#This Row],[Fecha]],SummaryDaily[day],SummaryDaily[net_sales],0)</f>
        <v>0</v>
      </c>
      <c r="E323" s="11">
        <f>_xlfn.XLOOKUP(TableDailySummary[[#This Row],[Fecha]],SummaryDaily[day],SummaryDaily[orders],0)</f>
        <v>0</v>
      </c>
      <c r="F323" s="11">
        <f>_xlfn.XLOOKUP(TableDailySummary[[#This Row],[Fecha]],SummaryDaily[day],SummaryDaily[average_order_value],0)</f>
        <v>0</v>
      </c>
      <c r="G323" s="24" cm="1">
        <f t="array" ref="G323">_xlfn.XLOOKUP(TableDailySummary[[#This Row],[Fecha]]&amp;"Total site",ConversionRateByReferral[day]&amp;ConversionRateByReferral[referrer_source],ConversionRateByReferral[conversion_rate],0)</f>
        <v>0</v>
      </c>
      <c r="H323" s="11">
        <f>TableDailySummary[[#This Row],[Órden promedio totales]]*TableDailySummary[[#This Row],[CR totales]]</f>
        <v>0</v>
      </c>
      <c r="I323" s="11">
        <f>_xlfn.XLOOKUP(TableDailySummary[[#This Row],[Fecha]],SummaryDaily[day],SummaryDaily[new_net_sales],0)</f>
        <v>0</v>
      </c>
      <c r="J323" s="11">
        <f>_xlfn.XLOOKUP(TableDailySummary[[#This Row],[Fecha]],SummaryDaily[day],SummaryDaily[new_orders],0)</f>
        <v>0</v>
      </c>
      <c r="K323" s="11">
        <f>_xlfn.XLOOKUP(TableDailySummary[[#This Row],[Fecha]],SummaryDaily[day],SummaryDaily[new_average_order_value],0)</f>
        <v>0</v>
      </c>
      <c r="L323" s="11">
        <f>_xlfn.XLOOKUP(TableDailySummary[[#This Row],[Fecha]],SummaryDaily[day],SummaryDaily[Online Store_net_sales],0)</f>
        <v>0</v>
      </c>
      <c r="M323" s="11">
        <f>_xlfn.XLOOKUP(TableDailySummary[[#This Row],[Fecha]],SummaryDaily[day],SummaryDaily[Online Store_orders],0)</f>
        <v>0</v>
      </c>
      <c r="N323" s="11">
        <f>_xlfn.XLOOKUP(TableDailySummary[[#This Row],[Fecha]],SummaryDaily[day],SummaryDaily[Online Store_average_order_value],0)</f>
        <v>0</v>
      </c>
      <c r="O323" s="11">
        <f>_xlfn.XLOOKUP(TableDailySummary[[#This Row],[Fecha]],SummaryDaily[day],SummaryDaily[Tienda 81_net_sales],0)</f>
        <v>0</v>
      </c>
      <c r="P323" s="11">
        <f>_xlfn.XLOOKUP(TableDailySummary[[#This Row],[Fecha]],SummaryDaily[day],SummaryDaily[Tienda 81_orders],0)</f>
        <v>0</v>
      </c>
      <c r="Q323" s="11">
        <f>_xlfn.XLOOKUP(TableDailySummary[[#This Row],[Fecha]],SummaryDaily[day],SummaryDaily[Tienda 81_average_order_value],0)</f>
        <v>0</v>
      </c>
      <c r="R323" s="11">
        <f>_xlfn.XLOOKUP(TableDailySummary[[#This Row],[Fecha]],SummaryDaily[day],SummaryDaily[Rappi_net_sales],0)</f>
        <v>0</v>
      </c>
      <c r="S323" s="11">
        <f>_xlfn.XLOOKUP(TableDailySummary[[#This Row],[Fecha]],SummaryDaily[day],SummaryDaily[Rappi_orders],0)</f>
        <v>0</v>
      </c>
      <c r="T323" s="11">
        <f>_xlfn.XLOOKUP(TableDailySummary[[#This Row],[Fecha]],SummaryDaily[day],SummaryDaily[Rappi_average_order_value],0)</f>
        <v>0</v>
      </c>
      <c r="U323" s="11">
        <f>_xlfn.XLOOKUP(TableDailySummary[[#This Row],[Fecha]],SummaryDaily[day],SummaryDaily[Corporativo no tienda_net_sales],0)</f>
        <v>0</v>
      </c>
      <c r="V323" s="11">
        <f>_xlfn.XLOOKUP(TableDailySummary[[#This Row],[Fecha]],SummaryDaily[day],SummaryDaily[Corporativo no tienda_orders],0)</f>
        <v>0</v>
      </c>
      <c r="W323" s="11">
        <f>_xlfn.XLOOKUP(TableDailySummary[[#This Row],[Fecha]],SummaryDaily[day],SummaryDaily[Corporativo no tienda_average_order_value],0)</f>
        <v>0</v>
      </c>
      <c r="X323" s="11">
        <f>_xlfn.XLOOKUP(TableDailySummary[[#This Row],[Fecha]],SummaryDaily[day],SummaryDaily[GoogleAdsOperation.Cost],0)</f>
        <v>0</v>
      </c>
      <c r="Y323" s="11">
        <f>SUMIFS(SalesByUTMDaily[google],SalesByUTMDaily[day],TableDailySummary[[#This Row],[Fecha]])</f>
        <v>0</v>
      </c>
      <c r="Z323" s="11">
        <f>_xlfn.XLOOKUP(TableDailySummary[[#This Row],[Fecha]],SummaryDaily[day],SummaryDaily[MetaAdsOperation.spend],0)</f>
        <v>0</v>
      </c>
      <c r="AA323" s="11">
        <f>SUMIFS(SalesByUTMDaily[facebook],SalesByUTMDaily[day],TableDailySummary[[#This Row],[Fecha]])</f>
        <v>0</v>
      </c>
      <c r="AB323" s="11">
        <f>TableDailySummary[[#This Row],[Inversión google ads]]+TableDailySummary[[#This Row],[Inversión meta ads]]</f>
        <v>0</v>
      </c>
      <c r="AC323" s="11">
        <f>TableDailySummary[[#This Row],[Ventas google ads]]+TableDailySummary[[#This Row],[Ventas meta ads]]</f>
        <v>0</v>
      </c>
      <c r="AD323" s="14">
        <f>IFERROR(TableDailySummary[[#This Row],[Ventas publicidad]]/TableDailySummary[[#This Row],[Inversión publicidad]],0)</f>
        <v>0</v>
      </c>
      <c r="AE323" s="14">
        <f>IFERROR(TableDailySummary[[#This Row],[Ventas primer cliente]]/TableDailySummary[[#This Row],[Inversión publicidad]],0)</f>
        <v>0</v>
      </c>
      <c r="AF323" s="14"/>
      <c r="AG323" s="11"/>
      <c r="AM323" s="11">
        <f>_xlfn.XLOOKUP(TableDailySummary[[#This Row],[Fecha]],SummaryDaily[day],SummaryDaily[net_sales_with_cost_recorded],0)</f>
        <v>0</v>
      </c>
      <c r="AN323" s="11">
        <f>_xlfn.XLOOKUP(TableDailySummary[[#This Row],[Fecha]],SummaryDaily[day],SummaryDaily[cost_of_goods_sold],0)</f>
        <v>0</v>
      </c>
      <c r="AO323" s="11">
        <f>_xlfn.XLOOKUP(TableDailySummary[[#This Row],[Fecha]],SummaryDaily[day],SummaryDaily[gross_profit],0)</f>
        <v>0</v>
      </c>
      <c r="AP323" s="18">
        <f>IFERROR(TableDailySummary[[#This Row],[Utilidad bruta]]/TableDailySummary[[#This Row],[Ventas netas con costo registrado]],0)</f>
        <v>0</v>
      </c>
    </row>
    <row r="324" spans="2:42" x14ac:dyDescent="0.2">
      <c r="B324" s="15" cm="1">
        <f t="array" ref="B324">ParamFechaInicioReporte + (ROW(TableDailySummary[#This Row]) - ROW(TableDailySummary[[#Headers],[Dia]]) - 1)</f>
        <v>44851</v>
      </c>
      <c r="C324" s="6">
        <f>TableDailySummary[[#This Row],[Dia]]</f>
        <v>44851</v>
      </c>
      <c r="D324" s="11">
        <f>_xlfn.XLOOKUP(TableDailySummary[[#This Row],[Fecha]],SummaryDaily[day],SummaryDaily[net_sales],0)</f>
        <v>0</v>
      </c>
      <c r="E324" s="11">
        <f>_xlfn.XLOOKUP(TableDailySummary[[#This Row],[Fecha]],SummaryDaily[day],SummaryDaily[orders],0)</f>
        <v>0</v>
      </c>
      <c r="F324" s="11">
        <f>_xlfn.XLOOKUP(TableDailySummary[[#This Row],[Fecha]],SummaryDaily[day],SummaryDaily[average_order_value],0)</f>
        <v>0</v>
      </c>
      <c r="G324" s="24" cm="1">
        <f t="array" ref="G324">_xlfn.XLOOKUP(TableDailySummary[[#This Row],[Fecha]]&amp;"Total site",ConversionRateByReferral[day]&amp;ConversionRateByReferral[referrer_source],ConversionRateByReferral[conversion_rate],0)</f>
        <v>0</v>
      </c>
      <c r="H324" s="11">
        <f>TableDailySummary[[#This Row],[Órden promedio totales]]*TableDailySummary[[#This Row],[CR totales]]</f>
        <v>0</v>
      </c>
      <c r="I324" s="11">
        <f>_xlfn.XLOOKUP(TableDailySummary[[#This Row],[Fecha]],SummaryDaily[day],SummaryDaily[new_net_sales],0)</f>
        <v>0</v>
      </c>
      <c r="J324" s="11">
        <f>_xlfn.XLOOKUP(TableDailySummary[[#This Row],[Fecha]],SummaryDaily[day],SummaryDaily[new_orders],0)</f>
        <v>0</v>
      </c>
      <c r="K324" s="11">
        <f>_xlfn.XLOOKUP(TableDailySummary[[#This Row],[Fecha]],SummaryDaily[day],SummaryDaily[new_average_order_value],0)</f>
        <v>0</v>
      </c>
      <c r="L324" s="11">
        <f>_xlfn.XLOOKUP(TableDailySummary[[#This Row],[Fecha]],SummaryDaily[day],SummaryDaily[Online Store_net_sales],0)</f>
        <v>0</v>
      </c>
      <c r="M324" s="11">
        <f>_xlfn.XLOOKUP(TableDailySummary[[#This Row],[Fecha]],SummaryDaily[day],SummaryDaily[Online Store_orders],0)</f>
        <v>0</v>
      </c>
      <c r="N324" s="11">
        <f>_xlfn.XLOOKUP(TableDailySummary[[#This Row],[Fecha]],SummaryDaily[day],SummaryDaily[Online Store_average_order_value],0)</f>
        <v>0</v>
      </c>
      <c r="O324" s="11">
        <f>_xlfn.XLOOKUP(TableDailySummary[[#This Row],[Fecha]],SummaryDaily[day],SummaryDaily[Tienda 81_net_sales],0)</f>
        <v>0</v>
      </c>
      <c r="P324" s="11">
        <f>_xlfn.XLOOKUP(TableDailySummary[[#This Row],[Fecha]],SummaryDaily[day],SummaryDaily[Tienda 81_orders],0)</f>
        <v>0</v>
      </c>
      <c r="Q324" s="11">
        <f>_xlfn.XLOOKUP(TableDailySummary[[#This Row],[Fecha]],SummaryDaily[day],SummaryDaily[Tienda 81_average_order_value],0)</f>
        <v>0</v>
      </c>
      <c r="R324" s="11">
        <f>_xlfn.XLOOKUP(TableDailySummary[[#This Row],[Fecha]],SummaryDaily[day],SummaryDaily[Rappi_net_sales],0)</f>
        <v>0</v>
      </c>
      <c r="S324" s="11">
        <f>_xlfn.XLOOKUP(TableDailySummary[[#This Row],[Fecha]],SummaryDaily[day],SummaryDaily[Rappi_orders],0)</f>
        <v>0</v>
      </c>
      <c r="T324" s="11">
        <f>_xlfn.XLOOKUP(TableDailySummary[[#This Row],[Fecha]],SummaryDaily[day],SummaryDaily[Rappi_average_order_value],0)</f>
        <v>0</v>
      </c>
      <c r="U324" s="11">
        <f>_xlfn.XLOOKUP(TableDailySummary[[#This Row],[Fecha]],SummaryDaily[day],SummaryDaily[Corporativo no tienda_net_sales],0)</f>
        <v>0</v>
      </c>
      <c r="V324" s="11">
        <f>_xlfn.XLOOKUP(TableDailySummary[[#This Row],[Fecha]],SummaryDaily[day],SummaryDaily[Corporativo no tienda_orders],0)</f>
        <v>0</v>
      </c>
      <c r="W324" s="11">
        <f>_xlfn.XLOOKUP(TableDailySummary[[#This Row],[Fecha]],SummaryDaily[day],SummaryDaily[Corporativo no tienda_average_order_value],0)</f>
        <v>0</v>
      </c>
      <c r="X324" s="11">
        <f>_xlfn.XLOOKUP(TableDailySummary[[#This Row],[Fecha]],SummaryDaily[day],SummaryDaily[GoogleAdsOperation.Cost],0)</f>
        <v>0</v>
      </c>
      <c r="Y324" s="11">
        <f>SUMIFS(SalesByUTMDaily[google],SalesByUTMDaily[day],TableDailySummary[[#This Row],[Fecha]])</f>
        <v>0</v>
      </c>
      <c r="Z324" s="11">
        <f>_xlfn.XLOOKUP(TableDailySummary[[#This Row],[Fecha]],SummaryDaily[day],SummaryDaily[MetaAdsOperation.spend],0)</f>
        <v>0</v>
      </c>
      <c r="AA324" s="11">
        <f>SUMIFS(SalesByUTMDaily[facebook],SalesByUTMDaily[day],TableDailySummary[[#This Row],[Fecha]])</f>
        <v>0</v>
      </c>
      <c r="AB324" s="11">
        <f>TableDailySummary[[#This Row],[Inversión google ads]]+TableDailySummary[[#This Row],[Inversión meta ads]]</f>
        <v>0</v>
      </c>
      <c r="AC324" s="11">
        <f>TableDailySummary[[#This Row],[Ventas google ads]]+TableDailySummary[[#This Row],[Ventas meta ads]]</f>
        <v>0</v>
      </c>
      <c r="AD324" s="14">
        <f>IFERROR(TableDailySummary[[#This Row],[Ventas publicidad]]/TableDailySummary[[#This Row],[Inversión publicidad]],0)</f>
        <v>0</v>
      </c>
      <c r="AE324" s="14">
        <f>IFERROR(TableDailySummary[[#This Row],[Ventas primer cliente]]/TableDailySummary[[#This Row],[Inversión publicidad]],0)</f>
        <v>0</v>
      </c>
      <c r="AF324" s="14"/>
      <c r="AG324" s="11"/>
      <c r="AM324" s="11">
        <f>_xlfn.XLOOKUP(TableDailySummary[[#This Row],[Fecha]],SummaryDaily[day],SummaryDaily[net_sales_with_cost_recorded],0)</f>
        <v>0</v>
      </c>
      <c r="AN324" s="11">
        <f>_xlfn.XLOOKUP(TableDailySummary[[#This Row],[Fecha]],SummaryDaily[day],SummaryDaily[cost_of_goods_sold],0)</f>
        <v>0</v>
      </c>
      <c r="AO324" s="11">
        <f>_xlfn.XLOOKUP(TableDailySummary[[#This Row],[Fecha]],SummaryDaily[day],SummaryDaily[gross_profit],0)</f>
        <v>0</v>
      </c>
      <c r="AP324" s="18">
        <f>IFERROR(TableDailySummary[[#This Row],[Utilidad bruta]]/TableDailySummary[[#This Row],[Ventas netas con costo registrado]],0)</f>
        <v>0</v>
      </c>
    </row>
    <row r="325" spans="2:42" x14ac:dyDescent="0.2">
      <c r="B325" s="15" cm="1">
        <f t="array" ref="B325">ParamFechaInicioReporte + (ROW(TableDailySummary[#This Row]) - ROW(TableDailySummary[[#Headers],[Dia]]) - 1)</f>
        <v>44852</v>
      </c>
      <c r="C325" s="6">
        <f>TableDailySummary[[#This Row],[Dia]]</f>
        <v>44852</v>
      </c>
      <c r="D325" s="11">
        <f>_xlfn.XLOOKUP(TableDailySummary[[#This Row],[Fecha]],SummaryDaily[day],SummaryDaily[net_sales],0)</f>
        <v>0</v>
      </c>
      <c r="E325" s="11">
        <f>_xlfn.XLOOKUP(TableDailySummary[[#This Row],[Fecha]],SummaryDaily[day],SummaryDaily[orders],0)</f>
        <v>0</v>
      </c>
      <c r="F325" s="11">
        <f>_xlfn.XLOOKUP(TableDailySummary[[#This Row],[Fecha]],SummaryDaily[day],SummaryDaily[average_order_value],0)</f>
        <v>0</v>
      </c>
      <c r="G325" s="24" cm="1">
        <f t="array" ref="G325">_xlfn.XLOOKUP(TableDailySummary[[#This Row],[Fecha]]&amp;"Total site",ConversionRateByReferral[day]&amp;ConversionRateByReferral[referrer_source],ConversionRateByReferral[conversion_rate],0)</f>
        <v>0</v>
      </c>
      <c r="H325" s="11">
        <f>TableDailySummary[[#This Row],[Órden promedio totales]]*TableDailySummary[[#This Row],[CR totales]]</f>
        <v>0</v>
      </c>
      <c r="I325" s="11">
        <f>_xlfn.XLOOKUP(TableDailySummary[[#This Row],[Fecha]],SummaryDaily[day],SummaryDaily[new_net_sales],0)</f>
        <v>0</v>
      </c>
      <c r="J325" s="11">
        <f>_xlfn.XLOOKUP(TableDailySummary[[#This Row],[Fecha]],SummaryDaily[day],SummaryDaily[new_orders],0)</f>
        <v>0</v>
      </c>
      <c r="K325" s="11">
        <f>_xlfn.XLOOKUP(TableDailySummary[[#This Row],[Fecha]],SummaryDaily[day],SummaryDaily[new_average_order_value],0)</f>
        <v>0</v>
      </c>
      <c r="L325" s="11">
        <f>_xlfn.XLOOKUP(TableDailySummary[[#This Row],[Fecha]],SummaryDaily[day],SummaryDaily[Online Store_net_sales],0)</f>
        <v>0</v>
      </c>
      <c r="M325" s="11">
        <f>_xlfn.XLOOKUP(TableDailySummary[[#This Row],[Fecha]],SummaryDaily[day],SummaryDaily[Online Store_orders],0)</f>
        <v>0</v>
      </c>
      <c r="N325" s="11">
        <f>_xlfn.XLOOKUP(TableDailySummary[[#This Row],[Fecha]],SummaryDaily[day],SummaryDaily[Online Store_average_order_value],0)</f>
        <v>0</v>
      </c>
      <c r="O325" s="11">
        <f>_xlfn.XLOOKUP(TableDailySummary[[#This Row],[Fecha]],SummaryDaily[day],SummaryDaily[Tienda 81_net_sales],0)</f>
        <v>0</v>
      </c>
      <c r="P325" s="11">
        <f>_xlfn.XLOOKUP(TableDailySummary[[#This Row],[Fecha]],SummaryDaily[day],SummaryDaily[Tienda 81_orders],0)</f>
        <v>0</v>
      </c>
      <c r="Q325" s="11">
        <f>_xlfn.XLOOKUP(TableDailySummary[[#This Row],[Fecha]],SummaryDaily[day],SummaryDaily[Tienda 81_average_order_value],0)</f>
        <v>0</v>
      </c>
      <c r="R325" s="11">
        <f>_xlfn.XLOOKUP(TableDailySummary[[#This Row],[Fecha]],SummaryDaily[day],SummaryDaily[Rappi_net_sales],0)</f>
        <v>0</v>
      </c>
      <c r="S325" s="11">
        <f>_xlfn.XLOOKUP(TableDailySummary[[#This Row],[Fecha]],SummaryDaily[day],SummaryDaily[Rappi_orders],0)</f>
        <v>0</v>
      </c>
      <c r="T325" s="11">
        <f>_xlfn.XLOOKUP(TableDailySummary[[#This Row],[Fecha]],SummaryDaily[day],SummaryDaily[Rappi_average_order_value],0)</f>
        <v>0</v>
      </c>
      <c r="U325" s="11">
        <f>_xlfn.XLOOKUP(TableDailySummary[[#This Row],[Fecha]],SummaryDaily[day],SummaryDaily[Corporativo no tienda_net_sales],0)</f>
        <v>0</v>
      </c>
      <c r="V325" s="11">
        <f>_xlfn.XLOOKUP(TableDailySummary[[#This Row],[Fecha]],SummaryDaily[day],SummaryDaily[Corporativo no tienda_orders],0)</f>
        <v>0</v>
      </c>
      <c r="W325" s="11">
        <f>_xlfn.XLOOKUP(TableDailySummary[[#This Row],[Fecha]],SummaryDaily[day],SummaryDaily[Corporativo no tienda_average_order_value],0)</f>
        <v>0</v>
      </c>
      <c r="X325" s="11">
        <f>_xlfn.XLOOKUP(TableDailySummary[[#This Row],[Fecha]],SummaryDaily[day],SummaryDaily[GoogleAdsOperation.Cost],0)</f>
        <v>0</v>
      </c>
      <c r="Y325" s="11">
        <f>SUMIFS(SalesByUTMDaily[google],SalesByUTMDaily[day],TableDailySummary[[#This Row],[Fecha]])</f>
        <v>0</v>
      </c>
      <c r="Z325" s="11">
        <f>_xlfn.XLOOKUP(TableDailySummary[[#This Row],[Fecha]],SummaryDaily[day],SummaryDaily[MetaAdsOperation.spend],0)</f>
        <v>0</v>
      </c>
      <c r="AA325" s="11">
        <f>SUMIFS(SalesByUTMDaily[facebook],SalesByUTMDaily[day],TableDailySummary[[#This Row],[Fecha]])</f>
        <v>0</v>
      </c>
      <c r="AB325" s="11">
        <f>TableDailySummary[[#This Row],[Inversión google ads]]+TableDailySummary[[#This Row],[Inversión meta ads]]</f>
        <v>0</v>
      </c>
      <c r="AC325" s="11">
        <f>TableDailySummary[[#This Row],[Ventas google ads]]+TableDailySummary[[#This Row],[Ventas meta ads]]</f>
        <v>0</v>
      </c>
      <c r="AD325" s="14">
        <f>IFERROR(TableDailySummary[[#This Row],[Ventas publicidad]]/TableDailySummary[[#This Row],[Inversión publicidad]],0)</f>
        <v>0</v>
      </c>
      <c r="AE325" s="14">
        <f>IFERROR(TableDailySummary[[#This Row],[Ventas primer cliente]]/TableDailySummary[[#This Row],[Inversión publicidad]],0)</f>
        <v>0</v>
      </c>
      <c r="AF325" s="14"/>
      <c r="AG325" s="11"/>
      <c r="AM325" s="11">
        <f>_xlfn.XLOOKUP(TableDailySummary[[#This Row],[Fecha]],SummaryDaily[day],SummaryDaily[net_sales_with_cost_recorded],0)</f>
        <v>0</v>
      </c>
      <c r="AN325" s="11">
        <f>_xlfn.XLOOKUP(TableDailySummary[[#This Row],[Fecha]],SummaryDaily[day],SummaryDaily[cost_of_goods_sold],0)</f>
        <v>0</v>
      </c>
      <c r="AO325" s="11">
        <f>_xlfn.XLOOKUP(TableDailySummary[[#This Row],[Fecha]],SummaryDaily[day],SummaryDaily[gross_profit],0)</f>
        <v>0</v>
      </c>
      <c r="AP325" s="18">
        <f>IFERROR(TableDailySummary[[#This Row],[Utilidad bruta]]/TableDailySummary[[#This Row],[Ventas netas con costo registrado]],0)</f>
        <v>0</v>
      </c>
    </row>
    <row r="326" spans="2:42" x14ac:dyDescent="0.2">
      <c r="B326" s="15" cm="1">
        <f t="array" ref="B326">ParamFechaInicioReporte + (ROW(TableDailySummary[#This Row]) - ROW(TableDailySummary[[#Headers],[Dia]]) - 1)</f>
        <v>44853</v>
      </c>
      <c r="C326" s="6">
        <f>TableDailySummary[[#This Row],[Dia]]</f>
        <v>44853</v>
      </c>
      <c r="D326" s="11">
        <f>_xlfn.XLOOKUP(TableDailySummary[[#This Row],[Fecha]],SummaryDaily[day],SummaryDaily[net_sales],0)</f>
        <v>0</v>
      </c>
      <c r="E326" s="11">
        <f>_xlfn.XLOOKUP(TableDailySummary[[#This Row],[Fecha]],SummaryDaily[day],SummaryDaily[orders],0)</f>
        <v>0</v>
      </c>
      <c r="F326" s="11">
        <f>_xlfn.XLOOKUP(TableDailySummary[[#This Row],[Fecha]],SummaryDaily[day],SummaryDaily[average_order_value],0)</f>
        <v>0</v>
      </c>
      <c r="G326" s="24" cm="1">
        <f t="array" ref="G326">_xlfn.XLOOKUP(TableDailySummary[[#This Row],[Fecha]]&amp;"Total site",ConversionRateByReferral[day]&amp;ConversionRateByReferral[referrer_source],ConversionRateByReferral[conversion_rate],0)</f>
        <v>0</v>
      </c>
      <c r="H326" s="11">
        <f>TableDailySummary[[#This Row],[Órden promedio totales]]*TableDailySummary[[#This Row],[CR totales]]</f>
        <v>0</v>
      </c>
      <c r="I326" s="11">
        <f>_xlfn.XLOOKUP(TableDailySummary[[#This Row],[Fecha]],SummaryDaily[day],SummaryDaily[new_net_sales],0)</f>
        <v>0</v>
      </c>
      <c r="J326" s="11">
        <f>_xlfn.XLOOKUP(TableDailySummary[[#This Row],[Fecha]],SummaryDaily[day],SummaryDaily[new_orders],0)</f>
        <v>0</v>
      </c>
      <c r="K326" s="11">
        <f>_xlfn.XLOOKUP(TableDailySummary[[#This Row],[Fecha]],SummaryDaily[day],SummaryDaily[new_average_order_value],0)</f>
        <v>0</v>
      </c>
      <c r="L326" s="11">
        <f>_xlfn.XLOOKUP(TableDailySummary[[#This Row],[Fecha]],SummaryDaily[day],SummaryDaily[Online Store_net_sales],0)</f>
        <v>0</v>
      </c>
      <c r="M326" s="11">
        <f>_xlfn.XLOOKUP(TableDailySummary[[#This Row],[Fecha]],SummaryDaily[day],SummaryDaily[Online Store_orders],0)</f>
        <v>0</v>
      </c>
      <c r="N326" s="11">
        <f>_xlfn.XLOOKUP(TableDailySummary[[#This Row],[Fecha]],SummaryDaily[day],SummaryDaily[Online Store_average_order_value],0)</f>
        <v>0</v>
      </c>
      <c r="O326" s="11">
        <f>_xlfn.XLOOKUP(TableDailySummary[[#This Row],[Fecha]],SummaryDaily[day],SummaryDaily[Tienda 81_net_sales],0)</f>
        <v>0</v>
      </c>
      <c r="P326" s="11">
        <f>_xlfn.XLOOKUP(TableDailySummary[[#This Row],[Fecha]],SummaryDaily[day],SummaryDaily[Tienda 81_orders],0)</f>
        <v>0</v>
      </c>
      <c r="Q326" s="11">
        <f>_xlfn.XLOOKUP(TableDailySummary[[#This Row],[Fecha]],SummaryDaily[day],SummaryDaily[Tienda 81_average_order_value],0)</f>
        <v>0</v>
      </c>
      <c r="R326" s="11">
        <f>_xlfn.XLOOKUP(TableDailySummary[[#This Row],[Fecha]],SummaryDaily[day],SummaryDaily[Rappi_net_sales],0)</f>
        <v>0</v>
      </c>
      <c r="S326" s="11">
        <f>_xlfn.XLOOKUP(TableDailySummary[[#This Row],[Fecha]],SummaryDaily[day],SummaryDaily[Rappi_orders],0)</f>
        <v>0</v>
      </c>
      <c r="T326" s="11">
        <f>_xlfn.XLOOKUP(TableDailySummary[[#This Row],[Fecha]],SummaryDaily[day],SummaryDaily[Rappi_average_order_value],0)</f>
        <v>0</v>
      </c>
      <c r="U326" s="11">
        <f>_xlfn.XLOOKUP(TableDailySummary[[#This Row],[Fecha]],SummaryDaily[day],SummaryDaily[Corporativo no tienda_net_sales],0)</f>
        <v>0</v>
      </c>
      <c r="V326" s="11">
        <f>_xlfn.XLOOKUP(TableDailySummary[[#This Row],[Fecha]],SummaryDaily[day],SummaryDaily[Corporativo no tienda_orders],0)</f>
        <v>0</v>
      </c>
      <c r="W326" s="11">
        <f>_xlfn.XLOOKUP(TableDailySummary[[#This Row],[Fecha]],SummaryDaily[day],SummaryDaily[Corporativo no tienda_average_order_value],0)</f>
        <v>0</v>
      </c>
      <c r="X326" s="11">
        <f>_xlfn.XLOOKUP(TableDailySummary[[#This Row],[Fecha]],SummaryDaily[day],SummaryDaily[GoogleAdsOperation.Cost],0)</f>
        <v>0</v>
      </c>
      <c r="Y326" s="11">
        <f>SUMIFS(SalesByUTMDaily[google],SalesByUTMDaily[day],TableDailySummary[[#This Row],[Fecha]])</f>
        <v>0</v>
      </c>
      <c r="Z326" s="11">
        <f>_xlfn.XLOOKUP(TableDailySummary[[#This Row],[Fecha]],SummaryDaily[day],SummaryDaily[MetaAdsOperation.spend],0)</f>
        <v>0</v>
      </c>
      <c r="AA326" s="11">
        <f>SUMIFS(SalesByUTMDaily[facebook],SalesByUTMDaily[day],TableDailySummary[[#This Row],[Fecha]])</f>
        <v>0</v>
      </c>
      <c r="AB326" s="11">
        <f>TableDailySummary[[#This Row],[Inversión google ads]]+TableDailySummary[[#This Row],[Inversión meta ads]]</f>
        <v>0</v>
      </c>
      <c r="AC326" s="11">
        <f>TableDailySummary[[#This Row],[Ventas google ads]]+TableDailySummary[[#This Row],[Ventas meta ads]]</f>
        <v>0</v>
      </c>
      <c r="AD326" s="14">
        <f>IFERROR(TableDailySummary[[#This Row],[Ventas publicidad]]/TableDailySummary[[#This Row],[Inversión publicidad]],0)</f>
        <v>0</v>
      </c>
      <c r="AE326" s="14">
        <f>IFERROR(TableDailySummary[[#This Row],[Ventas primer cliente]]/TableDailySummary[[#This Row],[Inversión publicidad]],0)</f>
        <v>0</v>
      </c>
      <c r="AF326" s="14"/>
      <c r="AG326" s="11"/>
      <c r="AM326" s="11">
        <f>_xlfn.XLOOKUP(TableDailySummary[[#This Row],[Fecha]],SummaryDaily[day],SummaryDaily[net_sales_with_cost_recorded],0)</f>
        <v>0</v>
      </c>
      <c r="AN326" s="11">
        <f>_xlfn.XLOOKUP(TableDailySummary[[#This Row],[Fecha]],SummaryDaily[day],SummaryDaily[cost_of_goods_sold],0)</f>
        <v>0</v>
      </c>
      <c r="AO326" s="11">
        <f>_xlfn.XLOOKUP(TableDailySummary[[#This Row],[Fecha]],SummaryDaily[day],SummaryDaily[gross_profit],0)</f>
        <v>0</v>
      </c>
      <c r="AP326" s="18">
        <f>IFERROR(TableDailySummary[[#This Row],[Utilidad bruta]]/TableDailySummary[[#This Row],[Ventas netas con costo registrado]],0)</f>
        <v>0</v>
      </c>
    </row>
    <row r="327" spans="2:42" x14ac:dyDescent="0.2">
      <c r="B327" s="15" cm="1">
        <f t="array" ref="B327">ParamFechaInicioReporte + (ROW(TableDailySummary[#This Row]) - ROW(TableDailySummary[[#Headers],[Dia]]) - 1)</f>
        <v>44854</v>
      </c>
      <c r="C327" s="6">
        <f>TableDailySummary[[#This Row],[Dia]]</f>
        <v>44854</v>
      </c>
      <c r="D327" s="11">
        <f>_xlfn.XLOOKUP(TableDailySummary[[#This Row],[Fecha]],SummaryDaily[day],SummaryDaily[net_sales],0)</f>
        <v>0</v>
      </c>
      <c r="E327" s="11">
        <f>_xlfn.XLOOKUP(TableDailySummary[[#This Row],[Fecha]],SummaryDaily[day],SummaryDaily[orders],0)</f>
        <v>0</v>
      </c>
      <c r="F327" s="11">
        <f>_xlfn.XLOOKUP(TableDailySummary[[#This Row],[Fecha]],SummaryDaily[day],SummaryDaily[average_order_value],0)</f>
        <v>0</v>
      </c>
      <c r="G327" s="24" cm="1">
        <f t="array" ref="G327">_xlfn.XLOOKUP(TableDailySummary[[#This Row],[Fecha]]&amp;"Total site",ConversionRateByReferral[day]&amp;ConversionRateByReferral[referrer_source],ConversionRateByReferral[conversion_rate],0)</f>
        <v>0</v>
      </c>
      <c r="H327" s="11">
        <f>TableDailySummary[[#This Row],[Órden promedio totales]]*TableDailySummary[[#This Row],[CR totales]]</f>
        <v>0</v>
      </c>
      <c r="I327" s="11">
        <f>_xlfn.XLOOKUP(TableDailySummary[[#This Row],[Fecha]],SummaryDaily[day],SummaryDaily[new_net_sales],0)</f>
        <v>0</v>
      </c>
      <c r="J327" s="11">
        <f>_xlfn.XLOOKUP(TableDailySummary[[#This Row],[Fecha]],SummaryDaily[day],SummaryDaily[new_orders],0)</f>
        <v>0</v>
      </c>
      <c r="K327" s="11">
        <f>_xlfn.XLOOKUP(TableDailySummary[[#This Row],[Fecha]],SummaryDaily[day],SummaryDaily[new_average_order_value],0)</f>
        <v>0</v>
      </c>
      <c r="L327" s="11">
        <f>_xlfn.XLOOKUP(TableDailySummary[[#This Row],[Fecha]],SummaryDaily[day],SummaryDaily[Online Store_net_sales],0)</f>
        <v>0</v>
      </c>
      <c r="M327" s="11">
        <f>_xlfn.XLOOKUP(TableDailySummary[[#This Row],[Fecha]],SummaryDaily[day],SummaryDaily[Online Store_orders],0)</f>
        <v>0</v>
      </c>
      <c r="N327" s="11">
        <f>_xlfn.XLOOKUP(TableDailySummary[[#This Row],[Fecha]],SummaryDaily[day],SummaryDaily[Online Store_average_order_value],0)</f>
        <v>0</v>
      </c>
      <c r="O327" s="11">
        <f>_xlfn.XLOOKUP(TableDailySummary[[#This Row],[Fecha]],SummaryDaily[day],SummaryDaily[Tienda 81_net_sales],0)</f>
        <v>0</v>
      </c>
      <c r="P327" s="11">
        <f>_xlfn.XLOOKUP(TableDailySummary[[#This Row],[Fecha]],SummaryDaily[day],SummaryDaily[Tienda 81_orders],0)</f>
        <v>0</v>
      </c>
      <c r="Q327" s="11">
        <f>_xlfn.XLOOKUP(TableDailySummary[[#This Row],[Fecha]],SummaryDaily[day],SummaryDaily[Tienda 81_average_order_value],0)</f>
        <v>0</v>
      </c>
      <c r="R327" s="11">
        <f>_xlfn.XLOOKUP(TableDailySummary[[#This Row],[Fecha]],SummaryDaily[day],SummaryDaily[Rappi_net_sales],0)</f>
        <v>0</v>
      </c>
      <c r="S327" s="11">
        <f>_xlfn.XLOOKUP(TableDailySummary[[#This Row],[Fecha]],SummaryDaily[day],SummaryDaily[Rappi_orders],0)</f>
        <v>0</v>
      </c>
      <c r="T327" s="11">
        <f>_xlfn.XLOOKUP(TableDailySummary[[#This Row],[Fecha]],SummaryDaily[day],SummaryDaily[Rappi_average_order_value],0)</f>
        <v>0</v>
      </c>
      <c r="U327" s="11">
        <f>_xlfn.XLOOKUP(TableDailySummary[[#This Row],[Fecha]],SummaryDaily[day],SummaryDaily[Corporativo no tienda_net_sales],0)</f>
        <v>0</v>
      </c>
      <c r="V327" s="11">
        <f>_xlfn.XLOOKUP(TableDailySummary[[#This Row],[Fecha]],SummaryDaily[day],SummaryDaily[Corporativo no tienda_orders],0)</f>
        <v>0</v>
      </c>
      <c r="W327" s="11">
        <f>_xlfn.XLOOKUP(TableDailySummary[[#This Row],[Fecha]],SummaryDaily[day],SummaryDaily[Corporativo no tienda_average_order_value],0)</f>
        <v>0</v>
      </c>
      <c r="X327" s="11">
        <f>_xlfn.XLOOKUP(TableDailySummary[[#This Row],[Fecha]],SummaryDaily[day],SummaryDaily[GoogleAdsOperation.Cost],0)</f>
        <v>0</v>
      </c>
      <c r="Y327" s="11">
        <f>SUMIFS(SalesByUTMDaily[google],SalesByUTMDaily[day],TableDailySummary[[#This Row],[Fecha]])</f>
        <v>0</v>
      </c>
      <c r="Z327" s="11">
        <f>_xlfn.XLOOKUP(TableDailySummary[[#This Row],[Fecha]],SummaryDaily[day],SummaryDaily[MetaAdsOperation.spend],0)</f>
        <v>0</v>
      </c>
      <c r="AA327" s="11">
        <f>SUMIFS(SalesByUTMDaily[facebook],SalesByUTMDaily[day],TableDailySummary[[#This Row],[Fecha]])</f>
        <v>0</v>
      </c>
      <c r="AB327" s="11">
        <f>TableDailySummary[[#This Row],[Inversión google ads]]+TableDailySummary[[#This Row],[Inversión meta ads]]</f>
        <v>0</v>
      </c>
      <c r="AC327" s="11">
        <f>TableDailySummary[[#This Row],[Ventas google ads]]+TableDailySummary[[#This Row],[Ventas meta ads]]</f>
        <v>0</v>
      </c>
      <c r="AD327" s="14">
        <f>IFERROR(TableDailySummary[[#This Row],[Ventas publicidad]]/TableDailySummary[[#This Row],[Inversión publicidad]],0)</f>
        <v>0</v>
      </c>
      <c r="AE327" s="14">
        <f>IFERROR(TableDailySummary[[#This Row],[Ventas primer cliente]]/TableDailySummary[[#This Row],[Inversión publicidad]],0)</f>
        <v>0</v>
      </c>
      <c r="AF327" s="14"/>
      <c r="AG327" s="11"/>
      <c r="AM327" s="11">
        <f>_xlfn.XLOOKUP(TableDailySummary[[#This Row],[Fecha]],SummaryDaily[day],SummaryDaily[net_sales_with_cost_recorded],0)</f>
        <v>0</v>
      </c>
      <c r="AN327" s="11">
        <f>_xlfn.XLOOKUP(TableDailySummary[[#This Row],[Fecha]],SummaryDaily[day],SummaryDaily[cost_of_goods_sold],0)</f>
        <v>0</v>
      </c>
      <c r="AO327" s="11">
        <f>_xlfn.XLOOKUP(TableDailySummary[[#This Row],[Fecha]],SummaryDaily[day],SummaryDaily[gross_profit],0)</f>
        <v>0</v>
      </c>
      <c r="AP327" s="18">
        <f>IFERROR(TableDailySummary[[#This Row],[Utilidad bruta]]/TableDailySummary[[#This Row],[Ventas netas con costo registrado]],0)</f>
        <v>0</v>
      </c>
    </row>
    <row r="328" spans="2:42" x14ac:dyDescent="0.2">
      <c r="B328" s="15" cm="1">
        <f t="array" ref="B328">ParamFechaInicioReporte + (ROW(TableDailySummary[#This Row]) - ROW(TableDailySummary[[#Headers],[Dia]]) - 1)</f>
        <v>44855</v>
      </c>
      <c r="C328" s="6">
        <f>TableDailySummary[[#This Row],[Dia]]</f>
        <v>44855</v>
      </c>
      <c r="D328" s="11">
        <f>_xlfn.XLOOKUP(TableDailySummary[[#This Row],[Fecha]],SummaryDaily[day],SummaryDaily[net_sales],0)</f>
        <v>0</v>
      </c>
      <c r="E328" s="11">
        <f>_xlfn.XLOOKUP(TableDailySummary[[#This Row],[Fecha]],SummaryDaily[day],SummaryDaily[orders],0)</f>
        <v>0</v>
      </c>
      <c r="F328" s="11">
        <f>_xlfn.XLOOKUP(TableDailySummary[[#This Row],[Fecha]],SummaryDaily[day],SummaryDaily[average_order_value],0)</f>
        <v>0</v>
      </c>
      <c r="G328" s="24" cm="1">
        <f t="array" ref="G328">_xlfn.XLOOKUP(TableDailySummary[[#This Row],[Fecha]]&amp;"Total site",ConversionRateByReferral[day]&amp;ConversionRateByReferral[referrer_source],ConversionRateByReferral[conversion_rate],0)</f>
        <v>0</v>
      </c>
      <c r="H328" s="11">
        <f>TableDailySummary[[#This Row],[Órden promedio totales]]*TableDailySummary[[#This Row],[CR totales]]</f>
        <v>0</v>
      </c>
      <c r="I328" s="11">
        <f>_xlfn.XLOOKUP(TableDailySummary[[#This Row],[Fecha]],SummaryDaily[day],SummaryDaily[new_net_sales],0)</f>
        <v>0</v>
      </c>
      <c r="J328" s="11">
        <f>_xlfn.XLOOKUP(TableDailySummary[[#This Row],[Fecha]],SummaryDaily[day],SummaryDaily[new_orders],0)</f>
        <v>0</v>
      </c>
      <c r="K328" s="11">
        <f>_xlfn.XLOOKUP(TableDailySummary[[#This Row],[Fecha]],SummaryDaily[day],SummaryDaily[new_average_order_value],0)</f>
        <v>0</v>
      </c>
      <c r="L328" s="11">
        <f>_xlfn.XLOOKUP(TableDailySummary[[#This Row],[Fecha]],SummaryDaily[day],SummaryDaily[Online Store_net_sales],0)</f>
        <v>0</v>
      </c>
      <c r="M328" s="11">
        <f>_xlfn.XLOOKUP(TableDailySummary[[#This Row],[Fecha]],SummaryDaily[day],SummaryDaily[Online Store_orders],0)</f>
        <v>0</v>
      </c>
      <c r="N328" s="11">
        <f>_xlfn.XLOOKUP(TableDailySummary[[#This Row],[Fecha]],SummaryDaily[day],SummaryDaily[Online Store_average_order_value],0)</f>
        <v>0</v>
      </c>
      <c r="O328" s="11">
        <f>_xlfn.XLOOKUP(TableDailySummary[[#This Row],[Fecha]],SummaryDaily[day],SummaryDaily[Tienda 81_net_sales],0)</f>
        <v>0</v>
      </c>
      <c r="P328" s="11">
        <f>_xlfn.XLOOKUP(TableDailySummary[[#This Row],[Fecha]],SummaryDaily[day],SummaryDaily[Tienda 81_orders],0)</f>
        <v>0</v>
      </c>
      <c r="Q328" s="11">
        <f>_xlfn.XLOOKUP(TableDailySummary[[#This Row],[Fecha]],SummaryDaily[day],SummaryDaily[Tienda 81_average_order_value],0)</f>
        <v>0</v>
      </c>
      <c r="R328" s="11">
        <f>_xlfn.XLOOKUP(TableDailySummary[[#This Row],[Fecha]],SummaryDaily[day],SummaryDaily[Rappi_net_sales],0)</f>
        <v>0</v>
      </c>
      <c r="S328" s="11">
        <f>_xlfn.XLOOKUP(TableDailySummary[[#This Row],[Fecha]],SummaryDaily[day],SummaryDaily[Rappi_orders],0)</f>
        <v>0</v>
      </c>
      <c r="T328" s="11">
        <f>_xlfn.XLOOKUP(TableDailySummary[[#This Row],[Fecha]],SummaryDaily[day],SummaryDaily[Rappi_average_order_value],0)</f>
        <v>0</v>
      </c>
      <c r="U328" s="11">
        <f>_xlfn.XLOOKUP(TableDailySummary[[#This Row],[Fecha]],SummaryDaily[day],SummaryDaily[Corporativo no tienda_net_sales],0)</f>
        <v>0</v>
      </c>
      <c r="V328" s="11">
        <f>_xlfn.XLOOKUP(TableDailySummary[[#This Row],[Fecha]],SummaryDaily[day],SummaryDaily[Corporativo no tienda_orders],0)</f>
        <v>0</v>
      </c>
      <c r="W328" s="11">
        <f>_xlfn.XLOOKUP(TableDailySummary[[#This Row],[Fecha]],SummaryDaily[day],SummaryDaily[Corporativo no tienda_average_order_value],0)</f>
        <v>0</v>
      </c>
      <c r="X328" s="11">
        <f>_xlfn.XLOOKUP(TableDailySummary[[#This Row],[Fecha]],SummaryDaily[day],SummaryDaily[GoogleAdsOperation.Cost],0)</f>
        <v>0</v>
      </c>
      <c r="Y328" s="11">
        <f>SUMIFS(SalesByUTMDaily[google],SalesByUTMDaily[day],TableDailySummary[[#This Row],[Fecha]])</f>
        <v>0</v>
      </c>
      <c r="Z328" s="11">
        <f>_xlfn.XLOOKUP(TableDailySummary[[#This Row],[Fecha]],SummaryDaily[day],SummaryDaily[MetaAdsOperation.spend],0)</f>
        <v>0</v>
      </c>
      <c r="AA328" s="11">
        <f>SUMIFS(SalesByUTMDaily[facebook],SalesByUTMDaily[day],TableDailySummary[[#This Row],[Fecha]])</f>
        <v>0</v>
      </c>
      <c r="AB328" s="11">
        <f>TableDailySummary[[#This Row],[Inversión google ads]]+TableDailySummary[[#This Row],[Inversión meta ads]]</f>
        <v>0</v>
      </c>
      <c r="AC328" s="11">
        <f>TableDailySummary[[#This Row],[Ventas google ads]]+TableDailySummary[[#This Row],[Ventas meta ads]]</f>
        <v>0</v>
      </c>
      <c r="AD328" s="14">
        <f>IFERROR(TableDailySummary[[#This Row],[Ventas publicidad]]/TableDailySummary[[#This Row],[Inversión publicidad]],0)</f>
        <v>0</v>
      </c>
      <c r="AE328" s="14">
        <f>IFERROR(TableDailySummary[[#This Row],[Ventas primer cliente]]/TableDailySummary[[#This Row],[Inversión publicidad]],0)</f>
        <v>0</v>
      </c>
      <c r="AF328" s="14"/>
      <c r="AG328" s="11"/>
      <c r="AM328" s="11">
        <f>_xlfn.XLOOKUP(TableDailySummary[[#This Row],[Fecha]],SummaryDaily[day],SummaryDaily[net_sales_with_cost_recorded],0)</f>
        <v>0</v>
      </c>
      <c r="AN328" s="11">
        <f>_xlfn.XLOOKUP(TableDailySummary[[#This Row],[Fecha]],SummaryDaily[day],SummaryDaily[cost_of_goods_sold],0)</f>
        <v>0</v>
      </c>
      <c r="AO328" s="11">
        <f>_xlfn.XLOOKUP(TableDailySummary[[#This Row],[Fecha]],SummaryDaily[day],SummaryDaily[gross_profit],0)</f>
        <v>0</v>
      </c>
      <c r="AP328" s="18">
        <f>IFERROR(TableDailySummary[[#This Row],[Utilidad bruta]]/TableDailySummary[[#This Row],[Ventas netas con costo registrado]],0)</f>
        <v>0</v>
      </c>
    </row>
    <row r="329" spans="2:42" x14ac:dyDescent="0.2">
      <c r="B329" s="15" cm="1">
        <f t="array" ref="B329">ParamFechaInicioReporte + (ROW(TableDailySummary[#This Row]) - ROW(TableDailySummary[[#Headers],[Dia]]) - 1)</f>
        <v>44856</v>
      </c>
      <c r="C329" s="6">
        <f>TableDailySummary[[#This Row],[Dia]]</f>
        <v>44856</v>
      </c>
      <c r="D329" s="11">
        <f>_xlfn.XLOOKUP(TableDailySummary[[#This Row],[Fecha]],SummaryDaily[day],SummaryDaily[net_sales],0)</f>
        <v>0</v>
      </c>
      <c r="E329" s="11">
        <f>_xlfn.XLOOKUP(TableDailySummary[[#This Row],[Fecha]],SummaryDaily[day],SummaryDaily[orders],0)</f>
        <v>0</v>
      </c>
      <c r="F329" s="11">
        <f>_xlfn.XLOOKUP(TableDailySummary[[#This Row],[Fecha]],SummaryDaily[day],SummaryDaily[average_order_value],0)</f>
        <v>0</v>
      </c>
      <c r="G329" s="24" cm="1">
        <f t="array" ref="G329">_xlfn.XLOOKUP(TableDailySummary[[#This Row],[Fecha]]&amp;"Total site",ConversionRateByReferral[day]&amp;ConversionRateByReferral[referrer_source],ConversionRateByReferral[conversion_rate],0)</f>
        <v>0</v>
      </c>
      <c r="H329" s="11">
        <f>TableDailySummary[[#This Row],[Órden promedio totales]]*TableDailySummary[[#This Row],[CR totales]]</f>
        <v>0</v>
      </c>
      <c r="I329" s="11">
        <f>_xlfn.XLOOKUP(TableDailySummary[[#This Row],[Fecha]],SummaryDaily[day],SummaryDaily[new_net_sales],0)</f>
        <v>0</v>
      </c>
      <c r="J329" s="11">
        <f>_xlfn.XLOOKUP(TableDailySummary[[#This Row],[Fecha]],SummaryDaily[day],SummaryDaily[new_orders],0)</f>
        <v>0</v>
      </c>
      <c r="K329" s="11">
        <f>_xlfn.XLOOKUP(TableDailySummary[[#This Row],[Fecha]],SummaryDaily[day],SummaryDaily[new_average_order_value],0)</f>
        <v>0</v>
      </c>
      <c r="L329" s="11">
        <f>_xlfn.XLOOKUP(TableDailySummary[[#This Row],[Fecha]],SummaryDaily[day],SummaryDaily[Online Store_net_sales],0)</f>
        <v>0</v>
      </c>
      <c r="M329" s="11">
        <f>_xlfn.XLOOKUP(TableDailySummary[[#This Row],[Fecha]],SummaryDaily[day],SummaryDaily[Online Store_orders],0)</f>
        <v>0</v>
      </c>
      <c r="N329" s="11">
        <f>_xlfn.XLOOKUP(TableDailySummary[[#This Row],[Fecha]],SummaryDaily[day],SummaryDaily[Online Store_average_order_value],0)</f>
        <v>0</v>
      </c>
      <c r="O329" s="11">
        <f>_xlfn.XLOOKUP(TableDailySummary[[#This Row],[Fecha]],SummaryDaily[day],SummaryDaily[Tienda 81_net_sales],0)</f>
        <v>0</v>
      </c>
      <c r="P329" s="11">
        <f>_xlfn.XLOOKUP(TableDailySummary[[#This Row],[Fecha]],SummaryDaily[day],SummaryDaily[Tienda 81_orders],0)</f>
        <v>0</v>
      </c>
      <c r="Q329" s="11">
        <f>_xlfn.XLOOKUP(TableDailySummary[[#This Row],[Fecha]],SummaryDaily[day],SummaryDaily[Tienda 81_average_order_value],0)</f>
        <v>0</v>
      </c>
      <c r="R329" s="11">
        <f>_xlfn.XLOOKUP(TableDailySummary[[#This Row],[Fecha]],SummaryDaily[day],SummaryDaily[Rappi_net_sales],0)</f>
        <v>0</v>
      </c>
      <c r="S329" s="11">
        <f>_xlfn.XLOOKUP(TableDailySummary[[#This Row],[Fecha]],SummaryDaily[day],SummaryDaily[Rappi_orders],0)</f>
        <v>0</v>
      </c>
      <c r="T329" s="11">
        <f>_xlfn.XLOOKUP(TableDailySummary[[#This Row],[Fecha]],SummaryDaily[day],SummaryDaily[Rappi_average_order_value],0)</f>
        <v>0</v>
      </c>
      <c r="U329" s="11">
        <f>_xlfn.XLOOKUP(TableDailySummary[[#This Row],[Fecha]],SummaryDaily[day],SummaryDaily[Corporativo no tienda_net_sales],0)</f>
        <v>0</v>
      </c>
      <c r="V329" s="11">
        <f>_xlfn.XLOOKUP(TableDailySummary[[#This Row],[Fecha]],SummaryDaily[day],SummaryDaily[Corporativo no tienda_orders],0)</f>
        <v>0</v>
      </c>
      <c r="W329" s="11">
        <f>_xlfn.XLOOKUP(TableDailySummary[[#This Row],[Fecha]],SummaryDaily[day],SummaryDaily[Corporativo no tienda_average_order_value],0)</f>
        <v>0</v>
      </c>
      <c r="X329" s="11">
        <f>_xlfn.XLOOKUP(TableDailySummary[[#This Row],[Fecha]],SummaryDaily[day],SummaryDaily[GoogleAdsOperation.Cost],0)</f>
        <v>0</v>
      </c>
      <c r="Y329" s="11">
        <f>SUMIFS(SalesByUTMDaily[google],SalesByUTMDaily[day],TableDailySummary[[#This Row],[Fecha]])</f>
        <v>0</v>
      </c>
      <c r="Z329" s="11">
        <f>_xlfn.XLOOKUP(TableDailySummary[[#This Row],[Fecha]],SummaryDaily[day],SummaryDaily[MetaAdsOperation.spend],0)</f>
        <v>0</v>
      </c>
      <c r="AA329" s="11">
        <f>SUMIFS(SalesByUTMDaily[facebook],SalesByUTMDaily[day],TableDailySummary[[#This Row],[Fecha]])</f>
        <v>0</v>
      </c>
      <c r="AB329" s="11">
        <f>TableDailySummary[[#This Row],[Inversión google ads]]+TableDailySummary[[#This Row],[Inversión meta ads]]</f>
        <v>0</v>
      </c>
      <c r="AC329" s="11">
        <f>TableDailySummary[[#This Row],[Ventas google ads]]+TableDailySummary[[#This Row],[Ventas meta ads]]</f>
        <v>0</v>
      </c>
      <c r="AD329" s="14">
        <f>IFERROR(TableDailySummary[[#This Row],[Ventas publicidad]]/TableDailySummary[[#This Row],[Inversión publicidad]],0)</f>
        <v>0</v>
      </c>
      <c r="AE329" s="14">
        <f>IFERROR(TableDailySummary[[#This Row],[Ventas primer cliente]]/TableDailySummary[[#This Row],[Inversión publicidad]],0)</f>
        <v>0</v>
      </c>
      <c r="AF329" s="14"/>
      <c r="AG329" s="11"/>
      <c r="AM329" s="11">
        <f>_xlfn.XLOOKUP(TableDailySummary[[#This Row],[Fecha]],SummaryDaily[day],SummaryDaily[net_sales_with_cost_recorded],0)</f>
        <v>0</v>
      </c>
      <c r="AN329" s="11">
        <f>_xlfn.XLOOKUP(TableDailySummary[[#This Row],[Fecha]],SummaryDaily[day],SummaryDaily[cost_of_goods_sold],0)</f>
        <v>0</v>
      </c>
      <c r="AO329" s="11">
        <f>_xlfn.XLOOKUP(TableDailySummary[[#This Row],[Fecha]],SummaryDaily[day],SummaryDaily[gross_profit],0)</f>
        <v>0</v>
      </c>
      <c r="AP329" s="18">
        <f>IFERROR(TableDailySummary[[#This Row],[Utilidad bruta]]/TableDailySummary[[#This Row],[Ventas netas con costo registrado]],0)</f>
        <v>0</v>
      </c>
    </row>
    <row r="330" spans="2:42" x14ac:dyDescent="0.2">
      <c r="B330" s="15" cm="1">
        <f t="array" ref="B330">ParamFechaInicioReporte + (ROW(TableDailySummary[#This Row]) - ROW(TableDailySummary[[#Headers],[Dia]]) - 1)</f>
        <v>44857</v>
      </c>
      <c r="C330" s="6">
        <f>TableDailySummary[[#This Row],[Dia]]</f>
        <v>44857</v>
      </c>
      <c r="D330" s="11">
        <f>_xlfn.XLOOKUP(TableDailySummary[[#This Row],[Fecha]],SummaryDaily[day],SummaryDaily[net_sales],0)</f>
        <v>0</v>
      </c>
      <c r="E330" s="11">
        <f>_xlfn.XLOOKUP(TableDailySummary[[#This Row],[Fecha]],SummaryDaily[day],SummaryDaily[orders],0)</f>
        <v>0</v>
      </c>
      <c r="F330" s="11">
        <f>_xlfn.XLOOKUP(TableDailySummary[[#This Row],[Fecha]],SummaryDaily[day],SummaryDaily[average_order_value],0)</f>
        <v>0</v>
      </c>
      <c r="G330" s="24" cm="1">
        <f t="array" ref="G330">_xlfn.XLOOKUP(TableDailySummary[[#This Row],[Fecha]]&amp;"Total site",ConversionRateByReferral[day]&amp;ConversionRateByReferral[referrer_source],ConversionRateByReferral[conversion_rate],0)</f>
        <v>0</v>
      </c>
      <c r="H330" s="11">
        <f>TableDailySummary[[#This Row],[Órden promedio totales]]*TableDailySummary[[#This Row],[CR totales]]</f>
        <v>0</v>
      </c>
      <c r="I330" s="11">
        <f>_xlfn.XLOOKUP(TableDailySummary[[#This Row],[Fecha]],SummaryDaily[day],SummaryDaily[new_net_sales],0)</f>
        <v>0</v>
      </c>
      <c r="J330" s="11">
        <f>_xlfn.XLOOKUP(TableDailySummary[[#This Row],[Fecha]],SummaryDaily[day],SummaryDaily[new_orders],0)</f>
        <v>0</v>
      </c>
      <c r="K330" s="11">
        <f>_xlfn.XLOOKUP(TableDailySummary[[#This Row],[Fecha]],SummaryDaily[day],SummaryDaily[new_average_order_value],0)</f>
        <v>0</v>
      </c>
      <c r="L330" s="11">
        <f>_xlfn.XLOOKUP(TableDailySummary[[#This Row],[Fecha]],SummaryDaily[day],SummaryDaily[Online Store_net_sales],0)</f>
        <v>0</v>
      </c>
      <c r="M330" s="11">
        <f>_xlfn.XLOOKUP(TableDailySummary[[#This Row],[Fecha]],SummaryDaily[day],SummaryDaily[Online Store_orders],0)</f>
        <v>0</v>
      </c>
      <c r="N330" s="11">
        <f>_xlfn.XLOOKUP(TableDailySummary[[#This Row],[Fecha]],SummaryDaily[day],SummaryDaily[Online Store_average_order_value],0)</f>
        <v>0</v>
      </c>
      <c r="O330" s="11">
        <f>_xlfn.XLOOKUP(TableDailySummary[[#This Row],[Fecha]],SummaryDaily[day],SummaryDaily[Tienda 81_net_sales],0)</f>
        <v>0</v>
      </c>
      <c r="P330" s="11">
        <f>_xlfn.XLOOKUP(TableDailySummary[[#This Row],[Fecha]],SummaryDaily[day],SummaryDaily[Tienda 81_orders],0)</f>
        <v>0</v>
      </c>
      <c r="Q330" s="11">
        <f>_xlfn.XLOOKUP(TableDailySummary[[#This Row],[Fecha]],SummaryDaily[day],SummaryDaily[Tienda 81_average_order_value],0)</f>
        <v>0</v>
      </c>
      <c r="R330" s="11">
        <f>_xlfn.XLOOKUP(TableDailySummary[[#This Row],[Fecha]],SummaryDaily[day],SummaryDaily[Rappi_net_sales],0)</f>
        <v>0</v>
      </c>
      <c r="S330" s="11">
        <f>_xlfn.XLOOKUP(TableDailySummary[[#This Row],[Fecha]],SummaryDaily[day],SummaryDaily[Rappi_orders],0)</f>
        <v>0</v>
      </c>
      <c r="T330" s="11">
        <f>_xlfn.XLOOKUP(TableDailySummary[[#This Row],[Fecha]],SummaryDaily[day],SummaryDaily[Rappi_average_order_value],0)</f>
        <v>0</v>
      </c>
      <c r="U330" s="11">
        <f>_xlfn.XLOOKUP(TableDailySummary[[#This Row],[Fecha]],SummaryDaily[day],SummaryDaily[Corporativo no tienda_net_sales],0)</f>
        <v>0</v>
      </c>
      <c r="V330" s="11">
        <f>_xlfn.XLOOKUP(TableDailySummary[[#This Row],[Fecha]],SummaryDaily[day],SummaryDaily[Corporativo no tienda_orders],0)</f>
        <v>0</v>
      </c>
      <c r="W330" s="11">
        <f>_xlfn.XLOOKUP(TableDailySummary[[#This Row],[Fecha]],SummaryDaily[day],SummaryDaily[Corporativo no tienda_average_order_value],0)</f>
        <v>0</v>
      </c>
      <c r="X330" s="11">
        <f>_xlfn.XLOOKUP(TableDailySummary[[#This Row],[Fecha]],SummaryDaily[day],SummaryDaily[GoogleAdsOperation.Cost],0)</f>
        <v>0</v>
      </c>
      <c r="Y330" s="11">
        <f>SUMIFS(SalesByUTMDaily[google],SalesByUTMDaily[day],TableDailySummary[[#This Row],[Fecha]])</f>
        <v>0</v>
      </c>
      <c r="Z330" s="11">
        <f>_xlfn.XLOOKUP(TableDailySummary[[#This Row],[Fecha]],SummaryDaily[day],SummaryDaily[MetaAdsOperation.spend],0)</f>
        <v>0</v>
      </c>
      <c r="AA330" s="11">
        <f>SUMIFS(SalesByUTMDaily[facebook],SalesByUTMDaily[day],TableDailySummary[[#This Row],[Fecha]])</f>
        <v>0</v>
      </c>
      <c r="AB330" s="11">
        <f>TableDailySummary[[#This Row],[Inversión google ads]]+TableDailySummary[[#This Row],[Inversión meta ads]]</f>
        <v>0</v>
      </c>
      <c r="AC330" s="11">
        <f>TableDailySummary[[#This Row],[Ventas google ads]]+TableDailySummary[[#This Row],[Ventas meta ads]]</f>
        <v>0</v>
      </c>
      <c r="AD330" s="14">
        <f>IFERROR(TableDailySummary[[#This Row],[Ventas publicidad]]/TableDailySummary[[#This Row],[Inversión publicidad]],0)</f>
        <v>0</v>
      </c>
      <c r="AE330" s="14">
        <f>IFERROR(TableDailySummary[[#This Row],[Ventas primer cliente]]/TableDailySummary[[#This Row],[Inversión publicidad]],0)</f>
        <v>0</v>
      </c>
      <c r="AF330" s="14"/>
      <c r="AG330" s="11"/>
      <c r="AM330" s="11">
        <f>_xlfn.XLOOKUP(TableDailySummary[[#This Row],[Fecha]],SummaryDaily[day],SummaryDaily[net_sales_with_cost_recorded],0)</f>
        <v>0</v>
      </c>
      <c r="AN330" s="11">
        <f>_xlfn.XLOOKUP(TableDailySummary[[#This Row],[Fecha]],SummaryDaily[day],SummaryDaily[cost_of_goods_sold],0)</f>
        <v>0</v>
      </c>
      <c r="AO330" s="11">
        <f>_xlfn.XLOOKUP(TableDailySummary[[#This Row],[Fecha]],SummaryDaily[day],SummaryDaily[gross_profit],0)</f>
        <v>0</v>
      </c>
      <c r="AP330" s="18">
        <f>IFERROR(TableDailySummary[[#This Row],[Utilidad bruta]]/TableDailySummary[[#This Row],[Ventas netas con costo registrado]],0)</f>
        <v>0</v>
      </c>
    </row>
    <row r="331" spans="2:42" x14ac:dyDescent="0.2">
      <c r="B331" s="15" cm="1">
        <f t="array" ref="B331">ParamFechaInicioReporte + (ROW(TableDailySummary[#This Row]) - ROW(TableDailySummary[[#Headers],[Dia]]) - 1)</f>
        <v>44858</v>
      </c>
      <c r="C331" s="6">
        <f>TableDailySummary[[#This Row],[Dia]]</f>
        <v>44858</v>
      </c>
      <c r="D331" s="11">
        <f>_xlfn.XLOOKUP(TableDailySummary[[#This Row],[Fecha]],SummaryDaily[day],SummaryDaily[net_sales],0)</f>
        <v>0</v>
      </c>
      <c r="E331" s="11">
        <f>_xlfn.XLOOKUP(TableDailySummary[[#This Row],[Fecha]],SummaryDaily[day],SummaryDaily[orders],0)</f>
        <v>0</v>
      </c>
      <c r="F331" s="11">
        <f>_xlfn.XLOOKUP(TableDailySummary[[#This Row],[Fecha]],SummaryDaily[day],SummaryDaily[average_order_value],0)</f>
        <v>0</v>
      </c>
      <c r="G331" s="24" cm="1">
        <f t="array" ref="G331">_xlfn.XLOOKUP(TableDailySummary[[#This Row],[Fecha]]&amp;"Total site",ConversionRateByReferral[day]&amp;ConversionRateByReferral[referrer_source],ConversionRateByReferral[conversion_rate],0)</f>
        <v>0</v>
      </c>
      <c r="H331" s="11">
        <f>TableDailySummary[[#This Row],[Órden promedio totales]]*TableDailySummary[[#This Row],[CR totales]]</f>
        <v>0</v>
      </c>
      <c r="I331" s="11">
        <f>_xlfn.XLOOKUP(TableDailySummary[[#This Row],[Fecha]],SummaryDaily[day],SummaryDaily[new_net_sales],0)</f>
        <v>0</v>
      </c>
      <c r="J331" s="11">
        <f>_xlfn.XLOOKUP(TableDailySummary[[#This Row],[Fecha]],SummaryDaily[day],SummaryDaily[new_orders],0)</f>
        <v>0</v>
      </c>
      <c r="K331" s="11">
        <f>_xlfn.XLOOKUP(TableDailySummary[[#This Row],[Fecha]],SummaryDaily[day],SummaryDaily[new_average_order_value],0)</f>
        <v>0</v>
      </c>
      <c r="L331" s="11">
        <f>_xlfn.XLOOKUP(TableDailySummary[[#This Row],[Fecha]],SummaryDaily[day],SummaryDaily[Online Store_net_sales],0)</f>
        <v>0</v>
      </c>
      <c r="M331" s="11">
        <f>_xlfn.XLOOKUP(TableDailySummary[[#This Row],[Fecha]],SummaryDaily[day],SummaryDaily[Online Store_orders],0)</f>
        <v>0</v>
      </c>
      <c r="N331" s="11">
        <f>_xlfn.XLOOKUP(TableDailySummary[[#This Row],[Fecha]],SummaryDaily[day],SummaryDaily[Online Store_average_order_value],0)</f>
        <v>0</v>
      </c>
      <c r="O331" s="11">
        <f>_xlfn.XLOOKUP(TableDailySummary[[#This Row],[Fecha]],SummaryDaily[day],SummaryDaily[Tienda 81_net_sales],0)</f>
        <v>0</v>
      </c>
      <c r="P331" s="11">
        <f>_xlfn.XLOOKUP(TableDailySummary[[#This Row],[Fecha]],SummaryDaily[day],SummaryDaily[Tienda 81_orders],0)</f>
        <v>0</v>
      </c>
      <c r="Q331" s="11">
        <f>_xlfn.XLOOKUP(TableDailySummary[[#This Row],[Fecha]],SummaryDaily[day],SummaryDaily[Tienda 81_average_order_value],0)</f>
        <v>0</v>
      </c>
      <c r="R331" s="11">
        <f>_xlfn.XLOOKUP(TableDailySummary[[#This Row],[Fecha]],SummaryDaily[day],SummaryDaily[Rappi_net_sales],0)</f>
        <v>0</v>
      </c>
      <c r="S331" s="11">
        <f>_xlfn.XLOOKUP(TableDailySummary[[#This Row],[Fecha]],SummaryDaily[day],SummaryDaily[Rappi_orders],0)</f>
        <v>0</v>
      </c>
      <c r="T331" s="11">
        <f>_xlfn.XLOOKUP(TableDailySummary[[#This Row],[Fecha]],SummaryDaily[day],SummaryDaily[Rappi_average_order_value],0)</f>
        <v>0</v>
      </c>
      <c r="U331" s="11">
        <f>_xlfn.XLOOKUP(TableDailySummary[[#This Row],[Fecha]],SummaryDaily[day],SummaryDaily[Corporativo no tienda_net_sales],0)</f>
        <v>0</v>
      </c>
      <c r="V331" s="11">
        <f>_xlfn.XLOOKUP(TableDailySummary[[#This Row],[Fecha]],SummaryDaily[day],SummaryDaily[Corporativo no tienda_orders],0)</f>
        <v>0</v>
      </c>
      <c r="W331" s="11">
        <f>_xlfn.XLOOKUP(TableDailySummary[[#This Row],[Fecha]],SummaryDaily[day],SummaryDaily[Corporativo no tienda_average_order_value],0)</f>
        <v>0</v>
      </c>
      <c r="X331" s="11">
        <f>_xlfn.XLOOKUP(TableDailySummary[[#This Row],[Fecha]],SummaryDaily[day],SummaryDaily[GoogleAdsOperation.Cost],0)</f>
        <v>0</v>
      </c>
      <c r="Y331" s="11">
        <f>SUMIFS(SalesByUTMDaily[google],SalesByUTMDaily[day],TableDailySummary[[#This Row],[Fecha]])</f>
        <v>0</v>
      </c>
      <c r="Z331" s="11">
        <f>_xlfn.XLOOKUP(TableDailySummary[[#This Row],[Fecha]],SummaryDaily[day],SummaryDaily[MetaAdsOperation.spend],0)</f>
        <v>0</v>
      </c>
      <c r="AA331" s="11">
        <f>SUMIFS(SalesByUTMDaily[facebook],SalesByUTMDaily[day],TableDailySummary[[#This Row],[Fecha]])</f>
        <v>0</v>
      </c>
      <c r="AB331" s="11">
        <f>TableDailySummary[[#This Row],[Inversión google ads]]+TableDailySummary[[#This Row],[Inversión meta ads]]</f>
        <v>0</v>
      </c>
      <c r="AC331" s="11">
        <f>TableDailySummary[[#This Row],[Ventas google ads]]+TableDailySummary[[#This Row],[Ventas meta ads]]</f>
        <v>0</v>
      </c>
      <c r="AD331" s="14">
        <f>IFERROR(TableDailySummary[[#This Row],[Ventas publicidad]]/TableDailySummary[[#This Row],[Inversión publicidad]],0)</f>
        <v>0</v>
      </c>
      <c r="AE331" s="14">
        <f>IFERROR(TableDailySummary[[#This Row],[Ventas primer cliente]]/TableDailySummary[[#This Row],[Inversión publicidad]],0)</f>
        <v>0</v>
      </c>
      <c r="AF331" s="14"/>
      <c r="AG331" s="11"/>
      <c r="AM331" s="11">
        <f>_xlfn.XLOOKUP(TableDailySummary[[#This Row],[Fecha]],SummaryDaily[day],SummaryDaily[net_sales_with_cost_recorded],0)</f>
        <v>0</v>
      </c>
      <c r="AN331" s="11">
        <f>_xlfn.XLOOKUP(TableDailySummary[[#This Row],[Fecha]],SummaryDaily[day],SummaryDaily[cost_of_goods_sold],0)</f>
        <v>0</v>
      </c>
      <c r="AO331" s="11">
        <f>_xlfn.XLOOKUP(TableDailySummary[[#This Row],[Fecha]],SummaryDaily[day],SummaryDaily[gross_profit],0)</f>
        <v>0</v>
      </c>
      <c r="AP331" s="18">
        <f>IFERROR(TableDailySummary[[#This Row],[Utilidad bruta]]/TableDailySummary[[#This Row],[Ventas netas con costo registrado]],0)</f>
        <v>0</v>
      </c>
    </row>
    <row r="332" spans="2:42" x14ac:dyDescent="0.2">
      <c r="B332" s="15" cm="1">
        <f t="array" ref="B332">ParamFechaInicioReporte + (ROW(TableDailySummary[#This Row]) - ROW(TableDailySummary[[#Headers],[Dia]]) - 1)</f>
        <v>44859</v>
      </c>
      <c r="C332" s="6">
        <f>TableDailySummary[[#This Row],[Dia]]</f>
        <v>44859</v>
      </c>
      <c r="D332" s="11">
        <f>_xlfn.XLOOKUP(TableDailySummary[[#This Row],[Fecha]],SummaryDaily[day],SummaryDaily[net_sales],0)</f>
        <v>0</v>
      </c>
      <c r="E332" s="11">
        <f>_xlfn.XLOOKUP(TableDailySummary[[#This Row],[Fecha]],SummaryDaily[day],SummaryDaily[orders],0)</f>
        <v>0</v>
      </c>
      <c r="F332" s="11">
        <f>_xlfn.XLOOKUP(TableDailySummary[[#This Row],[Fecha]],SummaryDaily[day],SummaryDaily[average_order_value],0)</f>
        <v>0</v>
      </c>
      <c r="G332" s="24" cm="1">
        <f t="array" ref="G332">_xlfn.XLOOKUP(TableDailySummary[[#This Row],[Fecha]]&amp;"Total site",ConversionRateByReferral[day]&amp;ConversionRateByReferral[referrer_source],ConversionRateByReferral[conversion_rate],0)</f>
        <v>0</v>
      </c>
      <c r="H332" s="11">
        <f>TableDailySummary[[#This Row],[Órden promedio totales]]*TableDailySummary[[#This Row],[CR totales]]</f>
        <v>0</v>
      </c>
      <c r="I332" s="11">
        <f>_xlfn.XLOOKUP(TableDailySummary[[#This Row],[Fecha]],SummaryDaily[day],SummaryDaily[new_net_sales],0)</f>
        <v>0</v>
      </c>
      <c r="J332" s="11">
        <f>_xlfn.XLOOKUP(TableDailySummary[[#This Row],[Fecha]],SummaryDaily[day],SummaryDaily[new_orders],0)</f>
        <v>0</v>
      </c>
      <c r="K332" s="11">
        <f>_xlfn.XLOOKUP(TableDailySummary[[#This Row],[Fecha]],SummaryDaily[day],SummaryDaily[new_average_order_value],0)</f>
        <v>0</v>
      </c>
      <c r="L332" s="11">
        <f>_xlfn.XLOOKUP(TableDailySummary[[#This Row],[Fecha]],SummaryDaily[day],SummaryDaily[Online Store_net_sales],0)</f>
        <v>0</v>
      </c>
      <c r="M332" s="11">
        <f>_xlfn.XLOOKUP(TableDailySummary[[#This Row],[Fecha]],SummaryDaily[day],SummaryDaily[Online Store_orders],0)</f>
        <v>0</v>
      </c>
      <c r="N332" s="11">
        <f>_xlfn.XLOOKUP(TableDailySummary[[#This Row],[Fecha]],SummaryDaily[day],SummaryDaily[Online Store_average_order_value],0)</f>
        <v>0</v>
      </c>
      <c r="O332" s="11">
        <f>_xlfn.XLOOKUP(TableDailySummary[[#This Row],[Fecha]],SummaryDaily[day],SummaryDaily[Tienda 81_net_sales],0)</f>
        <v>0</v>
      </c>
      <c r="P332" s="11">
        <f>_xlfn.XLOOKUP(TableDailySummary[[#This Row],[Fecha]],SummaryDaily[day],SummaryDaily[Tienda 81_orders],0)</f>
        <v>0</v>
      </c>
      <c r="Q332" s="11">
        <f>_xlfn.XLOOKUP(TableDailySummary[[#This Row],[Fecha]],SummaryDaily[day],SummaryDaily[Tienda 81_average_order_value],0)</f>
        <v>0</v>
      </c>
      <c r="R332" s="11">
        <f>_xlfn.XLOOKUP(TableDailySummary[[#This Row],[Fecha]],SummaryDaily[day],SummaryDaily[Rappi_net_sales],0)</f>
        <v>0</v>
      </c>
      <c r="S332" s="11">
        <f>_xlfn.XLOOKUP(TableDailySummary[[#This Row],[Fecha]],SummaryDaily[day],SummaryDaily[Rappi_orders],0)</f>
        <v>0</v>
      </c>
      <c r="T332" s="11">
        <f>_xlfn.XLOOKUP(TableDailySummary[[#This Row],[Fecha]],SummaryDaily[day],SummaryDaily[Rappi_average_order_value],0)</f>
        <v>0</v>
      </c>
      <c r="U332" s="11">
        <f>_xlfn.XLOOKUP(TableDailySummary[[#This Row],[Fecha]],SummaryDaily[day],SummaryDaily[Corporativo no tienda_net_sales],0)</f>
        <v>0</v>
      </c>
      <c r="V332" s="11">
        <f>_xlfn.XLOOKUP(TableDailySummary[[#This Row],[Fecha]],SummaryDaily[day],SummaryDaily[Corporativo no tienda_orders],0)</f>
        <v>0</v>
      </c>
      <c r="W332" s="11">
        <f>_xlfn.XLOOKUP(TableDailySummary[[#This Row],[Fecha]],SummaryDaily[day],SummaryDaily[Corporativo no tienda_average_order_value],0)</f>
        <v>0</v>
      </c>
      <c r="X332" s="11">
        <f>_xlfn.XLOOKUP(TableDailySummary[[#This Row],[Fecha]],SummaryDaily[day],SummaryDaily[GoogleAdsOperation.Cost],0)</f>
        <v>0</v>
      </c>
      <c r="Y332" s="11">
        <f>SUMIFS(SalesByUTMDaily[google],SalesByUTMDaily[day],TableDailySummary[[#This Row],[Fecha]])</f>
        <v>0</v>
      </c>
      <c r="Z332" s="11">
        <f>_xlfn.XLOOKUP(TableDailySummary[[#This Row],[Fecha]],SummaryDaily[day],SummaryDaily[MetaAdsOperation.spend],0)</f>
        <v>0</v>
      </c>
      <c r="AA332" s="11">
        <f>SUMIFS(SalesByUTMDaily[facebook],SalesByUTMDaily[day],TableDailySummary[[#This Row],[Fecha]])</f>
        <v>0</v>
      </c>
      <c r="AB332" s="11">
        <f>TableDailySummary[[#This Row],[Inversión google ads]]+TableDailySummary[[#This Row],[Inversión meta ads]]</f>
        <v>0</v>
      </c>
      <c r="AC332" s="11">
        <f>TableDailySummary[[#This Row],[Ventas google ads]]+TableDailySummary[[#This Row],[Ventas meta ads]]</f>
        <v>0</v>
      </c>
      <c r="AD332" s="14">
        <f>IFERROR(TableDailySummary[[#This Row],[Ventas publicidad]]/TableDailySummary[[#This Row],[Inversión publicidad]],0)</f>
        <v>0</v>
      </c>
      <c r="AE332" s="14">
        <f>IFERROR(TableDailySummary[[#This Row],[Ventas primer cliente]]/TableDailySummary[[#This Row],[Inversión publicidad]],0)</f>
        <v>0</v>
      </c>
      <c r="AF332" s="14"/>
      <c r="AG332" s="11"/>
      <c r="AM332" s="11">
        <f>_xlfn.XLOOKUP(TableDailySummary[[#This Row],[Fecha]],SummaryDaily[day],SummaryDaily[net_sales_with_cost_recorded],0)</f>
        <v>0</v>
      </c>
      <c r="AN332" s="11">
        <f>_xlfn.XLOOKUP(TableDailySummary[[#This Row],[Fecha]],SummaryDaily[day],SummaryDaily[cost_of_goods_sold],0)</f>
        <v>0</v>
      </c>
      <c r="AO332" s="11">
        <f>_xlfn.XLOOKUP(TableDailySummary[[#This Row],[Fecha]],SummaryDaily[day],SummaryDaily[gross_profit],0)</f>
        <v>0</v>
      </c>
      <c r="AP332" s="18">
        <f>IFERROR(TableDailySummary[[#This Row],[Utilidad bruta]]/TableDailySummary[[#This Row],[Ventas netas con costo registrado]],0)</f>
        <v>0</v>
      </c>
    </row>
    <row r="333" spans="2:42" x14ac:dyDescent="0.2">
      <c r="B333" s="15" cm="1">
        <f t="array" ref="B333">ParamFechaInicioReporte + (ROW(TableDailySummary[#This Row]) - ROW(TableDailySummary[[#Headers],[Dia]]) - 1)</f>
        <v>44860</v>
      </c>
      <c r="C333" s="6">
        <f>TableDailySummary[[#This Row],[Dia]]</f>
        <v>44860</v>
      </c>
      <c r="D333" s="11">
        <f>_xlfn.XLOOKUP(TableDailySummary[[#This Row],[Fecha]],SummaryDaily[day],SummaryDaily[net_sales],0)</f>
        <v>0</v>
      </c>
      <c r="E333" s="11">
        <f>_xlfn.XLOOKUP(TableDailySummary[[#This Row],[Fecha]],SummaryDaily[day],SummaryDaily[orders],0)</f>
        <v>0</v>
      </c>
      <c r="F333" s="11">
        <f>_xlfn.XLOOKUP(TableDailySummary[[#This Row],[Fecha]],SummaryDaily[day],SummaryDaily[average_order_value],0)</f>
        <v>0</v>
      </c>
      <c r="G333" s="24" cm="1">
        <f t="array" ref="G333">_xlfn.XLOOKUP(TableDailySummary[[#This Row],[Fecha]]&amp;"Total site",ConversionRateByReferral[day]&amp;ConversionRateByReferral[referrer_source],ConversionRateByReferral[conversion_rate],0)</f>
        <v>0</v>
      </c>
      <c r="H333" s="11">
        <f>TableDailySummary[[#This Row],[Órden promedio totales]]*TableDailySummary[[#This Row],[CR totales]]</f>
        <v>0</v>
      </c>
      <c r="I333" s="11">
        <f>_xlfn.XLOOKUP(TableDailySummary[[#This Row],[Fecha]],SummaryDaily[day],SummaryDaily[new_net_sales],0)</f>
        <v>0</v>
      </c>
      <c r="J333" s="11">
        <f>_xlfn.XLOOKUP(TableDailySummary[[#This Row],[Fecha]],SummaryDaily[day],SummaryDaily[new_orders],0)</f>
        <v>0</v>
      </c>
      <c r="K333" s="11">
        <f>_xlfn.XLOOKUP(TableDailySummary[[#This Row],[Fecha]],SummaryDaily[day],SummaryDaily[new_average_order_value],0)</f>
        <v>0</v>
      </c>
      <c r="L333" s="11">
        <f>_xlfn.XLOOKUP(TableDailySummary[[#This Row],[Fecha]],SummaryDaily[day],SummaryDaily[Online Store_net_sales],0)</f>
        <v>0</v>
      </c>
      <c r="M333" s="11">
        <f>_xlfn.XLOOKUP(TableDailySummary[[#This Row],[Fecha]],SummaryDaily[day],SummaryDaily[Online Store_orders],0)</f>
        <v>0</v>
      </c>
      <c r="N333" s="11">
        <f>_xlfn.XLOOKUP(TableDailySummary[[#This Row],[Fecha]],SummaryDaily[day],SummaryDaily[Online Store_average_order_value],0)</f>
        <v>0</v>
      </c>
      <c r="O333" s="11">
        <f>_xlfn.XLOOKUP(TableDailySummary[[#This Row],[Fecha]],SummaryDaily[day],SummaryDaily[Tienda 81_net_sales],0)</f>
        <v>0</v>
      </c>
      <c r="P333" s="11">
        <f>_xlfn.XLOOKUP(TableDailySummary[[#This Row],[Fecha]],SummaryDaily[day],SummaryDaily[Tienda 81_orders],0)</f>
        <v>0</v>
      </c>
      <c r="Q333" s="11">
        <f>_xlfn.XLOOKUP(TableDailySummary[[#This Row],[Fecha]],SummaryDaily[day],SummaryDaily[Tienda 81_average_order_value],0)</f>
        <v>0</v>
      </c>
      <c r="R333" s="11">
        <f>_xlfn.XLOOKUP(TableDailySummary[[#This Row],[Fecha]],SummaryDaily[day],SummaryDaily[Rappi_net_sales],0)</f>
        <v>0</v>
      </c>
      <c r="S333" s="11">
        <f>_xlfn.XLOOKUP(TableDailySummary[[#This Row],[Fecha]],SummaryDaily[day],SummaryDaily[Rappi_orders],0)</f>
        <v>0</v>
      </c>
      <c r="T333" s="11">
        <f>_xlfn.XLOOKUP(TableDailySummary[[#This Row],[Fecha]],SummaryDaily[day],SummaryDaily[Rappi_average_order_value],0)</f>
        <v>0</v>
      </c>
      <c r="U333" s="11">
        <f>_xlfn.XLOOKUP(TableDailySummary[[#This Row],[Fecha]],SummaryDaily[day],SummaryDaily[Corporativo no tienda_net_sales],0)</f>
        <v>0</v>
      </c>
      <c r="V333" s="11">
        <f>_xlfn.XLOOKUP(TableDailySummary[[#This Row],[Fecha]],SummaryDaily[day],SummaryDaily[Corporativo no tienda_orders],0)</f>
        <v>0</v>
      </c>
      <c r="W333" s="11">
        <f>_xlfn.XLOOKUP(TableDailySummary[[#This Row],[Fecha]],SummaryDaily[day],SummaryDaily[Corporativo no tienda_average_order_value],0)</f>
        <v>0</v>
      </c>
      <c r="X333" s="11">
        <f>_xlfn.XLOOKUP(TableDailySummary[[#This Row],[Fecha]],SummaryDaily[day],SummaryDaily[GoogleAdsOperation.Cost],0)</f>
        <v>0</v>
      </c>
      <c r="Y333" s="11">
        <f>SUMIFS(SalesByUTMDaily[google],SalesByUTMDaily[day],TableDailySummary[[#This Row],[Fecha]])</f>
        <v>0</v>
      </c>
      <c r="Z333" s="11">
        <f>_xlfn.XLOOKUP(TableDailySummary[[#This Row],[Fecha]],SummaryDaily[day],SummaryDaily[MetaAdsOperation.spend],0)</f>
        <v>0</v>
      </c>
      <c r="AA333" s="11">
        <f>SUMIFS(SalesByUTMDaily[facebook],SalesByUTMDaily[day],TableDailySummary[[#This Row],[Fecha]])</f>
        <v>0</v>
      </c>
      <c r="AB333" s="11">
        <f>TableDailySummary[[#This Row],[Inversión google ads]]+TableDailySummary[[#This Row],[Inversión meta ads]]</f>
        <v>0</v>
      </c>
      <c r="AC333" s="11">
        <f>TableDailySummary[[#This Row],[Ventas google ads]]+TableDailySummary[[#This Row],[Ventas meta ads]]</f>
        <v>0</v>
      </c>
      <c r="AD333" s="14">
        <f>IFERROR(TableDailySummary[[#This Row],[Ventas publicidad]]/TableDailySummary[[#This Row],[Inversión publicidad]],0)</f>
        <v>0</v>
      </c>
      <c r="AE333" s="14">
        <f>IFERROR(TableDailySummary[[#This Row],[Ventas primer cliente]]/TableDailySummary[[#This Row],[Inversión publicidad]],0)</f>
        <v>0</v>
      </c>
      <c r="AF333" s="14"/>
      <c r="AG333" s="11"/>
      <c r="AM333" s="11">
        <f>_xlfn.XLOOKUP(TableDailySummary[[#This Row],[Fecha]],SummaryDaily[day],SummaryDaily[net_sales_with_cost_recorded],0)</f>
        <v>0</v>
      </c>
      <c r="AN333" s="11">
        <f>_xlfn.XLOOKUP(TableDailySummary[[#This Row],[Fecha]],SummaryDaily[day],SummaryDaily[cost_of_goods_sold],0)</f>
        <v>0</v>
      </c>
      <c r="AO333" s="11">
        <f>_xlfn.XLOOKUP(TableDailySummary[[#This Row],[Fecha]],SummaryDaily[day],SummaryDaily[gross_profit],0)</f>
        <v>0</v>
      </c>
      <c r="AP333" s="18">
        <f>IFERROR(TableDailySummary[[#This Row],[Utilidad bruta]]/TableDailySummary[[#This Row],[Ventas netas con costo registrado]],0)</f>
        <v>0</v>
      </c>
    </row>
    <row r="334" spans="2:42" x14ac:dyDescent="0.2">
      <c r="B334" s="15" cm="1">
        <f t="array" ref="B334">ParamFechaInicioReporte + (ROW(TableDailySummary[#This Row]) - ROW(TableDailySummary[[#Headers],[Dia]]) - 1)</f>
        <v>44861</v>
      </c>
      <c r="C334" s="6">
        <f>TableDailySummary[[#This Row],[Dia]]</f>
        <v>44861</v>
      </c>
      <c r="D334" s="11">
        <f>_xlfn.XLOOKUP(TableDailySummary[[#This Row],[Fecha]],SummaryDaily[day],SummaryDaily[net_sales],0)</f>
        <v>0</v>
      </c>
      <c r="E334" s="11">
        <f>_xlfn.XLOOKUP(TableDailySummary[[#This Row],[Fecha]],SummaryDaily[day],SummaryDaily[orders],0)</f>
        <v>0</v>
      </c>
      <c r="F334" s="11">
        <f>_xlfn.XLOOKUP(TableDailySummary[[#This Row],[Fecha]],SummaryDaily[day],SummaryDaily[average_order_value],0)</f>
        <v>0</v>
      </c>
      <c r="G334" s="24" cm="1">
        <f t="array" ref="G334">_xlfn.XLOOKUP(TableDailySummary[[#This Row],[Fecha]]&amp;"Total site",ConversionRateByReferral[day]&amp;ConversionRateByReferral[referrer_source],ConversionRateByReferral[conversion_rate],0)</f>
        <v>0</v>
      </c>
      <c r="H334" s="11">
        <f>TableDailySummary[[#This Row],[Órden promedio totales]]*TableDailySummary[[#This Row],[CR totales]]</f>
        <v>0</v>
      </c>
      <c r="I334" s="11">
        <f>_xlfn.XLOOKUP(TableDailySummary[[#This Row],[Fecha]],SummaryDaily[day],SummaryDaily[new_net_sales],0)</f>
        <v>0</v>
      </c>
      <c r="J334" s="11">
        <f>_xlfn.XLOOKUP(TableDailySummary[[#This Row],[Fecha]],SummaryDaily[day],SummaryDaily[new_orders],0)</f>
        <v>0</v>
      </c>
      <c r="K334" s="11">
        <f>_xlfn.XLOOKUP(TableDailySummary[[#This Row],[Fecha]],SummaryDaily[day],SummaryDaily[new_average_order_value],0)</f>
        <v>0</v>
      </c>
      <c r="L334" s="11">
        <f>_xlfn.XLOOKUP(TableDailySummary[[#This Row],[Fecha]],SummaryDaily[day],SummaryDaily[Online Store_net_sales],0)</f>
        <v>0</v>
      </c>
      <c r="M334" s="11">
        <f>_xlfn.XLOOKUP(TableDailySummary[[#This Row],[Fecha]],SummaryDaily[day],SummaryDaily[Online Store_orders],0)</f>
        <v>0</v>
      </c>
      <c r="N334" s="11">
        <f>_xlfn.XLOOKUP(TableDailySummary[[#This Row],[Fecha]],SummaryDaily[day],SummaryDaily[Online Store_average_order_value],0)</f>
        <v>0</v>
      </c>
      <c r="O334" s="11">
        <f>_xlfn.XLOOKUP(TableDailySummary[[#This Row],[Fecha]],SummaryDaily[day],SummaryDaily[Tienda 81_net_sales],0)</f>
        <v>0</v>
      </c>
      <c r="P334" s="11">
        <f>_xlfn.XLOOKUP(TableDailySummary[[#This Row],[Fecha]],SummaryDaily[day],SummaryDaily[Tienda 81_orders],0)</f>
        <v>0</v>
      </c>
      <c r="Q334" s="11">
        <f>_xlfn.XLOOKUP(TableDailySummary[[#This Row],[Fecha]],SummaryDaily[day],SummaryDaily[Tienda 81_average_order_value],0)</f>
        <v>0</v>
      </c>
      <c r="R334" s="11">
        <f>_xlfn.XLOOKUP(TableDailySummary[[#This Row],[Fecha]],SummaryDaily[day],SummaryDaily[Rappi_net_sales],0)</f>
        <v>0</v>
      </c>
      <c r="S334" s="11">
        <f>_xlfn.XLOOKUP(TableDailySummary[[#This Row],[Fecha]],SummaryDaily[day],SummaryDaily[Rappi_orders],0)</f>
        <v>0</v>
      </c>
      <c r="T334" s="11">
        <f>_xlfn.XLOOKUP(TableDailySummary[[#This Row],[Fecha]],SummaryDaily[day],SummaryDaily[Rappi_average_order_value],0)</f>
        <v>0</v>
      </c>
      <c r="U334" s="11">
        <f>_xlfn.XLOOKUP(TableDailySummary[[#This Row],[Fecha]],SummaryDaily[day],SummaryDaily[Corporativo no tienda_net_sales],0)</f>
        <v>0</v>
      </c>
      <c r="V334" s="11">
        <f>_xlfn.XLOOKUP(TableDailySummary[[#This Row],[Fecha]],SummaryDaily[day],SummaryDaily[Corporativo no tienda_orders],0)</f>
        <v>0</v>
      </c>
      <c r="W334" s="11">
        <f>_xlfn.XLOOKUP(TableDailySummary[[#This Row],[Fecha]],SummaryDaily[day],SummaryDaily[Corporativo no tienda_average_order_value],0)</f>
        <v>0</v>
      </c>
      <c r="X334" s="11">
        <f>_xlfn.XLOOKUP(TableDailySummary[[#This Row],[Fecha]],SummaryDaily[day],SummaryDaily[GoogleAdsOperation.Cost],0)</f>
        <v>0</v>
      </c>
      <c r="Y334" s="11">
        <f>SUMIFS(SalesByUTMDaily[google],SalesByUTMDaily[day],TableDailySummary[[#This Row],[Fecha]])</f>
        <v>0</v>
      </c>
      <c r="Z334" s="11">
        <f>_xlfn.XLOOKUP(TableDailySummary[[#This Row],[Fecha]],SummaryDaily[day],SummaryDaily[MetaAdsOperation.spend],0)</f>
        <v>0</v>
      </c>
      <c r="AA334" s="11">
        <f>SUMIFS(SalesByUTMDaily[facebook],SalesByUTMDaily[day],TableDailySummary[[#This Row],[Fecha]])</f>
        <v>0</v>
      </c>
      <c r="AB334" s="11">
        <f>TableDailySummary[[#This Row],[Inversión google ads]]+TableDailySummary[[#This Row],[Inversión meta ads]]</f>
        <v>0</v>
      </c>
      <c r="AC334" s="11">
        <f>TableDailySummary[[#This Row],[Ventas google ads]]+TableDailySummary[[#This Row],[Ventas meta ads]]</f>
        <v>0</v>
      </c>
      <c r="AD334" s="14">
        <f>IFERROR(TableDailySummary[[#This Row],[Ventas publicidad]]/TableDailySummary[[#This Row],[Inversión publicidad]],0)</f>
        <v>0</v>
      </c>
      <c r="AE334" s="14">
        <f>IFERROR(TableDailySummary[[#This Row],[Ventas primer cliente]]/TableDailySummary[[#This Row],[Inversión publicidad]],0)</f>
        <v>0</v>
      </c>
      <c r="AF334" s="14"/>
      <c r="AG334" s="11"/>
      <c r="AM334" s="11">
        <f>_xlfn.XLOOKUP(TableDailySummary[[#This Row],[Fecha]],SummaryDaily[day],SummaryDaily[net_sales_with_cost_recorded],0)</f>
        <v>0</v>
      </c>
      <c r="AN334" s="11">
        <f>_xlfn.XLOOKUP(TableDailySummary[[#This Row],[Fecha]],SummaryDaily[day],SummaryDaily[cost_of_goods_sold],0)</f>
        <v>0</v>
      </c>
      <c r="AO334" s="11">
        <f>_xlfn.XLOOKUP(TableDailySummary[[#This Row],[Fecha]],SummaryDaily[day],SummaryDaily[gross_profit],0)</f>
        <v>0</v>
      </c>
      <c r="AP334" s="18">
        <f>IFERROR(TableDailySummary[[#This Row],[Utilidad bruta]]/TableDailySummary[[#This Row],[Ventas netas con costo registrado]],0)</f>
        <v>0</v>
      </c>
    </row>
    <row r="335" spans="2:42" x14ac:dyDescent="0.2">
      <c r="B335" s="15" cm="1">
        <f t="array" ref="B335">ParamFechaInicioReporte + (ROW(TableDailySummary[#This Row]) - ROW(TableDailySummary[[#Headers],[Dia]]) - 1)</f>
        <v>44862</v>
      </c>
      <c r="C335" s="6">
        <f>TableDailySummary[[#This Row],[Dia]]</f>
        <v>44862</v>
      </c>
      <c r="D335" s="11">
        <f>_xlfn.XLOOKUP(TableDailySummary[[#This Row],[Fecha]],SummaryDaily[day],SummaryDaily[net_sales],0)</f>
        <v>0</v>
      </c>
      <c r="E335" s="11">
        <f>_xlfn.XLOOKUP(TableDailySummary[[#This Row],[Fecha]],SummaryDaily[day],SummaryDaily[orders],0)</f>
        <v>0</v>
      </c>
      <c r="F335" s="11">
        <f>_xlfn.XLOOKUP(TableDailySummary[[#This Row],[Fecha]],SummaryDaily[day],SummaryDaily[average_order_value],0)</f>
        <v>0</v>
      </c>
      <c r="G335" s="24" cm="1">
        <f t="array" ref="G335">_xlfn.XLOOKUP(TableDailySummary[[#This Row],[Fecha]]&amp;"Total site",ConversionRateByReferral[day]&amp;ConversionRateByReferral[referrer_source],ConversionRateByReferral[conversion_rate],0)</f>
        <v>0</v>
      </c>
      <c r="H335" s="11">
        <f>TableDailySummary[[#This Row],[Órden promedio totales]]*TableDailySummary[[#This Row],[CR totales]]</f>
        <v>0</v>
      </c>
      <c r="I335" s="11">
        <f>_xlfn.XLOOKUP(TableDailySummary[[#This Row],[Fecha]],SummaryDaily[day],SummaryDaily[new_net_sales],0)</f>
        <v>0</v>
      </c>
      <c r="J335" s="11">
        <f>_xlfn.XLOOKUP(TableDailySummary[[#This Row],[Fecha]],SummaryDaily[day],SummaryDaily[new_orders],0)</f>
        <v>0</v>
      </c>
      <c r="K335" s="11">
        <f>_xlfn.XLOOKUP(TableDailySummary[[#This Row],[Fecha]],SummaryDaily[day],SummaryDaily[new_average_order_value],0)</f>
        <v>0</v>
      </c>
      <c r="L335" s="11">
        <f>_xlfn.XLOOKUP(TableDailySummary[[#This Row],[Fecha]],SummaryDaily[day],SummaryDaily[Online Store_net_sales],0)</f>
        <v>0</v>
      </c>
      <c r="M335" s="11">
        <f>_xlfn.XLOOKUP(TableDailySummary[[#This Row],[Fecha]],SummaryDaily[day],SummaryDaily[Online Store_orders],0)</f>
        <v>0</v>
      </c>
      <c r="N335" s="11">
        <f>_xlfn.XLOOKUP(TableDailySummary[[#This Row],[Fecha]],SummaryDaily[day],SummaryDaily[Online Store_average_order_value],0)</f>
        <v>0</v>
      </c>
      <c r="O335" s="11">
        <f>_xlfn.XLOOKUP(TableDailySummary[[#This Row],[Fecha]],SummaryDaily[day],SummaryDaily[Tienda 81_net_sales],0)</f>
        <v>0</v>
      </c>
      <c r="P335" s="11">
        <f>_xlfn.XLOOKUP(TableDailySummary[[#This Row],[Fecha]],SummaryDaily[day],SummaryDaily[Tienda 81_orders],0)</f>
        <v>0</v>
      </c>
      <c r="Q335" s="11">
        <f>_xlfn.XLOOKUP(TableDailySummary[[#This Row],[Fecha]],SummaryDaily[day],SummaryDaily[Tienda 81_average_order_value],0)</f>
        <v>0</v>
      </c>
      <c r="R335" s="11">
        <f>_xlfn.XLOOKUP(TableDailySummary[[#This Row],[Fecha]],SummaryDaily[day],SummaryDaily[Rappi_net_sales],0)</f>
        <v>0</v>
      </c>
      <c r="S335" s="11">
        <f>_xlfn.XLOOKUP(TableDailySummary[[#This Row],[Fecha]],SummaryDaily[day],SummaryDaily[Rappi_orders],0)</f>
        <v>0</v>
      </c>
      <c r="T335" s="11">
        <f>_xlfn.XLOOKUP(TableDailySummary[[#This Row],[Fecha]],SummaryDaily[day],SummaryDaily[Rappi_average_order_value],0)</f>
        <v>0</v>
      </c>
      <c r="U335" s="11">
        <f>_xlfn.XLOOKUP(TableDailySummary[[#This Row],[Fecha]],SummaryDaily[day],SummaryDaily[Corporativo no tienda_net_sales],0)</f>
        <v>0</v>
      </c>
      <c r="V335" s="11">
        <f>_xlfn.XLOOKUP(TableDailySummary[[#This Row],[Fecha]],SummaryDaily[day],SummaryDaily[Corporativo no tienda_orders],0)</f>
        <v>0</v>
      </c>
      <c r="W335" s="11">
        <f>_xlfn.XLOOKUP(TableDailySummary[[#This Row],[Fecha]],SummaryDaily[day],SummaryDaily[Corporativo no tienda_average_order_value],0)</f>
        <v>0</v>
      </c>
      <c r="X335" s="11">
        <f>_xlfn.XLOOKUP(TableDailySummary[[#This Row],[Fecha]],SummaryDaily[day],SummaryDaily[GoogleAdsOperation.Cost],0)</f>
        <v>0</v>
      </c>
      <c r="Y335" s="11">
        <f>SUMIFS(SalesByUTMDaily[google],SalesByUTMDaily[day],TableDailySummary[[#This Row],[Fecha]])</f>
        <v>0</v>
      </c>
      <c r="Z335" s="11">
        <f>_xlfn.XLOOKUP(TableDailySummary[[#This Row],[Fecha]],SummaryDaily[day],SummaryDaily[MetaAdsOperation.spend],0)</f>
        <v>0</v>
      </c>
      <c r="AA335" s="11">
        <f>SUMIFS(SalesByUTMDaily[facebook],SalesByUTMDaily[day],TableDailySummary[[#This Row],[Fecha]])</f>
        <v>0</v>
      </c>
      <c r="AB335" s="11">
        <f>TableDailySummary[[#This Row],[Inversión google ads]]+TableDailySummary[[#This Row],[Inversión meta ads]]</f>
        <v>0</v>
      </c>
      <c r="AC335" s="11">
        <f>TableDailySummary[[#This Row],[Ventas google ads]]+TableDailySummary[[#This Row],[Ventas meta ads]]</f>
        <v>0</v>
      </c>
      <c r="AD335" s="14">
        <f>IFERROR(TableDailySummary[[#This Row],[Ventas publicidad]]/TableDailySummary[[#This Row],[Inversión publicidad]],0)</f>
        <v>0</v>
      </c>
      <c r="AE335" s="14">
        <f>IFERROR(TableDailySummary[[#This Row],[Ventas primer cliente]]/TableDailySummary[[#This Row],[Inversión publicidad]],0)</f>
        <v>0</v>
      </c>
      <c r="AF335" s="14"/>
      <c r="AG335" s="11"/>
      <c r="AM335" s="11">
        <f>_xlfn.XLOOKUP(TableDailySummary[[#This Row],[Fecha]],SummaryDaily[day],SummaryDaily[net_sales_with_cost_recorded],0)</f>
        <v>0</v>
      </c>
      <c r="AN335" s="11">
        <f>_xlfn.XLOOKUP(TableDailySummary[[#This Row],[Fecha]],SummaryDaily[day],SummaryDaily[cost_of_goods_sold],0)</f>
        <v>0</v>
      </c>
      <c r="AO335" s="11">
        <f>_xlfn.XLOOKUP(TableDailySummary[[#This Row],[Fecha]],SummaryDaily[day],SummaryDaily[gross_profit],0)</f>
        <v>0</v>
      </c>
      <c r="AP335" s="18">
        <f>IFERROR(TableDailySummary[[#This Row],[Utilidad bruta]]/TableDailySummary[[#This Row],[Ventas netas con costo registrado]],0)</f>
        <v>0</v>
      </c>
    </row>
    <row r="336" spans="2:42" x14ac:dyDescent="0.2">
      <c r="B336" s="15" cm="1">
        <f t="array" ref="B336">ParamFechaInicioReporte + (ROW(TableDailySummary[#This Row]) - ROW(TableDailySummary[[#Headers],[Dia]]) - 1)</f>
        <v>44863</v>
      </c>
      <c r="C336" s="6">
        <f>TableDailySummary[[#This Row],[Dia]]</f>
        <v>44863</v>
      </c>
      <c r="D336" s="11">
        <f>_xlfn.XLOOKUP(TableDailySummary[[#This Row],[Fecha]],SummaryDaily[day],SummaryDaily[net_sales],0)</f>
        <v>0</v>
      </c>
      <c r="E336" s="11">
        <f>_xlfn.XLOOKUP(TableDailySummary[[#This Row],[Fecha]],SummaryDaily[day],SummaryDaily[orders],0)</f>
        <v>0</v>
      </c>
      <c r="F336" s="11">
        <f>_xlfn.XLOOKUP(TableDailySummary[[#This Row],[Fecha]],SummaryDaily[day],SummaryDaily[average_order_value],0)</f>
        <v>0</v>
      </c>
      <c r="G336" s="24" cm="1">
        <f t="array" ref="G336">_xlfn.XLOOKUP(TableDailySummary[[#This Row],[Fecha]]&amp;"Total site",ConversionRateByReferral[day]&amp;ConversionRateByReferral[referrer_source],ConversionRateByReferral[conversion_rate],0)</f>
        <v>0</v>
      </c>
      <c r="H336" s="11">
        <f>TableDailySummary[[#This Row],[Órden promedio totales]]*TableDailySummary[[#This Row],[CR totales]]</f>
        <v>0</v>
      </c>
      <c r="I336" s="11">
        <f>_xlfn.XLOOKUP(TableDailySummary[[#This Row],[Fecha]],SummaryDaily[day],SummaryDaily[new_net_sales],0)</f>
        <v>0</v>
      </c>
      <c r="J336" s="11">
        <f>_xlfn.XLOOKUP(TableDailySummary[[#This Row],[Fecha]],SummaryDaily[day],SummaryDaily[new_orders],0)</f>
        <v>0</v>
      </c>
      <c r="K336" s="11">
        <f>_xlfn.XLOOKUP(TableDailySummary[[#This Row],[Fecha]],SummaryDaily[day],SummaryDaily[new_average_order_value],0)</f>
        <v>0</v>
      </c>
      <c r="L336" s="11">
        <f>_xlfn.XLOOKUP(TableDailySummary[[#This Row],[Fecha]],SummaryDaily[day],SummaryDaily[Online Store_net_sales],0)</f>
        <v>0</v>
      </c>
      <c r="M336" s="11">
        <f>_xlfn.XLOOKUP(TableDailySummary[[#This Row],[Fecha]],SummaryDaily[day],SummaryDaily[Online Store_orders],0)</f>
        <v>0</v>
      </c>
      <c r="N336" s="11">
        <f>_xlfn.XLOOKUP(TableDailySummary[[#This Row],[Fecha]],SummaryDaily[day],SummaryDaily[Online Store_average_order_value],0)</f>
        <v>0</v>
      </c>
      <c r="O336" s="11">
        <f>_xlfn.XLOOKUP(TableDailySummary[[#This Row],[Fecha]],SummaryDaily[day],SummaryDaily[Tienda 81_net_sales],0)</f>
        <v>0</v>
      </c>
      <c r="P336" s="11">
        <f>_xlfn.XLOOKUP(TableDailySummary[[#This Row],[Fecha]],SummaryDaily[day],SummaryDaily[Tienda 81_orders],0)</f>
        <v>0</v>
      </c>
      <c r="Q336" s="11">
        <f>_xlfn.XLOOKUP(TableDailySummary[[#This Row],[Fecha]],SummaryDaily[day],SummaryDaily[Tienda 81_average_order_value],0)</f>
        <v>0</v>
      </c>
      <c r="R336" s="11">
        <f>_xlfn.XLOOKUP(TableDailySummary[[#This Row],[Fecha]],SummaryDaily[day],SummaryDaily[Rappi_net_sales],0)</f>
        <v>0</v>
      </c>
      <c r="S336" s="11">
        <f>_xlfn.XLOOKUP(TableDailySummary[[#This Row],[Fecha]],SummaryDaily[day],SummaryDaily[Rappi_orders],0)</f>
        <v>0</v>
      </c>
      <c r="T336" s="11">
        <f>_xlfn.XLOOKUP(TableDailySummary[[#This Row],[Fecha]],SummaryDaily[day],SummaryDaily[Rappi_average_order_value],0)</f>
        <v>0</v>
      </c>
      <c r="U336" s="11">
        <f>_xlfn.XLOOKUP(TableDailySummary[[#This Row],[Fecha]],SummaryDaily[day],SummaryDaily[Corporativo no tienda_net_sales],0)</f>
        <v>0</v>
      </c>
      <c r="V336" s="11">
        <f>_xlfn.XLOOKUP(TableDailySummary[[#This Row],[Fecha]],SummaryDaily[day],SummaryDaily[Corporativo no tienda_orders],0)</f>
        <v>0</v>
      </c>
      <c r="W336" s="11">
        <f>_xlfn.XLOOKUP(TableDailySummary[[#This Row],[Fecha]],SummaryDaily[day],SummaryDaily[Corporativo no tienda_average_order_value],0)</f>
        <v>0</v>
      </c>
      <c r="X336" s="11">
        <f>_xlfn.XLOOKUP(TableDailySummary[[#This Row],[Fecha]],SummaryDaily[day],SummaryDaily[GoogleAdsOperation.Cost],0)</f>
        <v>0</v>
      </c>
      <c r="Y336" s="11">
        <f>SUMIFS(SalesByUTMDaily[google],SalesByUTMDaily[day],TableDailySummary[[#This Row],[Fecha]])</f>
        <v>0</v>
      </c>
      <c r="Z336" s="11">
        <f>_xlfn.XLOOKUP(TableDailySummary[[#This Row],[Fecha]],SummaryDaily[day],SummaryDaily[MetaAdsOperation.spend],0)</f>
        <v>0</v>
      </c>
      <c r="AA336" s="11">
        <f>SUMIFS(SalesByUTMDaily[facebook],SalesByUTMDaily[day],TableDailySummary[[#This Row],[Fecha]])</f>
        <v>0</v>
      </c>
      <c r="AB336" s="11">
        <f>TableDailySummary[[#This Row],[Inversión google ads]]+TableDailySummary[[#This Row],[Inversión meta ads]]</f>
        <v>0</v>
      </c>
      <c r="AC336" s="11">
        <f>TableDailySummary[[#This Row],[Ventas google ads]]+TableDailySummary[[#This Row],[Ventas meta ads]]</f>
        <v>0</v>
      </c>
      <c r="AD336" s="14">
        <f>IFERROR(TableDailySummary[[#This Row],[Ventas publicidad]]/TableDailySummary[[#This Row],[Inversión publicidad]],0)</f>
        <v>0</v>
      </c>
      <c r="AE336" s="14">
        <f>IFERROR(TableDailySummary[[#This Row],[Ventas primer cliente]]/TableDailySummary[[#This Row],[Inversión publicidad]],0)</f>
        <v>0</v>
      </c>
      <c r="AF336" s="14"/>
      <c r="AG336" s="11"/>
      <c r="AM336" s="11">
        <f>_xlfn.XLOOKUP(TableDailySummary[[#This Row],[Fecha]],SummaryDaily[day],SummaryDaily[net_sales_with_cost_recorded],0)</f>
        <v>0</v>
      </c>
      <c r="AN336" s="11">
        <f>_xlfn.XLOOKUP(TableDailySummary[[#This Row],[Fecha]],SummaryDaily[day],SummaryDaily[cost_of_goods_sold],0)</f>
        <v>0</v>
      </c>
      <c r="AO336" s="11">
        <f>_xlfn.XLOOKUP(TableDailySummary[[#This Row],[Fecha]],SummaryDaily[day],SummaryDaily[gross_profit],0)</f>
        <v>0</v>
      </c>
      <c r="AP336" s="18">
        <f>IFERROR(TableDailySummary[[#This Row],[Utilidad bruta]]/TableDailySummary[[#This Row],[Ventas netas con costo registrado]],0)</f>
        <v>0</v>
      </c>
    </row>
    <row r="337" spans="2:42" x14ac:dyDescent="0.2">
      <c r="B337" s="15" cm="1">
        <f t="array" ref="B337">ParamFechaInicioReporte + (ROW(TableDailySummary[#This Row]) - ROW(TableDailySummary[[#Headers],[Dia]]) - 1)</f>
        <v>44864</v>
      </c>
      <c r="C337" s="6">
        <f>TableDailySummary[[#This Row],[Dia]]</f>
        <v>44864</v>
      </c>
      <c r="D337" s="11">
        <f>_xlfn.XLOOKUP(TableDailySummary[[#This Row],[Fecha]],SummaryDaily[day],SummaryDaily[net_sales],0)</f>
        <v>0</v>
      </c>
      <c r="E337" s="11">
        <f>_xlfn.XLOOKUP(TableDailySummary[[#This Row],[Fecha]],SummaryDaily[day],SummaryDaily[orders],0)</f>
        <v>0</v>
      </c>
      <c r="F337" s="11">
        <f>_xlfn.XLOOKUP(TableDailySummary[[#This Row],[Fecha]],SummaryDaily[day],SummaryDaily[average_order_value],0)</f>
        <v>0</v>
      </c>
      <c r="G337" s="24" cm="1">
        <f t="array" ref="G337">_xlfn.XLOOKUP(TableDailySummary[[#This Row],[Fecha]]&amp;"Total site",ConversionRateByReferral[day]&amp;ConversionRateByReferral[referrer_source],ConversionRateByReferral[conversion_rate],0)</f>
        <v>0</v>
      </c>
      <c r="H337" s="11">
        <f>TableDailySummary[[#This Row],[Órden promedio totales]]*TableDailySummary[[#This Row],[CR totales]]</f>
        <v>0</v>
      </c>
      <c r="I337" s="11">
        <f>_xlfn.XLOOKUP(TableDailySummary[[#This Row],[Fecha]],SummaryDaily[day],SummaryDaily[new_net_sales],0)</f>
        <v>0</v>
      </c>
      <c r="J337" s="11">
        <f>_xlfn.XLOOKUP(TableDailySummary[[#This Row],[Fecha]],SummaryDaily[day],SummaryDaily[new_orders],0)</f>
        <v>0</v>
      </c>
      <c r="K337" s="11">
        <f>_xlfn.XLOOKUP(TableDailySummary[[#This Row],[Fecha]],SummaryDaily[day],SummaryDaily[new_average_order_value],0)</f>
        <v>0</v>
      </c>
      <c r="L337" s="11">
        <f>_xlfn.XLOOKUP(TableDailySummary[[#This Row],[Fecha]],SummaryDaily[day],SummaryDaily[Online Store_net_sales],0)</f>
        <v>0</v>
      </c>
      <c r="M337" s="11">
        <f>_xlfn.XLOOKUP(TableDailySummary[[#This Row],[Fecha]],SummaryDaily[day],SummaryDaily[Online Store_orders],0)</f>
        <v>0</v>
      </c>
      <c r="N337" s="11">
        <f>_xlfn.XLOOKUP(TableDailySummary[[#This Row],[Fecha]],SummaryDaily[day],SummaryDaily[Online Store_average_order_value],0)</f>
        <v>0</v>
      </c>
      <c r="O337" s="11">
        <f>_xlfn.XLOOKUP(TableDailySummary[[#This Row],[Fecha]],SummaryDaily[day],SummaryDaily[Tienda 81_net_sales],0)</f>
        <v>0</v>
      </c>
      <c r="P337" s="11">
        <f>_xlfn.XLOOKUP(TableDailySummary[[#This Row],[Fecha]],SummaryDaily[day],SummaryDaily[Tienda 81_orders],0)</f>
        <v>0</v>
      </c>
      <c r="Q337" s="11">
        <f>_xlfn.XLOOKUP(TableDailySummary[[#This Row],[Fecha]],SummaryDaily[day],SummaryDaily[Tienda 81_average_order_value],0)</f>
        <v>0</v>
      </c>
      <c r="R337" s="11">
        <f>_xlfn.XLOOKUP(TableDailySummary[[#This Row],[Fecha]],SummaryDaily[day],SummaryDaily[Rappi_net_sales],0)</f>
        <v>0</v>
      </c>
      <c r="S337" s="11">
        <f>_xlfn.XLOOKUP(TableDailySummary[[#This Row],[Fecha]],SummaryDaily[day],SummaryDaily[Rappi_orders],0)</f>
        <v>0</v>
      </c>
      <c r="T337" s="11">
        <f>_xlfn.XLOOKUP(TableDailySummary[[#This Row],[Fecha]],SummaryDaily[day],SummaryDaily[Rappi_average_order_value],0)</f>
        <v>0</v>
      </c>
      <c r="U337" s="11">
        <f>_xlfn.XLOOKUP(TableDailySummary[[#This Row],[Fecha]],SummaryDaily[day],SummaryDaily[Corporativo no tienda_net_sales],0)</f>
        <v>0</v>
      </c>
      <c r="V337" s="11">
        <f>_xlfn.XLOOKUP(TableDailySummary[[#This Row],[Fecha]],SummaryDaily[day],SummaryDaily[Corporativo no tienda_orders],0)</f>
        <v>0</v>
      </c>
      <c r="W337" s="11">
        <f>_xlfn.XLOOKUP(TableDailySummary[[#This Row],[Fecha]],SummaryDaily[day],SummaryDaily[Corporativo no tienda_average_order_value],0)</f>
        <v>0</v>
      </c>
      <c r="X337" s="11">
        <f>_xlfn.XLOOKUP(TableDailySummary[[#This Row],[Fecha]],SummaryDaily[day],SummaryDaily[GoogleAdsOperation.Cost],0)</f>
        <v>0</v>
      </c>
      <c r="Y337" s="11">
        <f>SUMIFS(SalesByUTMDaily[google],SalesByUTMDaily[day],TableDailySummary[[#This Row],[Fecha]])</f>
        <v>0</v>
      </c>
      <c r="Z337" s="11">
        <f>_xlfn.XLOOKUP(TableDailySummary[[#This Row],[Fecha]],SummaryDaily[day],SummaryDaily[MetaAdsOperation.spend],0)</f>
        <v>0</v>
      </c>
      <c r="AA337" s="11">
        <f>SUMIFS(SalesByUTMDaily[facebook],SalesByUTMDaily[day],TableDailySummary[[#This Row],[Fecha]])</f>
        <v>0</v>
      </c>
      <c r="AB337" s="11">
        <f>TableDailySummary[[#This Row],[Inversión google ads]]+TableDailySummary[[#This Row],[Inversión meta ads]]</f>
        <v>0</v>
      </c>
      <c r="AC337" s="11">
        <f>TableDailySummary[[#This Row],[Ventas google ads]]+TableDailySummary[[#This Row],[Ventas meta ads]]</f>
        <v>0</v>
      </c>
      <c r="AD337" s="14">
        <f>IFERROR(TableDailySummary[[#This Row],[Ventas publicidad]]/TableDailySummary[[#This Row],[Inversión publicidad]],0)</f>
        <v>0</v>
      </c>
      <c r="AE337" s="14">
        <f>IFERROR(TableDailySummary[[#This Row],[Ventas primer cliente]]/TableDailySummary[[#This Row],[Inversión publicidad]],0)</f>
        <v>0</v>
      </c>
      <c r="AF337" s="14"/>
      <c r="AG337" s="11"/>
      <c r="AM337" s="11">
        <f>_xlfn.XLOOKUP(TableDailySummary[[#This Row],[Fecha]],SummaryDaily[day],SummaryDaily[net_sales_with_cost_recorded],0)</f>
        <v>0</v>
      </c>
      <c r="AN337" s="11">
        <f>_xlfn.XLOOKUP(TableDailySummary[[#This Row],[Fecha]],SummaryDaily[day],SummaryDaily[cost_of_goods_sold],0)</f>
        <v>0</v>
      </c>
      <c r="AO337" s="11">
        <f>_xlfn.XLOOKUP(TableDailySummary[[#This Row],[Fecha]],SummaryDaily[day],SummaryDaily[gross_profit],0)</f>
        <v>0</v>
      </c>
      <c r="AP337" s="18">
        <f>IFERROR(TableDailySummary[[#This Row],[Utilidad bruta]]/TableDailySummary[[#This Row],[Ventas netas con costo registrado]],0)</f>
        <v>0</v>
      </c>
    </row>
    <row r="338" spans="2:42" x14ac:dyDescent="0.2">
      <c r="B338" s="15" cm="1">
        <f t="array" ref="B338">ParamFechaInicioReporte + (ROW(TableDailySummary[#This Row]) - ROW(TableDailySummary[[#Headers],[Dia]]) - 1)</f>
        <v>44865</v>
      </c>
      <c r="C338" s="6">
        <f>TableDailySummary[[#This Row],[Dia]]</f>
        <v>44865</v>
      </c>
      <c r="D338" s="11">
        <f>_xlfn.XLOOKUP(TableDailySummary[[#This Row],[Fecha]],SummaryDaily[day],SummaryDaily[net_sales],0)</f>
        <v>0</v>
      </c>
      <c r="E338" s="11">
        <f>_xlfn.XLOOKUP(TableDailySummary[[#This Row],[Fecha]],SummaryDaily[day],SummaryDaily[orders],0)</f>
        <v>0</v>
      </c>
      <c r="F338" s="11">
        <f>_xlfn.XLOOKUP(TableDailySummary[[#This Row],[Fecha]],SummaryDaily[day],SummaryDaily[average_order_value],0)</f>
        <v>0</v>
      </c>
      <c r="G338" s="24" cm="1">
        <f t="array" ref="G338">_xlfn.XLOOKUP(TableDailySummary[[#This Row],[Fecha]]&amp;"Total site",ConversionRateByReferral[day]&amp;ConversionRateByReferral[referrer_source],ConversionRateByReferral[conversion_rate],0)</f>
        <v>0</v>
      </c>
      <c r="H338" s="11">
        <f>TableDailySummary[[#This Row],[Órden promedio totales]]*TableDailySummary[[#This Row],[CR totales]]</f>
        <v>0</v>
      </c>
      <c r="I338" s="11">
        <f>_xlfn.XLOOKUP(TableDailySummary[[#This Row],[Fecha]],SummaryDaily[day],SummaryDaily[new_net_sales],0)</f>
        <v>0</v>
      </c>
      <c r="J338" s="11">
        <f>_xlfn.XLOOKUP(TableDailySummary[[#This Row],[Fecha]],SummaryDaily[day],SummaryDaily[new_orders],0)</f>
        <v>0</v>
      </c>
      <c r="K338" s="11">
        <f>_xlfn.XLOOKUP(TableDailySummary[[#This Row],[Fecha]],SummaryDaily[day],SummaryDaily[new_average_order_value],0)</f>
        <v>0</v>
      </c>
      <c r="L338" s="11">
        <f>_xlfn.XLOOKUP(TableDailySummary[[#This Row],[Fecha]],SummaryDaily[day],SummaryDaily[Online Store_net_sales],0)</f>
        <v>0</v>
      </c>
      <c r="M338" s="11">
        <f>_xlfn.XLOOKUP(TableDailySummary[[#This Row],[Fecha]],SummaryDaily[day],SummaryDaily[Online Store_orders],0)</f>
        <v>0</v>
      </c>
      <c r="N338" s="11">
        <f>_xlfn.XLOOKUP(TableDailySummary[[#This Row],[Fecha]],SummaryDaily[day],SummaryDaily[Online Store_average_order_value],0)</f>
        <v>0</v>
      </c>
      <c r="O338" s="11">
        <f>_xlfn.XLOOKUP(TableDailySummary[[#This Row],[Fecha]],SummaryDaily[day],SummaryDaily[Tienda 81_net_sales],0)</f>
        <v>0</v>
      </c>
      <c r="P338" s="11">
        <f>_xlfn.XLOOKUP(TableDailySummary[[#This Row],[Fecha]],SummaryDaily[day],SummaryDaily[Tienda 81_orders],0)</f>
        <v>0</v>
      </c>
      <c r="Q338" s="11">
        <f>_xlfn.XLOOKUP(TableDailySummary[[#This Row],[Fecha]],SummaryDaily[day],SummaryDaily[Tienda 81_average_order_value],0)</f>
        <v>0</v>
      </c>
      <c r="R338" s="11">
        <f>_xlfn.XLOOKUP(TableDailySummary[[#This Row],[Fecha]],SummaryDaily[day],SummaryDaily[Rappi_net_sales],0)</f>
        <v>0</v>
      </c>
      <c r="S338" s="11">
        <f>_xlfn.XLOOKUP(TableDailySummary[[#This Row],[Fecha]],SummaryDaily[day],SummaryDaily[Rappi_orders],0)</f>
        <v>0</v>
      </c>
      <c r="T338" s="11">
        <f>_xlfn.XLOOKUP(TableDailySummary[[#This Row],[Fecha]],SummaryDaily[day],SummaryDaily[Rappi_average_order_value],0)</f>
        <v>0</v>
      </c>
      <c r="U338" s="11">
        <f>_xlfn.XLOOKUP(TableDailySummary[[#This Row],[Fecha]],SummaryDaily[day],SummaryDaily[Corporativo no tienda_net_sales],0)</f>
        <v>0</v>
      </c>
      <c r="V338" s="11">
        <f>_xlfn.XLOOKUP(TableDailySummary[[#This Row],[Fecha]],SummaryDaily[day],SummaryDaily[Corporativo no tienda_orders],0)</f>
        <v>0</v>
      </c>
      <c r="W338" s="11">
        <f>_xlfn.XLOOKUP(TableDailySummary[[#This Row],[Fecha]],SummaryDaily[day],SummaryDaily[Corporativo no tienda_average_order_value],0)</f>
        <v>0</v>
      </c>
      <c r="X338" s="11">
        <f>_xlfn.XLOOKUP(TableDailySummary[[#This Row],[Fecha]],SummaryDaily[day],SummaryDaily[GoogleAdsOperation.Cost],0)</f>
        <v>0</v>
      </c>
      <c r="Y338" s="11">
        <f>SUMIFS(SalesByUTMDaily[google],SalesByUTMDaily[day],TableDailySummary[[#This Row],[Fecha]])</f>
        <v>0</v>
      </c>
      <c r="Z338" s="11">
        <f>_xlfn.XLOOKUP(TableDailySummary[[#This Row],[Fecha]],SummaryDaily[day],SummaryDaily[MetaAdsOperation.spend],0)</f>
        <v>0</v>
      </c>
      <c r="AA338" s="11">
        <f>SUMIFS(SalesByUTMDaily[facebook],SalesByUTMDaily[day],TableDailySummary[[#This Row],[Fecha]])</f>
        <v>0</v>
      </c>
      <c r="AB338" s="11">
        <f>TableDailySummary[[#This Row],[Inversión google ads]]+TableDailySummary[[#This Row],[Inversión meta ads]]</f>
        <v>0</v>
      </c>
      <c r="AC338" s="11">
        <f>TableDailySummary[[#This Row],[Ventas google ads]]+TableDailySummary[[#This Row],[Ventas meta ads]]</f>
        <v>0</v>
      </c>
      <c r="AD338" s="14">
        <f>IFERROR(TableDailySummary[[#This Row],[Ventas publicidad]]/TableDailySummary[[#This Row],[Inversión publicidad]],0)</f>
        <v>0</v>
      </c>
      <c r="AE338" s="14">
        <f>IFERROR(TableDailySummary[[#This Row],[Ventas primer cliente]]/TableDailySummary[[#This Row],[Inversión publicidad]],0)</f>
        <v>0</v>
      </c>
      <c r="AF338" s="14"/>
      <c r="AG338" s="11"/>
      <c r="AM338" s="11">
        <f>_xlfn.XLOOKUP(TableDailySummary[[#This Row],[Fecha]],SummaryDaily[day],SummaryDaily[net_sales_with_cost_recorded],0)</f>
        <v>0</v>
      </c>
      <c r="AN338" s="11">
        <f>_xlfn.XLOOKUP(TableDailySummary[[#This Row],[Fecha]],SummaryDaily[day],SummaryDaily[cost_of_goods_sold],0)</f>
        <v>0</v>
      </c>
      <c r="AO338" s="11">
        <f>_xlfn.XLOOKUP(TableDailySummary[[#This Row],[Fecha]],SummaryDaily[day],SummaryDaily[gross_profit],0)</f>
        <v>0</v>
      </c>
      <c r="AP338" s="18">
        <f>IFERROR(TableDailySummary[[#This Row],[Utilidad bruta]]/TableDailySummary[[#This Row],[Ventas netas con costo registrado]],0)</f>
        <v>0</v>
      </c>
    </row>
    <row r="339" spans="2:42" x14ac:dyDescent="0.2">
      <c r="B339" s="15" cm="1">
        <f t="array" ref="B339">ParamFechaInicioReporte + (ROW(TableDailySummary[#This Row]) - ROW(TableDailySummary[[#Headers],[Dia]]) - 1)</f>
        <v>44866</v>
      </c>
      <c r="C339" s="6">
        <f>TableDailySummary[[#This Row],[Dia]]</f>
        <v>44866</v>
      </c>
      <c r="D339" s="11">
        <f>_xlfn.XLOOKUP(TableDailySummary[[#This Row],[Fecha]],SummaryDaily[day],SummaryDaily[net_sales],0)</f>
        <v>0</v>
      </c>
      <c r="E339" s="11">
        <f>_xlfn.XLOOKUP(TableDailySummary[[#This Row],[Fecha]],SummaryDaily[day],SummaryDaily[orders],0)</f>
        <v>0</v>
      </c>
      <c r="F339" s="11">
        <f>_xlfn.XLOOKUP(TableDailySummary[[#This Row],[Fecha]],SummaryDaily[day],SummaryDaily[average_order_value],0)</f>
        <v>0</v>
      </c>
      <c r="G339" s="24" cm="1">
        <f t="array" ref="G339">_xlfn.XLOOKUP(TableDailySummary[[#This Row],[Fecha]]&amp;"Total site",ConversionRateByReferral[day]&amp;ConversionRateByReferral[referrer_source],ConversionRateByReferral[conversion_rate],0)</f>
        <v>0</v>
      </c>
      <c r="H339" s="11">
        <f>TableDailySummary[[#This Row],[Órden promedio totales]]*TableDailySummary[[#This Row],[CR totales]]</f>
        <v>0</v>
      </c>
      <c r="I339" s="11">
        <f>_xlfn.XLOOKUP(TableDailySummary[[#This Row],[Fecha]],SummaryDaily[day],SummaryDaily[new_net_sales],0)</f>
        <v>0</v>
      </c>
      <c r="J339" s="11">
        <f>_xlfn.XLOOKUP(TableDailySummary[[#This Row],[Fecha]],SummaryDaily[day],SummaryDaily[new_orders],0)</f>
        <v>0</v>
      </c>
      <c r="K339" s="11">
        <f>_xlfn.XLOOKUP(TableDailySummary[[#This Row],[Fecha]],SummaryDaily[day],SummaryDaily[new_average_order_value],0)</f>
        <v>0</v>
      </c>
      <c r="L339" s="11">
        <f>_xlfn.XLOOKUP(TableDailySummary[[#This Row],[Fecha]],SummaryDaily[day],SummaryDaily[Online Store_net_sales],0)</f>
        <v>0</v>
      </c>
      <c r="M339" s="11">
        <f>_xlfn.XLOOKUP(TableDailySummary[[#This Row],[Fecha]],SummaryDaily[day],SummaryDaily[Online Store_orders],0)</f>
        <v>0</v>
      </c>
      <c r="N339" s="11">
        <f>_xlfn.XLOOKUP(TableDailySummary[[#This Row],[Fecha]],SummaryDaily[day],SummaryDaily[Online Store_average_order_value],0)</f>
        <v>0</v>
      </c>
      <c r="O339" s="11">
        <f>_xlfn.XLOOKUP(TableDailySummary[[#This Row],[Fecha]],SummaryDaily[day],SummaryDaily[Tienda 81_net_sales],0)</f>
        <v>0</v>
      </c>
      <c r="P339" s="11">
        <f>_xlfn.XLOOKUP(TableDailySummary[[#This Row],[Fecha]],SummaryDaily[day],SummaryDaily[Tienda 81_orders],0)</f>
        <v>0</v>
      </c>
      <c r="Q339" s="11">
        <f>_xlfn.XLOOKUP(TableDailySummary[[#This Row],[Fecha]],SummaryDaily[day],SummaryDaily[Tienda 81_average_order_value],0)</f>
        <v>0</v>
      </c>
      <c r="R339" s="11">
        <f>_xlfn.XLOOKUP(TableDailySummary[[#This Row],[Fecha]],SummaryDaily[day],SummaryDaily[Rappi_net_sales],0)</f>
        <v>0</v>
      </c>
      <c r="S339" s="11">
        <f>_xlfn.XLOOKUP(TableDailySummary[[#This Row],[Fecha]],SummaryDaily[day],SummaryDaily[Rappi_orders],0)</f>
        <v>0</v>
      </c>
      <c r="T339" s="11">
        <f>_xlfn.XLOOKUP(TableDailySummary[[#This Row],[Fecha]],SummaryDaily[day],SummaryDaily[Rappi_average_order_value],0)</f>
        <v>0</v>
      </c>
      <c r="U339" s="11">
        <f>_xlfn.XLOOKUP(TableDailySummary[[#This Row],[Fecha]],SummaryDaily[day],SummaryDaily[Corporativo no tienda_net_sales],0)</f>
        <v>0</v>
      </c>
      <c r="V339" s="11">
        <f>_xlfn.XLOOKUP(TableDailySummary[[#This Row],[Fecha]],SummaryDaily[day],SummaryDaily[Corporativo no tienda_orders],0)</f>
        <v>0</v>
      </c>
      <c r="W339" s="11">
        <f>_xlfn.XLOOKUP(TableDailySummary[[#This Row],[Fecha]],SummaryDaily[day],SummaryDaily[Corporativo no tienda_average_order_value],0)</f>
        <v>0</v>
      </c>
      <c r="X339" s="11">
        <f>_xlfn.XLOOKUP(TableDailySummary[[#This Row],[Fecha]],SummaryDaily[day],SummaryDaily[GoogleAdsOperation.Cost],0)</f>
        <v>0</v>
      </c>
      <c r="Y339" s="11">
        <f>SUMIFS(SalesByUTMDaily[google],SalesByUTMDaily[day],TableDailySummary[[#This Row],[Fecha]])</f>
        <v>0</v>
      </c>
      <c r="Z339" s="11">
        <f>_xlfn.XLOOKUP(TableDailySummary[[#This Row],[Fecha]],SummaryDaily[day],SummaryDaily[MetaAdsOperation.spend],0)</f>
        <v>0</v>
      </c>
      <c r="AA339" s="11">
        <f>SUMIFS(SalesByUTMDaily[facebook],SalesByUTMDaily[day],TableDailySummary[[#This Row],[Fecha]])</f>
        <v>0</v>
      </c>
      <c r="AB339" s="11">
        <f>TableDailySummary[[#This Row],[Inversión google ads]]+TableDailySummary[[#This Row],[Inversión meta ads]]</f>
        <v>0</v>
      </c>
      <c r="AC339" s="11">
        <f>TableDailySummary[[#This Row],[Ventas google ads]]+TableDailySummary[[#This Row],[Ventas meta ads]]</f>
        <v>0</v>
      </c>
      <c r="AD339" s="14">
        <f>IFERROR(TableDailySummary[[#This Row],[Ventas publicidad]]/TableDailySummary[[#This Row],[Inversión publicidad]],0)</f>
        <v>0</v>
      </c>
      <c r="AE339" s="14">
        <f>IFERROR(TableDailySummary[[#This Row],[Ventas primer cliente]]/TableDailySummary[[#This Row],[Inversión publicidad]],0)</f>
        <v>0</v>
      </c>
      <c r="AF339" s="14"/>
      <c r="AG339" s="11"/>
      <c r="AM339" s="11">
        <f>_xlfn.XLOOKUP(TableDailySummary[[#This Row],[Fecha]],SummaryDaily[day],SummaryDaily[net_sales_with_cost_recorded],0)</f>
        <v>0</v>
      </c>
      <c r="AN339" s="11">
        <f>_xlfn.XLOOKUP(TableDailySummary[[#This Row],[Fecha]],SummaryDaily[day],SummaryDaily[cost_of_goods_sold],0)</f>
        <v>0</v>
      </c>
      <c r="AO339" s="11">
        <f>_xlfn.XLOOKUP(TableDailySummary[[#This Row],[Fecha]],SummaryDaily[day],SummaryDaily[gross_profit],0)</f>
        <v>0</v>
      </c>
      <c r="AP339" s="18">
        <f>IFERROR(TableDailySummary[[#This Row],[Utilidad bruta]]/TableDailySummary[[#This Row],[Ventas netas con costo registrado]],0)</f>
        <v>0</v>
      </c>
    </row>
    <row r="340" spans="2:42" x14ac:dyDescent="0.2">
      <c r="B340" s="15" cm="1">
        <f t="array" ref="B340">ParamFechaInicioReporte + (ROW(TableDailySummary[#This Row]) - ROW(TableDailySummary[[#Headers],[Dia]]) - 1)</f>
        <v>44867</v>
      </c>
      <c r="C340" s="6">
        <f>TableDailySummary[[#This Row],[Dia]]</f>
        <v>44867</v>
      </c>
      <c r="D340" s="11">
        <f>_xlfn.XLOOKUP(TableDailySummary[[#This Row],[Fecha]],SummaryDaily[day],SummaryDaily[net_sales],0)</f>
        <v>0</v>
      </c>
      <c r="E340" s="11">
        <f>_xlfn.XLOOKUP(TableDailySummary[[#This Row],[Fecha]],SummaryDaily[day],SummaryDaily[orders],0)</f>
        <v>0</v>
      </c>
      <c r="F340" s="11">
        <f>_xlfn.XLOOKUP(TableDailySummary[[#This Row],[Fecha]],SummaryDaily[day],SummaryDaily[average_order_value],0)</f>
        <v>0</v>
      </c>
      <c r="G340" s="24" cm="1">
        <f t="array" ref="G340">_xlfn.XLOOKUP(TableDailySummary[[#This Row],[Fecha]]&amp;"Total site",ConversionRateByReferral[day]&amp;ConversionRateByReferral[referrer_source],ConversionRateByReferral[conversion_rate],0)</f>
        <v>0</v>
      </c>
      <c r="H340" s="11">
        <f>TableDailySummary[[#This Row],[Órden promedio totales]]*TableDailySummary[[#This Row],[CR totales]]</f>
        <v>0</v>
      </c>
      <c r="I340" s="11">
        <f>_xlfn.XLOOKUP(TableDailySummary[[#This Row],[Fecha]],SummaryDaily[day],SummaryDaily[new_net_sales],0)</f>
        <v>0</v>
      </c>
      <c r="J340" s="11">
        <f>_xlfn.XLOOKUP(TableDailySummary[[#This Row],[Fecha]],SummaryDaily[day],SummaryDaily[new_orders],0)</f>
        <v>0</v>
      </c>
      <c r="K340" s="11">
        <f>_xlfn.XLOOKUP(TableDailySummary[[#This Row],[Fecha]],SummaryDaily[day],SummaryDaily[new_average_order_value],0)</f>
        <v>0</v>
      </c>
      <c r="L340" s="11">
        <f>_xlfn.XLOOKUP(TableDailySummary[[#This Row],[Fecha]],SummaryDaily[day],SummaryDaily[Online Store_net_sales],0)</f>
        <v>0</v>
      </c>
      <c r="M340" s="11">
        <f>_xlfn.XLOOKUP(TableDailySummary[[#This Row],[Fecha]],SummaryDaily[day],SummaryDaily[Online Store_orders],0)</f>
        <v>0</v>
      </c>
      <c r="N340" s="11">
        <f>_xlfn.XLOOKUP(TableDailySummary[[#This Row],[Fecha]],SummaryDaily[day],SummaryDaily[Online Store_average_order_value],0)</f>
        <v>0</v>
      </c>
      <c r="O340" s="11">
        <f>_xlfn.XLOOKUP(TableDailySummary[[#This Row],[Fecha]],SummaryDaily[day],SummaryDaily[Tienda 81_net_sales],0)</f>
        <v>0</v>
      </c>
      <c r="P340" s="11">
        <f>_xlfn.XLOOKUP(TableDailySummary[[#This Row],[Fecha]],SummaryDaily[day],SummaryDaily[Tienda 81_orders],0)</f>
        <v>0</v>
      </c>
      <c r="Q340" s="11">
        <f>_xlfn.XLOOKUP(TableDailySummary[[#This Row],[Fecha]],SummaryDaily[day],SummaryDaily[Tienda 81_average_order_value],0)</f>
        <v>0</v>
      </c>
      <c r="R340" s="11">
        <f>_xlfn.XLOOKUP(TableDailySummary[[#This Row],[Fecha]],SummaryDaily[day],SummaryDaily[Rappi_net_sales],0)</f>
        <v>0</v>
      </c>
      <c r="S340" s="11">
        <f>_xlfn.XLOOKUP(TableDailySummary[[#This Row],[Fecha]],SummaryDaily[day],SummaryDaily[Rappi_orders],0)</f>
        <v>0</v>
      </c>
      <c r="T340" s="11">
        <f>_xlfn.XLOOKUP(TableDailySummary[[#This Row],[Fecha]],SummaryDaily[day],SummaryDaily[Rappi_average_order_value],0)</f>
        <v>0</v>
      </c>
      <c r="U340" s="11">
        <f>_xlfn.XLOOKUP(TableDailySummary[[#This Row],[Fecha]],SummaryDaily[day],SummaryDaily[Corporativo no tienda_net_sales],0)</f>
        <v>0</v>
      </c>
      <c r="V340" s="11">
        <f>_xlfn.XLOOKUP(TableDailySummary[[#This Row],[Fecha]],SummaryDaily[day],SummaryDaily[Corporativo no tienda_orders],0)</f>
        <v>0</v>
      </c>
      <c r="W340" s="11">
        <f>_xlfn.XLOOKUP(TableDailySummary[[#This Row],[Fecha]],SummaryDaily[day],SummaryDaily[Corporativo no tienda_average_order_value],0)</f>
        <v>0</v>
      </c>
      <c r="X340" s="11">
        <f>_xlfn.XLOOKUP(TableDailySummary[[#This Row],[Fecha]],SummaryDaily[day],SummaryDaily[GoogleAdsOperation.Cost],0)</f>
        <v>0</v>
      </c>
      <c r="Y340" s="11">
        <f>SUMIFS(SalesByUTMDaily[google],SalesByUTMDaily[day],TableDailySummary[[#This Row],[Fecha]])</f>
        <v>0</v>
      </c>
      <c r="Z340" s="11">
        <f>_xlfn.XLOOKUP(TableDailySummary[[#This Row],[Fecha]],SummaryDaily[day],SummaryDaily[MetaAdsOperation.spend],0)</f>
        <v>0</v>
      </c>
      <c r="AA340" s="11">
        <f>SUMIFS(SalesByUTMDaily[facebook],SalesByUTMDaily[day],TableDailySummary[[#This Row],[Fecha]])</f>
        <v>0</v>
      </c>
      <c r="AB340" s="11">
        <f>TableDailySummary[[#This Row],[Inversión google ads]]+TableDailySummary[[#This Row],[Inversión meta ads]]</f>
        <v>0</v>
      </c>
      <c r="AC340" s="11">
        <f>TableDailySummary[[#This Row],[Ventas google ads]]+TableDailySummary[[#This Row],[Ventas meta ads]]</f>
        <v>0</v>
      </c>
      <c r="AD340" s="14">
        <f>IFERROR(TableDailySummary[[#This Row],[Ventas publicidad]]/TableDailySummary[[#This Row],[Inversión publicidad]],0)</f>
        <v>0</v>
      </c>
      <c r="AE340" s="14">
        <f>IFERROR(TableDailySummary[[#This Row],[Ventas primer cliente]]/TableDailySummary[[#This Row],[Inversión publicidad]],0)</f>
        <v>0</v>
      </c>
      <c r="AF340" s="14"/>
      <c r="AG340" s="11"/>
      <c r="AM340" s="11">
        <f>_xlfn.XLOOKUP(TableDailySummary[[#This Row],[Fecha]],SummaryDaily[day],SummaryDaily[net_sales_with_cost_recorded],0)</f>
        <v>0</v>
      </c>
      <c r="AN340" s="11">
        <f>_xlfn.XLOOKUP(TableDailySummary[[#This Row],[Fecha]],SummaryDaily[day],SummaryDaily[cost_of_goods_sold],0)</f>
        <v>0</v>
      </c>
      <c r="AO340" s="11">
        <f>_xlfn.XLOOKUP(TableDailySummary[[#This Row],[Fecha]],SummaryDaily[day],SummaryDaily[gross_profit],0)</f>
        <v>0</v>
      </c>
      <c r="AP340" s="18">
        <f>IFERROR(TableDailySummary[[#This Row],[Utilidad bruta]]/TableDailySummary[[#This Row],[Ventas netas con costo registrado]],0)</f>
        <v>0</v>
      </c>
    </row>
    <row r="341" spans="2:42" x14ac:dyDescent="0.2">
      <c r="B341" s="15" cm="1">
        <f t="array" ref="B341">ParamFechaInicioReporte + (ROW(TableDailySummary[#This Row]) - ROW(TableDailySummary[[#Headers],[Dia]]) - 1)</f>
        <v>44868</v>
      </c>
      <c r="C341" s="6">
        <f>TableDailySummary[[#This Row],[Dia]]</f>
        <v>44868</v>
      </c>
      <c r="D341" s="11">
        <f>_xlfn.XLOOKUP(TableDailySummary[[#This Row],[Fecha]],SummaryDaily[day],SummaryDaily[net_sales],0)</f>
        <v>0</v>
      </c>
      <c r="E341" s="11">
        <f>_xlfn.XLOOKUP(TableDailySummary[[#This Row],[Fecha]],SummaryDaily[day],SummaryDaily[orders],0)</f>
        <v>0</v>
      </c>
      <c r="F341" s="11">
        <f>_xlfn.XLOOKUP(TableDailySummary[[#This Row],[Fecha]],SummaryDaily[day],SummaryDaily[average_order_value],0)</f>
        <v>0</v>
      </c>
      <c r="G341" s="24" cm="1">
        <f t="array" ref="G341">_xlfn.XLOOKUP(TableDailySummary[[#This Row],[Fecha]]&amp;"Total site",ConversionRateByReferral[day]&amp;ConversionRateByReferral[referrer_source],ConversionRateByReferral[conversion_rate],0)</f>
        <v>0</v>
      </c>
      <c r="H341" s="11">
        <f>TableDailySummary[[#This Row],[Órden promedio totales]]*TableDailySummary[[#This Row],[CR totales]]</f>
        <v>0</v>
      </c>
      <c r="I341" s="11">
        <f>_xlfn.XLOOKUP(TableDailySummary[[#This Row],[Fecha]],SummaryDaily[day],SummaryDaily[new_net_sales],0)</f>
        <v>0</v>
      </c>
      <c r="J341" s="11">
        <f>_xlfn.XLOOKUP(TableDailySummary[[#This Row],[Fecha]],SummaryDaily[day],SummaryDaily[new_orders],0)</f>
        <v>0</v>
      </c>
      <c r="K341" s="11">
        <f>_xlfn.XLOOKUP(TableDailySummary[[#This Row],[Fecha]],SummaryDaily[day],SummaryDaily[new_average_order_value],0)</f>
        <v>0</v>
      </c>
      <c r="L341" s="11">
        <f>_xlfn.XLOOKUP(TableDailySummary[[#This Row],[Fecha]],SummaryDaily[day],SummaryDaily[Online Store_net_sales],0)</f>
        <v>0</v>
      </c>
      <c r="M341" s="11">
        <f>_xlfn.XLOOKUP(TableDailySummary[[#This Row],[Fecha]],SummaryDaily[day],SummaryDaily[Online Store_orders],0)</f>
        <v>0</v>
      </c>
      <c r="N341" s="11">
        <f>_xlfn.XLOOKUP(TableDailySummary[[#This Row],[Fecha]],SummaryDaily[day],SummaryDaily[Online Store_average_order_value],0)</f>
        <v>0</v>
      </c>
      <c r="O341" s="11">
        <f>_xlfn.XLOOKUP(TableDailySummary[[#This Row],[Fecha]],SummaryDaily[day],SummaryDaily[Tienda 81_net_sales],0)</f>
        <v>0</v>
      </c>
      <c r="P341" s="11">
        <f>_xlfn.XLOOKUP(TableDailySummary[[#This Row],[Fecha]],SummaryDaily[day],SummaryDaily[Tienda 81_orders],0)</f>
        <v>0</v>
      </c>
      <c r="Q341" s="11">
        <f>_xlfn.XLOOKUP(TableDailySummary[[#This Row],[Fecha]],SummaryDaily[day],SummaryDaily[Tienda 81_average_order_value],0)</f>
        <v>0</v>
      </c>
      <c r="R341" s="11">
        <f>_xlfn.XLOOKUP(TableDailySummary[[#This Row],[Fecha]],SummaryDaily[day],SummaryDaily[Rappi_net_sales],0)</f>
        <v>0</v>
      </c>
      <c r="S341" s="11">
        <f>_xlfn.XLOOKUP(TableDailySummary[[#This Row],[Fecha]],SummaryDaily[day],SummaryDaily[Rappi_orders],0)</f>
        <v>0</v>
      </c>
      <c r="T341" s="11">
        <f>_xlfn.XLOOKUP(TableDailySummary[[#This Row],[Fecha]],SummaryDaily[day],SummaryDaily[Rappi_average_order_value],0)</f>
        <v>0</v>
      </c>
      <c r="U341" s="11">
        <f>_xlfn.XLOOKUP(TableDailySummary[[#This Row],[Fecha]],SummaryDaily[day],SummaryDaily[Corporativo no tienda_net_sales],0)</f>
        <v>0</v>
      </c>
      <c r="V341" s="11">
        <f>_xlfn.XLOOKUP(TableDailySummary[[#This Row],[Fecha]],SummaryDaily[day],SummaryDaily[Corporativo no tienda_orders],0)</f>
        <v>0</v>
      </c>
      <c r="W341" s="11">
        <f>_xlfn.XLOOKUP(TableDailySummary[[#This Row],[Fecha]],SummaryDaily[day],SummaryDaily[Corporativo no tienda_average_order_value],0)</f>
        <v>0</v>
      </c>
      <c r="X341" s="11">
        <f>_xlfn.XLOOKUP(TableDailySummary[[#This Row],[Fecha]],SummaryDaily[day],SummaryDaily[GoogleAdsOperation.Cost],0)</f>
        <v>0</v>
      </c>
      <c r="Y341" s="11">
        <f>SUMIFS(SalesByUTMDaily[google],SalesByUTMDaily[day],TableDailySummary[[#This Row],[Fecha]])</f>
        <v>0</v>
      </c>
      <c r="Z341" s="11">
        <f>_xlfn.XLOOKUP(TableDailySummary[[#This Row],[Fecha]],SummaryDaily[day],SummaryDaily[MetaAdsOperation.spend],0)</f>
        <v>0</v>
      </c>
      <c r="AA341" s="11">
        <f>SUMIFS(SalesByUTMDaily[facebook],SalesByUTMDaily[day],TableDailySummary[[#This Row],[Fecha]])</f>
        <v>0</v>
      </c>
      <c r="AB341" s="11">
        <f>TableDailySummary[[#This Row],[Inversión google ads]]+TableDailySummary[[#This Row],[Inversión meta ads]]</f>
        <v>0</v>
      </c>
      <c r="AC341" s="11">
        <f>TableDailySummary[[#This Row],[Ventas google ads]]+TableDailySummary[[#This Row],[Ventas meta ads]]</f>
        <v>0</v>
      </c>
      <c r="AD341" s="14">
        <f>IFERROR(TableDailySummary[[#This Row],[Ventas publicidad]]/TableDailySummary[[#This Row],[Inversión publicidad]],0)</f>
        <v>0</v>
      </c>
      <c r="AE341" s="14">
        <f>IFERROR(TableDailySummary[[#This Row],[Ventas primer cliente]]/TableDailySummary[[#This Row],[Inversión publicidad]],0)</f>
        <v>0</v>
      </c>
      <c r="AF341" s="14"/>
      <c r="AG341" s="11"/>
      <c r="AM341" s="11">
        <f>_xlfn.XLOOKUP(TableDailySummary[[#This Row],[Fecha]],SummaryDaily[day],SummaryDaily[net_sales_with_cost_recorded],0)</f>
        <v>0</v>
      </c>
      <c r="AN341" s="11">
        <f>_xlfn.XLOOKUP(TableDailySummary[[#This Row],[Fecha]],SummaryDaily[day],SummaryDaily[cost_of_goods_sold],0)</f>
        <v>0</v>
      </c>
      <c r="AO341" s="11">
        <f>_xlfn.XLOOKUP(TableDailySummary[[#This Row],[Fecha]],SummaryDaily[day],SummaryDaily[gross_profit],0)</f>
        <v>0</v>
      </c>
      <c r="AP341" s="18">
        <f>IFERROR(TableDailySummary[[#This Row],[Utilidad bruta]]/TableDailySummary[[#This Row],[Ventas netas con costo registrado]],0)</f>
        <v>0</v>
      </c>
    </row>
    <row r="342" spans="2:42" x14ac:dyDescent="0.2">
      <c r="B342" s="15" cm="1">
        <f t="array" ref="B342">ParamFechaInicioReporte + (ROW(TableDailySummary[#This Row]) - ROW(TableDailySummary[[#Headers],[Dia]]) - 1)</f>
        <v>44869</v>
      </c>
      <c r="C342" s="6">
        <f>TableDailySummary[[#This Row],[Dia]]</f>
        <v>44869</v>
      </c>
      <c r="D342" s="11">
        <f>_xlfn.XLOOKUP(TableDailySummary[[#This Row],[Fecha]],SummaryDaily[day],SummaryDaily[net_sales],0)</f>
        <v>0</v>
      </c>
      <c r="E342" s="11">
        <f>_xlfn.XLOOKUP(TableDailySummary[[#This Row],[Fecha]],SummaryDaily[day],SummaryDaily[orders],0)</f>
        <v>0</v>
      </c>
      <c r="F342" s="11">
        <f>_xlfn.XLOOKUP(TableDailySummary[[#This Row],[Fecha]],SummaryDaily[day],SummaryDaily[average_order_value],0)</f>
        <v>0</v>
      </c>
      <c r="G342" s="24" cm="1">
        <f t="array" ref="G342">_xlfn.XLOOKUP(TableDailySummary[[#This Row],[Fecha]]&amp;"Total site",ConversionRateByReferral[day]&amp;ConversionRateByReferral[referrer_source],ConversionRateByReferral[conversion_rate],0)</f>
        <v>0</v>
      </c>
      <c r="H342" s="11">
        <f>TableDailySummary[[#This Row],[Órden promedio totales]]*TableDailySummary[[#This Row],[CR totales]]</f>
        <v>0</v>
      </c>
      <c r="I342" s="11">
        <f>_xlfn.XLOOKUP(TableDailySummary[[#This Row],[Fecha]],SummaryDaily[day],SummaryDaily[new_net_sales],0)</f>
        <v>0</v>
      </c>
      <c r="J342" s="11">
        <f>_xlfn.XLOOKUP(TableDailySummary[[#This Row],[Fecha]],SummaryDaily[day],SummaryDaily[new_orders],0)</f>
        <v>0</v>
      </c>
      <c r="K342" s="11">
        <f>_xlfn.XLOOKUP(TableDailySummary[[#This Row],[Fecha]],SummaryDaily[day],SummaryDaily[new_average_order_value],0)</f>
        <v>0</v>
      </c>
      <c r="L342" s="11">
        <f>_xlfn.XLOOKUP(TableDailySummary[[#This Row],[Fecha]],SummaryDaily[day],SummaryDaily[Online Store_net_sales],0)</f>
        <v>0</v>
      </c>
      <c r="M342" s="11">
        <f>_xlfn.XLOOKUP(TableDailySummary[[#This Row],[Fecha]],SummaryDaily[day],SummaryDaily[Online Store_orders],0)</f>
        <v>0</v>
      </c>
      <c r="N342" s="11">
        <f>_xlfn.XLOOKUP(TableDailySummary[[#This Row],[Fecha]],SummaryDaily[day],SummaryDaily[Online Store_average_order_value],0)</f>
        <v>0</v>
      </c>
      <c r="O342" s="11">
        <f>_xlfn.XLOOKUP(TableDailySummary[[#This Row],[Fecha]],SummaryDaily[day],SummaryDaily[Tienda 81_net_sales],0)</f>
        <v>0</v>
      </c>
      <c r="P342" s="11">
        <f>_xlfn.XLOOKUP(TableDailySummary[[#This Row],[Fecha]],SummaryDaily[day],SummaryDaily[Tienda 81_orders],0)</f>
        <v>0</v>
      </c>
      <c r="Q342" s="11">
        <f>_xlfn.XLOOKUP(TableDailySummary[[#This Row],[Fecha]],SummaryDaily[day],SummaryDaily[Tienda 81_average_order_value],0)</f>
        <v>0</v>
      </c>
      <c r="R342" s="11">
        <f>_xlfn.XLOOKUP(TableDailySummary[[#This Row],[Fecha]],SummaryDaily[day],SummaryDaily[Rappi_net_sales],0)</f>
        <v>0</v>
      </c>
      <c r="S342" s="11">
        <f>_xlfn.XLOOKUP(TableDailySummary[[#This Row],[Fecha]],SummaryDaily[day],SummaryDaily[Rappi_orders],0)</f>
        <v>0</v>
      </c>
      <c r="T342" s="11">
        <f>_xlfn.XLOOKUP(TableDailySummary[[#This Row],[Fecha]],SummaryDaily[day],SummaryDaily[Rappi_average_order_value],0)</f>
        <v>0</v>
      </c>
      <c r="U342" s="11">
        <f>_xlfn.XLOOKUP(TableDailySummary[[#This Row],[Fecha]],SummaryDaily[day],SummaryDaily[Corporativo no tienda_net_sales],0)</f>
        <v>0</v>
      </c>
      <c r="V342" s="11">
        <f>_xlfn.XLOOKUP(TableDailySummary[[#This Row],[Fecha]],SummaryDaily[day],SummaryDaily[Corporativo no tienda_orders],0)</f>
        <v>0</v>
      </c>
      <c r="W342" s="11">
        <f>_xlfn.XLOOKUP(TableDailySummary[[#This Row],[Fecha]],SummaryDaily[day],SummaryDaily[Corporativo no tienda_average_order_value],0)</f>
        <v>0</v>
      </c>
      <c r="X342" s="11">
        <f>_xlfn.XLOOKUP(TableDailySummary[[#This Row],[Fecha]],SummaryDaily[day],SummaryDaily[GoogleAdsOperation.Cost],0)</f>
        <v>0</v>
      </c>
      <c r="Y342" s="11">
        <f>SUMIFS(SalesByUTMDaily[google],SalesByUTMDaily[day],TableDailySummary[[#This Row],[Fecha]])</f>
        <v>0</v>
      </c>
      <c r="Z342" s="11">
        <f>_xlfn.XLOOKUP(TableDailySummary[[#This Row],[Fecha]],SummaryDaily[day],SummaryDaily[MetaAdsOperation.spend],0)</f>
        <v>0</v>
      </c>
      <c r="AA342" s="11">
        <f>SUMIFS(SalesByUTMDaily[facebook],SalesByUTMDaily[day],TableDailySummary[[#This Row],[Fecha]])</f>
        <v>0</v>
      </c>
      <c r="AB342" s="11">
        <f>TableDailySummary[[#This Row],[Inversión google ads]]+TableDailySummary[[#This Row],[Inversión meta ads]]</f>
        <v>0</v>
      </c>
      <c r="AC342" s="11">
        <f>TableDailySummary[[#This Row],[Ventas google ads]]+TableDailySummary[[#This Row],[Ventas meta ads]]</f>
        <v>0</v>
      </c>
      <c r="AD342" s="14">
        <f>IFERROR(TableDailySummary[[#This Row],[Ventas publicidad]]/TableDailySummary[[#This Row],[Inversión publicidad]],0)</f>
        <v>0</v>
      </c>
      <c r="AE342" s="14">
        <f>IFERROR(TableDailySummary[[#This Row],[Ventas primer cliente]]/TableDailySummary[[#This Row],[Inversión publicidad]],0)</f>
        <v>0</v>
      </c>
      <c r="AF342" s="14"/>
      <c r="AG342" s="11"/>
      <c r="AM342" s="11">
        <f>_xlfn.XLOOKUP(TableDailySummary[[#This Row],[Fecha]],SummaryDaily[day],SummaryDaily[net_sales_with_cost_recorded],0)</f>
        <v>0</v>
      </c>
      <c r="AN342" s="11">
        <f>_xlfn.XLOOKUP(TableDailySummary[[#This Row],[Fecha]],SummaryDaily[day],SummaryDaily[cost_of_goods_sold],0)</f>
        <v>0</v>
      </c>
      <c r="AO342" s="11">
        <f>_xlfn.XLOOKUP(TableDailySummary[[#This Row],[Fecha]],SummaryDaily[day],SummaryDaily[gross_profit],0)</f>
        <v>0</v>
      </c>
      <c r="AP342" s="18">
        <f>IFERROR(TableDailySummary[[#This Row],[Utilidad bruta]]/TableDailySummary[[#This Row],[Ventas netas con costo registrado]],0)</f>
        <v>0</v>
      </c>
    </row>
    <row r="343" spans="2:42" x14ac:dyDescent="0.2">
      <c r="B343" s="15" cm="1">
        <f t="array" ref="B343">ParamFechaInicioReporte + (ROW(TableDailySummary[#This Row]) - ROW(TableDailySummary[[#Headers],[Dia]]) - 1)</f>
        <v>44870</v>
      </c>
      <c r="C343" s="6">
        <f>TableDailySummary[[#This Row],[Dia]]</f>
        <v>44870</v>
      </c>
      <c r="D343" s="11">
        <f>_xlfn.XLOOKUP(TableDailySummary[[#This Row],[Fecha]],SummaryDaily[day],SummaryDaily[net_sales],0)</f>
        <v>0</v>
      </c>
      <c r="E343" s="11">
        <f>_xlfn.XLOOKUP(TableDailySummary[[#This Row],[Fecha]],SummaryDaily[day],SummaryDaily[orders],0)</f>
        <v>0</v>
      </c>
      <c r="F343" s="11">
        <f>_xlfn.XLOOKUP(TableDailySummary[[#This Row],[Fecha]],SummaryDaily[day],SummaryDaily[average_order_value],0)</f>
        <v>0</v>
      </c>
      <c r="G343" s="24" cm="1">
        <f t="array" ref="G343">_xlfn.XLOOKUP(TableDailySummary[[#This Row],[Fecha]]&amp;"Total site",ConversionRateByReferral[day]&amp;ConversionRateByReferral[referrer_source],ConversionRateByReferral[conversion_rate],0)</f>
        <v>0</v>
      </c>
      <c r="H343" s="11">
        <f>TableDailySummary[[#This Row],[Órden promedio totales]]*TableDailySummary[[#This Row],[CR totales]]</f>
        <v>0</v>
      </c>
      <c r="I343" s="11">
        <f>_xlfn.XLOOKUP(TableDailySummary[[#This Row],[Fecha]],SummaryDaily[day],SummaryDaily[new_net_sales],0)</f>
        <v>0</v>
      </c>
      <c r="J343" s="11">
        <f>_xlfn.XLOOKUP(TableDailySummary[[#This Row],[Fecha]],SummaryDaily[day],SummaryDaily[new_orders],0)</f>
        <v>0</v>
      </c>
      <c r="K343" s="11">
        <f>_xlfn.XLOOKUP(TableDailySummary[[#This Row],[Fecha]],SummaryDaily[day],SummaryDaily[new_average_order_value],0)</f>
        <v>0</v>
      </c>
      <c r="L343" s="11">
        <f>_xlfn.XLOOKUP(TableDailySummary[[#This Row],[Fecha]],SummaryDaily[day],SummaryDaily[Online Store_net_sales],0)</f>
        <v>0</v>
      </c>
      <c r="M343" s="11">
        <f>_xlfn.XLOOKUP(TableDailySummary[[#This Row],[Fecha]],SummaryDaily[day],SummaryDaily[Online Store_orders],0)</f>
        <v>0</v>
      </c>
      <c r="N343" s="11">
        <f>_xlfn.XLOOKUP(TableDailySummary[[#This Row],[Fecha]],SummaryDaily[day],SummaryDaily[Online Store_average_order_value],0)</f>
        <v>0</v>
      </c>
      <c r="O343" s="11">
        <f>_xlfn.XLOOKUP(TableDailySummary[[#This Row],[Fecha]],SummaryDaily[day],SummaryDaily[Tienda 81_net_sales],0)</f>
        <v>0</v>
      </c>
      <c r="P343" s="11">
        <f>_xlfn.XLOOKUP(TableDailySummary[[#This Row],[Fecha]],SummaryDaily[day],SummaryDaily[Tienda 81_orders],0)</f>
        <v>0</v>
      </c>
      <c r="Q343" s="11">
        <f>_xlfn.XLOOKUP(TableDailySummary[[#This Row],[Fecha]],SummaryDaily[day],SummaryDaily[Tienda 81_average_order_value],0)</f>
        <v>0</v>
      </c>
      <c r="R343" s="11">
        <f>_xlfn.XLOOKUP(TableDailySummary[[#This Row],[Fecha]],SummaryDaily[day],SummaryDaily[Rappi_net_sales],0)</f>
        <v>0</v>
      </c>
      <c r="S343" s="11">
        <f>_xlfn.XLOOKUP(TableDailySummary[[#This Row],[Fecha]],SummaryDaily[day],SummaryDaily[Rappi_orders],0)</f>
        <v>0</v>
      </c>
      <c r="T343" s="11">
        <f>_xlfn.XLOOKUP(TableDailySummary[[#This Row],[Fecha]],SummaryDaily[day],SummaryDaily[Rappi_average_order_value],0)</f>
        <v>0</v>
      </c>
      <c r="U343" s="11">
        <f>_xlfn.XLOOKUP(TableDailySummary[[#This Row],[Fecha]],SummaryDaily[day],SummaryDaily[Corporativo no tienda_net_sales],0)</f>
        <v>0</v>
      </c>
      <c r="V343" s="11">
        <f>_xlfn.XLOOKUP(TableDailySummary[[#This Row],[Fecha]],SummaryDaily[day],SummaryDaily[Corporativo no tienda_orders],0)</f>
        <v>0</v>
      </c>
      <c r="W343" s="11">
        <f>_xlfn.XLOOKUP(TableDailySummary[[#This Row],[Fecha]],SummaryDaily[day],SummaryDaily[Corporativo no tienda_average_order_value],0)</f>
        <v>0</v>
      </c>
      <c r="X343" s="11">
        <f>_xlfn.XLOOKUP(TableDailySummary[[#This Row],[Fecha]],SummaryDaily[day],SummaryDaily[GoogleAdsOperation.Cost],0)</f>
        <v>0</v>
      </c>
      <c r="Y343" s="11">
        <f>SUMIFS(SalesByUTMDaily[google],SalesByUTMDaily[day],TableDailySummary[[#This Row],[Fecha]])</f>
        <v>0</v>
      </c>
      <c r="Z343" s="11">
        <f>_xlfn.XLOOKUP(TableDailySummary[[#This Row],[Fecha]],SummaryDaily[day],SummaryDaily[MetaAdsOperation.spend],0)</f>
        <v>0</v>
      </c>
      <c r="AA343" s="11">
        <f>SUMIFS(SalesByUTMDaily[facebook],SalesByUTMDaily[day],TableDailySummary[[#This Row],[Fecha]])</f>
        <v>0</v>
      </c>
      <c r="AB343" s="11">
        <f>TableDailySummary[[#This Row],[Inversión google ads]]+TableDailySummary[[#This Row],[Inversión meta ads]]</f>
        <v>0</v>
      </c>
      <c r="AC343" s="11">
        <f>TableDailySummary[[#This Row],[Ventas google ads]]+TableDailySummary[[#This Row],[Ventas meta ads]]</f>
        <v>0</v>
      </c>
      <c r="AD343" s="14">
        <f>IFERROR(TableDailySummary[[#This Row],[Ventas publicidad]]/TableDailySummary[[#This Row],[Inversión publicidad]],0)</f>
        <v>0</v>
      </c>
      <c r="AE343" s="14">
        <f>IFERROR(TableDailySummary[[#This Row],[Ventas primer cliente]]/TableDailySummary[[#This Row],[Inversión publicidad]],0)</f>
        <v>0</v>
      </c>
      <c r="AF343" s="14"/>
      <c r="AG343" s="11"/>
      <c r="AM343" s="11">
        <f>_xlfn.XLOOKUP(TableDailySummary[[#This Row],[Fecha]],SummaryDaily[day],SummaryDaily[net_sales_with_cost_recorded],0)</f>
        <v>0</v>
      </c>
      <c r="AN343" s="11">
        <f>_xlfn.XLOOKUP(TableDailySummary[[#This Row],[Fecha]],SummaryDaily[day],SummaryDaily[cost_of_goods_sold],0)</f>
        <v>0</v>
      </c>
      <c r="AO343" s="11">
        <f>_xlfn.XLOOKUP(TableDailySummary[[#This Row],[Fecha]],SummaryDaily[day],SummaryDaily[gross_profit],0)</f>
        <v>0</v>
      </c>
      <c r="AP343" s="18">
        <f>IFERROR(TableDailySummary[[#This Row],[Utilidad bruta]]/TableDailySummary[[#This Row],[Ventas netas con costo registrado]],0)</f>
        <v>0</v>
      </c>
    </row>
    <row r="344" spans="2:42" x14ac:dyDescent="0.2">
      <c r="B344" s="15" cm="1">
        <f t="array" ref="B344">ParamFechaInicioReporte + (ROW(TableDailySummary[#This Row]) - ROW(TableDailySummary[[#Headers],[Dia]]) - 1)</f>
        <v>44871</v>
      </c>
      <c r="C344" s="6">
        <f>TableDailySummary[[#This Row],[Dia]]</f>
        <v>44871</v>
      </c>
      <c r="D344" s="11">
        <f>_xlfn.XLOOKUP(TableDailySummary[[#This Row],[Fecha]],SummaryDaily[day],SummaryDaily[net_sales],0)</f>
        <v>0</v>
      </c>
      <c r="E344" s="11">
        <f>_xlfn.XLOOKUP(TableDailySummary[[#This Row],[Fecha]],SummaryDaily[day],SummaryDaily[orders],0)</f>
        <v>0</v>
      </c>
      <c r="F344" s="11">
        <f>_xlfn.XLOOKUP(TableDailySummary[[#This Row],[Fecha]],SummaryDaily[day],SummaryDaily[average_order_value],0)</f>
        <v>0</v>
      </c>
      <c r="G344" s="24" cm="1">
        <f t="array" ref="G344">_xlfn.XLOOKUP(TableDailySummary[[#This Row],[Fecha]]&amp;"Total site",ConversionRateByReferral[day]&amp;ConversionRateByReferral[referrer_source],ConversionRateByReferral[conversion_rate],0)</f>
        <v>0</v>
      </c>
      <c r="H344" s="11">
        <f>TableDailySummary[[#This Row],[Órden promedio totales]]*TableDailySummary[[#This Row],[CR totales]]</f>
        <v>0</v>
      </c>
      <c r="I344" s="11">
        <f>_xlfn.XLOOKUP(TableDailySummary[[#This Row],[Fecha]],SummaryDaily[day],SummaryDaily[new_net_sales],0)</f>
        <v>0</v>
      </c>
      <c r="J344" s="11">
        <f>_xlfn.XLOOKUP(TableDailySummary[[#This Row],[Fecha]],SummaryDaily[day],SummaryDaily[new_orders],0)</f>
        <v>0</v>
      </c>
      <c r="K344" s="11">
        <f>_xlfn.XLOOKUP(TableDailySummary[[#This Row],[Fecha]],SummaryDaily[day],SummaryDaily[new_average_order_value],0)</f>
        <v>0</v>
      </c>
      <c r="L344" s="11">
        <f>_xlfn.XLOOKUP(TableDailySummary[[#This Row],[Fecha]],SummaryDaily[day],SummaryDaily[Online Store_net_sales],0)</f>
        <v>0</v>
      </c>
      <c r="M344" s="11">
        <f>_xlfn.XLOOKUP(TableDailySummary[[#This Row],[Fecha]],SummaryDaily[day],SummaryDaily[Online Store_orders],0)</f>
        <v>0</v>
      </c>
      <c r="N344" s="11">
        <f>_xlfn.XLOOKUP(TableDailySummary[[#This Row],[Fecha]],SummaryDaily[day],SummaryDaily[Online Store_average_order_value],0)</f>
        <v>0</v>
      </c>
      <c r="O344" s="11">
        <f>_xlfn.XLOOKUP(TableDailySummary[[#This Row],[Fecha]],SummaryDaily[day],SummaryDaily[Tienda 81_net_sales],0)</f>
        <v>0</v>
      </c>
      <c r="P344" s="11">
        <f>_xlfn.XLOOKUP(TableDailySummary[[#This Row],[Fecha]],SummaryDaily[day],SummaryDaily[Tienda 81_orders],0)</f>
        <v>0</v>
      </c>
      <c r="Q344" s="11">
        <f>_xlfn.XLOOKUP(TableDailySummary[[#This Row],[Fecha]],SummaryDaily[day],SummaryDaily[Tienda 81_average_order_value],0)</f>
        <v>0</v>
      </c>
      <c r="R344" s="11">
        <f>_xlfn.XLOOKUP(TableDailySummary[[#This Row],[Fecha]],SummaryDaily[day],SummaryDaily[Rappi_net_sales],0)</f>
        <v>0</v>
      </c>
      <c r="S344" s="11">
        <f>_xlfn.XLOOKUP(TableDailySummary[[#This Row],[Fecha]],SummaryDaily[day],SummaryDaily[Rappi_orders],0)</f>
        <v>0</v>
      </c>
      <c r="T344" s="11">
        <f>_xlfn.XLOOKUP(TableDailySummary[[#This Row],[Fecha]],SummaryDaily[day],SummaryDaily[Rappi_average_order_value],0)</f>
        <v>0</v>
      </c>
      <c r="U344" s="11">
        <f>_xlfn.XLOOKUP(TableDailySummary[[#This Row],[Fecha]],SummaryDaily[day],SummaryDaily[Corporativo no tienda_net_sales],0)</f>
        <v>0</v>
      </c>
      <c r="V344" s="11">
        <f>_xlfn.XLOOKUP(TableDailySummary[[#This Row],[Fecha]],SummaryDaily[day],SummaryDaily[Corporativo no tienda_orders],0)</f>
        <v>0</v>
      </c>
      <c r="W344" s="11">
        <f>_xlfn.XLOOKUP(TableDailySummary[[#This Row],[Fecha]],SummaryDaily[day],SummaryDaily[Corporativo no tienda_average_order_value],0)</f>
        <v>0</v>
      </c>
      <c r="X344" s="11">
        <f>_xlfn.XLOOKUP(TableDailySummary[[#This Row],[Fecha]],SummaryDaily[day],SummaryDaily[GoogleAdsOperation.Cost],0)</f>
        <v>0</v>
      </c>
      <c r="Y344" s="11">
        <f>SUMIFS(SalesByUTMDaily[google],SalesByUTMDaily[day],TableDailySummary[[#This Row],[Fecha]])</f>
        <v>0</v>
      </c>
      <c r="Z344" s="11">
        <f>_xlfn.XLOOKUP(TableDailySummary[[#This Row],[Fecha]],SummaryDaily[day],SummaryDaily[MetaAdsOperation.spend],0)</f>
        <v>0</v>
      </c>
      <c r="AA344" s="11">
        <f>SUMIFS(SalesByUTMDaily[facebook],SalesByUTMDaily[day],TableDailySummary[[#This Row],[Fecha]])</f>
        <v>0</v>
      </c>
      <c r="AB344" s="11">
        <f>TableDailySummary[[#This Row],[Inversión google ads]]+TableDailySummary[[#This Row],[Inversión meta ads]]</f>
        <v>0</v>
      </c>
      <c r="AC344" s="11">
        <f>TableDailySummary[[#This Row],[Ventas google ads]]+TableDailySummary[[#This Row],[Ventas meta ads]]</f>
        <v>0</v>
      </c>
      <c r="AD344" s="14">
        <f>IFERROR(TableDailySummary[[#This Row],[Ventas publicidad]]/TableDailySummary[[#This Row],[Inversión publicidad]],0)</f>
        <v>0</v>
      </c>
      <c r="AE344" s="14">
        <f>IFERROR(TableDailySummary[[#This Row],[Ventas primer cliente]]/TableDailySummary[[#This Row],[Inversión publicidad]],0)</f>
        <v>0</v>
      </c>
      <c r="AF344" s="14"/>
      <c r="AG344" s="11"/>
      <c r="AM344" s="11">
        <f>_xlfn.XLOOKUP(TableDailySummary[[#This Row],[Fecha]],SummaryDaily[day],SummaryDaily[net_sales_with_cost_recorded],0)</f>
        <v>0</v>
      </c>
      <c r="AN344" s="11">
        <f>_xlfn.XLOOKUP(TableDailySummary[[#This Row],[Fecha]],SummaryDaily[day],SummaryDaily[cost_of_goods_sold],0)</f>
        <v>0</v>
      </c>
      <c r="AO344" s="11">
        <f>_xlfn.XLOOKUP(TableDailySummary[[#This Row],[Fecha]],SummaryDaily[day],SummaryDaily[gross_profit],0)</f>
        <v>0</v>
      </c>
      <c r="AP344" s="18">
        <f>IFERROR(TableDailySummary[[#This Row],[Utilidad bruta]]/TableDailySummary[[#This Row],[Ventas netas con costo registrado]],0)</f>
        <v>0</v>
      </c>
    </row>
    <row r="345" spans="2:42" x14ac:dyDescent="0.2">
      <c r="B345" s="15" cm="1">
        <f t="array" ref="B345">ParamFechaInicioReporte + (ROW(TableDailySummary[#This Row]) - ROW(TableDailySummary[[#Headers],[Dia]]) - 1)</f>
        <v>44872</v>
      </c>
      <c r="C345" s="6">
        <f>TableDailySummary[[#This Row],[Dia]]</f>
        <v>44872</v>
      </c>
      <c r="D345" s="11">
        <f>_xlfn.XLOOKUP(TableDailySummary[[#This Row],[Fecha]],SummaryDaily[day],SummaryDaily[net_sales],0)</f>
        <v>0</v>
      </c>
      <c r="E345" s="11">
        <f>_xlfn.XLOOKUP(TableDailySummary[[#This Row],[Fecha]],SummaryDaily[day],SummaryDaily[orders],0)</f>
        <v>0</v>
      </c>
      <c r="F345" s="11">
        <f>_xlfn.XLOOKUP(TableDailySummary[[#This Row],[Fecha]],SummaryDaily[day],SummaryDaily[average_order_value],0)</f>
        <v>0</v>
      </c>
      <c r="G345" s="24" cm="1">
        <f t="array" ref="G345">_xlfn.XLOOKUP(TableDailySummary[[#This Row],[Fecha]]&amp;"Total site",ConversionRateByReferral[day]&amp;ConversionRateByReferral[referrer_source],ConversionRateByReferral[conversion_rate],0)</f>
        <v>0</v>
      </c>
      <c r="H345" s="11">
        <f>TableDailySummary[[#This Row],[Órden promedio totales]]*TableDailySummary[[#This Row],[CR totales]]</f>
        <v>0</v>
      </c>
      <c r="I345" s="11">
        <f>_xlfn.XLOOKUP(TableDailySummary[[#This Row],[Fecha]],SummaryDaily[day],SummaryDaily[new_net_sales],0)</f>
        <v>0</v>
      </c>
      <c r="J345" s="11">
        <f>_xlfn.XLOOKUP(TableDailySummary[[#This Row],[Fecha]],SummaryDaily[day],SummaryDaily[new_orders],0)</f>
        <v>0</v>
      </c>
      <c r="K345" s="11">
        <f>_xlfn.XLOOKUP(TableDailySummary[[#This Row],[Fecha]],SummaryDaily[day],SummaryDaily[new_average_order_value],0)</f>
        <v>0</v>
      </c>
      <c r="L345" s="11">
        <f>_xlfn.XLOOKUP(TableDailySummary[[#This Row],[Fecha]],SummaryDaily[day],SummaryDaily[Online Store_net_sales],0)</f>
        <v>0</v>
      </c>
      <c r="M345" s="11">
        <f>_xlfn.XLOOKUP(TableDailySummary[[#This Row],[Fecha]],SummaryDaily[day],SummaryDaily[Online Store_orders],0)</f>
        <v>0</v>
      </c>
      <c r="N345" s="11">
        <f>_xlfn.XLOOKUP(TableDailySummary[[#This Row],[Fecha]],SummaryDaily[day],SummaryDaily[Online Store_average_order_value],0)</f>
        <v>0</v>
      </c>
      <c r="O345" s="11">
        <f>_xlfn.XLOOKUP(TableDailySummary[[#This Row],[Fecha]],SummaryDaily[day],SummaryDaily[Tienda 81_net_sales],0)</f>
        <v>0</v>
      </c>
      <c r="P345" s="11">
        <f>_xlfn.XLOOKUP(TableDailySummary[[#This Row],[Fecha]],SummaryDaily[day],SummaryDaily[Tienda 81_orders],0)</f>
        <v>0</v>
      </c>
      <c r="Q345" s="11">
        <f>_xlfn.XLOOKUP(TableDailySummary[[#This Row],[Fecha]],SummaryDaily[day],SummaryDaily[Tienda 81_average_order_value],0)</f>
        <v>0</v>
      </c>
      <c r="R345" s="11">
        <f>_xlfn.XLOOKUP(TableDailySummary[[#This Row],[Fecha]],SummaryDaily[day],SummaryDaily[Rappi_net_sales],0)</f>
        <v>0</v>
      </c>
      <c r="S345" s="11">
        <f>_xlfn.XLOOKUP(TableDailySummary[[#This Row],[Fecha]],SummaryDaily[day],SummaryDaily[Rappi_orders],0)</f>
        <v>0</v>
      </c>
      <c r="T345" s="11">
        <f>_xlfn.XLOOKUP(TableDailySummary[[#This Row],[Fecha]],SummaryDaily[day],SummaryDaily[Rappi_average_order_value],0)</f>
        <v>0</v>
      </c>
      <c r="U345" s="11">
        <f>_xlfn.XLOOKUP(TableDailySummary[[#This Row],[Fecha]],SummaryDaily[day],SummaryDaily[Corporativo no tienda_net_sales],0)</f>
        <v>0</v>
      </c>
      <c r="V345" s="11">
        <f>_xlfn.XLOOKUP(TableDailySummary[[#This Row],[Fecha]],SummaryDaily[day],SummaryDaily[Corporativo no tienda_orders],0)</f>
        <v>0</v>
      </c>
      <c r="W345" s="11">
        <f>_xlfn.XLOOKUP(TableDailySummary[[#This Row],[Fecha]],SummaryDaily[day],SummaryDaily[Corporativo no tienda_average_order_value],0)</f>
        <v>0</v>
      </c>
      <c r="X345" s="11">
        <f>_xlfn.XLOOKUP(TableDailySummary[[#This Row],[Fecha]],SummaryDaily[day],SummaryDaily[GoogleAdsOperation.Cost],0)</f>
        <v>0</v>
      </c>
      <c r="Y345" s="11">
        <f>SUMIFS(SalesByUTMDaily[google],SalesByUTMDaily[day],TableDailySummary[[#This Row],[Fecha]])</f>
        <v>0</v>
      </c>
      <c r="Z345" s="11">
        <f>_xlfn.XLOOKUP(TableDailySummary[[#This Row],[Fecha]],SummaryDaily[day],SummaryDaily[MetaAdsOperation.spend],0)</f>
        <v>0</v>
      </c>
      <c r="AA345" s="11">
        <f>SUMIFS(SalesByUTMDaily[facebook],SalesByUTMDaily[day],TableDailySummary[[#This Row],[Fecha]])</f>
        <v>0</v>
      </c>
      <c r="AB345" s="11">
        <f>TableDailySummary[[#This Row],[Inversión google ads]]+TableDailySummary[[#This Row],[Inversión meta ads]]</f>
        <v>0</v>
      </c>
      <c r="AC345" s="11">
        <f>TableDailySummary[[#This Row],[Ventas google ads]]+TableDailySummary[[#This Row],[Ventas meta ads]]</f>
        <v>0</v>
      </c>
      <c r="AD345" s="14">
        <f>IFERROR(TableDailySummary[[#This Row],[Ventas publicidad]]/TableDailySummary[[#This Row],[Inversión publicidad]],0)</f>
        <v>0</v>
      </c>
      <c r="AE345" s="14">
        <f>IFERROR(TableDailySummary[[#This Row],[Ventas primer cliente]]/TableDailySummary[[#This Row],[Inversión publicidad]],0)</f>
        <v>0</v>
      </c>
      <c r="AF345" s="14"/>
      <c r="AG345" s="11"/>
      <c r="AM345" s="11">
        <f>_xlfn.XLOOKUP(TableDailySummary[[#This Row],[Fecha]],SummaryDaily[day],SummaryDaily[net_sales_with_cost_recorded],0)</f>
        <v>0</v>
      </c>
      <c r="AN345" s="11">
        <f>_xlfn.XLOOKUP(TableDailySummary[[#This Row],[Fecha]],SummaryDaily[day],SummaryDaily[cost_of_goods_sold],0)</f>
        <v>0</v>
      </c>
      <c r="AO345" s="11">
        <f>_xlfn.XLOOKUP(TableDailySummary[[#This Row],[Fecha]],SummaryDaily[day],SummaryDaily[gross_profit],0)</f>
        <v>0</v>
      </c>
      <c r="AP345" s="18">
        <f>IFERROR(TableDailySummary[[#This Row],[Utilidad bruta]]/TableDailySummary[[#This Row],[Ventas netas con costo registrado]],0)</f>
        <v>0</v>
      </c>
    </row>
    <row r="346" spans="2:42" x14ac:dyDescent="0.2">
      <c r="B346" s="15" cm="1">
        <f t="array" ref="B346">ParamFechaInicioReporte + (ROW(TableDailySummary[#This Row]) - ROW(TableDailySummary[[#Headers],[Dia]]) - 1)</f>
        <v>44873</v>
      </c>
      <c r="C346" s="6">
        <f>TableDailySummary[[#This Row],[Dia]]</f>
        <v>44873</v>
      </c>
      <c r="D346" s="11">
        <f>_xlfn.XLOOKUP(TableDailySummary[[#This Row],[Fecha]],SummaryDaily[day],SummaryDaily[net_sales],0)</f>
        <v>0</v>
      </c>
      <c r="E346" s="11">
        <f>_xlfn.XLOOKUP(TableDailySummary[[#This Row],[Fecha]],SummaryDaily[day],SummaryDaily[orders],0)</f>
        <v>0</v>
      </c>
      <c r="F346" s="11">
        <f>_xlfn.XLOOKUP(TableDailySummary[[#This Row],[Fecha]],SummaryDaily[day],SummaryDaily[average_order_value],0)</f>
        <v>0</v>
      </c>
      <c r="G346" s="24" cm="1">
        <f t="array" ref="G346">_xlfn.XLOOKUP(TableDailySummary[[#This Row],[Fecha]]&amp;"Total site",ConversionRateByReferral[day]&amp;ConversionRateByReferral[referrer_source],ConversionRateByReferral[conversion_rate],0)</f>
        <v>0</v>
      </c>
      <c r="H346" s="11">
        <f>TableDailySummary[[#This Row],[Órden promedio totales]]*TableDailySummary[[#This Row],[CR totales]]</f>
        <v>0</v>
      </c>
      <c r="I346" s="11">
        <f>_xlfn.XLOOKUP(TableDailySummary[[#This Row],[Fecha]],SummaryDaily[day],SummaryDaily[new_net_sales],0)</f>
        <v>0</v>
      </c>
      <c r="J346" s="11">
        <f>_xlfn.XLOOKUP(TableDailySummary[[#This Row],[Fecha]],SummaryDaily[day],SummaryDaily[new_orders],0)</f>
        <v>0</v>
      </c>
      <c r="K346" s="11">
        <f>_xlfn.XLOOKUP(TableDailySummary[[#This Row],[Fecha]],SummaryDaily[day],SummaryDaily[new_average_order_value],0)</f>
        <v>0</v>
      </c>
      <c r="L346" s="11">
        <f>_xlfn.XLOOKUP(TableDailySummary[[#This Row],[Fecha]],SummaryDaily[day],SummaryDaily[Online Store_net_sales],0)</f>
        <v>0</v>
      </c>
      <c r="M346" s="11">
        <f>_xlfn.XLOOKUP(TableDailySummary[[#This Row],[Fecha]],SummaryDaily[day],SummaryDaily[Online Store_orders],0)</f>
        <v>0</v>
      </c>
      <c r="N346" s="11">
        <f>_xlfn.XLOOKUP(TableDailySummary[[#This Row],[Fecha]],SummaryDaily[day],SummaryDaily[Online Store_average_order_value],0)</f>
        <v>0</v>
      </c>
      <c r="O346" s="11">
        <f>_xlfn.XLOOKUP(TableDailySummary[[#This Row],[Fecha]],SummaryDaily[day],SummaryDaily[Tienda 81_net_sales],0)</f>
        <v>0</v>
      </c>
      <c r="P346" s="11">
        <f>_xlfn.XLOOKUP(TableDailySummary[[#This Row],[Fecha]],SummaryDaily[day],SummaryDaily[Tienda 81_orders],0)</f>
        <v>0</v>
      </c>
      <c r="Q346" s="11">
        <f>_xlfn.XLOOKUP(TableDailySummary[[#This Row],[Fecha]],SummaryDaily[day],SummaryDaily[Tienda 81_average_order_value],0)</f>
        <v>0</v>
      </c>
      <c r="R346" s="11">
        <f>_xlfn.XLOOKUP(TableDailySummary[[#This Row],[Fecha]],SummaryDaily[day],SummaryDaily[Rappi_net_sales],0)</f>
        <v>0</v>
      </c>
      <c r="S346" s="11">
        <f>_xlfn.XLOOKUP(TableDailySummary[[#This Row],[Fecha]],SummaryDaily[day],SummaryDaily[Rappi_orders],0)</f>
        <v>0</v>
      </c>
      <c r="T346" s="11">
        <f>_xlfn.XLOOKUP(TableDailySummary[[#This Row],[Fecha]],SummaryDaily[day],SummaryDaily[Rappi_average_order_value],0)</f>
        <v>0</v>
      </c>
      <c r="U346" s="11">
        <f>_xlfn.XLOOKUP(TableDailySummary[[#This Row],[Fecha]],SummaryDaily[day],SummaryDaily[Corporativo no tienda_net_sales],0)</f>
        <v>0</v>
      </c>
      <c r="V346" s="11">
        <f>_xlfn.XLOOKUP(TableDailySummary[[#This Row],[Fecha]],SummaryDaily[day],SummaryDaily[Corporativo no tienda_orders],0)</f>
        <v>0</v>
      </c>
      <c r="W346" s="11">
        <f>_xlfn.XLOOKUP(TableDailySummary[[#This Row],[Fecha]],SummaryDaily[day],SummaryDaily[Corporativo no tienda_average_order_value],0)</f>
        <v>0</v>
      </c>
      <c r="X346" s="11">
        <f>_xlfn.XLOOKUP(TableDailySummary[[#This Row],[Fecha]],SummaryDaily[day],SummaryDaily[GoogleAdsOperation.Cost],0)</f>
        <v>0</v>
      </c>
      <c r="Y346" s="11">
        <f>SUMIFS(SalesByUTMDaily[google],SalesByUTMDaily[day],TableDailySummary[[#This Row],[Fecha]])</f>
        <v>0</v>
      </c>
      <c r="Z346" s="11">
        <f>_xlfn.XLOOKUP(TableDailySummary[[#This Row],[Fecha]],SummaryDaily[day],SummaryDaily[MetaAdsOperation.spend],0)</f>
        <v>0</v>
      </c>
      <c r="AA346" s="11">
        <f>SUMIFS(SalesByUTMDaily[facebook],SalesByUTMDaily[day],TableDailySummary[[#This Row],[Fecha]])</f>
        <v>0</v>
      </c>
      <c r="AB346" s="11">
        <f>TableDailySummary[[#This Row],[Inversión google ads]]+TableDailySummary[[#This Row],[Inversión meta ads]]</f>
        <v>0</v>
      </c>
      <c r="AC346" s="11">
        <f>TableDailySummary[[#This Row],[Ventas google ads]]+TableDailySummary[[#This Row],[Ventas meta ads]]</f>
        <v>0</v>
      </c>
      <c r="AD346" s="14">
        <f>IFERROR(TableDailySummary[[#This Row],[Ventas publicidad]]/TableDailySummary[[#This Row],[Inversión publicidad]],0)</f>
        <v>0</v>
      </c>
      <c r="AE346" s="14">
        <f>IFERROR(TableDailySummary[[#This Row],[Ventas primer cliente]]/TableDailySummary[[#This Row],[Inversión publicidad]],0)</f>
        <v>0</v>
      </c>
      <c r="AF346" s="14"/>
      <c r="AG346" s="11"/>
      <c r="AM346" s="11">
        <f>_xlfn.XLOOKUP(TableDailySummary[[#This Row],[Fecha]],SummaryDaily[day],SummaryDaily[net_sales_with_cost_recorded],0)</f>
        <v>0</v>
      </c>
      <c r="AN346" s="11">
        <f>_xlfn.XLOOKUP(TableDailySummary[[#This Row],[Fecha]],SummaryDaily[day],SummaryDaily[cost_of_goods_sold],0)</f>
        <v>0</v>
      </c>
      <c r="AO346" s="11">
        <f>_xlfn.XLOOKUP(TableDailySummary[[#This Row],[Fecha]],SummaryDaily[day],SummaryDaily[gross_profit],0)</f>
        <v>0</v>
      </c>
      <c r="AP346" s="18">
        <f>IFERROR(TableDailySummary[[#This Row],[Utilidad bruta]]/TableDailySummary[[#This Row],[Ventas netas con costo registrado]],0)</f>
        <v>0</v>
      </c>
    </row>
    <row r="347" spans="2:42" x14ac:dyDescent="0.2">
      <c r="B347" s="15" cm="1">
        <f t="array" ref="B347">ParamFechaInicioReporte + (ROW(TableDailySummary[#This Row]) - ROW(TableDailySummary[[#Headers],[Dia]]) - 1)</f>
        <v>44874</v>
      </c>
      <c r="C347" s="6">
        <f>TableDailySummary[[#This Row],[Dia]]</f>
        <v>44874</v>
      </c>
      <c r="D347" s="11">
        <f>_xlfn.XLOOKUP(TableDailySummary[[#This Row],[Fecha]],SummaryDaily[day],SummaryDaily[net_sales],0)</f>
        <v>0</v>
      </c>
      <c r="E347" s="11">
        <f>_xlfn.XLOOKUP(TableDailySummary[[#This Row],[Fecha]],SummaryDaily[day],SummaryDaily[orders],0)</f>
        <v>0</v>
      </c>
      <c r="F347" s="11">
        <f>_xlfn.XLOOKUP(TableDailySummary[[#This Row],[Fecha]],SummaryDaily[day],SummaryDaily[average_order_value],0)</f>
        <v>0</v>
      </c>
      <c r="G347" s="24" cm="1">
        <f t="array" ref="G347">_xlfn.XLOOKUP(TableDailySummary[[#This Row],[Fecha]]&amp;"Total site",ConversionRateByReferral[day]&amp;ConversionRateByReferral[referrer_source],ConversionRateByReferral[conversion_rate],0)</f>
        <v>0</v>
      </c>
      <c r="H347" s="11">
        <f>TableDailySummary[[#This Row],[Órden promedio totales]]*TableDailySummary[[#This Row],[CR totales]]</f>
        <v>0</v>
      </c>
      <c r="I347" s="11">
        <f>_xlfn.XLOOKUP(TableDailySummary[[#This Row],[Fecha]],SummaryDaily[day],SummaryDaily[new_net_sales],0)</f>
        <v>0</v>
      </c>
      <c r="J347" s="11">
        <f>_xlfn.XLOOKUP(TableDailySummary[[#This Row],[Fecha]],SummaryDaily[day],SummaryDaily[new_orders],0)</f>
        <v>0</v>
      </c>
      <c r="K347" s="11">
        <f>_xlfn.XLOOKUP(TableDailySummary[[#This Row],[Fecha]],SummaryDaily[day],SummaryDaily[new_average_order_value],0)</f>
        <v>0</v>
      </c>
      <c r="L347" s="11">
        <f>_xlfn.XLOOKUP(TableDailySummary[[#This Row],[Fecha]],SummaryDaily[day],SummaryDaily[Online Store_net_sales],0)</f>
        <v>0</v>
      </c>
      <c r="M347" s="11">
        <f>_xlfn.XLOOKUP(TableDailySummary[[#This Row],[Fecha]],SummaryDaily[day],SummaryDaily[Online Store_orders],0)</f>
        <v>0</v>
      </c>
      <c r="N347" s="11">
        <f>_xlfn.XLOOKUP(TableDailySummary[[#This Row],[Fecha]],SummaryDaily[day],SummaryDaily[Online Store_average_order_value],0)</f>
        <v>0</v>
      </c>
      <c r="O347" s="11">
        <f>_xlfn.XLOOKUP(TableDailySummary[[#This Row],[Fecha]],SummaryDaily[day],SummaryDaily[Tienda 81_net_sales],0)</f>
        <v>0</v>
      </c>
      <c r="P347" s="11">
        <f>_xlfn.XLOOKUP(TableDailySummary[[#This Row],[Fecha]],SummaryDaily[day],SummaryDaily[Tienda 81_orders],0)</f>
        <v>0</v>
      </c>
      <c r="Q347" s="11">
        <f>_xlfn.XLOOKUP(TableDailySummary[[#This Row],[Fecha]],SummaryDaily[day],SummaryDaily[Tienda 81_average_order_value],0)</f>
        <v>0</v>
      </c>
      <c r="R347" s="11">
        <f>_xlfn.XLOOKUP(TableDailySummary[[#This Row],[Fecha]],SummaryDaily[day],SummaryDaily[Rappi_net_sales],0)</f>
        <v>0</v>
      </c>
      <c r="S347" s="11">
        <f>_xlfn.XLOOKUP(TableDailySummary[[#This Row],[Fecha]],SummaryDaily[day],SummaryDaily[Rappi_orders],0)</f>
        <v>0</v>
      </c>
      <c r="T347" s="11">
        <f>_xlfn.XLOOKUP(TableDailySummary[[#This Row],[Fecha]],SummaryDaily[day],SummaryDaily[Rappi_average_order_value],0)</f>
        <v>0</v>
      </c>
      <c r="U347" s="11">
        <f>_xlfn.XLOOKUP(TableDailySummary[[#This Row],[Fecha]],SummaryDaily[day],SummaryDaily[Corporativo no tienda_net_sales],0)</f>
        <v>0</v>
      </c>
      <c r="V347" s="11">
        <f>_xlfn.XLOOKUP(TableDailySummary[[#This Row],[Fecha]],SummaryDaily[day],SummaryDaily[Corporativo no tienda_orders],0)</f>
        <v>0</v>
      </c>
      <c r="W347" s="11">
        <f>_xlfn.XLOOKUP(TableDailySummary[[#This Row],[Fecha]],SummaryDaily[day],SummaryDaily[Corporativo no tienda_average_order_value],0)</f>
        <v>0</v>
      </c>
      <c r="X347" s="11">
        <f>_xlfn.XLOOKUP(TableDailySummary[[#This Row],[Fecha]],SummaryDaily[day],SummaryDaily[GoogleAdsOperation.Cost],0)</f>
        <v>0</v>
      </c>
      <c r="Y347" s="11">
        <f>SUMIFS(SalesByUTMDaily[google],SalesByUTMDaily[day],TableDailySummary[[#This Row],[Fecha]])</f>
        <v>0</v>
      </c>
      <c r="Z347" s="11">
        <f>_xlfn.XLOOKUP(TableDailySummary[[#This Row],[Fecha]],SummaryDaily[day],SummaryDaily[MetaAdsOperation.spend],0)</f>
        <v>0</v>
      </c>
      <c r="AA347" s="11">
        <f>SUMIFS(SalesByUTMDaily[facebook],SalesByUTMDaily[day],TableDailySummary[[#This Row],[Fecha]])</f>
        <v>0</v>
      </c>
      <c r="AB347" s="11">
        <f>TableDailySummary[[#This Row],[Inversión google ads]]+TableDailySummary[[#This Row],[Inversión meta ads]]</f>
        <v>0</v>
      </c>
      <c r="AC347" s="11">
        <f>TableDailySummary[[#This Row],[Ventas google ads]]+TableDailySummary[[#This Row],[Ventas meta ads]]</f>
        <v>0</v>
      </c>
      <c r="AD347" s="14">
        <f>IFERROR(TableDailySummary[[#This Row],[Ventas publicidad]]/TableDailySummary[[#This Row],[Inversión publicidad]],0)</f>
        <v>0</v>
      </c>
      <c r="AE347" s="14">
        <f>IFERROR(TableDailySummary[[#This Row],[Ventas primer cliente]]/TableDailySummary[[#This Row],[Inversión publicidad]],0)</f>
        <v>0</v>
      </c>
      <c r="AF347" s="14"/>
      <c r="AG347" s="11"/>
      <c r="AM347" s="11">
        <f>_xlfn.XLOOKUP(TableDailySummary[[#This Row],[Fecha]],SummaryDaily[day],SummaryDaily[net_sales_with_cost_recorded],0)</f>
        <v>0</v>
      </c>
      <c r="AN347" s="11">
        <f>_xlfn.XLOOKUP(TableDailySummary[[#This Row],[Fecha]],SummaryDaily[day],SummaryDaily[cost_of_goods_sold],0)</f>
        <v>0</v>
      </c>
      <c r="AO347" s="11">
        <f>_xlfn.XLOOKUP(TableDailySummary[[#This Row],[Fecha]],SummaryDaily[day],SummaryDaily[gross_profit],0)</f>
        <v>0</v>
      </c>
      <c r="AP347" s="18">
        <f>IFERROR(TableDailySummary[[#This Row],[Utilidad bruta]]/TableDailySummary[[#This Row],[Ventas netas con costo registrado]],0)</f>
        <v>0</v>
      </c>
    </row>
    <row r="348" spans="2:42" x14ac:dyDescent="0.2">
      <c r="B348" s="15" cm="1">
        <f t="array" ref="B348">ParamFechaInicioReporte + (ROW(TableDailySummary[#This Row]) - ROW(TableDailySummary[[#Headers],[Dia]]) - 1)</f>
        <v>44875</v>
      </c>
      <c r="C348" s="6">
        <f>TableDailySummary[[#This Row],[Dia]]</f>
        <v>44875</v>
      </c>
      <c r="D348" s="11">
        <f>_xlfn.XLOOKUP(TableDailySummary[[#This Row],[Fecha]],SummaryDaily[day],SummaryDaily[net_sales],0)</f>
        <v>0</v>
      </c>
      <c r="E348" s="11">
        <f>_xlfn.XLOOKUP(TableDailySummary[[#This Row],[Fecha]],SummaryDaily[day],SummaryDaily[orders],0)</f>
        <v>0</v>
      </c>
      <c r="F348" s="11">
        <f>_xlfn.XLOOKUP(TableDailySummary[[#This Row],[Fecha]],SummaryDaily[day],SummaryDaily[average_order_value],0)</f>
        <v>0</v>
      </c>
      <c r="G348" s="24" cm="1">
        <f t="array" ref="G348">_xlfn.XLOOKUP(TableDailySummary[[#This Row],[Fecha]]&amp;"Total site",ConversionRateByReferral[day]&amp;ConversionRateByReferral[referrer_source],ConversionRateByReferral[conversion_rate],0)</f>
        <v>0</v>
      </c>
      <c r="H348" s="11">
        <f>TableDailySummary[[#This Row],[Órden promedio totales]]*TableDailySummary[[#This Row],[CR totales]]</f>
        <v>0</v>
      </c>
      <c r="I348" s="11">
        <f>_xlfn.XLOOKUP(TableDailySummary[[#This Row],[Fecha]],SummaryDaily[day],SummaryDaily[new_net_sales],0)</f>
        <v>0</v>
      </c>
      <c r="J348" s="11">
        <f>_xlfn.XLOOKUP(TableDailySummary[[#This Row],[Fecha]],SummaryDaily[day],SummaryDaily[new_orders],0)</f>
        <v>0</v>
      </c>
      <c r="K348" s="11">
        <f>_xlfn.XLOOKUP(TableDailySummary[[#This Row],[Fecha]],SummaryDaily[day],SummaryDaily[new_average_order_value],0)</f>
        <v>0</v>
      </c>
      <c r="L348" s="11">
        <f>_xlfn.XLOOKUP(TableDailySummary[[#This Row],[Fecha]],SummaryDaily[day],SummaryDaily[Online Store_net_sales],0)</f>
        <v>0</v>
      </c>
      <c r="M348" s="11">
        <f>_xlfn.XLOOKUP(TableDailySummary[[#This Row],[Fecha]],SummaryDaily[day],SummaryDaily[Online Store_orders],0)</f>
        <v>0</v>
      </c>
      <c r="N348" s="11">
        <f>_xlfn.XLOOKUP(TableDailySummary[[#This Row],[Fecha]],SummaryDaily[day],SummaryDaily[Online Store_average_order_value],0)</f>
        <v>0</v>
      </c>
      <c r="O348" s="11">
        <f>_xlfn.XLOOKUP(TableDailySummary[[#This Row],[Fecha]],SummaryDaily[day],SummaryDaily[Tienda 81_net_sales],0)</f>
        <v>0</v>
      </c>
      <c r="P348" s="11">
        <f>_xlfn.XLOOKUP(TableDailySummary[[#This Row],[Fecha]],SummaryDaily[day],SummaryDaily[Tienda 81_orders],0)</f>
        <v>0</v>
      </c>
      <c r="Q348" s="11">
        <f>_xlfn.XLOOKUP(TableDailySummary[[#This Row],[Fecha]],SummaryDaily[day],SummaryDaily[Tienda 81_average_order_value],0)</f>
        <v>0</v>
      </c>
      <c r="R348" s="11">
        <f>_xlfn.XLOOKUP(TableDailySummary[[#This Row],[Fecha]],SummaryDaily[day],SummaryDaily[Rappi_net_sales],0)</f>
        <v>0</v>
      </c>
      <c r="S348" s="11">
        <f>_xlfn.XLOOKUP(TableDailySummary[[#This Row],[Fecha]],SummaryDaily[day],SummaryDaily[Rappi_orders],0)</f>
        <v>0</v>
      </c>
      <c r="T348" s="11">
        <f>_xlfn.XLOOKUP(TableDailySummary[[#This Row],[Fecha]],SummaryDaily[day],SummaryDaily[Rappi_average_order_value],0)</f>
        <v>0</v>
      </c>
      <c r="U348" s="11">
        <f>_xlfn.XLOOKUP(TableDailySummary[[#This Row],[Fecha]],SummaryDaily[day],SummaryDaily[Corporativo no tienda_net_sales],0)</f>
        <v>0</v>
      </c>
      <c r="V348" s="11">
        <f>_xlfn.XLOOKUP(TableDailySummary[[#This Row],[Fecha]],SummaryDaily[day],SummaryDaily[Corporativo no tienda_orders],0)</f>
        <v>0</v>
      </c>
      <c r="W348" s="11">
        <f>_xlfn.XLOOKUP(TableDailySummary[[#This Row],[Fecha]],SummaryDaily[day],SummaryDaily[Corporativo no tienda_average_order_value],0)</f>
        <v>0</v>
      </c>
      <c r="X348" s="11">
        <f>_xlfn.XLOOKUP(TableDailySummary[[#This Row],[Fecha]],SummaryDaily[day],SummaryDaily[GoogleAdsOperation.Cost],0)</f>
        <v>0</v>
      </c>
      <c r="Y348" s="11">
        <f>SUMIFS(SalesByUTMDaily[google],SalesByUTMDaily[day],TableDailySummary[[#This Row],[Fecha]])</f>
        <v>0</v>
      </c>
      <c r="Z348" s="11">
        <f>_xlfn.XLOOKUP(TableDailySummary[[#This Row],[Fecha]],SummaryDaily[day],SummaryDaily[MetaAdsOperation.spend],0)</f>
        <v>0</v>
      </c>
      <c r="AA348" s="11">
        <f>SUMIFS(SalesByUTMDaily[facebook],SalesByUTMDaily[day],TableDailySummary[[#This Row],[Fecha]])</f>
        <v>0</v>
      </c>
      <c r="AB348" s="11">
        <f>TableDailySummary[[#This Row],[Inversión google ads]]+TableDailySummary[[#This Row],[Inversión meta ads]]</f>
        <v>0</v>
      </c>
      <c r="AC348" s="11">
        <f>TableDailySummary[[#This Row],[Ventas google ads]]+TableDailySummary[[#This Row],[Ventas meta ads]]</f>
        <v>0</v>
      </c>
      <c r="AD348" s="14">
        <f>IFERROR(TableDailySummary[[#This Row],[Ventas publicidad]]/TableDailySummary[[#This Row],[Inversión publicidad]],0)</f>
        <v>0</v>
      </c>
      <c r="AE348" s="14">
        <f>IFERROR(TableDailySummary[[#This Row],[Ventas primer cliente]]/TableDailySummary[[#This Row],[Inversión publicidad]],0)</f>
        <v>0</v>
      </c>
      <c r="AF348" s="14"/>
      <c r="AG348" s="11"/>
      <c r="AM348" s="11">
        <f>_xlfn.XLOOKUP(TableDailySummary[[#This Row],[Fecha]],SummaryDaily[day],SummaryDaily[net_sales_with_cost_recorded],0)</f>
        <v>0</v>
      </c>
      <c r="AN348" s="11">
        <f>_xlfn.XLOOKUP(TableDailySummary[[#This Row],[Fecha]],SummaryDaily[day],SummaryDaily[cost_of_goods_sold],0)</f>
        <v>0</v>
      </c>
      <c r="AO348" s="11">
        <f>_xlfn.XLOOKUP(TableDailySummary[[#This Row],[Fecha]],SummaryDaily[day],SummaryDaily[gross_profit],0)</f>
        <v>0</v>
      </c>
      <c r="AP348" s="18">
        <f>IFERROR(TableDailySummary[[#This Row],[Utilidad bruta]]/TableDailySummary[[#This Row],[Ventas netas con costo registrado]],0)</f>
        <v>0</v>
      </c>
    </row>
    <row r="349" spans="2:42" x14ac:dyDescent="0.2">
      <c r="B349" s="15" cm="1">
        <f t="array" ref="B349">ParamFechaInicioReporte + (ROW(TableDailySummary[#This Row]) - ROW(TableDailySummary[[#Headers],[Dia]]) - 1)</f>
        <v>44876</v>
      </c>
      <c r="C349" s="6">
        <f>TableDailySummary[[#This Row],[Dia]]</f>
        <v>44876</v>
      </c>
      <c r="D349" s="11">
        <f>_xlfn.XLOOKUP(TableDailySummary[[#This Row],[Fecha]],SummaryDaily[day],SummaryDaily[net_sales],0)</f>
        <v>0</v>
      </c>
      <c r="E349" s="11">
        <f>_xlfn.XLOOKUP(TableDailySummary[[#This Row],[Fecha]],SummaryDaily[day],SummaryDaily[orders],0)</f>
        <v>0</v>
      </c>
      <c r="F349" s="11">
        <f>_xlfn.XLOOKUP(TableDailySummary[[#This Row],[Fecha]],SummaryDaily[day],SummaryDaily[average_order_value],0)</f>
        <v>0</v>
      </c>
      <c r="G349" s="24" cm="1">
        <f t="array" ref="G349">_xlfn.XLOOKUP(TableDailySummary[[#This Row],[Fecha]]&amp;"Total site",ConversionRateByReferral[day]&amp;ConversionRateByReferral[referrer_source],ConversionRateByReferral[conversion_rate],0)</f>
        <v>0</v>
      </c>
      <c r="H349" s="11">
        <f>TableDailySummary[[#This Row],[Órden promedio totales]]*TableDailySummary[[#This Row],[CR totales]]</f>
        <v>0</v>
      </c>
      <c r="I349" s="11">
        <f>_xlfn.XLOOKUP(TableDailySummary[[#This Row],[Fecha]],SummaryDaily[day],SummaryDaily[new_net_sales],0)</f>
        <v>0</v>
      </c>
      <c r="J349" s="11">
        <f>_xlfn.XLOOKUP(TableDailySummary[[#This Row],[Fecha]],SummaryDaily[day],SummaryDaily[new_orders],0)</f>
        <v>0</v>
      </c>
      <c r="K349" s="11">
        <f>_xlfn.XLOOKUP(TableDailySummary[[#This Row],[Fecha]],SummaryDaily[day],SummaryDaily[new_average_order_value],0)</f>
        <v>0</v>
      </c>
      <c r="L349" s="11">
        <f>_xlfn.XLOOKUP(TableDailySummary[[#This Row],[Fecha]],SummaryDaily[day],SummaryDaily[Online Store_net_sales],0)</f>
        <v>0</v>
      </c>
      <c r="M349" s="11">
        <f>_xlfn.XLOOKUP(TableDailySummary[[#This Row],[Fecha]],SummaryDaily[day],SummaryDaily[Online Store_orders],0)</f>
        <v>0</v>
      </c>
      <c r="N349" s="11">
        <f>_xlfn.XLOOKUP(TableDailySummary[[#This Row],[Fecha]],SummaryDaily[day],SummaryDaily[Online Store_average_order_value],0)</f>
        <v>0</v>
      </c>
      <c r="O349" s="11">
        <f>_xlfn.XLOOKUP(TableDailySummary[[#This Row],[Fecha]],SummaryDaily[day],SummaryDaily[Tienda 81_net_sales],0)</f>
        <v>0</v>
      </c>
      <c r="P349" s="11">
        <f>_xlfn.XLOOKUP(TableDailySummary[[#This Row],[Fecha]],SummaryDaily[day],SummaryDaily[Tienda 81_orders],0)</f>
        <v>0</v>
      </c>
      <c r="Q349" s="11">
        <f>_xlfn.XLOOKUP(TableDailySummary[[#This Row],[Fecha]],SummaryDaily[day],SummaryDaily[Tienda 81_average_order_value],0)</f>
        <v>0</v>
      </c>
      <c r="R349" s="11">
        <f>_xlfn.XLOOKUP(TableDailySummary[[#This Row],[Fecha]],SummaryDaily[day],SummaryDaily[Rappi_net_sales],0)</f>
        <v>0</v>
      </c>
      <c r="S349" s="11">
        <f>_xlfn.XLOOKUP(TableDailySummary[[#This Row],[Fecha]],SummaryDaily[day],SummaryDaily[Rappi_orders],0)</f>
        <v>0</v>
      </c>
      <c r="T349" s="11">
        <f>_xlfn.XLOOKUP(TableDailySummary[[#This Row],[Fecha]],SummaryDaily[day],SummaryDaily[Rappi_average_order_value],0)</f>
        <v>0</v>
      </c>
      <c r="U349" s="11">
        <f>_xlfn.XLOOKUP(TableDailySummary[[#This Row],[Fecha]],SummaryDaily[day],SummaryDaily[Corporativo no tienda_net_sales],0)</f>
        <v>0</v>
      </c>
      <c r="V349" s="11">
        <f>_xlfn.XLOOKUP(TableDailySummary[[#This Row],[Fecha]],SummaryDaily[day],SummaryDaily[Corporativo no tienda_orders],0)</f>
        <v>0</v>
      </c>
      <c r="W349" s="11">
        <f>_xlfn.XLOOKUP(TableDailySummary[[#This Row],[Fecha]],SummaryDaily[day],SummaryDaily[Corporativo no tienda_average_order_value],0)</f>
        <v>0</v>
      </c>
      <c r="X349" s="11">
        <f>_xlfn.XLOOKUP(TableDailySummary[[#This Row],[Fecha]],SummaryDaily[day],SummaryDaily[GoogleAdsOperation.Cost],0)</f>
        <v>0</v>
      </c>
      <c r="Y349" s="11">
        <f>SUMIFS(SalesByUTMDaily[google],SalesByUTMDaily[day],TableDailySummary[[#This Row],[Fecha]])</f>
        <v>0</v>
      </c>
      <c r="Z349" s="11">
        <f>_xlfn.XLOOKUP(TableDailySummary[[#This Row],[Fecha]],SummaryDaily[day],SummaryDaily[MetaAdsOperation.spend],0)</f>
        <v>0</v>
      </c>
      <c r="AA349" s="11">
        <f>SUMIFS(SalesByUTMDaily[facebook],SalesByUTMDaily[day],TableDailySummary[[#This Row],[Fecha]])</f>
        <v>0</v>
      </c>
      <c r="AB349" s="11">
        <f>TableDailySummary[[#This Row],[Inversión google ads]]+TableDailySummary[[#This Row],[Inversión meta ads]]</f>
        <v>0</v>
      </c>
      <c r="AC349" s="11">
        <f>TableDailySummary[[#This Row],[Ventas google ads]]+TableDailySummary[[#This Row],[Ventas meta ads]]</f>
        <v>0</v>
      </c>
      <c r="AD349" s="14">
        <f>IFERROR(TableDailySummary[[#This Row],[Ventas publicidad]]/TableDailySummary[[#This Row],[Inversión publicidad]],0)</f>
        <v>0</v>
      </c>
      <c r="AE349" s="14">
        <f>IFERROR(TableDailySummary[[#This Row],[Ventas primer cliente]]/TableDailySummary[[#This Row],[Inversión publicidad]],0)</f>
        <v>0</v>
      </c>
      <c r="AF349" s="14"/>
      <c r="AG349" s="11"/>
      <c r="AM349" s="11">
        <f>_xlfn.XLOOKUP(TableDailySummary[[#This Row],[Fecha]],SummaryDaily[day],SummaryDaily[net_sales_with_cost_recorded],0)</f>
        <v>0</v>
      </c>
      <c r="AN349" s="11">
        <f>_xlfn.XLOOKUP(TableDailySummary[[#This Row],[Fecha]],SummaryDaily[day],SummaryDaily[cost_of_goods_sold],0)</f>
        <v>0</v>
      </c>
      <c r="AO349" s="11">
        <f>_xlfn.XLOOKUP(TableDailySummary[[#This Row],[Fecha]],SummaryDaily[day],SummaryDaily[gross_profit],0)</f>
        <v>0</v>
      </c>
      <c r="AP349" s="18">
        <f>IFERROR(TableDailySummary[[#This Row],[Utilidad bruta]]/TableDailySummary[[#This Row],[Ventas netas con costo registrado]],0)</f>
        <v>0</v>
      </c>
    </row>
    <row r="350" spans="2:42" x14ac:dyDescent="0.2">
      <c r="B350" s="15" cm="1">
        <f t="array" ref="B350">ParamFechaInicioReporte + (ROW(TableDailySummary[#This Row]) - ROW(TableDailySummary[[#Headers],[Dia]]) - 1)</f>
        <v>44877</v>
      </c>
      <c r="C350" s="6">
        <f>TableDailySummary[[#This Row],[Dia]]</f>
        <v>44877</v>
      </c>
      <c r="D350" s="11">
        <f>_xlfn.XLOOKUP(TableDailySummary[[#This Row],[Fecha]],SummaryDaily[day],SummaryDaily[net_sales],0)</f>
        <v>0</v>
      </c>
      <c r="E350" s="11">
        <f>_xlfn.XLOOKUP(TableDailySummary[[#This Row],[Fecha]],SummaryDaily[day],SummaryDaily[orders],0)</f>
        <v>0</v>
      </c>
      <c r="F350" s="11">
        <f>_xlfn.XLOOKUP(TableDailySummary[[#This Row],[Fecha]],SummaryDaily[day],SummaryDaily[average_order_value],0)</f>
        <v>0</v>
      </c>
      <c r="G350" s="24" cm="1">
        <f t="array" ref="G350">_xlfn.XLOOKUP(TableDailySummary[[#This Row],[Fecha]]&amp;"Total site",ConversionRateByReferral[day]&amp;ConversionRateByReferral[referrer_source],ConversionRateByReferral[conversion_rate],0)</f>
        <v>0</v>
      </c>
      <c r="H350" s="11">
        <f>TableDailySummary[[#This Row],[Órden promedio totales]]*TableDailySummary[[#This Row],[CR totales]]</f>
        <v>0</v>
      </c>
      <c r="I350" s="11">
        <f>_xlfn.XLOOKUP(TableDailySummary[[#This Row],[Fecha]],SummaryDaily[day],SummaryDaily[new_net_sales],0)</f>
        <v>0</v>
      </c>
      <c r="J350" s="11">
        <f>_xlfn.XLOOKUP(TableDailySummary[[#This Row],[Fecha]],SummaryDaily[day],SummaryDaily[new_orders],0)</f>
        <v>0</v>
      </c>
      <c r="K350" s="11">
        <f>_xlfn.XLOOKUP(TableDailySummary[[#This Row],[Fecha]],SummaryDaily[day],SummaryDaily[new_average_order_value],0)</f>
        <v>0</v>
      </c>
      <c r="L350" s="11">
        <f>_xlfn.XLOOKUP(TableDailySummary[[#This Row],[Fecha]],SummaryDaily[day],SummaryDaily[Online Store_net_sales],0)</f>
        <v>0</v>
      </c>
      <c r="M350" s="11">
        <f>_xlfn.XLOOKUP(TableDailySummary[[#This Row],[Fecha]],SummaryDaily[day],SummaryDaily[Online Store_orders],0)</f>
        <v>0</v>
      </c>
      <c r="N350" s="11">
        <f>_xlfn.XLOOKUP(TableDailySummary[[#This Row],[Fecha]],SummaryDaily[day],SummaryDaily[Online Store_average_order_value],0)</f>
        <v>0</v>
      </c>
      <c r="O350" s="11">
        <f>_xlfn.XLOOKUP(TableDailySummary[[#This Row],[Fecha]],SummaryDaily[day],SummaryDaily[Tienda 81_net_sales],0)</f>
        <v>0</v>
      </c>
      <c r="P350" s="11">
        <f>_xlfn.XLOOKUP(TableDailySummary[[#This Row],[Fecha]],SummaryDaily[day],SummaryDaily[Tienda 81_orders],0)</f>
        <v>0</v>
      </c>
      <c r="Q350" s="11">
        <f>_xlfn.XLOOKUP(TableDailySummary[[#This Row],[Fecha]],SummaryDaily[day],SummaryDaily[Tienda 81_average_order_value],0)</f>
        <v>0</v>
      </c>
      <c r="R350" s="11">
        <f>_xlfn.XLOOKUP(TableDailySummary[[#This Row],[Fecha]],SummaryDaily[day],SummaryDaily[Rappi_net_sales],0)</f>
        <v>0</v>
      </c>
      <c r="S350" s="11">
        <f>_xlfn.XLOOKUP(TableDailySummary[[#This Row],[Fecha]],SummaryDaily[day],SummaryDaily[Rappi_orders],0)</f>
        <v>0</v>
      </c>
      <c r="T350" s="11">
        <f>_xlfn.XLOOKUP(TableDailySummary[[#This Row],[Fecha]],SummaryDaily[day],SummaryDaily[Rappi_average_order_value],0)</f>
        <v>0</v>
      </c>
      <c r="U350" s="11">
        <f>_xlfn.XLOOKUP(TableDailySummary[[#This Row],[Fecha]],SummaryDaily[day],SummaryDaily[Corporativo no tienda_net_sales],0)</f>
        <v>0</v>
      </c>
      <c r="V350" s="11">
        <f>_xlfn.XLOOKUP(TableDailySummary[[#This Row],[Fecha]],SummaryDaily[day],SummaryDaily[Corporativo no tienda_orders],0)</f>
        <v>0</v>
      </c>
      <c r="W350" s="11">
        <f>_xlfn.XLOOKUP(TableDailySummary[[#This Row],[Fecha]],SummaryDaily[day],SummaryDaily[Corporativo no tienda_average_order_value],0)</f>
        <v>0</v>
      </c>
      <c r="X350" s="11">
        <f>_xlfn.XLOOKUP(TableDailySummary[[#This Row],[Fecha]],SummaryDaily[day],SummaryDaily[GoogleAdsOperation.Cost],0)</f>
        <v>0</v>
      </c>
      <c r="Y350" s="11">
        <f>SUMIFS(SalesByUTMDaily[google],SalesByUTMDaily[day],TableDailySummary[[#This Row],[Fecha]])</f>
        <v>0</v>
      </c>
      <c r="Z350" s="11">
        <f>_xlfn.XLOOKUP(TableDailySummary[[#This Row],[Fecha]],SummaryDaily[day],SummaryDaily[MetaAdsOperation.spend],0)</f>
        <v>0</v>
      </c>
      <c r="AA350" s="11">
        <f>SUMIFS(SalesByUTMDaily[facebook],SalesByUTMDaily[day],TableDailySummary[[#This Row],[Fecha]])</f>
        <v>0</v>
      </c>
      <c r="AB350" s="11">
        <f>TableDailySummary[[#This Row],[Inversión google ads]]+TableDailySummary[[#This Row],[Inversión meta ads]]</f>
        <v>0</v>
      </c>
      <c r="AC350" s="11">
        <f>TableDailySummary[[#This Row],[Ventas google ads]]+TableDailySummary[[#This Row],[Ventas meta ads]]</f>
        <v>0</v>
      </c>
      <c r="AD350" s="14">
        <f>IFERROR(TableDailySummary[[#This Row],[Ventas publicidad]]/TableDailySummary[[#This Row],[Inversión publicidad]],0)</f>
        <v>0</v>
      </c>
      <c r="AE350" s="14">
        <f>IFERROR(TableDailySummary[[#This Row],[Ventas primer cliente]]/TableDailySummary[[#This Row],[Inversión publicidad]],0)</f>
        <v>0</v>
      </c>
      <c r="AF350" s="14"/>
      <c r="AG350" s="11"/>
      <c r="AM350" s="11">
        <f>_xlfn.XLOOKUP(TableDailySummary[[#This Row],[Fecha]],SummaryDaily[day],SummaryDaily[net_sales_with_cost_recorded],0)</f>
        <v>0</v>
      </c>
      <c r="AN350" s="11">
        <f>_xlfn.XLOOKUP(TableDailySummary[[#This Row],[Fecha]],SummaryDaily[day],SummaryDaily[cost_of_goods_sold],0)</f>
        <v>0</v>
      </c>
      <c r="AO350" s="11">
        <f>_xlfn.XLOOKUP(TableDailySummary[[#This Row],[Fecha]],SummaryDaily[day],SummaryDaily[gross_profit],0)</f>
        <v>0</v>
      </c>
      <c r="AP350" s="18">
        <f>IFERROR(TableDailySummary[[#This Row],[Utilidad bruta]]/TableDailySummary[[#This Row],[Ventas netas con costo registrado]],0)</f>
        <v>0</v>
      </c>
    </row>
    <row r="351" spans="2:42" x14ac:dyDescent="0.2">
      <c r="B351" s="15" cm="1">
        <f t="array" ref="B351">ParamFechaInicioReporte + (ROW(TableDailySummary[#This Row]) - ROW(TableDailySummary[[#Headers],[Dia]]) - 1)</f>
        <v>44878</v>
      </c>
      <c r="C351" s="6">
        <f>TableDailySummary[[#This Row],[Dia]]</f>
        <v>44878</v>
      </c>
      <c r="D351" s="11">
        <f>_xlfn.XLOOKUP(TableDailySummary[[#This Row],[Fecha]],SummaryDaily[day],SummaryDaily[net_sales],0)</f>
        <v>0</v>
      </c>
      <c r="E351" s="11">
        <f>_xlfn.XLOOKUP(TableDailySummary[[#This Row],[Fecha]],SummaryDaily[day],SummaryDaily[orders],0)</f>
        <v>0</v>
      </c>
      <c r="F351" s="11">
        <f>_xlfn.XLOOKUP(TableDailySummary[[#This Row],[Fecha]],SummaryDaily[day],SummaryDaily[average_order_value],0)</f>
        <v>0</v>
      </c>
      <c r="G351" s="24" cm="1">
        <f t="array" ref="G351">_xlfn.XLOOKUP(TableDailySummary[[#This Row],[Fecha]]&amp;"Total site",ConversionRateByReferral[day]&amp;ConversionRateByReferral[referrer_source],ConversionRateByReferral[conversion_rate],0)</f>
        <v>0</v>
      </c>
      <c r="H351" s="11">
        <f>TableDailySummary[[#This Row],[Órden promedio totales]]*TableDailySummary[[#This Row],[CR totales]]</f>
        <v>0</v>
      </c>
      <c r="I351" s="11">
        <f>_xlfn.XLOOKUP(TableDailySummary[[#This Row],[Fecha]],SummaryDaily[day],SummaryDaily[new_net_sales],0)</f>
        <v>0</v>
      </c>
      <c r="J351" s="11">
        <f>_xlfn.XLOOKUP(TableDailySummary[[#This Row],[Fecha]],SummaryDaily[day],SummaryDaily[new_orders],0)</f>
        <v>0</v>
      </c>
      <c r="K351" s="11">
        <f>_xlfn.XLOOKUP(TableDailySummary[[#This Row],[Fecha]],SummaryDaily[day],SummaryDaily[new_average_order_value],0)</f>
        <v>0</v>
      </c>
      <c r="L351" s="11">
        <f>_xlfn.XLOOKUP(TableDailySummary[[#This Row],[Fecha]],SummaryDaily[day],SummaryDaily[Online Store_net_sales],0)</f>
        <v>0</v>
      </c>
      <c r="M351" s="11">
        <f>_xlfn.XLOOKUP(TableDailySummary[[#This Row],[Fecha]],SummaryDaily[day],SummaryDaily[Online Store_orders],0)</f>
        <v>0</v>
      </c>
      <c r="N351" s="11">
        <f>_xlfn.XLOOKUP(TableDailySummary[[#This Row],[Fecha]],SummaryDaily[day],SummaryDaily[Online Store_average_order_value],0)</f>
        <v>0</v>
      </c>
      <c r="O351" s="11">
        <f>_xlfn.XLOOKUP(TableDailySummary[[#This Row],[Fecha]],SummaryDaily[day],SummaryDaily[Tienda 81_net_sales],0)</f>
        <v>0</v>
      </c>
      <c r="P351" s="11">
        <f>_xlfn.XLOOKUP(TableDailySummary[[#This Row],[Fecha]],SummaryDaily[day],SummaryDaily[Tienda 81_orders],0)</f>
        <v>0</v>
      </c>
      <c r="Q351" s="11">
        <f>_xlfn.XLOOKUP(TableDailySummary[[#This Row],[Fecha]],SummaryDaily[day],SummaryDaily[Tienda 81_average_order_value],0)</f>
        <v>0</v>
      </c>
      <c r="R351" s="11">
        <f>_xlfn.XLOOKUP(TableDailySummary[[#This Row],[Fecha]],SummaryDaily[day],SummaryDaily[Rappi_net_sales],0)</f>
        <v>0</v>
      </c>
      <c r="S351" s="11">
        <f>_xlfn.XLOOKUP(TableDailySummary[[#This Row],[Fecha]],SummaryDaily[day],SummaryDaily[Rappi_orders],0)</f>
        <v>0</v>
      </c>
      <c r="T351" s="11">
        <f>_xlfn.XLOOKUP(TableDailySummary[[#This Row],[Fecha]],SummaryDaily[day],SummaryDaily[Rappi_average_order_value],0)</f>
        <v>0</v>
      </c>
      <c r="U351" s="11">
        <f>_xlfn.XLOOKUP(TableDailySummary[[#This Row],[Fecha]],SummaryDaily[day],SummaryDaily[Corporativo no tienda_net_sales],0)</f>
        <v>0</v>
      </c>
      <c r="V351" s="11">
        <f>_xlfn.XLOOKUP(TableDailySummary[[#This Row],[Fecha]],SummaryDaily[day],SummaryDaily[Corporativo no tienda_orders],0)</f>
        <v>0</v>
      </c>
      <c r="W351" s="11">
        <f>_xlfn.XLOOKUP(TableDailySummary[[#This Row],[Fecha]],SummaryDaily[day],SummaryDaily[Corporativo no tienda_average_order_value],0)</f>
        <v>0</v>
      </c>
      <c r="X351" s="11">
        <f>_xlfn.XLOOKUP(TableDailySummary[[#This Row],[Fecha]],SummaryDaily[day],SummaryDaily[GoogleAdsOperation.Cost],0)</f>
        <v>0</v>
      </c>
      <c r="Y351" s="11">
        <f>SUMIFS(SalesByUTMDaily[google],SalesByUTMDaily[day],TableDailySummary[[#This Row],[Fecha]])</f>
        <v>0</v>
      </c>
      <c r="Z351" s="11">
        <f>_xlfn.XLOOKUP(TableDailySummary[[#This Row],[Fecha]],SummaryDaily[day],SummaryDaily[MetaAdsOperation.spend],0)</f>
        <v>0</v>
      </c>
      <c r="AA351" s="11">
        <f>SUMIFS(SalesByUTMDaily[facebook],SalesByUTMDaily[day],TableDailySummary[[#This Row],[Fecha]])</f>
        <v>0</v>
      </c>
      <c r="AB351" s="11">
        <f>TableDailySummary[[#This Row],[Inversión google ads]]+TableDailySummary[[#This Row],[Inversión meta ads]]</f>
        <v>0</v>
      </c>
      <c r="AC351" s="11">
        <f>TableDailySummary[[#This Row],[Ventas google ads]]+TableDailySummary[[#This Row],[Ventas meta ads]]</f>
        <v>0</v>
      </c>
      <c r="AD351" s="14">
        <f>IFERROR(TableDailySummary[[#This Row],[Ventas publicidad]]/TableDailySummary[[#This Row],[Inversión publicidad]],0)</f>
        <v>0</v>
      </c>
      <c r="AE351" s="14">
        <f>IFERROR(TableDailySummary[[#This Row],[Ventas primer cliente]]/TableDailySummary[[#This Row],[Inversión publicidad]],0)</f>
        <v>0</v>
      </c>
      <c r="AF351" s="14"/>
      <c r="AG351" s="11"/>
      <c r="AM351" s="11">
        <f>_xlfn.XLOOKUP(TableDailySummary[[#This Row],[Fecha]],SummaryDaily[day],SummaryDaily[net_sales_with_cost_recorded],0)</f>
        <v>0</v>
      </c>
      <c r="AN351" s="11">
        <f>_xlfn.XLOOKUP(TableDailySummary[[#This Row],[Fecha]],SummaryDaily[day],SummaryDaily[cost_of_goods_sold],0)</f>
        <v>0</v>
      </c>
      <c r="AO351" s="11">
        <f>_xlfn.XLOOKUP(TableDailySummary[[#This Row],[Fecha]],SummaryDaily[day],SummaryDaily[gross_profit],0)</f>
        <v>0</v>
      </c>
      <c r="AP351" s="18">
        <f>IFERROR(TableDailySummary[[#This Row],[Utilidad bruta]]/TableDailySummary[[#This Row],[Ventas netas con costo registrado]],0)</f>
        <v>0</v>
      </c>
    </row>
    <row r="352" spans="2:42" x14ac:dyDescent="0.2">
      <c r="B352" s="15" cm="1">
        <f t="array" ref="B352">ParamFechaInicioReporte + (ROW(TableDailySummary[#This Row]) - ROW(TableDailySummary[[#Headers],[Dia]]) - 1)</f>
        <v>44879</v>
      </c>
      <c r="C352" s="6">
        <f>TableDailySummary[[#This Row],[Dia]]</f>
        <v>44879</v>
      </c>
      <c r="D352" s="11">
        <f>_xlfn.XLOOKUP(TableDailySummary[[#This Row],[Fecha]],SummaryDaily[day],SummaryDaily[net_sales],0)</f>
        <v>0</v>
      </c>
      <c r="E352" s="11">
        <f>_xlfn.XLOOKUP(TableDailySummary[[#This Row],[Fecha]],SummaryDaily[day],SummaryDaily[orders],0)</f>
        <v>0</v>
      </c>
      <c r="F352" s="11">
        <f>_xlfn.XLOOKUP(TableDailySummary[[#This Row],[Fecha]],SummaryDaily[day],SummaryDaily[average_order_value],0)</f>
        <v>0</v>
      </c>
      <c r="G352" s="24" cm="1">
        <f t="array" ref="G352">_xlfn.XLOOKUP(TableDailySummary[[#This Row],[Fecha]]&amp;"Total site",ConversionRateByReferral[day]&amp;ConversionRateByReferral[referrer_source],ConversionRateByReferral[conversion_rate],0)</f>
        <v>0</v>
      </c>
      <c r="H352" s="11">
        <f>TableDailySummary[[#This Row],[Órden promedio totales]]*TableDailySummary[[#This Row],[CR totales]]</f>
        <v>0</v>
      </c>
      <c r="I352" s="11">
        <f>_xlfn.XLOOKUP(TableDailySummary[[#This Row],[Fecha]],SummaryDaily[day],SummaryDaily[new_net_sales],0)</f>
        <v>0</v>
      </c>
      <c r="J352" s="11">
        <f>_xlfn.XLOOKUP(TableDailySummary[[#This Row],[Fecha]],SummaryDaily[day],SummaryDaily[new_orders],0)</f>
        <v>0</v>
      </c>
      <c r="K352" s="11">
        <f>_xlfn.XLOOKUP(TableDailySummary[[#This Row],[Fecha]],SummaryDaily[day],SummaryDaily[new_average_order_value],0)</f>
        <v>0</v>
      </c>
      <c r="L352" s="11">
        <f>_xlfn.XLOOKUP(TableDailySummary[[#This Row],[Fecha]],SummaryDaily[day],SummaryDaily[Online Store_net_sales],0)</f>
        <v>0</v>
      </c>
      <c r="M352" s="11">
        <f>_xlfn.XLOOKUP(TableDailySummary[[#This Row],[Fecha]],SummaryDaily[day],SummaryDaily[Online Store_orders],0)</f>
        <v>0</v>
      </c>
      <c r="N352" s="11">
        <f>_xlfn.XLOOKUP(TableDailySummary[[#This Row],[Fecha]],SummaryDaily[day],SummaryDaily[Online Store_average_order_value],0)</f>
        <v>0</v>
      </c>
      <c r="O352" s="11">
        <f>_xlfn.XLOOKUP(TableDailySummary[[#This Row],[Fecha]],SummaryDaily[day],SummaryDaily[Tienda 81_net_sales],0)</f>
        <v>0</v>
      </c>
      <c r="P352" s="11">
        <f>_xlfn.XLOOKUP(TableDailySummary[[#This Row],[Fecha]],SummaryDaily[day],SummaryDaily[Tienda 81_orders],0)</f>
        <v>0</v>
      </c>
      <c r="Q352" s="11">
        <f>_xlfn.XLOOKUP(TableDailySummary[[#This Row],[Fecha]],SummaryDaily[day],SummaryDaily[Tienda 81_average_order_value],0)</f>
        <v>0</v>
      </c>
      <c r="R352" s="11">
        <f>_xlfn.XLOOKUP(TableDailySummary[[#This Row],[Fecha]],SummaryDaily[day],SummaryDaily[Rappi_net_sales],0)</f>
        <v>0</v>
      </c>
      <c r="S352" s="11">
        <f>_xlfn.XLOOKUP(TableDailySummary[[#This Row],[Fecha]],SummaryDaily[day],SummaryDaily[Rappi_orders],0)</f>
        <v>0</v>
      </c>
      <c r="T352" s="11">
        <f>_xlfn.XLOOKUP(TableDailySummary[[#This Row],[Fecha]],SummaryDaily[day],SummaryDaily[Rappi_average_order_value],0)</f>
        <v>0</v>
      </c>
      <c r="U352" s="11">
        <f>_xlfn.XLOOKUP(TableDailySummary[[#This Row],[Fecha]],SummaryDaily[day],SummaryDaily[Corporativo no tienda_net_sales],0)</f>
        <v>0</v>
      </c>
      <c r="V352" s="11">
        <f>_xlfn.XLOOKUP(TableDailySummary[[#This Row],[Fecha]],SummaryDaily[day],SummaryDaily[Corporativo no tienda_orders],0)</f>
        <v>0</v>
      </c>
      <c r="W352" s="11">
        <f>_xlfn.XLOOKUP(TableDailySummary[[#This Row],[Fecha]],SummaryDaily[day],SummaryDaily[Corporativo no tienda_average_order_value],0)</f>
        <v>0</v>
      </c>
      <c r="X352" s="11">
        <f>_xlfn.XLOOKUP(TableDailySummary[[#This Row],[Fecha]],SummaryDaily[day],SummaryDaily[GoogleAdsOperation.Cost],0)</f>
        <v>0</v>
      </c>
      <c r="Y352" s="11">
        <f>SUMIFS(SalesByUTMDaily[google],SalesByUTMDaily[day],TableDailySummary[[#This Row],[Fecha]])</f>
        <v>0</v>
      </c>
      <c r="Z352" s="11">
        <f>_xlfn.XLOOKUP(TableDailySummary[[#This Row],[Fecha]],SummaryDaily[day],SummaryDaily[MetaAdsOperation.spend],0)</f>
        <v>0</v>
      </c>
      <c r="AA352" s="11">
        <f>SUMIFS(SalesByUTMDaily[facebook],SalesByUTMDaily[day],TableDailySummary[[#This Row],[Fecha]])</f>
        <v>0</v>
      </c>
      <c r="AB352" s="11">
        <f>TableDailySummary[[#This Row],[Inversión google ads]]+TableDailySummary[[#This Row],[Inversión meta ads]]</f>
        <v>0</v>
      </c>
      <c r="AC352" s="11">
        <f>TableDailySummary[[#This Row],[Ventas google ads]]+TableDailySummary[[#This Row],[Ventas meta ads]]</f>
        <v>0</v>
      </c>
      <c r="AD352" s="14">
        <f>IFERROR(TableDailySummary[[#This Row],[Ventas publicidad]]/TableDailySummary[[#This Row],[Inversión publicidad]],0)</f>
        <v>0</v>
      </c>
      <c r="AE352" s="14">
        <f>IFERROR(TableDailySummary[[#This Row],[Ventas primer cliente]]/TableDailySummary[[#This Row],[Inversión publicidad]],0)</f>
        <v>0</v>
      </c>
      <c r="AF352" s="14"/>
      <c r="AG352" s="11"/>
      <c r="AM352" s="11">
        <f>_xlfn.XLOOKUP(TableDailySummary[[#This Row],[Fecha]],SummaryDaily[day],SummaryDaily[net_sales_with_cost_recorded],0)</f>
        <v>0</v>
      </c>
      <c r="AN352" s="11">
        <f>_xlfn.XLOOKUP(TableDailySummary[[#This Row],[Fecha]],SummaryDaily[day],SummaryDaily[cost_of_goods_sold],0)</f>
        <v>0</v>
      </c>
      <c r="AO352" s="11">
        <f>_xlfn.XLOOKUP(TableDailySummary[[#This Row],[Fecha]],SummaryDaily[day],SummaryDaily[gross_profit],0)</f>
        <v>0</v>
      </c>
      <c r="AP352" s="18">
        <f>IFERROR(TableDailySummary[[#This Row],[Utilidad bruta]]/TableDailySummary[[#This Row],[Ventas netas con costo registrado]],0)</f>
        <v>0</v>
      </c>
    </row>
    <row r="353" spans="2:42" x14ac:dyDescent="0.2">
      <c r="B353" s="15" cm="1">
        <f t="array" ref="B353">ParamFechaInicioReporte + (ROW(TableDailySummary[#This Row]) - ROW(TableDailySummary[[#Headers],[Dia]]) - 1)</f>
        <v>44880</v>
      </c>
      <c r="C353" s="6">
        <f>TableDailySummary[[#This Row],[Dia]]</f>
        <v>44880</v>
      </c>
      <c r="D353" s="11">
        <f>_xlfn.XLOOKUP(TableDailySummary[[#This Row],[Fecha]],SummaryDaily[day],SummaryDaily[net_sales],0)</f>
        <v>0</v>
      </c>
      <c r="E353" s="11">
        <f>_xlfn.XLOOKUP(TableDailySummary[[#This Row],[Fecha]],SummaryDaily[day],SummaryDaily[orders],0)</f>
        <v>0</v>
      </c>
      <c r="F353" s="11">
        <f>_xlfn.XLOOKUP(TableDailySummary[[#This Row],[Fecha]],SummaryDaily[day],SummaryDaily[average_order_value],0)</f>
        <v>0</v>
      </c>
      <c r="G353" s="24" cm="1">
        <f t="array" ref="G353">_xlfn.XLOOKUP(TableDailySummary[[#This Row],[Fecha]]&amp;"Total site",ConversionRateByReferral[day]&amp;ConversionRateByReferral[referrer_source],ConversionRateByReferral[conversion_rate],0)</f>
        <v>0</v>
      </c>
      <c r="H353" s="11">
        <f>TableDailySummary[[#This Row],[Órden promedio totales]]*TableDailySummary[[#This Row],[CR totales]]</f>
        <v>0</v>
      </c>
      <c r="I353" s="11">
        <f>_xlfn.XLOOKUP(TableDailySummary[[#This Row],[Fecha]],SummaryDaily[day],SummaryDaily[new_net_sales],0)</f>
        <v>0</v>
      </c>
      <c r="J353" s="11">
        <f>_xlfn.XLOOKUP(TableDailySummary[[#This Row],[Fecha]],SummaryDaily[day],SummaryDaily[new_orders],0)</f>
        <v>0</v>
      </c>
      <c r="K353" s="11">
        <f>_xlfn.XLOOKUP(TableDailySummary[[#This Row],[Fecha]],SummaryDaily[day],SummaryDaily[new_average_order_value],0)</f>
        <v>0</v>
      </c>
      <c r="L353" s="11">
        <f>_xlfn.XLOOKUP(TableDailySummary[[#This Row],[Fecha]],SummaryDaily[day],SummaryDaily[Online Store_net_sales],0)</f>
        <v>0</v>
      </c>
      <c r="M353" s="11">
        <f>_xlfn.XLOOKUP(TableDailySummary[[#This Row],[Fecha]],SummaryDaily[day],SummaryDaily[Online Store_orders],0)</f>
        <v>0</v>
      </c>
      <c r="N353" s="11">
        <f>_xlfn.XLOOKUP(TableDailySummary[[#This Row],[Fecha]],SummaryDaily[day],SummaryDaily[Online Store_average_order_value],0)</f>
        <v>0</v>
      </c>
      <c r="O353" s="11">
        <f>_xlfn.XLOOKUP(TableDailySummary[[#This Row],[Fecha]],SummaryDaily[day],SummaryDaily[Tienda 81_net_sales],0)</f>
        <v>0</v>
      </c>
      <c r="P353" s="11">
        <f>_xlfn.XLOOKUP(TableDailySummary[[#This Row],[Fecha]],SummaryDaily[day],SummaryDaily[Tienda 81_orders],0)</f>
        <v>0</v>
      </c>
      <c r="Q353" s="11">
        <f>_xlfn.XLOOKUP(TableDailySummary[[#This Row],[Fecha]],SummaryDaily[day],SummaryDaily[Tienda 81_average_order_value],0)</f>
        <v>0</v>
      </c>
      <c r="R353" s="11">
        <f>_xlfn.XLOOKUP(TableDailySummary[[#This Row],[Fecha]],SummaryDaily[day],SummaryDaily[Rappi_net_sales],0)</f>
        <v>0</v>
      </c>
      <c r="S353" s="11">
        <f>_xlfn.XLOOKUP(TableDailySummary[[#This Row],[Fecha]],SummaryDaily[day],SummaryDaily[Rappi_orders],0)</f>
        <v>0</v>
      </c>
      <c r="T353" s="11">
        <f>_xlfn.XLOOKUP(TableDailySummary[[#This Row],[Fecha]],SummaryDaily[day],SummaryDaily[Rappi_average_order_value],0)</f>
        <v>0</v>
      </c>
      <c r="U353" s="11">
        <f>_xlfn.XLOOKUP(TableDailySummary[[#This Row],[Fecha]],SummaryDaily[day],SummaryDaily[Corporativo no tienda_net_sales],0)</f>
        <v>0</v>
      </c>
      <c r="V353" s="11">
        <f>_xlfn.XLOOKUP(TableDailySummary[[#This Row],[Fecha]],SummaryDaily[day],SummaryDaily[Corporativo no tienda_orders],0)</f>
        <v>0</v>
      </c>
      <c r="W353" s="11">
        <f>_xlfn.XLOOKUP(TableDailySummary[[#This Row],[Fecha]],SummaryDaily[day],SummaryDaily[Corporativo no tienda_average_order_value],0)</f>
        <v>0</v>
      </c>
      <c r="X353" s="11">
        <f>_xlfn.XLOOKUP(TableDailySummary[[#This Row],[Fecha]],SummaryDaily[day],SummaryDaily[GoogleAdsOperation.Cost],0)</f>
        <v>0</v>
      </c>
      <c r="Y353" s="11">
        <f>SUMIFS(SalesByUTMDaily[google],SalesByUTMDaily[day],TableDailySummary[[#This Row],[Fecha]])</f>
        <v>0</v>
      </c>
      <c r="Z353" s="11">
        <f>_xlfn.XLOOKUP(TableDailySummary[[#This Row],[Fecha]],SummaryDaily[day],SummaryDaily[MetaAdsOperation.spend],0)</f>
        <v>0</v>
      </c>
      <c r="AA353" s="11">
        <f>SUMIFS(SalesByUTMDaily[facebook],SalesByUTMDaily[day],TableDailySummary[[#This Row],[Fecha]])</f>
        <v>0</v>
      </c>
      <c r="AB353" s="11">
        <f>TableDailySummary[[#This Row],[Inversión google ads]]+TableDailySummary[[#This Row],[Inversión meta ads]]</f>
        <v>0</v>
      </c>
      <c r="AC353" s="11">
        <f>TableDailySummary[[#This Row],[Ventas google ads]]+TableDailySummary[[#This Row],[Ventas meta ads]]</f>
        <v>0</v>
      </c>
      <c r="AD353" s="14">
        <f>IFERROR(TableDailySummary[[#This Row],[Ventas publicidad]]/TableDailySummary[[#This Row],[Inversión publicidad]],0)</f>
        <v>0</v>
      </c>
      <c r="AE353" s="14">
        <f>IFERROR(TableDailySummary[[#This Row],[Ventas primer cliente]]/TableDailySummary[[#This Row],[Inversión publicidad]],0)</f>
        <v>0</v>
      </c>
      <c r="AF353" s="14"/>
      <c r="AG353" s="11"/>
      <c r="AM353" s="11">
        <f>_xlfn.XLOOKUP(TableDailySummary[[#This Row],[Fecha]],SummaryDaily[day],SummaryDaily[net_sales_with_cost_recorded],0)</f>
        <v>0</v>
      </c>
      <c r="AN353" s="11">
        <f>_xlfn.XLOOKUP(TableDailySummary[[#This Row],[Fecha]],SummaryDaily[day],SummaryDaily[cost_of_goods_sold],0)</f>
        <v>0</v>
      </c>
      <c r="AO353" s="11">
        <f>_xlfn.XLOOKUP(TableDailySummary[[#This Row],[Fecha]],SummaryDaily[day],SummaryDaily[gross_profit],0)</f>
        <v>0</v>
      </c>
      <c r="AP353" s="18">
        <f>IFERROR(TableDailySummary[[#This Row],[Utilidad bruta]]/TableDailySummary[[#This Row],[Ventas netas con costo registrado]],0)</f>
        <v>0</v>
      </c>
    </row>
    <row r="354" spans="2:42" x14ac:dyDescent="0.2">
      <c r="B354" s="15" cm="1">
        <f t="array" ref="B354">ParamFechaInicioReporte + (ROW(TableDailySummary[#This Row]) - ROW(TableDailySummary[[#Headers],[Dia]]) - 1)</f>
        <v>44881</v>
      </c>
      <c r="C354" s="6">
        <f>TableDailySummary[[#This Row],[Dia]]</f>
        <v>44881</v>
      </c>
      <c r="D354" s="11">
        <f>_xlfn.XLOOKUP(TableDailySummary[[#This Row],[Fecha]],SummaryDaily[day],SummaryDaily[net_sales],0)</f>
        <v>0</v>
      </c>
      <c r="E354" s="11">
        <f>_xlfn.XLOOKUP(TableDailySummary[[#This Row],[Fecha]],SummaryDaily[day],SummaryDaily[orders],0)</f>
        <v>0</v>
      </c>
      <c r="F354" s="11">
        <f>_xlfn.XLOOKUP(TableDailySummary[[#This Row],[Fecha]],SummaryDaily[day],SummaryDaily[average_order_value],0)</f>
        <v>0</v>
      </c>
      <c r="G354" s="24" cm="1">
        <f t="array" ref="G354">_xlfn.XLOOKUP(TableDailySummary[[#This Row],[Fecha]]&amp;"Total site",ConversionRateByReferral[day]&amp;ConversionRateByReferral[referrer_source],ConversionRateByReferral[conversion_rate],0)</f>
        <v>0</v>
      </c>
      <c r="H354" s="11">
        <f>TableDailySummary[[#This Row],[Órden promedio totales]]*TableDailySummary[[#This Row],[CR totales]]</f>
        <v>0</v>
      </c>
      <c r="I354" s="11">
        <f>_xlfn.XLOOKUP(TableDailySummary[[#This Row],[Fecha]],SummaryDaily[day],SummaryDaily[new_net_sales],0)</f>
        <v>0</v>
      </c>
      <c r="J354" s="11">
        <f>_xlfn.XLOOKUP(TableDailySummary[[#This Row],[Fecha]],SummaryDaily[day],SummaryDaily[new_orders],0)</f>
        <v>0</v>
      </c>
      <c r="K354" s="11">
        <f>_xlfn.XLOOKUP(TableDailySummary[[#This Row],[Fecha]],SummaryDaily[day],SummaryDaily[new_average_order_value],0)</f>
        <v>0</v>
      </c>
      <c r="L354" s="11">
        <f>_xlfn.XLOOKUP(TableDailySummary[[#This Row],[Fecha]],SummaryDaily[day],SummaryDaily[Online Store_net_sales],0)</f>
        <v>0</v>
      </c>
      <c r="M354" s="11">
        <f>_xlfn.XLOOKUP(TableDailySummary[[#This Row],[Fecha]],SummaryDaily[day],SummaryDaily[Online Store_orders],0)</f>
        <v>0</v>
      </c>
      <c r="N354" s="11">
        <f>_xlfn.XLOOKUP(TableDailySummary[[#This Row],[Fecha]],SummaryDaily[day],SummaryDaily[Online Store_average_order_value],0)</f>
        <v>0</v>
      </c>
      <c r="O354" s="11">
        <f>_xlfn.XLOOKUP(TableDailySummary[[#This Row],[Fecha]],SummaryDaily[day],SummaryDaily[Tienda 81_net_sales],0)</f>
        <v>0</v>
      </c>
      <c r="P354" s="11">
        <f>_xlfn.XLOOKUP(TableDailySummary[[#This Row],[Fecha]],SummaryDaily[day],SummaryDaily[Tienda 81_orders],0)</f>
        <v>0</v>
      </c>
      <c r="Q354" s="11">
        <f>_xlfn.XLOOKUP(TableDailySummary[[#This Row],[Fecha]],SummaryDaily[day],SummaryDaily[Tienda 81_average_order_value],0)</f>
        <v>0</v>
      </c>
      <c r="R354" s="11">
        <f>_xlfn.XLOOKUP(TableDailySummary[[#This Row],[Fecha]],SummaryDaily[day],SummaryDaily[Rappi_net_sales],0)</f>
        <v>0</v>
      </c>
      <c r="S354" s="11">
        <f>_xlfn.XLOOKUP(TableDailySummary[[#This Row],[Fecha]],SummaryDaily[day],SummaryDaily[Rappi_orders],0)</f>
        <v>0</v>
      </c>
      <c r="T354" s="11">
        <f>_xlfn.XLOOKUP(TableDailySummary[[#This Row],[Fecha]],SummaryDaily[day],SummaryDaily[Rappi_average_order_value],0)</f>
        <v>0</v>
      </c>
      <c r="U354" s="11">
        <f>_xlfn.XLOOKUP(TableDailySummary[[#This Row],[Fecha]],SummaryDaily[day],SummaryDaily[Corporativo no tienda_net_sales],0)</f>
        <v>0</v>
      </c>
      <c r="V354" s="11">
        <f>_xlfn.XLOOKUP(TableDailySummary[[#This Row],[Fecha]],SummaryDaily[day],SummaryDaily[Corporativo no tienda_orders],0)</f>
        <v>0</v>
      </c>
      <c r="W354" s="11">
        <f>_xlfn.XLOOKUP(TableDailySummary[[#This Row],[Fecha]],SummaryDaily[day],SummaryDaily[Corporativo no tienda_average_order_value],0)</f>
        <v>0</v>
      </c>
      <c r="X354" s="11">
        <f>_xlfn.XLOOKUP(TableDailySummary[[#This Row],[Fecha]],SummaryDaily[day],SummaryDaily[GoogleAdsOperation.Cost],0)</f>
        <v>0</v>
      </c>
      <c r="Y354" s="11">
        <f>SUMIFS(SalesByUTMDaily[google],SalesByUTMDaily[day],TableDailySummary[[#This Row],[Fecha]])</f>
        <v>0</v>
      </c>
      <c r="Z354" s="11">
        <f>_xlfn.XLOOKUP(TableDailySummary[[#This Row],[Fecha]],SummaryDaily[day],SummaryDaily[MetaAdsOperation.spend],0)</f>
        <v>0</v>
      </c>
      <c r="AA354" s="11">
        <f>SUMIFS(SalesByUTMDaily[facebook],SalesByUTMDaily[day],TableDailySummary[[#This Row],[Fecha]])</f>
        <v>0</v>
      </c>
      <c r="AB354" s="11">
        <f>TableDailySummary[[#This Row],[Inversión google ads]]+TableDailySummary[[#This Row],[Inversión meta ads]]</f>
        <v>0</v>
      </c>
      <c r="AC354" s="11">
        <f>TableDailySummary[[#This Row],[Ventas google ads]]+TableDailySummary[[#This Row],[Ventas meta ads]]</f>
        <v>0</v>
      </c>
      <c r="AD354" s="14">
        <f>IFERROR(TableDailySummary[[#This Row],[Ventas publicidad]]/TableDailySummary[[#This Row],[Inversión publicidad]],0)</f>
        <v>0</v>
      </c>
      <c r="AE354" s="14">
        <f>IFERROR(TableDailySummary[[#This Row],[Ventas primer cliente]]/TableDailySummary[[#This Row],[Inversión publicidad]],0)</f>
        <v>0</v>
      </c>
      <c r="AF354" s="14"/>
      <c r="AG354" s="11"/>
      <c r="AM354" s="11">
        <f>_xlfn.XLOOKUP(TableDailySummary[[#This Row],[Fecha]],SummaryDaily[day],SummaryDaily[net_sales_with_cost_recorded],0)</f>
        <v>0</v>
      </c>
      <c r="AN354" s="11">
        <f>_xlfn.XLOOKUP(TableDailySummary[[#This Row],[Fecha]],SummaryDaily[day],SummaryDaily[cost_of_goods_sold],0)</f>
        <v>0</v>
      </c>
      <c r="AO354" s="11">
        <f>_xlfn.XLOOKUP(TableDailySummary[[#This Row],[Fecha]],SummaryDaily[day],SummaryDaily[gross_profit],0)</f>
        <v>0</v>
      </c>
      <c r="AP354" s="18">
        <f>IFERROR(TableDailySummary[[#This Row],[Utilidad bruta]]/TableDailySummary[[#This Row],[Ventas netas con costo registrado]],0)</f>
        <v>0</v>
      </c>
    </row>
    <row r="355" spans="2:42" x14ac:dyDescent="0.2">
      <c r="B355" s="15" cm="1">
        <f t="array" ref="B355">ParamFechaInicioReporte + (ROW(TableDailySummary[#This Row]) - ROW(TableDailySummary[[#Headers],[Dia]]) - 1)</f>
        <v>44882</v>
      </c>
      <c r="C355" s="6">
        <f>TableDailySummary[[#This Row],[Dia]]</f>
        <v>44882</v>
      </c>
      <c r="D355" s="11">
        <f>_xlfn.XLOOKUP(TableDailySummary[[#This Row],[Fecha]],SummaryDaily[day],SummaryDaily[net_sales],0)</f>
        <v>0</v>
      </c>
      <c r="E355" s="11">
        <f>_xlfn.XLOOKUP(TableDailySummary[[#This Row],[Fecha]],SummaryDaily[day],SummaryDaily[orders],0)</f>
        <v>0</v>
      </c>
      <c r="F355" s="11">
        <f>_xlfn.XLOOKUP(TableDailySummary[[#This Row],[Fecha]],SummaryDaily[day],SummaryDaily[average_order_value],0)</f>
        <v>0</v>
      </c>
      <c r="G355" s="24" cm="1">
        <f t="array" ref="G355">_xlfn.XLOOKUP(TableDailySummary[[#This Row],[Fecha]]&amp;"Total site",ConversionRateByReferral[day]&amp;ConversionRateByReferral[referrer_source],ConversionRateByReferral[conversion_rate],0)</f>
        <v>0</v>
      </c>
      <c r="H355" s="11">
        <f>TableDailySummary[[#This Row],[Órden promedio totales]]*TableDailySummary[[#This Row],[CR totales]]</f>
        <v>0</v>
      </c>
      <c r="I355" s="11">
        <f>_xlfn.XLOOKUP(TableDailySummary[[#This Row],[Fecha]],SummaryDaily[day],SummaryDaily[new_net_sales],0)</f>
        <v>0</v>
      </c>
      <c r="J355" s="11">
        <f>_xlfn.XLOOKUP(TableDailySummary[[#This Row],[Fecha]],SummaryDaily[day],SummaryDaily[new_orders],0)</f>
        <v>0</v>
      </c>
      <c r="K355" s="11">
        <f>_xlfn.XLOOKUP(TableDailySummary[[#This Row],[Fecha]],SummaryDaily[day],SummaryDaily[new_average_order_value],0)</f>
        <v>0</v>
      </c>
      <c r="L355" s="11">
        <f>_xlfn.XLOOKUP(TableDailySummary[[#This Row],[Fecha]],SummaryDaily[day],SummaryDaily[Online Store_net_sales],0)</f>
        <v>0</v>
      </c>
      <c r="M355" s="11">
        <f>_xlfn.XLOOKUP(TableDailySummary[[#This Row],[Fecha]],SummaryDaily[day],SummaryDaily[Online Store_orders],0)</f>
        <v>0</v>
      </c>
      <c r="N355" s="11">
        <f>_xlfn.XLOOKUP(TableDailySummary[[#This Row],[Fecha]],SummaryDaily[day],SummaryDaily[Online Store_average_order_value],0)</f>
        <v>0</v>
      </c>
      <c r="O355" s="11">
        <f>_xlfn.XLOOKUP(TableDailySummary[[#This Row],[Fecha]],SummaryDaily[day],SummaryDaily[Tienda 81_net_sales],0)</f>
        <v>0</v>
      </c>
      <c r="P355" s="11">
        <f>_xlfn.XLOOKUP(TableDailySummary[[#This Row],[Fecha]],SummaryDaily[day],SummaryDaily[Tienda 81_orders],0)</f>
        <v>0</v>
      </c>
      <c r="Q355" s="11">
        <f>_xlfn.XLOOKUP(TableDailySummary[[#This Row],[Fecha]],SummaryDaily[day],SummaryDaily[Tienda 81_average_order_value],0)</f>
        <v>0</v>
      </c>
      <c r="R355" s="11">
        <f>_xlfn.XLOOKUP(TableDailySummary[[#This Row],[Fecha]],SummaryDaily[day],SummaryDaily[Rappi_net_sales],0)</f>
        <v>0</v>
      </c>
      <c r="S355" s="11">
        <f>_xlfn.XLOOKUP(TableDailySummary[[#This Row],[Fecha]],SummaryDaily[day],SummaryDaily[Rappi_orders],0)</f>
        <v>0</v>
      </c>
      <c r="T355" s="11">
        <f>_xlfn.XLOOKUP(TableDailySummary[[#This Row],[Fecha]],SummaryDaily[day],SummaryDaily[Rappi_average_order_value],0)</f>
        <v>0</v>
      </c>
      <c r="U355" s="11">
        <f>_xlfn.XLOOKUP(TableDailySummary[[#This Row],[Fecha]],SummaryDaily[day],SummaryDaily[Corporativo no tienda_net_sales],0)</f>
        <v>0</v>
      </c>
      <c r="V355" s="11">
        <f>_xlfn.XLOOKUP(TableDailySummary[[#This Row],[Fecha]],SummaryDaily[day],SummaryDaily[Corporativo no tienda_orders],0)</f>
        <v>0</v>
      </c>
      <c r="W355" s="11">
        <f>_xlfn.XLOOKUP(TableDailySummary[[#This Row],[Fecha]],SummaryDaily[day],SummaryDaily[Corporativo no tienda_average_order_value],0)</f>
        <v>0</v>
      </c>
      <c r="X355" s="11">
        <f>_xlfn.XLOOKUP(TableDailySummary[[#This Row],[Fecha]],SummaryDaily[day],SummaryDaily[GoogleAdsOperation.Cost],0)</f>
        <v>0</v>
      </c>
      <c r="Y355" s="11">
        <f>SUMIFS(SalesByUTMDaily[google],SalesByUTMDaily[day],TableDailySummary[[#This Row],[Fecha]])</f>
        <v>0</v>
      </c>
      <c r="Z355" s="11">
        <f>_xlfn.XLOOKUP(TableDailySummary[[#This Row],[Fecha]],SummaryDaily[day],SummaryDaily[MetaAdsOperation.spend],0)</f>
        <v>0</v>
      </c>
      <c r="AA355" s="11">
        <f>SUMIFS(SalesByUTMDaily[facebook],SalesByUTMDaily[day],TableDailySummary[[#This Row],[Fecha]])</f>
        <v>0</v>
      </c>
      <c r="AB355" s="11">
        <f>TableDailySummary[[#This Row],[Inversión google ads]]+TableDailySummary[[#This Row],[Inversión meta ads]]</f>
        <v>0</v>
      </c>
      <c r="AC355" s="11">
        <f>TableDailySummary[[#This Row],[Ventas google ads]]+TableDailySummary[[#This Row],[Ventas meta ads]]</f>
        <v>0</v>
      </c>
      <c r="AD355" s="14">
        <f>IFERROR(TableDailySummary[[#This Row],[Ventas publicidad]]/TableDailySummary[[#This Row],[Inversión publicidad]],0)</f>
        <v>0</v>
      </c>
      <c r="AE355" s="14">
        <f>IFERROR(TableDailySummary[[#This Row],[Ventas primer cliente]]/TableDailySummary[[#This Row],[Inversión publicidad]],0)</f>
        <v>0</v>
      </c>
      <c r="AF355" s="14"/>
      <c r="AG355" s="11"/>
      <c r="AM355" s="11">
        <f>_xlfn.XLOOKUP(TableDailySummary[[#This Row],[Fecha]],SummaryDaily[day],SummaryDaily[net_sales_with_cost_recorded],0)</f>
        <v>0</v>
      </c>
      <c r="AN355" s="11">
        <f>_xlfn.XLOOKUP(TableDailySummary[[#This Row],[Fecha]],SummaryDaily[day],SummaryDaily[cost_of_goods_sold],0)</f>
        <v>0</v>
      </c>
      <c r="AO355" s="11">
        <f>_xlfn.XLOOKUP(TableDailySummary[[#This Row],[Fecha]],SummaryDaily[day],SummaryDaily[gross_profit],0)</f>
        <v>0</v>
      </c>
      <c r="AP355" s="18">
        <f>IFERROR(TableDailySummary[[#This Row],[Utilidad bruta]]/TableDailySummary[[#This Row],[Ventas netas con costo registrado]],0)</f>
        <v>0</v>
      </c>
    </row>
    <row r="356" spans="2:42" x14ac:dyDescent="0.2">
      <c r="B356" s="15" cm="1">
        <f t="array" ref="B356">ParamFechaInicioReporte + (ROW(TableDailySummary[#This Row]) - ROW(TableDailySummary[[#Headers],[Dia]]) - 1)</f>
        <v>44883</v>
      </c>
      <c r="C356" s="6">
        <f>TableDailySummary[[#This Row],[Dia]]</f>
        <v>44883</v>
      </c>
      <c r="D356" s="11">
        <f>_xlfn.XLOOKUP(TableDailySummary[[#This Row],[Fecha]],SummaryDaily[day],SummaryDaily[net_sales],0)</f>
        <v>0</v>
      </c>
      <c r="E356" s="11">
        <f>_xlfn.XLOOKUP(TableDailySummary[[#This Row],[Fecha]],SummaryDaily[day],SummaryDaily[orders],0)</f>
        <v>0</v>
      </c>
      <c r="F356" s="11">
        <f>_xlfn.XLOOKUP(TableDailySummary[[#This Row],[Fecha]],SummaryDaily[day],SummaryDaily[average_order_value],0)</f>
        <v>0</v>
      </c>
      <c r="G356" s="24" cm="1">
        <f t="array" ref="G356">_xlfn.XLOOKUP(TableDailySummary[[#This Row],[Fecha]]&amp;"Total site",ConversionRateByReferral[day]&amp;ConversionRateByReferral[referrer_source],ConversionRateByReferral[conversion_rate],0)</f>
        <v>0</v>
      </c>
      <c r="H356" s="11">
        <f>TableDailySummary[[#This Row],[Órden promedio totales]]*TableDailySummary[[#This Row],[CR totales]]</f>
        <v>0</v>
      </c>
      <c r="I356" s="11">
        <f>_xlfn.XLOOKUP(TableDailySummary[[#This Row],[Fecha]],SummaryDaily[day],SummaryDaily[new_net_sales],0)</f>
        <v>0</v>
      </c>
      <c r="J356" s="11">
        <f>_xlfn.XLOOKUP(TableDailySummary[[#This Row],[Fecha]],SummaryDaily[day],SummaryDaily[new_orders],0)</f>
        <v>0</v>
      </c>
      <c r="K356" s="11">
        <f>_xlfn.XLOOKUP(TableDailySummary[[#This Row],[Fecha]],SummaryDaily[day],SummaryDaily[new_average_order_value],0)</f>
        <v>0</v>
      </c>
      <c r="L356" s="11">
        <f>_xlfn.XLOOKUP(TableDailySummary[[#This Row],[Fecha]],SummaryDaily[day],SummaryDaily[Online Store_net_sales],0)</f>
        <v>0</v>
      </c>
      <c r="M356" s="11">
        <f>_xlfn.XLOOKUP(TableDailySummary[[#This Row],[Fecha]],SummaryDaily[day],SummaryDaily[Online Store_orders],0)</f>
        <v>0</v>
      </c>
      <c r="N356" s="11">
        <f>_xlfn.XLOOKUP(TableDailySummary[[#This Row],[Fecha]],SummaryDaily[day],SummaryDaily[Online Store_average_order_value],0)</f>
        <v>0</v>
      </c>
      <c r="O356" s="11">
        <f>_xlfn.XLOOKUP(TableDailySummary[[#This Row],[Fecha]],SummaryDaily[day],SummaryDaily[Tienda 81_net_sales],0)</f>
        <v>0</v>
      </c>
      <c r="P356" s="11">
        <f>_xlfn.XLOOKUP(TableDailySummary[[#This Row],[Fecha]],SummaryDaily[day],SummaryDaily[Tienda 81_orders],0)</f>
        <v>0</v>
      </c>
      <c r="Q356" s="11">
        <f>_xlfn.XLOOKUP(TableDailySummary[[#This Row],[Fecha]],SummaryDaily[day],SummaryDaily[Tienda 81_average_order_value],0)</f>
        <v>0</v>
      </c>
      <c r="R356" s="11">
        <f>_xlfn.XLOOKUP(TableDailySummary[[#This Row],[Fecha]],SummaryDaily[day],SummaryDaily[Rappi_net_sales],0)</f>
        <v>0</v>
      </c>
      <c r="S356" s="11">
        <f>_xlfn.XLOOKUP(TableDailySummary[[#This Row],[Fecha]],SummaryDaily[day],SummaryDaily[Rappi_orders],0)</f>
        <v>0</v>
      </c>
      <c r="T356" s="11">
        <f>_xlfn.XLOOKUP(TableDailySummary[[#This Row],[Fecha]],SummaryDaily[day],SummaryDaily[Rappi_average_order_value],0)</f>
        <v>0</v>
      </c>
      <c r="U356" s="11">
        <f>_xlfn.XLOOKUP(TableDailySummary[[#This Row],[Fecha]],SummaryDaily[day],SummaryDaily[Corporativo no tienda_net_sales],0)</f>
        <v>0</v>
      </c>
      <c r="V356" s="11">
        <f>_xlfn.XLOOKUP(TableDailySummary[[#This Row],[Fecha]],SummaryDaily[day],SummaryDaily[Corporativo no tienda_orders],0)</f>
        <v>0</v>
      </c>
      <c r="W356" s="11">
        <f>_xlfn.XLOOKUP(TableDailySummary[[#This Row],[Fecha]],SummaryDaily[day],SummaryDaily[Corporativo no tienda_average_order_value],0)</f>
        <v>0</v>
      </c>
      <c r="X356" s="11">
        <f>_xlfn.XLOOKUP(TableDailySummary[[#This Row],[Fecha]],SummaryDaily[day],SummaryDaily[GoogleAdsOperation.Cost],0)</f>
        <v>0</v>
      </c>
      <c r="Y356" s="11">
        <f>SUMIFS(SalesByUTMDaily[google],SalesByUTMDaily[day],TableDailySummary[[#This Row],[Fecha]])</f>
        <v>0</v>
      </c>
      <c r="Z356" s="11">
        <f>_xlfn.XLOOKUP(TableDailySummary[[#This Row],[Fecha]],SummaryDaily[day],SummaryDaily[MetaAdsOperation.spend],0)</f>
        <v>0</v>
      </c>
      <c r="AA356" s="11">
        <f>SUMIFS(SalesByUTMDaily[facebook],SalesByUTMDaily[day],TableDailySummary[[#This Row],[Fecha]])</f>
        <v>0</v>
      </c>
      <c r="AB356" s="11">
        <f>TableDailySummary[[#This Row],[Inversión google ads]]+TableDailySummary[[#This Row],[Inversión meta ads]]</f>
        <v>0</v>
      </c>
      <c r="AC356" s="11">
        <f>TableDailySummary[[#This Row],[Ventas google ads]]+TableDailySummary[[#This Row],[Ventas meta ads]]</f>
        <v>0</v>
      </c>
      <c r="AD356" s="14">
        <f>IFERROR(TableDailySummary[[#This Row],[Ventas publicidad]]/TableDailySummary[[#This Row],[Inversión publicidad]],0)</f>
        <v>0</v>
      </c>
      <c r="AE356" s="14">
        <f>IFERROR(TableDailySummary[[#This Row],[Ventas primer cliente]]/TableDailySummary[[#This Row],[Inversión publicidad]],0)</f>
        <v>0</v>
      </c>
      <c r="AF356" s="14"/>
      <c r="AG356" s="11"/>
      <c r="AM356" s="11">
        <f>_xlfn.XLOOKUP(TableDailySummary[[#This Row],[Fecha]],SummaryDaily[day],SummaryDaily[net_sales_with_cost_recorded],0)</f>
        <v>0</v>
      </c>
      <c r="AN356" s="11">
        <f>_xlfn.XLOOKUP(TableDailySummary[[#This Row],[Fecha]],SummaryDaily[day],SummaryDaily[cost_of_goods_sold],0)</f>
        <v>0</v>
      </c>
      <c r="AO356" s="11">
        <f>_xlfn.XLOOKUP(TableDailySummary[[#This Row],[Fecha]],SummaryDaily[day],SummaryDaily[gross_profit],0)</f>
        <v>0</v>
      </c>
      <c r="AP356" s="18">
        <f>IFERROR(TableDailySummary[[#This Row],[Utilidad bruta]]/TableDailySummary[[#This Row],[Ventas netas con costo registrado]],0)</f>
        <v>0</v>
      </c>
    </row>
    <row r="357" spans="2:42" x14ac:dyDescent="0.2">
      <c r="B357" s="15" cm="1">
        <f t="array" ref="B357">ParamFechaInicioReporte + (ROW(TableDailySummary[#This Row]) - ROW(TableDailySummary[[#Headers],[Dia]]) - 1)</f>
        <v>44884</v>
      </c>
      <c r="C357" s="6">
        <f>TableDailySummary[[#This Row],[Dia]]</f>
        <v>44884</v>
      </c>
      <c r="D357" s="11">
        <f>_xlfn.XLOOKUP(TableDailySummary[[#This Row],[Fecha]],SummaryDaily[day],SummaryDaily[net_sales],0)</f>
        <v>0</v>
      </c>
      <c r="E357" s="11">
        <f>_xlfn.XLOOKUP(TableDailySummary[[#This Row],[Fecha]],SummaryDaily[day],SummaryDaily[orders],0)</f>
        <v>0</v>
      </c>
      <c r="F357" s="11">
        <f>_xlfn.XLOOKUP(TableDailySummary[[#This Row],[Fecha]],SummaryDaily[day],SummaryDaily[average_order_value],0)</f>
        <v>0</v>
      </c>
      <c r="G357" s="24" cm="1">
        <f t="array" ref="G357">_xlfn.XLOOKUP(TableDailySummary[[#This Row],[Fecha]]&amp;"Total site",ConversionRateByReferral[day]&amp;ConversionRateByReferral[referrer_source],ConversionRateByReferral[conversion_rate],0)</f>
        <v>0</v>
      </c>
      <c r="H357" s="11">
        <f>TableDailySummary[[#This Row],[Órden promedio totales]]*TableDailySummary[[#This Row],[CR totales]]</f>
        <v>0</v>
      </c>
      <c r="I357" s="11">
        <f>_xlfn.XLOOKUP(TableDailySummary[[#This Row],[Fecha]],SummaryDaily[day],SummaryDaily[new_net_sales],0)</f>
        <v>0</v>
      </c>
      <c r="J357" s="11">
        <f>_xlfn.XLOOKUP(TableDailySummary[[#This Row],[Fecha]],SummaryDaily[day],SummaryDaily[new_orders],0)</f>
        <v>0</v>
      </c>
      <c r="K357" s="11">
        <f>_xlfn.XLOOKUP(TableDailySummary[[#This Row],[Fecha]],SummaryDaily[day],SummaryDaily[new_average_order_value],0)</f>
        <v>0</v>
      </c>
      <c r="L357" s="11">
        <f>_xlfn.XLOOKUP(TableDailySummary[[#This Row],[Fecha]],SummaryDaily[day],SummaryDaily[Online Store_net_sales],0)</f>
        <v>0</v>
      </c>
      <c r="M357" s="11">
        <f>_xlfn.XLOOKUP(TableDailySummary[[#This Row],[Fecha]],SummaryDaily[day],SummaryDaily[Online Store_orders],0)</f>
        <v>0</v>
      </c>
      <c r="N357" s="11">
        <f>_xlfn.XLOOKUP(TableDailySummary[[#This Row],[Fecha]],SummaryDaily[day],SummaryDaily[Online Store_average_order_value],0)</f>
        <v>0</v>
      </c>
      <c r="O357" s="11">
        <f>_xlfn.XLOOKUP(TableDailySummary[[#This Row],[Fecha]],SummaryDaily[day],SummaryDaily[Tienda 81_net_sales],0)</f>
        <v>0</v>
      </c>
      <c r="P357" s="11">
        <f>_xlfn.XLOOKUP(TableDailySummary[[#This Row],[Fecha]],SummaryDaily[day],SummaryDaily[Tienda 81_orders],0)</f>
        <v>0</v>
      </c>
      <c r="Q357" s="11">
        <f>_xlfn.XLOOKUP(TableDailySummary[[#This Row],[Fecha]],SummaryDaily[day],SummaryDaily[Tienda 81_average_order_value],0)</f>
        <v>0</v>
      </c>
      <c r="R357" s="11">
        <f>_xlfn.XLOOKUP(TableDailySummary[[#This Row],[Fecha]],SummaryDaily[day],SummaryDaily[Rappi_net_sales],0)</f>
        <v>0</v>
      </c>
      <c r="S357" s="11">
        <f>_xlfn.XLOOKUP(TableDailySummary[[#This Row],[Fecha]],SummaryDaily[day],SummaryDaily[Rappi_orders],0)</f>
        <v>0</v>
      </c>
      <c r="T357" s="11">
        <f>_xlfn.XLOOKUP(TableDailySummary[[#This Row],[Fecha]],SummaryDaily[day],SummaryDaily[Rappi_average_order_value],0)</f>
        <v>0</v>
      </c>
      <c r="U357" s="11">
        <f>_xlfn.XLOOKUP(TableDailySummary[[#This Row],[Fecha]],SummaryDaily[day],SummaryDaily[Corporativo no tienda_net_sales],0)</f>
        <v>0</v>
      </c>
      <c r="V357" s="11">
        <f>_xlfn.XLOOKUP(TableDailySummary[[#This Row],[Fecha]],SummaryDaily[day],SummaryDaily[Corporativo no tienda_orders],0)</f>
        <v>0</v>
      </c>
      <c r="W357" s="11">
        <f>_xlfn.XLOOKUP(TableDailySummary[[#This Row],[Fecha]],SummaryDaily[day],SummaryDaily[Corporativo no tienda_average_order_value],0)</f>
        <v>0</v>
      </c>
      <c r="X357" s="11">
        <f>_xlfn.XLOOKUP(TableDailySummary[[#This Row],[Fecha]],SummaryDaily[day],SummaryDaily[GoogleAdsOperation.Cost],0)</f>
        <v>0</v>
      </c>
      <c r="Y357" s="11">
        <f>SUMIFS(SalesByUTMDaily[google],SalesByUTMDaily[day],TableDailySummary[[#This Row],[Fecha]])</f>
        <v>0</v>
      </c>
      <c r="Z357" s="11">
        <f>_xlfn.XLOOKUP(TableDailySummary[[#This Row],[Fecha]],SummaryDaily[day],SummaryDaily[MetaAdsOperation.spend],0)</f>
        <v>0</v>
      </c>
      <c r="AA357" s="11">
        <f>SUMIFS(SalesByUTMDaily[facebook],SalesByUTMDaily[day],TableDailySummary[[#This Row],[Fecha]])</f>
        <v>0</v>
      </c>
      <c r="AB357" s="11">
        <f>TableDailySummary[[#This Row],[Inversión google ads]]+TableDailySummary[[#This Row],[Inversión meta ads]]</f>
        <v>0</v>
      </c>
      <c r="AC357" s="11">
        <f>TableDailySummary[[#This Row],[Ventas google ads]]+TableDailySummary[[#This Row],[Ventas meta ads]]</f>
        <v>0</v>
      </c>
      <c r="AD357" s="14">
        <f>IFERROR(TableDailySummary[[#This Row],[Ventas publicidad]]/TableDailySummary[[#This Row],[Inversión publicidad]],0)</f>
        <v>0</v>
      </c>
      <c r="AE357" s="14">
        <f>IFERROR(TableDailySummary[[#This Row],[Ventas primer cliente]]/TableDailySummary[[#This Row],[Inversión publicidad]],0)</f>
        <v>0</v>
      </c>
      <c r="AF357" s="14"/>
      <c r="AG357" s="11"/>
      <c r="AM357" s="11">
        <f>_xlfn.XLOOKUP(TableDailySummary[[#This Row],[Fecha]],SummaryDaily[day],SummaryDaily[net_sales_with_cost_recorded],0)</f>
        <v>0</v>
      </c>
      <c r="AN357" s="11">
        <f>_xlfn.XLOOKUP(TableDailySummary[[#This Row],[Fecha]],SummaryDaily[day],SummaryDaily[cost_of_goods_sold],0)</f>
        <v>0</v>
      </c>
      <c r="AO357" s="11">
        <f>_xlfn.XLOOKUP(TableDailySummary[[#This Row],[Fecha]],SummaryDaily[day],SummaryDaily[gross_profit],0)</f>
        <v>0</v>
      </c>
      <c r="AP357" s="18">
        <f>IFERROR(TableDailySummary[[#This Row],[Utilidad bruta]]/TableDailySummary[[#This Row],[Ventas netas con costo registrado]],0)</f>
        <v>0</v>
      </c>
    </row>
    <row r="358" spans="2:42" x14ac:dyDescent="0.2">
      <c r="B358" s="15" cm="1">
        <f t="array" ref="B358">ParamFechaInicioReporte + (ROW(TableDailySummary[#This Row]) - ROW(TableDailySummary[[#Headers],[Dia]]) - 1)</f>
        <v>44885</v>
      </c>
      <c r="C358" s="6">
        <f>TableDailySummary[[#This Row],[Dia]]</f>
        <v>44885</v>
      </c>
      <c r="D358" s="11">
        <f>_xlfn.XLOOKUP(TableDailySummary[[#This Row],[Fecha]],SummaryDaily[day],SummaryDaily[net_sales],0)</f>
        <v>0</v>
      </c>
      <c r="E358" s="11">
        <f>_xlfn.XLOOKUP(TableDailySummary[[#This Row],[Fecha]],SummaryDaily[day],SummaryDaily[orders],0)</f>
        <v>0</v>
      </c>
      <c r="F358" s="11">
        <f>_xlfn.XLOOKUP(TableDailySummary[[#This Row],[Fecha]],SummaryDaily[day],SummaryDaily[average_order_value],0)</f>
        <v>0</v>
      </c>
      <c r="G358" s="24" cm="1">
        <f t="array" ref="G358">_xlfn.XLOOKUP(TableDailySummary[[#This Row],[Fecha]]&amp;"Total site",ConversionRateByReferral[day]&amp;ConversionRateByReferral[referrer_source],ConversionRateByReferral[conversion_rate],0)</f>
        <v>0</v>
      </c>
      <c r="H358" s="11">
        <f>TableDailySummary[[#This Row],[Órden promedio totales]]*TableDailySummary[[#This Row],[CR totales]]</f>
        <v>0</v>
      </c>
      <c r="I358" s="11">
        <f>_xlfn.XLOOKUP(TableDailySummary[[#This Row],[Fecha]],SummaryDaily[day],SummaryDaily[new_net_sales],0)</f>
        <v>0</v>
      </c>
      <c r="J358" s="11">
        <f>_xlfn.XLOOKUP(TableDailySummary[[#This Row],[Fecha]],SummaryDaily[day],SummaryDaily[new_orders],0)</f>
        <v>0</v>
      </c>
      <c r="K358" s="11">
        <f>_xlfn.XLOOKUP(TableDailySummary[[#This Row],[Fecha]],SummaryDaily[day],SummaryDaily[new_average_order_value],0)</f>
        <v>0</v>
      </c>
      <c r="L358" s="11">
        <f>_xlfn.XLOOKUP(TableDailySummary[[#This Row],[Fecha]],SummaryDaily[day],SummaryDaily[Online Store_net_sales],0)</f>
        <v>0</v>
      </c>
      <c r="M358" s="11">
        <f>_xlfn.XLOOKUP(TableDailySummary[[#This Row],[Fecha]],SummaryDaily[day],SummaryDaily[Online Store_orders],0)</f>
        <v>0</v>
      </c>
      <c r="N358" s="11">
        <f>_xlfn.XLOOKUP(TableDailySummary[[#This Row],[Fecha]],SummaryDaily[day],SummaryDaily[Online Store_average_order_value],0)</f>
        <v>0</v>
      </c>
      <c r="O358" s="11">
        <f>_xlfn.XLOOKUP(TableDailySummary[[#This Row],[Fecha]],SummaryDaily[day],SummaryDaily[Tienda 81_net_sales],0)</f>
        <v>0</v>
      </c>
      <c r="P358" s="11">
        <f>_xlfn.XLOOKUP(TableDailySummary[[#This Row],[Fecha]],SummaryDaily[day],SummaryDaily[Tienda 81_orders],0)</f>
        <v>0</v>
      </c>
      <c r="Q358" s="11">
        <f>_xlfn.XLOOKUP(TableDailySummary[[#This Row],[Fecha]],SummaryDaily[day],SummaryDaily[Tienda 81_average_order_value],0)</f>
        <v>0</v>
      </c>
      <c r="R358" s="11">
        <f>_xlfn.XLOOKUP(TableDailySummary[[#This Row],[Fecha]],SummaryDaily[day],SummaryDaily[Rappi_net_sales],0)</f>
        <v>0</v>
      </c>
      <c r="S358" s="11">
        <f>_xlfn.XLOOKUP(TableDailySummary[[#This Row],[Fecha]],SummaryDaily[day],SummaryDaily[Rappi_orders],0)</f>
        <v>0</v>
      </c>
      <c r="T358" s="11">
        <f>_xlfn.XLOOKUP(TableDailySummary[[#This Row],[Fecha]],SummaryDaily[day],SummaryDaily[Rappi_average_order_value],0)</f>
        <v>0</v>
      </c>
      <c r="U358" s="11">
        <f>_xlfn.XLOOKUP(TableDailySummary[[#This Row],[Fecha]],SummaryDaily[day],SummaryDaily[Corporativo no tienda_net_sales],0)</f>
        <v>0</v>
      </c>
      <c r="V358" s="11">
        <f>_xlfn.XLOOKUP(TableDailySummary[[#This Row],[Fecha]],SummaryDaily[day],SummaryDaily[Corporativo no tienda_orders],0)</f>
        <v>0</v>
      </c>
      <c r="W358" s="11">
        <f>_xlfn.XLOOKUP(TableDailySummary[[#This Row],[Fecha]],SummaryDaily[day],SummaryDaily[Corporativo no tienda_average_order_value],0)</f>
        <v>0</v>
      </c>
      <c r="X358" s="11">
        <f>_xlfn.XLOOKUP(TableDailySummary[[#This Row],[Fecha]],SummaryDaily[day],SummaryDaily[GoogleAdsOperation.Cost],0)</f>
        <v>0</v>
      </c>
      <c r="Y358" s="11">
        <f>SUMIFS(SalesByUTMDaily[google],SalesByUTMDaily[day],TableDailySummary[[#This Row],[Fecha]])</f>
        <v>0</v>
      </c>
      <c r="Z358" s="11">
        <f>_xlfn.XLOOKUP(TableDailySummary[[#This Row],[Fecha]],SummaryDaily[day],SummaryDaily[MetaAdsOperation.spend],0)</f>
        <v>0</v>
      </c>
      <c r="AA358" s="11">
        <f>SUMIFS(SalesByUTMDaily[facebook],SalesByUTMDaily[day],TableDailySummary[[#This Row],[Fecha]])</f>
        <v>0</v>
      </c>
      <c r="AB358" s="11">
        <f>TableDailySummary[[#This Row],[Inversión google ads]]+TableDailySummary[[#This Row],[Inversión meta ads]]</f>
        <v>0</v>
      </c>
      <c r="AC358" s="11">
        <f>TableDailySummary[[#This Row],[Ventas google ads]]+TableDailySummary[[#This Row],[Ventas meta ads]]</f>
        <v>0</v>
      </c>
      <c r="AD358" s="14">
        <f>IFERROR(TableDailySummary[[#This Row],[Ventas publicidad]]/TableDailySummary[[#This Row],[Inversión publicidad]],0)</f>
        <v>0</v>
      </c>
      <c r="AE358" s="14">
        <f>IFERROR(TableDailySummary[[#This Row],[Ventas primer cliente]]/TableDailySummary[[#This Row],[Inversión publicidad]],0)</f>
        <v>0</v>
      </c>
      <c r="AF358" s="14"/>
      <c r="AG358" s="11"/>
      <c r="AM358" s="11">
        <f>_xlfn.XLOOKUP(TableDailySummary[[#This Row],[Fecha]],SummaryDaily[day],SummaryDaily[net_sales_with_cost_recorded],0)</f>
        <v>0</v>
      </c>
      <c r="AN358" s="11">
        <f>_xlfn.XLOOKUP(TableDailySummary[[#This Row],[Fecha]],SummaryDaily[day],SummaryDaily[cost_of_goods_sold],0)</f>
        <v>0</v>
      </c>
      <c r="AO358" s="11">
        <f>_xlfn.XLOOKUP(TableDailySummary[[#This Row],[Fecha]],SummaryDaily[day],SummaryDaily[gross_profit],0)</f>
        <v>0</v>
      </c>
      <c r="AP358" s="18">
        <f>IFERROR(TableDailySummary[[#This Row],[Utilidad bruta]]/TableDailySummary[[#This Row],[Ventas netas con costo registrado]],0)</f>
        <v>0</v>
      </c>
    </row>
    <row r="359" spans="2:42" x14ac:dyDescent="0.2">
      <c r="B359" s="15" cm="1">
        <f t="array" ref="B359">ParamFechaInicioReporte + (ROW(TableDailySummary[#This Row]) - ROW(TableDailySummary[[#Headers],[Dia]]) - 1)</f>
        <v>44886</v>
      </c>
      <c r="C359" s="6">
        <f>TableDailySummary[[#This Row],[Dia]]</f>
        <v>44886</v>
      </c>
      <c r="D359" s="11">
        <f>_xlfn.XLOOKUP(TableDailySummary[[#This Row],[Fecha]],SummaryDaily[day],SummaryDaily[net_sales],0)</f>
        <v>0</v>
      </c>
      <c r="E359" s="11">
        <f>_xlfn.XLOOKUP(TableDailySummary[[#This Row],[Fecha]],SummaryDaily[day],SummaryDaily[orders],0)</f>
        <v>0</v>
      </c>
      <c r="F359" s="11">
        <f>_xlfn.XLOOKUP(TableDailySummary[[#This Row],[Fecha]],SummaryDaily[day],SummaryDaily[average_order_value],0)</f>
        <v>0</v>
      </c>
      <c r="G359" s="24" cm="1">
        <f t="array" ref="G359">_xlfn.XLOOKUP(TableDailySummary[[#This Row],[Fecha]]&amp;"Total site",ConversionRateByReferral[day]&amp;ConversionRateByReferral[referrer_source],ConversionRateByReferral[conversion_rate],0)</f>
        <v>0</v>
      </c>
      <c r="H359" s="11">
        <f>TableDailySummary[[#This Row],[Órden promedio totales]]*TableDailySummary[[#This Row],[CR totales]]</f>
        <v>0</v>
      </c>
      <c r="I359" s="11">
        <f>_xlfn.XLOOKUP(TableDailySummary[[#This Row],[Fecha]],SummaryDaily[day],SummaryDaily[new_net_sales],0)</f>
        <v>0</v>
      </c>
      <c r="J359" s="11">
        <f>_xlfn.XLOOKUP(TableDailySummary[[#This Row],[Fecha]],SummaryDaily[day],SummaryDaily[new_orders],0)</f>
        <v>0</v>
      </c>
      <c r="K359" s="11">
        <f>_xlfn.XLOOKUP(TableDailySummary[[#This Row],[Fecha]],SummaryDaily[day],SummaryDaily[new_average_order_value],0)</f>
        <v>0</v>
      </c>
      <c r="L359" s="11">
        <f>_xlfn.XLOOKUP(TableDailySummary[[#This Row],[Fecha]],SummaryDaily[day],SummaryDaily[Online Store_net_sales],0)</f>
        <v>0</v>
      </c>
      <c r="M359" s="11">
        <f>_xlfn.XLOOKUP(TableDailySummary[[#This Row],[Fecha]],SummaryDaily[day],SummaryDaily[Online Store_orders],0)</f>
        <v>0</v>
      </c>
      <c r="N359" s="11">
        <f>_xlfn.XLOOKUP(TableDailySummary[[#This Row],[Fecha]],SummaryDaily[day],SummaryDaily[Online Store_average_order_value],0)</f>
        <v>0</v>
      </c>
      <c r="O359" s="11">
        <f>_xlfn.XLOOKUP(TableDailySummary[[#This Row],[Fecha]],SummaryDaily[day],SummaryDaily[Tienda 81_net_sales],0)</f>
        <v>0</v>
      </c>
      <c r="P359" s="11">
        <f>_xlfn.XLOOKUP(TableDailySummary[[#This Row],[Fecha]],SummaryDaily[day],SummaryDaily[Tienda 81_orders],0)</f>
        <v>0</v>
      </c>
      <c r="Q359" s="11">
        <f>_xlfn.XLOOKUP(TableDailySummary[[#This Row],[Fecha]],SummaryDaily[day],SummaryDaily[Tienda 81_average_order_value],0)</f>
        <v>0</v>
      </c>
      <c r="R359" s="11">
        <f>_xlfn.XLOOKUP(TableDailySummary[[#This Row],[Fecha]],SummaryDaily[day],SummaryDaily[Rappi_net_sales],0)</f>
        <v>0</v>
      </c>
      <c r="S359" s="11">
        <f>_xlfn.XLOOKUP(TableDailySummary[[#This Row],[Fecha]],SummaryDaily[day],SummaryDaily[Rappi_orders],0)</f>
        <v>0</v>
      </c>
      <c r="T359" s="11">
        <f>_xlfn.XLOOKUP(TableDailySummary[[#This Row],[Fecha]],SummaryDaily[day],SummaryDaily[Rappi_average_order_value],0)</f>
        <v>0</v>
      </c>
      <c r="U359" s="11">
        <f>_xlfn.XLOOKUP(TableDailySummary[[#This Row],[Fecha]],SummaryDaily[day],SummaryDaily[Corporativo no tienda_net_sales],0)</f>
        <v>0</v>
      </c>
      <c r="V359" s="11">
        <f>_xlfn.XLOOKUP(TableDailySummary[[#This Row],[Fecha]],SummaryDaily[day],SummaryDaily[Corporativo no tienda_orders],0)</f>
        <v>0</v>
      </c>
      <c r="W359" s="11">
        <f>_xlfn.XLOOKUP(TableDailySummary[[#This Row],[Fecha]],SummaryDaily[day],SummaryDaily[Corporativo no tienda_average_order_value],0)</f>
        <v>0</v>
      </c>
      <c r="X359" s="11">
        <f>_xlfn.XLOOKUP(TableDailySummary[[#This Row],[Fecha]],SummaryDaily[day],SummaryDaily[GoogleAdsOperation.Cost],0)</f>
        <v>0</v>
      </c>
      <c r="Y359" s="11">
        <f>SUMIFS(SalesByUTMDaily[google],SalesByUTMDaily[day],TableDailySummary[[#This Row],[Fecha]])</f>
        <v>0</v>
      </c>
      <c r="Z359" s="11">
        <f>_xlfn.XLOOKUP(TableDailySummary[[#This Row],[Fecha]],SummaryDaily[day],SummaryDaily[MetaAdsOperation.spend],0)</f>
        <v>0</v>
      </c>
      <c r="AA359" s="11">
        <f>SUMIFS(SalesByUTMDaily[facebook],SalesByUTMDaily[day],TableDailySummary[[#This Row],[Fecha]])</f>
        <v>0</v>
      </c>
      <c r="AB359" s="11">
        <f>TableDailySummary[[#This Row],[Inversión google ads]]+TableDailySummary[[#This Row],[Inversión meta ads]]</f>
        <v>0</v>
      </c>
      <c r="AC359" s="11">
        <f>TableDailySummary[[#This Row],[Ventas google ads]]+TableDailySummary[[#This Row],[Ventas meta ads]]</f>
        <v>0</v>
      </c>
      <c r="AD359" s="14">
        <f>IFERROR(TableDailySummary[[#This Row],[Ventas publicidad]]/TableDailySummary[[#This Row],[Inversión publicidad]],0)</f>
        <v>0</v>
      </c>
      <c r="AE359" s="14">
        <f>IFERROR(TableDailySummary[[#This Row],[Ventas primer cliente]]/TableDailySummary[[#This Row],[Inversión publicidad]],0)</f>
        <v>0</v>
      </c>
      <c r="AF359" s="14"/>
      <c r="AG359" s="11"/>
      <c r="AM359" s="11">
        <f>_xlfn.XLOOKUP(TableDailySummary[[#This Row],[Fecha]],SummaryDaily[day],SummaryDaily[net_sales_with_cost_recorded],0)</f>
        <v>0</v>
      </c>
      <c r="AN359" s="11">
        <f>_xlfn.XLOOKUP(TableDailySummary[[#This Row],[Fecha]],SummaryDaily[day],SummaryDaily[cost_of_goods_sold],0)</f>
        <v>0</v>
      </c>
      <c r="AO359" s="11">
        <f>_xlfn.XLOOKUP(TableDailySummary[[#This Row],[Fecha]],SummaryDaily[day],SummaryDaily[gross_profit],0)</f>
        <v>0</v>
      </c>
      <c r="AP359" s="18">
        <f>IFERROR(TableDailySummary[[#This Row],[Utilidad bruta]]/TableDailySummary[[#This Row],[Ventas netas con costo registrado]],0)</f>
        <v>0</v>
      </c>
    </row>
    <row r="360" spans="2:42" x14ac:dyDescent="0.2">
      <c r="B360" s="15" cm="1">
        <f t="array" ref="B360">ParamFechaInicioReporte + (ROW(TableDailySummary[#This Row]) - ROW(TableDailySummary[[#Headers],[Dia]]) - 1)</f>
        <v>44887</v>
      </c>
      <c r="C360" s="6">
        <f>TableDailySummary[[#This Row],[Dia]]</f>
        <v>44887</v>
      </c>
      <c r="D360" s="11">
        <f>_xlfn.XLOOKUP(TableDailySummary[[#This Row],[Fecha]],SummaryDaily[day],SummaryDaily[net_sales],0)</f>
        <v>0</v>
      </c>
      <c r="E360" s="11">
        <f>_xlfn.XLOOKUP(TableDailySummary[[#This Row],[Fecha]],SummaryDaily[day],SummaryDaily[orders],0)</f>
        <v>0</v>
      </c>
      <c r="F360" s="11">
        <f>_xlfn.XLOOKUP(TableDailySummary[[#This Row],[Fecha]],SummaryDaily[day],SummaryDaily[average_order_value],0)</f>
        <v>0</v>
      </c>
      <c r="G360" s="24" cm="1">
        <f t="array" ref="G360">_xlfn.XLOOKUP(TableDailySummary[[#This Row],[Fecha]]&amp;"Total site",ConversionRateByReferral[day]&amp;ConversionRateByReferral[referrer_source],ConversionRateByReferral[conversion_rate],0)</f>
        <v>0</v>
      </c>
      <c r="H360" s="11">
        <f>TableDailySummary[[#This Row],[Órden promedio totales]]*TableDailySummary[[#This Row],[CR totales]]</f>
        <v>0</v>
      </c>
      <c r="I360" s="11">
        <f>_xlfn.XLOOKUP(TableDailySummary[[#This Row],[Fecha]],SummaryDaily[day],SummaryDaily[new_net_sales],0)</f>
        <v>0</v>
      </c>
      <c r="J360" s="11">
        <f>_xlfn.XLOOKUP(TableDailySummary[[#This Row],[Fecha]],SummaryDaily[day],SummaryDaily[new_orders],0)</f>
        <v>0</v>
      </c>
      <c r="K360" s="11">
        <f>_xlfn.XLOOKUP(TableDailySummary[[#This Row],[Fecha]],SummaryDaily[day],SummaryDaily[new_average_order_value],0)</f>
        <v>0</v>
      </c>
      <c r="L360" s="11">
        <f>_xlfn.XLOOKUP(TableDailySummary[[#This Row],[Fecha]],SummaryDaily[day],SummaryDaily[Online Store_net_sales],0)</f>
        <v>0</v>
      </c>
      <c r="M360" s="11">
        <f>_xlfn.XLOOKUP(TableDailySummary[[#This Row],[Fecha]],SummaryDaily[day],SummaryDaily[Online Store_orders],0)</f>
        <v>0</v>
      </c>
      <c r="N360" s="11">
        <f>_xlfn.XLOOKUP(TableDailySummary[[#This Row],[Fecha]],SummaryDaily[day],SummaryDaily[Online Store_average_order_value],0)</f>
        <v>0</v>
      </c>
      <c r="O360" s="11">
        <f>_xlfn.XLOOKUP(TableDailySummary[[#This Row],[Fecha]],SummaryDaily[day],SummaryDaily[Tienda 81_net_sales],0)</f>
        <v>0</v>
      </c>
      <c r="P360" s="11">
        <f>_xlfn.XLOOKUP(TableDailySummary[[#This Row],[Fecha]],SummaryDaily[day],SummaryDaily[Tienda 81_orders],0)</f>
        <v>0</v>
      </c>
      <c r="Q360" s="11">
        <f>_xlfn.XLOOKUP(TableDailySummary[[#This Row],[Fecha]],SummaryDaily[day],SummaryDaily[Tienda 81_average_order_value],0)</f>
        <v>0</v>
      </c>
      <c r="R360" s="11">
        <f>_xlfn.XLOOKUP(TableDailySummary[[#This Row],[Fecha]],SummaryDaily[day],SummaryDaily[Rappi_net_sales],0)</f>
        <v>0</v>
      </c>
      <c r="S360" s="11">
        <f>_xlfn.XLOOKUP(TableDailySummary[[#This Row],[Fecha]],SummaryDaily[day],SummaryDaily[Rappi_orders],0)</f>
        <v>0</v>
      </c>
      <c r="T360" s="11">
        <f>_xlfn.XLOOKUP(TableDailySummary[[#This Row],[Fecha]],SummaryDaily[day],SummaryDaily[Rappi_average_order_value],0)</f>
        <v>0</v>
      </c>
      <c r="U360" s="11">
        <f>_xlfn.XLOOKUP(TableDailySummary[[#This Row],[Fecha]],SummaryDaily[day],SummaryDaily[Corporativo no tienda_net_sales],0)</f>
        <v>0</v>
      </c>
      <c r="V360" s="11">
        <f>_xlfn.XLOOKUP(TableDailySummary[[#This Row],[Fecha]],SummaryDaily[day],SummaryDaily[Corporativo no tienda_orders],0)</f>
        <v>0</v>
      </c>
      <c r="W360" s="11">
        <f>_xlfn.XLOOKUP(TableDailySummary[[#This Row],[Fecha]],SummaryDaily[day],SummaryDaily[Corporativo no tienda_average_order_value],0)</f>
        <v>0</v>
      </c>
      <c r="X360" s="11">
        <f>_xlfn.XLOOKUP(TableDailySummary[[#This Row],[Fecha]],SummaryDaily[day],SummaryDaily[GoogleAdsOperation.Cost],0)</f>
        <v>0</v>
      </c>
      <c r="Y360" s="11">
        <f>SUMIFS(SalesByUTMDaily[google],SalesByUTMDaily[day],TableDailySummary[[#This Row],[Fecha]])</f>
        <v>0</v>
      </c>
      <c r="Z360" s="11">
        <f>_xlfn.XLOOKUP(TableDailySummary[[#This Row],[Fecha]],SummaryDaily[day],SummaryDaily[MetaAdsOperation.spend],0)</f>
        <v>0</v>
      </c>
      <c r="AA360" s="11">
        <f>SUMIFS(SalesByUTMDaily[facebook],SalesByUTMDaily[day],TableDailySummary[[#This Row],[Fecha]])</f>
        <v>0</v>
      </c>
      <c r="AB360" s="11">
        <f>TableDailySummary[[#This Row],[Inversión google ads]]+TableDailySummary[[#This Row],[Inversión meta ads]]</f>
        <v>0</v>
      </c>
      <c r="AC360" s="11">
        <f>TableDailySummary[[#This Row],[Ventas google ads]]+TableDailySummary[[#This Row],[Ventas meta ads]]</f>
        <v>0</v>
      </c>
      <c r="AD360" s="14">
        <f>IFERROR(TableDailySummary[[#This Row],[Ventas publicidad]]/TableDailySummary[[#This Row],[Inversión publicidad]],0)</f>
        <v>0</v>
      </c>
      <c r="AE360" s="14">
        <f>IFERROR(TableDailySummary[[#This Row],[Ventas primer cliente]]/TableDailySummary[[#This Row],[Inversión publicidad]],0)</f>
        <v>0</v>
      </c>
      <c r="AF360" s="14"/>
      <c r="AG360" s="11"/>
      <c r="AM360" s="11">
        <f>_xlfn.XLOOKUP(TableDailySummary[[#This Row],[Fecha]],SummaryDaily[day],SummaryDaily[net_sales_with_cost_recorded],0)</f>
        <v>0</v>
      </c>
      <c r="AN360" s="11">
        <f>_xlfn.XLOOKUP(TableDailySummary[[#This Row],[Fecha]],SummaryDaily[day],SummaryDaily[cost_of_goods_sold],0)</f>
        <v>0</v>
      </c>
      <c r="AO360" s="11">
        <f>_xlfn.XLOOKUP(TableDailySummary[[#This Row],[Fecha]],SummaryDaily[day],SummaryDaily[gross_profit],0)</f>
        <v>0</v>
      </c>
      <c r="AP360" s="18">
        <f>IFERROR(TableDailySummary[[#This Row],[Utilidad bruta]]/TableDailySummary[[#This Row],[Ventas netas con costo registrado]],0)</f>
        <v>0</v>
      </c>
    </row>
    <row r="361" spans="2:42" x14ac:dyDescent="0.2">
      <c r="B361" s="15" cm="1">
        <f t="array" ref="B361">ParamFechaInicioReporte + (ROW(TableDailySummary[#This Row]) - ROW(TableDailySummary[[#Headers],[Dia]]) - 1)</f>
        <v>44888</v>
      </c>
      <c r="C361" s="6">
        <f>TableDailySummary[[#This Row],[Dia]]</f>
        <v>44888</v>
      </c>
      <c r="D361" s="11">
        <f>_xlfn.XLOOKUP(TableDailySummary[[#This Row],[Fecha]],SummaryDaily[day],SummaryDaily[net_sales],0)</f>
        <v>0</v>
      </c>
      <c r="E361" s="11">
        <f>_xlfn.XLOOKUP(TableDailySummary[[#This Row],[Fecha]],SummaryDaily[day],SummaryDaily[orders],0)</f>
        <v>0</v>
      </c>
      <c r="F361" s="11">
        <f>_xlfn.XLOOKUP(TableDailySummary[[#This Row],[Fecha]],SummaryDaily[day],SummaryDaily[average_order_value],0)</f>
        <v>0</v>
      </c>
      <c r="G361" s="24" cm="1">
        <f t="array" ref="G361">_xlfn.XLOOKUP(TableDailySummary[[#This Row],[Fecha]]&amp;"Total site",ConversionRateByReferral[day]&amp;ConversionRateByReferral[referrer_source],ConversionRateByReferral[conversion_rate],0)</f>
        <v>0</v>
      </c>
      <c r="H361" s="11">
        <f>TableDailySummary[[#This Row],[Órden promedio totales]]*TableDailySummary[[#This Row],[CR totales]]</f>
        <v>0</v>
      </c>
      <c r="I361" s="11">
        <f>_xlfn.XLOOKUP(TableDailySummary[[#This Row],[Fecha]],SummaryDaily[day],SummaryDaily[new_net_sales],0)</f>
        <v>0</v>
      </c>
      <c r="J361" s="11">
        <f>_xlfn.XLOOKUP(TableDailySummary[[#This Row],[Fecha]],SummaryDaily[day],SummaryDaily[new_orders],0)</f>
        <v>0</v>
      </c>
      <c r="K361" s="11">
        <f>_xlfn.XLOOKUP(TableDailySummary[[#This Row],[Fecha]],SummaryDaily[day],SummaryDaily[new_average_order_value],0)</f>
        <v>0</v>
      </c>
      <c r="L361" s="11">
        <f>_xlfn.XLOOKUP(TableDailySummary[[#This Row],[Fecha]],SummaryDaily[day],SummaryDaily[Online Store_net_sales],0)</f>
        <v>0</v>
      </c>
      <c r="M361" s="11">
        <f>_xlfn.XLOOKUP(TableDailySummary[[#This Row],[Fecha]],SummaryDaily[day],SummaryDaily[Online Store_orders],0)</f>
        <v>0</v>
      </c>
      <c r="N361" s="11">
        <f>_xlfn.XLOOKUP(TableDailySummary[[#This Row],[Fecha]],SummaryDaily[day],SummaryDaily[Online Store_average_order_value],0)</f>
        <v>0</v>
      </c>
      <c r="O361" s="11">
        <f>_xlfn.XLOOKUP(TableDailySummary[[#This Row],[Fecha]],SummaryDaily[day],SummaryDaily[Tienda 81_net_sales],0)</f>
        <v>0</v>
      </c>
      <c r="P361" s="11">
        <f>_xlfn.XLOOKUP(TableDailySummary[[#This Row],[Fecha]],SummaryDaily[day],SummaryDaily[Tienda 81_orders],0)</f>
        <v>0</v>
      </c>
      <c r="Q361" s="11">
        <f>_xlfn.XLOOKUP(TableDailySummary[[#This Row],[Fecha]],SummaryDaily[day],SummaryDaily[Tienda 81_average_order_value],0)</f>
        <v>0</v>
      </c>
      <c r="R361" s="11">
        <f>_xlfn.XLOOKUP(TableDailySummary[[#This Row],[Fecha]],SummaryDaily[day],SummaryDaily[Rappi_net_sales],0)</f>
        <v>0</v>
      </c>
      <c r="S361" s="11">
        <f>_xlfn.XLOOKUP(TableDailySummary[[#This Row],[Fecha]],SummaryDaily[day],SummaryDaily[Rappi_orders],0)</f>
        <v>0</v>
      </c>
      <c r="T361" s="11">
        <f>_xlfn.XLOOKUP(TableDailySummary[[#This Row],[Fecha]],SummaryDaily[day],SummaryDaily[Rappi_average_order_value],0)</f>
        <v>0</v>
      </c>
      <c r="U361" s="11">
        <f>_xlfn.XLOOKUP(TableDailySummary[[#This Row],[Fecha]],SummaryDaily[day],SummaryDaily[Corporativo no tienda_net_sales],0)</f>
        <v>0</v>
      </c>
      <c r="V361" s="11">
        <f>_xlfn.XLOOKUP(TableDailySummary[[#This Row],[Fecha]],SummaryDaily[day],SummaryDaily[Corporativo no tienda_orders],0)</f>
        <v>0</v>
      </c>
      <c r="W361" s="11">
        <f>_xlfn.XLOOKUP(TableDailySummary[[#This Row],[Fecha]],SummaryDaily[day],SummaryDaily[Corporativo no tienda_average_order_value],0)</f>
        <v>0</v>
      </c>
      <c r="X361" s="11">
        <f>_xlfn.XLOOKUP(TableDailySummary[[#This Row],[Fecha]],SummaryDaily[day],SummaryDaily[GoogleAdsOperation.Cost],0)</f>
        <v>0</v>
      </c>
      <c r="Y361" s="11">
        <f>SUMIFS(SalesByUTMDaily[google],SalesByUTMDaily[day],TableDailySummary[[#This Row],[Fecha]])</f>
        <v>0</v>
      </c>
      <c r="Z361" s="11">
        <f>_xlfn.XLOOKUP(TableDailySummary[[#This Row],[Fecha]],SummaryDaily[day],SummaryDaily[MetaAdsOperation.spend],0)</f>
        <v>0</v>
      </c>
      <c r="AA361" s="11">
        <f>SUMIFS(SalesByUTMDaily[facebook],SalesByUTMDaily[day],TableDailySummary[[#This Row],[Fecha]])</f>
        <v>0</v>
      </c>
      <c r="AB361" s="11">
        <f>TableDailySummary[[#This Row],[Inversión google ads]]+TableDailySummary[[#This Row],[Inversión meta ads]]</f>
        <v>0</v>
      </c>
      <c r="AC361" s="11">
        <f>TableDailySummary[[#This Row],[Ventas google ads]]+TableDailySummary[[#This Row],[Ventas meta ads]]</f>
        <v>0</v>
      </c>
      <c r="AD361" s="14">
        <f>IFERROR(TableDailySummary[[#This Row],[Ventas publicidad]]/TableDailySummary[[#This Row],[Inversión publicidad]],0)</f>
        <v>0</v>
      </c>
      <c r="AE361" s="14">
        <f>IFERROR(TableDailySummary[[#This Row],[Ventas primer cliente]]/TableDailySummary[[#This Row],[Inversión publicidad]],0)</f>
        <v>0</v>
      </c>
      <c r="AF361" s="14"/>
      <c r="AG361" s="11"/>
      <c r="AM361" s="11">
        <f>_xlfn.XLOOKUP(TableDailySummary[[#This Row],[Fecha]],SummaryDaily[day],SummaryDaily[net_sales_with_cost_recorded],0)</f>
        <v>0</v>
      </c>
      <c r="AN361" s="11">
        <f>_xlfn.XLOOKUP(TableDailySummary[[#This Row],[Fecha]],SummaryDaily[day],SummaryDaily[cost_of_goods_sold],0)</f>
        <v>0</v>
      </c>
      <c r="AO361" s="11">
        <f>_xlfn.XLOOKUP(TableDailySummary[[#This Row],[Fecha]],SummaryDaily[day],SummaryDaily[gross_profit],0)</f>
        <v>0</v>
      </c>
      <c r="AP361" s="18">
        <f>IFERROR(TableDailySummary[[#This Row],[Utilidad bruta]]/TableDailySummary[[#This Row],[Ventas netas con costo registrado]],0)</f>
        <v>0</v>
      </c>
    </row>
    <row r="362" spans="2:42" x14ac:dyDescent="0.2">
      <c r="B362" s="15" cm="1">
        <f t="array" ref="B362">ParamFechaInicioReporte + (ROW(TableDailySummary[#This Row]) - ROW(TableDailySummary[[#Headers],[Dia]]) - 1)</f>
        <v>44889</v>
      </c>
      <c r="C362" s="6">
        <f>TableDailySummary[[#This Row],[Dia]]</f>
        <v>44889</v>
      </c>
      <c r="D362" s="11">
        <f>_xlfn.XLOOKUP(TableDailySummary[[#This Row],[Fecha]],SummaryDaily[day],SummaryDaily[net_sales],0)</f>
        <v>0</v>
      </c>
      <c r="E362" s="11">
        <f>_xlfn.XLOOKUP(TableDailySummary[[#This Row],[Fecha]],SummaryDaily[day],SummaryDaily[orders],0)</f>
        <v>0</v>
      </c>
      <c r="F362" s="11">
        <f>_xlfn.XLOOKUP(TableDailySummary[[#This Row],[Fecha]],SummaryDaily[day],SummaryDaily[average_order_value],0)</f>
        <v>0</v>
      </c>
      <c r="G362" s="24" cm="1">
        <f t="array" ref="G362">_xlfn.XLOOKUP(TableDailySummary[[#This Row],[Fecha]]&amp;"Total site",ConversionRateByReferral[day]&amp;ConversionRateByReferral[referrer_source],ConversionRateByReferral[conversion_rate],0)</f>
        <v>0</v>
      </c>
      <c r="H362" s="11">
        <f>TableDailySummary[[#This Row],[Órden promedio totales]]*TableDailySummary[[#This Row],[CR totales]]</f>
        <v>0</v>
      </c>
      <c r="I362" s="11">
        <f>_xlfn.XLOOKUP(TableDailySummary[[#This Row],[Fecha]],SummaryDaily[day],SummaryDaily[new_net_sales],0)</f>
        <v>0</v>
      </c>
      <c r="J362" s="11">
        <f>_xlfn.XLOOKUP(TableDailySummary[[#This Row],[Fecha]],SummaryDaily[day],SummaryDaily[new_orders],0)</f>
        <v>0</v>
      </c>
      <c r="K362" s="11">
        <f>_xlfn.XLOOKUP(TableDailySummary[[#This Row],[Fecha]],SummaryDaily[day],SummaryDaily[new_average_order_value],0)</f>
        <v>0</v>
      </c>
      <c r="L362" s="11">
        <f>_xlfn.XLOOKUP(TableDailySummary[[#This Row],[Fecha]],SummaryDaily[day],SummaryDaily[Online Store_net_sales],0)</f>
        <v>0</v>
      </c>
      <c r="M362" s="11">
        <f>_xlfn.XLOOKUP(TableDailySummary[[#This Row],[Fecha]],SummaryDaily[day],SummaryDaily[Online Store_orders],0)</f>
        <v>0</v>
      </c>
      <c r="N362" s="11">
        <f>_xlfn.XLOOKUP(TableDailySummary[[#This Row],[Fecha]],SummaryDaily[day],SummaryDaily[Online Store_average_order_value],0)</f>
        <v>0</v>
      </c>
      <c r="O362" s="11">
        <f>_xlfn.XLOOKUP(TableDailySummary[[#This Row],[Fecha]],SummaryDaily[day],SummaryDaily[Tienda 81_net_sales],0)</f>
        <v>0</v>
      </c>
      <c r="P362" s="11">
        <f>_xlfn.XLOOKUP(TableDailySummary[[#This Row],[Fecha]],SummaryDaily[day],SummaryDaily[Tienda 81_orders],0)</f>
        <v>0</v>
      </c>
      <c r="Q362" s="11">
        <f>_xlfn.XLOOKUP(TableDailySummary[[#This Row],[Fecha]],SummaryDaily[day],SummaryDaily[Tienda 81_average_order_value],0)</f>
        <v>0</v>
      </c>
      <c r="R362" s="11">
        <f>_xlfn.XLOOKUP(TableDailySummary[[#This Row],[Fecha]],SummaryDaily[day],SummaryDaily[Rappi_net_sales],0)</f>
        <v>0</v>
      </c>
      <c r="S362" s="11">
        <f>_xlfn.XLOOKUP(TableDailySummary[[#This Row],[Fecha]],SummaryDaily[day],SummaryDaily[Rappi_orders],0)</f>
        <v>0</v>
      </c>
      <c r="T362" s="11">
        <f>_xlfn.XLOOKUP(TableDailySummary[[#This Row],[Fecha]],SummaryDaily[day],SummaryDaily[Rappi_average_order_value],0)</f>
        <v>0</v>
      </c>
      <c r="U362" s="11">
        <f>_xlfn.XLOOKUP(TableDailySummary[[#This Row],[Fecha]],SummaryDaily[day],SummaryDaily[Corporativo no tienda_net_sales],0)</f>
        <v>0</v>
      </c>
      <c r="V362" s="11">
        <f>_xlfn.XLOOKUP(TableDailySummary[[#This Row],[Fecha]],SummaryDaily[day],SummaryDaily[Corporativo no tienda_orders],0)</f>
        <v>0</v>
      </c>
      <c r="W362" s="11">
        <f>_xlfn.XLOOKUP(TableDailySummary[[#This Row],[Fecha]],SummaryDaily[day],SummaryDaily[Corporativo no tienda_average_order_value],0)</f>
        <v>0</v>
      </c>
      <c r="X362" s="11">
        <f>_xlfn.XLOOKUP(TableDailySummary[[#This Row],[Fecha]],SummaryDaily[day],SummaryDaily[GoogleAdsOperation.Cost],0)</f>
        <v>0</v>
      </c>
      <c r="Y362" s="11">
        <f>SUMIFS(SalesByUTMDaily[google],SalesByUTMDaily[day],TableDailySummary[[#This Row],[Fecha]])</f>
        <v>0</v>
      </c>
      <c r="Z362" s="11">
        <f>_xlfn.XLOOKUP(TableDailySummary[[#This Row],[Fecha]],SummaryDaily[day],SummaryDaily[MetaAdsOperation.spend],0)</f>
        <v>0</v>
      </c>
      <c r="AA362" s="11">
        <f>SUMIFS(SalesByUTMDaily[facebook],SalesByUTMDaily[day],TableDailySummary[[#This Row],[Fecha]])</f>
        <v>0</v>
      </c>
      <c r="AB362" s="11">
        <f>TableDailySummary[[#This Row],[Inversión google ads]]+TableDailySummary[[#This Row],[Inversión meta ads]]</f>
        <v>0</v>
      </c>
      <c r="AC362" s="11">
        <f>TableDailySummary[[#This Row],[Ventas google ads]]+TableDailySummary[[#This Row],[Ventas meta ads]]</f>
        <v>0</v>
      </c>
      <c r="AD362" s="14">
        <f>IFERROR(TableDailySummary[[#This Row],[Ventas publicidad]]/TableDailySummary[[#This Row],[Inversión publicidad]],0)</f>
        <v>0</v>
      </c>
      <c r="AE362" s="14">
        <f>IFERROR(TableDailySummary[[#This Row],[Ventas primer cliente]]/TableDailySummary[[#This Row],[Inversión publicidad]],0)</f>
        <v>0</v>
      </c>
      <c r="AF362" s="14"/>
      <c r="AG362" s="11"/>
      <c r="AM362" s="11">
        <f>_xlfn.XLOOKUP(TableDailySummary[[#This Row],[Fecha]],SummaryDaily[day],SummaryDaily[net_sales_with_cost_recorded],0)</f>
        <v>0</v>
      </c>
      <c r="AN362" s="11">
        <f>_xlfn.XLOOKUP(TableDailySummary[[#This Row],[Fecha]],SummaryDaily[day],SummaryDaily[cost_of_goods_sold],0)</f>
        <v>0</v>
      </c>
      <c r="AO362" s="11">
        <f>_xlfn.XLOOKUP(TableDailySummary[[#This Row],[Fecha]],SummaryDaily[day],SummaryDaily[gross_profit],0)</f>
        <v>0</v>
      </c>
      <c r="AP362" s="18">
        <f>IFERROR(TableDailySummary[[#This Row],[Utilidad bruta]]/TableDailySummary[[#This Row],[Ventas netas con costo registrado]],0)</f>
        <v>0</v>
      </c>
    </row>
    <row r="363" spans="2:42" x14ac:dyDescent="0.2">
      <c r="B363" s="15" cm="1">
        <f t="array" ref="B363">ParamFechaInicioReporte + (ROW(TableDailySummary[#This Row]) - ROW(TableDailySummary[[#Headers],[Dia]]) - 1)</f>
        <v>44890</v>
      </c>
      <c r="C363" s="6">
        <f>TableDailySummary[[#This Row],[Dia]]</f>
        <v>44890</v>
      </c>
      <c r="D363" s="11">
        <f>_xlfn.XLOOKUP(TableDailySummary[[#This Row],[Fecha]],SummaryDaily[day],SummaryDaily[net_sales],0)</f>
        <v>0</v>
      </c>
      <c r="E363" s="11">
        <f>_xlfn.XLOOKUP(TableDailySummary[[#This Row],[Fecha]],SummaryDaily[day],SummaryDaily[orders],0)</f>
        <v>0</v>
      </c>
      <c r="F363" s="11">
        <f>_xlfn.XLOOKUP(TableDailySummary[[#This Row],[Fecha]],SummaryDaily[day],SummaryDaily[average_order_value],0)</f>
        <v>0</v>
      </c>
      <c r="G363" s="24" cm="1">
        <f t="array" ref="G363">_xlfn.XLOOKUP(TableDailySummary[[#This Row],[Fecha]]&amp;"Total site",ConversionRateByReferral[day]&amp;ConversionRateByReferral[referrer_source],ConversionRateByReferral[conversion_rate],0)</f>
        <v>0</v>
      </c>
      <c r="H363" s="11">
        <f>TableDailySummary[[#This Row],[Órden promedio totales]]*TableDailySummary[[#This Row],[CR totales]]</f>
        <v>0</v>
      </c>
      <c r="I363" s="11">
        <f>_xlfn.XLOOKUP(TableDailySummary[[#This Row],[Fecha]],SummaryDaily[day],SummaryDaily[new_net_sales],0)</f>
        <v>0</v>
      </c>
      <c r="J363" s="11">
        <f>_xlfn.XLOOKUP(TableDailySummary[[#This Row],[Fecha]],SummaryDaily[day],SummaryDaily[new_orders],0)</f>
        <v>0</v>
      </c>
      <c r="K363" s="11">
        <f>_xlfn.XLOOKUP(TableDailySummary[[#This Row],[Fecha]],SummaryDaily[day],SummaryDaily[new_average_order_value],0)</f>
        <v>0</v>
      </c>
      <c r="L363" s="11">
        <f>_xlfn.XLOOKUP(TableDailySummary[[#This Row],[Fecha]],SummaryDaily[day],SummaryDaily[Online Store_net_sales],0)</f>
        <v>0</v>
      </c>
      <c r="M363" s="11">
        <f>_xlfn.XLOOKUP(TableDailySummary[[#This Row],[Fecha]],SummaryDaily[day],SummaryDaily[Online Store_orders],0)</f>
        <v>0</v>
      </c>
      <c r="N363" s="11">
        <f>_xlfn.XLOOKUP(TableDailySummary[[#This Row],[Fecha]],SummaryDaily[day],SummaryDaily[Online Store_average_order_value],0)</f>
        <v>0</v>
      </c>
      <c r="O363" s="11">
        <f>_xlfn.XLOOKUP(TableDailySummary[[#This Row],[Fecha]],SummaryDaily[day],SummaryDaily[Tienda 81_net_sales],0)</f>
        <v>0</v>
      </c>
      <c r="P363" s="11">
        <f>_xlfn.XLOOKUP(TableDailySummary[[#This Row],[Fecha]],SummaryDaily[day],SummaryDaily[Tienda 81_orders],0)</f>
        <v>0</v>
      </c>
      <c r="Q363" s="11">
        <f>_xlfn.XLOOKUP(TableDailySummary[[#This Row],[Fecha]],SummaryDaily[day],SummaryDaily[Tienda 81_average_order_value],0)</f>
        <v>0</v>
      </c>
      <c r="R363" s="11">
        <f>_xlfn.XLOOKUP(TableDailySummary[[#This Row],[Fecha]],SummaryDaily[day],SummaryDaily[Rappi_net_sales],0)</f>
        <v>0</v>
      </c>
      <c r="S363" s="11">
        <f>_xlfn.XLOOKUP(TableDailySummary[[#This Row],[Fecha]],SummaryDaily[day],SummaryDaily[Rappi_orders],0)</f>
        <v>0</v>
      </c>
      <c r="T363" s="11">
        <f>_xlfn.XLOOKUP(TableDailySummary[[#This Row],[Fecha]],SummaryDaily[day],SummaryDaily[Rappi_average_order_value],0)</f>
        <v>0</v>
      </c>
      <c r="U363" s="11">
        <f>_xlfn.XLOOKUP(TableDailySummary[[#This Row],[Fecha]],SummaryDaily[day],SummaryDaily[Corporativo no tienda_net_sales],0)</f>
        <v>0</v>
      </c>
      <c r="V363" s="11">
        <f>_xlfn.XLOOKUP(TableDailySummary[[#This Row],[Fecha]],SummaryDaily[day],SummaryDaily[Corporativo no tienda_orders],0)</f>
        <v>0</v>
      </c>
      <c r="W363" s="11">
        <f>_xlfn.XLOOKUP(TableDailySummary[[#This Row],[Fecha]],SummaryDaily[day],SummaryDaily[Corporativo no tienda_average_order_value],0)</f>
        <v>0</v>
      </c>
      <c r="X363" s="11">
        <f>_xlfn.XLOOKUP(TableDailySummary[[#This Row],[Fecha]],SummaryDaily[day],SummaryDaily[GoogleAdsOperation.Cost],0)</f>
        <v>0</v>
      </c>
      <c r="Y363" s="11">
        <f>SUMIFS(SalesByUTMDaily[google],SalesByUTMDaily[day],TableDailySummary[[#This Row],[Fecha]])</f>
        <v>0</v>
      </c>
      <c r="Z363" s="11">
        <f>_xlfn.XLOOKUP(TableDailySummary[[#This Row],[Fecha]],SummaryDaily[day],SummaryDaily[MetaAdsOperation.spend],0)</f>
        <v>0</v>
      </c>
      <c r="AA363" s="11">
        <f>SUMIFS(SalesByUTMDaily[facebook],SalesByUTMDaily[day],TableDailySummary[[#This Row],[Fecha]])</f>
        <v>0</v>
      </c>
      <c r="AB363" s="11">
        <f>TableDailySummary[[#This Row],[Inversión google ads]]+TableDailySummary[[#This Row],[Inversión meta ads]]</f>
        <v>0</v>
      </c>
      <c r="AC363" s="11">
        <f>TableDailySummary[[#This Row],[Ventas google ads]]+TableDailySummary[[#This Row],[Ventas meta ads]]</f>
        <v>0</v>
      </c>
      <c r="AD363" s="14">
        <f>IFERROR(TableDailySummary[[#This Row],[Ventas publicidad]]/TableDailySummary[[#This Row],[Inversión publicidad]],0)</f>
        <v>0</v>
      </c>
      <c r="AE363" s="14">
        <f>IFERROR(TableDailySummary[[#This Row],[Ventas primer cliente]]/TableDailySummary[[#This Row],[Inversión publicidad]],0)</f>
        <v>0</v>
      </c>
      <c r="AF363" s="14"/>
      <c r="AG363" s="11"/>
      <c r="AM363" s="11">
        <f>_xlfn.XLOOKUP(TableDailySummary[[#This Row],[Fecha]],SummaryDaily[day],SummaryDaily[net_sales_with_cost_recorded],0)</f>
        <v>0</v>
      </c>
      <c r="AN363" s="11">
        <f>_xlfn.XLOOKUP(TableDailySummary[[#This Row],[Fecha]],SummaryDaily[day],SummaryDaily[cost_of_goods_sold],0)</f>
        <v>0</v>
      </c>
      <c r="AO363" s="11">
        <f>_xlfn.XLOOKUP(TableDailySummary[[#This Row],[Fecha]],SummaryDaily[day],SummaryDaily[gross_profit],0)</f>
        <v>0</v>
      </c>
      <c r="AP363" s="18">
        <f>IFERROR(TableDailySummary[[#This Row],[Utilidad bruta]]/TableDailySummary[[#This Row],[Ventas netas con costo registrado]],0)</f>
        <v>0</v>
      </c>
    </row>
    <row r="364" spans="2:42" x14ac:dyDescent="0.2">
      <c r="B364" s="15" cm="1">
        <f t="array" ref="B364">ParamFechaInicioReporte + (ROW(TableDailySummary[#This Row]) - ROW(TableDailySummary[[#Headers],[Dia]]) - 1)</f>
        <v>44891</v>
      </c>
      <c r="C364" s="6">
        <f>TableDailySummary[[#This Row],[Dia]]</f>
        <v>44891</v>
      </c>
      <c r="D364" s="11">
        <f>_xlfn.XLOOKUP(TableDailySummary[[#This Row],[Fecha]],SummaryDaily[day],SummaryDaily[net_sales],0)</f>
        <v>0</v>
      </c>
      <c r="E364" s="11">
        <f>_xlfn.XLOOKUP(TableDailySummary[[#This Row],[Fecha]],SummaryDaily[day],SummaryDaily[orders],0)</f>
        <v>0</v>
      </c>
      <c r="F364" s="11">
        <f>_xlfn.XLOOKUP(TableDailySummary[[#This Row],[Fecha]],SummaryDaily[day],SummaryDaily[average_order_value],0)</f>
        <v>0</v>
      </c>
      <c r="G364" s="24" cm="1">
        <f t="array" ref="G364">_xlfn.XLOOKUP(TableDailySummary[[#This Row],[Fecha]]&amp;"Total site",ConversionRateByReferral[day]&amp;ConversionRateByReferral[referrer_source],ConversionRateByReferral[conversion_rate],0)</f>
        <v>0</v>
      </c>
      <c r="H364" s="11">
        <f>TableDailySummary[[#This Row],[Órden promedio totales]]*TableDailySummary[[#This Row],[CR totales]]</f>
        <v>0</v>
      </c>
      <c r="I364" s="11">
        <f>_xlfn.XLOOKUP(TableDailySummary[[#This Row],[Fecha]],SummaryDaily[day],SummaryDaily[new_net_sales],0)</f>
        <v>0</v>
      </c>
      <c r="J364" s="11">
        <f>_xlfn.XLOOKUP(TableDailySummary[[#This Row],[Fecha]],SummaryDaily[day],SummaryDaily[new_orders],0)</f>
        <v>0</v>
      </c>
      <c r="K364" s="11">
        <f>_xlfn.XLOOKUP(TableDailySummary[[#This Row],[Fecha]],SummaryDaily[day],SummaryDaily[new_average_order_value],0)</f>
        <v>0</v>
      </c>
      <c r="L364" s="11">
        <f>_xlfn.XLOOKUP(TableDailySummary[[#This Row],[Fecha]],SummaryDaily[day],SummaryDaily[Online Store_net_sales],0)</f>
        <v>0</v>
      </c>
      <c r="M364" s="11">
        <f>_xlfn.XLOOKUP(TableDailySummary[[#This Row],[Fecha]],SummaryDaily[day],SummaryDaily[Online Store_orders],0)</f>
        <v>0</v>
      </c>
      <c r="N364" s="11">
        <f>_xlfn.XLOOKUP(TableDailySummary[[#This Row],[Fecha]],SummaryDaily[day],SummaryDaily[Online Store_average_order_value],0)</f>
        <v>0</v>
      </c>
      <c r="O364" s="11">
        <f>_xlfn.XLOOKUP(TableDailySummary[[#This Row],[Fecha]],SummaryDaily[day],SummaryDaily[Tienda 81_net_sales],0)</f>
        <v>0</v>
      </c>
      <c r="P364" s="11">
        <f>_xlfn.XLOOKUP(TableDailySummary[[#This Row],[Fecha]],SummaryDaily[day],SummaryDaily[Tienda 81_orders],0)</f>
        <v>0</v>
      </c>
      <c r="Q364" s="11">
        <f>_xlfn.XLOOKUP(TableDailySummary[[#This Row],[Fecha]],SummaryDaily[day],SummaryDaily[Tienda 81_average_order_value],0)</f>
        <v>0</v>
      </c>
      <c r="R364" s="11">
        <f>_xlfn.XLOOKUP(TableDailySummary[[#This Row],[Fecha]],SummaryDaily[day],SummaryDaily[Rappi_net_sales],0)</f>
        <v>0</v>
      </c>
      <c r="S364" s="11">
        <f>_xlfn.XLOOKUP(TableDailySummary[[#This Row],[Fecha]],SummaryDaily[day],SummaryDaily[Rappi_orders],0)</f>
        <v>0</v>
      </c>
      <c r="T364" s="11">
        <f>_xlfn.XLOOKUP(TableDailySummary[[#This Row],[Fecha]],SummaryDaily[day],SummaryDaily[Rappi_average_order_value],0)</f>
        <v>0</v>
      </c>
      <c r="U364" s="11">
        <f>_xlfn.XLOOKUP(TableDailySummary[[#This Row],[Fecha]],SummaryDaily[day],SummaryDaily[Corporativo no tienda_net_sales],0)</f>
        <v>0</v>
      </c>
      <c r="V364" s="11">
        <f>_xlfn.XLOOKUP(TableDailySummary[[#This Row],[Fecha]],SummaryDaily[day],SummaryDaily[Corporativo no tienda_orders],0)</f>
        <v>0</v>
      </c>
      <c r="W364" s="11">
        <f>_xlfn.XLOOKUP(TableDailySummary[[#This Row],[Fecha]],SummaryDaily[day],SummaryDaily[Corporativo no tienda_average_order_value],0)</f>
        <v>0</v>
      </c>
      <c r="X364" s="11">
        <f>_xlfn.XLOOKUP(TableDailySummary[[#This Row],[Fecha]],SummaryDaily[day],SummaryDaily[GoogleAdsOperation.Cost],0)</f>
        <v>0</v>
      </c>
      <c r="Y364" s="11">
        <f>SUMIFS(SalesByUTMDaily[google],SalesByUTMDaily[day],TableDailySummary[[#This Row],[Fecha]])</f>
        <v>0</v>
      </c>
      <c r="Z364" s="11">
        <f>_xlfn.XLOOKUP(TableDailySummary[[#This Row],[Fecha]],SummaryDaily[day],SummaryDaily[MetaAdsOperation.spend],0)</f>
        <v>0</v>
      </c>
      <c r="AA364" s="11">
        <f>SUMIFS(SalesByUTMDaily[facebook],SalesByUTMDaily[day],TableDailySummary[[#This Row],[Fecha]])</f>
        <v>0</v>
      </c>
      <c r="AB364" s="11">
        <f>TableDailySummary[[#This Row],[Inversión google ads]]+TableDailySummary[[#This Row],[Inversión meta ads]]</f>
        <v>0</v>
      </c>
      <c r="AC364" s="11">
        <f>TableDailySummary[[#This Row],[Ventas google ads]]+TableDailySummary[[#This Row],[Ventas meta ads]]</f>
        <v>0</v>
      </c>
      <c r="AD364" s="14">
        <f>IFERROR(TableDailySummary[[#This Row],[Ventas publicidad]]/TableDailySummary[[#This Row],[Inversión publicidad]],0)</f>
        <v>0</v>
      </c>
      <c r="AE364" s="14">
        <f>IFERROR(TableDailySummary[[#This Row],[Ventas primer cliente]]/TableDailySummary[[#This Row],[Inversión publicidad]],0)</f>
        <v>0</v>
      </c>
      <c r="AF364" s="14"/>
      <c r="AG364" s="11"/>
      <c r="AM364" s="11">
        <f>_xlfn.XLOOKUP(TableDailySummary[[#This Row],[Fecha]],SummaryDaily[day],SummaryDaily[net_sales_with_cost_recorded],0)</f>
        <v>0</v>
      </c>
      <c r="AN364" s="11">
        <f>_xlfn.XLOOKUP(TableDailySummary[[#This Row],[Fecha]],SummaryDaily[day],SummaryDaily[cost_of_goods_sold],0)</f>
        <v>0</v>
      </c>
      <c r="AO364" s="11">
        <f>_xlfn.XLOOKUP(TableDailySummary[[#This Row],[Fecha]],SummaryDaily[day],SummaryDaily[gross_profit],0)</f>
        <v>0</v>
      </c>
      <c r="AP364" s="18">
        <f>IFERROR(TableDailySummary[[#This Row],[Utilidad bruta]]/TableDailySummary[[#This Row],[Ventas netas con costo registrado]],0)</f>
        <v>0</v>
      </c>
    </row>
    <row r="365" spans="2:42" x14ac:dyDescent="0.2">
      <c r="B365" s="15" cm="1">
        <f t="array" ref="B365">ParamFechaInicioReporte + (ROW(TableDailySummary[#This Row]) - ROW(TableDailySummary[[#Headers],[Dia]]) - 1)</f>
        <v>44892</v>
      </c>
      <c r="C365" s="6">
        <f>TableDailySummary[[#This Row],[Dia]]</f>
        <v>44892</v>
      </c>
      <c r="D365" s="11">
        <f>_xlfn.XLOOKUP(TableDailySummary[[#This Row],[Fecha]],SummaryDaily[day],SummaryDaily[net_sales],0)</f>
        <v>0</v>
      </c>
      <c r="E365" s="11">
        <f>_xlfn.XLOOKUP(TableDailySummary[[#This Row],[Fecha]],SummaryDaily[day],SummaryDaily[orders],0)</f>
        <v>0</v>
      </c>
      <c r="F365" s="11">
        <f>_xlfn.XLOOKUP(TableDailySummary[[#This Row],[Fecha]],SummaryDaily[day],SummaryDaily[average_order_value],0)</f>
        <v>0</v>
      </c>
      <c r="G365" s="24" cm="1">
        <f t="array" ref="G365">_xlfn.XLOOKUP(TableDailySummary[[#This Row],[Fecha]]&amp;"Total site",ConversionRateByReferral[day]&amp;ConversionRateByReferral[referrer_source],ConversionRateByReferral[conversion_rate],0)</f>
        <v>0</v>
      </c>
      <c r="H365" s="11">
        <f>TableDailySummary[[#This Row],[Órden promedio totales]]*TableDailySummary[[#This Row],[CR totales]]</f>
        <v>0</v>
      </c>
      <c r="I365" s="11">
        <f>_xlfn.XLOOKUP(TableDailySummary[[#This Row],[Fecha]],SummaryDaily[day],SummaryDaily[new_net_sales],0)</f>
        <v>0</v>
      </c>
      <c r="J365" s="11">
        <f>_xlfn.XLOOKUP(TableDailySummary[[#This Row],[Fecha]],SummaryDaily[day],SummaryDaily[new_orders],0)</f>
        <v>0</v>
      </c>
      <c r="K365" s="11">
        <f>_xlfn.XLOOKUP(TableDailySummary[[#This Row],[Fecha]],SummaryDaily[day],SummaryDaily[new_average_order_value],0)</f>
        <v>0</v>
      </c>
      <c r="L365" s="11">
        <f>_xlfn.XLOOKUP(TableDailySummary[[#This Row],[Fecha]],SummaryDaily[day],SummaryDaily[Online Store_net_sales],0)</f>
        <v>0</v>
      </c>
      <c r="M365" s="11">
        <f>_xlfn.XLOOKUP(TableDailySummary[[#This Row],[Fecha]],SummaryDaily[day],SummaryDaily[Online Store_orders],0)</f>
        <v>0</v>
      </c>
      <c r="N365" s="11">
        <f>_xlfn.XLOOKUP(TableDailySummary[[#This Row],[Fecha]],SummaryDaily[day],SummaryDaily[Online Store_average_order_value],0)</f>
        <v>0</v>
      </c>
      <c r="O365" s="11">
        <f>_xlfn.XLOOKUP(TableDailySummary[[#This Row],[Fecha]],SummaryDaily[day],SummaryDaily[Tienda 81_net_sales],0)</f>
        <v>0</v>
      </c>
      <c r="P365" s="11">
        <f>_xlfn.XLOOKUP(TableDailySummary[[#This Row],[Fecha]],SummaryDaily[day],SummaryDaily[Tienda 81_orders],0)</f>
        <v>0</v>
      </c>
      <c r="Q365" s="11">
        <f>_xlfn.XLOOKUP(TableDailySummary[[#This Row],[Fecha]],SummaryDaily[day],SummaryDaily[Tienda 81_average_order_value],0)</f>
        <v>0</v>
      </c>
      <c r="R365" s="11">
        <f>_xlfn.XLOOKUP(TableDailySummary[[#This Row],[Fecha]],SummaryDaily[day],SummaryDaily[Rappi_net_sales],0)</f>
        <v>0</v>
      </c>
      <c r="S365" s="11">
        <f>_xlfn.XLOOKUP(TableDailySummary[[#This Row],[Fecha]],SummaryDaily[day],SummaryDaily[Rappi_orders],0)</f>
        <v>0</v>
      </c>
      <c r="T365" s="11">
        <f>_xlfn.XLOOKUP(TableDailySummary[[#This Row],[Fecha]],SummaryDaily[day],SummaryDaily[Rappi_average_order_value],0)</f>
        <v>0</v>
      </c>
      <c r="U365" s="11">
        <f>_xlfn.XLOOKUP(TableDailySummary[[#This Row],[Fecha]],SummaryDaily[day],SummaryDaily[Corporativo no tienda_net_sales],0)</f>
        <v>0</v>
      </c>
      <c r="V365" s="11">
        <f>_xlfn.XLOOKUP(TableDailySummary[[#This Row],[Fecha]],SummaryDaily[day],SummaryDaily[Corporativo no tienda_orders],0)</f>
        <v>0</v>
      </c>
      <c r="W365" s="11">
        <f>_xlfn.XLOOKUP(TableDailySummary[[#This Row],[Fecha]],SummaryDaily[day],SummaryDaily[Corporativo no tienda_average_order_value],0)</f>
        <v>0</v>
      </c>
      <c r="X365" s="11">
        <f>_xlfn.XLOOKUP(TableDailySummary[[#This Row],[Fecha]],SummaryDaily[day],SummaryDaily[GoogleAdsOperation.Cost],0)</f>
        <v>0</v>
      </c>
      <c r="Y365" s="11">
        <f>SUMIFS(SalesByUTMDaily[google],SalesByUTMDaily[day],TableDailySummary[[#This Row],[Fecha]])</f>
        <v>0</v>
      </c>
      <c r="Z365" s="11">
        <f>_xlfn.XLOOKUP(TableDailySummary[[#This Row],[Fecha]],SummaryDaily[day],SummaryDaily[MetaAdsOperation.spend],0)</f>
        <v>0</v>
      </c>
      <c r="AA365" s="11">
        <f>SUMIFS(SalesByUTMDaily[facebook],SalesByUTMDaily[day],TableDailySummary[[#This Row],[Fecha]])</f>
        <v>0</v>
      </c>
      <c r="AB365" s="11">
        <f>TableDailySummary[[#This Row],[Inversión google ads]]+TableDailySummary[[#This Row],[Inversión meta ads]]</f>
        <v>0</v>
      </c>
      <c r="AC365" s="11">
        <f>TableDailySummary[[#This Row],[Ventas google ads]]+TableDailySummary[[#This Row],[Ventas meta ads]]</f>
        <v>0</v>
      </c>
      <c r="AD365" s="14">
        <f>IFERROR(TableDailySummary[[#This Row],[Ventas publicidad]]/TableDailySummary[[#This Row],[Inversión publicidad]],0)</f>
        <v>0</v>
      </c>
      <c r="AE365" s="14">
        <f>IFERROR(TableDailySummary[[#This Row],[Ventas primer cliente]]/TableDailySummary[[#This Row],[Inversión publicidad]],0)</f>
        <v>0</v>
      </c>
      <c r="AF365" s="14"/>
      <c r="AG365" s="11"/>
      <c r="AM365" s="11">
        <f>_xlfn.XLOOKUP(TableDailySummary[[#This Row],[Fecha]],SummaryDaily[day],SummaryDaily[net_sales_with_cost_recorded],0)</f>
        <v>0</v>
      </c>
      <c r="AN365" s="11">
        <f>_xlfn.XLOOKUP(TableDailySummary[[#This Row],[Fecha]],SummaryDaily[day],SummaryDaily[cost_of_goods_sold],0)</f>
        <v>0</v>
      </c>
      <c r="AO365" s="11">
        <f>_xlfn.XLOOKUP(TableDailySummary[[#This Row],[Fecha]],SummaryDaily[day],SummaryDaily[gross_profit],0)</f>
        <v>0</v>
      </c>
      <c r="AP365" s="18">
        <f>IFERROR(TableDailySummary[[#This Row],[Utilidad bruta]]/TableDailySummary[[#This Row],[Ventas netas con costo registrado]],0)</f>
        <v>0</v>
      </c>
    </row>
    <row r="366" spans="2:42" x14ac:dyDescent="0.2">
      <c r="B366" s="15" cm="1">
        <f t="array" ref="B366">ParamFechaInicioReporte + (ROW(TableDailySummary[#This Row]) - ROW(TableDailySummary[[#Headers],[Dia]]) - 1)</f>
        <v>44893</v>
      </c>
      <c r="C366" s="6">
        <f>TableDailySummary[[#This Row],[Dia]]</f>
        <v>44893</v>
      </c>
      <c r="D366" s="11">
        <f>_xlfn.XLOOKUP(TableDailySummary[[#This Row],[Fecha]],SummaryDaily[day],SummaryDaily[net_sales],0)</f>
        <v>0</v>
      </c>
      <c r="E366" s="11">
        <f>_xlfn.XLOOKUP(TableDailySummary[[#This Row],[Fecha]],SummaryDaily[day],SummaryDaily[orders],0)</f>
        <v>0</v>
      </c>
      <c r="F366" s="11">
        <f>_xlfn.XLOOKUP(TableDailySummary[[#This Row],[Fecha]],SummaryDaily[day],SummaryDaily[average_order_value],0)</f>
        <v>0</v>
      </c>
      <c r="G366" s="24" cm="1">
        <f t="array" ref="G366">_xlfn.XLOOKUP(TableDailySummary[[#This Row],[Fecha]]&amp;"Total site",ConversionRateByReferral[day]&amp;ConversionRateByReferral[referrer_source],ConversionRateByReferral[conversion_rate],0)</f>
        <v>0</v>
      </c>
      <c r="H366" s="11">
        <f>TableDailySummary[[#This Row],[Órden promedio totales]]*TableDailySummary[[#This Row],[CR totales]]</f>
        <v>0</v>
      </c>
      <c r="I366" s="11">
        <f>_xlfn.XLOOKUP(TableDailySummary[[#This Row],[Fecha]],SummaryDaily[day],SummaryDaily[new_net_sales],0)</f>
        <v>0</v>
      </c>
      <c r="J366" s="11">
        <f>_xlfn.XLOOKUP(TableDailySummary[[#This Row],[Fecha]],SummaryDaily[day],SummaryDaily[new_orders],0)</f>
        <v>0</v>
      </c>
      <c r="K366" s="11">
        <f>_xlfn.XLOOKUP(TableDailySummary[[#This Row],[Fecha]],SummaryDaily[day],SummaryDaily[new_average_order_value],0)</f>
        <v>0</v>
      </c>
      <c r="L366" s="11">
        <f>_xlfn.XLOOKUP(TableDailySummary[[#This Row],[Fecha]],SummaryDaily[day],SummaryDaily[Online Store_net_sales],0)</f>
        <v>0</v>
      </c>
      <c r="M366" s="11">
        <f>_xlfn.XLOOKUP(TableDailySummary[[#This Row],[Fecha]],SummaryDaily[day],SummaryDaily[Online Store_orders],0)</f>
        <v>0</v>
      </c>
      <c r="N366" s="11">
        <f>_xlfn.XLOOKUP(TableDailySummary[[#This Row],[Fecha]],SummaryDaily[day],SummaryDaily[Online Store_average_order_value],0)</f>
        <v>0</v>
      </c>
      <c r="O366" s="11">
        <f>_xlfn.XLOOKUP(TableDailySummary[[#This Row],[Fecha]],SummaryDaily[day],SummaryDaily[Tienda 81_net_sales],0)</f>
        <v>0</v>
      </c>
      <c r="P366" s="11">
        <f>_xlfn.XLOOKUP(TableDailySummary[[#This Row],[Fecha]],SummaryDaily[day],SummaryDaily[Tienda 81_orders],0)</f>
        <v>0</v>
      </c>
      <c r="Q366" s="11">
        <f>_xlfn.XLOOKUP(TableDailySummary[[#This Row],[Fecha]],SummaryDaily[day],SummaryDaily[Tienda 81_average_order_value],0)</f>
        <v>0</v>
      </c>
      <c r="R366" s="11">
        <f>_xlfn.XLOOKUP(TableDailySummary[[#This Row],[Fecha]],SummaryDaily[day],SummaryDaily[Rappi_net_sales],0)</f>
        <v>0</v>
      </c>
      <c r="S366" s="11">
        <f>_xlfn.XLOOKUP(TableDailySummary[[#This Row],[Fecha]],SummaryDaily[day],SummaryDaily[Rappi_orders],0)</f>
        <v>0</v>
      </c>
      <c r="T366" s="11">
        <f>_xlfn.XLOOKUP(TableDailySummary[[#This Row],[Fecha]],SummaryDaily[day],SummaryDaily[Rappi_average_order_value],0)</f>
        <v>0</v>
      </c>
      <c r="U366" s="11">
        <f>_xlfn.XLOOKUP(TableDailySummary[[#This Row],[Fecha]],SummaryDaily[day],SummaryDaily[Corporativo no tienda_net_sales],0)</f>
        <v>0</v>
      </c>
      <c r="V366" s="11">
        <f>_xlfn.XLOOKUP(TableDailySummary[[#This Row],[Fecha]],SummaryDaily[day],SummaryDaily[Corporativo no tienda_orders],0)</f>
        <v>0</v>
      </c>
      <c r="W366" s="11">
        <f>_xlfn.XLOOKUP(TableDailySummary[[#This Row],[Fecha]],SummaryDaily[day],SummaryDaily[Corporativo no tienda_average_order_value],0)</f>
        <v>0</v>
      </c>
      <c r="X366" s="11">
        <f>_xlfn.XLOOKUP(TableDailySummary[[#This Row],[Fecha]],SummaryDaily[day],SummaryDaily[GoogleAdsOperation.Cost],0)</f>
        <v>0</v>
      </c>
      <c r="Y366" s="11">
        <f>SUMIFS(SalesByUTMDaily[google],SalesByUTMDaily[day],TableDailySummary[[#This Row],[Fecha]])</f>
        <v>0</v>
      </c>
      <c r="Z366" s="11">
        <f>_xlfn.XLOOKUP(TableDailySummary[[#This Row],[Fecha]],SummaryDaily[day],SummaryDaily[MetaAdsOperation.spend],0)</f>
        <v>0</v>
      </c>
      <c r="AA366" s="11">
        <f>SUMIFS(SalesByUTMDaily[facebook],SalesByUTMDaily[day],TableDailySummary[[#This Row],[Fecha]])</f>
        <v>0</v>
      </c>
      <c r="AB366" s="11">
        <f>TableDailySummary[[#This Row],[Inversión google ads]]+TableDailySummary[[#This Row],[Inversión meta ads]]</f>
        <v>0</v>
      </c>
      <c r="AC366" s="11">
        <f>TableDailySummary[[#This Row],[Ventas google ads]]+TableDailySummary[[#This Row],[Ventas meta ads]]</f>
        <v>0</v>
      </c>
      <c r="AD366" s="14">
        <f>IFERROR(TableDailySummary[[#This Row],[Ventas publicidad]]/TableDailySummary[[#This Row],[Inversión publicidad]],0)</f>
        <v>0</v>
      </c>
      <c r="AE366" s="14">
        <f>IFERROR(TableDailySummary[[#This Row],[Ventas primer cliente]]/TableDailySummary[[#This Row],[Inversión publicidad]],0)</f>
        <v>0</v>
      </c>
      <c r="AF366" s="14"/>
      <c r="AG366" s="11"/>
      <c r="AM366" s="11">
        <f>_xlfn.XLOOKUP(TableDailySummary[[#This Row],[Fecha]],SummaryDaily[day],SummaryDaily[net_sales_with_cost_recorded],0)</f>
        <v>0</v>
      </c>
      <c r="AN366" s="11">
        <f>_xlfn.XLOOKUP(TableDailySummary[[#This Row],[Fecha]],SummaryDaily[day],SummaryDaily[cost_of_goods_sold],0)</f>
        <v>0</v>
      </c>
      <c r="AO366" s="11">
        <f>_xlfn.XLOOKUP(TableDailySummary[[#This Row],[Fecha]],SummaryDaily[day],SummaryDaily[gross_profit],0)</f>
        <v>0</v>
      </c>
      <c r="AP366" s="18">
        <f>IFERROR(TableDailySummary[[#This Row],[Utilidad bruta]]/TableDailySummary[[#This Row],[Ventas netas con costo registrado]],0)</f>
        <v>0</v>
      </c>
    </row>
    <row r="367" spans="2:42" x14ac:dyDescent="0.2">
      <c r="B367" s="15" cm="1">
        <f t="array" ref="B367">ParamFechaInicioReporte + (ROW(TableDailySummary[#This Row]) - ROW(TableDailySummary[[#Headers],[Dia]]) - 1)</f>
        <v>44894</v>
      </c>
      <c r="C367" s="6">
        <f>TableDailySummary[[#This Row],[Dia]]</f>
        <v>44894</v>
      </c>
      <c r="D367" s="11">
        <f>_xlfn.XLOOKUP(TableDailySummary[[#This Row],[Fecha]],SummaryDaily[day],SummaryDaily[net_sales],0)</f>
        <v>0</v>
      </c>
      <c r="E367" s="11">
        <f>_xlfn.XLOOKUP(TableDailySummary[[#This Row],[Fecha]],SummaryDaily[day],SummaryDaily[orders],0)</f>
        <v>0</v>
      </c>
      <c r="F367" s="11">
        <f>_xlfn.XLOOKUP(TableDailySummary[[#This Row],[Fecha]],SummaryDaily[day],SummaryDaily[average_order_value],0)</f>
        <v>0</v>
      </c>
      <c r="G367" s="24" cm="1">
        <f t="array" ref="G367">_xlfn.XLOOKUP(TableDailySummary[[#This Row],[Fecha]]&amp;"Total site",ConversionRateByReferral[day]&amp;ConversionRateByReferral[referrer_source],ConversionRateByReferral[conversion_rate],0)</f>
        <v>0</v>
      </c>
      <c r="H367" s="11">
        <f>TableDailySummary[[#This Row],[Órden promedio totales]]*TableDailySummary[[#This Row],[CR totales]]</f>
        <v>0</v>
      </c>
      <c r="I367" s="11">
        <f>_xlfn.XLOOKUP(TableDailySummary[[#This Row],[Fecha]],SummaryDaily[day],SummaryDaily[new_net_sales],0)</f>
        <v>0</v>
      </c>
      <c r="J367" s="11">
        <f>_xlfn.XLOOKUP(TableDailySummary[[#This Row],[Fecha]],SummaryDaily[day],SummaryDaily[new_orders],0)</f>
        <v>0</v>
      </c>
      <c r="K367" s="11">
        <f>_xlfn.XLOOKUP(TableDailySummary[[#This Row],[Fecha]],SummaryDaily[day],SummaryDaily[new_average_order_value],0)</f>
        <v>0</v>
      </c>
      <c r="L367" s="11">
        <f>_xlfn.XLOOKUP(TableDailySummary[[#This Row],[Fecha]],SummaryDaily[day],SummaryDaily[Online Store_net_sales],0)</f>
        <v>0</v>
      </c>
      <c r="M367" s="11">
        <f>_xlfn.XLOOKUP(TableDailySummary[[#This Row],[Fecha]],SummaryDaily[day],SummaryDaily[Online Store_orders],0)</f>
        <v>0</v>
      </c>
      <c r="N367" s="11">
        <f>_xlfn.XLOOKUP(TableDailySummary[[#This Row],[Fecha]],SummaryDaily[day],SummaryDaily[Online Store_average_order_value],0)</f>
        <v>0</v>
      </c>
      <c r="O367" s="11">
        <f>_xlfn.XLOOKUP(TableDailySummary[[#This Row],[Fecha]],SummaryDaily[day],SummaryDaily[Tienda 81_net_sales],0)</f>
        <v>0</v>
      </c>
      <c r="P367" s="11">
        <f>_xlfn.XLOOKUP(TableDailySummary[[#This Row],[Fecha]],SummaryDaily[day],SummaryDaily[Tienda 81_orders],0)</f>
        <v>0</v>
      </c>
      <c r="Q367" s="11">
        <f>_xlfn.XLOOKUP(TableDailySummary[[#This Row],[Fecha]],SummaryDaily[day],SummaryDaily[Tienda 81_average_order_value],0)</f>
        <v>0</v>
      </c>
      <c r="R367" s="11">
        <f>_xlfn.XLOOKUP(TableDailySummary[[#This Row],[Fecha]],SummaryDaily[day],SummaryDaily[Rappi_net_sales],0)</f>
        <v>0</v>
      </c>
      <c r="S367" s="11">
        <f>_xlfn.XLOOKUP(TableDailySummary[[#This Row],[Fecha]],SummaryDaily[day],SummaryDaily[Rappi_orders],0)</f>
        <v>0</v>
      </c>
      <c r="T367" s="11">
        <f>_xlfn.XLOOKUP(TableDailySummary[[#This Row],[Fecha]],SummaryDaily[day],SummaryDaily[Rappi_average_order_value],0)</f>
        <v>0</v>
      </c>
      <c r="U367" s="11">
        <f>_xlfn.XLOOKUP(TableDailySummary[[#This Row],[Fecha]],SummaryDaily[day],SummaryDaily[Corporativo no tienda_net_sales],0)</f>
        <v>0</v>
      </c>
      <c r="V367" s="11">
        <f>_xlfn.XLOOKUP(TableDailySummary[[#This Row],[Fecha]],SummaryDaily[day],SummaryDaily[Corporativo no tienda_orders],0)</f>
        <v>0</v>
      </c>
      <c r="W367" s="11">
        <f>_xlfn.XLOOKUP(TableDailySummary[[#This Row],[Fecha]],SummaryDaily[day],SummaryDaily[Corporativo no tienda_average_order_value],0)</f>
        <v>0</v>
      </c>
      <c r="X367" s="11">
        <f>_xlfn.XLOOKUP(TableDailySummary[[#This Row],[Fecha]],SummaryDaily[day],SummaryDaily[GoogleAdsOperation.Cost],0)</f>
        <v>0</v>
      </c>
      <c r="Y367" s="11">
        <f>SUMIFS(SalesByUTMDaily[google],SalesByUTMDaily[day],TableDailySummary[[#This Row],[Fecha]])</f>
        <v>0</v>
      </c>
      <c r="Z367" s="11">
        <f>_xlfn.XLOOKUP(TableDailySummary[[#This Row],[Fecha]],SummaryDaily[day],SummaryDaily[MetaAdsOperation.spend],0)</f>
        <v>0</v>
      </c>
      <c r="AA367" s="11">
        <f>SUMIFS(SalesByUTMDaily[facebook],SalesByUTMDaily[day],TableDailySummary[[#This Row],[Fecha]])</f>
        <v>0</v>
      </c>
      <c r="AB367" s="11">
        <f>TableDailySummary[[#This Row],[Inversión google ads]]+TableDailySummary[[#This Row],[Inversión meta ads]]</f>
        <v>0</v>
      </c>
      <c r="AC367" s="11">
        <f>TableDailySummary[[#This Row],[Ventas google ads]]+TableDailySummary[[#This Row],[Ventas meta ads]]</f>
        <v>0</v>
      </c>
      <c r="AD367" s="14">
        <f>IFERROR(TableDailySummary[[#This Row],[Ventas publicidad]]/TableDailySummary[[#This Row],[Inversión publicidad]],0)</f>
        <v>0</v>
      </c>
      <c r="AE367" s="14">
        <f>IFERROR(TableDailySummary[[#This Row],[Ventas primer cliente]]/TableDailySummary[[#This Row],[Inversión publicidad]],0)</f>
        <v>0</v>
      </c>
      <c r="AF367" s="14"/>
      <c r="AG367" s="11"/>
      <c r="AM367" s="11">
        <f>_xlfn.XLOOKUP(TableDailySummary[[#This Row],[Fecha]],SummaryDaily[day],SummaryDaily[net_sales_with_cost_recorded],0)</f>
        <v>0</v>
      </c>
      <c r="AN367" s="11">
        <f>_xlfn.XLOOKUP(TableDailySummary[[#This Row],[Fecha]],SummaryDaily[day],SummaryDaily[cost_of_goods_sold],0)</f>
        <v>0</v>
      </c>
      <c r="AO367" s="11">
        <f>_xlfn.XLOOKUP(TableDailySummary[[#This Row],[Fecha]],SummaryDaily[day],SummaryDaily[gross_profit],0)</f>
        <v>0</v>
      </c>
      <c r="AP367" s="18">
        <f>IFERROR(TableDailySummary[[#This Row],[Utilidad bruta]]/TableDailySummary[[#This Row],[Ventas netas con costo registrado]],0)</f>
        <v>0</v>
      </c>
    </row>
    <row r="368" spans="2:42" x14ac:dyDescent="0.2">
      <c r="B368" s="15" cm="1">
        <f t="array" ref="B368">ParamFechaInicioReporte + (ROW(TableDailySummary[#This Row]) - ROW(TableDailySummary[[#Headers],[Dia]]) - 1)</f>
        <v>44895</v>
      </c>
      <c r="C368" s="6">
        <f>TableDailySummary[[#This Row],[Dia]]</f>
        <v>44895</v>
      </c>
      <c r="D368" s="11">
        <f>_xlfn.XLOOKUP(TableDailySummary[[#This Row],[Fecha]],SummaryDaily[day],SummaryDaily[net_sales],0)</f>
        <v>0</v>
      </c>
      <c r="E368" s="11">
        <f>_xlfn.XLOOKUP(TableDailySummary[[#This Row],[Fecha]],SummaryDaily[day],SummaryDaily[orders],0)</f>
        <v>0</v>
      </c>
      <c r="F368" s="11">
        <f>_xlfn.XLOOKUP(TableDailySummary[[#This Row],[Fecha]],SummaryDaily[day],SummaryDaily[average_order_value],0)</f>
        <v>0</v>
      </c>
      <c r="G368" s="24" cm="1">
        <f t="array" ref="G368">_xlfn.XLOOKUP(TableDailySummary[[#This Row],[Fecha]]&amp;"Total site",ConversionRateByReferral[day]&amp;ConversionRateByReferral[referrer_source],ConversionRateByReferral[conversion_rate],0)</f>
        <v>0</v>
      </c>
      <c r="H368" s="11">
        <f>TableDailySummary[[#This Row],[Órden promedio totales]]*TableDailySummary[[#This Row],[CR totales]]</f>
        <v>0</v>
      </c>
      <c r="I368" s="11">
        <f>_xlfn.XLOOKUP(TableDailySummary[[#This Row],[Fecha]],SummaryDaily[day],SummaryDaily[new_net_sales],0)</f>
        <v>0</v>
      </c>
      <c r="J368" s="11">
        <f>_xlfn.XLOOKUP(TableDailySummary[[#This Row],[Fecha]],SummaryDaily[day],SummaryDaily[new_orders],0)</f>
        <v>0</v>
      </c>
      <c r="K368" s="11">
        <f>_xlfn.XLOOKUP(TableDailySummary[[#This Row],[Fecha]],SummaryDaily[day],SummaryDaily[new_average_order_value],0)</f>
        <v>0</v>
      </c>
      <c r="L368" s="11">
        <f>_xlfn.XLOOKUP(TableDailySummary[[#This Row],[Fecha]],SummaryDaily[day],SummaryDaily[Online Store_net_sales],0)</f>
        <v>0</v>
      </c>
      <c r="M368" s="11">
        <f>_xlfn.XLOOKUP(TableDailySummary[[#This Row],[Fecha]],SummaryDaily[day],SummaryDaily[Online Store_orders],0)</f>
        <v>0</v>
      </c>
      <c r="N368" s="11">
        <f>_xlfn.XLOOKUP(TableDailySummary[[#This Row],[Fecha]],SummaryDaily[day],SummaryDaily[Online Store_average_order_value],0)</f>
        <v>0</v>
      </c>
      <c r="O368" s="11">
        <f>_xlfn.XLOOKUP(TableDailySummary[[#This Row],[Fecha]],SummaryDaily[day],SummaryDaily[Tienda 81_net_sales],0)</f>
        <v>0</v>
      </c>
      <c r="P368" s="11">
        <f>_xlfn.XLOOKUP(TableDailySummary[[#This Row],[Fecha]],SummaryDaily[day],SummaryDaily[Tienda 81_orders],0)</f>
        <v>0</v>
      </c>
      <c r="Q368" s="11">
        <f>_xlfn.XLOOKUP(TableDailySummary[[#This Row],[Fecha]],SummaryDaily[day],SummaryDaily[Tienda 81_average_order_value],0)</f>
        <v>0</v>
      </c>
      <c r="R368" s="11">
        <f>_xlfn.XLOOKUP(TableDailySummary[[#This Row],[Fecha]],SummaryDaily[day],SummaryDaily[Rappi_net_sales],0)</f>
        <v>0</v>
      </c>
      <c r="S368" s="11">
        <f>_xlfn.XLOOKUP(TableDailySummary[[#This Row],[Fecha]],SummaryDaily[day],SummaryDaily[Rappi_orders],0)</f>
        <v>0</v>
      </c>
      <c r="T368" s="11">
        <f>_xlfn.XLOOKUP(TableDailySummary[[#This Row],[Fecha]],SummaryDaily[day],SummaryDaily[Rappi_average_order_value],0)</f>
        <v>0</v>
      </c>
      <c r="U368" s="11">
        <f>_xlfn.XLOOKUP(TableDailySummary[[#This Row],[Fecha]],SummaryDaily[day],SummaryDaily[Corporativo no tienda_net_sales],0)</f>
        <v>0</v>
      </c>
      <c r="V368" s="11">
        <f>_xlfn.XLOOKUP(TableDailySummary[[#This Row],[Fecha]],SummaryDaily[day],SummaryDaily[Corporativo no tienda_orders],0)</f>
        <v>0</v>
      </c>
      <c r="W368" s="11">
        <f>_xlfn.XLOOKUP(TableDailySummary[[#This Row],[Fecha]],SummaryDaily[day],SummaryDaily[Corporativo no tienda_average_order_value],0)</f>
        <v>0</v>
      </c>
      <c r="X368" s="11">
        <f>_xlfn.XLOOKUP(TableDailySummary[[#This Row],[Fecha]],SummaryDaily[day],SummaryDaily[GoogleAdsOperation.Cost],0)</f>
        <v>0</v>
      </c>
      <c r="Y368" s="11">
        <f>SUMIFS(SalesByUTMDaily[google],SalesByUTMDaily[day],TableDailySummary[[#This Row],[Fecha]])</f>
        <v>0</v>
      </c>
      <c r="Z368" s="11">
        <f>_xlfn.XLOOKUP(TableDailySummary[[#This Row],[Fecha]],SummaryDaily[day],SummaryDaily[MetaAdsOperation.spend],0)</f>
        <v>0</v>
      </c>
      <c r="AA368" s="11">
        <f>SUMIFS(SalesByUTMDaily[facebook],SalesByUTMDaily[day],TableDailySummary[[#This Row],[Fecha]])</f>
        <v>0</v>
      </c>
      <c r="AB368" s="11">
        <f>TableDailySummary[[#This Row],[Inversión google ads]]+TableDailySummary[[#This Row],[Inversión meta ads]]</f>
        <v>0</v>
      </c>
      <c r="AC368" s="11">
        <f>TableDailySummary[[#This Row],[Ventas google ads]]+TableDailySummary[[#This Row],[Ventas meta ads]]</f>
        <v>0</v>
      </c>
      <c r="AD368" s="14">
        <f>IFERROR(TableDailySummary[[#This Row],[Ventas publicidad]]/TableDailySummary[[#This Row],[Inversión publicidad]],0)</f>
        <v>0</v>
      </c>
      <c r="AE368" s="14">
        <f>IFERROR(TableDailySummary[[#This Row],[Ventas primer cliente]]/TableDailySummary[[#This Row],[Inversión publicidad]],0)</f>
        <v>0</v>
      </c>
      <c r="AF368" s="14"/>
      <c r="AG368" s="11"/>
      <c r="AM368" s="11">
        <f>_xlfn.XLOOKUP(TableDailySummary[[#This Row],[Fecha]],SummaryDaily[day],SummaryDaily[net_sales_with_cost_recorded],0)</f>
        <v>0</v>
      </c>
      <c r="AN368" s="11">
        <f>_xlfn.XLOOKUP(TableDailySummary[[#This Row],[Fecha]],SummaryDaily[day],SummaryDaily[cost_of_goods_sold],0)</f>
        <v>0</v>
      </c>
      <c r="AO368" s="11">
        <f>_xlfn.XLOOKUP(TableDailySummary[[#This Row],[Fecha]],SummaryDaily[day],SummaryDaily[gross_profit],0)</f>
        <v>0</v>
      </c>
      <c r="AP368" s="18">
        <f>IFERROR(TableDailySummary[[#This Row],[Utilidad bruta]]/TableDailySummary[[#This Row],[Ventas netas con costo registrado]],0)</f>
        <v>0</v>
      </c>
    </row>
    <row r="369" spans="2:42" x14ac:dyDescent="0.2">
      <c r="B369" s="15" cm="1">
        <f t="array" ref="B369">ParamFechaInicioReporte + (ROW(TableDailySummary[#This Row]) - ROW(TableDailySummary[[#Headers],[Dia]]) - 1)</f>
        <v>44896</v>
      </c>
      <c r="C369" s="6">
        <f>TableDailySummary[[#This Row],[Dia]]</f>
        <v>44896</v>
      </c>
      <c r="D369" s="11">
        <f>_xlfn.XLOOKUP(TableDailySummary[[#This Row],[Fecha]],SummaryDaily[day],SummaryDaily[net_sales],0)</f>
        <v>0</v>
      </c>
      <c r="E369" s="11">
        <f>_xlfn.XLOOKUP(TableDailySummary[[#This Row],[Fecha]],SummaryDaily[day],SummaryDaily[orders],0)</f>
        <v>0</v>
      </c>
      <c r="F369" s="11">
        <f>_xlfn.XLOOKUP(TableDailySummary[[#This Row],[Fecha]],SummaryDaily[day],SummaryDaily[average_order_value],0)</f>
        <v>0</v>
      </c>
      <c r="G369" s="24" cm="1">
        <f t="array" ref="G369">_xlfn.XLOOKUP(TableDailySummary[[#This Row],[Fecha]]&amp;"Total site",ConversionRateByReferral[day]&amp;ConversionRateByReferral[referrer_source],ConversionRateByReferral[conversion_rate],0)</f>
        <v>0</v>
      </c>
      <c r="H369" s="11">
        <f>TableDailySummary[[#This Row],[Órden promedio totales]]*TableDailySummary[[#This Row],[CR totales]]</f>
        <v>0</v>
      </c>
      <c r="I369" s="11">
        <f>_xlfn.XLOOKUP(TableDailySummary[[#This Row],[Fecha]],SummaryDaily[day],SummaryDaily[new_net_sales],0)</f>
        <v>0</v>
      </c>
      <c r="J369" s="11">
        <f>_xlfn.XLOOKUP(TableDailySummary[[#This Row],[Fecha]],SummaryDaily[day],SummaryDaily[new_orders],0)</f>
        <v>0</v>
      </c>
      <c r="K369" s="11">
        <f>_xlfn.XLOOKUP(TableDailySummary[[#This Row],[Fecha]],SummaryDaily[day],SummaryDaily[new_average_order_value],0)</f>
        <v>0</v>
      </c>
      <c r="L369" s="11">
        <f>_xlfn.XLOOKUP(TableDailySummary[[#This Row],[Fecha]],SummaryDaily[day],SummaryDaily[Online Store_net_sales],0)</f>
        <v>0</v>
      </c>
      <c r="M369" s="11">
        <f>_xlfn.XLOOKUP(TableDailySummary[[#This Row],[Fecha]],SummaryDaily[day],SummaryDaily[Online Store_orders],0)</f>
        <v>0</v>
      </c>
      <c r="N369" s="11">
        <f>_xlfn.XLOOKUP(TableDailySummary[[#This Row],[Fecha]],SummaryDaily[day],SummaryDaily[Online Store_average_order_value],0)</f>
        <v>0</v>
      </c>
      <c r="O369" s="11">
        <f>_xlfn.XLOOKUP(TableDailySummary[[#This Row],[Fecha]],SummaryDaily[day],SummaryDaily[Tienda 81_net_sales],0)</f>
        <v>0</v>
      </c>
      <c r="P369" s="11">
        <f>_xlfn.XLOOKUP(TableDailySummary[[#This Row],[Fecha]],SummaryDaily[day],SummaryDaily[Tienda 81_orders],0)</f>
        <v>0</v>
      </c>
      <c r="Q369" s="11">
        <f>_xlfn.XLOOKUP(TableDailySummary[[#This Row],[Fecha]],SummaryDaily[day],SummaryDaily[Tienda 81_average_order_value],0)</f>
        <v>0</v>
      </c>
      <c r="R369" s="11">
        <f>_xlfn.XLOOKUP(TableDailySummary[[#This Row],[Fecha]],SummaryDaily[day],SummaryDaily[Rappi_net_sales],0)</f>
        <v>0</v>
      </c>
      <c r="S369" s="11">
        <f>_xlfn.XLOOKUP(TableDailySummary[[#This Row],[Fecha]],SummaryDaily[day],SummaryDaily[Rappi_orders],0)</f>
        <v>0</v>
      </c>
      <c r="T369" s="11">
        <f>_xlfn.XLOOKUP(TableDailySummary[[#This Row],[Fecha]],SummaryDaily[day],SummaryDaily[Rappi_average_order_value],0)</f>
        <v>0</v>
      </c>
      <c r="U369" s="11">
        <f>_xlfn.XLOOKUP(TableDailySummary[[#This Row],[Fecha]],SummaryDaily[day],SummaryDaily[Corporativo no tienda_net_sales],0)</f>
        <v>0</v>
      </c>
      <c r="V369" s="11">
        <f>_xlfn.XLOOKUP(TableDailySummary[[#This Row],[Fecha]],SummaryDaily[day],SummaryDaily[Corporativo no tienda_orders],0)</f>
        <v>0</v>
      </c>
      <c r="W369" s="11">
        <f>_xlfn.XLOOKUP(TableDailySummary[[#This Row],[Fecha]],SummaryDaily[day],SummaryDaily[Corporativo no tienda_average_order_value],0)</f>
        <v>0</v>
      </c>
      <c r="X369" s="11">
        <f>_xlfn.XLOOKUP(TableDailySummary[[#This Row],[Fecha]],SummaryDaily[day],SummaryDaily[GoogleAdsOperation.Cost],0)</f>
        <v>0</v>
      </c>
      <c r="Y369" s="11">
        <f>SUMIFS(SalesByUTMDaily[google],SalesByUTMDaily[day],TableDailySummary[[#This Row],[Fecha]])</f>
        <v>0</v>
      </c>
      <c r="Z369" s="11">
        <f>_xlfn.XLOOKUP(TableDailySummary[[#This Row],[Fecha]],SummaryDaily[day],SummaryDaily[MetaAdsOperation.spend],0)</f>
        <v>0</v>
      </c>
      <c r="AA369" s="11">
        <f>SUMIFS(SalesByUTMDaily[facebook],SalesByUTMDaily[day],TableDailySummary[[#This Row],[Fecha]])</f>
        <v>0</v>
      </c>
      <c r="AB369" s="11">
        <f>TableDailySummary[[#This Row],[Inversión google ads]]+TableDailySummary[[#This Row],[Inversión meta ads]]</f>
        <v>0</v>
      </c>
      <c r="AC369" s="11">
        <f>TableDailySummary[[#This Row],[Ventas google ads]]+TableDailySummary[[#This Row],[Ventas meta ads]]</f>
        <v>0</v>
      </c>
      <c r="AD369" s="14">
        <f>IFERROR(TableDailySummary[[#This Row],[Ventas publicidad]]/TableDailySummary[[#This Row],[Inversión publicidad]],0)</f>
        <v>0</v>
      </c>
      <c r="AE369" s="14">
        <f>IFERROR(TableDailySummary[[#This Row],[Ventas primer cliente]]/TableDailySummary[[#This Row],[Inversión publicidad]],0)</f>
        <v>0</v>
      </c>
      <c r="AF369" s="14"/>
      <c r="AG369" s="11"/>
      <c r="AM369" s="11">
        <f>_xlfn.XLOOKUP(TableDailySummary[[#This Row],[Fecha]],SummaryDaily[day],SummaryDaily[net_sales_with_cost_recorded],0)</f>
        <v>0</v>
      </c>
      <c r="AN369" s="11">
        <f>_xlfn.XLOOKUP(TableDailySummary[[#This Row],[Fecha]],SummaryDaily[day],SummaryDaily[cost_of_goods_sold],0)</f>
        <v>0</v>
      </c>
      <c r="AO369" s="11">
        <f>_xlfn.XLOOKUP(TableDailySummary[[#This Row],[Fecha]],SummaryDaily[day],SummaryDaily[gross_profit],0)</f>
        <v>0</v>
      </c>
      <c r="AP369" s="18">
        <f>IFERROR(TableDailySummary[[#This Row],[Utilidad bruta]]/TableDailySummary[[#This Row],[Ventas netas con costo registrado]],0)</f>
        <v>0</v>
      </c>
    </row>
    <row r="370" spans="2:42" x14ac:dyDescent="0.2">
      <c r="B370" s="15" cm="1">
        <f t="array" ref="B370">ParamFechaInicioReporte + (ROW(TableDailySummary[#This Row]) - ROW(TableDailySummary[[#Headers],[Dia]]) - 1)</f>
        <v>44897</v>
      </c>
      <c r="C370" s="6">
        <f>TableDailySummary[[#This Row],[Dia]]</f>
        <v>44897</v>
      </c>
      <c r="D370" s="11">
        <f>_xlfn.XLOOKUP(TableDailySummary[[#This Row],[Fecha]],SummaryDaily[day],SummaryDaily[net_sales],0)</f>
        <v>0</v>
      </c>
      <c r="E370" s="11">
        <f>_xlfn.XLOOKUP(TableDailySummary[[#This Row],[Fecha]],SummaryDaily[day],SummaryDaily[orders],0)</f>
        <v>0</v>
      </c>
      <c r="F370" s="11">
        <f>_xlfn.XLOOKUP(TableDailySummary[[#This Row],[Fecha]],SummaryDaily[day],SummaryDaily[average_order_value],0)</f>
        <v>0</v>
      </c>
      <c r="G370" s="24" cm="1">
        <f t="array" ref="G370">_xlfn.XLOOKUP(TableDailySummary[[#This Row],[Fecha]]&amp;"Total site",ConversionRateByReferral[day]&amp;ConversionRateByReferral[referrer_source],ConversionRateByReferral[conversion_rate],0)</f>
        <v>0</v>
      </c>
      <c r="H370" s="11">
        <f>TableDailySummary[[#This Row],[Órden promedio totales]]*TableDailySummary[[#This Row],[CR totales]]</f>
        <v>0</v>
      </c>
      <c r="I370" s="11">
        <f>_xlfn.XLOOKUP(TableDailySummary[[#This Row],[Fecha]],SummaryDaily[day],SummaryDaily[new_net_sales],0)</f>
        <v>0</v>
      </c>
      <c r="J370" s="11">
        <f>_xlfn.XLOOKUP(TableDailySummary[[#This Row],[Fecha]],SummaryDaily[day],SummaryDaily[new_orders],0)</f>
        <v>0</v>
      </c>
      <c r="K370" s="11">
        <f>_xlfn.XLOOKUP(TableDailySummary[[#This Row],[Fecha]],SummaryDaily[day],SummaryDaily[new_average_order_value],0)</f>
        <v>0</v>
      </c>
      <c r="L370" s="11">
        <f>_xlfn.XLOOKUP(TableDailySummary[[#This Row],[Fecha]],SummaryDaily[day],SummaryDaily[Online Store_net_sales],0)</f>
        <v>0</v>
      </c>
      <c r="M370" s="11">
        <f>_xlfn.XLOOKUP(TableDailySummary[[#This Row],[Fecha]],SummaryDaily[day],SummaryDaily[Online Store_orders],0)</f>
        <v>0</v>
      </c>
      <c r="N370" s="11">
        <f>_xlfn.XLOOKUP(TableDailySummary[[#This Row],[Fecha]],SummaryDaily[day],SummaryDaily[Online Store_average_order_value],0)</f>
        <v>0</v>
      </c>
      <c r="O370" s="11">
        <f>_xlfn.XLOOKUP(TableDailySummary[[#This Row],[Fecha]],SummaryDaily[day],SummaryDaily[Tienda 81_net_sales],0)</f>
        <v>0</v>
      </c>
      <c r="P370" s="11">
        <f>_xlfn.XLOOKUP(TableDailySummary[[#This Row],[Fecha]],SummaryDaily[day],SummaryDaily[Tienda 81_orders],0)</f>
        <v>0</v>
      </c>
      <c r="Q370" s="11">
        <f>_xlfn.XLOOKUP(TableDailySummary[[#This Row],[Fecha]],SummaryDaily[day],SummaryDaily[Tienda 81_average_order_value],0)</f>
        <v>0</v>
      </c>
      <c r="R370" s="11">
        <f>_xlfn.XLOOKUP(TableDailySummary[[#This Row],[Fecha]],SummaryDaily[day],SummaryDaily[Rappi_net_sales],0)</f>
        <v>0</v>
      </c>
      <c r="S370" s="11">
        <f>_xlfn.XLOOKUP(TableDailySummary[[#This Row],[Fecha]],SummaryDaily[day],SummaryDaily[Rappi_orders],0)</f>
        <v>0</v>
      </c>
      <c r="T370" s="11">
        <f>_xlfn.XLOOKUP(TableDailySummary[[#This Row],[Fecha]],SummaryDaily[day],SummaryDaily[Rappi_average_order_value],0)</f>
        <v>0</v>
      </c>
      <c r="U370" s="11">
        <f>_xlfn.XLOOKUP(TableDailySummary[[#This Row],[Fecha]],SummaryDaily[day],SummaryDaily[Corporativo no tienda_net_sales],0)</f>
        <v>0</v>
      </c>
      <c r="V370" s="11">
        <f>_xlfn.XLOOKUP(TableDailySummary[[#This Row],[Fecha]],SummaryDaily[day],SummaryDaily[Corporativo no tienda_orders],0)</f>
        <v>0</v>
      </c>
      <c r="W370" s="11">
        <f>_xlfn.XLOOKUP(TableDailySummary[[#This Row],[Fecha]],SummaryDaily[day],SummaryDaily[Corporativo no tienda_average_order_value],0)</f>
        <v>0</v>
      </c>
      <c r="X370" s="11">
        <f>_xlfn.XLOOKUP(TableDailySummary[[#This Row],[Fecha]],SummaryDaily[day],SummaryDaily[GoogleAdsOperation.Cost],0)</f>
        <v>0</v>
      </c>
      <c r="Y370" s="11">
        <f>SUMIFS(SalesByUTMDaily[google],SalesByUTMDaily[day],TableDailySummary[[#This Row],[Fecha]])</f>
        <v>0</v>
      </c>
      <c r="Z370" s="11">
        <f>_xlfn.XLOOKUP(TableDailySummary[[#This Row],[Fecha]],SummaryDaily[day],SummaryDaily[MetaAdsOperation.spend],0)</f>
        <v>0</v>
      </c>
      <c r="AA370" s="11">
        <f>SUMIFS(SalesByUTMDaily[facebook],SalesByUTMDaily[day],TableDailySummary[[#This Row],[Fecha]])</f>
        <v>0</v>
      </c>
      <c r="AB370" s="11">
        <f>TableDailySummary[[#This Row],[Inversión google ads]]+TableDailySummary[[#This Row],[Inversión meta ads]]</f>
        <v>0</v>
      </c>
      <c r="AC370" s="11">
        <f>TableDailySummary[[#This Row],[Ventas google ads]]+TableDailySummary[[#This Row],[Ventas meta ads]]</f>
        <v>0</v>
      </c>
      <c r="AD370" s="14">
        <f>IFERROR(TableDailySummary[[#This Row],[Ventas publicidad]]/TableDailySummary[[#This Row],[Inversión publicidad]],0)</f>
        <v>0</v>
      </c>
      <c r="AE370" s="14">
        <f>IFERROR(TableDailySummary[[#This Row],[Ventas primer cliente]]/TableDailySummary[[#This Row],[Inversión publicidad]],0)</f>
        <v>0</v>
      </c>
      <c r="AF370" s="14"/>
      <c r="AG370" s="11"/>
      <c r="AM370" s="11">
        <f>_xlfn.XLOOKUP(TableDailySummary[[#This Row],[Fecha]],SummaryDaily[day],SummaryDaily[net_sales_with_cost_recorded],0)</f>
        <v>0</v>
      </c>
      <c r="AN370" s="11">
        <f>_xlfn.XLOOKUP(TableDailySummary[[#This Row],[Fecha]],SummaryDaily[day],SummaryDaily[cost_of_goods_sold],0)</f>
        <v>0</v>
      </c>
      <c r="AO370" s="11">
        <f>_xlfn.XLOOKUP(TableDailySummary[[#This Row],[Fecha]],SummaryDaily[day],SummaryDaily[gross_profit],0)</f>
        <v>0</v>
      </c>
      <c r="AP370" s="18">
        <f>IFERROR(TableDailySummary[[#This Row],[Utilidad bruta]]/TableDailySummary[[#This Row],[Ventas netas con costo registrado]],0)</f>
        <v>0</v>
      </c>
    </row>
    <row r="371" spans="2:42" x14ac:dyDescent="0.2">
      <c r="B371" s="15" cm="1">
        <f t="array" ref="B371">ParamFechaInicioReporte + (ROW(TableDailySummary[#This Row]) - ROW(TableDailySummary[[#Headers],[Dia]]) - 1)</f>
        <v>44898</v>
      </c>
      <c r="C371" s="6">
        <f>TableDailySummary[[#This Row],[Dia]]</f>
        <v>44898</v>
      </c>
      <c r="D371" s="11">
        <f>_xlfn.XLOOKUP(TableDailySummary[[#This Row],[Fecha]],SummaryDaily[day],SummaryDaily[net_sales],0)</f>
        <v>0</v>
      </c>
      <c r="E371" s="11">
        <f>_xlfn.XLOOKUP(TableDailySummary[[#This Row],[Fecha]],SummaryDaily[day],SummaryDaily[orders],0)</f>
        <v>0</v>
      </c>
      <c r="F371" s="11">
        <f>_xlfn.XLOOKUP(TableDailySummary[[#This Row],[Fecha]],SummaryDaily[day],SummaryDaily[average_order_value],0)</f>
        <v>0</v>
      </c>
      <c r="G371" s="24" cm="1">
        <f t="array" ref="G371">_xlfn.XLOOKUP(TableDailySummary[[#This Row],[Fecha]]&amp;"Total site",ConversionRateByReferral[day]&amp;ConversionRateByReferral[referrer_source],ConversionRateByReferral[conversion_rate],0)</f>
        <v>0</v>
      </c>
      <c r="H371" s="11">
        <f>TableDailySummary[[#This Row],[Órden promedio totales]]*TableDailySummary[[#This Row],[CR totales]]</f>
        <v>0</v>
      </c>
      <c r="I371" s="11">
        <f>_xlfn.XLOOKUP(TableDailySummary[[#This Row],[Fecha]],SummaryDaily[day],SummaryDaily[new_net_sales],0)</f>
        <v>0</v>
      </c>
      <c r="J371" s="11">
        <f>_xlfn.XLOOKUP(TableDailySummary[[#This Row],[Fecha]],SummaryDaily[day],SummaryDaily[new_orders],0)</f>
        <v>0</v>
      </c>
      <c r="K371" s="11">
        <f>_xlfn.XLOOKUP(TableDailySummary[[#This Row],[Fecha]],SummaryDaily[day],SummaryDaily[new_average_order_value],0)</f>
        <v>0</v>
      </c>
      <c r="L371" s="11">
        <f>_xlfn.XLOOKUP(TableDailySummary[[#This Row],[Fecha]],SummaryDaily[day],SummaryDaily[Online Store_net_sales],0)</f>
        <v>0</v>
      </c>
      <c r="M371" s="11">
        <f>_xlfn.XLOOKUP(TableDailySummary[[#This Row],[Fecha]],SummaryDaily[day],SummaryDaily[Online Store_orders],0)</f>
        <v>0</v>
      </c>
      <c r="N371" s="11">
        <f>_xlfn.XLOOKUP(TableDailySummary[[#This Row],[Fecha]],SummaryDaily[day],SummaryDaily[Online Store_average_order_value],0)</f>
        <v>0</v>
      </c>
      <c r="O371" s="11">
        <f>_xlfn.XLOOKUP(TableDailySummary[[#This Row],[Fecha]],SummaryDaily[day],SummaryDaily[Tienda 81_net_sales],0)</f>
        <v>0</v>
      </c>
      <c r="P371" s="11">
        <f>_xlfn.XLOOKUP(TableDailySummary[[#This Row],[Fecha]],SummaryDaily[day],SummaryDaily[Tienda 81_orders],0)</f>
        <v>0</v>
      </c>
      <c r="Q371" s="11">
        <f>_xlfn.XLOOKUP(TableDailySummary[[#This Row],[Fecha]],SummaryDaily[day],SummaryDaily[Tienda 81_average_order_value],0)</f>
        <v>0</v>
      </c>
      <c r="R371" s="11">
        <f>_xlfn.XLOOKUP(TableDailySummary[[#This Row],[Fecha]],SummaryDaily[day],SummaryDaily[Rappi_net_sales],0)</f>
        <v>0</v>
      </c>
      <c r="S371" s="11">
        <f>_xlfn.XLOOKUP(TableDailySummary[[#This Row],[Fecha]],SummaryDaily[day],SummaryDaily[Rappi_orders],0)</f>
        <v>0</v>
      </c>
      <c r="T371" s="11">
        <f>_xlfn.XLOOKUP(TableDailySummary[[#This Row],[Fecha]],SummaryDaily[day],SummaryDaily[Rappi_average_order_value],0)</f>
        <v>0</v>
      </c>
      <c r="U371" s="11">
        <f>_xlfn.XLOOKUP(TableDailySummary[[#This Row],[Fecha]],SummaryDaily[day],SummaryDaily[Corporativo no tienda_net_sales],0)</f>
        <v>0</v>
      </c>
      <c r="V371" s="11">
        <f>_xlfn.XLOOKUP(TableDailySummary[[#This Row],[Fecha]],SummaryDaily[day],SummaryDaily[Corporativo no tienda_orders],0)</f>
        <v>0</v>
      </c>
      <c r="W371" s="11">
        <f>_xlfn.XLOOKUP(TableDailySummary[[#This Row],[Fecha]],SummaryDaily[day],SummaryDaily[Corporativo no tienda_average_order_value],0)</f>
        <v>0</v>
      </c>
      <c r="X371" s="11">
        <f>_xlfn.XLOOKUP(TableDailySummary[[#This Row],[Fecha]],SummaryDaily[day],SummaryDaily[GoogleAdsOperation.Cost],0)</f>
        <v>0</v>
      </c>
      <c r="Y371" s="11">
        <f>SUMIFS(SalesByUTMDaily[google],SalesByUTMDaily[day],TableDailySummary[[#This Row],[Fecha]])</f>
        <v>0</v>
      </c>
      <c r="Z371" s="11">
        <f>_xlfn.XLOOKUP(TableDailySummary[[#This Row],[Fecha]],SummaryDaily[day],SummaryDaily[MetaAdsOperation.spend],0)</f>
        <v>0</v>
      </c>
      <c r="AA371" s="11">
        <f>SUMIFS(SalesByUTMDaily[facebook],SalesByUTMDaily[day],TableDailySummary[[#This Row],[Fecha]])</f>
        <v>0</v>
      </c>
      <c r="AB371" s="11">
        <f>TableDailySummary[[#This Row],[Inversión google ads]]+TableDailySummary[[#This Row],[Inversión meta ads]]</f>
        <v>0</v>
      </c>
      <c r="AC371" s="11">
        <f>TableDailySummary[[#This Row],[Ventas google ads]]+TableDailySummary[[#This Row],[Ventas meta ads]]</f>
        <v>0</v>
      </c>
      <c r="AD371" s="14">
        <f>IFERROR(TableDailySummary[[#This Row],[Ventas publicidad]]/TableDailySummary[[#This Row],[Inversión publicidad]],0)</f>
        <v>0</v>
      </c>
      <c r="AE371" s="14">
        <f>IFERROR(TableDailySummary[[#This Row],[Ventas primer cliente]]/TableDailySummary[[#This Row],[Inversión publicidad]],0)</f>
        <v>0</v>
      </c>
      <c r="AF371" s="14"/>
      <c r="AG371" s="11"/>
      <c r="AM371" s="11">
        <f>_xlfn.XLOOKUP(TableDailySummary[[#This Row],[Fecha]],SummaryDaily[day],SummaryDaily[net_sales_with_cost_recorded],0)</f>
        <v>0</v>
      </c>
      <c r="AN371" s="11">
        <f>_xlfn.XLOOKUP(TableDailySummary[[#This Row],[Fecha]],SummaryDaily[day],SummaryDaily[cost_of_goods_sold],0)</f>
        <v>0</v>
      </c>
      <c r="AO371" s="11">
        <f>_xlfn.XLOOKUP(TableDailySummary[[#This Row],[Fecha]],SummaryDaily[day],SummaryDaily[gross_profit],0)</f>
        <v>0</v>
      </c>
      <c r="AP371" s="18">
        <f>IFERROR(TableDailySummary[[#This Row],[Utilidad bruta]]/TableDailySummary[[#This Row],[Ventas netas con costo registrado]],0)</f>
        <v>0</v>
      </c>
    </row>
    <row r="372" spans="2:42" x14ac:dyDescent="0.2">
      <c r="B372" s="15" cm="1">
        <f t="array" ref="B372">ParamFechaInicioReporte + (ROW(TableDailySummary[#This Row]) - ROW(TableDailySummary[[#Headers],[Dia]]) - 1)</f>
        <v>44899</v>
      </c>
      <c r="C372" s="6">
        <f>TableDailySummary[[#This Row],[Dia]]</f>
        <v>44899</v>
      </c>
      <c r="D372" s="11">
        <f>_xlfn.XLOOKUP(TableDailySummary[[#This Row],[Fecha]],SummaryDaily[day],SummaryDaily[net_sales],0)</f>
        <v>0</v>
      </c>
      <c r="E372" s="11">
        <f>_xlfn.XLOOKUP(TableDailySummary[[#This Row],[Fecha]],SummaryDaily[day],SummaryDaily[orders],0)</f>
        <v>0</v>
      </c>
      <c r="F372" s="11">
        <f>_xlfn.XLOOKUP(TableDailySummary[[#This Row],[Fecha]],SummaryDaily[day],SummaryDaily[average_order_value],0)</f>
        <v>0</v>
      </c>
      <c r="G372" s="24" cm="1">
        <f t="array" ref="G372">_xlfn.XLOOKUP(TableDailySummary[[#This Row],[Fecha]]&amp;"Total site",ConversionRateByReferral[day]&amp;ConversionRateByReferral[referrer_source],ConversionRateByReferral[conversion_rate],0)</f>
        <v>0</v>
      </c>
      <c r="H372" s="11">
        <f>TableDailySummary[[#This Row],[Órden promedio totales]]*TableDailySummary[[#This Row],[CR totales]]</f>
        <v>0</v>
      </c>
      <c r="I372" s="11">
        <f>_xlfn.XLOOKUP(TableDailySummary[[#This Row],[Fecha]],SummaryDaily[day],SummaryDaily[new_net_sales],0)</f>
        <v>0</v>
      </c>
      <c r="J372" s="11">
        <f>_xlfn.XLOOKUP(TableDailySummary[[#This Row],[Fecha]],SummaryDaily[day],SummaryDaily[new_orders],0)</f>
        <v>0</v>
      </c>
      <c r="K372" s="11">
        <f>_xlfn.XLOOKUP(TableDailySummary[[#This Row],[Fecha]],SummaryDaily[day],SummaryDaily[new_average_order_value],0)</f>
        <v>0</v>
      </c>
      <c r="L372" s="11">
        <f>_xlfn.XLOOKUP(TableDailySummary[[#This Row],[Fecha]],SummaryDaily[day],SummaryDaily[Online Store_net_sales],0)</f>
        <v>0</v>
      </c>
      <c r="M372" s="11">
        <f>_xlfn.XLOOKUP(TableDailySummary[[#This Row],[Fecha]],SummaryDaily[day],SummaryDaily[Online Store_orders],0)</f>
        <v>0</v>
      </c>
      <c r="N372" s="11">
        <f>_xlfn.XLOOKUP(TableDailySummary[[#This Row],[Fecha]],SummaryDaily[day],SummaryDaily[Online Store_average_order_value],0)</f>
        <v>0</v>
      </c>
      <c r="O372" s="11">
        <f>_xlfn.XLOOKUP(TableDailySummary[[#This Row],[Fecha]],SummaryDaily[day],SummaryDaily[Tienda 81_net_sales],0)</f>
        <v>0</v>
      </c>
      <c r="P372" s="11">
        <f>_xlfn.XLOOKUP(TableDailySummary[[#This Row],[Fecha]],SummaryDaily[day],SummaryDaily[Tienda 81_orders],0)</f>
        <v>0</v>
      </c>
      <c r="Q372" s="11">
        <f>_xlfn.XLOOKUP(TableDailySummary[[#This Row],[Fecha]],SummaryDaily[day],SummaryDaily[Tienda 81_average_order_value],0)</f>
        <v>0</v>
      </c>
      <c r="R372" s="11">
        <f>_xlfn.XLOOKUP(TableDailySummary[[#This Row],[Fecha]],SummaryDaily[day],SummaryDaily[Rappi_net_sales],0)</f>
        <v>0</v>
      </c>
      <c r="S372" s="11">
        <f>_xlfn.XLOOKUP(TableDailySummary[[#This Row],[Fecha]],SummaryDaily[day],SummaryDaily[Rappi_orders],0)</f>
        <v>0</v>
      </c>
      <c r="T372" s="11">
        <f>_xlfn.XLOOKUP(TableDailySummary[[#This Row],[Fecha]],SummaryDaily[day],SummaryDaily[Rappi_average_order_value],0)</f>
        <v>0</v>
      </c>
      <c r="U372" s="11">
        <f>_xlfn.XLOOKUP(TableDailySummary[[#This Row],[Fecha]],SummaryDaily[day],SummaryDaily[Corporativo no tienda_net_sales],0)</f>
        <v>0</v>
      </c>
      <c r="V372" s="11">
        <f>_xlfn.XLOOKUP(TableDailySummary[[#This Row],[Fecha]],SummaryDaily[day],SummaryDaily[Corporativo no tienda_orders],0)</f>
        <v>0</v>
      </c>
      <c r="W372" s="11">
        <f>_xlfn.XLOOKUP(TableDailySummary[[#This Row],[Fecha]],SummaryDaily[day],SummaryDaily[Corporativo no tienda_average_order_value],0)</f>
        <v>0</v>
      </c>
      <c r="X372" s="11">
        <f>_xlfn.XLOOKUP(TableDailySummary[[#This Row],[Fecha]],SummaryDaily[day],SummaryDaily[GoogleAdsOperation.Cost],0)</f>
        <v>0</v>
      </c>
      <c r="Y372" s="11">
        <f>SUMIFS(SalesByUTMDaily[google],SalesByUTMDaily[day],TableDailySummary[[#This Row],[Fecha]])</f>
        <v>0</v>
      </c>
      <c r="Z372" s="11">
        <f>_xlfn.XLOOKUP(TableDailySummary[[#This Row],[Fecha]],SummaryDaily[day],SummaryDaily[MetaAdsOperation.spend],0)</f>
        <v>0</v>
      </c>
      <c r="AA372" s="11">
        <f>SUMIFS(SalesByUTMDaily[facebook],SalesByUTMDaily[day],TableDailySummary[[#This Row],[Fecha]])</f>
        <v>0</v>
      </c>
      <c r="AB372" s="11">
        <f>TableDailySummary[[#This Row],[Inversión google ads]]+TableDailySummary[[#This Row],[Inversión meta ads]]</f>
        <v>0</v>
      </c>
      <c r="AC372" s="11">
        <f>TableDailySummary[[#This Row],[Ventas google ads]]+TableDailySummary[[#This Row],[Ventas meta ads]]</f>
        <v>0</v>
      </c>
      <c r="AD372" s="14">
        <f>IFERROR(TableDailySummary[[#This Row],[Ventas publicidad]]/TableDailySummary[[#This Row],[Inversión publicidad]],0)</f>
        <v>0</v>
      </c>
      <c r="AE372" s="14">
        <f>IFERROR(TableDailySummary[[#This Row],[Ventas primer cliente]]/TableDailySummary[[#This Row],[Inversión publicidad]],0)</f>
        <v>0</v>
      </c>
      <c r="AF372" s="14"/>
      <c r="AG372" s="11"/>
      <c r="AM372" s="11">
        <f>_xlfn.XLOOKUP(TableDailySummary[[#This Row],[Fecha]],SummaryDaily[day],SummaryDaily[net_sales_with_cost_recorded],0)</f>
        <v>0</v>
      </c>
      <c r="AN372" s="11">
        <f>_xlfn.XLOOKUP(TableDailySummary[[#This Row],[Fecha]],SummaryDaily[day],SummaryDaily[cost_of_goods_sold],0)</f>
        <v>0</v>
      </c>
      <c r="AO372" s="11">
        <f>_xlfn.XLOOKUP(TableDailySummary[[#This Row],[Fecha]],SummaryDaily[day],SummaryDaily[gross_profit],0)</f>
        <v>0</v>
      </c>
      <c r="AP372" s="18">
        <f>IFERROR(TableDailySummary[[#This Row],[Utilidad bruta]]/TableDailySummary[[#This Row],[Ventas netas con costo registrado]],0)</f>
        <v>0</v>
      </c>
    </row>
    <row r="373" spans="2:42" x14ac:dyDescent="0.2">
      <c r="B373" s="15" cm="1">
        <f t="array" ref="B373">ParamFechaInicioReporte + (ROW(TableDailySummary[#This Row]) - ROW(TableDailySummary[[#Headers],[Dia]]) - 1)</f>
        <v>44900</v>
      </c>
      <c r="C373" s="6">
        <f>TableDailySummary[[#This Row],[Dia]]</f>
        <v>44900</v>
      </c>
      <c r="D373" s="11">
        <f>_xlfn.XLOOKUP(TableDailySummary[[#This Row],[Fecha]],SummaryDaily[day],SummaryDaily[net_sales],0)</f>
        <v>0</v>
      </c>
      <c r="E373" s="11">
        <f>_xlfn.XLOOKUP(TableDailySummary[[#This Row],[Fecha]],SummaryDaily[day],SummaryDaily[orders],0)</f>
        <v>0</v>
      </c>
      <c r="F373" s="11">
        <f>_xlfn.XLOOKUP(TableDailySummary[[#This Row],[Fecha]],SummaryDaily[day],SummaryDaily[average_order_value],0)</f>
        <v>0</v>
      </c>
      <c r="G373" s="24" cm="1">
        <f t="array" ref="G373">_xlfn.XLOOKUP(TableDailySummary[[#This Row],[Fecha]]&amp;"Total site",ConversionRateByReferral[day]&amp;ConversionRateByReferral[referrer_source],ConversionRateByReferral[conversion_rate],0)</f>
        <v>0</v>
      </c>
      <c r="H373" s="11">
        <f>TableDailySummary[[#This Row],[Órden promedio totales]]*TableDailySummary[[#This Row],[CR totales]]</f>
        <v>0</v>
      </c>
      <c r="I373" s="11">
        <f>_xlfn.XLOOKUP(TableDailySummary[[#This Row],[Fecha]],SummaryDaily[day],SummaryDaily[new_net_sales],0)</f>
        <v>0</v>
      </c>
      <c r="J373" s="11">
        <f>_xlfn.XLOOKUP(TableDailySummary[[#This Row],[Fecha]],SummaryDaily[day],SummaryDaily[new_orders],0)</f>
        <v>0</v>
      </c>
      <c r="K373" s="11">
        <f>_xlfn.XLOOKUP(TableDailySummary[[#This Row],[Fecha]],SummaryDaily[day],SummaryDaily[new_average_order_value],0)</f>
        <v>0</v>
      </c>
      <c r="L373" s="11">
        <f>_xlfn.XLOOKUP(TableDailySummary[[#This Row],[Fecha]],SummaryDaily[day],SummaryDaily[Online Store_net_sales],0)</f>
        <v>0</v>
      </c>
      <c r="M373" s="11">
        <f>_xlfn.XLOOKUP(TableDailySummary[[#This Row],[Fecha]],SummaryDaily[day],SummaryDaily[Online Store_orders],0)</f>
        <v>0</v>
      </c>
      <c r="N373" s="11">
        <f>_xlfn.XLOOKUP(TableDailySummary[[#This Row],[Fecha]],SummaryDaily[day],SummaryDaily[Online Store_average_order_value],0)</f>
        <v>0</v>
      </c>
      <c r="O373" s="11">
        <f>_xlfn.XLOOKUP(TableDailySummary[[#This Row],[Fecha]],SummaryDaily[day],SummaryDaily[Tienda 81_net_sales],0)</f>
        <v>0</v>
      </c>
      <c r="P373" s="11">
        <f>_xlfn.XLOOKUP(TableDailySummary[[#This Row],[Fecha]],SummaryDaily[day],SummaryDaily[Tienda 81_orders],0)</f>
        <v>0</v>
      </c>
      <c r="Q373" s="11">
        <f>_xlfn.XLOOKUP(TableDailySummary[[#This Row],[Fecha]],SummaryDaily[day],SummaryDaily[Tienda 81_average_order_value],0)</f>
        <v>0</v>
      </c>
      <c r="R373" s="11">
        <f>_xlfn.XLOOKUP(TableDailySummary[[#This Row],[Fecha]],SummaryDaily[day],SummaryDaily[Rappi_net_sales],0)</f>
        <v>0</v>
      </c>
      <c r="S373" s="11">
        <f>_xlfn.XLOOKUP(TableDailySummary[[#This Row],[Fecha]],SummaryDaily[day],SummaryDaily[Rappi_orders],0)</f>
        <v>0</v>
      </c>
      <c r="T373" s="11">
        <f>_xlfn.XLOOKUP(TableDailySummary[[#This Row],[Fecha]],SummaryDaily[day],SummaryDaily[Rappi_average_order_value],0)</f>
        <v>0</v>
      </c>
      <c r="U373" s="11">
        <f>_xlfn.XLOOKUP(TableDailySummary[[#This Row],[Fecha]],SummaryDaily[day],SummaryDaily[Corporativo no tienda_net_sales],0)</f>
        <v>0</v>
      </c>
      <c r="V373" s="11">
        <f>_xlfn.XLOOKUP(TableDailySummary[[#This Row],[Fecha]],SummaryDaily[day],SummaryDaily[Corporativo no tienda_orders],0)</f>
        <v>0</v>
      </c>
      <c r="W373" s="11">
        <f>_xlfn.XLOOKUP(TableDailySummary[[#This Row],[Fecha]],SummaryDaily[day],SummaryDaily[Corporativo no tienda_average_order_value],0)</f>
        <v>0</v>
      </c>
      <c r="X373" s="11">
        <f>_xlfn.XLOOKUP(TableDailySummary[[#This Row],[Fecha]],SummaryDaily[day],SummaryDaily[GoogleAdsOperation.Cost],0)</f>
        <v>0</v>
      </c>
      <c r="Y373" s="11">
        <f>SUMIFS(SalesByUTMDaily[google],SalesByUTMDaily[day],TableDailySummary[[#This Row],[Fecha]])</f>
        <v>0</v>
      </c>
      <c r="Z373" s="11">
        <f>_xlfn.XLOOKUP(TableDailySummary[[#This Row],[Fecha]],SummaryDaily[day],SummaryDaily[MetaAdsOperation.spend],0)</f>
        <v>0</v>
      </c>
      <c r="AA373" s="11">
        <f>SUMIFS(SalesByUTMDaily[facebook],SalesByUTMDaily[day],TableDailySummary[[#This Row],[Fecha]])</f>
        <v>0</v>
      </c>
      <c r="AB373" s="11">
        <f>TableDailySummary[[#This Row],[Inversión google ads]]+TableDailySummary[[#This Row],[Inversión meta ads]]</f>
        <v>0</v>
      </c>
      <c r="AC373" s="11">
        <f>TableDailySummary[[#This Row],[Ventas google ads]]+TableDailySummary[[#This Row],[Ventas meta ads]]</f>
        <v>0</v>
      </c>
      <c r="AD373" s="14">
        <f>IFERROR(TableDailySummary[[#This Row],[Ventas publicidad]]/TableDailySummary[[#This Row],[Inversión publicidad]],0)</f>
        <v>0</v>
      </c>
      <c r="AE373" s="14">
        <f>IFERROR(TableDailySummary[[#This Row],[Ventas primer cliente]]/TableDailySummary[[#This Row],[Inversión publicidad]],0)</f>
        <v>0</v>
      </c>
      <c r="AF373" s="14"/>
      <c r="AG373" s="11"/>
      <c r="AM373" s="11">
        <f>_xlfn.XLOOKUP(TableDailySummary[[#This Row],[Fecha]],SummaryDaily[day],SummaryDaily[net_sales_with_cost_recorded],0)</f>
        <v>0</v>
      </c>
      <c r="AN373" s="11">
        <f>_xlfn.XLOOKUP(TableDailySummary[[#This Row],[Fecha]],SummaryDaily[day],SummaryDaily[cost_of_goods_sold],0)</f>
        <v>0</v>
      </c>
      <c r="AO373" s="11">
        <f>_xlfn.XLOOKUP(TableDailySummary[[#This Row],[Fecha]],SummaryDaily[day],SummaryDaily[gross_profit],0)</f>
        <v>0</v>
      </c>
      <c r="AP373" s="18">
        <f>IFERROR(TableDailySummary[[#This Row],[Utilidad bruta]]/TableDailySummary[[#This Row],[Ventas netas con costo registrado]],0)</f>
        <v>0</v>
      </c>
    </row>
    <row r="374" spans="2:42" x14ac:dyDescent="0.2">
      <c r="B374" s="15" cm="1">
        <f t="array" ref="B374">ParamFechaInicioReporte + (ROW(TableDailySummary[#This Row]) - ROW(TableDailySummary[[#Headers],[Dia]]) - 1)</f>
        <v>44901</v>
      </c>
      <c r="C374" s="6">
        <f>TableDailySummary[[#This Row],[Dia]]</f>
        <v>44901</v>
      </c>
      <c r="D374" s="11">
        <f>_xlfn.XLOOKUP(TableDailySummary[[#This Row],[Fecha]],SummaryDaily[day],SummaryDaily[net_sales],0)</f>
        <v>0</v>
      </c>
      <c r="E374" s="11">
        <f>_xlfn.XLOOKUP(TableDailySummary[[#This Row],[Fecha]],SummaryDaily[day],SummaryDaily[orders],0)</f>
        <v>0</v>
      </c>
      <c r="F374" s="11">
        <f>_xlfn.XLOOKUP(TableDailySummary[[#This Row],[Fecha]],SummaryDaily[day],SummaryDaily[average_order_value],0)</f>
        <v>0</v>
      </c>
      <c r="G374" s="24" cm="1">
        <f t="array" ref="G374">_xlfn.XLOOKUP(TableDailySummary[[#This Row],[Fecha]]&amp;"Total site",ConversionRateByReferral[day]&amp;ConversionRateByReferral[referrer_source],ConversionRateByReferral[conversion_rate],0)</f>
        <v>0</v>
      </c>
      <c r="H374" s="11">
        <f>TableDailySummary[[#This Row],[Órden promedio totales]]*TableDailySummary[[#This Row],[CR totales]]</f>
        <v>0</v>
      </c>
      <c r="I374" s="11">
        <f>_xlfn.XLOOKUP(TableDailySummary[[#This Row],[Fecha]],SummaryDaily[day],SummaryDaily[new_net_sales],0)</f>
        <v>0</v>
      </c>
      <c r="J374" s="11">
        <f>_xlfn.XLOOKUP(TableDailySummary[[#This Row],[Fecha]],SummaryDaily[day],SummaryDaily[new_orders],0)</f>
        <v>0</v>
      </c>
      <c r="K374" s="11">
        <f>_xlfn.XLOOKUP(TableDailySummary[[#This Row],[Fecha]],SummaryDaily[day],SummaryDaily[new_average_order_value],0)</f>
        <v>0</v>
      </c>
      <c r="L374" s="11">
        <f>_xlfn.XLOOKUP(TableDailySummary[[#This Row],[Fecha]],SummaryDaily[day],SummaryDaily[Online Store_net_sales],0)</f>
        <v>0</v>
      </c>
      <c r="M374" s="11">
        <f>_xlfn.XLOOKUP(TableDailySummary[[#This Row],[Fecha]],SummaryDaily[day],SummaryDaily[Online Store_orders],0)</f>
        <v>0</v>
      </c>
      <c r="N374" s="11">
        <f>_xlfn.XLOOKUP(TableDailySummary[[#This Row],[Fecha]],SummaryDaily[day],SummaryDaily[Online Store_average_order_value],0)</f>
        <v>0</v>
      </c>
      <c r="O374" s="11">
        <f>_xlfn.XLOOKUP(TableDailySummary[[#This Row],[Fecha]],SummaryDaily[day],SummaryDaily[Tienda 81_net_sales],0)</f>
        <v>0</v>
      </c>
      <c r="P374" s="11">
        <f>_xlfn.XLOOKUP(TableDailySummary[[#This Row],[Fecha]],SummaryDaily[day],SummaryDaily[Tienda 81_orders],0)</f>
        <v>0</v>
      </c>
      <c r="Q374" s="11">
        <f>_xlfn.XLOOKUP(TableDailySummary[[#This Row],[Fecha]],SummaryDaily[day],SummaryDaily[Tienda 81_average_order_value],0)</f>
        <v>0</v>
      </c>
      <c r="R374" s="11">
        <f>_xlfn.XLOOKUP(TableDailySummary[[#This Row],[Fecha]],SummaryDaily[day],SummaryDaily[Rappi_net_sales],0)</f>
        <v>0</v>
      </c>
      <c r="S374" s="11">
        <f>_xlfn.XLOOKUP(TableDailySummary[[#This Row],[Fecha]],SummaryDaily[day],SummaryDaily[Rappi_orders],0)</f>
        <v>0</v>
      </c>
      <c r="T374" s="11">
        <f>_xlfn.XLOOKUP(TableDailySummary[[#This Row],[Fecha]],SummaryDaily[day],SummaryDaily[Rappi_average_order_value],0)</f>
        <v>0</v>
      </c>
      <c r="U374" s="11">
        <f>_xlfn.XLOOKUP(TableDailySummary[[#This Row],[Fecha]],SummaryDaily[day],SummaryDaily[Corporativo no tienda_net_sales],0)</f>
        <v>0</v>
      </c>
      <c r="V374" s="11">
        <f>_xlfn.XLOOKUP(TableDailySummary[[#This Row],[Fecha]],SummaryDaily[day],SummaryDaily[Corporativo no tienda_orders],0)</f>
        <v>0</v>
      </c>
      <c r="W374" s="11">
        <f>_xlfn.XLOOKUP(TableDailySummary[[#This Row],[Fecha]],SummaryDaily[day],SummaryDaily[Corporativo no tienda_average_order_value],0)</f>
        <v>0</v>
      </c>
      <c r="X374" s="11">
        <f>_xlfn.XLOOKUP(TableDailySummary[[#This Row],[Fecha]],SummaryDaily[day],SummaryDaily[GoogleAdsOperation.Cost],0)</f>
        <v>0</v>
      </c>
      <c r="Y374" s="11">
        <f>SUMIFS(SalesByUTMDaily[google],SalesByUTMDaily[day],TableDailySummary[[#This Row],[Fecha]])</f>
        <v>0</v>
      </c>
      <c r="Z374" s="11">
        <f>_xlfn.XLOOKUP(TableDailySummary[[#This Row],[Fecha]],SummaryDaily[day],SummaryDaily[MetaAdsOperation.spend],0)</f>
        <v>0</v>
      </c>
      <c r="AA374" s="11">
        <f>SUMIFS(SalesByUTMDaily[facebook],SalesByUTMDaily[day],TableDailySummary[[#This Row],[Fecha]])</f>
        <v>0</v>
      </c>
      <c r="AB374" s="11">
        <f>TableDailySummary[[#This Row],[Inversión google ads]]+TableDailySummary[[#This Row],[Inversión meta ads]]</f>
        <v>0</v>
      </c>
      <c r="AC374" s="11">
        <f>TableDailySummary[[#This Row],[Ventas google ads]]+TableDailySummary[[#This Row],[Ventas meta ads]]</f>
        <v>0</v>
      </c>
      <c r="AD374" s="14">
        <f>IFERROR(TableDailySummary[[#This Row],[Ventas publicidad]]/TableDailySummary[[#This Row],[Inversión publicidad]],0)</f>
        <v>0</v>
      </c>
      <c r="AE374" s="14">
        <f>IFERROR(TableDailySummary[[#This Row],[Ventas primer cliente]]/TableDailySummary[[#This Row],[Inversión publicidad]],0)</f>
        <v>0</v>
      </c>
      <c r="AF374" s="14"/>
      <c r="AG374" s="11"/>
      <c r="AM374" s="11">
        <f>_xlfn.XLOOKUP(TableDailySummary[[#This Row],[Fecha]],SummaryDaily[day],SummaryDaily[net_sales_with_cost_recorded],0)</f>
        <v>0</v>
      </c>
      <c r="AN374" s="11">
        <f>_xlfn.XLOOKUP(TableDailySummary[[#This Row],[Fecha]],SummaryDaily[day],SummaryDaily[cost_of_goods_sold],0)</f>
        <v>0</v>
      </c>
      <c r="AO374" s="11">
        <f>_xlfn.XLOOKUP(TableDailySummary[[#This Row],[Fecha]],SummaryDaily[day],SummaryDaily[gross_profit],0)</f>
        <v>0</v>
      </c>
      <c r="AP374" s="18">
        <f>IFERROR(TableDailySummary[[#This Row],[Utilidad bruta]]/TableDailySummary[[#This Row],[Ventas netas con costo registrado]],0)</f>
        <v>0</v>
      </c>
    </row>
    <row r="375" spans="2:42" x14ac:dyDescent="0.2">
      <c r="B375" s="15" cm="1">
        <f t="array" ref="B375">ParamFechaInicioReporte + (ROW(TableDailySummary[#This Row]) - ROW(TableDailySummary[[#Headers],[Dia]]) - 1)</f>
        <v>44902</v>
      </c>
      <c r="C375" s="6">
        <f>TableDailySummary[[#This Row],[Dia]]</f>
        <v>44902</v>
      </c>
      <c r="D375" s="11">
        <f>_xlfn.XLOOKUP(TableDailySummary[[#This Row],[Fecha]],SummaryDaily[day],SummaryDaily[net_sales],0)</f>
        <v>0</v>
      </c>
      <c r="E375" s="11">
        <f>_xlfn.XLOOKUP(TableDailySummary[[#This Row],[Fecha]],SummaryDaily[day],SummaryDaily[orders],0)</f>
        <v>0</v>
      </c>
      <c r="F375" s="11">
        <f>_xlfn.XLOOKUP(TableDailySummary[[#This Row],[Fecha]],SummaryDaily[day],SummaryDaily[average_order_value],0)</f>
        <v>0</v>
      </c>
      <c r="G375" s="24" cm="1">
        <f t="array" ref="G375">_xlfn.XLOOKUP(TableDailySummary[[#This Row],[Fecha]]&amp;"Total site",ConversionRateByReferral[day]&amp;ConversionRateByReferral[referrer_source],ConversionRateByReferral[conversion_rate],0)</f>
        <v>0</v>
      </c>
      <c r="H375" s="11">
        <f>TableDailySummary[[#This Row],[Órden promedio totales]]*TableDailySummary[[#This Row],[CR totales]]</f>
        <v>0</v>
      </c>
      <c r="I375" s="11">
        <f>_xlfn.XLOOKUP(TableDailySummary[[#This Row],[Fecha]],SummaryDaily[day],SummaryDaily[new_net_sales],0)</f>
        <v>0</v>
      </c>
      <c r="J375" s="11">
        <f>_xlfn.XLOOKUP(TableDailySummary[[#This Row],[Fecha]],SummaryDaily[day],SummaryDaily[new_orders],0)</f>
        <v>0</v>
      </c>
      <c r="K375" s="11">
        <f>_xlfn.XLOOKUP(TableDailySummary[[#This Row],[Fecha]],SummaryDaily[day],SummaryDaily[new_average_order_value],0)</f>
        <v>0</v>
      </c>
      <c r="L375" s="11">
        <f>_xlfn.XLOOKUP(TableDailySummary[[#This Row],[Fecha]],SummaryDaily[day],SummaryDaily[Online Store_net_sales],0)</f>
        <v>0</v>
      </c>
      <c r="M375" s="11">
        <f>_xlfn.XLOOKUP(TableDailySummary[[#This Row],[Fecha]],SummaryDaily[day],SummaryDaily[Online Store_orders],0)</f>
        <v>0</v>
      </c>
      <c r="N375" s="11">
        <f>_xlfn.XLOOKUP(TableDailySummary[[#This Row],[Fecha]],SummaryDaily[day],SummaryDaily[Online Store_average_order_value],0)</f>
        <v>0</v>
      </c>
      <c r="O375" s="11">
        <f>_xlfn.XLOOKUP(TableDailySummary[[#This Row],[Fecha]],SummaryDaily[day],SummaryDaily[Tienda 81_net_sales],0)</f>
        <v>0</v>
      </c>
      <c r="P375" s="11">
        <f>_xlfn.XLOOKUP(TableDailySummary[[#This Row],[Fecha]],SummaryDaily[day],SummaryDaily[Tienda 81_orders],0)</f>
        <v>0</v>
      </c>
      <c r="Q375" s="11">
        <f>_xlfn.XLOOKUP(TableDailySummary[[#This Row],[Fecha]],SummaryDaily[day],SummaryDaily[Tienda 81_average_order_value],0)</f>
        <v>0</v>
      </c>
      <c r="R375" s="11">
        <f>_xlfn.XLOOKUP(TableDailySummary[[#This Row],[Fecha]],SummaryDaily[day],SummaryDaily[Rappi_net_sales],0)</f>
        <v>0</v>
      </c>
      <c r="S375" s="11">
        <f>_xlfn.XLOOKUP(TableDailySummary[[#This Row],[Fecha]],SummaryDaily[day],SummaryDaily[Rappi_orders],0)</f>
        <v>0</v>
      </c>
      <c r="T375" s="11">
        <f>_xlfn.XLOOKUP(TableDailySummary[[#This Row],[Fecha]],SummaryDaily[day],SummaryDaily[Rappi_average_order_value],0)</f>
        <v>0</v>
      </c>
      <c r="U375" s="11">
        <f>_xlfn.XLOOKUP(TableDailySummary[[#This Row],[Fecha]],SummaryDaily[day],SummaryDaily[Corporativo no tienda_net_sales],0)</f>
        <v>0</v>
      </c>
      <c r="V375" s="11">
        <f>_xlfn.XLOOKUP(TableDailySummary[[#This Row],[Fecha]],SummaryDaily[day],SummaryDaily[Corporativo no tienda_orders],0)</f>
        <v>0</v>
      </c>
      <c r="W375" s="11">
        <f>_xlfn.XLOOKUP(TableDailySummary[[#This Row],[Fecha]],SummaryDaily[day],SummaryDaily[Corporativo no tienda_average_order_value],0)</f>
        <v>0</v>
      </c>
      <c r="X375" s="11">
        <f>_xlfn.XLOOKUP(TableDailySummary[[#This Row],[Fecha]],SummaryDaily[day],SummaryDaily[GoogleAdsOperation.Cost],0)</f>
        <v>0</v>
      </c>
      <c r="Y375" s="11">
        <f>SUMIFS(SalesByUTMDaily[google],SalesByUTMDaily[day],TableDailySummary[[#This Row],[Fecha]])</f>
        <v>0</v>
      </c>
      <c r="Z375" s="11">
        <f>_xlfn.XLOOKUP(TableDailySummary[[#This Row],[Fecha]],SummaryDaily[day],SummaryDaily[MetaAdsOperation.spend],0)</f>
        <v>0</v>
      </c>
      <c r="AA375" s="11">
        <f>SUMIFS(SalesByUTMDaily[facebook],SalesByUTMDaily[day],TableDailySummary[[#This Row],[Fecha]])</f>
        <v>0</v>
      </c>
      <c r="AB375" s="11">
        <f>TableDailySummary[[#This Row],[Inversión google ads]]+TableDailySummary[[#This Row],[Inversión meta ads]]</f>
        <v>0</v>
      </c>
      <c r="AC375" s="11">
        <f>TableDailySummary[[#This Row],[Ventas google ads]]+TableDailySummary[[#This Row],[Ventas meta ads]]</f>
        <v>0</v>
      </c>
      <c r="AD375" s="14">
        <f>IFERROR(TableDailySummary[[#This Row],[Ventas publicidad]]/TableDailySummary[[#This Row],[Inversión publicidad]],0)</f>
        <v>0</v>
      </c>
      <c r="AE375" s="14">
        <f>IFERROR(TableDailySummary[[#This Row],[Ventas primer cliente]]/TableDailySummary[[#This Row],[Inversión publicidad]],0)</f>
        <v>0</v>
      </c>
      <c r="AF375" s="14"/>
      <c r="AG375" s="11"/>
      <c r="AM375" s="11">
        <f>_xlfn.XLOOKUP(TableDailySummary[[#This Row],[Fecha]],SummaryDaily[day],SummaryDaily[net_sales_with_cost_recorded],0)</f>
        <v>0</v>
      </c>
      <c r="AN375" s="11">
        <f>_xlfn.XLOOKUP(TableDailySummary[[#This Row],[Fecha]],SummaryDaily[day],SummaryDaily[cost_of_goods_sold],0)</f>
        <v>0</v>
      </c>
      <c r="AO375" s="11">
        <f>_xlfn.XLOOKUP(TableDailySummary[[#This Row],[Fecha]],SummaryDaily[day],SummaryDaily[gross_profit],0)</f>
        <v>0</v>
      </c>
      <c r="AP375" s="18">
        <f>IFERROR(TableDailySummary[[#This Row],[Utilidad bruta]]/TableDailySummary[[#This Row],[Ventas netas con costo registrado]],0)</f>
        <v>0</v>
      </c>
    </row>
    <row r="376" spans="2:42" x14ac:dyDescent="0.2">
      <c r="B376" s="15" cm="1">
        <f t="array" ref="B376">ParamFechaInicioReporte + (ROW(TableDailySummary[#This Row]) - ROW(TableDailySummary[[#Headers],[Dia]]) - 1)</f>
        <v>44903</v>
      </c>
      <c r="C376" s="6">
        <f>TableDailySummary[[#This Row],[Dia]]</f>
        <v>44903</v>
      </c>
      <c r="D376" s="11">
        <f>_xlfn.XLOOKUP(TableDailySummary[[#This Row],[Fecha]],SummaryDaily[day],SummaryDaily[net_sales],0)</f>
        <v>0</v>
      </c>
      <c r="E376" s="11">
        <f>_xlfn.XLOOKUP(TableDailySummary[[#This Row],[Fecha]],SummaryDaily[day],SummaryDaily[orders],0)</f>
        <v>0</v>
      </c>
      <c r="F376" s="11">
        <f>_xlfn.XLOOKUP(TableDailySummary[[#This Row],[Fecha]],SummaryDaily[day],SummaryDaily[average_order_value],0)</f>
        <v>0</v>
      </c>
      <c r="G376" s="24" cm="1">
        <f t="array" ref="G376">_xlfn.XLOOKUP(TableDailySummary[[#This Row],[Fecha]]&amp;"Total site",ConversionRateByReferral[day]&amp;ConversionRateByReferral[referrer_source],ConversionRateByReferral[conversion_rate],0)</f>
        <v>0</v>
      </c>
      <c r="H376" s="11">
        <f>TableDailySummary[[#This Row],[Órden promedio totales]]*TableDailySummary[[#This Row],[CR totales]]</f>
        <v>0</v>
      </c>
      <c r="I376" s="11">
        <f>_xlfn.XLOOKUP(TableDailySummary[[#This Row],[Fecha]],SummaryDaily[day],SummaryDaily[new_net_sales],0)</f>
        <v>0</v>
      </c>
      <c r="J376" s="11">
        <f>_xlfn.XLOOKUP(TableDailySummary[[#This Row],[Fecha]],SummaryDaily[day],SummaryDaily[new_orders],0)</f>
        <v>0</v>
      </c>
      <c r="K376" s="11">
        <f>_xlfn.XLOOKUP(TableDailySummary[[#This Row],[Fecha]],SummaryDaily[day],SummaryDaily[new_average_order_value],0)</f>
        <v>0</v>
      </c>
      <c r="L376" s="11">
        <f>_xlfn.XLOOKUP(TableDailySummary[[#This Row],[Fecha]],SummaryDaily[day],SummaryDaily[Online Store_net_sales],0)</f>
        <v>0</v>
      </c>
      <c r="M376" s="11">
        <f>_xlfn.XLOOKUP(TableDailySummary[[#This Row],[Fecha]],SummaryDaily[day],SummaryDaily[Online Store_orders],0)</f>
        <v>0</v>
      </c>
      <c r="N376" s="11">
        <f>_xlfn.XLOOKUP(TableDailySummary[[#This Row],[Fecha]],SummaryDaily[day],SummaryDaily[Online Store_average_order_value],0)</f>
        <v>0</v>
      </c>
      <c r="O376" s="11">
        <f>_xlfn.XLOOKUP(TableDailySummary[[#This Row],[Fecha]],SummaryDaily[day],SummaryDaily[Tienda 81_net_sales],0)</f>
        <v>0</v>
      </c>
      <c r="P376" s="11">
        <f>_xlfn.XLOOKUP(TableDailySummary[[#This Row],[Fecha]],SummaryDaily[day],SummaryDaily[Tienda 81_orders],0)</f>
        <v>0</v>
      </c>
      <c r="Q376" s="11">
        <f>_xlfn.XLOOKUP(TableDailySummary[[#This Row],[Fecha]],SummaryDaily[day],SummaryDaily[Tienda 81_average_order_value],0)</f>
        <v>0</v>
      </c>
      <c r="R376" s="11">
        <f>_xlfn.XLOOKUP(TableDailySummary[[#This Row],[Fecha]],SummaryDaily[day],SummaryDaily[Rappi_net_sales],0)</f>
        <v>0</v>
      </c>
      <c r="S376" s="11">
        <f>_xlfn.XLOOKUP(TableDailySummary[[#This Row],[Fecha]],SummaryDaily[day],SummaryDaily[Rappi_orders],0)</f>
        <v>0</v>
      </c>
      <c r="T376" s="11">
        <f>_xlfn.XLOOKUP(TableDailySummary[[#This Row],[Fecha]],SummaryDaily[day],SummaryDaily[Rappi_average_order_value],0)</f>
        <v>0</v>
      </c>
      <c r="U376" s="11">
        <f>_xlfn.XLOOKUP(TableDailySummary[[#This Row],[Fecha]],SummaryDaily[day],SummaryDaily[Corporativo no tienda_net_sales],0)</f>
        <v>0</v>
      </c>
      <c r="V376" s="11">
        <f>_xlfn.XLOOKUP(TableDailySummary[[#This Row],[Fecha]],SummaryDaily[day],SummaryDaily[Corporativo no tienda_orders],0)</f>
        <v>0</v>
      </c>
      <c r="W376" s="11">
        <f>_xlfn.XLOOKUP(TableDailySummary[[#This Row],[Fecha]],SummaryDaily[day],SummaryDaily[Corporativo no tienda_average_order_value],0)</f>
        <v>0</v>
      </c>
      <c r="X376" s="11">
        <f>_xlfn.XLOOKUP(TableDailySummary[[#This Row],[Fecha]],SummaryDaily[day],SummaryDaily[GoogleAdsOperation.Cost],0)</f>
        <v>0</v>
      </c>
      <c r="Y376" s="11">
        <f>SUMIFS(SalesByUTMDaily[google],SalesByUTMDaily[day],TableDailySummary[[#This Row],[Fecha]])</f>
        <v>0</v>
      </c>
      <c r="Z376" s="11">
        <f>_xlfn.XLOOKUP(TableDailySummary[[#This Row],[Fecha]],SummaryDaily[day],SummaryDaily[MetaAdsOperation.spend],0)</f>
        <v>0</v>
      </c>
      <c r="AA376" s="11">
        <f>SUMIFS(SalesByUTMDaily[facebook],SalesByUTMDaily[day],TableDailySummary[[#This Row],[Fecha]])</f>
        <v>0</v>
      </c>
      <c r="AB376" s="11">
        <f>TableDailySummary[[#This Row],[Inversión google ads]]+TableDailySummary[[#This Row],[Inversión meta ads]]</f>
        <v>0</v>
      </c>
      <c r="AC376" s="11">
        <f>TableDailySummary[[#This Row],[Ventas google ads]]+TableDailySummary[[#This Row],[Ventas meta ads]]</f>
        <v>0</v>
      </c>
      <c r="AD376" s="14">
        <f>IFERROR(TableDailySummary[[#This Row],[Ventas publicidad]]/TableDailySummary[[#This Row],[Inversión publicidad]],0)</f>
        <v>0</v>
      </c>
      <c r="AE376" s="14">
        <f>IFERROR(TableDailySummary[[#This Row],[Ventas primer cliente]]/TableDailySummary[[#This Row],[Inversión publicidad]],0)</f>
        <v>0</v>
      </c>
      <c r="AF376" s="14"/>
      <c r="AG376" s="11"/>
      <c r="AM376" s="11">
        <f>_xlfn.XLOOKUP(TableDailySummary[[#This Row],[Fecha]],SummaryDaily[day],SummaryDaily[net_sales_with_cost_recorded],0)</f>
        <v>0</v>
      </c>
      <c r="AN376" s="11">
        <f>_xlfn.XLOOKUP(TableDailySummary[[#This Row],[Fecha]],SummaryDaily[day],SummaryDaily[cost_of_goods_sold],0)</f>
        <v>0</v>
      </c>
      <c r="AO376" s="11">
        <f>_xlfn.XLOOKUP(TableDailySummary[[#This Row],[Fecha]],SummaryDaily[day],SummaryDaily[gross_profit],0)</f>
        <v>0</v>
      </c>
      <c r="AP376" s="18">
        <f>IFERROR(TableDailySummary[[#This Row],[Utilidad bruta]]/TableDailySummary[[#This Row],[Ventas netas con costo registrado]],0)</f>
        <v>0</v>
      </c>
    </row>
    <row r="377" spans="2:42" x14ac:dyDescent="0.2">
      <c r="B377" s="15" cm="1">
        <f t="array" ref="B377">ParamFechaInicioReporte + (ROW(TableDailySummary[#This Row]) - ROW(TableDailySummary[[#Headers],[Dia]]) - 1)</f>
        <v>44904</v>
      </c>
      <c r="C377" s="6">
        <f>TableDailySummary[[#This Row],[Dia]]</f>
        <v>44904</v>
      </c>
      <c r="D377" s="11">
        <f>_xlfn.XLOOKUP(TableDailySummary[[#This Row],[Fecha]],SummaryDaily[day],SummaryDaily[net_sales],0)</f>
        <v>0</v>
      </c>
      <c r="E377" s="11">
        <f>_xlfn.XLOOKUP(TableDailySummary[[#This Row],[Fecha]],SummaryDaily[day],SummaryDaily[orders],0)</f>
        <v>0</v>
      </c>
      <c r="F377" s="11">
        <f>_xlfn.XLOOKUP(TableDailySummary[[#This Row],[Fecha]],SummaryDaily[day],SummaryDaily[average_order_value],0)</f>
        <v>0</v>
      </c>
      <c r="G377" s="24" cm="1">
        <f t="array" ref="G377">_xlfn.XLOOKUP(TableDailySummary[[#This Row],[Fecha]]&amp;"Total site",ConversionRateByReferral[day]&amp;ConversionRateByReferral[referrer_source],ConversionRateByReferral[conversion_rate],0)</f>
        <v>0</v>
      </c>
      <c r="H377" s="11">
        <f>TableDailySummary[[#This Row],[Órden promedio totales]]*TableDailySummary[[#This Row],[CR totales]]</f>
        <v>0</v>
      </c>
      <c r="I377" s="11">
        <f>_xlfn.XLOOKUP(TableDailySummary[[#This Row],[Fecha]],SummaryDaily[day],SummaryDaily[new_net_sales],0)</f>
        <v>0</v>
      </c>
      <c r="J377" s="11">
        <f>_xlfn.XLOOKUP(TableDailySummary[[#This Row],[Fecha]],SummaryDaily[day],SummaryDaily[new_orders],0)</f>
        <v>0</v>
      </c>
      <c r="K377" s="11">
        <f>_xlfn.XLOOKUP(TableDailySummary[[#This Row],[Fecha]],SummaryDaily[day],SummaryDaily[new_average_order_value],0)</f>
        <v>0</v>
      </c>
      <c r="L377" s="11">
        <f>_xlfn.XLOOKUP(TableDailySummary[[#This Row],[Fecha]],SummaryDaily[day],SummaryDaily[Online Store_net_sales],0)</f>
        <v>0</v>
      </c>
      <c r="M377" s="11">
        <f>_xlfn.XLOOKUP(TableDailySummary[[#This Row],[Fecha]],SummaryDaily[day],SummaryDaily[Online Store_orders],0)</f>
        <v>0</v>
      </c>
      <c r="N377" s="11">
        <f>_xlfn.XLOOKUP(TableDailySummary[[#This Row],[Fecha]],SummaryDaily[day],SummaryDaily[Online Store_average_order_value],0)</f>
        <v>0</v>
      </c>
      <c r="O377" s="11">
        <f>_xlfn.XLOOKUP(TableDailySummary[[#This Row],[Fecha]],SummaryDaily[day],SummaryDaily[Tienda 81_net_sales],0)</f>
        <v>0</v>
      </c>
      <c r="P377" s="11">
        <f>_xlfn.XLOOKUP(TableDailySummary[[#This Row],[Fecha]],SummaryDaily[day],SummaryDaily[Tienda 81_orders],0)</f>
        <v>0</v>
      </c>
      <c r="Q377" s="11">
        <f>_xlfn.XLOOKUP(TableDailySummary[[#This Row],[Fecha]],SummaryDaily[day],SummaryDaily[Tienda 81_average_order_value],0)</f>
        <v>0</v>
      </c>
      <c r="R377" s="11">
        <f>_xlfn.XLOOKUP(TableDailySummary[[#This Row],[Fecha]],SummaryDaily[day],SummaryDaily[Rappi_net_sales],0)</f>
        <v>0</v>
      </c>
      <c r="S377" s="11">
        <f>_xlfn.XLOOKUP(TableDailySummary[[#This Row],[Fecha]],SummaryDaily[day],SummaryDaily[Rappi_orders],0)</f>
        <v>0</v>
      </c>
      <c r="T377" s="11">
        <f>_xlfn.XLOOKUP(TableDailySummary[[#This Row],[Fecha]],SummaryDaily[day],SummaryDaily[Rappi_average_order_value],0)</f>
        <v>0</v>
      </c>
      <c r="U377" s="11">
        <f>_xlfn.XLOOKUP(TableDailySummary[[#This Row],[Fecha]],SummaryDaily[day],SummaryDaily[Corporativo no tienda_net_sales],0)</f>
        <v>0</v>
      </c>
      <c r="V377" s="11">
        <f>_xlfn.XLOOKUP(TableDailySummary[[#This Row],[Fecha]],SummaryDaily[day],SummaryDaily[Corporativo no tienda_orders],0)</f>
        <v>0</v>
      </c>
      <c r="W377" s="11">
        <f>_xlfn.XLOOKUP(TableDailySummary[[#This Row],[Fecha]],SummaryDaily[day],SummaryDaily[Corporativo no tienda_average_order_value],0)</f>
        <v>0</v>
      </c>
      <c r="X377" s="11">
        <f>_xlfn.XLOOKUP(TableDailySummary[[#This Row],[Fecha]],SummaryDaily[day],SummaryDaily[GoogleAdsOperation.Cost],0)</f>
        <v>0</v>
      </c>
      <c r="Y377" s="11">
        <f>SUMIFS(SalesByUTMDaily[google],SalesByUTMDaily[day],TableDailySummary[[#This Row],[Fecha]])</f>
        <v>0</v>
      </c>
      <c r="Z377" s="11">
        <f>_xlfn.XLOOKUP(TableDailySummary[[#This Row],[Fecha]],SummaryDaily[day],SummaryDaily[MetaAdsOperation.spend],0)</f>
        <v>0</v>
      </c>
      <c r="AA377" s="11">
        <f>SUMIFS(SalesByUTMDaily[facebook],SalesByUTMDaily[day],TableDailySummary[[#This Row],[Fecha]])</f>
        <v>0</v>
      </c>
      <c r="AB377" s="11">
        <f>TableDailySummary[[#This Row],[Inversión google ads]]+TableDailySummary[[#This Row],[Inversión meta ads]]</f>
        <v>0</v>
      </c>
      <c r="AC377" s="11">
        <f>TableDailySummary[[#This Row],[Ventas google ads]]+TableDailySummary[[#This Row],[Ventas meta ads]]</f>
        <v>0</v>
      </c>
      <c r="AD377" s="14">
        <f>IFERROR(TableDailySummary[[#This Row],[Ventas publicidad]]/TableDailySummary[[#This Row],[Inversión publicidad]],0)</f>
        <v>0</v>
      </c>
      <c r="AE377" s="14">
        <f>IFERROR(TableDailySummary[[#This Row],[Ventas primer cliente]]/TableDailySummary[[#This Row],[Inversión publicidad]],0)</f>
        <v>0</v>
      </c>
      <c r="AF377" s="14"/>
      <c r="AG377" s="11"/>
      <c r="AM377" s="11">
        <f>_xlfn.XLOOKUP(TableDailySummary[[#This Row],[Fecha]],SummaryDaily[day],SummaryDaily[net_sales_with_cost_recorded],0)</f>
        <v>0</v>
      </c>
      <c r="AN377" s="11">
        <f>_xlfn.XLOOKUP(TableDailySummary[[#This Row],[Fecha]],SummaryDaily[day],SummaryDaily[cost_of_goods_sold],0)</f>
        <v>0</v>
      </c>
      <c r="AO377" s="11">
        <f>_xlfn.XLOOKUP(TableDailySummary[[#This Row],[Fecha]],SummaryDaily[day],SummaryDaily[gross_profit],0)</f>
        <v>0</v>
      </c>
      <c r="AP377" s="18">
        <f>IFERROR(TableDailySummary[[#This Row],[Utilidad bruta]]/TableDailySummary[[#This Row],[Ventas netas con costo registrado]],0)</f>
        <v>0</v>
      </c>
    </row>
    <row r="378" spans="2:42" x14ac:dyDescent="0.2">
      <c r="B378" s="15" cm="1">
        <f t="array" ref="B378">ParamFechaInicioReporte + (ROW(TableDailySummary[#This Row]) - ROW(TableDailySummary[[#Headers],[Dia]]) - 1)</f>
        <v>44905</v>
      </c>
      <c r="C378" s="6">
        <f>TableDailySummary[[#This Row],[Dia]]</f>
        <v>44905</v>
      </c>
      <c r="D378" s="11">
        <f>_xlfn.XLOOKUP(TableDailySummary[[#This Row],[Fecha]],SummaryDaily[day],SummaryDaily[net_sales],0)</f>
        <v>0</v>
      </c>
      <c r="E378" s="11">
        <f>_xlfn.XLOOKUP(TableDailySummary[[#This Row],[Fecha]],SummaryDaily[day],SummaryDaily[orders],0)</f>
        <v>0</v>
      </c>
      <c r="F378" s="11">
        <f>_xlfn.XLOOKUP(TableDailySummary[[#This Row],[Fecha]],SummaryDaily[day],SummaryDaily[average_order_value],0)</f>
        <v>0</v>
      </c>
      <c r="G378" s="24" cm="1">
        <f t="array" ref="G378">_xlfn.XLOOKUP(TableDailySummary[[#This Row],[Fecha]]&amp;"Total site",ConversionRateByReferral[day]&amp;ConversionRateByReferral[referrer_source],ConversionRateByReferral[conversion_rate],0)</f>
        <v>0</v>
      </c>
      <c r="H378" s="11">
        <f>TableDailySummary[[#This Row],[Órden promedio totales]]*TableDailySummary[[#This Row],[CR totales]]</f>
        <v>0</v>
      </c>
      <c r="I378" s="11">
        <f>_xlfn.XLOOKUP(TableDailySummary[[#This Row],[Fecha]],SummaryDaily[day],SummaryDaily[new_net_sales],0)</f>
        <v>0</v>
      </c>
      <c r="J378" s="11">
        <f>_xlfn.XLOOKUP(TableDailySummary[[#This Row],[Fecha]],SummaryDaily[day],SummaryDaily[new_orders],0)</f>
        <v>0</v>
      </c>
      <c r="K378" s="11">
        <f>_xlfn.XLOOKUP(TableDailySummary[[#This Row],[Fecha]],SummaryDaily[day],SummaryDaily[new_average_order_value],0)</f>
        <v>0</v>
      </c>
      <c r="L378" s="11">
        <f>_xlfn.XLOOKUP(TableDailySummary[[#This Row],[Fecha]],SummaryDaily[day],SummaryDaily[Online Store_net_sales],0)</f>
        <v>0</v>
      </c>
      <c r="M378" s="11">
        <f>_xlfn.XLOOKUP(TableDailySummary[[#This Row],[Fecha]],SummaryDaily[day],SummaryDaily[Online Store_orders],0)</f>
        <v>0</v>
      </c>
      <c r="N378" s="11">
        <f>_xlfn.XLOOKUP(TableDailySummary[[#This Row],[Fecha]],SummaryDaily[day],SummaryDaily[Online Store_average_order_value],0)</f>
        <v>0</v>
      </c>
      <c r="O378" s="11">
        <f>_xlfn.XLOOKUP(TableDailySummary[[#This Row],[Fecha]],SummaryDaily[day],SummaryDaily[Tienda 81_net_sales],0)</f>
        <v>0</v>
      </c>
      <c r="P378" s="11">
        <f>_xlfn.XLOOKUP(TableDailySummary[[#This Row],[Fecha]],SummaryDaily[day],SummaryDaily[Tienda 81_orders],0)</f>
        <v>0</v>
      </c>
      <c r="Q378" s="11">
        <f>_xlfn.XLOOKUP(TableDailySummary[[#This Row],[Fecha]],SummaryDaily[day],SummaryDaily[Tienda 81_average_order_value],0)</f>
        <v>0</v>
      </c>
      <c r="R378" s="11">
        <f>_xlfn.XLOOKUP(TableDailySummary[[#This Row],[Fecha]],SummaryDaily[day],SummaryDaily[Rappi_net_sales],0)</f>
        <v>0</v>
      </c>
      <c r="S378" s="11">
        <f>_xlfn.XLOOKUP(TableDailySummary[[#This Row],[Fecha]],SummaryDaily[day],SummaryDaily[Rappi_orders],0)</f>
        <v>0</v>
      </c>
      <c r="T378" s="11">
        <f>_xlfn.XLOOKUP(TableDailySummary[[#This Row],[Fecha]],SummaryDaily[day],SummaryDaily[Rappi_average_order_value],0)</f>
        <v>0</v>
      </c>
      <c r="U378" s="11">
        <f>_xlfn.XLOOKUP(TableDailySummary[[#This Row],[Fecha]],SummaryDaily[day],SummaryDaily[Corporativo no tienda_net_sales],0)</f>
        <v>0</v>
      </c>
      <c r="V378" s="11">
        <f>_xlfn.XLOOKUP(TableDailySummary[[#This Row],[Fecha]],SummaryDaily[day],SummaryDaily[Corporativo no tienda_orders],0)</f>
        <v>0</v>
      </c>
      <c r="W378" s="11">
        <f>_xlfn.XLOOKUP(TableDailySummary[[#This Row],[Fecha]],SummaryDaily[day],SummaryDaily[Corporativo no tienda_average_order_value],0)</f>
        <v>0</v>
      </c>
      <c r="X378" s="11">
        <f>_xlfn.XLOOKUP(TableDailySummary[[#This Row],[Fecha]],SummaryDaily[day],SummaryDaily[GoogleAdsOperation.Cost],0)</f>
        <v>0</v>
      </c>
      <c r="Y378" s="11">
        <f>SUMIFS(SalesByUTMDaily[google],SalesByUTMDaily[day],TableDailySummary[[#This Row],[Fecha]])</f>
        <v>0</v>
      </c>
      <c r="Z378" s="11">
        <f>_xlfn.XLOOKUP(TableDailySummary[[#This Row],[Fecha]],SummaryDaily[day],SummaryDaily[MetaAdsOperation.spend],0)</f>
        <v>0</v>
      </c>
      <c r="AA378" s="11">
        <f>SUMIFS(SalesByUTMDaily[facebook],SalesByUTMDaily[day],TableDailySummary[[#This Row],[Fecha]])</f>
        <v>0</v>
      </c>
      <c r="AB378" s="11">
        <f>TableDailySummary[[#This Row],[Inversión google ads]]+TableDailySummary[[#This Row],[Inversión meta ads]]</f>
        <v>0</v>
      </c>
      <c r="AC378" s="11">
        <f>TableDailySummary[[#This Row],[Ventas google ads]]+TableDailySummary[[#This Row],[Ventas meta ads]]</f>
        <v>0</v>
      </c>
      <c r="AD378" s="14">
        <f>IFERROR(TableDailySummary[[#This Row],[Ventas publicidad]]/TableDailySummary[[#This Row],[Inversión publicidad]],0)</f>
        <v>0</v>
      </c>
      <c r="AE378" s="14">
        <f>IFERROR(TableDailySummary[[#This Row],[Ventas primer cliente]]/TableDailySummary[[#This Row],[Inversión publicidad]],0)</f>
        <v>0</v>
      </c>
      <c r="AF378" s="14"/>
      <c r="AG378" s="11"/>
      <c r="AM378" s="11">
        <f>_xlfn.XLOOKUP(TableDailySummary[[#This Row],[Fecha]],SummaryDaily[day],SummaryDaily[net_sales_with_cost_recorded],0)</f>
        <v>0</v>
      </c>
      <c r="AN378" s="11">
        <f>_xlfn.XLOOKUP(TableDailySummary[[#This Row],[Fecha]],SummaryDaily[day],SummaryDaily[cost_of_goods_sold],0)</f>
        <v>0</v>
      </c>
      <c r="AO378" s="11">
        <f>_xlfn.XLOOKUP(TableDailySummary[[#This Row],[Fecha]],SummaryDaily[day],SummaryDaily[gross_profit],0)</f>
        <v>0</v>
      </c>
      <c r="AP378" s="18">
        <f>IFERROR(TableDailySummary[[#This Row],[Utilidad bruta]]/TableDailySummary[[#This Row],[Ventas netas con costo registrado]],0)</f>
        <v>0</v>
      </c>
    </row>
    <row r="379" spans="2:42" x14ac:dyDescent="0.2">
      <c r="B379" s="15" cm="1">
        <f t="array" ref="B379">ParamFechaInicioReporte + (ROW(TableDailySummary[#This Row]) - ROW(TableDailySummary[[#Headers],[Dia]]) - 1)</f>
        <v>44906</v>
      </c>
      <c r="C379" s="6">
        <f>TableDailySummary[[#This Row],[Dia]]</f>
        <v>44906</v>
      </c>
      <c r="D379" s="11">
        <f>_xlfn.XLOOKUP(TableDailySummary[[#This Row],[Fecha]],SummaryDaily[day],SummaryDaily[net_sales],0)</f>
        <v>0</v>
      </c>
      <c r="E379" s="11">
        <f>_xlfn.XLOOKUP(TableDailySummary[[#This Row],[Fecha]],SummaryDaily[day],SummaryDaily[orders],0)</f>
        <v>0</v>
      </c>
      <c r="F379" s="11">
        <f>_xlfn.XLOOKUP(TableDailySummary[[#This Row],[Fecha]],SummaryDaily[day],SummaryDaily[average_order_value],0)</f>
        <v>0</v>
      </c>
      <c r="G379" s="24" cm="1">
        <f t="array" ref="G379">_xlfn.XLOOKUP(TableDailySummary[[#This Row],[Fecha]]&amp;"Total site",ConversionRateByReferral[day]&amp;ConversionRateByReferral[referrer_source],ConversionRateByReferral[conversion_rate],0)</f>
        <v>0</v>
      </c>
      <c r="H379" s="11">
        <f>TableDailySummary[[#This Row],[Órden promedio totales]]*TableDailySummary[[#This Row],[CR totales]]</f>
        <v>0</v>
      </c>
      <c r="I379" s="11">
        <f>_xlfn.XLOOKUP(TableDailySummary[[#This Row],[Fecha]],SummaryDaily[day],SummaryDaily[new_net_sales],0)</f>
        <v>0</v>
      </c>
      <c r="J379" s="11">
        <f>_xlfn.XLOOKUP(TableDailySummary[[#This Row],[Fecha]],SummaryDaily[day],SummaryDaily[new_orders],0)</f>
        <v>0</v>
      </c>
      <c r="K379" s="11">
        <f>_xlfn.XLOOKUP(TableDailySummary[[#This Row],[Fecha]],SummaryDaily[day],SummaryDaily[new_average_order_value],0)</f>
        <v>0</v>
      </c>
      <c r="L379" s="11">
        <f>_xlfn.XLOOKUP(TableDailySummary[[#This Row],[Fecha]],SummaryDaily[day],SummaryDaily[Online Store_net_sales],0)</f>
        <v>0</v>
      </c>
      <c r="M379" s="11">
        <f>_xlfn.XLOOKUP(TableDailySummary[[#This Row],[Fecha]],SummaryDaily[day],SummaryDaily[Online Store_orders],0)</f>
        <v>0</v>
      </c>
      <c r="N379" s="11">
        <f>_xlfn.XLOOKUP(TableDailySummary[[#This Row],[Fecha]],SummaryDaily[day],SummaryDaily[Online Store_average_order_value],0)</f>
        <v>0</v>
      </c>
      <c r="O379" s="11">
        <f>_xlfn.XLOOKUP(TableDailySummary[[#This Row],[Fecha]],SummaryDaily[day],SummaryDaily[Tienda 81_net_sales],0)</f>
        <v>0</v>
      </c>
      <c r="P379" s="11">
        <f>_xlfn.XLOOKUP(TableDailySummary[[#This Row],[Fecha]],SummaryDaily[day],SummaryDaily[Tienda 81_orders],0)</f>
        <v>0</v>
      </c>
      <c r="Q379" s="11">
        <f>_xlfn.XLOOKUP(TableDailySummary[[#This Row],[Fecha]],SummaryDaily[day],SummaryDaily[Tienda 81_average_order_value],0)</f>
        <v>0</v>
      </c>
      <c r="R379" s="11">
        <f>_xlfn.XLOOKUP(TableDailySummary[[#This Row],[Fecha]],SummaryDaily[day],SummaryDaily[Rappi_net_sales],0)</f>
        <v>0</v>
      </c>
      <c r="S379" s="11">
        <f>_xlfn.XLOOKUP(TableDailySummary[[#This Row],[Fecha]],SummaryDaily[day],SummaryDaily[Rappi_orders],0)</f>
        <v>0</v>
      </c>
      <c r="T379" s="11">
        <f>_xlfn.XLOOKUP(TableDailySummary[[#This Row],[Fecha]],SummaryDaily[day],SummaryDaily[Rappi_average_order_value],0)</f>
        <v>0</v>
      </c>
      <c r="U379" s="11">
        <f>_xlfn.XLOOKUP(TableDailySummary[[#This Row],[Fecha]],SummaryDaily[day],SummaryDaily[Corporativo no tienda_net_sales],0)</f>
        <v>0</v>
      </c>
      <c r="V379" s="11">
        <f>_xlfn.XLOOKUP(TableDailySummary[[#This Row],[Fecha]],SummaryDaily[day],SummaryDaily[Corporativo no tienda_orders],0)</f>
        <v>0</v>
      </c>
      <c r="W379" s="11">
        <f>_xlfn.XLOOKUP(TableDailySummary[[#This Row],[Fecha]],SummaryDaily[day],SummaryDaily[Corporativo no tienda_average_order_value],0)</f>
        <v>0</v>
      </c>
      <c r="X379" s="11">
        <f>_xlfn.XLOOKUP(TableDailySummary[[#This Row],[Fecha]],SummaryDaily[day],SummaryDaily[GoogleAdsOperation.Cost],0)</f>
        <v>0</v>
      </c>
      <c r="Y379" s="11">
        <f>SUMIFS(SalesByUTMDaily[google],SalesByUTMDaily[day],TableDailySummary[[#This Row],[Fecha]])</f>
        <v>0</v>
      </c>
      <c r="Z379" s="11">
        <f>_xlfn.XLOOKUP(TableDailySummary[[#This Row],[Fecha]],SummaryDaily[day],SummaryDaily[MetaAdsOperation.spend],0)</f>
        <v>0</v>
      </c>
      <c r="AA379" s="11">
        <f>SUMIFS(SalesByUTMDaily[facebook],SalesByUTMDaily[day],TableDailySummary[[#This Row],[Fecha]])</f>
        <v>0</v>
      </c>
      <c r="AB379" s="11">
        <f>TableDailySummary[[#This Row],[Inversión google ads]]+TableDailySummary[[#This Row],[Inversión meta ads]]</f>
        <v>0</v>
      </c>
      <c r="AC379" s="11">
        <f>TableDailySummary[[#This Row],[Ventas google ads]]+TableDailySummary[[#This Row],[Ventas meta ads]]</f>
        <v>0</v>
      </c>
      <c r="AD379" s="14">
        <f>IFERROR(TableDailySummary[[#This Row],[Ventas publicidad]]/TableDailySummary[[#This Row],[Inversión publicidad]],0)</f>
        <v>0</v>
      </c>
      <c r="AE379" s="14">
        <f>IFERROR(TableDailySummary[[#This Row],[Ventas primer cliente]]/TableDailySummary[[#This Row],[Inversión publicidad]],0)</f>
        <v>0</v>
      </c>
      <c r="AF379" s="14"/>
      <c r="AG379" s="11"/>
      <c r="AM379" s="11">
        <f>_xlfn.XLOOKUP(TableDailySummary[[#This Row],[Fecha]],SummaryDaily[day],SummaryDaily[net_sales_with_cost_recorded],0)</f>
        <v>0</v>
      </c>
      <c r="AN379" s="11">
        <f>_xlfn.XLOOKUP(TableDailySummary[[#This Row],[Fecha]],SummaryDaily[day],SummaryDaily[cost_of_goods_sold],0)</f>
        <v>0</v>
      </c>
      <c r="AO379" s="11">
        <f>_xlfn.XLOOKUP(TableDailySummary[[#This Row],[Fecha]],SummaryDaily[day],SummaryDaily[gross_profit],0)</f>
        <v>0</v>
      </c>
      <c r="AP379" s="18">
        <f>IFERROR(TableDailySummary[[#This Row],[Utilidad bruta]]/TableDailySummary[[#This Row],[Ventas netas con costo registrado]],0)</f>
        <v>0</v>
      </c>
    </row>
    <row r="380" spans="2:42" x14ac:dyDescent="0.2">
      <c r="B380" s="15" cm="1">
        <f t="array" ref="B380">ParamFechaInicioReporte + (ROW(TableDailySummary[#This Row]) - ROW(TableDailySummary[[#Headers],[Dia]]) - 1)</f>
        <v>44907</v>
      </c>
      <c r="C380" s="6">
        <f>TableDailySummary[[#This Row],[Dia]]</f>
        <v>44907</v>
      </c>
      <c r="D380" s="11">
        <f>_xlfn.XLOOKUP(TableDailySummary[[#This Row],[Fecha]],SummaryDaily[day],SummaryDaily[net_sales],0)</f>
        <v>0</v>
      </c>
      <c r="E380" s="11">
        <f>_xlfn.XLOOKUP(TableDailySummary[[#This Row],[Fecha]],SummaryDaily[day],SummaryDaily[orders],0)</f>
        <v>0</v>
      </c>
      <c r="F380" s="11">
        <f>_xlfn.XLOOKUP(TableDailySummary[[#This Row],[Fecha]],SummaryDaily[day],SummaryDaily[average_order_value],0)</f>
        <v>0</v>
      </c>
      <c r="G380" s="24" cm="1">
        <f t="array" ref="G380">_xlfn.XLOOKUP(TableDailySummary[[#This Row],[Fecha]]&amp;"Total site",ConversionRateByReferral[day]&amp;ConversionRateByReferral[referrer_source],ConversionRateByReferral[conversion_rate],0)</f>
        <v>0</v>
      </c>
      <c r="H380" s="11">
        <f>TableDailySummary[[#This Row],[Órden promedio totales]]*TableDailySummary[[#This Row],[CR totales]]</f>
        <v>0</v>
      </c>
      <c r="I380" s="11">
        <f>_xlfn.XLOOKUP(TableDailySummary[[#This Row],[Fecha]],SummaryDaily[day],SummaryDaily[new_net_sales],0)</f>
        <v>0</v>
      </c>
      <c r="J380" s="11">
        <f>_xlfn.XLOOKUP(TableDailySummary[[#This Row],[Fecha]],SummaryDaily[day],SummaryDaily[new_orders],0)</f>
        <v>0</v>
      </c>
      <c r="K380" s="11">
        <f>_xlfn.XLOOKUP(TableDailySummary[[#This Row],[Fecha]],SummaryDaily[day],SummaryDaily[new_average_order_value],0)</f>
        <v>0</v>
      </c>
      <c r="L380" s="11">
        <f>_xlfn.XLOOKUP(TableDailySummary[[#This Row],[Fecha]],SummaryDaily[day],SummaryDaily[Online Store_net_sales],0)</f>
        <v>0</v>
      </c>
      <c r="M380" s="11">
        <f>_xlfn.XLOOKUP(TableDailySummary[[#This Row],[Fecha]],SummaryDaily[day],SummaryDaily[Online Store_orders],0)</f>
        <v>0</v>
      </c>
      <c r="N380" s="11">
        <f>_xlfn.XLOOKUP(TableDailySummary[[#This Row],[Fecha]],SummaryDaily[day],SummaryDaily[Online Store_average_order_value],0)</f>
        <v>0</v>
      </c>
      <c r="O380" s="11">
        <f>_xlfn.XLOOKUP(TableDailySummary[[#This Row],[Fecha]],SummaryDaily[day],SummaryDaily[Tienda 81_net_sales],0)</f>
        <v>0</v>
      </c>
      <c r="P380" s="11">
        <f>_xlfn.XLOOKUP(TableDailySummary[[#This Row],[Fecha]],SummaryDaily[day],SummaryDaily[Tienda 81_orders],0)</f>
        <v>0</v>
      </c>
      <c r="Q380" s="11">
        <f>_xlfn.XLOOKUP(TableDailySummary[[#This Row],[Fecha]],SummaryDaily[day],SummaryDaily[Tienda 81_average_order_value],0)</f>
        <v>0</v>
      </c>
      <c r="R380" s="11">
        <f>_xlfn.XLOOKUP(TableDailySummary[[#This Row],[Fecha]],SummaryDaily[day],SummaryDaily[Rappi_net_sales],0)</f>
        <v>0</v>
      </c>
      <c r="S380" s="11">
        <f>_xlfn.XLOOKUP(TableDailySummary[[#This Row],[Fecha]],SummaryDaily[day],SummaryDaily[Rappi_orders],0)</f>
        <v>0</v>
      </c>
      <c r="T380" s="11">
        <f>_xlfn.XLOOKUP(TableDailySummary[[#This Row],[Fecha]],SummaryDaily[day],SummaryDaily[Rappi_average_order_value],0)</f>
        <v>0</v>
      </c>
      <c r="U380" s="11">
        <f>_xlfn.XLOOKUP(TableDailySummary[[#This Row],[Fecha]],SummaryDaily[day],SummaryDaily[Corporativo no tienda_net_sales],0)</f>
        <v>0</v>
      </c>
      <c r="V380" s="11">
        <f>_xlfn.XLOOKUP(TableDailySummary[[#This Row],[Fecha]],SummaryDaily[day],SummaryDaily[Corporativo no tienda_orders],0)</f>
        <v>0</v>
      </c>
      <c r="W380" s="11">
        <f>_xlfn.XLOOKUP(TableDailySummary[[#This Row],[Fecha]],SummaryDaily[day],SummaryDaily[Corporativo no tienda_average_order_value],0)</f>
        <v>0</v>
      </c>
      <c r="X380" s="11">
        <f>_xlfn.XLOOKUP(TableDailySummary[[#This Row],[Fecha]],SummaryDaily[day],SummaryDaily[GoogleAdsOperation.Cost],0)</f>
        <v>0</v>
      </c>
      <c r="Y380" s="11">
        <f>SUMIFS(SalesByUTMDaily[google],SalesByUTMDaily[day],TableDailySummary[[#This Row],[Fecha]])</f>
        <v>0</v>
      </c>
      <c r="Z380" s="11">
        <f>_xlfn.XLOOKUP(TableDailySummary[[#This Row],[Fecha]],SummaryDaily[day],SummaryDaily[MetaAdsOperation.spend],0)</f>
        <v>0</v>
      </c>
      <c r="AA380" s="11">
        <f>SUMIFS(SalesByUTMDaily[facebook],SalesByUTMDaily[day],TableDailySummary[[#This Row],[Fecha]])</f>
        <v>0</v>
      </c>
      <c r="AB380" s="11">
        <f>TableDailySummary[[#This Row],[Inversión google ads]]+TableDailySummary[[#This Row],[Inversión meta ads]]</f>
        <v>0</v>
      </c>
      <c r="AC380" s="11">
        <f>TableDailySummary[[#This Row],[Ventas google ads]]+TableDailySummary[[#This Row],[Ventas meta ads]]</f>
        <v>0</v>
      </c>
      <c r="AD380" s="14">
        <f>IFERROR(TableDailySummary[[#This Row],[Ventas publicidad]]/TableDailySummary[[#This Row],[Inversión publicidad]],0)</f>
        <v>0</v>
      </c>
      <c r="AE380" s="14">
        <f>IFERROR(TableDailySummary[[#This Row],[Ventas primer cliente]]/TableDailySummary[[#This Row],[Inversión publicidad]],0)</f>
        <v>0</v>
      </c>
      <c r="AF380" s="14"/>
      <c r="AG380" s="11"/>
      <c r="AM380" s="11">
        <f>_xlfn.XLOOKUP(TableDailySummary[[#This Row],[Fecha]],SummaryDaily[day],SummaryDaily[net_sales_with_cost_recorded],0)</f>
        <v>0</v>
      </c>
      <c r="AN380" s="11">
        <f>_xlfn.XLOOKUP(TableDailySummary[[#This Row],[Fecha]],SummaryDaily[day],SummaryDaily[cost_of_goods_sold],0)</f>
        <v>0</v>
      </c>
      <c r="AO380" s="11">
        <f>_xlfn.XLOOKUP(TableDailySummary[[#This Row],[Fecha]],SummaryDaily[day],SummaryDaily[gross_profit],0)</f>
        <v>0</v>
      </c>
      <c r="AP380" s="18">
        <f>IFERROR(TableDailySummary[[#This Row],[Utilidad bruta]]/TableDailySummary[[#This Row],[Ventas netas con costo registrado]],0)</f>
        <v>0</v>
      </c>
    </row>
    <row r="381" spans="2:42" x14ac:dyDescent="0.2">
      <c r="B381" s="15" cm="1">
        <f t="array" ref="B381">ParamFechaInicioReporte + (ROW(TableDailySummary[#This Row]) - ROW(TableDailySummary[[#Headers],[Dia]]) - 1)</f>
        <v>44908</v>
      </c>
      <c r="C381" s="6">
        <f>TableDailySummary[[#This Row],[Dia]]</f>
        <v>44908</v>
      </c>
      <c r="D381" s="11">
        <f>_xlfn.XLOOKUP(TableDailySummary[[#This Row],[Fecha]],SummaryDaily[day],SummaryDaily[net_sales],0)</f>
        <v>0</v>
      </c>
      <c r="E381" s="11">
        <f>_xlfn.XLOOKUP(TableDailySummary[[#This Row],[Fecha]],SummaryDaily[day],SummaryDaily[orders],0)</f>
        <v>0</v>
      </c>
      <c r="F381" s="11">
        <f>_xlfn.XLOOKUP(TableDailySummary[[#This Row],[Fecha]],SummaryDaily[day],SummaryDaily[average_order_value],0)</f>
        <v>0</v>
      </c>
      <c r="G381" s="24" cm="1">
        <f t="array" ref="G381">_xlfn.XLOOKUP(TableDailySummary[[#This Row],[Fecha]]&amp;"Total site",ConversionRateByReferral[day]&amp;ConversionRateByReferral[referrer_source],ConversionRateByReferral[conversion_rate],0)</f>
        <v>0</v>
      </c>
      <c r="H381" s="11">
        <f>TableDailySummary[[#This Row],[Órden promedio totales]]*TableDailySummary[[#This Row],[CR totales]]</f>
        <v>0</v>
      </c>
      <c r="I381" s="11">
        <f>_xlfn.XLOOKUP(TableDailySummary[[#This Row],[Fecha]],SummaryDaily[day],SummaryDaily[new_net_sales],0)</f>
        <v>0</v>
      </c>
      <c r="J381" s="11">
        <f>_xlfn.XLOOKUP(TableDailySummary[[#This Row],[Fecha]],SummaryDaily[day],SummaryDaily[new_orders],0)</f>
        <v>0</v>
      </c>
      <c r="K381" s="11">
        <f>_xlfn.XLOOKUP(TableDailySummary[[#This Row],[Fecha]],SummaryDaily[day],SummaryDaily[new_average_order_value],0)</f>
        <v>0</v>
      </c>
      <c r="L381" s="11">
        <f>_xlfn.XLOOKUP(TableDailySummary[[#This Row],[Fecha]],SummaryDaily[day],SummaryDaily[Online Store_net_sales],0)</f>
        <v>0</v>
      </c>
      <c r="M381" s="11">
        <f>_xlfn.XLOOKUP(TableDailySummary[[#This Row],[Fecha]],SummaryDaily[day],SummaryDaily[Online Store_orders],0)</f>
        <v>0</v>
      </c>
      <c r="N381" s="11">
        <f>_xlfn.XLOOKUP(TableDailySummary[[#This Row],[Fecha]],SummaryDaily[day],SummaryDaily[Online Store_average_order_value],0)</f>
        <v>0</v>
      </c>
      <c r="O381" s="11">
        <f>_xlfn.XLOOKUP(TableDailySummary[[#This Row],[Fecha]],SummaryDaily[day],SummaryDaily[Tienda 81_net_sales],0)</f>
        <v>0</v>
      </c>
      <c r="P381" s="11">
        <f>_xlfn.XLOOKUP(TableDailySummary[[#This Row],[Fecha]],SummaryDaily[day],SummaryDaily[Tienda 81_orders],0)</f>
        <v>0</v>
      </c>
      <c r="Q381" s="11">
        <f>_xlfn.XLOOKUP(TableDailySummary[[#This Row],[Fecha]],SummaryDaily[day],SummaryDaily[Tienda 81_average_order_value],0)</f>
        <v>0</v>
      </c>
      <c r="R381" s="11">
        <f>_xlfn.XLOOKUP(TableDailySummary[[#This Row],[Fecha]],SummaryDaily[day],SummaryDaily[Rappi_net_sales],0)</f>
        <v>0</v>
      </c>
      <c r="S381" s="11">
        <f>_xlfn.XLOOKUP(TableDailySummary[[#This Row],[Fecha]],SummaryDaily[day],SummaryDaily[Rappi_orders],0)</f>
        <v>0</v>
      </c>
      <c r="T381" s="11">
        <f>_xlfn.XLOOKUP(TableDailySummary[[#This Row],[Fecha]],SummaryDaily[day],SummaryDaily[Rappi_average_order_value],0)</f>
        <v>0</v>
      </c>
      <c r="U381" s="11">
        <f>_xlfn.XLOOKUP(TableDailySummary[[#This Row],[Fecha]],SummaryDaily[day],SummaryDaily[Corporativo no tienda_net_sales],0)</f>
        <v>0</v>
      </c>
      <c r="V381" s="11">
        <f>_xlfn.XLOOKUP(TableDailySummary[[#This Row],[Fecha]],SummaryDaily[day],SummaryDaily[Corporativo no tienda_orders],0)</f>
        <v>0</v>
      </c>
      <c r="W381" s="11">
        <f>_xlfn.XLOOKUP(TableDailySummary[[#This Row],[Fecha]],SummaryDaily[day],SummaryDaily[Corporativo no tienda_average_order_value],0)</f>
        <v>0</v>
      </c>
      <c r="X381" s="11">
        <f>_xlfn.XLOOKUP(TableDailySummary[[#This Row],[Fecha]],SummaryDaily[day],SummaryDaily[GoogleAdsOperation.Cost],0)</f>
        <v>0</v>
      </c>
      <c r="Y381" s="11">
        <f>SUMIFS(SalesByUTMDaily[google],SalesByUTMDaily[day],TableDailySummary[[#This Row],[Fecha]])</f>
        <v>0</v>
      </c>
      <c r="Z381" s="11">
        <f>_xlfn.XLOOKUP(TableDailySummary[[#This Row],[Fecha]],SummaryDaily[day],SummaryDaily[MetaAdsOperation.spend],0)</f>
        <v>0</v>
      </c>
      <c r="AA381" s="11">
        <f>SUMIFS(SalesByUTMDaily[facebook],SalesByUTMDaily[day],TableDailySummary[[#This Row],[Fecha]])</f>
        <v>0</v>
      </c>
      <c r="AB381" s="11">
        <f>TableDailySummary[[#This Row],[Inversión google ads]]+TableDailySummary[[#This Row],[Inversión meta ads]]</f>
        <v>0</v>
      </c>
      <c r="AC381" s="11">
        <f>TableDailySummary[[#This Row],[Ventas google ads]]+TableDailySummary[[#This Row],[Ventas meta ads]]</f>
        <v>0</v>
      </c>
      <c r="AD381" s="14">
        <f>IFERROR(TableDailySummary[[#This Row],[Ventas publicidad]]/TableDailySummary[[#This Row],[Inversión publicidad]],0)</f>
        <v>0</v>
      </c>
      <c r="AE381" s="14">
        <f>IFERROR(TableDailySummary[[#This Row],[Ventas primer cliente]]/TableDailySummary[[#This Row],[Inversión publicidad]],0)</f>
        <v>0</v>
      </c>
      <c r="AF381" s="14"/>
      <c r="AG381" s="11"/>
      <c r="AM381" s="11">
        <f>_xlfn.XLOOKUP(TableDailySummary[[#This Row],[Fecha]],SummaryDaily[day],SummaryDaily[net_sales_with_cost_recorded],0)</f>
        <v>0</v>
      </c>
      <c r="AN381" s="11">
        <f>_xlfn.XLOOKUP(TableDailySummary[[#This Row],[Fecha]],SummaryDaily[day],SummaryDaily[cost_of_goods_sold],0)</f>
        <v>0</v>
      </c>
      <c r="AO381" s="11">
        <f>_xlfn.XLOOKUP(TableDailySummary[[#This Row],[Fecha]],SummaryDaily[day],SummaryDaily[gross_profit],0)</f>
        <v>0</v>
      </c>
      <c r="AP381" s="18">
        <f>IFERROR(TableDailySummary[[#This Row],[Utilidad bruta]]/TableDailySummary[[#This Row],[Ventas netas con costo registrado]],0)</f>
        <v>0</v>
      </c>
    </row>
    <row r="382" spans="2:42" x14ac:dyDescent="0.2">
      <c r="B382" s="15" cm="1">
        <f t="array" ref="B382">ParamFechaInicioReporte + (ROW(TableDailySummary[#This Row]) - ROW(TableDailySummary[[#Headers],[Dia]]) - 1)</f>
        <v>44909</v>
      </c>
      <c r="C382" s="6">
        <f>TableDailySummary[[#This Row],[Dia]]</f>
        <v>44909</v>
      </c>
      <c r="D382" s="11">
        <f>_xlfn.XLOOKUP(TableDailySummary[[#This Row],[Fecha]],SummaryDaily[day],SummaryDaily[net_sales],0)</f>
        <v>0</v>
      </c>
      <c r="E382" s="11">
        <f>_xlfn.XLOOKUP(TableDailySummary[[#This Row],[Fecha]],SummaryDaily[day],SummaryDaily[orders],0)</f>
        <v>0</v>
      </c>
      <c r="F382" s="11">
        <f>_xlfn.XLOOKUP(TableDailySummary[[#This Row],[Fecha]],SummaryDaily[day],SummaryDaily[average_order_value],0)</f>
        <v>0</v>
      </c>
      <c r="G382" s="24" cm="1">
        <f t="array" ref="G382">_xlfn.XLOOKUP(TableDailySummary[[#This Row],[Fecha]]&amp;"Total site",ConversionRateByReferral[day]&amp;ConversionRateByReferral[referrer_source],ConversionRateByReferral[conversion_rate],0)</f>
        <v>0</v>
      </c>
      <c r="H382" s="11">
        <f>TableDailySummary[[#This Row],[Órden promedio totales]]*TableDailySummary[[#This Row],[CR totales]]</f>
        <v>0</v>
      </c>
      <c r="I382" s="11">
        <f>_xlfn.XLOOKUP(TableDailySummary[[#This Row],[Fecha]],SummaryDaily[day],SummaryDaily[new_net_sales],0)</f>
        <v>0</v>
      </c>
      <c r="J382" s="11">
        <f>_xlfn.XLOOKUP(TableDailySummary[[#This Row],[Fecha]],SummaryDaily[day],SummaryDaily[new_orders],0)</f>
        <v>0</v>
      </c>
      <c r="K382" s="11">
        <f>_xlfn.XLOOKUP(TableDailySummary[[#This Row],[Fecha]],SummaryDaily[day],SummaryDaily[new_average_order_value],0)</f>
        <v>0</v>
      </c>
      <c r="L382" s="11">
        <f>_xlfn.XLOOKUP(TableDailySummary[[#This Row],[Fecha]],SummaryDaily[day],SummaryDaily[Online Store_net_sales],0)</f>
        <v>0</v>
      </c>
      <c r="M382" s="11">
        <f>_xlfn.XLOOKUP(TableDailySummary[[#This Row],[Fecha]],SummaryDaily[day],SummaryDaily[Online Store_orders],0)</f>
        <v>0</v>
      </c>
      <c r="N382" s="11">
        <f>_xlfn.XLOOKUP(TableDailySummary[[#This Row],[Fecha]],SummaryDaily[day],SummaryDaily[Online Store_average_order_value],0)</f>
        <v>0</v>
      </c>
      <c r="O382" s="11">
        <f>_xlfn.XLOOKUP(TableDailySummary[[#This Row],[Fecha]],SummaryDaily[day],SummaryDaily[Tienda 81_net_sales],0)</f>
        <v>0</v>
      </c>
      <c r="P382" s="11">
        <f>_xlfn.XLOOKUP(TableDailySummary[[#This Row],[Fecha]],SummaryDaily[day],SummaryDaily[Tienda 81_orders],0)</f>
        <v>0</v>
      </c>
      <c r="Q382" s="11">
        <f>_xlfn.XLOOKUP(TableDailySummary[[#This Row],[Fecha]],SummaryDaily[day],SummaryDaily[Tienda 81_average_order_value],0)</f>
        <v>0</v>
      </c>
      <c r="R382" s="11">
        <f>_xlfn.XLOOKUP(TableDailySummary[[#This Row],[Fecha]],SummaryDaily[day],SummaryDaily[Rappi_net_sales],0)</f>
        <v>0</v>
      </c>
      <c r="S382" s="11">
        <f>_xlfn.XLOOKUP(TableDailySummary[[#This Row],[Fecha]],SummaryDaily[day],SummaryDaily[Rappi_orders],0)</f>
        <v>0</v>
      </c>
      <c r="T382" s="11">
        <f>_xlfn.XLOOKUP(TableDailySummary[[#This Row],[Fecha]],SummaryDaily[day],SummaryDaily[Rappi_average_order_value],0)</f>
        <v>0</v>
      </c>
      <c r="U382" s="11">
        <f>_xlfn.XLOOKUP(TableDailySummary[[#This Row],[Fecha]],SummaryDaily[day],SummaryDaily[Corporativo no tienda_net_sales],0)</f>
        <v>0</v>
      </c>
      <c r="V382" s="11">
        <f>_xlfn.XLOOKUP(TableDailySummary[[#This Row],[Fecha]],SummaryDaily[day],SummaryDaily[Corporativo no tienda_orders],0)</f>
        <v>0</v>
      </c>
      <c r="W382" s="11">
        <f>_xlfn.XLOOKUP(TableDailySummary[[#This Row],[Fecha]],SummaryDaily[day],SummaryDaily[Corporativo no tienda_average_order_value],0)</f>
        <v>0</v>
      </c>
      <c r="X382" s="11">
        <f>_xlfn.XLOOKUP(TableDailySummary[[#This Row],[Fecha]],SummaryDaily[day],SummaryDaily[GoogleAdsOperation.Cost],0)</f>
        <v>0</v>
      </c>
      <c r="Y382" s="11">
        <f>SUMIFS(SalesByUTMDaily[google],SalesByUTMDaily[day],TableDailySummary[[#This Row],[Fecha]])</f>
        <v>0</v>
      </c>
      <c r="Z382" s="11">
        <f>_xlfn.XLOOKUP(TableDailySummary[[#This Row],[Fecha]],SummaryDaily[day],SummaryDaily[MetaAdsOperation.spend],0)</f>
        <v>0</v>
      </c>
      <c r="AA382" s="11">
        <f>SUMIFS(SalesByUTMDaily[facebook],SalesByUTMDaily[day],TableDailySummary[[#This Row],[Fecha]])</f>
        <v>0</v>
      </c>
      <c r="AB382" s="11">
        <f>TableDailySummary[[#This Row],[Inversión google ads]]+TableDailySummary[[#This Row],[Inversión meta ads]]</f>
        <v>0</v>
      </c>
      <c r="AC382" s="11">
        <f>TableDailySummary[[#This Row],[Ventas google ads]]+TableDailySummary[[#This Row],[Ventas meta ads]]</f>
        <v>0</v>
      </c>
      <c r="AD382" s="14">
        <f>IFERROR(TableDailySummary[[#This Row],[Ventas publicidad]]/TableDailySummary[[#This Row],[Inversión publicidad]],0)</f>
        <v>0</v>
      </c>
      <c r="AE382" s="14">
        <f>IFERROR(TableDailySummary[[#This Row],[Ventas primer cliente]]/TableDailySummary[[#This Row],[Inversión publicidad]],0)</f>
        <v>0</v>
      </c>
      <c r="AF382" s="14"/>
      <c r="AG382" s="11"/>
      <c r="AM382" s="11">
        <f>_xlfn.XLOOKUP(TableDailySummary[[#This Row],[Fecha]],SummaryDaily[day],SummaryDaily[net_sales_with_cost_recorded],0)</f>
        <v>0</v>
      </c>
      <c r="AN382" s="11">
        <f>_xlfn.XLOOKUP(TableDailySummary[[#This Row],[Fecha]],SummaryDaily[day],SummaryDaily[cost_of_goods_sold],0)</f>
        <v>0</v>
      </c>
      <c r="AO382" s="11">
        <f>_xlfn.XLOOKUP(TableDailySummary[[#This Row],[Fecha]],SummaryDaily[day],SummaryDaily[gross_profit],0)</f>
        <v>0</v>
      </c>
      <c r="AP382" s="18">
        <f>IFERROR(TableDailySummary[[#This Row],[Utilidad bruta]]/TableDailySummary[[#This Row],[Ventas netas con costo registrado]],0)</f>
        <v>0</v>
      </c>
    </row>
    <row r="383" spans="2:42" x14ac:dyDescent="0.2">
      <c r="B383" s="15" cm="1">
        <f t="array" ref="B383">ParamFechaInicioReporte + (ROW(TableDailySummary[#This Row]) - ROW(TableDailySummary[[#Headers],[Dia]]) - 1)</f>
        <v>44910</v>
      </c>
      <c r="C383" s="6">
        <f>TableDailySummary[[#This Row],[Dia]]</f>
        <v>44910</v>
      </c>
      <c r="D383" s="11">
        <f>_xlfn.XLOOKUP(TableDailySummary[[#This Row],[Fecha]],SummaryDaily[day],SummaryDaily[net_sales],0)</f>
        <v>0</v>
      </c>
      <c r="E383" s="11">
        <f>_xlfn.XLOOKUP(TableDailySummary[[#This Row],[Fecha]],SummaryDaily[day],SummaryDaily[orders],0)</f>
        <v>0</v>
      </c>
      <c r="F383" s="11">
        <f>_xlfn.XLOOKUP(TableDailySummary[[#This Row],[Fecha]],SummaryDaily[day],SummaryDaily[average_order_value],0)</f>
        <v>0</v>
      </c>
      <c r="G383" s="24" cm="1">
        <f t="array" ref="G383">_xlfn.XLOOKUP(TableDailySummary[[#This Row],[Fecha]]&amp;"Total site",ConversionRateByReferral[day]&amp;ConversionRateByReferral[referrer_source],ConversionRateByReferral[conversion_rate],0)</f>
        <v>0</v>
      </c>
      <c r="H383" s="11">
        <f>TableDailySummary[[#This Row],[Órden promedio totales]]*TableDailySummary[[#This Row],[CR totales]]</f>
        <v>0</v>
      </c>
      <c r="I383" s="11">
        <f>_xlfn.XLOOKUP(TableDailySummary[[#This Row],[Fecha]],SummaryDaily[day],SummaryDaily[new_net_sales],0)</f>
        <v>0</v>
      </c>
      <c r="J383" s="11">
        <f>_xlfn.XLOOKUP(TableDailySummary[[#This Row],[Fecha]],SummaryDaily[day],SummaryDaily[new_orders],0)</f>
        <v>0</v>
      </c>
      <c r="K383" s="11">
        <f>_xlfn.XLOOKUP(TableDailySummary[[#This Row],[Fecha]],SummaryDaily[day],SummaryDaily[new_average_order_value],0)</f>
        <v>0</v>
      </c>
      <c r="L383" s="11">
        <f>_xlfn.XLOOKUP(TableDailySummary[[#This Row],[Fecha]],SummaryDaily[day],SummaryDaily[Online Store_net_sales],0)</f>
        <v>0</v>
      </c>
      <c r="M383" s="11">
        <f>_xlfn.XLOOKUP(TableDailySummary[[#This Row],[Fecha]],SummaryDaily[day],SummaryDaily[Online Store_orders],0)</f>
        <v>0</v>
      </c>
      <c r="N383" s="11">
        <f>_xlfn.XLOOKUP(TableDailySummary[[#This Row],[Fecha]],SummaryDaily[day],SummaryDaily[Online Store_average_order_value],0)</f>
        <v>0</v>
      </c>
      <c r="O383" s="11">
        <f>_xlfn.XLOOKUP(TableDailySummary[[#This Row],[Fecha]],SummaryDaily[day],SummaryDaily[Tienda 81_net_sales],0)</f>
        <v>0</v>
      </c>
      <c r="P383" s="11">
        <f>_xlfn.XLOOKUP(TableDailySummary[[#This Row],[Fecha]],SummaryDaily[day],SummaryDaily[Tienda 81_orders],0)</f>
        <v>0</v>
      </c>
      <c r="Q383" s="11">
        <f>_xlfn.XLOOKUP(TableDailySummary[[#This Row],[Fecha]],SummaryDaily[day],SummaryDaily[Tienda 81_average_order_value],0)</f>
        <v>0</v>
      </c>
      <c r="R383" s="11">
        <f>_xlfn.XLOOKUP(TableDailySummary[[#This Row],[Fecha]],SummaryDaily[day],SummaryDaily[Rappi_net_sales],0)</f>
        <v>0</v>
      </c>
      <c r="S383" s="11">
        <f>_xlfn.XLOOKUP(TableDailySummary[[#This Row],[Fecha]],SummaryDaily[day],SummaryDaily[Rappi_orders],0)</f>
        <v>0</v>
      </c>
      <c r="T383" s="11">
        <f>_xlfn.XLOOKUP(TableDailySummary[[#This Row],[Fecha]],SummaryDaily[day],SummaryDaily[Rappi_average_order_value],0)</f>
        <v>0</v>
      </c>
      <c r="U383" s="11">
        <f>_xlfn.XLOOKUP(TableDailySummary[[#This Row],[Fecha]],SummaryDaily[day],SummaryDaily[Corporativo no tienda_net_sales],0)</f>
        <v>0</v>
      </c>
      <c r="V383" s="11">
        <f>_xlfn.XLOOKUP(TableDailySummary[[#This Row],[Fecha]],SummaryDaily[day],SummaryDaily[Corporativo no tienda_orders],0)</f>
        <v>0</v>
      </c>
      <c r="W383" s="11">
        <f>_xlfn.XLOOKUP(TableDailySummary[[#This Row],[Fecha]],SummaryDaily[day],SummaryDaily[Corporativo no tienda_average_order_value],0)</f>
        <v>0</v>
      </c>
      <c r="X383" s="11">
        <f>_xlfn.XLOOKUP(TableDailySummary[[#This Row],[Fecha]],SummaryDaily[day],SummaryDaily[GoogleAdsOperation.Cost],0)</f>
        <v>0</v>
      </c>
      <c r="Y383" s="11">
        <f>SUMIFS(SalesByUTMDaily[google],SalesByUTMDaily[day],TableDailySummary[[#This Row],[Fecha]])</f>
        <v>0</v>
      </c>
      <c r="Z383" s="11">
        <f>_xlfn.XLOOKUP(TableDailySummary[[#This Row],[Fecha]],SummaryDaily[day],SummaryDaily[MetaAdsOperation.spend],0)</f>
        <v>0</v>
      </c>
      <c r="AA383" s="11">
        <f>SUMIFS(SalesByUTMDaily[facebook],SalesByUTMDaily[day],TableDailySummary[[#This Row],[Fecha]])</f>
        <v>0</v>
      </c>
      <c r="AB383" s="11">
        <f>TableDailySummary[[#This Row],[Inversión google ads]]+TableDailySummary[[#This Row],[Inversión meta ads]]</f>
        <v>0</v>
      </c>
      <c r="AC383" s="11">
        <f>TableDailySummary[[#This Row],[Ventas google ads]]+TableDailySummary[[#This Row],[Ventas meta ads]]</f>
        <v>0</v>
      </c>
      <c r="AD383" s="14">
        <f>IFERROR(TableDailySummary[[#This Row],[Ventas publicidad]]/TableDailySummary[[#This Row],[Inversión publicidad]],0)</f>
        <v>0</v>
      </c>
      <c r="AE383" s="14">
        <f>IFERROR(TableDailySummary[[#This Row],[Ventas primer cliente]]/TableDailySummary[[#This Row],[Inversión publicidad]],0)</f>
        <v>0</v>
      </c>
      <c r="AF383" s="14"/>
      <c r="AG383" s="11"/>
      <c r="AM383" s="11">
        <f>_xlfn.XLOOKUP(TableDailySummary[[#This Row],[Fecha]],SummaryDaily[day],SummaryDaily[net_sales_with_cost_recorded],0)</f>
        <v>0</v>
      </c>
      <c r="AN383" s="11">
        <f>_xlfn.XLOOKUP(TableDailySummary[[#This Row],[Fecha]],SummaryDaily[day],SummaryDaily[cost_of_goods_sold],0)</f>
        <v>0</v>
      </c>
      <c r="AO383" s="11">
        <f>_xlfn.XLOOKUP(TableDailySummary[[#This Row],[Fecha]],SummaryDaily[day],SummaryDaily[gross_profit],0)</f>
        <v>0</v>
      </c>
      <c r="AP383" s="18">
        <f>IFERROR(TableDailySummary[[#This Row],[Utilidad bruta]]/TableDailySummary[[#This Row],[Ventas netas con costo registrado]],0)</f>
        <v>0</v>
      </c>
    </row>
    <row r="384" spans="2:42" x14ac:dyDescent="0.2">
      <c r="B384" s="15" cm="1">
        <f t="array" ref="B384">ParamFechaInicioReporte + (ROW(TableDailySummary[#This Row]) - ROW(TableDailySummary[[#Headers],[Dia]]) - 1)</f>
        <v>44911</v>
      </c>
      <c r="C384" s="6">
        <f>TableDailySummary[[#This Row],[Dia]]</f>
        <v>44911</v>
      </c>
      <c r="D384" s="11">
        <f>_xlfn.XLOOKUP(TableDailySummary[[#This Row],[Fecha]],SummaryDaily[day],SummaryDaily[net_sales],0)</f>
        <v>0</v>
      </c>
      <c r="E384" s="11">
        <f>_xlfn.XLOOKUP(TableDailySummary[[#This Row],[Fecha]],SummaryDaily[day],SummaryDaily[orders],0)</f>
        <v>0</v>
      </c>
      <c r="F384" s="11">
        <f>_xlfn.XLOOKUP(TableDailySummary[[#This Row],[Fecha]],SummaryDaily[day],SummaryDaily[average_order_value],0)</f>
        <v>0</v>
      </c>
      <c r="G384" s="24" cm="1">
        <f t="array" ref="G384">_xlfn.XLOOKUP(TableDailySummary[[#This Row],[Fecha]]&amp;"Total site",ConversionRateByReferral[day]&amp;ConversionRateByReferral[referrer_source],ConversionRateByReferral[conversion_rate],0)</f>
        <v>0</v>
      </c>
      <c r="H384" s="11">
        <f>TableDailySummary[[#This Row],[Órden promedio totales]]*TableDailySummary[[#This Row],[CR totales]]</f>
        <v>0</v>
      </c>
      <c r="I384" s="11">
        <f>_xlfn.XLOOKUP(TableDailySummary[[#This Row],[Fecha]],SummaryDaily[day],SummaryDaily[new_net_sales],0)</f>
        <v>0</v>
      </c>
      <c r="J384" s="11">
        <f>_xlfn.XLOOKUP(TableDailySummary[[#This Row],[Fecha]],SummaryDaily[day],SummaryDaily[new_orders],0)</f>
        <v>0</v>
      </c>
      <c r="K384" s="11">
        <f>_xlfn.XLOOKUP(TableDailySummary[[#This Row],[Fecha]],SummaryDaily[day],SummaryDaily[new_average_order_value],0)</f>
        <v>0</v>
      </c>
      <c r="L384" s="11">
        <f>_xlfn.XLOOKUP(TableDailySummary[[#This Row],[Fecha]],SummaryDaily[day],SummaryDaily[Online Store_net_sales],0)</f>
        <v>0</v>
      </c>
      <c r="M384" s="11">
        <f>_xlfn.XLOOKUP(TableDailySummary[[#This Row],[Fecha]],SummaryDaily[day],SummaryDaily[Online Store_orders],0)</f>
        <v>0</v>
      </c>
      <c r="N384" s="11">
        <f>_xlfn.XLOOKUP(TableDailySummary[[#This Row],[Fecha]],SummaryDaily[day],SummaryDaily[Online Store_average_order_value],0)</f>
        <v>0</v>
      </c>
      <c r="O384" s="11">
        <f>_xlfn.XLOOKUP(TableDailySummary[[#This Row],[Fecha]],SummaryDaily[day],SummaryDaily[Tienda 81_net_sales],0)</f>
        <v>0</v>
      </c>
      <c r="P384" s="11">
        <f>_xlfn.XLOOKUP(TableDailySummary[[#This Row],[Fecha]],SummaryDaily[day],SummaryDaily[Tienda 81_orders],0)</f>
        <v>0</v>
      </c>
      <c r="Q384" s="11">
        <f>_xlfn.XLOOKUP(TableDailySummary[[#This Row],[Fecha]],SummaryDaily[day],SummaryDaily[Tienda 81_average_order_value],0)</f>
        <v>0</v>
      </c>
      <c r="R384" s="11">
        <f>_xlfn.XLOOKUP(TableDailySummary[[#This Row],[Fecha]],SummaryDaily[day],SummaryDaily[Rappi_net_sales],0)</f>
        <v>0</v>
      </c>
      <c r="S384" s="11">
        <f>_xlfn.XLOOKUP(TableDailySummary[[#This Row],[Fecha]],SummaryDaily[day],SummaryDaily[Rappi_orders],0)</f>
        <v>0</v>
      </c>
      <c r="T384" s="11">
        <f>_xlfn.XLOOKUP(TableDailySummary[[#This Row],[Fecha]],SummaryDaily[day],SummaryDaily[Rappi_average_order_value],0)</f>
        <v>0</v>
      </c>
      <c r="U384" s="11">
        <f>_xlfn.XLOOKUP(TableDailySummary[[#This Row],[Fecha]],SummaryDaily[day],SummaryDaily[Corporativo no tienda_net_sales],0)</f>
        <v>0</v>
      </c>
      <c r="V384" s="11">
        <f>_xlfn.XLOOKUP(TableDailySummary[[#This Row],[Fecha]],SummaryDaily[day],SummaryDaily[Corporativo no tienda_orders],0)</f>
        <v>0</v>
      </c>
      <c r="W384" s="11">
        <f>_xlfn.XLOOKUP(TableDailySummary[[#This Row],[Fecha]],SummaryDaily[day],SummaryDaily[Corporativo no tienda_average_order_value],0)</f>
        <v>0</v>
      </c>
      <c r="X384" s="11">
        <f>_xlfn.XLOOKUP(TableDailySummary[[#This Row],[Fecha]],SummaryDaily[day],SummaryDaily[GoogleAdsOperation.Cost],0)</f>
        <v>0</v>
      </c>
      <c r="Y384" s="11">
        <f>SUMIFS(SalesByUTMDaily[google],SalesByUTMDaily[day],TableDailySummary[[#This Row],[Fecha]])</f>
        <v>0</v>
      </c>
      <c r="Z384" s="11">
        <f>_xlfn.XLOOKUP(TableDailySummary[[#This Row],[Fecha]],SummaryDaily[day],SummaryDaily[MetaAdsOperation.spend],0)</f>
        <v>0</v>
      </c>
      <c r="AA384" s="11">
        <f>SUMIFS(SalesByUTMDaily[facebook],SalesByUTMDaily[day],TableDailySummary[[#This Row],[Fecha]])</f>
        <v>0</v>
      </c>
      <c r="AB384" s="11">
        <f>TableDailySummary[[#This Row],[Inversión google ads]]+TableDailySummary[[#This Row],[Inversión meta ads]]</f>
        <v>0</v>
      </c>
      <c r="AC384" s="11">
        <f>TableDailySummary[[#This Row],[Ventas google ads]]+TableDailySummary[[#This Row],[Ventas meta ads]]</f>
        <v>0</v>
      </c>
      <c r="AD384" s="14">
        <f>IFERROR(TableDailySummary[[#This Row],[Ventas publicidad]]/TableDailySummary[[#This Row],[Inversión publicidad]],0)</f>
        <v>0</v>
      </c>
      <c r="AE384" s="14">
        <f>IFERROR(TableDailySummary[[#This Row],[Ventas primer cliente]]/TableDailySummary[[#This Row],[Inversión publicidad]],0)</f>
        <v>0</v>
      </c>
      <c r="AF384" s="14"/>
      <c r="AG384" s="11"/>
      <c r="AM384" s="11">
        <f>_xlfn.XLOOKUP(TableDailySummary[[#This Row],[Fecha]],SummaryDaily[day],SummaryDaily[net_sales_with_cost_recorded],0)</f>
        <v>0</v>
      </c>
      <c r="AN384" s="11">
        <f>_xlfn.XLOOKUP(TableDailySummary[[#This Row],[Fecha]],SummaryDaily[day],SummaryDaily[cost_of_goods_sold],0)</f>
        <v>0</v>
      </c>
      <c r="AO384" s="11">
        <f>_xlfn.XLOOKUP(TableDailySummary[[#This Row],[Fecha]],SummaryDaily[day],SummaryDaily[gross_profit],0)</f>
        <v>0</v>
      </c>
      <c r="AP384" s="18">
        <f>IFERROR(TableDailySummary[[#This Row],[Utilidad bruta]]/TableDailySummary[[#This Row],[Ventas netas con costo registrado]],0)</f>
        <v>0</v>
      </c>
    </row>
    <row r="385" spans="2:42" x14ac:dyDescent="0.2">
      <c r="B385" s="15" cm="1">
        <f t="array" ref="B385">ParamFechaInicioReporte + (ROW(TableDailySummary[#This Row]) - ROW(TableDailySummary[[#Headers],[Dia]]) - 1)</f>
        <v>44912</v>
      </c>
      <c r="C385" s="6">
        <f>TableDailySummary[[#This Row],[Dia]]</f>
        <v>44912</v>
      </c>
      <c r="D385" s="11">
        <f>_xlfn.XLOOKUP(TableDailySummary[[#This Row],[Fecha]],SummaryDaily[day],SummaryDaily[net_sales],0)</f>
        <v>0</v>
      </c>
      <c r="E385" s="11">
        <f>_xlfn.XLOOKUP(TableDailySummary[[#This Row],[Fecha]],SummaryDaily[day],SummaryDaily[orders],0)</f>
        <v>0</v>
      </c>
      <c r="F385" s="11">
        <f>_xlfn.XLOOKUP(TableDailySummary[[#This Row],[Fecha]],SummaryDaily[day],SummaryDaily[average_order_value],0)</f>
        <v>0</v>
      </c>
      <c r="G385" s="24" cm="1">
        <f t="array" ref="G385">_xlfn.XLOOKUP(TableDailySummary[[#This Row],[Fecha]]&amp;"Total site",ConversionRateByReferral[day]&amp;ConversionRateByReferral[referrer_source],ConversionRateByReferral[conversion_rate],0)</f>
        <v>0</v>
      </c>
      <c r="H385" s="11">
        <f>TableDailySummary[[#This Row],[Órden promedio totales]]*TableDailySummary[[#This Row],[CR totales]]</f>
        <v>0</v>
      </c>
      <c r="I385" s="11">
        <f>_xlfn.XLOOKUP(TableDailySummary[[#This Row],[Fecha]],SummaryDaily[day],SummaryDaily[new_net_sales],0)</f>
        <v>0</v>
      </c>
      <c r="J385" s="11">
        <f>_xlfn.XLOOKUP(TableDailySummary[[#This Row],[Fecha]],SummaryDaily[day],SummaryDaily[new_orders],0)</f>
        <v>0</v>
      </c>
      <c r="K385" s="11">
        <f>_xlfn.XLOOKUP(TableDailySummary[[#This Row],[Fecha]],SummaryDaily[day],SummaryDaily[new_average_order_value],0)</f>
        <v>0</v>
      </c>
      <c r="L385" s="11">
        <f>_xlfn.XLOOKUP(TableDailySummary[[#This Row],[Fecha]],SummaryDaily[day],SummaryDaily[Online Store_net_sales],0)</f>
        <v>0</v>
      </c>
      <c r="M385" s="11">
        <f>_xlfn.XLOOKUP(TableDailySummary[[#This Row],[Fecha]],SummaryDaily[day],SummaryDaily[Online Store_orders],0)</f>
        <v>0</v>
      </c>
      <c r="N385" s="11">
        <f>_xlfn.XLOOKUP(TableDailySummary[[#This Row],[Fecha]],SummaryDaily[day],SummaryDaily[Online Store_average_order_value],0)</f>
        <v>0</v>
      </c>
      <c r="O385" s="11">
        <f>_xlfn.XLOOKUP(TableDailySummary[[#This Row],[Fecha]],SummaryDaily[day],SummaryDaily[Tienda 81_net_sales],0)</f>
        <v>0</v>
      </c>
      <c r="P385" s="11">
        <f>_xlfn.XLOOKUP(TableDailySummary[[#This Row],[Fecha]],SummaryDaily[day],SummaryDaily[Tienda 81_orders],0)</f>
        <v>0</v>
      </c>
      <c r="Q385" s="11">
        <f>_xlfn.XLOOKUP(TableDailySummary[[#This Row],[Fecha]],SummaryDaily[day],SummaryDaily[Tienda 81_average_order_value],0)</f>
        <v>0</v>
      </c>
      <c r="R385" s="11">
        <f>_xlfn.XLOOKUP(TableDailySummary[[#This Row],[Fecha]],SummaryDaily[day],SummaryDaily[Rappi_net_sales],0)</f>
        <v>0</v>
      </c>
      <c r="S385" s="11">
        <f>_xlfn.XLOOKUP(TableDailySummary[[#This Row],[Fecha]],SummaryDaily[day],SummaryDaily[Rappi_orders],0)</f>
        <v>0</v>
      </c>
      <c r="T385" s="11">
        <f>_xlfn.XLOOKUP(TableDailySummary[[#This Row],[Fecha]],SummaryDaily[day],SummaryDaily[Rappi_average_order_value],0)</f>
        <v>0</v>
      </c>
      <c r="U385" s="11">
        <f>_xlfn.XLOOKUP(TableDailySummary[[#This Row],[Fecha]],SummaryDaily[day],SummaryDaily[Corporativo no tienda_net_sales],0)</f>
        <v>0</v>
      </c>
      <c r="V385" s="11">
        <f>_xlfn.XLOOKUP(TableDailySummary[[#This Row],[Fecha]],SummaryDaily[day],SummaryDaily[Corporativo no tienda_orders],0)</f>
        <v>0</v>
      </c>
      <c r="W385" s="11">
        <f>_xlfn.XLOOKUP(TableDailySummary[[#This Row],[Fecha]],SummaryDaily[day],SummaryDaily[Corporativo no tienda_average_order_value],0)</f>
        <v>0</v>
      </c>
      <c r="X385" s="11">
        <f>_xlfn.XLOOKUP(TableDailySummary[[#This Row],[Fecha]],SummaryDaily[day],SummaryDaily[GoogleAdsOperation.Cost],0)</f>
        <v>0</v>
      </c>
      <c r="Y385" s="11">
        <f>SUMIFS(SalesByUTMDaily[google],SalesByUTMDaily[day],TableDailySummary[[#This Row],[Fecha]])</f>
        <v>0</v>
      </c>
      <c r="Z385" s="11">
        <f>_xlfn.XLOOKUP(TableDailySummary[[#This Row],[Fecha]],SummaryDaily[day],SummaryDaily[MetaAdsOperation.spend],0)</f>
        <v>0</v>
      </c>
      <c r="AA385" s="11">
        <f>SUMIFS(SalesByUTMDaily[facebook],SalesByUTMDaily[day],TableDailySummary[[#This Row],[Fecha]])</f>
        <v>0</v>
      </c>
      <c r="AB385" s="11">
        <f>TableDailySummary[[#This Row],[Inversión google ads]]+TableDailySummary[[#This Row],[Inversión meta ads]]</f>
        <v>0</v>
      </c>
      <c r="AC385" s="11">
        <f>TableDailySummary[[#This Row],[Ventas google ads]]+TableDailySummary[[#This Row],[Ventas meta ads]]</f>
        <v>0</v>
      </c>
      <c r="AD385" s="14">
        <f>IFERROR(TableDailySummary[[#This Row],[Ventas publicidad]]/TableDailySummary[[#This Row],[Inversión publicidad]],0)</f>
        <v>0</v>
      </c>
      <c r="AE385" s="14">
        <f>IFERROR(TableDailySummary[[#This Row],[Ventas primer cliente]]/TableDailySummary[[#This Row],[Inversión publicidad]],0)</f>
        <v>0</v>
      </c>
      <c r="AF385" s="14"/>
      <c r="AG385" s="11"/>
      <c r="AM385" s="11">
        <f>_xlfn.XLOOKUP(TableDailySummary[[#This Row],[Fecha]],SummaryDaily[day],SummaryDaily[net_sales_with_cost_recorded],0)</f>
        <v>0</v>
      </c>
      <c r="AN385" s="11">
        <f>_xlfn.XLOOKUP(TableDailySummary[[#This Row],[Fecha]],SummaryDaily[day],SummaryDaily[cost_of_goods_sold],0)</f>
        <v>0</v>
      </c>
      <c r="AO385" s="11">
        <f>_xlfn.XLOOKUP(TableDailySummary[[#This Row],[Fecha]],SummaryDaily[day],SummaryDaily[gross_profit],0)</f>
        <v>0</v>
      </c>
      <c r="AP385" s="18">
        <f>IFERROR(TableDailySummary[[#This Row],[Utilidad bruta]]/TableDailySummary[[#This Row],[Ventas netas con costo registrado]],0)</f>
        <v>0</v>
      </c>
    </row>
    <row r="386" spans="2:42" x14ac:dyDescent="0.2">
      <c r="B386" s="15" cm="1">
        <f t="array" ref="B386">ParamFechaInicioReporte + (ROW(TableDailySummary[#This Row]) - ROW(TableDailySummary[[#Headers],[Dia]]) - 1)</f>
        <v>44913</v>
      </c>
      <c r="C386" s="6">
        <f>TableDailySummary[[#This Row],[Dia]]</f>
        <v>44913</v>
      </c>
      <c r="D386" s="11">
        <f>_xlfn.XLOOKUP(TableDailySummary[[#This Row],[Fecha]],SummaryDaily[day],SummaryDaily[net_sales],0)</f>
        <v>0</v>
      </c>
      <c r="E386" s="11">
        <f>_xlfn.XLOOKUP(TableDailySummary[[#This Row],[Fecha]],SummaryDaily[day],SummaryDaily[orders],0)</f>
        <v>0</v>
      </c>
      <c r="F386" s="11">
        <f>_xlfn.XLOOKUP(TableDailySummary[[#This Row],[Fecha]],SummaryDaily[day],SummaryDaily[average_order_value],0)</f>
        <v>0</v>
      </c>
      <c r="G386" s="24" cm="1">
        <f t="array" ref="G386">_xlfn.XLOOKUP(TableDailySummary[[#This Row],[Fecha]]&amp;"Total site",ConversionRateByReferral[day]&amp;ConversionRateByReferral[referrer_source],ConversionRateByReferral[conversion_rate],0)</f>
        <v>0</v>
      </c>
      <c r="H386" s="11">
        <f>TableDailySummary[[#This Row],[Órden promedio totales]]*TableDailySummary[[#This Row],[CR totales]]</f>
        <v>0</v>
      </c>
      <c r="I386" s="11">
        <f>_xlfn.XLOOKUP(TableDailySummary[[#This Row],[Fecha]],SummaryDaily[day],SummaryDaily[new_net_sales],0)</f>
        <v>0</v>
      </c>
      <c r="J386" s="11">
        <f>_xlfn.XLOOKUP(TableDailySummary[[#This Row],[Fecha]],SummaryDaily[day],SummaryDaily[new_orders],0)</f>
        <v>0</v>
      </c>
      <c r="K386" s="11">
        <f>_xlfn.XLOOKUP(TableDailySummary[[#This Row],[Fecha]],SummaryDaily[day],SummaryDaily[new_average_order_value],0)</f>
        <v>0</v>
      </c>
      <c r="L386" s="11">
        <f>_xlfn.XLOOKUP(TableDailySummary[[#This Row],[Fecha]],SummaryDaily[day],SummaryDaily[Online Store_net_sales],0)</f>
        <v>0</v>
      </c>
      <c r="M386" s="11">
        <f>_xlfn.XLOOKUP(TableDailySummary[[#This Row],[Fecha]],SummaryDaily[day],SummaryDaily[Online Store_orders],0)</f>
        <v>0</v>
      </c>
      <c r="N386" s="11">
        <f>_xlfn.XLOOKUP(TableDailySummary[[#This Row],[Fecha]],SummaryDaily[day],SummaryDaily[Online Store_average_order_value],0)</f>
        <v>0</v>
      </c>
      <c r="O386" s="11">
        <f>_xlfn.XLOOKUP(TableDailySummary[[#This Row],[Fecha]],SummaryDaily[day],SummaryDaily[Tienda 81_net_sales],0)</f>
        <v>0</v>
      </c>
      <c r="P386" s="11">
        <f>_xlfn.XLOOKUP(TableDailySummary[[#This Row],[Fecha]],SummaryDaily[day],SummaryDaily[Tienda 81_orders],0)</f>
        <v>0</v>
      </c>
      <c r="Q386" s="11">
        <f>_xlfn.XLOOKUP(TableDailySummary[[#This Row],[Fecha]],SummaryDaily[day],SummaryDaily[Tienda 81_average_order_value],0)</f>
        <v>0</v>
      </c>
      <c r="R386" s="11">
        <f>_xlfn.XLOOKUP(TableDailySummary[[#This Row],[Fecha]],SummaryDaily[day],SummaryDaily[Rappi_net_sales],0)</f>
        <v>0</v>
      </c>
      <c r="S386" s="11">
        <f>_xlfn.XLOOKUP(TableDailySummary[[#This Row],[Fecha]],SummaryDaily[day],SummaryDaily[Rappi_orders],0)</f>
        <v>0</v>
      </c>
      <c r="T386" s="11">
        <f>_xlfn.XLOOKUP(TableDailySummary[[#This Row],[Fecha]],SummaryDaily[day],SummaryDaily[Rappi_average_order_value],0)</f>
        <v>0</v>
      </c>
      <c r="U386" s="11">
        <f>_xlfn.XLOOKUP(TableDailySummary[[#This Row],[Fecha]],SummaryDaily[day],SummaryDaily[Corporativo no tienda_net_sales],0)</f>
        <v>0</v>
      </c>
      <c r="V386" s="11">
        <f>_xlfn.XLOOKUP(TableDailySummary[[#This Row],[Fecha]],SummaryDaily[day],SummaryDaily[Corporativo no tienda_orders],0)</f>
        <v>0</v>
      </c>
      <c r="W386" s="11">
        <f>_xlfn.XLOOKUP(TableDailySummary[[#This Row],[Fecha]],SummaryDaily[day],SummaryDaily[Corporativo no tienda_average_order_value],0)</f>
        <v>0</v>
      </c>
      <c r="X386" s="11">
        <f>_xlfn.XLOOKUP(TableDailySummary[[#This Row],[Fecha]],SummaryDaily[day],SummaryDaily[GoogleAdsOperation.Cost],0)</f>
        <v>0</v>
      </c>
      <c r="Y386" s="11">
        <f>SUMIFS(SalesByUTMDaily[google],SalesByUTMDaily[day],TableDailySummary[[#This Row],[Fecha]])</f>
        <v>0</v>
      </c>
      <c r="Z386" s="11">
        <f>_xlfn.XLOOKUP(TableDailySummary[[#This Row],[Fecha]],SummaryDaily[day],SummaryDaily[MetaAdsOperation.spend],0)</f>
        <v>0</v>
      </c>
      <c r="AA386" s="11">
        <f>SUMIFS(SalesByUTMDaily[facebook],SalesByUTMDaily[day],TableDailySummary[[#This Row],[Fecha]])</f>
        <v>0</v>
      </c>
      <c r="AB386" s="11">
        <f>TableDailySummary[[#This Row],[Inversión google ads]]+TableDailySummary[[#This Row],[Inversión meta ads]]</f>
        <v>0</v>
      </c>
      <c r="AC386" s="11">
        <f>TableDailySummary[[#This Row],[Ventas google ads]]+TableDailySummary[[#This Row],[Ventas meta ads]]</f>
        <v>0</v>
      </c>
      <c r="AD386" s="14">
        <f>IFERROR(TableDailySummary[[#This Row],[Ventas publicidad]]/TableDailySummary[[#This Row],[Inversión publicidad]],0)</f>
        <v>0</v>
      </c>
      <c r="AE386" s="14">
        <f>IFERROR(TableDailySummary[[#This Row],[Ventas primer cliente]]/TableDailySummary[[#This Row],[Inversión publicidad]],0)</f>
        <v>0</v>
      </c>
      <c r="AF386" s="14"/>
      <c r="AG386" s="11"/>
      <c r="AM386" s="11">
        <f>_xlfn.XLOOKUP(TableDailySummary[[#This Row],[Fecha]],SummaryDaily[day],SummaryDaily[net_sales_with_cost_recorded],0)</f>
        <v>0</v>
      </c>
      <c r="AN386" s="11">
        <f>_xlfn.XLOOKUP(TableDailySummary[[#This Row],[Fecha]],SummaryDaily[day],SummaryDaily[cost_of_goods_sold],0)</f>
        <v>0</v>
      </c>
      <c r="AO386" s="11">
        <f>_xlfn.XLOOKUP(TableDailySummary[[#This Row],[Fecha]],SummaryDaily[day],SummaryDaily[gross_profit],0)</f>
        <v>0</v>
      </c>
      <c r="AP386" s="18">
        <f>IFERROR(TableDailySummary[[#This Row],[Utilidad bruta]]/TableDailySummary[[#This Row],[Ventas netas con costo registrado]],0)</f>
        <v>0</v>
      </c>
    </row>
    <row r="387" spans="2:42" x14ac:dyDescent="0.2">
      <c r="B387" s="15" cm="1">
        <f t="array" ref="B387">ParamFechaInicioReporte + (ROW(TableDailySummary[#This Row]) - ROW(TableDailySummary[[#Headers],[Dia]]) - 1)</f>
        <v>44914</v>
      </c>
      <c r="C387" s="6">
        <f>TableDailySummary[[#This Row],[Dia]]</f>
        <v>44914</v>
      </c>
      <c r="D387" s="11">
        <f>_xlfn.XLOOKUP(TableDailySummary[[#This Row],[Fecha]],SummaryDaily[day],SummaryDaily[net_sales],0)</f>
        <v>0</v>
      </c>
      <c r="E387" s="11">
        <f>_xlfn.XLOOKUP(TableDailySummary[[#This Row],[Fecha]],SummaryDaily[day],SummaryDaily[orders],0)</f>
        <v>0</v>
      </c>
      <c r="F387" s="11">
        <f>_xlfn.XLOOKUP(TableDailySummary[[#This Row],[Fecha]],SummaryDaily[day],SummaryDaily[average_order_value],0)</f>
        <v>0</v>
      </c>
      <c r="G387" s="24" cm="1">
        <f t="array" ref="G387">_xlfn.XLOOKUP(TableDailySummary[[#This Row],[Fecha]]&amp;"Total site",ConversionRateByReferral[day]&amp;ConversionRateByReferral[referrer_source],ConversionRateByReferral[conversion_rate],0)</f>
        <v>0</v>
      </c>
      <c r="H387" s="11">
        <f>TableDailySummary[[#This Row],[Órden promedio totales]]*TableDailySummary[[#This Row],[CR totales]]</f>
        <v>0</v>
      </c>
      <c r="I387" s="11">
        <f>_xlfn.XLOOKUP(TableDailySummary[[#This Row],[Fecha]],SummaryDaily[day],SummaryDaily[new_net_sales],0)</f>
        <v>0</v>
      </c>
      <c r="J387" s="11">
        <f>_xlfn.XLOOKUP(TableDailySummary[[#This Row],[Fecha]],SummaryDaily[day],SummaryDaily[new_orders],0)</f>
        <v>0</v>
      </c>
      <c r="K387" s="11">
        <f>_xlfn.XLOOKUP(TableDailySummary[[#This Row],[Fecha]],SummaryDaily[day],SummaryDaily[new_average_order_value],0)</f>
        <v>0</v>
      </c>
      <c r="L387" s="11">
        <f>_xlfn.XLOOKUP(TableDailySummary[[#This Row],[Fecha]],SummaryDaily[day],SummaryDaily[Online Store_net_sales],0)</f>
        <v>0</v>
      </c>
      <c r="M387" s="11">
        <f>_xlfn.XLOOKUP(TableDailySummary[[#This Row],[Fecha]],SummaryDaily[day],SummaryDaily[Online Store_orders],0)</f>
        <v>0</v>
      </c>
      <c r="N387" s="11">
        <f>_xlfn.XLOOKUP(TableDailySummary[[#This Row],[Fecha]],SummaryDaily[day],SummaryDaily[Online Store_average_order_value],0)</f>
        <v>0</v>
      </c>
      <c r="O387" s="11">
        <f>_xlfn.XLOOKUP(TableDailySummary[[#This Row],[Fecha]],SummaryDaily[day],SummaryDaily[Tienda 81_net_sales],0)</f>
        <v>0</v>
      </c>
      <c r="P387" s="11">
        <f>_xlfn.XLOOKUP(TableDailySummary[[#This Row],[Fecha]],SummaryDaily[day],SummaryDaily[Tienda 81_orders],0)</f>
        <v>0</v>
      </c>
      <c r="Q387" s="11">
        <f>_xlfn.XLOOKUP(TableDailySummary[[#This Row],[Fecha]],SummaryDaily[day],SummaryDaily[Tienda 81_average_order_value],0)</f>
        <v>0</v>
      </c>
      <c r="R387" s="11">
        <f>_xlfn.XLOOKUP(TableDailySummary[[#This Row],[Fecha]],SummaryDaily[day],SummaryDaily[Rappi_net_sales],0)</f>
        <v>0</v>
      </c>
      <c r="S387" s="11">
        <f>_xlfn.XLOOKUP(TableDailySummary[[#This Row],[Fecha]],SummaryDaily[day],SummaryDaily[Rappi_orders],0)</f>
        <v>0</v>
      </c>
      <c r="T387" s="11">
        <f>_xlfn.XLOOKUP(TableDailySummary[[#This Row],[Fecha]],SummaryDaily[day],SummaryDaily[Rappi_average_order_value],0)</f>
        <v>0</v>
      </c>
      <c r="U387" s="11">
        <f>_xlfn.XLOOKUP(TableDailySummary[[#This Row],[Fecha]],SummaryDaily[day],SummaryDaily[Corporativo no tienda_net_sales],0)</f>
        <v>0</v>
      </c>
      <c r="V387" s="11">
        <f>_xlfn.XLOOKUP(TableDailySummary[[#This Row],[Fecha]],SummaryDaily[day],SummaryDaily[Corporativo no tienda_orders],0)</f>
        <v>0</v>
      </c>
      <c r="W387" s="11">
        <f>_xlfn.XLOOKUP(TableDailySummary[[#This Row],[Fecha]],SummaryDaily[day],SummaryDaily[Corporativo no tienda_average_order_value],0)</f>
        <v>0</v>
      </c>
      <c r="X387" s="11">
        <f>_xlfn.XLOOKUP(TableDailySummary[[#This Row],[Fecha]],SummaryDaily[day],SummaryDaily[GoogleAdsOperation.Cost],0)</f>
        <v>0</v>
      </c>
      <c r="Y387" s="11">
        <f>SUMIFS(SalesByUTMDaily[google],SalesByUTMDaily[day],TableDailySummary[[#This Row],[Fecha]])</f>
        <v>0</v>
      </c>
      <c r="Z387" s="11">
        <f>_xlfn.XLOOKUP(TableDailySummary[[#This Row],[Fecha]],SummaryDaily[day],SummaryDaily[MetaAdsOperation.spend],0)</f>
        <v>0</v>
      </c>
      <c r="AA387" s="11">
        <f>SUMIFS(SalesByUTMDaily[facebook],SalesByUTMDaily[day],TableDailySummary[[#This Row],[Fecha]])</f>
        <v>0</v>
      </c>
      <c r="AB387" s="11">
        <f>TableDailySummary[[#This Row],[Inversión google ads]]+TableDailySummary[[#This Row],[Inversión meta ads]]</f>
        <v>0</v>
      </c>
      <c r="AC387" s="11">
        <f>TableDailySummary[[#This Row],[Ventas google ads]]+TableDailySummary[[#This Row],[Ventas meta ads]]</f>
        <v>0</v>
      </c>
      <c r="AD387" s="14">
        <f>IFERROR(TableDailySummary[[#This Row],[Ventas publicidad]]/TableDailySummary[[#This Row],[Inversión publicidad]],0)</f>
        <v>0</v>
      </c>
      <c r="AE387" s="14">
        <f>IFERROR(TableDailySummary[[#This Row],[Ventas primer cliente]]/TableDailySummary[[#This Row],[Inversión publicidad]],0)</f>
        <v>0</v>
      </c>
      <c r="AF387" s="14"/>
      <c r="AG387" s="11"/>
      <c r="AM387" s="11">
        <f>_xlfn.XLOOKUP(TableDailySummary[[#This Row],[Fecha]],SummaryDaily[day],SummaryDaily[net_sales_with_cost_recorded],0)</f>
        <v>0</v>
      </c>
      <c r="AN387" s="11">
        <f>_xlfn.XLOOKUP(TableDailySummary[[#This Row],[Fecha]],SummaryDaily[day],SummaryDaily[cost_of_goods_sold],0)</f>
        <v>0</v>
      </c>
      <c r="AO387" s="11">
        <f>_xlfn.XLOOKUP(TableDailySummary[[#This Row],[Fecha]],SummaryDaily[day],SummaryDaily[gross_profit],0)</f>
        <v>0</v>
      </c>
      <c r="AP387" s="18">
        <f>IFERROR(TableDailySummary[[#This Row],[Utilidad bruta]]/TableDailySummary[[#This Row],[Ventas netas con costo registrado]],0)</f>
        <v>0</v>
      </c>
    </row>
    <row r="388" spans="2:42" x14ac:dyDescent="0.2">
      <c r="B388" s="15" cm="1">
        <f t="array" ref="B388">ParamFechaInicioReporte + (ROW(TableDailySummary[#This Row]) - ROW(TableDailySummary[[#Headers],[Dia]]) - 1)</f>
        <v>44915</v>
      </c>
      <c r="C388" s="6">
        <f>TableDailySummary[[#This Row],[Dia]]</f>
        <v>44915</v>
      </c>
      <c r="D388" s="11">
        <f>_xlfn.XLOOKUP(TableDailySummary[[#This Row],[Fecha]],SummaryDaily[day],SummaryDaily[net_sales],0)</f>
        <v>0</v>
      </c>
      <c r="E388" s="11">
        <f>_xlfn.XLOOKUP(TableDailySummary[[#This Row],[Fecha]],SummaryDaily[day],SummaryDaily[orders],0)</f>
        <v>0</v>
      </c>
      <c r="F388" s="11">
        <f>_xlfn.XLOOKUP(TableDailySummary[[#This Row],[Fecha]],SummaryDaily[day],SummaryDaily[average_order_value],0)</f>
        <v>0</v>
      </c>
      <c r="G388" s="24" cm="1">
        <f t="array" ref="G388">_xlfn.XLOOKUP(TableDailySummary[[#This Row],[Fecha]]&amp;"Total site",ConversionRateByReferral[day]&amp;ConversionRateByReferral[referrer_source],ConversionRateByReferral[conversion_rate],0)</f>
        <v>0</v>
      </c>
      <c r="H388" s="11">
        <f>TableDailySummary[[#This Row],[Órden promedio totales]]*TableDailySummary[[#This Row],[CR totales]]</f>
        <v>0</v>
      </c>
      <c r="I388" s="11">
        <f>_xlfn.XLOOKUP(TableDailySummary[[#This Row],[Fecha]],SummaryDaily[day],SummaryDaily[new_net_sales],0)</f>
        <v>0</v>
      </c>
      <c r="J388" s="11">
        <f>_xlfn.XLOOKUP(TableDailySummary[[#This Row],[Fecha]],SummaryDaily[day],SummaryDaily[new_orders],0)</f>
        <v>0</v>
      </c>
      <c r="K388" s="11">
        <f>_xlfn.XLOOKUP(TableDailySummary[[#This Row],[Fecha]],SummaryDaily[day],SummaryDaily[new_average_order_value],0)</f>
        <v>0</v>
      </c>
      <c r="L388" s="11">
        <f>_xlfn.XLOOKUP(TableDailySummary[[#This Row],[Fecha]],SummaryDaily[day],SummaryDaily[Online Store_net_sales],0)</f>
        <v>0</v>
      </c>
      <c r="M388" s="11">
        <f>_xlfn.XLOOKUP(TableDailySummary[[#This Row],[Fecha]],SummaryDaily[day],SummaryDaily[Online Store_orders],0)</f>
        <v>0</v>
      </c>
      <c r="N388" s="11">
        <f>_xlfn.XLOOKUP(TableDailySummary[[#This Row],[Fecha]],SummaryDaily[day],SummaryDaily[Online Store_average_order_value],0)</f>
        <v>0</v>
      </c>
      <c r="O388" s="11">
        <f>_xlfn.XLOOKUP(TableDailySummary[[#This Row],[Fecha]],SummaryDaily[day],SummaryDaily[Tienda 81_net_sales],0)</f>
        <v>0</v>
      </c>
      <c r="P388" s="11">
        <f>_xlfn.XLOOKUP(TableDailySummary[[#This Row],[Fecha]],SummaryDaily[day],SummaryDaily[Tienda 81_orders],0)</f>
        <v>0</v>
      </c>
      <c r="Q388" s="11">
        <f>_xlfn.XLOOKUP(TableDailySummary[[#This Row],[Fecha]],SummaryDaily[day],SummaryDaily[Tienda 81_average_order_value],0)</f>
        <v>0</v>
      </c>
      <c r="R388" s="11">
        <f>_xlfn.XLOOKUP(TableDailySummary[[#This Row],[Fecha]],SummaryDaily[day],SummaryDaily[Rappi_net_sales],0)</f>
        <v>0</v>
      </c>
      <c r="S388" s="11">
        <f>_xlfn.XLOOKUP(TableDailySummary[[#This Row],[Fecha]],SummaryDaily[day],SummaryDaily[Rappi_orders],0)</f>
        <v>0</v>
      </c>
      <c r="T388" s="11">
        <f>_xlfn.XLOOKUP(TableDailySummary[[#This Row],[Fecha]],SummaryDaily[day],SummaryDaily[Rappi_average_order_value],0)</f>
        <v>0</v>
      </c>
      <c r="U388" s="11">
        <f>_xlfn.XLOOKUP(TableDailySummary[[#This Row],[Fecha]],SummaryDaily[day],SummaryDaily[Corporativo no tienda_net_sales],0)</f>
        <v>0</v>
      </c>
      <c r="V388" s="11">
        <f>_xlfn.XLOOKUP(TableDailySummary[[#This Row],[Fecha]],SummaryDaily[day],SummaryDaily[Corporativo no tienda_orders],0)</f>
        <v>0</v>
      </c>
      <c r="W388" s="11">
        <f>_xlfn.XLOOKUP(TableDailySummary[[#This Row],[Fecha]],SummaryDaily[day],SummaryDaily[Corporativo no tienda_average_order_value],0)</f>
        <v>0</v>
      </c>
      <c r="X388" s="11">
        <f>_xlfn.XLOOKUP(TableDailySummary[[#This Row],[Fecha]],SummaryDaily[day],SummaryDaily[GoogleAdsOperation.Cost],0)</f>
        <v>0</v>
      </c>
      <c r="Y388" s="11">
        <f>SUMIFS(SalesByUTMDaily[google],SalesByUTMDaily[day],TableDailySummary[[#This Row],[Fecha]])</f>
        <v>0</v>
      </c>
      <c r="Z388" s="11">
        <f>_xlfn.XLOOKUP(TableDailySummary[[#This Row],[Fecha]],SummaryDaily[day],SummaryDaily[MetaAdsOperation.spend],0)</f>
        <v>0</v>
      </c>
      <c r="AA388" s="11">
        <f>SUMIFS(SalesByUTMDaily[facebook],SalesByUTMDaily[day],TableDailySummary[[#This Row],[Fecha]])</f>
        <v>0</v>
      </c>
      <c r="AB388" s="11">
        <f>TableDailySummary[[#This Row],[Inversión google ads]]+TableDailySummary[[#This Row],[Inversión meta ads]]</f>
        <v>0</v>
      </c>
      <c r="AC388" s="11">
        <f>TableDailySummary[[#This Row],[Ventas google ads]]+TableDailySummary[[#This Row],[Ventas meta ads]]</f>
        <v>0</v>
      </c>
      <c r="AD388" s="14">
        <f>IFERROR(TableDailySummary[[#This Row],[Ventas publicidad]]/TableDailySummary[[#This Row],[Inversión publicidad]],0)</f>
        <v>0</v>
      </c>
      <c r="AE388" s="14">
        <f>IFERROR(TableDailySummary[[#This Row],[Ventas primer cliente]]/TableDailySummary[[#This Row],[Inversión publicidad]],0)</f>
        <v>0</v>
      </c>
      <c r="AF388" s="14"/>
      <c r="AG388" s="11"/>
      <c r="AM388" s="11">
        <f>_xlfn.XLOOKUP(TableDailySummary[[#This Row],[Fecha]],SummaryDaily[day],SummaryDaily[net_sales_with_cost_recorded],0)</f>
        <v>0</v>
      </c>
      <c r="AN388" s="11">
        <f>_xlfn.XLOOKUP(TableDailySummary[[#This Row],[Fecha]],SummaryDaily[day],SummaryDaily[cost_of_goods_sold],0)</f>
        <v>0</v>
      </c>
      <c r="AO388" s="11">
        <f>_xlfn.XLOOKUP(TableDailySummary[[#This Row],[Fecha]],SummaryDaily[day],SummaryDaily[gross_profit],0)</f>
        <v>0</v>
      </c>
      <c r="AP388" s="18">
        <f>IFERROR(TableDailySummary[[#This Row],[Utilidad bruta]]/TableDailySummary[[#This Row],[Ventas netas con costo registrado]],0)</f>
        <v>0</v>
      </c>
    </row>
    <row r="389" spans="2:42" x14ac:dyDescent="0.2">
      <c r="B389" s="15" cm="1">
        <f t="array" ref="B389">ParamFechaInicioReporte + (ROW(TableDailySummary[#This Row]) - ROW(TableDailySummary[[#Headers],[Dia]]) - 1)</f>
        <v>44916</v>
      </c>
      <c r="C389" s="6">
        <f>TableDailySummary[[#This Row],[Dia]]</f>
        <v>44916</v>
      </c>
      <c r="D389" s="11">
        <f>_xlfn.XLOOKUP(TableDailySummary[[#This Row],[Fecha]],SummaryDaily[day],SummaryDaily[net_sales],0)</f>
        <v>0</v>
      </c>
      <c r="E389" s="11">
        <f>_xlfn.XLOOKUP(TableDailySummary[[#This Row],[Fecha]],SummaryDaily[day],SummaryDaily[orders],0)</f>
        <v>0</v>
      </c>
      <c r="F389" s="11">
        <f>_xlfn.XLOOKUP(TableDailySummary[[#This Row],[Fecha]],SummaryDaily[day],SummaryDaily[average_order_value],0)</f>
        <v>0</v>
      </c>
      <c r="G389" s="24" cm="1">
        <f t="array" ref="G389">_xlfn.XLOOKUP(TableDailySummary[[#This Row],[Fecha]]&amp;"Total site",ConversionRateByReferral[day]&amp;ConversionRateByReferral[referrer_source],ConversionRateByReferral[conversion_rate],0)</f>
        <v>0</v>
      </c>
      <c r="H389" s="11">
        <f>TableDailySummary[[#This Row],[Órden promedio totales]]*TableDailySummary[[#This Row],[CR totales]]</f>
        <v>0</v>
      </c>
      <c r="I389" s="11">
        <f>_xlfn.XLOOKUP(TableDailySummary[[#This Row],[Fecha]],SummaryDaily[day],SummaryDaily[new_net_sales],0)</f>
        <v>0</v>
      </c>
      <c r="J389" s="11">
        <f>_xlfn.XLOOKUP(TableDailySummary[[#This Row],[Fecha]],SummaryDaily[day],SummaryDaily[new_orders],0)</f>
        <v>0</v>
      </c>
      <c r="K389" s="11">
        <f>_xlfn.XLOOKUP(TableDailySummary[[#This Row],[Fecha]],SummaryDaily[day],SummaryDaily[new_average_order_value],0)</f>
        <v>0</v>
      </c>
      <c r="L389" s="11">
        <f>_xlfn.XLOOKUP(TableDailySummary[[#This Row],[Fecha]],SummaryDaily[day],SummaryDaily[Online Store_net_sales],0)</f>
        <v>0</v>
      </c>
      <c r="M389" s="11">
        <f>_xlfn.XLOOKUP(TableDailySummary[[#This Row],[Fecha]],SummaryDaily[day],SummaryDaily[Online Store_orders],0)</f>
        <v>0</v>
      </c>
      <c r="N389" s="11">
        <f>_xlfn.XLOOKUP(TableDailySummary[[#This Row],[Fecha]],SummaryDaily[day],SummaryDaily[Online Store_average_order_value],0)</f>
        <v>0</v>
      </c>
      <c r="O389" s="11">
        <f>_xlfn.XLOOKUP(TableDailySummary[[#This Row],[Fecha]],SummaryDaily[day],SummaryDaily[Tienda 81_net_sales],0)</f>
        <v>0</v>
      </c>
      <c r="P389" s="11">
        <f>_xlfn.XLOOKUP(TableDailySummary[[#This Row],[Fecha]],SummaryDaily[day],SummaryDaily[Tienda 81_orders],0)</f>
        <v>0</v>
      </c>
      <c r="Q389" s="11">
        <f>_xlfn.XLOOKUP(TableDailySummary[[#This Row],[Fecha]],SummaryDaily[day],SummaryDaily[Tienda 81_average_order_value],0)</f>
        <v>0</v>
      </c>
      <c r="R389" s="11">
        <f>_xlfn.XLOOKUP(TableDailySummary[[#This Row],[Fecha]],SummaryDaily[day],SummaryDaily[Rappi_net_sales],0)</f>
        <v>0</v>
      </c>
      <c r="S389" s="11">
        <f>_xlfn.XLOOKUP(TableDailySummary[[#This Row],[Fecha]],SummaryDaily[day],SummaryDaily[Rappi_orders],0)</f>
        <v>0</v>
      </c>
      <c r="T389" s="11">
        <f>_xlfn.XLOOKUP(TableDailySummary[[#This Row],[Fecha]],SummaryDaily[day],SummaryDaily[Rappi_average_order_value],0)</f>
        <v>0</v>
      </c>
      <c r="U389" s="11">
        <f>_xlfn.XLOOKUP(TableDailySummary[[#This Row],[Fecha]],SummaryDaily[day],SummaryDaily[Corporativo no tienda_net_sales],0)</f>
        <v>0</v>
      </c>
      <c r="V389" s="11">
        <f>_xlfn.XLOOKUP(TableDailySummary[[#This Row],[Fecha]],SummaryDaily[day],SummaryDaily[Corporativo no tienda_orders],0)</f>
        <v>0</v>
      </c>
      <c r="W389" s="11">
        <f>_xlfn.XLOOKUP(TableDailySummary[[#This Row],[Fecha]],SummaryDaily[day],SummaryDaily[Corporativo no tienda_average_order_value],0)</f>
        <v>0</v>
      </c>
      <c r="X389" s="11">
        <f>_xlfn.XLOOKUP(TableDailySummary[[#This Row],[Fecha]],SummaryDaily[day],SummaryDaily[GoogleAdsOperation.Cost],0)</f>
        <v>0</v>
      </c>
      <c r="Y389" s="11">
        <f>SUMIFS(SalesByUTMDaily[google],SalesByUTMDaily[day],TableDailySummary[[#This Row],[Fecha]])</f>
        <v>0</v>
      </c>
      <c r="Z389" s="11">
        <f>_xlfn.XLOOKUP(TableDailySummary[[#This Row],[Fecha]],SummaryDaily[day],SummaryDaily[MetaAdsOperation.spend],0)</f>
        <v>0</v>
      </c>
      <c r="AA389" s="11">
        <f>SUMIFS(SalesByUTMDaily[facebook],SalesByUTMDaily[day],TableDailySummary[[#This Row],[Fecha]])</f>
        <v>0</v>
      </c>
      <c r="AB389" s="11">
        <f>TableDailySummary[[#This Row],[Inversión google ads]]+TableDailySummary[[#This Row],[Inversión meta ads]]</f>
        <v>0</v>
      </c>
      <c r="AC389" s="11">
        <f>TableDailySummary[[#This Row],[Ventas google ads]]+TableDailySummary[[#This Row],[Ventas meta ads]]</f>
        <v>0</v>
      </c>
      <c r="AD389" s="14">
        <f>IFERROR(TableDailySummary[[#This Row],[Ventas publicidad]]/TableDailySummary[[#This Row],[Inversión publicidad]],0)</f>
        <v>0</v>
      </c>
      <c r="AE389" s="14">
        <f>IFERROR(TableDailySummary[[#This Row],[Ventas primer cliente]]/TableDailySummary[[#This Row],[Inversión publicidad]],0)</f>
        <v>0</v>
      </c>
      <c r="AF389" s="14"/>
      <c r="AG389" s="11"/>
      <c r="AM389" s="11">
        <f>_xlfn.XLOOKUP(TableDailySummary[[#This Row],[Fecha]],SummaryDaily[day],SummaryDaily[net_sales_with_cost_recorded],0)</f>
        <v>0</v>
      </c>
      <c r="AN389" s="11">
        <f>_xlfn.XLOOKUP(TableDailySummary[[#This Row],[Fecha]],SummaryDaily[day],SummaryDaily[cost_of_goods_sold],0)</f>
        <v>0</v>
      </c>
      <c r="AO389" s="11">
        <f>_xlfn.XLOOKUP(TableDailySummary[[#This Row],[Fecha]],SummaryDaily[day],SummaryDaily[gross_profit],0)</f>
        <v>0</v>
      </c>
      <c r="AP389" s="18">
        <f>IFERROR(TableDailySummary[[#This Row],[Utilidad bruta]]/TableDailySummary[[#This Row],[Ventas netas con costo registrado]],0)</f>
        <v>0</v>
      </c>
    </row>
    <row r="390" spans="2:42" x14ac:dyDescent="0.2">
      <c r="B390" s="15" cm="1">
        <f t="array" ref="B390">ParamFechaInicioReporte + (ROW(TableDailySummary[#This Row]) - ROW(TableDailySummary[[#Headers],[Dia]]) - 1)</f>
        <v>44917</v>
      </c>
      <c r="C390" s="6">
        <f>TableDailySummary[[#This Row],[Dia]]</f>
        <v>44917</v>
      </c>
      <c r="D390" s="11">
        <f>_xlfn.XLOOKUP(TableDailySummary[[#This Row],[Fecha]],SummaryDaily[day],SummaryDaily[net_sales],0)</f>
        <v>0</v>
      </c>
      <c r="E390" s="11">
        <f>_xlfn.XLOOKUP(TableDailySummary[[#This Row],[Fecha]],SummaryDaily[day],SummaryDaily[orders],0)</f>
        <v>0</v>
      </c>
      <c r="F390" s="11">
        <f>_xlfn.XLOOKUP(TableDailySummary[[#This Row],[Fecha]],SummaryDaily[day],SummaryDaily[average_order_value],0)</f>
        <v>0</v>
      </c>
      <c r="G390" s="24" cm="1">
        <f t="array" ref="G390">_xlfn.XLOOKUP(TableDailySummary[[#This Row],[Fecha]]&amp;"Total site",ConversionRateByReferral[day]&amp;ConversionRateByReferral[referrer_source],ConversionRateByReferral[conversion_rate],0)</f>
        <v>0</v>
      </c>
      <c r="H390" s="11">
        <f>TableDailySummary[[#This Row],[Órden promedio totales]]*TableDailySummary[[#This Row],[CR totales]]</f>
        <v>0</v>
      </c>
      <c r="I390" s="11">
        <f>_xlfn.XLOOKUP(TableDailySummary[[#This Row],[Fecha]],SummaryDaily[day],SummaryDaily[new_net_sales],0)</f>
        <v>0</v>
      </c>
      <c r="J390" s="11">
        <f>_xlfn.XLOOKUP(TableDailySummary[[#This Row],[Fecha]],SummaryDaily[day],SummaryDaily[new_orders],0)</f>
        <v>0</v>
      </c>
      <c r="K390" s="11">
        <f>_xlfn.XLOOKUP(TableDailySummary[[#This Row],[Fecha]],SummaryDaily[day],SummaryDaily[new_average_order_value],0)</f>
        <v>0</v>
      </c>
      <c r="L390" s="11">
        <f>_xlfn.XLOOKUP(TableDailySummary[[#This Row],[Fecha]],SummaryDaily[day],SummaryDaily[Online Store_net_sales],0)</f>
        <v>0</v>
      </c>
      <c r="M390" s="11">
        <f>_xlfn.XLOOKUP(TableDailySummary[[#This Row],[Fecha]],SummaryDaily[day],SummaryDaily[Online Store_orders],0)</f>
        <v>0</v>
      </c>
      <c r="N390" s="11">
        <f>_xlfn.XLOOKUP(TableDailySummary[[#This Row],[Fecha]],SummaryDaily[day],SummaryDaily[Online Store_average_order_value],0)</f>
        <v>0</v>
      </c>
      <c r="O390" s="11">
        <f>_xlfn.XLOOKUP(TableDailySummary[[#This Row],[Fecha]],SummaryDaily[day],SummaryDaily[Tienda 81_net_sales],0)</f>
        <v>0</v>
      </c>
      <c r="P390" s="11">
        <f>_xlfn.XLOOKUP(TableDailySummary[[#This Row],[Fecha]],SummaryDaily[day],SummaryDaily[Tienda 81_orders],0)</f>
        <v>0</v>
      </c>
      <c r="Q390" s="11">
        <f>_xlfn.XLOOKUP(TableDailySummary[[#This Row],[Fecha]],SummaryDaily[day],SummaryDaily[Tienda 81_average_order_value],0)</f>
        <v>0</v>
      </c>
      <c r="R390" s="11">
        <f>_xlfn.XLOOKUP(TableDailySummary[[#This Row],[Fecha]],SummaryDaily[day],SummaryDaily[Rappi_net_sales],0)</f>
        <v>0</v>
      </c>
      <c r="S390" s="11">
        <f>_xlfn.XLOOKUP(TableDailySummary[[#This Row],[Fecha]],SummaryDaily[day],SummaryDaily[Rappi_orders],0)</f>
        <v>0</v>
      </c>
      <c r="T390" s="11">
        <f>_xlfn.XLOOKUP(TableDailySummary[[#This Row],[Fecha]],SummaryDaily[day],SummaryDaily[Rappi_average_order_value],0)</f>
        <v>0</v>
      </c>
      <c r="U390" s="11">
        <f>_xlfn.XLOOKUP(TableDailySummary[[#This Row],[Fecha]],SummaryDaily[day],SummaryDaily[Corporativo no tienda_net_sales],0)</f>
        <v>0</v>
      </c>
      <c r="V390" s="11">
        <f>_xlfn.XLOOKUP(TableDailySummary[[#This Row],[Fecha]],SummaryDaily[day],SummaryDaily[Corporativo no tienda_orders],0)</f>
        <v>0</v>
      </c>
      <c r="W390" s="11">
        <f>_xlfn.XLOOKUP(TableDailySummary[[#This Row],[Fecha]],SummaryDaily[day],SummaryDaily[Corporativo no tienda_average_order_value],0)</f>
        <v>0</v>
      </c>
      <c r="X390" s="11">
        <f>_xlfn.XLOOKUP(TableDailySummary[[#This Row],[Fecha]],SummaryDaily[day],SummaryDaily[GoogleAdsOperation.Cost],0)</f>
        <v>0</v>
      </c>
      <c r="Y390" s="11">
        <f>SUMIFS(SalesByUTMDaily[google],SalesByUTMDaily[day],TableDailySummary[[#This Row],[Fecha]])</f>
        <v>0</v>
      </c>
      <c r="Z390" s="11">
        <f>_xlfn.XLOOKUP(TableDailySummary[[#This Row],[Fecha]],SummaryDaily[day],SummaryDaily[MetaAdsOperation.spend],0)</f>
        <v>0</v>
      </c>
      <c r="AA390" s="11">
        <f>SUMIFS(SalesByUTMDaily[facebook],SalesByUTMDaily[day],TableDailySummary[[#This Row],[Fecha]])</f>
        <v>0</v>
      </c>
      <c r="AB390" s="11">
        <f>TableDailySummary[[#This Row],[Inversión google ads]]+TableDailySummary[[#This Row],[Inversión meta ads]]</f>
        <v>0</v>
      </c>
      <c r="AC390" s="11">
        <f>TableDailySummary[[#This Row],[Ventas google ads]]+TableDailySummary[[#This Row],[Ventas meta ads]]</f>
        <v>0</v>
      </c>
      <c r="AD390" s="14">
        <f>IFERROR(TableDailySummary[[#This Row],[Ventas publicidad]]/TableDailySummary[[#This Row],[Inversión publicidad]],0)</f>
        <v>0</v>
      </c>
      <c r="AE390" s="14">
        <f>IFERROR(TableDailySummary[[#This Row],[Ventas primer cliente]]/TableDailySummary[[#This Row],[Inversión publicidad]],0)</f>
        <v>0</v>
      </c>
      <c r="AF390" s="14"/>
      <c r="AG390" s="11"/>
      <c r="AM390" s="11">
        <f>_xlfn.XLOOKUP(TableDailySummary[[#This Row],[Fecha]],SummaryDaily[day],SummaryDaily[net_sales_with_cost_recorded],0)</f>
        <v>0</v>
      </c>
      <c r="AN390" s="11">
        <f>_xlfn.XLOOKUP(TableDailySummary[[#This Row],[Fecha]],SummaryDaily[day],SummaryDaily[cost_of_goods_sold],0)</f>
        <v>0</v>
      </c>
      <c r="AO390" s="11">
        <f>_xlfn.XLOOKUP(TableDailySummary[[#This Row],[Fecha]],SummaryDaily[day],SummaryDaily[gross_profit],0)</f>
        <v>0</v>
      </c>
      <c r="AP390" s="18">
        <f>IFERROR(TableDailySummary[[#This Row],[Utilidad bruta]]/TableDailySummary[[#This Row],[Ventas netas con costo registrado]],0)</f>
        <v>0</v>
      </c>
    </row>
    <row r="391" spans="2:42" x14ac:dyDescent="0.2">
      <c r="B391" s="15" cm="1">
        <f t="array" ref="B391">ParamFechaInicioReporte + (ROW(TableDailySummary[#This Row]) - ROW(TableDailySummary[[#Headers],[Dia]]) - 1)</f>
        <v>44918</v>
      </c>
      <c r="C391" s="6">
        <f>TableDailySummary[[#This Row],[Dia]]</f>
        <v>44918</v>
      </c>
      <c r="D391" s="11">
        <f>_xlfn.XLOOKUP(TableDailySummary[[#This Row],[Fecha]],SummaryDaily[day],SummaryDaily[net_sales],0)</f>
        <v>0</v>
      </c>
      <c r="E391" s="11">
        <f>_xlfn.XLOOKUP(TableDailySummary[[#This Row],[Fecha]],SummaryDaily[day],SummaryDaily[orders],0)</f>
        <v>0</v>
      </c>
      <c r="F391" s="11">
        <f>_xlfn.XLOOKUP(TableDailySummary[[#This Row],[Fecha]],SummaryDaily[day],SummaryDaily[average_order_value],0)</f>
        <v>0</v>
      </c>
      <c r="G391" s="24" cm="1">
        <f t="array" ref="G391">_xlfn.XLOOKUP(TableDailySummary[[#This Row],[Fecha]]&amp;"Total site",ConversionRateByReferral[day]&amp;ConversionRateByReferral[referrer_source],ConversionRateByReferral[conversion_rate],0)</f>
        <v>0</v>
      </c>
      <c r="H391" s="11">
        <f>TableDailySummary[[#This Row],[Órden promedio totales]]*TableDailySummary[[#This Row],[CR totales]]</f>
        <v>0</v>
      </c>
      <c r="I391" s="11">
        <f>_xlfn.XLOOKUP(TableDailySummary[[#This Row],[Fecha]],SummaryDaily[day],SummaryDaily[new_net_sales],0)</f>
        <v>0</v>
      </c>
      <c r="J391" s="11">
        <f>_xlfn.XLOOKUP(TableDailySummary[[#This Row],[Fecha]],SummaryDaily[day],SummaryDaily[new_orders],0)</f>
        <v>0</v>
      </c>
      <c r="K391" s="11">
        <f>_xlfn.XLOOKUP(TableDailySummary[[#This Row],[Fecha]],SummaryDaily[day],SummaryDaily[new_average_order_value],0)</f>
        <v>0</v>
      </c>
      <c r="L391" s="11">
        <f>_xlfn.XLOOKUP(TableDailySummary[[#This Row],[Fecha]],SummaryDaily[day],SummaryDaily[Online Store_net_sales],0)</f>
        <v>0</v>
      </c>
      <c r="M391" s="11">
        <f>_xlfn.XLOOKUP(TableDailySummary[[#This Row],[Fecha]],SummaryDaily[day],SummaryDaily[Online Store_orders],0)</f>
        <v>0</v>
      </c>
      <c r="N391" s="11">
        <f>_xlfn.XLOOKUP(TableDailySummary[[#This Row],[Fecha]],SummaryDaily[day],SummaryDaily[Online Store_average_order_value],0)</f>
        <v>0</v>
      </c>
      <c r="O391" s="11">
        <f>_xlfn.XLOOKUP(TableDailySummary[[#This Row],[Fecha]],SummaryDaily[day],SummaryDaily[Tienda 81_net_sales],0)</f>
        <v>0</v>
      </c>
      <c r="P391" s="11">
        <f>_xlfn.XLOOKUP(TableDailySummary[[#This Row],[Fecha]],SummaryDaily[day],SummaryDaily[Tienda 81_orders],0)</f>
        <v>0</v>
      </c>
      <c r="Q391" s="11">
        <f>_xlfn.XLOOKUP(TableDailySummary[[#This Row],[Fecha]],SummaryDaily[day],SummaryDaily[Tienda 81_average_order_value],0)</f>
        <v>0</v>
      </c>
      <c r="R391" s="11">
        <f>_xlfn.XLOOKUP(TableDailySummary[[#This Row],[Fecha]],SummaryDaily[day],SummaryDaily[Rappi_net_sales],0)</f>
        <v>0</v>
      </c>
      <c r="S391" s="11">
        <f>_xlfn.XLOOKUP(TableDailySummary[[#This Row],[Fecha]],SummaryDaily[day],SummaryDaily[Rappi_orders],0)</f>
        <v>0</v>
      </c>
      <c r="T391" s="11">
        <f>_xlfn.XLOOKUP(TableDailySummary[[#This Row],[Fecha]],SummaryDaily[day],SummaryDaily[Rappi_average_order_value],0)</f>
        <v>0</v>
      </c>
      <c r="U391" s="11">
        <f>_xlfn.XLOOKUP(TableDailySummary[[#This Row],[Fecha]],SummaryDaily[day],SummaryDaily[Corporativo no tienda_net_sales],0)</f>
        <v>0</v>
      </c>
      <c r="V391" s="11">
        <f>_xlfn.XLOOKUP(TableDailySummary[[#This Row],[Fecha]],SummaryDaily[day],SummaryDaily[Corporativo no tienda_orders],0)</f>
        <v>0</v>
      </c>
      <c r="W391" s="11">
        <f>_xlfn.XLOOKUP(TableDailySummary[[#This Row],[Fecha]],SummaryDaily[day],SummaryDaily[Corporativo no tienda_average_order_value],0)</f>
        <v>0</v>
      </c>
      <c r="X391" s="11">
        <f>_xlfn.XLOOKUP(TableDailySummary[[#This Row],[Fecha]],SummaryDaily[day],SummaryDaily[GoogleAdsOperation.Cost],0)</f>
        <v>0</v>
      </c>
      <c r="Y391" s="11">
        <f>SUMIFS(SalesByUTMDaily[google],SalesByUTMDaily[day],TableDailySummary[[#This Row],[Fecha]])</f>
        <v>0</v>
      </c>
      <c r="Z391" s="11">
        <f>_xlfn.XLOOKUP(TableDailySummary[[#This Row],[Fecha]],SummaryDaily[day],SummaryDaily[MetaAdsOperation.spend],0)</f>
        <v>0</v>
      </c>
      <c r="AA391" s="11">
        <f>SUMIFS(SalesByUTMDaily[facebook],SalesByUTMDaily[day],TableDailySummary[[#This Row],[Fecha]])</f>
        <v>0</v>
      </c>
      <c r="AB391" s="11">
        <f>TableDailySummary[[#This Row],[Inversión google ads]]+TableDailySummary[[#This Row],[Inversión meta ads]]</f>
        <v>0</v>
      </c>
      <c r="AC391" s="11">
        <f>TableDailySummary[[#This Row],[Ventas google ads]]+TableDailySummary[[#This Row],[Ventas meta ads]]</f>
        <v>0</v>
      </c>
      <c r="AD391" s="14">
        <f>IFERROR(TableDailySummary[[#This Row],[Ventas publicidad]]/TableDailySummary[[#This Row],[Inversión publicidad]],0)</f>
        <v>0</v>
      </c>
      <c r="AE391" s="14">
        <f>IFERROR(TableDailySummary[[#This Row],[Ventas primer cliente]]/TableDailySummary[[#This Row],[Inversión publicidad]],0)</f>
        <v>0</v>
      </c>
      <c r="AF391" s="14"/>
      <c r="AG391" s="11"/>
      <c r="AM391" s="11">
        <f>_xlfn.XLOOKUP(TableDailySummary[[#This Row],[Fecha]],SummaryDaily[day],SummaryDaily[net_sales_with_cost_recorded],0)</f>
        <v>0</v>
      </c>
      <c r="AN391" s="11">
        <f>_xlfn.XLOOKUP(TableDailySummary[[#This Row],[Fecha]],SummaryDaily[day],SummaryDaily[cost_of_goods_sold],0)</f>
        <v>0</v>
      </c>
      <c r="AO391" s="11">
        <f>_xlfn.XLOOKUP(TableDailySummary[[#This Row],[Fecha]],SummaryDaily[day],SummaryDaily[gross_profit],0)</f>
        <v>0</v>
      </c>
      <c r="AP391" s="18">
        <f>IFERROR(TableDailySummary[[#This Row],[Utilidad bruta]]/TableDailySummary[[#This Row],[Ventas netas con costo registrado]],0)</f>
        <v>0</v>
      </c>
    </row>
    <row r="392" spans="2:42" x14ac:dyDescent="0.2">
      <c r="B392" s="15" cm="1">
        <f t="array" ref="B392">ParamFechaInicioReporte + (ROW(TableDailySummary[#This Row]) - ROW(TableDailySummary[[#Headers],[Dia]]) - 1)</f>
        <v>44919</v>
      </c>
      <c r="C392" s="6">
        <f>TableDailySummary[[#This Row],[Dia]]</f>
        <v>44919</v>
      </c>
      <c r="D392" s="11">
        <f>_xlfn.XLOOKUP(TableDailySummary[[#This Row],[Fecha]],SummaryDaily[day],SummaryDaily[net_sales],0)</f>
        <v>0</v>
      </c>
      <c r="E392" s="11">
        <f>_xlfn.XLOOKUP(TableDailySummary[[#This Row],[Fecha]],SummaryDaily[day],SummaryDaily[orders],0)</f>
        <v>0</v>
      </c>
      <c r="F392" s="11">
        <f>_xlfn.XLOOKUP(TableDailySummary[[#This Row],[Fecha]],SummaryDaily[day],SummaryDaily[average_order_value],0)</f>
        <v>0</v>
      </c>
      <c r="G392" s="24" cm="1">
        <f t="array" ref="G392">_xlfn.XLOOKUP(TableDailySummary[[#This Row],[Fecha]]&amp;"Total site",ConversionRateByReferral[day]&amp;ConversionRateByReferral[referrer_source],ConversionRateByReferral[conversion_rate],0)</f>
        <v>0</v>
      </c>
      <c r="H392" s="11">
        <f>TableDailySummary[[#This Row],[Órden promedio totales]]*TableDailySummary[[#This Row],[CR totales]]</f>
        <v>0</v>
      </c>
      <c r="I392" s="11">
        <f>_xlfn.XLOOKUP(TableDailySummary[[#This Row],[Fecha]],SummaryDaily[day],SummaryDaily[new_net_sales],0)</f>
        <v>0</v>
      </c>
      <c r="J392" s="11">
        <f>_xlfn.XLOOKUP(TableDailySummary[[#This Row],[Fecha]],SummaryDaily[day],SummaryDaily[new_orders],0)</f>
        <v>0</v>
      </c>
      <c r="K392" s="11">
        <f>_xlfn.XLOOKUP(TableDailySummary[[#This Row],[Fecha]],SummaryDaily[day],SummaryDaily[new_average_order_value],0)</f>
        <v>0</v>
      </c>
      <c r="L392" s="11">
        <f>_xlfn.XLOOKUP(TableDailySummary[[#This Row],[Fecha]],SummaryDaily[day],SummaryDaily[Online Store_net_sales],0)</f>
        <v>0</v>
      </c>
      <c r="M392" s="11">
        <f>_xlfn.XLOOKUP(TableDailySummary[[#This Row],[Fecha]],SummaryDaily[day],SummaryDaily[Online Store_orders],0)</f>
        <v>0</v>
      </c>
      <c r="N392" s="11">
        <f>_xlfn.XLOOKUP(TableDailySummary[[#This Row],[Fecha]],SummaryDaily[day],SummaryDaily[Online Store_average_order_value],0)</f>
        <v>0</v>
      </c>
      <c r="O392" s="11">
        <f>_xlfn.XLOOKUP(TableDailySummary[[#This Row],[Fecha]],SummaryDaily[day],SummaryDaily[Tienda 81_net_sales],0)</f>
        <v>0</v>
      </c>
      <c r="P392" s="11">
        <f>_xlfn.XLOOKUP(TableDailySummary[[#This Row],[Fecha]],SummaryDaily[day],SummaryDaily[Tienda 81_orders],0)</f>
        <v>0</v>
      </c>
      <c r="Q392" s="11">
        <f>_xlfn.XLOOKUP(TableDailySummary[[#This Row],[Fecha]],SummaryDaily[day],SummaryDaily[Tienda 81_average_order_value],0)</f>
        <v>0</v>
      </c>
      <c r="R392" s="11">
        <f>_xlfn.XLOOKUP(TableDailySummary[[#This Row],[Fecha]],SummaryDaily[day],SummaryDaily[Rappi_net_sales],0)</f>
        <v>0</v>
      </c>
      <c r="S392" s="11">
        <f>_xlfn.XLOOKUP(TableDailySummary[[#This Row],[Fecha]],SummaryDaily[day],SummaryDaily[Rappi_orders],0)</f>
        <v>0</v>
      </c>
      <c r="T392" s="11">
        <f>_xlfn.XLOOKUP(TableDailySummary[[#This Row],[Fecha]],SummaryDaily[day],SummaryDaily[Rappi_average_order_value],0)</f>
        <v>0</v>
      </c>
      <c r="U392" s="11">
        <f>_xlfn.XLOOKUP(TableDailySummary[[#This Row],[Fecha]],SummaryDaily[day],SummaryDaily[Corporativo no tienda_net_sales],0)</f>
        <v>0</v>
      </c>
      <c r="V392" s="11">
        <f>_xlfn.XLOOKUP(TableDailySummary[[#This Row],[Fecha]],SummaryDaily[day],SummaryDaily[Corporativo no tienda_orders],0)</f>
        <v>0</v>
      </c>
      <c r="W392" s="11">
        <f>_xlfn.XLOOKUP(TableDailySummary[[#This Row],[Fecha]],SummaryDaily[day],SummaryDaily[Corporativo no tienda_average_order_value],0)</f>
        <v>0</v>
      </c>
      <c r="X392" s="11">
        <f>_xlfn.XLOOKUP(TableDailySummary[[#This Row],[Fecha]],SummaryDaily[day],SummaryDaily[GoogleAdsOperation.Cost],0)</f>
        <v>0</v>
      </c>
      <c r="Y392" s="11">
        <f>SUMIFS(SalesByUTMDaily[google],SalesByUTMDaily[day],TableDailySummary[[#This Row],[Fecha]])</f>
        <v>0</v>
      </c>
      <c r="Z392" s="11">
        <f>_xlfn.XLOOKUP(TableDailySummary[[#This Row],[Fecha]],SummaryDaily[day],SummaryDaily[MetaAdsOperation.spend],0)</f>
        <v>0</v>
      </c>
      <c r="AA392" s="11">
        <f>SUMIFS(SalesByUTMDaily[facebook],SalesByUTMDaily[day],TableDailySummary[[#This Row],[Fecha]])</f>
        <v>0</v>
      </c>
      <c r="AB392" s="11">
        <f>TableDailySummary[[#This Row],[Inversión google ads]]+TableDailySummary[[#This Row],[Inversión meta ads]]</f>
        <v>0</v>
      </c>
      <c r="AC392" s="11">
        <f>TableDailySummary[[#This Row],[Ventas google ads]]+TableDailySummary[[#This Row],[Ventas meta ads]]</f>
        <v>0</v>
      </c>
      <c r="AD392" s="14">
        <f>IFERROR(TableDailySummary[[#This Row],[Ventas publicidad]]/TableDailySummary[[#This Row],[Inversión publicidad]],0)</f>
        <v>0</v>
      </c>
      <c r="AE392" s="14">
        <f>IFERROR(TableDailySummary[[#This Row],[Ventas primer cliente]]/TableDailySummary[[#This Row],[Inversión publicidad]],0)</f>
        <v>0</v>
      </c>
      <c r="AF392" s="14"/>
      <c r="AG392" s="11"/>
      <c r="AM392" s="11">
        <f>_xlfn.XLOOKUP(TableDailySummary[[#This Row],[Fecha]],SummaryDaily[day],SummaryDaily[net_sales_with_cost_recorded],0)</f>
        <v>0</v>
      </c>
      <c r="AN392" s="11">
        <f>_xlfn.XLOOKUP(TableDailySummary[[#This Row],[Fecha]],SummaryDaily[day],SummaryDaily[cost_of_goods_sold],0)</f>
        <v>0</v>
      </c>
      <c r="AO392" s="11">
        <f>_xlfn.XLOOKUP(TableDailySummary[[#This Row],[Fecha]],SummaryDaily[day],SummaryDaily[gross_profit],0)</f>
        <v>0</v>
      </c>
      <c r="AP392" s="18">
        <f>IFERROR(TableDailySummary[[#This Row],[Utilidad bruta]]/TableDailySummary[[#This Row],[Ventas netas con costo registrado]],0)</f>
        <v>0</v>
      </c>
    </row>
    <row r="393" spans="2:42" x14ac:dyDescent="0.2">
      <c r="B393" s="15" cm="1">
        <f t="array" ref="B393">ParamFechaInicioReporte + (ROW(TableDailySummary[#This Row]) - ROW(TableDailySummary[[#Headers],[Dia]]) - 1)</f>
        <v>44920</v>
      </c>
      <c r="C393" s="6">
        <f>TableDailySummary[[#This Row],[Dia]]</f>
        <v>44920</v>
      </c>
      <c r="D393" s="11">
        <f>_xlfn.XLOOKUP(TableDailySummary[[#This Row],[Fecha]],SummaryDaily[day],SummaryDaily[net_sales],0)</f>
        <v>0</v>
      </c>
      <c r="E393" s="11">
        <f>_xlfn.XLOOKUP(TableDailySummary[[#This Row],[Fecha]],SummaryDaily[day],SummaryDaily[orders],0)</f>
        <v>0</v>
      </c>
      <c r="F393" s="11">
        <f>_xlfn.XLOOKUP(TableDailySummary[[#This Row],[Fecha]],SummaryDaily[day],SummaryDaily[average_order_value],0)</f>
        <v>0</v>
      </c>
      <c r="G393" s="24" cm="1">
        <f t="array" ref="G393">_xlfn.XLOOKUP(TableDailySummary[[#This Row],[Fecha]]&amp;"Total site",ConversionRateByReferral[day]&amp;ConversionRateByReferral[referrer_source],ConversionRateByReferral[conversion_rate],0)</f>
        <v>0</v>
      </c>
      <c r="H393" s="11">
        <f>TableDailySummary[[#This Row],[Órden promedio totales]]*TableDailySummary[[#This Row],[CR totales]]</f>
        <v>0</v>
      </c>
      <c r="I393" s="11">
        <f>_xlfn.XLOOKUP(TableDailySummary[[#This Row],[Fecha]],SummaryDaily[day],SummaryDaily[new_net_sales],0)</f>
        <v>0</v>
      </c>
      <c r="J393" s="11">
        <f>_xlfn.XLOOKUP(TableDailySummary[[#This Row],[Fecha]],SummaryDaily[day],SummaryDaily[new_orders],0)</f>
        <v>0</v>
      </c>
      <c r="K393" s="11">
        <f>_xlfn.XLOOKUP(TableDailySummary[[#This Row],[Fecha]],SummaryDaily[day],SummaryDaily[new_average_order_value],0)</f>
        <v>0</v>
      </c>
      <c r="L393" s="11">
        <f>_xlfn.XLOOKUP(TableDailySummary[[#This Row],[Fecha]],SummaryDaily[day],SummaryDaily[Online Store_net_sales],0)</f>
        <v>0</v>
      </c>
      <c r="M393" s="11">
        <f>_xlfn.XLOOKUP(TableDailySummary[[#This Row],[Fecha]],SummaryDaily[day],SummaryDaily[Online Store_orders],0)</f>
        <v>0</v>
      </c>
      <c r="N393" s="11">
        <f>_xlfn.XLOOKUP(TableDailySummary[[#This Row],[Fecha]],SummaryDaily[day],SummaryDaily[Online Store_average_order_value],0)</f>
        <v>0</v>
      </c>
      <c r="O393" s="11">
        <f>_xlfn.XLOOKUP(TableDailySummary[[#This Row],[Fecha]],SummaryDaily[day],SummaryDaily[Tienda 81_net_sales],0)</f>
        <v>0</v>
      </c>
      <c r="P393" s="11">
        <f>_xlfn.XLOOKUP(TableDailySummary[[#This Row],[Fecha]],SummaryDaily[day],SummaryDaily[Tienda 81_orders],0)</f>
        <v>0</v>
      </c>
      <c r="Q393" s="11">
        <f>_xlfn.XLOOKUP(TableDailySummary[[#This Row],[Fecha]],SummaryDaily[day],SummaryDaily[Tienda 81_average_order_value],0)</f>
        <v>0</v>
      </c>
      <c r="R393" s="11">
        <f>_xlfn.XLOOKUP(TableDailySummary[[#This Row],[Fecha]],SummaryDaily[day],SummaryDaily[Rappi_net_sales],0)</f>
        <v>0</v>
      </c>
      <c r="S393" s="11">
        <f>_xlfn.XLOOKUP(TableDailySummary[[#This Row],[Fecha]],SummaryDaily[day],SummaryDaily[Rappi_orders],0)</f>
        <v>0</v>
      </c>
      <c r="T393" s="11">
        <f>_xlfn.XLOOKUP(TableDailySummary[[#This Row],[Fecha]],SummaryDaily[day],SummaryDaily[Rappi_average_order_value],0)</f>
        <v>0</v>
      </c>
      <c r="U393" s="11">
        <f>_xlfn.XLOOKUP(TableDailySummary[[#This Row],[Fecha]],SummaryDaily[day],SummaryDaily[Corporativo no tienda_net_sales],0)</f>
        <v>0</v>
      </c>
      <c r="V393" s="11">
        <f>_xlfn.XLOOKUP(TableDailySummary[[#This Row],[Fecha]],SummaryDaily[day],SummaryDaily[Corporativo no tienda_orders],0)</f>
        <v>0</v>
      </c>
      <c r="W393" s="11">
        <f>_xlfn.XLOOKUP(TableDailySummary[[#This Row],[Fecha]],SummaryDaily[day],SummaryDaily[Corporativo no tienda_average_order_value],0)</f>
        <v>0</v>
      </c>
      <c r="X393" s="11">
        <f>_xlfn.XLOOKUP(TableDailySummary[[#This Row],[Fecha]],SummaryDaily[day],SummaryDaily[GoogleAdsOperation.Cost],0)</f>
        <v>0</v>
      </c>
      <c r="Y393" s="11">
        <f>SUMIFS(SalesByUTMDaily[google],SalesByUTMDaily[day],TableDailySummary[[#This Row],[Fecha]])</f>
        <v>0</v>
      </c>
      <c r="Z393" s="11">
        <f>_xlfn.XLOOKUP(TableDailySummary[[#This Row],[Fecha]],SummaryDaily[day],SummaryDaily[MetaAdsOperation.spend],0)</f>
        <v>0</v>
      </c>
      <c r="AA393" s="11">
        <f>SUMIFS(SalesByUTMDaily[facebook],SalesByUTMDaily[day],TableDailySummary[[#This Row],[Fecha]])</f>
        <v>0</v>
      </c>
      <c r="AB393" s="11">
        <f>TableDailySummary[[#This Row],[Inversión google ads]]+TableDailySummary[[#This Row],[Inversión meta ads]]</f>
        <v>0</v>
      </c>
      <c r="AC393" s="11">
        <f>TableDailySummary[[#This Row],[Ventas google ads]]+TableDailySummary[[#This Row],[Ventas meta ads]]</f>
        <v>0</v>
      </c>
      <c r="AD393" s="14">
        <f>IFERROR(TableDailySummary[[#This Row],[Ventas publicidad]]/TableDailySummary[[#This Row],[Inversión publicidad]],0)</f>
        <v>0</v>
      </c>
      <c r="AE393" s="14">
        <f>IFERROR(TableDailySummary[[#This Row],[Ventas primer cliente]]/TableDailySummary[[#This Row],[Inversión publicidad]],0)</f>
        <v>0</v>
      </c>
      <c r="AF393" s="14"/>
      <c r="AG393" s="11"/>
      <c r="AM393" s="11">
        <f>_xlfn.XLOOKUP(TableDailySummary[[#This Row],[Fecha]],SummaryDaily[day],SummaryDaily[net_sales_with_cost_recorded],0)</f>
        <v>0</v>
      </c>
      <c r="AN393" s="11">
        <f>_xlfn.XLOOKUP(TableDailySummary[[#This Row],[Fecha]],SummaryDaily[day],SummaryDaily[cost_of_goods_sold],0)</f>
        <v>0</v>
      </c>
      <c r="AO393" s="11">
        <f>_xlfn.XLOOKUP(TableDailySummary[[#This Row],[Fecha]],SummaryDaily[day],SummaryDaily[gross_profit],0)</f>
        <v>0</v>
      </c>
      <c r="AP393" s="18">
        <f>IFERROR(TableDailySummary[[#This Row],[Utilidad bruta]]/TableDailySummary[[#This Row],[Ventas netas con costo registrado]],0)</f>
        <v>0</v>
      </c>
    </row>
    <row r="394" spans="2:42" x14ac:dyDescent="0.2">
      <c r="B394" s="15" cm="1">
        <f t="array" ref="B394">ParamFechaInicioReporte + (ROW(TableDailySummary[#This Row]) - ROW(TableDailySummary[[#Headers],[Dia]]) - 1)</f>
        <v>44921</v>
      </c>
      <c r="C394" s="6">
        <f>TableDailySummary[[#This Row],[Dia]]</f>
        <v>44921</v>
      </c>
      <c r="D394" s="11">
        <f>_xlfn.XLOOKUP(TableDailySummary[[#This Row],[Fecha]],SummaryDaily[day],SummaryDaily[net_sales],0)</f>
        <v>0</v>
      </c>
      <c r="E394" s="11">
        <f>_xlfn.XLOOKUP(TableDailySummary[[#This Row],[Fecha]],SummaryDaily[day],SummaryDaily[orders],0)</f>
        <v>0</v>
      </c>
      <c r="F394" s="11">
        <f>_xlfn.XLOOKUP(TableDailySummary[[#This Row],[Fecha]],SummaryDaily[day],SummaryDaily[average_order_value],0)</f>
        <v>0</v>
      </c>
      <c r="G394" s="24" cm="1">
        <f t="array" ref="G394">_xlfn.XLOOKUP(TableDailySummary[[#This Row],[Fecha]]&amp;"Total site",ConversionRateByReferral[day]&amp;ConversionRateByReferral[referrer_source],ConversionRateByReferral[conversion_rate],0)</f>
        <v>0</v>
      </c>
      <c r="H394" s="11">
        <f>TableDailySummary[[#This Row],[Órden promedio totales]]*TableDailySummary[[#This Row],[CR totales]]</f>
        <v>0</v>
      </c>
      <c r="I394" s="11">
        <f>_xlfn.XLOOKUP(TableDailySummary[[#This Row],[Fecha]],SummaryDaily[day],SummaryDaily[new_net_sales],0)</f>
        <v>0</v>
      </c>
      <c r="J394" s="11">
        <f>_xlfn.XLOOKUP(TableDailySummary[[#This Row],[Fecha]],SummaryDaily[day],SummaryDaily[new_orders],0)</f>
        <v>0</v>
      </c>
      <c r="K394" s="11">
        <f>_xlfn.XLOOKUP(TableDailySummary[[#This Row],[Fecha]],SummaryDaily[day],SummaryDaily[new_average_order_value],0)</f>
        <v>0</v>
      </c>
      <c r="L394" s="11">
        <f>_xlfn.XLOOKUP(TableDailySummary[[#This Row],[Fecha]],SummaryDaily[day],SummaryDaily[Online Store_net_sales],0)</f>
        <v>0</v>
      </c>
      <c r="M394" s="11">
        <f>_xlfn.XLOOKUP(TableDailySummary[[#This Row],[Fecha]],SummaryDaily[day],SummaryDaily[Online Store_orders],0)</f>
        <v>0</v>
      </c>
      <c r="N394" s="11">
        <f>_xlfn.XLOOKUP(TableDailySummary[[#This Row],[Fecha]],SummaryDaily[day],SummaryDaily[Online Store_average_order_value],0)</f>
        <v>0</v>
      </c>
      <c r="O394" s="11">
        <f>_xlfn.XLOOKUP(TableDailySummary[[#This Row],[Fecha]],SummaryDaily[day],SummaryDaily[Tienda 81_net_sales],0)</f>
        <v>0</v>
      </c>
      <c r="P394" s="11">
        <f>_xlfn.XLOOKUP(TableDailySummary[[#This Row],[Fecha]],SummaryDaily[day],SummaryDaily[Tienda 81_orders],0)</f>
        <v>0</v>
      </c>
      <c r="Q394" s="11">
        <f>_xlfn.XLOOKUP(TableDailySummary[[#This Row],[Fecha]],SummaryDaily[day],SummaryDaily[Tienda 81_average_order_value],0)</f>
        <v>0</v>
      </c>
      <c r="R394" s="11">
        <f>_xlfn.XLOOKUP(TableDailySummary[[#This Row],[Fecha]],SummaryDaily[day],SummaryDaily[Rappi_net_sales],0)</f>
        <v>0</v>
      </c>
      <c r="S394" s="11">
        <f>_xlfn.XLOOKUP(TableDailySummary[[#This Row],[Fecha]],SummaryDaily[day],SummaryDaily[Rappi_orders],0)</f>
        <v>0</v>
      </c>
      <c r="T394" s="11">
        <f>_xlfn.XLOOKUP(TableDailySummary[[#This Row],[Fecha]],SummaryDaily[day],SummaryDaily[Rappi_average_order_value],0)</f>
        <v>0</v>
      </c>
      <c r="U394" s="11">
        <f>_xlfn.XLOOKUP(TableDailySummary[[#This Row],[Fecha]],SummaryDaily[day],SummaryDaily[Corporativo no tienda_net_sales],0)</f>
        <v>0</v>
      </c>
      <c r="V394" s="11">
        <f>_xlfn.XLOOKUP(TableDailySummary[[#This Row],[Fecha]],SummaryDaily[day],SummaryDaily[Corporativo no tienda_orders],0)</f>
        <v>0</v>
      </c>
      <c r="W394" s="11">
        <f>_xlfn.XLOOKUP(TableDailySummary[[#This Row],[Fecha]],SummaryDaily[day],SummaryDaily[Corporativo no tienda_average_order_value],0)</f>
        <v>0</v>
      </c>
      <c r="X394" s="11">
        <f>_xlfn.XLOOKUP(TableDailySummary[[#This Row],[Fecha]],SummaryDaily[day],SummaryDaily[GoogleAdsOperation.Cost],0)</f>
        <v>0</v>
      </c>
      <c r="Y394" s="11">
        <f>SUMIFS(SalesByUTMDaily[google],SalesByUTMDaily[day],TableDailySummary[[#This Row],[Fecha]])</f>
        <v>0</v>
      </c>
      <c r="Z394" s="11">
        <f>_xlfn.XLOOKUP(TableDailySummary[[#This Row],[Fecha]],SummaryDaily[day],SummaryDaily[MetaAdsOperation.spend],0)</f>
        <v>0</v>
      </c>
      <c r="AA394" s="11">
        <f>SUMIFS(SalesByUTMDaily[facebook],SalesByUTMDaily[day],TableDailySummary[[#This Row],[Fecha]])</f>
        <v>0</v>
      </c>
      <c r="AB394" s="11">
        <f>TableDailySummary[[#This Row],[Inversión google ads]]+TableDailySummary[[#This Row],[Inversión meta ads]]</f>
        <v>0</v>
      </c>
      <c r="AC394" s="11">
        <f>TableDailySummary[[#This Row],[Ventas google ads]]+TableDailySummary[[#This Row],[Ventas meta ads]]</f>
        <v>0</v>
      </c>
      <c r="AD394" s="14">
        <f>IFERROR(TableDailySummary[[#This Row],[Ventas publicidad]]/TableDailySummary[[#This Row],[Inversión publicidad]],0)</f>
        <v>0</v>
      </c>
      <c r="AE394" s="14">
        <f>IFERROR(TableDailySummary[[#This Row],[Ventas primer cliente]]/TableDailySummary[[#This Row],[Inversión publicidad]],0)</f>
        <v>0</v>
      </c>
      <c r="AF394" s="14"/>
      <c r="AG394" s="11"/>
      <c r="AM394" s="11">
        <f>_xlfn.XLOOKUP(TableDailySummary[[#This Row],[Fecha]],SummaryDaily[day],SummaryDaily[net_sales_with_cost_recorded],0)</f>
        <v>0</v>
      </c>
      <c r="AN394" s="11">
        <f>_xlfn.XLOOKUP(TableDailySummary[[#This Row],[Fecha]],SummaryDaily[day],SummaryDaily[cost_of_goods_sold],0)</f>
        <v>0</v>
      </c>
      <c r="AO394" s="11">
        <f>_xlfn.XLOOKUP(TableDailySummary[[#This Row],[Fecha]],SummaryDaily[day],SummaryDaily[gross_profit],0)</f>
        <v>0</v>
      </c>
      <c r="AP394" s="18">
        <f>IFERROR(TableDailySummary[[#This Row],[Utilidad bruta]]/TableDailySummary[[#This Row],[Ventas netas con costo registrado]],0)</f>
        <v>0</v>
      </c>
    </row>
    <row r="395" spans="2:42" x14ac:dyDescent="0.2">
      <c r="B395" s="15" cm="1">
        <f t="array" ref="B395">ParamFechaInicioReporte + (ROW(TableDailySummary[#This Row]) - ROW(TableDailySummary[[#Headers],[Dia]]) - 1)</f>
        <v>44922</v>
      </c>
      <c r="C395" s="6">
        <f>TableDailySummary[[#This Row],[Dia]]</f>
        <v>44922</v>
      </c>
      <c r="D395" s="11">
        <f>_xlfn.XLOOKUP(TableDailySummary[[#This Row],[Fecha]],SummaryDaily[day],SummaryDaily[net_sales],0)</f>
        <v>0</v>
      </c>
      <c r="E395" s="11">
        <f>_xlfn.XLOOKUP(TableDailySummary[[#This Row],[Fecha]],SummaryDaily[day],SummaryDaily[orders],0)</f>
        <v>0</v>
      </c>
      <c r="F395" s="11">
        <f>_xlfn.XLOOKUP(TableDailySummary[[#This Row],[Fecha]],SummaryDaily[day],SummaryDaily[average_order_value],0)</f>
        <v>0</v>
      </c>
      <c r="G395" s="24" cm="1">
        <f t="array" ref="G395">_xlfn.XLOOKUP(TableDailySummary[[#This Row],[Fecha]]&amp;"Total site",ConversionRateByReferral[day]&amp;ConversionRateByReferral[referrer_source],ConversionRateByReferral[conversion_rate],0)</f>
        <v>0</v>
      </c>
      <c r="H395" s="11">
        <f>TableDailySummary[[#This Row],[Órden promedio totales]]*TableDailySummary[[#This Row],[CR totales]]</f>
        <v>0</v>
      </c>
      <c r="I395" s="11">
        <f>_xlfn.XLOOKUP(TableDailySummary[[#This Row],[Fecha]],SummaryDaily[day],SummaryDaily[new_net_sales],0)</f>
        <v>0</v>
      </c>
      <c r="J395" s="11">
        <f>_xlfn.XLOOKUP(TableDailySummary[[#This Row],[Fecha]],SummaryDaily[day],SummaryDaily[new_orders],0)</f>
        <v>0</v>
      </c>
      <c r="K395" s="11">
        <f>_xlfn.XLOOKUP(TableDailySummary[[#This Row],[Fecha]],SummaryDaily[day],SummaryDaily[new_average_order_value],0)</f>
        <v>0</v>
      </c>
      <c r="L395" s="11">
        <f>_xlfn.XLOOKUP(TableDailySummary[[#This Row],[Fecha]],SummaryDaily[day],SummaryDaily[Online Store_net_sales],0)</f>
        <v>0</v>
      </c>
      <c r="M395" s="11">
        <f>_xlfn.XLOOKUP(TableDailySummary[[#This Row],[Fecha]],SummaryDaily[day],SummaryDaily[Online Store_orders],0)</f>
        <v>0</v>
      </c>
      <c r="N395" s="11">
        <f>_xlfn.XLOOKUP(TableDailySummary[[#This Row],[Fecha]],SummaryDaily[day],SummaryDaily[Online Store_average_order_value],0)</f>
        <v>0</v>
      </c>
      <c r="O395" s="11">
        <f>_xlfn.XLOOKUP(TableDailySummary[[#This Row],[Fecha]],SummaryDaily[day],SummaryDaily[Tienda 81_net_sales],0)</f>
        <v>0</v>
      </c>
      <c r="P395" s="11">
        <f>_xlfn.XLOOKUP(TableDailySummary[[#This Row],[Fecha]],SummaryDaily[day],SummaryDaily[Tienda 81_orders],0)</f>
        <v>0</v>
      </c>
      <c r="Q395" s="11">
        <f>_xlfn.XLOOKUP(TableDailySummary[[#This Row],[Fecha]],SummaryDaily[day],SummaryDaily[Tienda 81_average_order_value],0)</f>
        <v>0</v>
      </c>
      <c r="R395" s="11">
        <f>_xlfn.XLOOKUP(TableDailySummary[[#This Row],[Fecha]],SummaryDaily[day],SummaryDaily[Rappi_net_sales],0)</f>
        <v>0</v>
      </c>
      <c r="S395" s="11">
        <f>_xlfn.XLOOKUP(TableDailySummary[[#This Row],[Fecha]],SummaryDaily[day],SummaryDaily[Rappi_orders],0)</f>
        <v>0</v>
      </c>
      <c r="T395" s="11">
        <f>_xlfn.XLOOKUP(TableDailySummary[[#This Row],[Fecha]],SummaryDaily[day],SummaryDaily[Rappi_average_order_value],0)</f>
        <v>0</v>
      </c>
      <c r="U395" s="11">
        <f>_xlfn.XLOOKUP(TableDailySummary[[#This Row],[Fecha]],SummaryDaily[day],SummaryDaily[Corporativo no tienda_net_sales],0)</f>
        <v>0</v>
      </c>
      <c r="V395" s="11">
        <f>_xlfn.XLOOKUP(TableDailySummary[[#This Row],[Fecha]],SummaryDaily[day],SummaryDaily[Corporativo no tienda_orders],0)</f>
        <v>0</v>
      </c>
      <c r="W395" s="11">
        <f>_xlfn.XLOOKUP(TableDailySummary[[#This Row],[Fecha]],SummaryDaily[day],SummaryDaily[Corporativo no tienda_average_order_value],0)</f>
        <v>0</v>
      </c>
      <c r="X395" s="11">
        <f>_xlfn.XLOOKUP(TableDailySummary[[#This Row],[Fecha]],SummaryDaily[day],SummaryDaily[GoogleAdsOperation.Cost],0)</f>
        <v>0</v>
      </c>
      <c r="Y395" s="11">
        <f>SUMIFS(SalesByUTMDaily[google],SalesByUTMDaily[day],TableDailySummary[[#This Row],[Fecha]])</f>
        <v>0</v>
      </c>
      <c r="Z395" s="11">
        <f>_xlfn.XLOOKUP(TableDailySummary[[#This Row],[Fecha]],SummaryDaily[day],SummaryDaily[MetaAdsOperation.spend],0)</f>
        <v>0</v>
      </c>
      <c r="AA395" s="11">
        <f>SUMIFS(SalesByUTMDaily[facebook],SalesByUTMDaily[day],TableDailySummary[[#This Row],[Fecha]])</f>
        <v>0</v>
      </c>
      <c r="AB395" s="11">
        <f>TableDailySummary[[#This Row],[Inversión google ads]]+TableDailySummary[[#This Row],[Inversión meta ads]]</f>
        <v>0</v>
      </c>
      <c r="AC395" s="11">
        <f>TableDailySummary[[#This Row],[Ventas google ads]]+TableDailySummary[[#This Row],[Ventas meta ads]]</f>
        <v>0</v>
      </c>
      <c r="AD395" s="14">
        <f>IFERROR(TableDailySummary[[#This Row],[Ventas publicidad]]/TableDailySummary[[#This Row],[Inversión publicidad]],0)</f>
        <v>0</v>
      </c>
      <c r="AE395" s="14">
        <f>IFERROR(TableDailySummary[[#This Row],[Ventas primer cliente]]/TableDailySummary[[#This Row],[Inversión publicidad]],0)</f>
        <v>0</v>
      </c>
      <c r="AF395" s="14"/>
      <c r="AG395" s="11"/>
      <c r="AM395" s="11">
        <f>_xlfn.XLOOKUP(TableDailySummary[[#This Row],[Fecha]],SummaryDaily[day],SummaryDaily[net_sales_with_cost_recorded],0)</f>
        <v>0</v>
      </c>
      <c r="AN395" s="11">
        <f>_xlfn.XLOOKUP(TableDailySummary[[#This Row],[Fecha]],SummaryDaily[day],SummaryDaily[cost_of_goods_sold],0)</f>
        <v>0</v>
      </c>
      <c r="AO395" s="11">
        <f>_xlfn.XLOOKUP(TableDailySummary[[#This Row],[Fecha]],SummaryDaily[day],SummaryDaily[gross_profit],0)</f>
        <v>0</v>
      </c>
      <c r="AP395" s="18">
        <f>IFERROR(TableDailySummary[[#This Row],[Utilidad bruta]]/TableDailySummary[[#This Row],[Ventas netas con costo registrado]],0)</f>
        <v>0</v>
      </c>
    </row>
    <row r="396" spans="2:42" x14ac:dyDescent="0.2">
      <c r="B396" s="15" cm="1">
        <f t="array" ref="B396">ParamFechaInicioReporte + (ROW(TableDailySummary[#This Row]) - ROW(TableDailySummary[[#Headers],[Dia]]) - 1)</f>
        <v>44923</v>
      </c>
      <c r="C396" s="6">
        <f>TableDailySummary[[#This Row],[Dia]]</f>
        <v>44923</v>
      </c>
      <c r="D396" s="11">
        <f>_xlfn.XLOOKUP(TableDailySummary[[#This Row],[Fecha]],SummaryDaily[day],SummaryDaily[net_sales],0)</f>
        <v>0</v>
      </c>
      <c r="E396" s="11">
        <f>_xlfn.XLOOKUP(TableDailySummary[[#This Row],[Fecha]],SummaryDaily[day],SummaryDaily[orders],0)</f>
        <v>0</v>
      </c>
      <c r="F396" s="11">
        <f>_xlfn.XLOOKUP(TableDailySummary[[#This Row],[Fecha]],SummaryDaily[day],SummaryDaily[average_order_value],0)</f>
        <v>0</v>
      </c>
      <c r="G396" s="24" cm="1">
        <f t="array" ref="G396">_xlfn.XLOOKUP(TableDailySummary[[#This Row],[Fecha]]&amp;"Total site",ConversionRateByReferral[day]&amp;ConversionRateByReferral[referrer_source],ConversionRateByReferral[conversion_rate],0)</f>
        <v>0</v>
      </c>
      <c r="H396" s="11">
        <f>TableDailySummary[[#This Row],[Órden promedio totales]]*TableDailySummary[[#This Row],[CR totales]]</f>
        <v>0</v>
      </c>
      <c r="I396" s="11">
        <f>_xlfn.XLOOKUP(TableDailySummary[[#This Row],[Fecha]],SummaryDaily[day],SummaryDaily[new_net_sales],0)</f>
        <v>0</v>
      </c>
      <c r="J396" s="11">
        <f>_xlfn.XLOOKUP(TableDailySummary[[#This Row],[Fecha]],SummaryDaily[day],SummaryDaily[new_orders],0)</f>
        <v>0</v>
      </c>
      <c r="K396" s="11">
        <f>_xlfn.XLOOKUP(TableDailySummary[[#This Row],[Fecha]],SummaryDaily[day],SummaryDaily[new_average_order_value],0)</f>
        <v>0</v>
      </c>
      <c r="L396" s="11">
        <f>_xlfn.XLOOKUP(TableDailySummary[[#This Row],[Fecha]],SummaryDaily[day],SummaryDaily[Online Store_net_sales],0)</f>
        <v>0</v>
      </c>
      <c r="M396" s="11">
        <f>_xlfn.XLOOKUP(TableDailySummary[[#This Row],[Fecha]],SummaryDaily[day],SummaryDaily[Online Store_orders],0)</f>
        <v>0</v>
      </c>
      <c r="N396" s="11">
        <f>_xlfn.XLOOKUP(TableDailySummary[[#This Row],[Fecha]],SummaryDaily[day],SummaryDaily[Online Store_average_order_value],0)</f>
        <v>0</v>
      </c>
      <c r="O396" s="11">
        <f>_xlfn.XLOOKUP(TableDailySummary[[#This Row],[Fecha]],SummaryDaily[day],SummaryDaily[Tienda 81_net_sales],0)</f>
        <v>0</v>
      </c>
      <c r="P396" s="11">
        <f>_xlfn.XLOOKUP(TableDailySummary[[#This Row],[Fecha]],SummaryDaily[day],SummaryDaily[Tienda 81_orders],0)</f>
        <v>0</v>
      </c>
      <c r="Q396" s="11">
        <f>_xlfn.XLOOKUP(TableDailySummary[[#This Row],[Fecha]],SummaryDaily[day],SummaryDaily[Tienda 81_average_order_value],0)</f>
        <v>0</v>
      </c>
      <c r="R396" s="11">
        <f>_xlfn.XLOOKUP(TableDailySummary[[#This Row],[Fecha]],SummaryDaily[day],SummaryDaily[Rappi_net_sales],0)</f>
        <v>0</v>
      </c>
      <c r="S396" s="11">
        <f>_xlfn.XLOOKUP(TableDailySummary[[#This Row],[Fecha]],SummaryDaily[day],SummaryDaily[Rappi_orders],0)</f>
        <v>0</v>
      </c>
      <c r="T396" s="11">
        <f>_xlfn.XLOOKUP(TableDailySummary[[#This Row],[Fecha]],SummaryDaily[day],SummaryDaily[Rappi_average_order_value],0)</f>
        <v>0</v>
      </c>
      <c r="U396" s="11">
        <f>_xlfn.XLOOKUP(TableDailySummary[[#This Row],[Fecha]],SummaryDaily[day],SummaryDaily[Corporativo no tienda_net_sales],0)</f>
        <v>0</v>
      </c>
      <c r="V396" s="11">
        <f>_xlfn.XLOOKUP(TableDailySummary[[#This Row],[Fecha]],SummaryDaily[day],SummaryDaily[Corporativo no tienda_orders],0)</f>
        <v>0</v>
      </c>
      <c r="W396" s="11">
        <f>_xlfn.XLOOKUP(TableDailySummary[[#This Row],[Fecha]],SummaryDaily[day],SummaryDaily[Corporativo no tienda_average_order_value],0)</f>
        <v>0</v>
      </c>
      <c r="X396" s="11">
        <f>_xlfn.XLOOKUP(TableDailySummary[[#This Row],[Fecha]],SummaryDaily[day],SummaryDaily[GoogleAdsOperation.Cost],0)</f>
        <v>0</v>
      </c>
      <c r="Y396" s="11">
        <f>SUMIFS(SalesByUTMDaily[google],SalesByUTMDaily[day],TableDailySummary[[#This Row],[Fecha]])</f>
        <v>0</v>
      </c>
      <c r="Z396" s="11">
        <f>_xlfn.XLOOKUP(TableDailySummary[[#This Row],[Fecha]],SummaryDaily[day],SummaryDaily[MetaAdsOperation.spend],0)</f>
        <v>0</v>
      </c>
      <c r="AA396" s="11">
        <f>SUMIFS(SalesByUTMDaily[facebook],SalesByUTMDaily[day],TableDailySummary[[#This Row],[Fecha]])</f>
        <v>0</v>
      </c>
      <c r="AB396" s="11">
        <f>TableDailySummary[[#This Row],[Inversión google ads]]+TableDailySummary[[#This Row],[Inversión meta ads]]</f>
        <v>0</v>
      </c>
      <c r="AC396" s="11">
        <f>TableDailySummary[[#This Row],[Ventas google ads]]+TableDailySummary[[#This Row],[Ventas meta ads]]</f>
        <v>0</v>
      </c>
      <c r="AD396" s="14">
        <f>IFERROR(TableDailySummary[[#This Row],[Ventas publicidad]]/TableDailySummary[[#This Row],[Inversión publicidad]],0)</f>
        <v>0</v>
      </c>
      <c r="AE396" s="14">
        <f>IFERROR(TableDailySummary[[#This Row],[Ventas primer cliente]]/TableDailySummary[[#This Row],[Inversión publicidad]],0)</f>
        <v>0</v>
      </c>
      <c r="AF396" s="14"/>
      <c r="AG396" s="11"/>
      <c r="AM396" s="11">
        <f>_xlfn.XLOOKUP(TableDailySummary[[#This Row],[Fecha]],SummaryDaily[day],SummaryDaily[net_sales_with_cost_recorded],0)</f>
        <v>0</v>
      </c>
      <c r="AN396" s="11">
        <f>_xlfn.XLOOKUP(TableDailySummary[[#This Row],[Fecha]],SummaryDaily[day],SummaryDaily[cost_of_goods_sold],0)</f>
        <v>0</v>
      </c>
      <c r="AO396" s="11">
        <f>_xlfn.XLOOKUP(TableDailySummary[[#This Row],[Fecha]],SummaryDaily[day],SummaryDaily[gross_profit],0)</f>
        <v>0</v>
      </c>
      <c r="AP396" s="18">
        <f>IFERROR(TableDailySummary[[#This Row],[Utilidad bruta]]/TableDailySummary[[#This Row],[Ventas netas con costo registrado]],0)</f>
        <v>0</v>
      </c>
    </row>
    <row r="397" spans="2:42" x14ac:dyDescent="0.2">
      <c r="B397" s="15" cm="1">
        <f t="array" ref="B397">ParamFechaInicioReporte + (ROW(TableDailySummary[#This Row]) - ROW(TableDailySummary[[#Headers],[Dia]]) - 1)</f>
        <v>44924</v>
      </c>
      <c r="C397" s="6">
        <f>TableDailySummary[[#This Row],[Dia]]</f>
        <v>44924</v>
      </c>
      <c r="D397" s="11">
        <f>_xlfn.XLOOKUP(TableDailySummary[[#This Row],[Fecha]],SummaryDaily[day],SummaryDaily[net_sales],0)</f>
        <v>0</v>
      </c>
      <c r="E397" s="11">
        <f>_xlfn.XLOOKUP(TableDailySummary[[#This Row],[Fecha]],SummaryDaily[day],SummaryDaily[orders],0)</f>
        <v>0</v>
      </c>
      <c r="F397" s="11">
        <f>_xlfn.XLOOKUP(TableDailySummary[[#This Row],[Fecha]],SummaryDaily[day],SummaryDaily[average_order_value],0)</f>
        <v>0</v>
      </c>
      <c r="G397" s="24" cm="1">
        <f t="array" ref="G397">_xlfn.XLOOKUP(TableDailySummary[[#This Row],[Fecha]]&amp;"Total site",ConversionRateByReferral[day]&amp;ConversionRateByReferral[referrer_source],ConversionRateByReferral[conversion_rate],0)</f>
        <v>0</v>
      </c>
      <c r="H397" s="11">
        <f>TableDailySummary[[#This Row],[Órden promedio totales]]*TableDailySummary[[#This Row],[CR totales]]</f>
        <v>0</v>
      </c>
      <c r="I397" s="11">
        <f>_xlfn.XLOOKUP(TableDailySummary[[#This Row],[Fecha]],SummaryDaily[day],SummaryDaily[new_net_sales],0)</f>
        <v>0</v>
      </c>
      <c r="J397" s="11">
        <f>_xlfn.XLOOKUP(TableDailySummary[[#This Row],[Fecha]],SummaryDaily[day],SummaryDaily[new_orders],0)</f>
        <v>0</v>
      </c>
      <c r="K397" s="11">
        <f>_xlfn.XLOOKUP(TableDailySummary[[#This Row],[Fecha]],SummaryDaily[day],SummaryDaily[new_average_order_value],0)</f>
        <v>0</v>
      </c>
      <c r="L397" s="11">
        <f>_xlfn.XLOOKUP(TableDailySummary[[#This Row],[Fecha]],SummaryDaily[day],SummaryDaily[Online Store_net_sales],0)</f>
        <v>0</v>
      </c>
      <c r="M397" s="11">
        <f>_xlfn.XLOOKUP(TableDailySummary[[#This Row],[Fecha]],SummaryDaily[day],SummaryDaily[Online Store_orders],0)</f>
        <v>0</v>
      </c>
      <c r="N397" s="11">
        <f>_xlfn.XLOOKUP(TableDailySummary[[#This Row],[Fecha]],SummaryDaily[day],SummaryDaily[Online Store_average_order_value],0)</f>
        <v>0</v>
      </c>
      <c r="O397" s="11">
        <f>_xlfn.XLOOKUP(TableDailySummary[[#This Row],[Fecha]],SummaryDaily[day],SummaryDaily[Tienda 81_net_sales],0)</f>
        <v>0</v>
      </c>
      <c r="P397" s="11">
        <f>_xlfn.XLOOKUP(TableDailySummary[[#This Row],[Fecha]],SummaryDaily[day],SummaryDaily[Tienda 81_orders],0)</f>
        <v>0</v>
      </c>
      <c r="Q397" s="11">
        <f>_xlfn.XLOOKUP(TableDailySummary[[#This Row],[Fecha]],SummaryDaily[day],SummaryDaily[Tienda 81_average_order_value],0)</f>
        <v>0</v>
      </c>
      <c r="R397" s="11">
        <f>_xlfn.XLOOKUP(TableDailySummary[[#This Row],[Fecha]],SummaryDaily[day],SummaryDaily[Rappi_net_sales],0)</f>
        <v>0</v>
      </c>
      <c r="S397" s="11">
        <f>_xlfn.XLOOKUP(TableDailySummary[[#This Row],[Fecha]],SummaryDaily[day],SummaryDaily[Rappi_orders],0)</f>
        <v>0</v>
      </c>
      <c r="T397" s="11">
        <f>_xlfn.XLOOKUP(TableDailySummary[[#This Row],[Fecha]],SummaryDaily[day],SummaryDaily[Rappi_average_order_value],0)</f>
        <v>0</v>
      </c>
      <c r="U397" s="11">
        <f>_xlfn.XLOOKUP(TableDailySummary[[#This Row],[Fecha]],SummaryDaily[day],SummaryDaily[Corporativo no tienda_net_sales],0)</f>
        <v>0</v>
      </c>
      <c r="V397" s="11">
        <f>_xlfn.XLOOKUP(TableDailySummary[[#This Row],[Fecha]],SummaryDaily[day],SummaryDaily[Corporativo no tienda_orders],0)</f>
        <v>0</v>
      </c>
      <c r="W397" s="11">
        <f>_xlfn.XLOOKUP(TableDailySummary[[#This Row],[Fecha]],SummaryDaily[day],SummaryDaily[Corporativo no tienda_average_order_value],0)</f>
        <v>0</v>
      </c>
      <c r="X397" s="11">
        <f>_xlfn.XLOOKUP(TableDailySummary[[#This Row],[Fecha]],SummaryDaily[day],SummaryDaily[GoogleAdsOperation.Cost],0)</f>
        <v>0</v>
      </c>
      <c r="Y397" s="11">
        <f>SUMIFS(SalesByUTMDaily[google],SalesByUTMDaily[day],TableDailySummary[[#This Row],[Fecha]])</f>
        <v>0</v>
      </c>
      <c r="Z397" s="11">
        <f>_xlfn.XLOOKUP(TableDailySummary[[#This Row],[Fecha]],SummaryDaily[day],SummaryDaily[MetaAdsOperation.spend],0)</f>
        <v>0</v>
      </c>
      <c r="AA397" s="11">
        <f>SUMIFS(SalesByUTMDaily[facebook],SalesByUTMDaily[day],TableDailySummary[[#This Row],[Fecha]])</f>
        <v>0</v>
      </c>
      <c r="AB397" s="11">
        <f>TableDailySummary[[#This Row],[Inversión google ads]]+TableDailySummary[[#This Row],[Inversión meta ads]]</f>
        <v>0</v>
      </c>
      <c r="AC397" s="11">
        <f>TableDailySummary[[#This Row],[Ventas google ads]]+TableDailySummary[[#This Row],[Ventas meta ads]]</f>
        <v>0</v>
      </c>
      <c r="AD397" s="14">
        <f>IFERROR(TableDailySummary[[#This Row],[Ventas publicidad]]/TableDailySummary[[#This Row],[Inversión publicidad]],0)</f>
        <v>0</v>
      </c>
      <c r="AE397" s="14">
        <f>IFERROR(TableDailySummary[[#This Row],[Ventas primer cliente]]/TableDailySummary[[#This Row],[Inversión publicidad]],0)</f>
        <v>0</v>
      </c>
      <c r="AF397" s="14"/>
      <c r="AG397" s="11"/>
      <c r="AM397" s="11">
        <f>_xlfn.XLOOKUP(TableDailySummary[[#This Row],[Fecha]],SummaryDaily[day],SummaryDaily[net_sales_with_cost_recorded],0)</f>
        <v>0</v>
      </c>
      <c r="AN397" s="11">
        <f>_xlfn.XLOOKUP(TableDailySummary[[#This Row],[Fecha]],SummaryDaily[day],SummaryDaily[cost_of_goods_sold],0)</f>
        <v>0</v>
      </c>
      <c r="AO397" s="11">
        <f>_xlfn.XLOOKUP(TableDailySummary[[#This Row],[Fecha]],SummaryDaily[day],SummaryDaily[gross_profit],0)</f>
        <v>0</v>
      </c>
      <c r="AP397" s="18">
        <f>IFERROR(TableDailySummary[[#This Row],[Utilidad bruta]]/TableDailySummary[[#This Row],[Ventas netas con costo registrado]],0)</f>
        <v>0</v>
      </c>
    </row>
    <row r="398" spans="2:42" x14ac:dyDescent="0.2">
      <c r="B398" s="15" cm="1">
        <f t="array" ref="B398">ParamFechaInicioReporte + (ROW(TableDailySummary[#This Row]) - ROW(TableDailySummary[[#Headers],[Dia]]) - 1)</f>
        <v>44925</v>
      </c>
      <c r="C398" s="6">
        <f>TableDailySummary[[#This Row],[Dia]]</f>
        <v>44925</v>
      </c>
      <c r="D398" s="11">
        <f>_xlfn.XLOOKUP(TableDailySummary[[#This Row],[Fecha]],SummaryDaily[day],SummaryDaily[net_sales],0)</f>
        <v>0</v>
      </c>
      <c r="E398" s="11">
        <f>_xlfn.XLOOKUP(TableDailySummary[[#This Row],[Fecha]],SummaryDaily[day],SummaryDaily[orders],0)</f>
        <v>0</v>
      </c>
      <c r="F398" s="11">
        <f>_xlfn.XLOOKUP(TableDailySummary[[#This Row],[Fecha]],SummaryDaily[day],SummaryDaily[average_order_value],0)</f>
        <v>0</v>
      </c>
      <c r="G398" s="24" cm="1">
        <f t="array" ref="G398">_xlfn.XLOOKUP(TableDailySummary[[#This Row],[Fecha]]&amp;"Total site",ConversionRateByReferral[day]&amp;ConversionRateByReferral[referrer_source],ConversionRateByReferral[conversion_rate],0)</f>
        <v>0</v>
      </c>
      <c r="H398" s="11">
        <f>TableDailySummary[[#This Row],[Órden promedio totales]]*TableDailySummary[[#This Row],[CR totales]]</f>
        <v>0</v>
      </c>
      <c r="I398" s="11">
        <f>_xlfn.XLOOKUP(TableDailySummary[[#This Row],[Fecha]],SummaryDaily[day],SummaryDaily[new_net_sales],0)</f>
        <v>0</v>
      </c>
      <c r="J398" s="11">
        <f>_xlfn.XLOOKUP(TableDailySummary[[#This Row],[Fecha]],SummaryDaily[day],SummaryDaily[new_orders],0)</f>
        <v>0</v>
      </c>
      <c r="K398" s="11">
        <f>_xlfn.XLOOKUP(TableDailySummary[[#This Row],[Fecha]],SummaryDaily[day],SummaryDaily[new_average_order_value],0)</f>
        <v>0</v>
      </c>
      <c r="L398" s="11">
        <f>_xlfn.XLOOKUP(TableDailySummary[[#This Row],[Fecha]],SummaryDaily[day],SummaryDaily[Online Store_net_sales],0)</f>
        <v>0</v>
      </c>
      <c r="M398" s="11">
        <f>_xlfn.XLOOKUP(TableDailySummary[[#This Row],[Fecha]],SummaryDaily[day],SummaryDaily[Online Store_orders],0)</f>
        <v>0</v>
      </c>
      <c r="N398" s="11">
        <f>_xlfn.XLOOKUP(TableDailySummary[[#This Row],[Fecha]],SummaryDaily[day],SummaryDaily[Online Store_average_order_value],0)</f>
        <v>0</v>
      </c>
      <c r="O398" s="11">
        <f>_xlfn.XLOOKUP(TableDailySummary[[#This Row],[Fecha]],SummaryDaily[day],SummaryDaily[Tienda 81_net_sales],0)</f>
        <v>0</v>
      </c>
      <c r="P398" s="11">
        <f>_xlfn.XLOOKUP(TableDailySummary[[#This Row],[Fecha]],SummaryDaily[day],SummaryDaily[Tienda 81_orders],0)</f>
        <v>0</v>
      </c>
      <c r="Q398" s="11">
        <f>_xlfn.XLOOKUP(TableDailySummary[[#This Row],[Fecha]],SummaryDaily[day],SummaryDaily[Tienda 81_average_order_value],0)</f>
        <v>0</v>
      </c>
      <c r="R398" s="11">
        <f>_xlfn.XLOOKUP(TableDailySummary[[#This Row],[Fecha]],SummaryDaily[day],SummaryDaily[Rappi_net_sales],0)</f>
        <v>0</v>
      </c>
      <c r="S398" s="11">
        <f>_xlfn.XLOOKUP(TableDailySummary[[#This Row],[Fecha]],SummaryDaily[day],SummaryDaily[Rappi_orders],0)</f>
        <v>0</v>
      </c>
      <c r="T398" s="11">
        <f>_xlfn.XLOOKUP(TableDailySummary[[#This Row],[Fecha]],SummaryDaily[day],SummaryDaily[Rappi_average_order_value],0)</f>
        <v>0</v>
      </c>
      <c r="U398" s="11">
        <f>_xlfn.XLOOKUP(TableDailySummary[[#This Row],[Fecha]],SummaryDaily[day],SummaryDaily[Corporativo no tienda_net_sales],0)</f>
        <v>0</v>
      </c>
      <c r="V398" s="11">
        <f>_xlfn.XLOOKUP(TableDailySummary[[#This Row],[Fecha]],SummaryDaily[day],SummaryDaily[Corporativo no tienda_orders],0)</f>
        <v>0</v>
      </c>
      <c r="W398" s="11">
        <f>_xlfn.XLOOKUP(TableDailySummary[[#This Row],[Fecha]],SummaryDaily[day],SummaryDaily[Corporativo no tienda_average_order_value],0)</f>
        <v>0</v>
      </c>
      <c r="X398" s="11">
        <f>_xlfn.XLOOKUP(TableDailySummary[[#This Row],[Fecha]],SummaryDaily[day],SummaryDaily[GoogleAdsOperation.Cost],0)</f>
        <v>0</v>
      </c>
      <c r="Y398" s="11">
        <f>SUMIFS(SalesByUTMDaily[google],SalesByUTMDaily[day],TableDailySummary[[#This Row],[Fecha]])</f>
        <v>0</v>
      </c>
      <c r="Z398" s="11">
        <f>_xlfn.XLOOKUP(TableDailySummary[[#This Row],[Fecha]],SummaryDaily[day],SummaryDaily[MetaAdsOperation.spend],0)</f>
        <v>0</v>
      </c>
      <c r="AA398" s="11">
        <f>SUMIFS(SalesByUTMDaily[facebook],SalesByUTMDaily[day],TableDailySummary[[#This Row],[Fecha]])</f>
        <v>0</v>
      </c>
      <c r="AB398" s="11">
        <f>TableDailySummary[[#This Row],[Inversión google ads]]+TableDailySummary[[#This Row],[Inversión meta ads]]</f>
        <v>0</v>
      </c>
      <c r="AC398" s="11">
        <f>TableDailySummary[[#This Row],[Ventas google ads]]+TableDailySummary[[#This Row],[Ventas meta ads]]</f>
        <v>0</v>
      </c>
      <c r="AD398" s="14">
        <f>IFERROR(TableDailySummary[[#This Row],[Ventas publicidad]]/TableDailySummary[[#This Row],[Inversión publicidad]],0)</f>
        <v>0</v>
      </c>
      <c r="AE398" s="14">
        <f>IFERROR(TableDailySummary[[#This Row],[Ventas primer cliente]]/TableDailySummary[[#This Row],[Inversión publicidad]],0)</f>
        <v>0</v>
      </c>
      <c r="AF398" s="14"/>
      <c r="AG398" s="11"/>
      <c r="AM398" s="11">
        <f>_xlfn.XLOOKUP(TableDailySummary[[#This Row],[Fecha]],SummaryDaily[day],SummaryDaily[net_sales_with_cost_recorded],0)</f>
        <v>0</v>
      </c>
      <c r="AN398" s="11">
        <f>_xlfn.XLOOKUP(TableDailySummary[[#This Row],[Fecha]],SummaryDaily[day],SummaryDaily[cost_of_goods_sold],0)</f>
        <v>0</v>
      </c>
      <c r="AO398" s="11">
        <f>_xlfn.XLOOKUP(TableDailySummary[[#This Row],[Fecha]],SummaryDaily[day],SummaryDaily[gross_profit],0)</f>
        <v>0</v>
      </c>
      <c r="AP398" s="18">
        <f>IFERROR(TableDailySummary[[#This Row],[Utilidad bruta]]/TableDailySummary[[#This Row],[Ventas netas con costo registrado]],0)</f>
        <v>0</v>
      </c>
    </row>
    <row r="399" spans="2:42" x14ac:dyDescent="0.2">
      <c r="B399" s="15" cm="1">
        <f t="array" ref="B399">ParamFechaInicioReporte + (ROW(TableDailySummary[#This Row]) - ROW(TableDailySummary[[#Headers],[Dia]]) - 1)</f>
        <v>44926</v>
      </c>
      <c r="C399" s="6">
        <f>TableDailySummary[[#This Row],[Dia]]</f>
        <v>44926</v>
      </c>
      <c r="D399" s="11">
        <f>_xlfn.XLOOKUP(TableDailySummary[[#This Row],[Fecha]],SummaryDaily[day],SummaryDaily[net_sales],0)</f>
        <v>0</v>
      </c>
      <c r="E399" s="11">
        <f>_xlfn.XLOOKUP(TableDailySummary[[#This Row],[Fecha]],SummaryDaily[day],SummaryDaily[orders],0)</f>
        <v>0</v>
      </c>
      <c r="F399" s="11">
        <f>_xlfn.XLOOKUP(TableDailySummary[[#This Row],[Fecha]],SummaryDaily[day],SummaryDaily[average_order_value],0)</f>
        <v>0</v>
      </c>
      <c r="G399" s="24" cm="1">
        <f t="array" ref="G399">_xlfn.XLOOKUP(TableDailySummary[[#This Row],[Fecha]]&amp;"Total site",ConversionRateByReferral[day]&amp;ConversionRateByReferral[referrer_source],ConversionRateByReferral[conversion_rate],0)</f>
        <v>0</v>
      </c>
      <c r="H399" s="11">
        <f>TableDailySummary[[#This Row],[Órden promedio totales]]*TableDailySummary[[#This Row],[CR totales]]</f>
        <v>0</v>
      </c>
      <c r="I399" s="11">
        <f>_xlfn.XLOOKUP(TableDailySummary[[#This Row],[Fecha]],SummaryDaily[day],SummaryDaily[new_net_sales],0)</f>
        <v>0</v>
      </c>
      <c r="J399" s="11">
        <f>_xlfn.XLOOKUP(TableDailySummary[[#This Row],[Fecha]],SummaryDaily[day],SummaryDaily[new_orders],0)</f>
        <v>0</v>
      </c>
      <c r="K399" s="11">
        <f>_xlfn.XLOOKUP(TableDailySummary[[#This Row],[Fecha]],SummaryDaily[day],SummaryDaily[new_average_order_value],0)</f>
        <v>0</v>
      </c>
      <c r="L399" s="11">
        <f>_xlfn.XLOOKUP(TableDailySummary[[#This Row],[Fecha]],SummaryDaily[day],SummaryDaily[Online Store_net_sales],0)</f>
        <v>0</v>
      </c>
      <c r="M399" s="11">
        <f>_xlfn.XLOOKUP(TableDailySummary[[#This Row],[Fecha]],SummaryDaily[day],SummaryDaily[Online Store_orders],0)</f>
        <v>0</v>
      </c>
      <c r="N399" s="11">
        <f>_xlfn.XLOOKUP(TableDailySummary[[#This Row],[Fecha]],SummaryDaily[day],SummaryDaily[Online Store_average_order_value],0)</f>
        <v>0</v>
      </c>
      <c r="O399" s="11">
        <f>_xlfn.XLOOKUP(TableDailySummary[[#This Row],[Fecha]],SummaryDaily[day],SummaryDaily[Tienda 81_net_sales],0)</f>
        <v>0</v>
      </c>
      <c r="P399" s="11">
        <f>_xlfn.XLOOKUP(TableDailySummary[[#This Row],[Fecha]],SummaryDaily[day],SummaryDaily[Tienda 81_orders],0)</f>
        <v>0</v>
      </c>
      <c r="Q399" s="11">
        <f>_xlfn.XLOOKUP(TableDailySummary[[#This Row],[Fecha]],SummaryDaily[day],SummaryDaily[Tienda 81_average_order_value],0)</f>
        <v>0</v>
      </c>
      <c r="R399" s="11">
        <f>_xlfn.XLOOKUP(TableDailySummary[[#This Row],[Fecha]],SummaryDaily[day],SummaryDaily[Rappi_net_sales],0)</f>
        <v>0</v>
      </c>
      <c r="S399" s="11">
        <f>_xlfn.XLOOKUP(TableDailySummary[[#This Row],[Fecha]],SummaryDaily[day],SummaryDaily[Rappi_orders],0)</f>
        <v>0</v>
      </c>
      <c r="T399" s="11">
        <f>_xlfn.XLOOKUP(TableDailySummary[[#This Row],[Fecha]],SummaryDaily[day],SummaryDaily[Rappi_average_order_value],0)</f>
        <v>0</v>
      </c>
      <c r="U399" s="11">
        <f>_xlfn.XLOOKUP(TableDailySummary[[#This Row],[Fecha]],SummaryDaily[day],SummaryDaily[Corporativo no tienda_net_sales],0)</f>
        <v>0</v>
      </c>
      <c r="V399" s="11">
        <f>_xlfn.XLOOKUP(TableDailySummary[[#This Row],[Fecha]],SummaryDaily[day],SummaryDaily[Corporativo no tienda_orders],0)</f>
        <v>0</v>
      </c>
      <c r="W399" s="11">
        <f>_xlfn.XLOOKUP(TableDailySummary[[#This Row],[Fecha]],SummaryDaily[day],SummaryDaily[Corporativo no tienda_average_order_value],0)</f>
        <v>0</v>
      </c>
      <c r="X399" s="11">
        <f>_xlfn.XLOOKUP(TableDailySummary[[#This Row],[Fecha]],SummaryDaily[day],SummaryDaily[GoogleAdsOperation.Cost],0)</f>
        <v>0</v>
      </c>
      <c r="Y399" s="11">
        <f>SUMIFS(SalesByUTMDaily[google],SalesByUTMDaily[day],TableDailySummary[[#This Row],[Fecha]])</f>
        <v>0</v>
      </c>
      <c r="Z399" s="11">
        <f>_xlfn.XLOOKUP(TableDailySummary[[#This Row],[Fecha]],SummaryDaily[day],SummaryDaily[MetaAdsOperation.spend],0)</f>
        <v>0</v>
      </c>
      <c r="AA399" s="11">
        <f>SUMIFS(SalesByUTMDaily[facebook],SalesByUTMDaily[day],TableDailySummary[[#This Row],[Fecha]])</f>
        <v>0</v>
      </c>
      <c r="AB399" s="11">
        <f>TableDailySummary[[#This Row],[Inversión google ads]]+TableDailySummary[[#This Row],[Inversión meta ads]]</f>
        <v>0</v>
      </c>
      <c r="AC399" s="11">
        <f>TableDailySummary[[#This Row],[Ventas google ads]]+TableDailySummary[[#This Row],[Ventas meta ads]]</f>
        <v>0</v>
      </c>
      <c r="AD399" s="14">
        <f>IFERROR(TableDailySummary[[#This Row],[Ventas publicidad]]/TableDailySummary[[#This Row],[Inversión publicidad]],0)</f>
        <v>0</v>
      </c>
      <c r="AE399" s="14">
        <f>IFERROR(TableDailySummary[[#This Row],[Ventas primer cliente]]/TableDailySummary[[#This Row],[Inversión publicidad]],0)</f>
        <v>0</v>
      </c>
      <c r="AF399" s="14"/>
      <c r="AG399" s="11"/>
      <c r="AM399" s="11">
        <f>_xlfn.XLOOKUP(TableDailySummary[[#This Row],[Fecha]],SummaryDaily[day],SummaryDaily[net_sales_with_cost_recorded],0)</f>
        <v>0</v>
      </c>
      <c r="AN399" s="11">
        <f>_xlfn.XLOOKUP(TableDailySummary[[#This Row],[Fecha]],SummaryDaily[day],SummaryDaily[cost_of_goods_sold],0)</f>
        <v>0</v>
      </c>
      <c r="AO399" s="11">
        <f>_xlfn.XLOOKUP(TableDailySummary[[#This Row],[Fecha]],SummaryDaily[day],SummaryDaily[gross_profit],0)</f>
        <v>0</v>
      </c>
      <c r="AP399" s="18">
        <f>IFERROR(TableDailySummary[[#This Row],[Utilidad bruta]]/TableDailySummary[[#This Row],[Ventas netas con costo registrado]],0)</f>
        <v>0</v>
      </c>
    </row>
    <row r="400" spans="2:42" x14ac:dyDescent="0.2">
      <c r="B400" s="15" cm="1">
        <f t="array" ref="B400">ParamFechaInicioReporte + (ROW(TableDailySummary[#This Row]) - ROW(TableDailySummary[[#Headers],[Dia]]) - 1)</f>
        <v>44927</v>
      </c>
      <c r="C400" s="6">
        <f>TableDailySummary[[#This Row],[Dia]]</f>
        <v>44927</v>
      </c>
      <c r="D400" s="11">
        <f>_xlfn.XLOOKUP(TableDailySummary[[#This Row],[Fecha]],SummaryDaily[day],SummaryDaily[net_sales],0)</f>
        <v>0</v>
      </c>
      <c r="E400" s="11">
        <f>_xlfn.XLOOKUP(TableDailySummary[[#This Row],[Fecha]],SummaryDaily[day],SummaryDaily[orders],0)</f>
        <v>0</v>
      </c>
      <c r="F400" s="11">
        <f>_xlfn.XLOOKUP(TableDailySummary[[#This Row],[Fecha]],SummaryDaily[day],SummaryDaily[average_order_value],0)</f>
        <v>0</v>
      </c>
      <c r="G400" s="24" cm="1">
        <f t="array" ref="G400">_xlfn.XLOOKUP(TableDailySummary[[#This Row],[Fecha]]&amp;"Total site",ConversionRateByReferral[day]&amp;ConversionRateByReferral[referrer_source],ConversionRateByReferral[conversion_rate],0)</f>
        <v>0</v>
      </c>
      <c r="H400" s="11">
        <f>TableDailySummary[[#This Row],[Órden promedio totales]]*TableDailySummary[[#This Row],[CR totales]]</f>
        <v>0</v>
      </c>
      <c r="I400" s="11">
        <f>_xlfn.XLOOKUP(TableDailySummary[[#This Row],[Fecha]],SummaryDaily[day],SummaryDaily[new_net_sales],0)</f>
        <v>0</v>
      </c>
      <c r="J400" s="11">
        <f>_xlfn.XLOOKUP(TableDailySummary[[#This Row],[Fecha]],SummaryDaily[day],SummaryDaily[new_orders],0)</f>
        <v>0</v>
      </c>
      <c r="K400" s="11">
        <f>_xlfn.XLOOKUP(TableDailySummary[[#This Row],[Fecha]],SummaryDaily[day],SummaryDaily[new_average_order_value],0)</f>
        <v>0</v>
      </c>
      <c r="L400" s="11">
        <f>_xlfn.XLOOKUP(TableDailySummary[[#This Row],[Fecha]],SummaryDaily[day],SummaryDaily[Online Store_net_sales],0)</f>
        <v>0</v>
      </c>
      <c r="M400" s="11">
        <f>_xlfn.XLOOKUP(TableDailySummary[[#This Row],[Fecha]],SummaryDaily[day],SummaryDaily[Online Store_orders],0)</f>
        <v>0</v>
      </c>
      <c r="N400" s="11">
        <f>_xlfn.XLOOKUP(TableDailySummary[[#This Row],[Fecha]],SummaryDaily[day],SummaryDaily[Online Store_average_order_value],0)</f>
        <v>0</v>
      </c>
      <c r="O400" s="11">
        <f>_xlfn.XLOOKUP(TableDailySummary[[#This Row],[Fecha]],SummaryDaily[day],SummaryDaily[Tienda 81_net_sales],0)</f>
        <v>0</v>
      </c>
      <c r="P400" s="11">
        <f>_xlfn.XLOOKUP(TableDailySummary[[#This Row],[Fecha]],SummaryDaily[day],SummaryDaily[Tienda 81_orders],0)</f>
        <v>0</v>
      </c>
      <c r="Q400" s="11">
        <f>_xlfn.XLOOKUP(TableDailySummary[[#This Row],[Fecha]],SummaryDaily[day],SummaryDaily[Tienda 81_average_order_value],0)</f>
        <v>0</v>
      </c>
      <c r="R400" s="11">
        <f>_xlfn.XLOOKUP(TableDailySummary[[#This Row],[Fecha]],SummaryDaily[day],SummaryDaily[Rappi_net_sales],0)</f>
        <v>0</v>
      </c>
      <c r="S400" s="11">
        <f>_xlfn.XLOOKUP(TableDailySummary[[#This Row],[Fecha]],SummaryDaily[day],SummaryDaily[Rappi_orders],0)</f>
        <v>0</v>
      </c>
      <c r="T400" s="11">
        <f>_xlfn.XLOOKUP(TableDailySummary[[#This Row],[Fecha]],SummaryDaily[day],SummaryDaily[Rappi_average_order_value],0)</f>
        <v>0</v>
      </c>
      <c r="U400" s="11">
        <f>_xlfn.XLOOKUP(TableDailySummary[[#This Row],[Fecha]],SummaryDaily[day],SummaryDaily[Corporativo no tienda_net_sales],0)</f>
        <v>0</v>
      </c>
      <c r="V400" s="11">
        <f>_xlfn.XLOOKUP(TableDailySummary[[#This Row],[Fecha]],SummaryDaily[day],SummaryDaily[Corporativo no tienda_orders],0)</f>
        <v>0</v>
      </c>
      <c r="W400" s="11">
        <f>_xlfn.XLOOKUP(TableDailySummary[[#This Row],[Fecha]],SummaryDaily[day],SummaryDaily[Corporativo no tienda_average_order_value],0)</f>
        <v>0</v>
      </c>
      <c r="X400" s="11">
        <f>_xlfn.XLOOKUP(TableDailySummary[[#This Row],[Fecha]],SummaryDaily[day],SummaryDaily[GoogleAdsOperation.Cost],0)</f>
        <v>0</v>
      </c>
      <c r="Y400" s="11">
        <f>SUMIFS(SalesByUTMDaily[google],SalesByUTMDaily[day],TableDailySummary[[#This Row],[Fecha]])</f>
        <v>0</v>
      </c>
      <c r="Z400" s="11">
        <f>_xlfn.XLOOKUP(TableDailySummary[[#This Row],[Fecha]],SummaryDaily[day],SummaryDaily[MetaAdsOperation.spend],0)</f>
        <v>0</v>
      </c>
      <c r="AA400" s="11">
        <f>SUMIFS(SalesByUTMDaily[facebook],SalesByUTMDaily[day],TableDailySummary[[#This Row],[Fecha]])</f>
        <v>0</v>
      </c>
      <c r="AB400" s="11">
        <f>TableDailySummary[[#This Row],[Inversión google ads]]+TableDailySummary[[#This Row],[Inversión meta ads]]</f>
        <v>0</v>
      </c>
      <c r="AC400" s="11">
        <f>TableDailySummary[[#This Row],[Ventas google ads]]+TableDailySummary[[#This Row],[Ventas meta ads]]</f>
        <v>0</v>
      </c>
      <c r="AD400" s="14">
        <f>IFERROR(TableDailySummary[[#This Row],[Ventas publicidad]]/TableDailySummary[[#This Row],[Inversión publicidad]],0)</f>
        <v>0</v>
      </c>
      <c r="AE400" s="14">
        <f>IFERROR(TableDailySummary[[#This Row],[Ventas primer cliente]]/TableDailySummary[[#This Row],[Inversión publicidad]],0)</f>
        <v>0</v>
      </c>
      <c r="AF400" s="14"/>
      <c r="AG400" s="11"/>
      <c r="AM400" s="11">
        <f>_xlfn.XLOOKUP(TableDailySummary[[#This Row],[Fecha]],SummaryDaily[day],SummaryDaily[net_sales_with_cost_recorded],0)</f>
        <v>0</v>
      </c>
      <c r="AN400" s="11">
        <f>_xlfn.XLOOKUP(TableDailySummary[[#This Row],[Fecha]],SummaryDaily[day],SummaryDaily[cost_of_goods_sold],0)</f>
        <v>0</v>
      </c>
      <c r="AO400" s="11">
        <f>_xlfn.XLOOKUP(TableDailySummary[[#This Row],[Fecha]],SummaryDaily[day],SummaryDaily[gross_profit],0)</f>
        <v>0</v>
      </c>
      <c r="AP400" s="18">
        <f>IFERROR(TableDailySummary[[#This Row],[Utilidad bruta]]/TableDailySummary[[#This Row],[Ventas netas con costo registrado]],0)</f>
        <v>0</v>
      </c>
    </row>
    <row r="401" spans="2:42" x14ac:dyDescent="0.2">
      <c r="B401" s="15" cm="1">
        <f t="array" ref="B401">ParamFechaInicioReporte + (ROW(TableDailySummary[#This Row]) - ROW(TableDailySummary[[#Headers],[Dia]]) - 1)</f>
        <v>44928</v>
      </c>
      <c r="C401" s="6">
        <f>TableDailySummary[[#This Row],[Dia]]</f>
        <v>44928</v>
      </c>
      <c r="D401" s="11">
        <f>_xlfn.XLOOKUP(TableDailySummary[[#This Row],[Fecha]],SummaryDaily[day],SummaryDaily[net_sales],0)</f>
        <v>0</v>
      </c>
      <c r="E401" s="11">
        <f>_xlfn.XLOOKUP(TableDailySummary[[#This Row],[Fecha]],SummaryDaily[day],SummaryDaily[orders],0)</f>
        <v>0</v>
      </c>
      <c r="F401" s="11">
        <f>_xlfn.XLOOKUP(TableDailySummary[[#This Row],[Fecha]],SummaryDaily[day],SummaryDaily[average_order_value],0)</f>
        <v>0</v>
      </c>
      <c r="G401" s="24" cm="1">
        <f t="array" ref="G401">_xlfn.XLOOKUP(TableDailySummary[[#This Row],[Fecha]]&amp;"Total site",ConversionRateByReferral[day]&amp;ConversionRateByReferral[referrer_source],ConversionRateByReferral[conversion_rate],0)</f>
        <v>0</v>
      </c>
      <c r="H401" s="11">
        <f>TableDailySummary[[#This Row],[Órden promedio totales]]*TableDailySummary[[#This Row],[CR totales]]</f>
        <v>0</v>
      </c>
      <c r="I401" s="11">
        <f>_xlfn.XLOOKUP(TableDailySummary[[#This Row],[Fecha]],SummaryDaily[day],SummaryDaily[new_net_sales],0)</f>
        <v>0</v>
      </c>
      <c r="J401" s="11">
        <f>_xlfn.XLOOKUP(TableDailySummary[[#This Row],[Fecha]],SummaryDaily[day],SummaryDaily[new_orders],0)</f>
        <v>0</v>
      </c>
      <c r="K401" s="11">
        <f>_xlfn.XLOOKUP(TableDailySummary[[#This Row],[Fecha]],SummaryDaily[day],SummaryDaily[new_average_order_value],0)</f>
        <v>0</v>
      </c>
      <c r="L401" s="11">
        <f>_xlfn.XLOOKUP(TableDailySummary[[#This Row],[Fecha]],SummaryDaily[day],SummaryDaily[Online Store_net_sales],0)</f>
        <v>0</v>
      </c>
      <c r="M401" s="11">
        <f>_xlfn.XLOOKUP(TableDailySummary[[#This Row],[Fecha]],SummaryDaily[day],SummaryDaily[Online Store_orders],0)</f>
        <v>0</v>
      </c>
      <c r="N401" s="11">
        <f>_xlfn.XLOOKUP(TableDailySummary[[#This Row],[Fecha]],SummaryDaily[day],SummaryDaily[Online Store_average_order_value],0)</f>
        <v>0</v>
      </c>
      <c r="O401" s="11">
        <f>_xlfn.XLOOKUP(TableDailySummary[[#This Row],[Fecha]],SummaryDaily[day],SummaryDaily[Tienda 81_net_sales],0)</f>
        <v>0</v>
      </c>
      <c r="P401" s="11">
        <f>_xlfn.XLOOKUP(TableDailySummary[[#This Row],[Fecha]],SummaryDaily[day],SummaryDaily[Tienda 81_orders],0)</f>
        <v>0</v>
      </c>
      <c r="Q401" s="11">
        <f>_xlfn.XLOOKUP(TableDailySummary[[#This Row],[Fecha]],SummaryDaily[day],SummaryDaily[Tienda 81_average_order_value],0)</f>
        <v>0</v>
      </c>
      <c r="R401" s="11">
        <f>_xlfn.XLOOKUP(TableDailySummary[[#This Row],[Fecha]],SummaryDaily[day],SummaryDaily[Rappi_net_sales],0)</f>
        <v>0</v>
      </c>
      <c r="S401" s="11">
        <f>_xlfn.XLOOKUP(TableDailySummary[[#This Row],[Fecha]],SummaryDaily[day],SummaryDaily[Rappi_orders],0)</f>
        <v>0</v>
      </c>
      <c r="T401" s="11">
        <f>_xlfn.XLOOKUP(TableDailySummary[[#This Row],[Fecha]],SummaryDaily[day],SummaryDaily[Rappi_average_order_value],0)</f>
        <v>0</v>
      </c>
      <c r="U401" s="11">
        <f>_xlfn.XLOOKUP(TableDailySummary[[#This Row],[Fecha]],SummaryDaily[day],SummaryDaily[Corporativo no tienda_net_sales],0)</f>
        <v>0</v>
      </c>
      <c r="V401" s="11">
        <f>_xlfn.XLOOKUP(TableDailySummary[[#This Row],[Fecha]],SummaryDaily[day],SummaryDaily[Corporativo no tienda_orders],0)</f>
        <v>0</v>
      </c>
      <c r="W401" s="11">
        <f>_xlfn.XLOOKUP(TableDailySummary[[#This Row],[Fecha]],SummaryDaily[day],SummaryDaily[Corporativo no tienda_average_order_value],0)</f>
        <v>0</v>
      </c>
      <c r="X401" s="11">
        <f>_xlfn.XLOOKUP(TableDailySummary[[#This Row],[Fecha]],SummaryDaily[day],SummaryDaily[GoogleAdsOperation.Cost],0)</f>
        <v>0</v>
      </c>
      <c r="Y401" s="11">
        <f>SUMIFS(SalesByUTMDaily[google],SalesByUTMDaily[day],TableDailySummary[[#This Row],[Fecha]])</f>
        <v>0</v>
      </c>
      <c r="Z401" s="11">
        <f>_xlfn.XLOOKUP(TableDailySummary[[#This Row],[Fecha]],SummaryDaily[day],SummaryDaily[MetaAdsOperation.spend],0)</f>
        <v>0</v>
      </c>
      <c r="AA401" s="11">
        <f>SUMIFS(SalesByUTMDaily[facebook],SalesByUTMDaily[day],TableDailySummary[[#This Row],[Fecha]])</f>
        <v>0</v>
      </c>
      <c r="AB401" s="11">
        <f>TableDailySummary[[#This Row],[Inversión google ads]]+TableDailySummary[[#This Row],[Inversión meta ads]]</f>
        <v>0</v>
      </c>
      <c r="AC401" s="11">
        <f>TableDailySummary[[#This Row],[Ventas google ads]]+TableDailySummary[[#This Row],[Ventas meta ads]]</f>
        <v>0</v>
      </c>
      <c r="AD401" s="14">
        <f>IFERROR(TableDailySummary[[#This Row],[Ventas publicidad]]/TableDailySummary[[#This Row],[Inversión publicidad]],0)</f>
        <v>0</v>
      </c>
      <c r="AE401" s="14">
        <f>IFERROR(TableDailySummary[[#This Row],[Ventas primer cliente]]/TableDailySummary[[#This Row],[Inversión publicidad]],0)</f>
        <v>0</v>
      </c>
      <c r="AF401" s="14"/>
      <c r="AG401" s="11"/>
      <c r="AM401" s="11">
        <f>_xlfn.XLOOKUP(TableDailySummary[[#This Row],[Fecha]],SummaryDaily[day],SummaryDaily[net_sales_with_cost_recorded],0)</f>
        <v>0</v>
      </c>
      <c r="AN401" s="11">
        <f>_xlfn.XLOOKUP(TableDailySummary[[#This Row],[Fecha]],SummaryDaily[day],SummaryDaily[cost_of_goods_sold],0)</f>
        <v>0</v>
      </c>
      <c r="AO401" s="11">
        <f>_xlfn.XLOOKUP(TableDailySummary[[#This Row],[Fecha]],SummaryDaily[day],SummaryDaily[gross_profit],0)</f>
        <v>0</v>
      </c>
      <c r="AP401" s="18">
        <f>IFERROR(TableDailySummary[[#This Row],[Utilidad bruta]]/TableDailySummary[[#This Row],[Ventas netas con costo registrado]],0)</f>
        <v>0</v>
      </c>
    </row>
    <row r="402" spans="2:42" x14ac:dyDescent="0.2">
      <c r="B402" s="15" cm="1">
        <f t="array" ref="B402">ParamFechaInicioReporte + (ROW(TableDailySummary[#This Row]) - ROW(TableDailySummary[[#Headers],[Dia]]) - 1)</f>
        <v>44929</v>
      </c>
      <c r="C402" s="6">
        <f>TableDailySummary[[#This Row],[Dia]]</f>
        <v>44929</v>
      </c>
      <c r="D402" s="11">
        <f>_xlfn.XLOOKUP(TableDailySummary[[#This Row],[Fecha]],SummaryDaily[day],SummaryDaily[net_sales],0)</f>
        <v>0</v>
      </c>
      <c r="E402" s="11">
        <f>_xlfn.XLOOKUP(TableDailySummary[[#This Row],[Fecha]],SummaryDaily[day],SummaryDaily[orders],0)</f>
        <v>0</v>
      </c>
      <c r="F402" s="11">
        <f>_xlfn.XLOOKUP(TableDailySummary[[#This Row],[Fecha]],SummaryDaily[day],SummaryDaily[average_order_value],0)</f>
        <v>0</v>
      </c>
      <c r="G402" s="24" cm="1">
        <f t="array" ref="G402">_xlfn.XLOOKUP(TableDailySummary[[#This Row],[Fecha]]&amp;"Total site",ConversionRateByReferral[day]&amp;ConversionRateByReferral[referrer_source],ConversionRateByReferral[conversion_rate],0)</f>
        <v>0</v>
      </c>
      <c r="H402" s="11">
        <f>TableDailySummary[[#This Row],[Órden promedio totales]]*TableDailySummary[[#This Row],[CR totales]]</f>
        <v>0</v>
      </c>
      <c r="I402" s="11">
        <f>_xlfn.XLOOKUP(TableDailySummary[[#This Row],[Fecha]],SummaryDaily[day],SummaryDaily[new_net_sales],0)</f>
        <v>0</v>
      </c>
      <c r="J402" s="11">
        <f>_xlfn.XLOOKUP(TableDailySummary[[#This Row],[Fecha]],SummaryDaily[day],SummaryDaily[new_orders],0)</f>
        <v>0</v>
      </c>
      <c r="K402" s="11">
        <f>_xlfn.XLOOKUP(TableDailySummary[[#This Row],[Fecha]],SummaryDaily[day],SummaryDaily[new_average_order_value],0)</f>
        <v>0</v>
      </c>
      <c r="L402" s="11">
        <f>_xlfn.XLOOKUP(TableDailySummary[[#This Row],[Fecha]],SummaryDaily[day],SummaryDaily[Online Store_net_sales],0)</f>
        <v>0</v>
      </c>
      <c r="M402" s="11">
        <f>_xlfn.XLOOKUP(TableDailySummary[[#This Row],[Fecha]],SummaryDaily[day],SummaryDaily[Online Store_orders],0)</f>
        <v>0</v>
      </c>
      <c r="N402" s="11">
        <f>_xlfn.XLOOKUP(TableDailySummary[[#This Row],[Fecha]],SummaryDaily[day],SummaryDaily[Online Store_average_order_value],0)</f>
        <v>0</v>
      </c>
      <c r="O402" s="11">
        <f>_xlfn.XLOOKUP(TableDailySummary[[#This Row],[Fecha]],SummaryDaily[day],SummaryDaily[Tienda 81_net_sales],0)</f>
        <v>0</v>
      </c>
      <c r="P402" s="11">
        <f>_xlfn.XLOOKUP(TableDailySummary[[#This Row],[Fecha]],SummaryDaily[day],SummaryDaily[Tienda 81_orders],0)</f>
        <v>0</v>
      </c>
      <c r="Q402" s="11">
        <f>_xlfn.XLOOKUP(TableDailySummary[[#This Row],[Fecha]],SummaryDaily[day],SummaryDaily[Tienda 81_average_order_value],0)</f>
        <v>0</v>
      </c>
      <c r="R402" s="11">
        <f>_xlfn.XLOOKUP(TableDailySummary[[#This Row],[Fecha]],SummaryDaily[day],SummaryDaily[Rappi_net_sales],0)</f>
        <v>0</v>
      </c>
      <c r="S402" s="11">
        <f>_xlfn.XLOOKUP(TableDailySummary[[#This Row],[Fecha]],SummaryDaily[day],SummaryDaily[Rappi_orders],0)</f>
        <v>0</v>
      </c>
      <c r="T402" s="11">
        <f>_xlfn.XLOOKUP(TableDailySummary[[#This Row],[Fecha]],SummaryDaily[day],SummaryDaily[Rappi_average_order_value],0)</f>
        <v>0</v>
      </c>
      <c r="U402" s="11">
        <f>_xlfn.XLOOKUP(TableDailySummary[[#This Row],[Fecha]],SummaryDaily[day],SummaryDaily[Corporativo no tienda_net_sales],0)</f>
        <v>0</v>
      </c>
      <c r="V402" s="11">
        <f>_xlfn.XLOOKUP(TableDailySummary[[#This Row],[Fecha]],SummaryDaily[day],SummaryDaily[Corporativo no tienda_orders],0)</f>
        <v>0</v>
      </c>
      <c r="W402" s="11">
        <f>_xlfn.XLOOKUP(TableDailySummary[[#This Row],[Fecha]],SummaryDaily[day],SummaryDaily[Corporativo no tienda_average_order_value],0)</f>
        <v>0</v>
      </c>
      <c r="X402" s="11">
        <f>_xlfn.XLOOKUP(TableDailySummary[[#This Row],[Fecha]],SummaryDaily[day],SummaryDaily[GoogleAdsOperation.Cost],0)</f>
        <v>0</v>
      </c>
      <c r="Y402" s="11">
        <f>SUMIFS(SalesByUTMDaily[google],SalesByUTMDaily[day],TableDailySummary[[#This Row],[Fecha]])</f>
        <v>0</v>
      </c>
      <c r="Z402" s="11">
        <f>_xlfn.XLOOKUP(TableDailySummary[[#This Row],[Fecha]],SummaryDaily[day],SummaryDaily[MetaAdsOperation.spend],0)</f>
        <v>0</v>
      </c>
      <c r="AA402" s="11">
        <f>SUMIFS(SalesByUTMDaily[facebook],SalesByUTMDaily[day],TableDailySummary[[#This Row],[Fecha]])</f>
        <v>0</v>
      </c>
      <c r="AB402" s="11">
        <f>TableDailySummary[[#This Row],[Inversión google ads]]+TableDailySummary[[#This Row],[Inversión meta ads]]</f>
        <v>0</v>
      </c>
      <c r="AC402" s="11">
        <f>TableDailySummary[[#This Row],[Ventas google ads]]+TableDailySummary[[#This Row],[Ventas meta ads]]</f>
        <v>0</v>
      </c>
      <c r="AD402" s="14">
        <f>IFERROR(TableDailySummary[[#This Row],[Ventas publicidad]]/TableDailySummary[[#This Row],[Inversión publicidad]],0)</f>
        <v>0</v>
      </c>
      <c r="AE402" s="14">
        <f>IFERROR(TableDailySummary[[#This Row],[Ventas primer cliente]]/TableDailySummary[[#This Row],[Inversión publicidad]],0)</f>
        <v>0</v>
      </c>
      <c r="AF402" s="14"/>
      <c r="AG402" s="11"/>
      <c r="AM402" s="11">
        <f>_xlfn.XLOOKUP(TableDailySummary[[#This Row],[Fecha]],SummaryDaily[day],SummaryDaily[net_sales_with_cost_recorded],0)</f>
        <v>0</v>
      </c>
      <c r="AN402" s="11">
        <f>_xlfn.XLOOKUP(TableDailySummary[[#This Row],[Fecha]],SummaryDaily[day],SummaryDaily[cost_of_goods_sold],0)</f>
        <v>0</v>
      </c>
      <c r="AO402" s="11">
        <f>_xlfn.XLOOKUP(TableDailySummary[[#This Row],[Fecha]],SummaryDaily[day],SummaryDaily[gross_profit],0)</f>
        <v>0</v>
      </c>
      <c r="AP402" s="18">
        <f>IFERROR(TableDailySummary[[#This Row],[Utilidad bruta]]/TableDailySummary[[#This Row],[Ventas netas con costo registrado]],0)</f>
        <v>0</v>
      </c>
    </row>
    <row r="403" spans="2:42" x14ac:dyDescent="0.2">
      <c r="B403" s="15" cm="1">
        <f t="array" ref="B403">ParamFechaInicioReporte + (ROW(TableDailySummary[#This Row]) - ROW(TableDailySummary[[#Headers],[Dia]]) - 1)</f>
        <v>44930</v>
      </c>
      <c r="C403" s="6">
        <f>TableDailySummary[[#This Row],[Dia]]</f>
        <v>44930</v>
      </c>
      <c r="D403" s="11">
        <f>_xlfn.XLOOKUP(TableDailySummary[[#This Row],[Fecha]],SummaryDaily[day],SummaryDaily[net_sales],0)</f>
        <v>0</v>
      </c>
      <c r="E403" s="11">
        <f>_xlfn.XLOOKUP(TableDailySummary[[#This Row],[Fecha]],SummaryDaily[day],SummaryDaily[orders],0)</f>
        <v>0</v>
      </c>
      <c r="F403" s="11">
        <f>_xlfn.XLOOKUP(TableDailySummary[[#This Row],[Fecha]],SummaryDaily[day],SummaryDaily[average_order_value],0)</f>
        <v>0</v>
      </c>
      <c r="G403" s="24" cm="1">
        <f t="array" ref="G403">_xlfn.XLOOKUP(TableDailySummary[[#This Row],[Fecha]]&amp;"Total site",ConversionRateByReferral[day]&amp;ConversionRateByReferral[referrer_source],ConversionRateByReferral[conversion_rate],0)</f>
        <v>0</v>
      </c>
      <c r="H403" s="11">
        <f>TableDailySummary[[#This Row],[Órden promedio totales]]*TableDailySummary[[#This Row],[CR totales]]</f>
        <v>0</v>
      </c>
      <c r="I403" s="11">
        <f>_xlfn.XLOOKUP(TableDailySummary[[#This Row],[Fecha]],SummaryDaily[day],SummaryDaily[new_net_sales],0)</f>
        <v>0</v>
      </c>
      <c r="J403" s="11">
        <f>_xlfn.XLOOKUP(TableDailySummary[[#This Row],[Fecha]],SummaryDaily[day],SummaryDaily[new_orders],0)</f>
        <v>0</v>
      </c>
      <c r="K403" s="11">
        <f>_xlfn.XLOOKUP(TableDailySummary[[#This Row],[Fecha]],SummaryDaily[day],SummaryDaily[new_average_order_value],0)</f>
        <v>0</v>
      </c>
      <c r="L403" s="11">
        <f>_xlfn.XLOOKUP(TableDailySummary[[#This Row],[Fecha]],SummaryDaily[day],SummaryDaily[Online Store_net_sales],0)</f>
        <v>0</v>
      </c>
      <c r="M403" s="11">
        <f>_xlfn.XLOOKUP(TableDailySummary[[#This Row],[Fecha]],SummaryDaily[day],SummaryDaily[Online Store_orders],0)</f>
        <v>0</v>
      </c>
      <c r="N403" s="11">
        <f>_xlfn.XLOOKUP(TableDailySummary[[#This Row],[Fecha]],SummaryDaily[day],SummaryDaily[Online Store_average_order_value],0)</f>
        <v>0</v>
      </c>
      <c r="O403" s="11">
        <f>_xlfn.XLOOKUP(TableDailySummary[[#This Row],[Fecha]],SummaryDaily[day],SummaryDaily[Tienda 81_net_sales],0)</f>
        <v>0</v>
      </c>
      <c r="P403" s="11">
        <f>_xlfn.XLOOKUP(TableDailySummary[[#This Row],[Fecha]],SummaryDaily[day],SummaryDaily[Tienda 81_orders],0)</f>
        <v>0</v>
      </c>
      <c r="Q403" s="11">
        <f>_xlfn.XLOOKUP(TableDailySummary[[#This Row],[Fecha]],SummaryDaily[day],SummaryDaily[Tienda 81_average_order_value],0)</f>
        <v>0</v>
      </c>
      <c r="R403" s="11">
        <f>_xlfn.XLOOKUP(TableDailySummary[[#This Row],[Fecha]],SummaryDaily[day],SummaryDaily[Rappi_net_sales],0)</f>
        <v>0</v>
      </c>
      <c r="S403" s="11">
        <f>_xlfn.XLOOKUP(TableDailySummary[[#This Row],[Fecha]],SummaryDaily[day],SummaryDaily[Rappi_orders],0)</f>
        <v>0</v>
      </c>
      <c r="T403" s="11">
        <f>_xlfn.XLOOKUP(TableDailySummary[[#This Row],[Fecha]],SummaryDaily[day],SummaryDaily[Rappi_average_order_value],0)</f>
        <v>0</v>
      </c>
      <c r="U403" s="11">
        <f>_xlfn.XLOOKUP(TableDailySummary[[#This Row],[Fecha]],SummaryDaily[day],SummaryDaily[Corporativo no tienda_net_sales],0)</f>
        <v>0</v>
      </c>
      <c r="V403" s="11">
        <f>_xlfn.XLOOKUP(TableDailySummary[[#This Row],[Fecha]],SummaryDaily[day],SummaryDaily[Corporativo no tienda_orders],0)</f>
        <v>0</v>
      </c>
      <c r="W403" s="11">
        <f>_xlfn.XLOOKUP(TableDailySummary[[#This Row],[Fecha]],SummaryDaily[day],SummaryDaily[Corporativo no tienda_average_order_value],0)</f>
        <v>0</v>
      </c>
      <c r="X403" s="11">
        <f>_xlfn.XLOOKUP(TableDailySummary[[#This Row],[Fecha]],SummaryDaily[day],SummaryDaily[GoogleAdsOperation.Cost],0)</f>
        <v>0</v>
      </c>
      <c r="Y403" s="11">
        <f>SUMIFS(SalesByUTMDaily[google],SalesByUTMDaily[day],TableDailySummary[[#This Row],[Fecha]])</f>
        <v>0</v>
      </c>
      <c r="Z403" s="11">
        <f>_xlfn.XLOOKUP(TableDailySummary[[#This Row],[Fecha]],SummaryDaily[day],SummaryDaily[MetaAdsOperation.spend],0)</f>
        <v>0</v>
      </c>
      <c r="AA403" s="11">
        <f>SUMIFS(SalesByUTMDaily[facebook],SalesByUTMDaily[day],TableDailySummary[[#This Row],[Fecha]])</f>
        <v>0</v>
      </c>
      <c r="AB403" s="11">
        <f>TableDailySummary[[#This Row],[Inversión google ads]]+TableDailySummary[[#This Row],[Inversión meta ads]]</f>
        <v>0</v>
      </c>
      <c r="AC403" s="11">
        <f>TableDailySummary[[#This Row],[Ventas google ads]]+TableDailySummary[[#This Row],[Ventas meta ads]]</f>
        <v>0</v>
      </c>
      <c r="AD403" s="14">
        <f>IFERROR(TableDailySummary[[#This Row],[Ventas publicidad]]/TableDailySummary[[#This Row],[Inversión publicidad]],0)</f>
        <v>0</v>
      </c>
      <c r="AE403" s="14">
        <f>IFERROR(TableDailySummary[[#This Row],[Ventas primer cliente]]/TableDailySummary[[#This Row],[Inversión publicidad]],0)</f>
        <v>0</v>
      </c>
      <c r="AF403" s="14"/>
      <c r="AG403" s="11"/>
      <c r="AM403" s="11">
        <f>_xlfn.XLOOKUP(TableDailySummary[[#This Row],[Fecha]],SummaryDaily[day],SummaryDaily[net_sales_with_cost_recorded],0)</f>
        <v>0</v>
      </c>
      <c r="AN403" s="11">
        <f>_xlfn.XLOOKUP(TableDailySummary[[#This Row],[Fecha]],SummaryDaily[day],SummaryDaily[cost_of_goods_sold],0)</f>
        <v>0</v>
      </c>
      <c r="AO403" s="11">
        <f>_xlfn.XLOOKUP(TableDailySummary[[#This Row],[Fecha]],SummaryDaily[day],SummaryDaily[gross_profit],0)</f>
        <v>0</v>
      </c>
      <c r="AP403" s="18">
        <f>IFERROR(TableDailySummary[[#This Row],[Utilidad bruta]]/TableDailySummary[[#This Row],[Ventas netas con costo registrado]],0)</f>
        <v>0</v>
      </c>
    </row>
    <row r="404" spans="2:42" x14ac:dyDescent="0.2">
      <c r="B404" s="15" cm="1">
        <f t="array" ref="B404">ParamFechaInicioReporte + (ROW(TableDailySummary[#This Row]) - ROW(TableDailySummary[[#Headers],[Dia]]) - 1)</f>
        <v>44931</v>
      </c>
      <c r="C404" s="6">
        <f>TableDailySummary[[#This Row],[Dia]]</f>
        <v>44931</v>
      </c>
      <c r="D404" s="11">
        <f>_xlfn.XLOOKUP(TableDailySummary[[#This Row],[Fecha]],SummaryDaily[day],SummaryDaily[net_sales],0)</f>
        <v>0</v>
      </c>
      <c r="E404" s="11">
        <f>_xlfn.XLOOKUP(TableDailySummary[[#This Row],[Fecha]],SummaryDaily[day],SummaryDaily[orders],0)</f>
        <v>0</v>
      </c>
      <c r="F404" s="11">
        <f>_xlfn.XLOOKUP(TableDailySummary[[#This Row],[Fecha]],SummaryDaily[day],SummaryDaily[average_order_value],0)</f>
        <v>0</v>
      </c>
      <c r="G404" s="24" cm="1">
        <f t="array" ref="G404">_xlfn.XLOOKUP(TableDailySummary[[#This Row],[Fecha]]&amp;"Total site",ConversionRateByReferral[day]&amp;ConversionRateByReferral[referrer_source],ConversionRateByReferral[conversion_rate],0)</f>
        <v>0</v>
      </c>
      <c r="H404" s="11">
        <f>TableDailySummary[[#This Row],[Órden promedio totales]]*TableDailySummary[[#This Row],[CR totales]]</f>
        <v>0</v>
      </c>
      <c r="I404" s="11">
        <f>_xlfn.XLOOKUP(TableDailySummary[[#This Row],[Fecha]],SummaryDaily[day],SummaryDaily[new_net_sales],0)</f>
        <v>0</v>
      </c>
      <c r="J404" s="11">
        <f>_xlfn.XLOOKUP(TableDailySummary[[#This Row],[Fecha]],SummaryDaily[day],SummaryDaily[new_orders],0)</f>
        <v>0</v>
      </c>
      <c r="K404" s="11">
        <f>_xlfn.XLOOKUP(TableDailySummary[[#This Row],[Fecha]],SummaryDaily[day],SummaryDaily[new_average_order_value],0)</f>
        <v>0</v>
      </c>
      <c r="L404" s="11">
        <f>_xlfn.XLOOKUP(TableDailySummary[[#This Row],[Fecha]],SummaryDaily[day],SummaryDaily[Online Store_net_sales],0)</f>
        <v>0</v>
      </c>
      <c r="M404" s="11">
        <f>_xlfn.XLOOKUP(TableDailySummary[[#This Row],[Fecha]],SummaryDaily[day],SummaryDaily[Online Store_orders],0)</f>
        <v>0</v>
      </c>
      <c r="N404" s="11">
        <f>_xlfn.XLOOKUP(TableDailySummary[[#This Row],[Fecha]],SummaryDaily[day],SummaryDaily[Online Store_average_order_value],0)</f>
        <v>0</v>
      </c>
      <c r="O404" s="11">
        <f>_xlfn.XLOOKUP(TableDailySummary[[#This Row],[Fecha]],SummaryDaily[day],SummaryDaily[Tienda 81_net_sales],0)</f>
        <v>0</v>
      </c>
      <c r="P404" s="11">
        <f>_xlfn.XLOOKUP(TableDailySummary[[#This Row],[Fecha]],SummaryDaily[day],SummaryDaily[Tienda 81_orders],0)</f>
        <v>0</v>
      </c>
      <c r="Q404" s="11">
        <f>_xlfn.XLOOKUP(TableDailySummary[[#This Row],[Fecha]],SummaryDaily[day],SummaryDaily[Tienda 81_average_order_value],0)</f>
        <v>0</v>
      </c>
      <c r="R404" s="11">
        <f>_xlfn.XLOOKUP(TableDailySummary[[#This Row],[Fecha]],SummaryDaily[day],SummaryDaily[Rappi_net_sales],0)</f>
        <v>0</v>
      </c>
      <c r="S404" s="11">
        <f>_xlfn.XLOOKUP(TableDailySummary[[#This Row],[Fecha]],SummaryDaily[day],SummaryDaily[Rappi_orders],0)</f>
        <v>0</v>
      </c>
      <c r="T404" s="11">
        <f>_xlfn.XLOOKUP(TableDailySummary[[#This Row],[Fecha]],SummaryDaily[day],SummaryDaily[Rappi_average_order_value],0)</f>
        <v>0</v>
      </c>
      <c r="U404" s="11">
        <f>_xlfn.XLOOKUP(TableDailySummary[[#This Row],[Fecha]],SummaryDaily[day],SummaryDaily[Corporativo no tienda_net_sales],0)</f>
        <v>0</v>
      </c>
      <c r="V404" s="11">
        <f>_xlfn.XLOOKUP(TableDailySummary[[#This Row],[Fecha]],SummaryDaily[day],SummaryDaily[Corporativo no tienda_orders],0)</f>
        <v>0</v>
      </c>
      <c r="W404" s="11">
        <f>_xlfn.XLOOKUP(TableDailySummary[[#This Row],[Fecha]],SummaryDaily[day],SummaryDaily[Corporativo no tienda_average_order_value],0)</f>
        <v>0</v>
      </c>
      <c r="X404" s="11">
        <f>_xlfn.XLOOKUP(TableDailySummary[[#This Row],[Fecha]],SummaryDaily[day],SummaryDaily[GoogleAdsOperation.Cost],0)</f>
        <v>0</v>
      </c>
      <c r="Y404" s="11">
        <f>SUMIFS(SalesByUTMDaily[google],SalesByUTMDaily[day],TableDailySummary[[#This Row],[Fecha]])</f>
        <v>0</v>
      </c>
      <c r="Z404" s="11">
        <f>_xlfn.XLOOKUP(TableDailySummary[[#This Row],[Fecha]],SummaryDaily[day],SummaryDaily[MetaAdsOperation.spend],0)</f>
        <v>0</v>
      </c>
      <c r="AA404" s="11">
        <f>SUMIFS(SalesByUTMDaily[facebook],SalesByUTMDaily[day],TableDailySummary[[#This Row],[Fecha]])</f>
        <v>0</v>
      </c>
      <c r="AB404" s="11">
        <f>TableDailySummary[[#This Row],[Inversión google ads]]+TableDailySummary[[#This Row],[Inversión meta ads]]</f>
        <v>0</v>
      </c>
      <c r="AC404" s="11">
        <f>TableDailySummary[[#This Row],[Ventas google ads]]+TableDailySummary[[#This Row],[Ventas meta ads]]</f>
        <v>0</v>
      </c>
      <c r="AD404" s="14">
        <f>IFERROR(TableDailySummary[[#This Row],[Ventas publicidad]]/TableDailySummary[[#This Row],[Inversión publicidad]],0)</f>
        <v>0</v>
      </c>
      <c r="AE404" s="14">
        <f>IFERROR(TableDailySummary[[#This Row],[Ventas primer cliente]]/TableDailySummary[[#This Row],[Inversión publicidad]],0)</f>
        <v>0</v>
      </c>
      <c r="AF404" s="14"/>
      <c r="AG404" s="11"/>
      <c r="AM404" s="11">
        <f>_xlfn.XLOOKUP(TableDailySummary[[#This Row],[Fecha]],SummaryDaily[day],SummaryDaily[net_sales_with_cost_recorded],0)</f>
        <v>0</v>
      </c>
      <c r="AN404" s="11">
        <f>_xlfn.XLOOKUP(TableDailySummary[[#This Row],[Fecha]],SummaryDaily[day],SummaryDaily[cost_of_goods_sold],0)</f>
        <v>0</v>
      </c>
      <c r="AO404" s="11">
        <f>_xlfn.XLOOKUP(TableDailySummary[[#This Row],[Fecha]],SummaryDaily[day],SummaryDaily[gross_profit],0)</f>
        <v>0</v>
      </c>
      <c r="AP404" s="18">
        <f>IFERROR(TableDailySummary[[#This Row],[Utilidad bruta]]/TableDailySummary[[#This Row],[Ventas netas con costo registrado]],0)</f>
        <v>0</v>
      </c>
    </row>
    <row r="405" spans="2:42" x14ac:dyDescent="0.2">
      <c r="B405" s="15" cm="1">
        <f t="array" ref="B405">ParamFechaInicioReporte + (ROW(TableDailySummary[#This Row]) - ROW(TableDailySummary[[#Headers],[Dia]]) - 1)</f>
        <v>44932</v>
      </c>
      <c r="C405" s="6">
        <f>TableDailySummary[[#This Row],[Dia]]</f>
        <v>44932</v>
      </c>
      <c r="D405" s="11">
        <f>_xlfn.XLOOKUP(TableDailySummary[[#This Row],[Fecha]],SummaryDaily[day],SummaryDaily[net_sales],0)</f>
        <v>0</v>
      </c>
      <c r="E405" s="11">
        <f>_xlfn.XLOOKUP(TableDailySummary[[#This Row],[Fecha]],SummaryDaily[day],SummaryDaily[orders],0)</f>
        <v>0</v>
      </c>
      <c r="F405" s="11">
        <f>_xlfn.XLOOKUP(TableDailySummary[[#This Row],[Fecha]],SummaryDaily[day],SummaryDaily[average_order_value],0)</f>
        <v>0</v>
      </c>
      <c r="G405" s="24" cm="1">
        <f t="array" ref="G405">_xlfn.XLOOKUP(TableDailySummary[[#This Row],[Fecha]]&amp;"Total site",ConversionRateByReferral[day]&amp;ConversionRateByReferral[referrer_source],ConversionRateByReferral[conversion_rate],0)</f>
        <v>0</v>
      </c>
      <c r="H405" s="11">
        <f>TableDailySummary[[#This Row],[Órden promedio totales]]*TableDailySummary[[#This Row],[CR totales]]</f>
        <v>0</v>
      </c>
      <c r="I405" s="11">
        <f>_xlfn.XLOOKUP(TableDailySummary[[#This Row],[Fecha]],SummaryDaily[day],SummaryDaily[new_net_sales],0)</f>
        <v>0</v>
      </c>
      <c r="J405" s="11">
        <f>_xlfn.XLOOKUP(TableDailySummary[[#This Row],[Fecha]],SummaryDaily[day],SummaryDaily[new_orders],0)</f>
        <v>0</v>
      </c>
      <c r="K405" s="11">
        <f>_xlfn.XLOOKUP(TableDailySummary[[#This Row],[Fecha]],SummaryDaily[day],SummaryDaily[new_average_order_value],0)</f>
        <v>0</v>
      </c>
      <c r="L405" s="11">
        <f>_xlfn.XLOOKUP(TableDailySummary[[#This Row],[Fecha]],SummaryDaily[day],SummaryDaily[Online Store_net_sales],0)</f>
        <v>0</v>
      </c>
      <c r="M405" s="11">
        <f>_xlfn.XLOOKUP(TableDailySummary[[#This Row],[Fecha]],SummaryDaily[day],SummaryDaily[Online Store_orders],0)</f>
        <v>0</v>
      </c>
      <c r="N405" s="11">
        <f>_xlfn.XLOOKUP(TableDailySummary[[#This Row],[Fecha]],SummaryDaily[day],SummaryDaily[Online Store_average_order_value],0)</f>
        <v>0</v>
      </c>
      <c r="O405" s="11">
        <f>_xlfn.XLOOKUP(TableDailySummary[[#This Row],[Fecha]],SummaryDaily[day],SummaryDaily[Tienda 81_net_sales],0)</f>
        <v>0</v>
      </c>
      <c r="P405" s="11">
        <f>_xlfn.XLOOKUP(TableDailySummary[[#This Row],[Fecha]],SummaryDaily[day],SummaryDaily[Tienda 81_orders],0)</f>
        <v>0</v>
      </c>
      <c r="Q405" s="11">
        <f>_xlfn.XLOOKUP(TableDailySummary[[#This Row],[Fecha]],SummaryDaily[day],SummaryDaily[Tienda 81_average_order_value],0)</f>
        <v>0</v>
      </c>
      <c r="R405" s="11">
        <f>_xlfn.XLOOKUP(TableDailySummary[[#This Row],[Fecha]],SummaryDaily[day],SummaryDaily[Rappi_net_sales],0)</f>
        <v>0</v>
      </c>
      <c r="S405" s="11">
        <f>_xlfn.XLOOKUP(TableDailySummary[[#This Row],[Fecha]],SummaryDaily[day],SummaryDaily[Rappi_orders],0)</f>
        <v>0</v>
      </c>
      <c r="T405" s="11">
        <f>_xlfn.XLOOKUP(TableDailySummary[[#This Row],[Fecha]],SummaryDaily[day],SummaryDaily[Rappi_average_order_value],0)</f>
        <v>0</v>
      </c>
      <c r="U405" s="11">
        <f>_xlfn.XLOOKUP(TableDailySummary[[#This Row],[Fecha]],SummaryDaily[day],SummaryDaily[Corporativo no tienda_net_sales],0)</f>
        <v>0</v>
      </c>
      <c r="V405" s="11">
        <f>_xlfn.XLOOKUP(TableDailySummary[[#This Row],[Fecha]],SummaryDaily[day],SummaryDaily[Corporativo no tienda_orders],0)</f>
        <v>0</v>
      </c>
      <c r="W405" s="11">
        <f>_xlfn.XLOOKUP(TableDailySummary[[#This Row],[Fecha]],SummaryDaily[day],SummaryDaily[Corporativo no tienda_average_order_value],0)</f>
        <v>0</v>
      </c>
      <c r="X405" s="11">
        <f>_xlfn.XLOOKUP(TableDailySummary[[#This Row],[Fecha]],SummaryDaily[day],SummaryDaily[GoogleAdsOperation.Cost],0)</f>
        <v>0</v>
      </c>
      <c r="Y405" s="11">
        <f>SUMIFS(SalesByUTMDaily[google],SalesByUTMDaily[day],TableDailySummary[[#This Row],[Fecha]])</f>
        <v>0</v>
      </c>
      <c r="Z405" s="11">
        <f>_xlfn.XLOOKUP(TableDailySummary[[#This Row],[Fecha]],SummaryDaily[day],SummaryDaily[MetaAdsOperation.spend],0)</f>
        <v>0</v>
      </c>
      <c r="AA405" s="11">
        <f>SUMIFS(SalesByUTMDaily[facebook],SalesByUTMDaily[day],TableDailySummary[[#This Row],[Fecha]])</f>
        <v>0</v>
      </c>
      <c r="AB405" s="11">
        <f>TableDailySummary[[#This Row],[Inversión google ads]]+TableDailySummary[[#This Row],[Inversión meta ads]]</f>
        <v>0</v>
      </c>
      <c r="AC405" s="11">
        <f>TableDailySummary[[#This Row],[Ventas google ads]]+TableDailySummary[[#This Row],[Ventas meta ads]]</f>
        <v>0</v>
      </c>
      <c r="AD405" s="14">
        <f>IFERROR(TableDailySummary[[#This Row],[Ventas publicidad]]/TableDailySummary[[#This Row],[Inversión publicidad]],0)</f>
        <v>0</v>
      </c>
      <c r="AE405" s="14">
        <f>IFERROR(TableDailySummary[[#This Row],[Ventas primer cliente]]/TableDailySummary[[#This Row],[Inversión publicidad]],0)</f>
        <v>0</v>
      </c>
      <c r="AF405" s="14"/>
      <c r="AG405" s="11"/>
      <c r="AM405" s="11">
        <f>_xlfn.XLOOKUP(TableDailySummary[[#This Row],[Fecha]],SummaryDaily[day],SummaryDaily[net_sales_with_cost_recorded],0)</f>
        <v>0</v>
      </c>
      <c r="AN405" s="11">
        <f>_xlfn.XLOOKUP(TableDailySummary[[#This Row],[Fecha]],SummaryDaily[day],SummaryDaily[cost_of_goods_sold],0)</f>
        <v>0</v>
      </c>
      <c r="AO405" s="11">
        <f>_xlfn.XLOOKUP(TableDailySummary[[#This Row],[Fecha]],SummaryDaily[day],SummaryDaily[gross_profit],0)</f>
        <v>0</v>
      </c>
      <c r="AP405" s="18">
        <f>IFERROR(TableDailySummary[[#This Row],[Utilidad bruta]]/TableDailySummary[[#This Row],[Ventas netas con costo registrado]],0)</f>
        <v>0</v>
      </c>
    </row>
    <row r="406" spans="2:42" x14ac:dyDescent="0.2">
      <c r="B406" s="15" cm="1">
        <f t="array" ref="B406">ParamFechaInicioReporte + (ROW(TableDailySummary[#This Row]) - ROW(TableDailySummary[[#Headers],[Dia]]) - 1)</f>
        <v>44933</v>
      </c>
      <c r="C406" s="6">
        <f>TableDailySummary[[#This Row],[Dia]]</f>
        <v>44933</v>
      </c>
      <c r="D406" s="11">
        <f>_xlfn.XLOOKUP(TableDailySummary[[#This Row],[Fecha]],SummaryDaily[day],SummaryDaily[net_sales],0)</f>
        <v>0</v>
      </c>
      <c r="E406" s="11">
        <f>_xlfn.XLOOKUP(TableDailySummary[[#This Row],[Fecha]],SummaryDaily[day],SummaryDaily[orders],0)</f>
        <v>0</v>
      </c>
      <c r="F406" s="11">
        <f>_xlfn.XLOOKUP(TableDailySummary[[#This Row],[Fecha]],SummaryDaily[day],SummaryDaily[average_order_value],0)</f>
        <v>0</v>
      </c>
      <c r="G406" s="24" cm="1">
        <f t="array" ref="G406">_xlfn.XLOOKUP(TableDailySummary[[#This Row],[Fecha]]&amp;"Total site",ConversionRateByReferral[day]&amp;ConversionRateByReferral[referrer_source],ConversionRateByReferral[conversion_rate],0)</f>
        <v>0</v>
      </c>
      <c r="H406" s="11">
        <f>TableDailySummary[[#This Row],[Órden promedio totales]]*TableDailySummary[[#This Row],[CR totales]]</f>
        <v>0</v>
      </c>
      <c r="I406" s="11">
        <f>_xlfn.XLOOKUP(TableDailySummary[[#This Row],[Fecha]],SummaryDaily[day],SummaryDaily[new_net_sales],0)</f>
        <v>0</v>
      </c>
      <c r="J406" s="11">
        <f>_xlfn.XLOOKUP(TableDailySummary[[#This Row],[Fecha]],SummaryDaily[day],SummaryDaily[new_orders],0)</f>
        <v>0</v>
      </c>
      <c r="K406" s="11">
        <f>_xlfn.XLOOKUP(TableDailySummary[[#This Row],[Fecha]],SummaryDaily[day],SummaryDaily[new_average_order_value],0)</f>
        <v>0</v>
      </c>
      <c r="L406" s="11">
        <f>_xlfn.XLOOKUP(TableDailySummary[[#This Row],[Fecha]],SummaryDaily[day],SummaryDaily[Online Store_net_sales],0)</f>
        <v>0</v>
      </c>
      <c r="M406" s="11">
        <f>_xlfn.XLOOKUP(TableDailySummary[[#This Row],[Fecha]],SummaryDaily[day],SummaryDaily[Online Store_orders],0)</f>
        <v>0</v>
      </c>
      <c r="N406" s="11">
        <f>_xlfn.XLOOKUP(TableDailySummary[[#This Row],[Fecha]],SummaryDaily[day],SummaryDaily[Online Store_average_order_value],0)</f>
        <v>0</v>
      </c>
      <c r="O406" s="11">
        <f>_xlfn.XLOOKUP(TableDailySummary[[#This Row],[Fecha]],SummaryDaily[day],SummaryDaily[Tienda 81_net_sales],0)</f>
        <v>0</v>
      </c>
      <c r="P406" s="11">
        <f>_xlfn.XLOOKUP(TableDailySummary[[#This Row],[Fecha]],SummaryDaily[day],SummaryDaily[Tienda 81_orders],0)</f>
        <v>0</v>
      </c>
      <c r="Q406" s="11">
        <f>_xlfn.XLOOKUP(TableDailySummary[[#This Row],[Fecha]],SummaryDaily[day],SummaryDaily[Tienda 81_average_order_value],0)</f>
        <v>0</v>
      </c>
      <c r="R406" s="11">
        <f>_xlfn.XLOOKUP(TableDailySummary[[#This Row],[Fecha]],SummaryDaily[day],SummaryDaily[Rappi_net_sales],0)</f>
        <v>0</v>
      </c>
      <c r="S406" s="11">
        <f>_xlfn.XLOOKUP(TableDailySummary[[#This Row],[Fecha]],SummaryDaily[day],SummaryDaily[Rappi_orders],0)</f>
        <v>0</v>
      </c>
      <c r="T406" s="11">
        <f>_xlfn.XLOOKUP(TableDailySummary[[#This Row],[Fecha]],SummaryDaily[day],SummaryDaily[Rappi_average_order_value],0)</f>
        <v>0</v>
      </c>
      <c r="U406" s="11">
        <f>_xlfn.XLOOKUP(TableDailySummary[[#This Row],[Fecha]],SummaryDaily[day],SummaryDaily[Corporativo no tienda_net_sales],0)</f>
        <v>0</v>
      </c>
      <c r="V406" s="11">
        <f>_xlfn.XLOOKUP(TableDailySummary[[#This Row],[Fecha]],SummaryDaily[day],SummaryDaily[Corporativo no tienda_orders],0)</f>
        <v>0</v>
      </c>
      <c r="W406" s="11">
        <f>_xlfn.XLOOKUP(TableDailySummary[[#This Row],[Fecha]],SummaryDaily[day],SummaryDaily[Corporativo no tienda_average_order_value],0)</f>
        <v>0</v>
      </c>
      <c r="X406" s="11">
        <f>_xlfn.XLOOKUP(TableDailySummary[[#This Row],[Fecha]],SummaryDaily[day],SummaryDaily[GoogleAdsOperation.Cost],0)</f>
        <v>0</v>
      </c>
      <c r="Y406" s="11">
        <f>SUMIFS(SalesByUTMDaily[google],SalesByUTMDaily[day],TableDailySummary[[#This Row],[Fecha]])</f>
        <v>0</v>
      </c>
      <c r="Z406" s="11">
        <f>_xlfn.XLOOKUP(TableDailySummary[[#This Row],[Fecha]],SummaryDaily[day],SummaryDaily[MetaAdsOperation.spend],0)</f>
        <v>0</v>
      </c>
      <c r="AA406" s="11">
        <f>SUMIFS(SalesByUTMDaily[facebook],SalesByUTMDaily[day],TableDailySummary[[#This Row],[Fecha]])</f>
        <v>0</v>
      </c>
      <c r="AB406" s="11">
        <f>TableDailySummary[[#This Row],[Inversión google ads]]+TableDailySummary[[#This Row],[Inversión meta ads]]</f>
        <v>0</v>
      </c>
      <c r="AC406" s="11">
        <f>TableDailySummary[[#This Row],[Ventas google ads]]+TableDailySummary[[#This Row],[Ventas meta ads]]</f>
        <v>0</v>
      </c>
      <c r="AD406" s="14">
        <f>IFERROR(TableDailySummary[[#This Row],[Ventas publicidad]]/TableDailySummary[[#This Row],[Inversión publicidad]],0)</f>
        <v>0</v>
      </c>
      <c r="AE406" s="14">
        <f>IFERROR(TableDailySummary[[#This Row],[Ventas primer cliente]]/TableDailySummary[[#This Row],[Inversión publicidad]],0)</f>
        <v>0</v>
      </c>
      <c r="AF406" s="14"/>
      <c r="AG406" s="11"/>
      <c r="AM406" s="11">
        <f>_xlfn.XLOOKUP(TableDailySummary[[#This Row],[Fecha]],SummaryDaily[day],SummaryDaily[net_sales_with_cost_recorded],0)</f>
        <v>0</v>
      </c>
      <c r="AN406" s="11">
        <f>_xlfn.XLOOKUP(TableDailySummary[[#This Row],[Fecha]],SummaryDaily[day],SummaryDaily[cost_of_goods_sold],0)</f>
        <v>0</v>
      </c>
      <c r="AO406" s="11">
        <f>_xlfn.XLOOKUP(TableDailySummary[[#This Row],[Fecha]],SummaryDaily[day],SummaryDaily[gross_profit],0)</f>
        <v>0</v>
      </c>
      <c r="AP406" s="18">
        <f>IFERROR(TableDailySummary[[#This Row],[Utilidad bruta]]/TableDailySummary[[#This Row],[Ventas netas con costo registrado]],0)</f>
        <v>0</v>
      </c>
    </row>
    <row r="407" spans="2:42" x14ac:dyDescent="0.2">
      <c r="B407" s="15" cm="1">
        <f t="array" ref="B407">ParamFechaInicioReporte + (ROW(TableDailySummary[#This Row]) - ROW(TableDailySummary[[#Headers],[Dia]]) - 1)</f>
        <v>44934</v>
      </c>
      <c r="C407" s="6">
        <f>TableDailySummary[[#This Row],[Dia]]</f>
        <v>44934</v>
      </c>
      <c r="D407" s="11">
        <f>_xlfn.XLOOKUP(TableDailySummary[[#This Row],[Fecha]],SummaryDaily[day],SummaryDaily[net_sales],0)</f>
        <v>0</v>
      </c>
      <c r="E407" s="11">
        <f>_xlfn.XLOOKUP(TableDailySummary[[#This Row],[Fecha]],SummaryDaily[day],SummaryDaily[orders],0)</f>
        <v>0</v>
      </c>
      <c r="F407" s="11">
        <f>_xlfn.XLOOKUP(TableDailySummary[[#This Row],[Fecha]],SummaryDaily[day],SummaryDaily[average_order_value],0)</f>
        <v>0</v>
      </c>
      <c r="G407" s="24" cm="1">
        <f t="array" ref="G407">_xlfn.XLOOKUP(TableDailySummary[[#This Row],[Fecha]]&amp;"Total site",ConversionRateByReferral[day]&amp;ConversionRateByReferral[referrer_source],ConversionRateByReferral[conversion_rate],0)</f>
        <v>0</v>
      </c>
      <c r="H407" s="11">
        <f>TableDailySummary[[#This Row],[Órden promedio totales]]*TableDailySummary[[#This Row],[CR totales]]</f>
        <v>0</v>
      </c>
      <c r="I407" s="11">
        <f>_xlfn.XLOOKUP(TableDailySummary[[#This Row],[Fecha]],SummaryDaily[day],SummaryDaily[new_net_sales],0)</f>
        <v>0</v>
      </c>
      <c r="J407" s="11">
        <f>_xlfn.XLOOKUP(TableDailySummary[[#This Row],[Fecha]],SummaryDaily[day],SummaryDaily[new_orders],0)</f>
        <v>0</v>
      </c>
      <c r="K407" s="11">
        <f>_xlfn.XLOOKUP(TableDailySummary[[#This Row],[Fecha]],SummaryDaily[day],SummaryDaily[new_average_order_value],0)</f>
        <v>0</v>
      </c>
      <c r="L407" s="11">
        <f>_xlfn.XLOOKUP(TableDailySummary[[#This Row],[Fecha]],SummaryDaily[day],SummaryDaily[Online Store_net_sales],0)</f>
        <v>0</v>
      </c>
      <c r="M407" s="11">
        <f>_xlfn.XLOOKUP(TableDailySummary[[#This Row],[Fecha]],SummaryDaily[day],SummaryDaily[Online Store_orders],0)</f>
        <v>0</v>
      </c>
      <c r="N407" s="11">
        <f>_xlfn.XLOOKUP(TableDailySummary[[#This Row],[Fecha]],SummaryDaily[day],SummaryDaily[Online Store_average_order_value],0)</f>
        <v>0</v>
      </c>
      <c r="O407" s="11">
        <f>_xlfn.XLOOKUP(TableDailySummary[[#This Row],[Fecha]],SummaryDaily[day],SummaryDaily[Tienda 81_net_sales],0)</f>
        <v>0</v>
      </c>
      <c r="P407" s="11">
        <f>_xlfn.XLOOKUP(TableDailySummary[[#This Row],[Fecha]],SummaryDaily[day],SummaryDaily[Tienda 81_orders],0)</f>
        <v>0</v>
      </c>
      <c r="Q407" s="11">
        <f>_xlfn.XLOOKUP(TableDailySummary[[#This Row],[Fecha]],SummaryDaily[day],SummaryDaily[Tienda 81_average_order_value],0)</f>
        <v>0</v>
      </c>
      <c r="R407" s="11">
        <f>_xlfn.XLOOKUP(TableDailySummary[[#This Row],[Fecha]],SummaryDaily[day],SummaryDaily[Rappi_net_sales],0)</f>
        <v>0</v>
      </c>
      <c r="S407" s="11">
        <f>_xlfn.XLOOKUP(TableDailySummary[[#This Row],[Fecha]],SummaryDaily[day],SummaryDaily[Rappi_orders],0)</f>
        <v>0</v>
      </c>
      <c r="T407" s="11">
        <f>_xlfn.XLOOKUP(TableDailySummary[[#This Row],[Fecha]],SummaryDaily[day],SummaryDaily[Rappi_average_order_value],0)</f>
        <v>0</v>
      </c>
      <c r="U407" s="11">
        <f>_xlfn.XLOOKUP(TableDailySummary[[#This Row],[Fecha]],SummaryDaily[day],SummaryDaily[Corporativo no tienda_net_sales],0)</f>
        <v>0</v>
      </c>
      <c r="V407" s="11">
        <f>_xlfn.XLOOKUP(TableDailySummary[[#This Row],[Fecha]],SummaryDaily[day],SummaryDaily[Corporativo no tienda_orders],0)</f>
        <v>0</v>
      </c>
      <c r="W407" s="11">
        <f>_xlfn.XLOOKUP(TableDailySummary[[#This Row],[Fecha]],SummaryDaily[day],SummaryDaily[Corporativo no tienda_average_order_value],0)</f>
        <v>0</v>
      </c>
      <c r="X407" s="11">
        <f>_xlfn.XLOOKUP(TableDailySummary[[#This Row],[Fecha]],SummaryDaily[day],SummaryDaily[GoogleAdsOperation.Cost],0)</f>
        <v>0</v>
      </c>
      <c r="Y407" s="11">
        <f>SUMIFS(SalesByUTMDaily[google],SalesByUTMDaily[day],TableDailySummary[[#This Row],[Fecha]])</f>
        <v>0</v>
      </c>
      <c r="Z407" s="11">
        <f>_xlfn.XLOOKUP(TableDailySummary[[#This Row],[Fecha]],SummaryDaily[day],SummaryDaily[MetaAdsOperation.spend],0)</f>
        <v>0</v>
      </c>
      <c r="AA407" s="11">
        <f>SUMIFS(SalesByUTMDaily[facebook],SalesByUTMDaily[day],TableDailySummary[[#This Row],[Fecha]])</f>
        <v>0</v>
      </c>
      <c r="AB407" s="11">
        <f>TableDailySummary[[#This Row],[Inversión google ads]]+TableDailySummary[[#This Row],[Inversión meta ads]]</f>
        <v>0</v>
      </c>
      <c r="AC407" s="11">
        <f>TableDailySummary[[#This Row],[Ventas google ads]]+TableDailySummary[[#This Row],[Ventas meta ads]]</f>
        <v>0</v>
      </c>
      <c r="AD407" s="14">
        <f>IFERROR(TableDailySummary[[#This Row],[Ventas publicidad]]/TableDailySummary[[#This Row],[Inversión publicidad]],0)</f>
        <v>0</v>
      </c>
      <c r="AE407" s="14">
        <f>IFERROR(TableDailySummary[[#This Row],[Ventas primer cliente]]/TableDailySummary[[#This Row],[Inversión publicidad]],0)</f>
        <v>0</v>
      </c>
      <c r="AF407" s="14"/>
      <c r="AG407" s="11"/>
      <c r="AM407" s="11">
        <f>_xlfn.XLOOKUP(TableDailySummary[[#This Row],[Fecha]],SummaryDaily[day],SummaryDaily[net_sales_with_cost_recorded],0)</f>
        <v>0</v>
      </c>
      <c r="AN407" s="11">
        <f>_xlfn.XLOOKUP(TableDailySummary[[#This Row],[Fecha]],SummaryDaily[day],SummaryDaily[cost_of_goods_sold],0)</f>
        <v>0</v>
      </c>
      <c r="AO407" s="11">
        <f>_xlfn.XLOOKUP(TableDailySummary[[#This Row],[Fecha]],SummaryDaily[day],SummaryDaily[gross_profit],0)</f>
        <v>0</v>
      </c>
      <c r="AP407" s="18">
        <f>IFERROR(TableDailySummary[[#This Row],[Utilidad bruta]]/TableDailySummary[[#This Row],[Ventas netas con costo registrado]],0)</f>
        <v>0</v>
      </c>
    </row>
    <row r="408" spans="2:42" x14ac:dyDescent="0.2">
      <c r="B408" s="15" cm="1">
        <f t="array" ref="B408">ParamFechaInicioReporte + (ROW(TableDailySummary[#This Row]) - ROW(TableDailySummary[[#Headers],[Dia]]) - 1)</f>
        <v>44935</v>
      </c>
      <c r="C408" s="6">
        <f>TableDailySummary[[#This Row],[Dia]]</f>
        <v>44935</v>
      </c>
      <c r="D408" s="11">
        <f>_xlfn.XLOOKUP(TableDailySummary[[#This Row],[Fecha]],SummaryDaily[day],SummaryDaily[net_sales],0)</f>
        <v>0</v>
      </c>
      <c r="E408" s="11">
        <f>_xlfn.XLOOKUP(TableDailySummary[[#This Row],[Fecha]],SummaryDaily[day],SummaryDaily[orders],0)</f>
        <v>0</v>
      </c>
      <c r="F408" s="11">
        <f>_xlfn.XLOOKUP(TableDailySummary[[#This Row],[Fecha]],SummaryDaily[day],SummaryDaily[average_order_value],0)</f>
        <v>0</v>
      </c>
      <c r="G408" s="24" cm="1">
        <f t="array" ref="G408">_xlfn.XLOOKUP(TableDailySummary[[#This Row],[Fecha]]&amp;"Total site",ConversionRateByReferral[day]&amp;ConversionRateByReferral[referrer_source],ConversionRateByReferral[conversion_rate],0)</f>
        <v>0</v>
      </c>
      <c r="H408" s="11">
        <f>TableDailySummary[[#This Row],[Órden promedio totales]]*TableDailySummary[[#This Row],[CR totales]]</f>
        <v>0</v>
      </c>
      <c r="I408" s="11">
        <f>_xlfn.XLOOKUP(TableDailySummary[[#This Row],[Fecha]],SummaryDaily[day],SummaryDaily[new_net_sales],0)</f>
        <v>0</v>
      </c>
      <c r="J408" s="11">
        <f>_xlfn.XLOOKUP(TableDailySummary[[#This Row],[Fecha]],SummaryDaily[day],SummaryDaily[new_orders],0)</f>
        <v>0</v>
      </c>
      <c r="K408" s="11">
        <f>_xlfn.XLOOKUP(TableDailySummary[[#This Row],[Fecha]],SummaryDaily[day],SummaryDaily[new_average_order_value],0)</f>
        <v>0</v>
      </c>
      <c r="L408" s="11">
        <f>_xlfn.XLOOKUP(TableDailySummary[[#This Row],[Fecha]],SummaryDaily[day],SummaryDaily[Online Store_net_sales],0)</f>
        <v>0</v>
      </c>
      <c r="M408" s="11">
        <f>_xlfn.XLOOKUP(TableDailySummary[[#This Row],[Fecha]],SummaryDaily[day],SummaryDaily[Online Store_orders],0)</f>
        <v>0</v>
      </c>
      <c r="N408" s="11">
        <f>_xlfn.XLOOKUP(TableDailySummary[[#This Row],[Fecha]],SummaryDaily[day],SummaryDaily[Online Store_average_order_value],0)</f>
        <v>0</v>
      </c>
      <c r="O408" s="11">
        <f>_xlfn.XLOOKUP(TableDailySummary[[#This Row],[Fecha]],SummaryDaily[day],SummaryDaily[Tienda 81_net_sales],0)</f>
        <v>0</v>
      </c>
      <c r="P408" s="11">
        <f>_xlfn.XLOOKUP(TableDailySummary[[#This Row],[Fecha]],SummaryDaily[day],SummaryDaily[Tienda 81_orders],0)</f>
        <v>0</v>
      </c>
      <c r="Q408" s="11">
        <f>_xlfn.XLOOKUP(TableDailySummary[[#This Row],[Fecha]],SummaryDaily[day],SummaryDaily[Tienda 81_average_order_value],0)</f>
        <v>0</v>
      </c>
      <c r="R408" s="11">
        <f>_xlfn.XLOOKUP(TableDailySummary[[#This Row],[Fecha]],SummaryDaily[day],SummaryDaily[Rappi_net_sales],0)</f>
        <v>0</v>
      </c>
      <c r="S408" s="11">
        <f>_xlfn.XLOOKUP(TableDailySummary[[#This Row],[Fecha]],SummaryDaily[day],SummaryDaily[Rappi_orders],0)</f>
        <v>0</v>
      </c>
      <c r="T408" s="11">
        <f>_xlfn.XLOOKUP(TableDailySummary[[#This Row],[Fecha]],SummaryDaily[day],SummaryDaily[Rappi_average_order_value],0)</f>
        <v>0</v>
      </c>
      <c r="U408" s="11">
        <f>_xlfn.XLOOKUP(TableDailySummary[[#This Row],[Fecha]],SummaryDaily[day],SummaryDaily[Corporativo no tienda_net_sales],0)</f>
        <v>0</v>
      </c>
      <c r="V408" s="11">
        <f>_xlfn.XLOOKUP(TableDailySummary[[#This Row],[Fecha]],SummaryDaily[day],SummaryDaily[Corporativo no tienda_orders],0)</f>
        <v>0</v>
      </c>
      <c r="W408" s="11">
        <f>_xlfn.XLOOKUP(TableDailySummary[[#This Row],[Fecha]],SummaryDaily[day],SummaryDaily[Corporativo no tienda_average_order_value],0)</f>
        <v>0</v>
      </c>
      <c r="X408" s="11">
        <f>_xlfn.XLOOKUP(TableDailySummary[[#This Row],[Fecha]],SummaryDaily[day],SummaryDaily[GoogleAdsOperation.Cost],0)</f>
        <v>0</v>
      </c>
      <c r="Y408" s="11">
        <f>SUMIFS(SalesByUTMDaily[google],SalesByUTMDaily[day],TableDailySummary[[#This Row],[Fecha]])</f>
        <v>0</v>
      </c>
      <c r="Z408" s="11">
        <f>_xlfn.XLOOKUP(TableDailySummary[[#This Row],[Fecha]],SummaryDaily[day],SummaryDaily[MetaAdsOperation.spend],0)</f>
        <v>0</v>
      </c>
      <c r="AA408" s="11">
        <f>SUMIFS(SalesByUTMDaily[facebook],SalesByUTMDaily[day],TableDailySummary[[#This Row],[Fecha]])</f>
        <v>0</v>
      </c>
      <c r="AB408" s="11">
        <f>TableDailySummary[[#This Row],[Inversión google ads]]+TableDailySummary[[#This Row],[Inversión meta ads]]</f>
        <v>0</v>
      </c>
      <c r="AC408" s="11">
        <f>TableDailySummary[[#This Row],[Ventas google ads]]+TableDailySummary[[#This Row],[Ventas meta ads]]</f>
        <v>0</v>
      </c>
      <c r="AD408" s="14">
        <f>IFERROR(TableDailySummary[[#This Row],[Ventas publicidad]]/TableDailySummary[[#This Row],[Inversión publicidad]],0)</f>
        <v>0</v>
      </c>
      <c r="AE408" s="14">
        <f>IFERROR(TableDailySummary[[#This Row],[Ventas primer cliente]]/TableDailySummary[[#This Row],[Inversión publicidad]],0)</f>
        <v>0</v>
      </c>
      <c r="AF408" s="14"/>
      <c r="AG408" s="11"/>
      <c r="AM408" s="11">
        <f>_xlfn.XLOOKUP(TableDailySummary[[#This Row],[Fecha]],SummaryDaily[day],SummaryDaily[net_sales_with_cost_recorded],0)</f>
        <v>0</v>
      </c>
      <c r="AN408" s="11">
        <f>_xlfn.XLOOKUP(TableDailySummary[[#This Row],[Fecha]],SummaryDaily[day],SummaryDaily[cost_of_goods_sold],0)</f>
        <v>0</v>
      </c>
      <c r="AO408" s="11">
        <f>_xlfn.XLOOKUP(TableDailySummary[[#This Row],[Fecha]],SummaryDaily[day],SummaryDaily[gross_profit],0)</f>
        <v>0</v>
      </c>
      <c r="AP408" s="18">
        <f>IFERROR(TableDailySummary[[#This Row],[Utilidad bruta]]/TableDailySummary[[#This Row],[Ventas netas con costo registrado]],0)</f>
        <v>0</v>
      </c>
    </row>
    <row r="409" spans="2:42" x14ac:dyDescent="0.2">
      <c r="B409" s="15" cm="1">
        <f t="array" ref="B409">ParamFechaInicioReporte + (ROW(TableDailySummary[#This Row]) - ROW(TableDailySummary[[#Headers],[Dia]]) - 1)</f>
        <v>44936</v>
      </c>
      <c r="C409" s="6">
        <f>TableDailySummary[[#This Row],[Dia]]</f>
        <v>44936</v>
      </c>
      <c r="D409" s="11">
        <f>_xlfn.XLOOKUP(TableDailySummary[[#This Row],[Fecha]],SummaryDaily[day],SummaryDaily[net_sales],0)</f>
        <v>0</v>
      </c>
      <c r="E409" s="11">
        <f>_xlfn.XLOOKUP(TableDailySummary[[#This Row],[Fecha]],SummaryDaily[day],SummaryDaily[orders],0)</f>
        <v>0</v>
      </c>
      <c r="F409" s="11">
        <f>_xlfn.XLOOKUP(TableDailySummary[[#This Row],[Fecha]],SummaryDaily[day],SummaryDaily[average_order_value],0)</f>
        <v>0</v>
      </c>
      <c r="G409" s="24" cm="1">
        <f t="array" ref="G409">_xlfn.XLOOKUP(TableDailySummary[[#This Row],[Fecha]]&amp;"Total site",ConversionRateByReferral[day]&amp;ConversionRateByReferral[referrer_source],ConversionRateByReferral[conversion_rate],0)</f>
        <v>0</v>
      </c>
      <c r="H409" s="11">
        <f>TableDailySummary[[#This Row],[Órden promedio totales]]*TableDailySummary[[#This Row],[CR totales]]</f>
        <v>0</v>
      </c>
      <c r="I409" s="11">
        <f>_xlfn.XLOOKUP(TableDailySummary[[#This Row],[Fecha]],SummaryDaily[day],SummaryDaily[new_net_sales],0)</f>
        <v>0</v>
      </c>
      <c r="J409" s="11">
        <f>_xlfn.XLOOKUP(TableDailySummary[[#This Row],[Fecha]],SummaryDaily[day],SummaryDaily[new_orders],0)</f>
        <v>0</v>
      </c>
      <c r="K409" s="11">
        <f>_xlfn.XLOOKUP(TableDailySummary[[#This Row],[Fecha]],SummaryDaily[day],SummaryDaily[new_average_order_value],0)</f>
        <v>0</v>
      </c>
      <c r="L409" s="11">
        <f>_xlfn.XLOOKUP(TableDailySummary[[#This Row],[Fecha]],SummaryDaily[day],SummaryDaily[Online Store_net_sales],0)</f>
        <v>0</v>
      </c>
      <c r="M409" s="11">
        <f>_xlfn.XLOOKUP(TableDailySummary[[#This Row],[Fecha]],SummaryDaily[day],SummaryDaily[Online Store_orders],0)</f>
        <v>0</v>
      </c>
      <c r="N409" s="11">
        <f>_xlfn.XLOOKUP(TableDailySummary[[#This Row],[Fecha]],SummaryDaily[day],SummaryDaily[Online Store_average_order_value],0)</f>
        <v>0</v>
      </c>
      <c r="O409" s="11">
        <f>_xlfn.XLOOKUP(TableDailySummary[[#This Row],[Fecha]],SummaryDaily[day],SummaryDaily[Tienda 81_net_sales],0)</f>
        <v>0</v>
      </c>
      <c r="P409" s="11">
        <f>_xlfn.XLOOKUP(TableDailySummary[[#This Row],[Fecha]],SummaryDaily[day],SummaryDaily[Tienda 81_orders],0)</f>
        <v>0</v>
      </c>
      <c r="Q409" s="11">
        <f>_xlfn.XLOOKUP(TableDailySummary[[#This Row],[Fecha]],SummaryDaily[day],SummaryDaily[Tienda 81_average_order_value],0)</f>
        <v>0</v>
      </c>
      <c r="R409" s="11">
        <f>_xlfn.XLOOKUP(TableDailySummary[[#This Row],[Fecha]],SummaryDaily[day],SummaryDaily[Rappi_net_sales],0)</f>
        <v>0</v>
      </c>
      <c r="S409" s="11">
        <f>_xlfn.XLOOKUP(TableDailySummary[[#This Row],[Fecha]],SummaryDaily[day],SummaryDaily[Rappi_orders],0)</f>
        <v>0</v>
      </c>
      <c r="T409" s="11">
        <f>_xlfn.XLOOKUP(TableDailySummary[[#This Row],[Fecha]],SummaryDaily[day],SummaryDaily[Rappi_average_order_value],0)</f>
        <v>0</v>
      </c>
      <c r="U409" s="11">
        <f>_xlfn.XLOOKUP(TableDailySummary[[#This Row],[Fecha]],SummaryDaily[day],SummaryDaily[Corporativo no tienda_net_sales],0)</f>
        <v>0</v>
      </c>
      <c r="V409" s="11">
        <f>_xlfn.XLOOKUP(TableDailySummary[[#This Row],[Fecha]],SummaryDaily[day],SummaryDaily[Corporativo no tienda_orders],0)</f>
        <v>0</v>
      </c>
      <c r="W409" s="11">
        <f>_xlfn.XLOOKUP(TableDailySummary[[#This Row],[Fecha]],SummaryDaily[day],SummaryDaily[Corporativo no tienda_average_order_value],0)</f>
        <v>0</v>
      </c>
      <c r="X409" s="11">
        <f>_xlfn.XLOOKUP(TableDailySummary[[#This Row],[Fecha]],SummaryDaily[day],SummaryDaily[GoogleAdsOperation.Cost],0)</f>
        <v>0</v>
      </c>
      <c r="Y409" s="11">
        <f>SUMIFS(SalesByUTMDaily[google],SalesByUTMDaily[day],TableDailySummary[[#This Row],[Fecha]])</f>
        <v>0</v>
      </c>
      <c r="Z409" s="11">
        <f>_xlfn.XLOOKUP(TableDailySummary[[#This Row],[Fecha]],SummaryDaily[day],SummaryDaily[MetaAdsOperation.spend],0)</f>
        <v>0</v>
      </c>
      <c r="AA409" s="11">
        <f>SUMIFS(SalesByUTMDaily[facebook],SalesByUTMDaily[day],TableDailySummary[[#This Row],[Fecha]])</f>
        <v>0</v>
      </c>
      <c r="AB409" s="11">
        <f>TableDailySummary[[#This Row],[Inversión google ads]]+TableDailySummary[[#This Row],[Inversión meta ads]]</f>
        <v>0</v>
      </c>
      <c r="AC409" s="11">
        <f>TableDailySummary[[#This Row],[Ventas google ads]]+TableDailySummary[[#This Row],[Ventas meta ads]]</f>
        <v>0</v>
      </c>
      <c r="AD409" s="14">
        <f>IFERROR(TableDailySummary[[#This Row],[Ventas publicidad]]/TableDailySummary[[#This Row],[Inversión publicidad]],0)</f>
        <v>0</v>
      </c>
      <c r="AE409" s="14">
        <f>IFERROR(TableDailySummary[[#This Row],[Ventas primer cliente]]/TableDailySummary[[#This Row],[Inversión publicidad]],0)</f>
        <v>0</v>
      </c>
      <c r="AF409" s="14"/>
      <c r="AG409" s="11"/>
      <c r="AM409" s="11">
        <f>_xlfn.XLOOKUP(TableDailySummary[[#This Row],[Fecha]],SummaryDaily[day],SummaryDaily[net_sales_with_cost_recorded],0)</f>
        <v>0</v>
      </c>
      <c r="AN409" s="11">
        <f>_xlfn.XLOOKUP(TableDailySummary[[#This Row],[Fecha]],SummaryDaily[day],SummaryDaily[cost_of_goods_sold],0)</f>
        <v>0</v>
      </c>
      <c r="AO409" s="11">
        <f>_xlfn.XLOOKUP(TableDailySummary[[#This Row],[Fecha]],SummaryDaily[day],SummaryDaily[gross_profit],0)</f>
        <v>0</v>
      </c>
      <c r="AP409" s="18">
        <f>IFERROR(TableDailySummary[[#This Row],[Utilidad bruta]]/TableDailySummary[[#This Row],[Ventas netas con costo registrado]],0)</f>
        <v>0</v>
      </c>
    </row>
    <row r="410" spans="2:42" x14ac:dyDescent="0.2">
      <c r="B410" s="15" cm="1">
        <f t="array" ref="B410">ParamFechaInicioReporte + (ROW(TableDailySummary[#This Row]) - ROW(TableDailySummary[[#Headers],[Dia]]) - 1)</f>
        <v>44937</v>
      </c>
      <c r="C410" s="6">
        <f>TableDailySummary[[#This Row],[Dia]]</f>
        <v>44937</v>
      </c>
      <c r="D410" s="11">
        <f>_xlfn.XLOOKUP(TableDailySummary[[#This Row],[Fecha]],SummaryDaily[day],SummaryDaily[net_sales],0)</f>
        <v>0</v>
      </c>
      <c r="E410" s="11">
        <f>_xlfn.XLOOKUP(TableDailySummary[[#This Row],[Fecha]],SummaryDaily[day],SummaryDaily[orders],0)</f>
        <v>0</v>
      </c>
      <c r="F410" s="11">
        <f>_xlfn.XLOOKUP(TableDailySummary[[#This Row],[Fecha]],SummaryDaily[day],SummaryDaily[average_order_value],0)</f>
        <v>0</v>
      </c>
      <c r="G410" s="24" cm="1">
        <f t="array" ref="G410">_xlfn.XLOOKUP(TableDailySummary[[#This Row],[Fecha]]&amp;"Total site",ConversionRateByReferral[day]&amp;ConversionRateByReferral[referrer_source],ConversionRateByReferral[conversion_rate],0)</f>
        <v>0</v>
      </c>
      <c r="H410" s="11">
        <f>TableDailySummary[[#This Row],[Órden promedio totales]]*TableDailySummary[[#This Row],[CR totales]]</f>
        <v>0</v>
      </c>
      <c r="I410" s="11">
        <f>_xlfn.XLOOKUP(TableDailySummary[[#This Row],[Fecha]],SummaryDaily[day],SummaryDaily[new_net_sales],0)</f>
        <v>0</v>
      </c>
      <c r="J410" s="11">
        <f>_xlfn.XLOOKUP(TableDailySummary[[#This Row],[Fecha]],SummaryDaily[day],SummaryDaily[new_orders],0)</f>
        <v>0</v>
      </c>
      <c r="K410" s="11">
        <f>_xlfn.XLOOKUP(TableDailySummary[[#This Row],[Fecha]],SummaryDaily[day],SummaryDaily[new_average_order_value],0)</f>
        <v>0</v>
      </c>
      <c r="L410" s="11">
        <f>_xlfn.XLOOKUP(TableDailySummary[[#This Row],[Fecha]],SummaryDaily[day],SummaryDaily[Online Store_net_sales],0)</f>
        <v>0</v>
      </c>
      <c r="M410" s="11">
        <f>_xlfn.XLOOKUP(TableDailySummary[[#This Row],[Fecha]],SummaryDaily[day],SummaryDaily[Online Store_orders],0)</f>
        <v>0</v>
      </c>
      <c r="N410" s="11">
        <f>_xlfn.XLOOKUP(TableDailySummary[[#This Row],[Fecha]],SummaryDaily[day],SummaryDaily[Online Store_average_order_value],0)</f>
        <v>0</v>
      </c>
      <c r="O410" s="11">
        <f>_xlfn.XLOOKUP(TableDailySummary[[#This Row],[Fecha]],SummaryDaily[day],SummaryDaily[Tienda 81_net_sales],0)</f>
        <v>0</v>
      </c>
      <c r="P410" s="11">
        <f>_xlfn.XLOOKUP(TableDailySummary[[#This Row],[Fecha]],SummaryDaily[day],SummaryDaily[Tienda 81_orders],0)</f>
        <v>0</v>
      </c>
      <c r="Q410" s="11">
        <f>_xlfn.XLOOKUP(TableDailySummary[[#This Row],[Fecha]],SummaryDaily[day],SummaryDaily[Tienda 81_average_order_value],0)</f>
        <v>0</v>
      </c>
      <c r="R410" s="11">
        <f>_xlfn.XLOOKUP(TableDailySummary[[#This Row],[Fecha]],SummaryDaily[day],SummaryDaily[Rappi_net_sales],0)</f>
        <v>0</v>
      </c>
      <c r="S410" s="11">
        <f>_xlfn.XLOOKUP(TableDailySummary[[#This Row],[Fecha]],SummaryDaily[day],SummaryDaily[Rappi_orders],0)</f>
        <v>0</v>
      </c>
      <c r="T410" s="11">
        <f>_xlfn.XLOOKUP(TableDailySummary[[#This Row],[Fecha]],SummaryDaily[day],SummaryDaily[Rappi_average_order_value],0)</f>
        <v>0</v>
      </c>
      <c r="U410" s="11">
        <f>_xlfn.XLOOKUP(TableDailySummary[[#This Row],[Fecha]],SummaryDaily[day],SummaryDaily[Corporativo no tienda_net_sales],0)</f>
        <v>0</v>
      </c>
      <c r="V410" s="11">
        <f>_xlfn.XLOOKUP(TableDailySummary[[#This Row],[Fecha]],SummaryDaily[day],SummaryDaily[Corporativo no tienda_orders],0)</f>
        <v>0</v>
      </c>
      <c r="W410" s="11">
        <f>_xlfn.XLOOKUP(TableDailySummary[[#This Row],[Fecha]],SummaryDaily[day],SummaryDaily[Corporativo no tienda_average_order_value],0)</f>
        <v>0</v>
      </c>
      <c r="X410" s="11">
        <f>_xlfn.XLOOKUP(TableDailySummary[[#This Row],[Fecha]],SummaryDaily[day],SummaryDaily[GoogleAdsOperation.Cost],0)</f>
        <v>0</v>
      </c>
      <c r="Y410" s="11">
        <f>SUMIFS(SalesByUTMDaily[google],SalesByUTMDaily[day],TableDailySummary[[#This Row],[Fecha]])</f>
        <v>0</v>
      </c>
      <c r="Z410" s="11">
        <f>_xlfn.XLOOKUP(TableDailySummary[[#This Row],[Fecha]],SummaryDaily[day],SummaryDaily[MetaAdsOperation.spend],0)</f>
        <v>0</v>
      </c>
      <c r="AA410" s="11">
        <f>SUMIFS(SalesByUTMDaily[facebook],SalesByUTMDaily[day],TableDailySummary[[#This Row],[Fecha]])</f>
        <v>0</v>
      </c>
      <c r="AB410" s="11">
        <f>TableDailySummary[[#This Row],[Inversión google ads]]+TableDailySummary[[#This Row],[Inversión meta ads]]</f>
        <v>0</v>
      </c>
      <c r="AC410" s="11">
        <f>TableDailySummary[[#This Row],[Ventas google ads]]+TableDailySummary[[#This Row],[Ventas meta ads]]</f>
        <v>0</v>
      </c>
      <c r="AD410" s="14">
        <f>IFERROR(TableDailySummary[[#This Row],[Ventas publicidad]]/TableDailySummary[[#This Row],[Inversión publicidad]],0)</f>
        <v>0</v>
      </c>
      <c r="AE410" s="14">
        <f>IFERROR(TableDailySummary[[#This Row],[Ventas primer cliente]]/TableDailySummary[[#This Row],[Inversión publicidad]],0)</f>
        <v>0</v>
      </c>
      <c r="AF410" s="14"/>
      <c r="AG410" s="11"/>
      <c r="AM410" s="11">
        <f>_xlfn.XLOOKUP(TableDailySummary[[#This Row],[Fecha]],SummaryDaily[day],SummaryDaily[net_sales_with_cost_recorded],0)</f>
        <v>0</v>
      </c>
      <c r="AN410" s="11">
        <f>_xlfn.XLOOKUP(TableDailySummary[[#This Row],[Fecha]],SummaryDaily[day],SummaryDaily[cost_of_goods_sold],0)</f>
        <v>0</v>
      </c>
      <c r="AO410" s="11">
        <f>_xlfn.XLOOKUP(TableDailySummary[[#This Row],[Fecha]],SummaryDaily[day],SummaryDaily[gross_profit],0)</f>
        <v>0</v>
      </c>
      <c r="AP410" s="18">
        <f>IFERROR(TableDailySummary[[#This Row],[Utilidad bruta]]/TableDailySummary[[#This Row],[Ventas netas con costo registrado]],0)</f>
        <v>0</v>
      </c>
    </row>
    <row r="411" spans="2:42" x14ac:dyDescent="0.2">
      <c r="B411" s="15" cm="1">
        <f t="array" ref="B411">ParamFechaInicioReporte + (ROW(TableDailySummary[#This Row]) - ROW(TableDailySummary[[#Headers],[Dia]]) - 1)</f>
        <v>44938</v>
      </c>
      <c r="C411" s="6">
        <f>TableDailySummary[[#This Row],[Dia]]</f>
        <v>44938</v>
      </c>
      <c r="D411" s="11">
        <f>_xlfn.XLOOKUP(TableDailySummary[[#This Row],[Fecha]],SummaryDaily[day],SummaryDaily[net_sales],0)</f>
        <v>0</v>
      </c>
      <c r="E411" s="11">
        <f>_xlfn.XLOOKUP(TableDailySummary[[#This Row],[Fecha]],SummaryDaily[day],SummaryDaily[orders],0)</f>
        <v>0</v>
      </c>
      <c r="F411" s="11">
        <f>_xlfn.XLOOKUP(TableDailySummary[[#This Row],[Fecha]],SummaryDaily[day],SummaryDaily[average_order_value],0)</f>
        <v>0</v>
      </c>
      <c r="G411" s="24" cm="1">
        <f t="array" ref="G411">_xlfn.XLOOKUP(TableDailySummary[[#This Row],[Fecha]]&amp;"Total site",ConversionRateByReferral[day]&amp;ConversionRateByReferral[referrer_source],ConversionRateByReferral[conversion_rate],0)</f>
        <v>0</v>
      </c>
      <c r="H411" s="11">
        <f>TableDailySummary[[#This Row],[Órden promedio totales]]*TableDailySummary[[#This Row],[CR totales]]</f>
        <v>0</v>
      </c>
      <c r="I411" s="11">
        <f>_xlfn.XLOOKUP(TableDailySummary[[#This Row],[Fecha]],SummaryDaily[day],SummaryDaily[new_net_sales],0)</f>
        <v>0</v>
      </c>
      <c r="J411" s="11">
        <f>_xlfn.XLOOKUP(TableDailySummary[[#This Row],[Fecha]],SummaryDaily[day],SummaryDaily[new_orders],0)</f>
        <v>0</v>
      </c>
      <c r="K411" s="11">
        <f>_xlfn.XLOOKUP(TableDailySummary[[#This Row],[Fecha]],SummaryDaily[day],SummaryDaily[new_average_order_value],0)</f>
        <v>0</v>
      </c>
      <c r="L411" s="11">
        <f>_xlfn.XLOOKUP(TableDailySummary[[#This Row],[Fecha]],SummaryDaily[day],SummaryDaily[Online Store_net_sales],0)</f>
        <v>0</v>
      </c>
      <c r="M411" s="11">
        <f>_xlfn.XLOOKUP(TableDailySummary[[#This Row],[Fecha]],SummaryDaily[day],SummaryDaily[Online Store_orders],0)</f>
        <v>0</v>
      </c>
      <c r="N411" s="11">
        <f>_xlfn.XLOOKUP(TableDailySummary[[#This Row],[Fecha]],SummaryDaily[day],SummaryDaily[Online Store_average_order_value],0)</f>
        <v>0</v>
      </c>
      <c r="O411" s="11">
        <f>_xlfn.XLOOKUP(TableDailySummary[[#This Row],[Fecha]],SummaryDaily[day],SummaryDaily[Tienda 81_net_sales],0)</f>
        <v>0</v>
      </c>
      <c r="P411" s="11">
        <f>_xlfn.XLOOKUP(TableDailySummary[[#This Row],[Fecha]],SummaryDaily[day],SummaryDaily[Tienda 81_orders],0)</f>
        <v>0</v>
      </c>
      <c r="Q411" s="11">
        <f>_xlfn.XLOOKUP(TableDailySummary[[#This Row],[Fecha]],SummaryDaily[day],SummaryDaily[Tienda 81_average_order_value],0)</f>
        <v>0</v>
      </c>
      <c r="R411" s="11">
        <f>_xlfn.XLOOKUP(TableDailySummary[[#This Row],[Fecha]],SummaryDaily[day],SummaryDaily[Rappi_net_sales],0)</f>
        <v>0</v>
      </c>
      <c r="S411" s="11">
        <f>_xlfn.XLOOKUP(TableDailySummary[[#This Row],[Fecha]],SummaryDaily[day],SummaryDaily[Rappi_orders],0)</f>
        <v>0</v>
      </c>
      <c r="T411" s="11">
        <f>_xlfn.XLOOKUP(TableDailySummary[[#This Row],[Fecha]],SummaryDaily[day],SummaryDaily[Rappi_average_order_value],0)</f>
        <v>0</v>
      </c>
      <c r="U411" s="11">
        <f>_xlfn.XLOOKUP(TableDailySummary[[#This Row],[Fecha]],SummaryDaily[day],SummaryDaily[Corporativo no tienda_net_sales],0)</f>
        <v>0</v>
      </c>
      <c r="V411" s="11">
        <f>_xlfn.XLOOKUP(TableDailySummary[[#This Row],[Fecha]],SummaryDaily[day],SummaryDaily[Corporativo no tienda_orders],0)</f>
        <v>0</v>
      </c>
      <c r="W411" s="11">
        <f>_xlfn.XLOOKUP(TableDailySummary[[#This Row],[Fecha]],SummaryDaily[day],SummaryDaily[Corporativo no tienda_average_order_value],0)</f>
        <v>0</v>
      </c>
      <c r="X411" s="11">
        <f>_xlfn.XLOOKUP(TableDailySummary[[#This Row],[Fecha]],SummaryDaily[day],SummaryDaily[GoogleAdsOperation.Cost],0)</f>
        <v>0</v>
      </c>
      <c r="Y411" s="11">
        <f>SUMIFS(SalesByUTMDaily[google],SalesByUTMDaily[day],TableDailySummary[[#This Row],[Fecha]])</f>
        <v>0</v>
      </c>
      <c r="Z411" s="11">
        <f>_xlfn.XLOOKUP(TableDailySummary[[#This Row],[Fecha]],SummaryDaily[day],SummaryDaily[MetaAdsOperation.spend],0)</f>
        <v>0</v>
      </c>
      <c r="AA411" s="11">
        <f>SUMIFS(SalesByUTMDaily[facebook],SalesByUTMDaily[day],TableDailySummary[[#This Row],[Fecha]])</f>
        <v>0</v>
      </c>
      <c r="AB411" s="11">
        <f>TableDailySummary[[#This Row],[Inversión google ads]]+TableDailySummary[[#This Row],[Inversión meta ads]]</f>
        <v>0</v>
      </c>
      <c r="AC411" s="11">
        <f>TableDailySummary[[#This Row],[Ventas google ads]]+TableDailySummary[[#This Row],[Ventas meta ads]]</f>
        <v>0</v>
      </c>
      <c r="AD411" s="14">
        <f>IFERROR(TableDailySummary[[#This Row],[Ventas publicidad]]/TableDailySummary[[#This Row],[Inversión publicidad]],0)</f>
        <v>0</v>
      </c>
      <c r="AE411" s="14">
        <f>IFERROR(TableDailySummary[[#This Row],[Ventas primer cliente]]/TableDailySummary[[#This Row],[Inversión publicidad]],0)</f>
        <v>0</v>
      </c>
      <c r="AF411" s="14"/>
      <c r="AG411" s="11"/>
      <c r="AM411" s="11">
        <f>_xlfn.XLOOKUP(TableDailySummary[[#This Row],[Fecha]],SummaryDaily[day],SummaryDaily[net_sales_with_cost_recorded],0)</f>
        <v>0</v>
      </c>
      <c r="AN411" s="11">
        <f>_xlfn.XLOOKUP(TableDailySummary[[#This Row],[Fecha]],SummaryDaily[day],SummaryDaily[cost_of_goods_sold],0)</f>
        <v>0</v>
      </c>
      <c r="AO411" s="11">
        <f>_xlfn.XLOOKUP(TableDailySummary[[#This Row],[Fecha]],SummaryDaily[day],SummaryDaily[gross_profit],0)</f>
        <v>0</v>
      </c>
      <c r="AP411" s="18">
        <f>IFERROR(TableDailySummary[[#This Row],[Utilidad bruta]]/TableDailySummary[[#This Row],[Ventas netas con costo registrado]],0)</f>
        <v>0</v>
      </c>
    </row>
    <row r="412" spans="2:42" x14ac:dyDescent="0.2">
      <c r="B412" s="15" cm="1">
        <f t="array" ref="B412">ParamFechaInicioReporte + (ROW(TableDailySummary[#This Row]) - ROW(TableDailySummary[[#Headers],[Dia]]) - 1)</f>
        <v>44939</v>
      </c>
      <c r="C412" s="6">
        <f>TableDailySummary[[#This Row],[Dia]]</f>
        <v>44939</v>
      </c>
      <c r="D412" s="11">
        <f>_xlfn.XLOOKUP(TableDailySummary[[#This Row],[Fecha]],SummaryDaily[day],SummaryDaily[net_sales],0)</f>
        <v>0</v>
      </c>
      <c r="E412" s="11">
        <f>_xlfn.XLOOKUP(TableDailySummary[[#This Row],[Fecha]],SummaryDaily[day],SummaryDaily[orders],0)</f>
        <v>0</v>
      </c>
      <c r="F412" s="11">
        <f>_xlfn.XLOOKUP(TableDailySummary[[#This Row],[Fecha]],SummaryDaily[day],SummaryDaily[average_order_value],0)</f>
        <v>0</v>
      </c>
      <c r="G412" s="24" cm="1">
        <f t="array" ref="G412">_xlfn.XLOOKUP(TableDailySummary[[#This Row],[Fecha]]&amp;"Total site",ConversionRateByReferral[day]&amp;ConversionRateByReferral[referrer_source],ConversionRateByReferral[conversion_rate],0)</f>
        <v>0</v>
      </c>
      <c r="H412" s="11">
        <f>TableDailySummary[[#This Row],[Órden promedio totales]]*TableDailySummary[[#This Row],[CR totales]]</f>
        <v>0</v>
      </c>
      <c r="I412" s="11">
        <f>_xlfn.XLOOKUP(TableDailySummary[[#This Row],[Fecha]],SummaryDaily[day],SummaryDaily[new_net_sales],0)</f>
        <v>0</v>
      </c>
      <c r="J412" s="11">
        <f>_xlfn.XLOOKUP(TableDailySummary[[#This Row],[Fecha]],SummaryDaily[day],SummaryDaily[new_orders],0)</f>
        <v>0</v>
      </c>
      <c r="K412" s="11">
        <f>_xlfn.XLOOKUP(TableDailySummary[[#This Row],[Fecha]],SummaryDaily[day],SummaryDaily[new_average_order_value],0)</f>
        <v>0</v>
      </c>
      <c r="L412" s="11">
        <f>_xlfn.XLOOKUP(TableDailySummary[[#This Row],[Fecha]],SummaryDaily[day],SummaryDaily[Online Store_net_sales],0)</f>
        <v>0</v>
      </c>
      <c r="M412" s="11">
        <f>_xlfn.XLOOKUP(TableDailySummary[[#This Row],[Fecha]],SummaryDaily[day],SummaryDaily[Online Store_orders],0)</f>
        <v>0</v>
      </c>
      <c r="N412" s="11">
        <f>_xlfn.XLOOKUP(TableDailySummary[[#This Row],[Fecha]],SummaryDaily[day],SummaryDaily[Online Store_average_order_value],0)</f>
        <v>0</v>
      </c>
      <c r="O412" s="11">
        <f>_xlfn.XLOOKUP(TableDailySummary[[#This Row],[Fecha]],SummaryDaily[day],SummaryDaily[Tienda 81_net_sales],0)</f>
        <v>0</v>
      </c>
      <c r="P412" s="11">
        <f>_xlfn.XLOOKUP(TableDailySummary[[#This Row],[Fecha]],SummaryDaily[day],SummaryDaily[Tienda 81_orders],0)</f>
        <v>0</v>
      </c>
      <c r="Q412" s="11">
        <f>_xlfn.XLOOKUP(TableDailySummary[[#This Row],[Fecha]],SummaryDaily[day],SummaryDaily[Tienda 81_average_order_value],0)</f>
        <v>0</v>
      </c>
      <c r="R412" s="11">
        <f>_xlfn.XLOOKUP(TableDailySummary[[#This Row],[Fecha]],SummaryDaily[day],SummaryDaily[Rappi_net_sales],0)</f>
        <v>0</v>
      </c>
      <c r="S412" s="11">
        <f>_xlfn.XLOOKUP(TableDailySummary[[#This Row],[Fecha]],SummaryDaily[day],SummaryDaily[Rappi_orders],0)</f>
        <v>0</v>
      </c>
      <c r="T412" s="11">
        <f>_xlfn.XLOOKUP(TableDailySummary[[#This Row],[Fecha]],SummaryDaily[day],SummaryDaily[Rappi_average_order_value],0)</f>
        <v>0</v>
      </c>
      <c r="U412" s="11">
        <f>_xlfn.XLOOKUP(TableDailySummary[[#This Row],[Fecha]],SummaryDaily[day],SummaryDaily[Corporativo no tienda_net_sales],0)</f>
        <v>0</v>
      </c>
      <c r="V412" s="11">
        <f>_xlfn.XLOOKUP(TableDailySummary[[#This Row],[Fecha]],SummaryDaily[day],SummaryDaily[Corporativo no tienda_orders],0)</f>
        <v>0</v>
      </c>
      <c r="W412" s="11">
        <f>_xlfn.XLOOKUP(TableDailySummary[[#This Row],[Fecha]],SummaryDaily[day],SummaryDaily[Corporativo no tienda_average_order_value],0)</f>
        <v>0</v>
      </c>
      <c r="X412" s="11">
        <f>_xlfn.XLOOKUP(TableDailySummary[[#This Row],[Fecha]],SummaryDaily[day],SummaryDaily[GoogleAdsOperation.Cost],0)</f>
        <v>0</v>
      </c>
      <c r="Y412" s="11">
        <f>SUMIFS(SalesByUTMDaily[google],SalesByUTMDaily[day],TableDailySummary[[#This Row],[Fecha]])</f>
        <v>0</v>
      </c>
      <c r="Z412" s="11">
        <f>_xlfn.XLOOKUP(TableDailySummary[[#This Row],[Fecha]],SummaryDaily[day],SummaryDaily[MetaAdsOperation.spend],0)</f>
        <v>0</v>
      </c>
      <c r="AA412" s="11">
        <f>SUMIFS(SalesByUTMDaily[facebook],SalesByUTMDaily[day],TableDailySummary[[#This Row],[Fecha]])</f>
        <v>0</v>
      </c>
      <c r="AB412" s="11">
        <f>TableDailySummary[[#This Row],[Inversión google ads]]+TableDailySummary[[#This Row],[Inversión meta ads]]</f>
        <v>0</v>
      </c>
      <c r="AC412" s="11">
        <f>TableDailySummary[[#This Row],[Ventas google ads]]+TableDailySummary[[#This Row],[Ventas meta ads]]</f>
        <v>0</v>
      </c>
      <c r="AD412" s="14">
        <f>IFERROR(TableDailySummary[[#This Row],[Ventas publicidad]]/TableDailySummary[[#This Row],[Inversión publicidad]],0)</f>
        <v>0</v>
      </c>
      <c r="AE412" s="14">
        <f>IFERROR(TableDailySummary[[#This Row],[Ventas primer cliente]]/TableDailySummary[[#This Row],[Inversión publicidad]],0)</f>
        <v>0</v>
      </c>
      <c r="AF412" s="14"/>
      <c r="AG412" s="11"/>
      <c r="AM412" s="11">
        <f>_xlfn.XLOOKUP(TableDailySummary[[#This Row],[Fecha]],SummaryDaily[day],SummaryDaily[net_sales_with_cost_recorded],0)</f>
        <v>0</v>
      </c>
      <c r="AN412" s="11">
        <f>_xlfn.XLOOKUP(TableDailySummary[[#This Row],[Fecha]],SummaryDaily[day],SummaryDaily[cost_of_goods_sold],0)</f>
        <v>0</v>
      </c>
      <c r="AO412" s="11">
        <f>_xlfn.XLOOKUP(TableDailySummary[[#This Row],[Fecha]],SummaryDaily[day],SummaryDaily[gross_profit],0)</f>
        <v>0</v>
      </c>
      <c r="AP412" s="18">
        <f>IFERROR(TableDailySummary[[#This Row],[Utilidad bruta]]/TableDailySummary[[#This Row],[Ventas netas con costo registrado]],0)</f>
        <v>0</v>
      </c>
    </row>
    <row r="413" spans="2:42" x14ac:dyDescent="0.2">
      <c r="B413" s="15" cm="1">
        <f t="array" ref="B413">ParamFechaInicioReporte + (ROW(TableDailySummary[#This Row]) - ROW(TableDailySummary[[#Headers],[Dia]]) - 1)</f>
        <v>44940</v>
      </c>
      <c r="C413" s="6">
        <f>TableDailySummary[[#This Row],[Dia]]</f>
        <v>44940</v>
      </c>
      <c r="D413" s="11">
        <f>_xlfn.XLOOKUP(TableDailySummary[[#This Row],[Fecha]],SummaryDaily[day],SummaryDaily[net_sales],0)</f>
        <v>0</v>
      </c>
      <c r="E413" s="11">
        <f>_xlfn.XLOOKUP(TableDailySummary[[#This Row],[Fecha]],SummaryDaily[day],SummaryDaily[orders],0)</f>
        <v>0</v>
      </c>
      <c r="F413" s="11">
        <f>_xlfn.XLOOKUP(TableDailySummary[[#This Row],[Fecha]],SummaryDaily[day],SummaryDaily[average_order_value],0)</f>
        <v>0</v>
      </c>
      <c r="G413" s="24" cm="1">
        <f t="array" ref="G413">_xlfn.XLOOKUP(TableDailySummary[[#This Row],[Fecha]]&amp;"Total site",ConversionRateByReferral[day]&amp;ConversionRateByReferral[referrer_source],ConversionRateByReferral[conversion_rate],0)</f>
        <v>0</v>
      </c>
      <c r="H413" s="11">
        <f>TableDailySummary[[#This Row],[Órden promedio totales]]*TableDailySummary[[#This Row],[CR totales]]</f>
        <v>0</v>
      </c>
      <c r="I413" s="11">
        <f>_xlfn.XLOOKUP(TableDailySummary[[#This Row],[Fecha]],SummaryDaily[day],SummaryDaily[new_net_sales],0)</f>
        <v>0</v>
      </c>
      <c r="J413" s="11">
        <f>_xlfn.XLOOKUP(TableDailySummary[[#This Row],[Fecha]],SummaryDaily[day],SummaryDaily[new_orders],0)</f>
        <v>0</v>
      </c>
      <c r="K413" s="11">
        <f>_xlfn.XLOOKUP(TableDailySummary[[#This Row],[Fecha]],SummaryDaily[day],SummaryDaily[new_average_order_value],0)</f>
        <v>0</v>
      </c>
      <c r="L413" s="11">
        <f>_xlfn.XLOOKUP(TableDailySummary[[#This Row],[Fecha]],SummaryDaily[day],SummaryDaily[Online Store_net_sales],0)</f>
        <v>0</v>
      </c>
      <c r="M413" s="11">
        <f>_xlfn.XLOOKUP(TableDailySummary[[#This Row],[Fecha]],SummaryDaily[day],SummaryDaily[Online Store_orders],0)</f>
        <v>0</v>
      </c>
      <c r="N413" s="11">
        <f>_xlfn.XLOOKUP(TableDailySummary[[#This Row],[Fecha]],SummaryDaily[day],SummaryDaily[Online Store_average_order_value],0)</f>
        <v>0</v>
      </c>
      <c r="O413" s="11">
        <f>_xlfn.XLOOKUP(TableDailySummary[[#This Row],[Fecha]],SummaryDaily[day],SummaryDaily[Tienda 81_net_sales],0)</f>
        <v>0</v>
      </c>
      <c r="P413" s="11">
        <f>_xlfn.XLOOKUP(TableDailySummary[[#This Row],[Fecha]],SummaryDaily[day],SummaryDaily[Tienda 81_orders],0)</f>
        <v>0</v>
      </c>
      <c r="Q413" s="11">
        <f>_xlfn.XLOOKUP(TableDailySummary[[#This Row],[Fecha]],SummaryDaily[day],SummaryDaily[Tienda 81_average_order_value],0)</f>
        <v>0</v>
      </c>
      <c r="R413" s="11">
        <f>_xlfn.XLOOKUP(TableDailySummary[[#This Row],[Fecha]],SummaryDaily[day],SummaryDaily[Rappi_net_sales],0)</f>
        <v>0</v>
      </c>
      <c r="S413" s="11">
        <f>_xlfn.XLOOKUP(TableDailySummary[[#This Row],[Fecha]],SummaryDaily[day],SummaryDaily[Rappi_orders],0)</f>
        <v>0</v>
      </c>
      <c r="T413" s="11">
        <f>_xlfn.XLOOKUP(TableDailySummary[[#This Row],[Fecha]],SummaryDaily[day],SummaryDaily[Rappi_average_order_value],0)</f>
        <v>0</v>
      </c>
      <c r="U413" s="11">
        <f>_xlfn.XLOOKUP(TableDailySummary[[#This Row],[Fecha]],SummaryDaily[day],SummaryDaily[Corporativo no tienda_net_sales],0)</f>
        <v>0</v>
      </c>
      <c r="V413" s="11">
        <f>_xlfn.XLOOKUP(TableDailySummary[[#This Row],[Fecha]],SummaryDaily[day],SummaryDaily[Corporativo no tienda_orders],0)</f>
        <v>0</v>
      </c>
      <c r="W413" s="11">
        <f>_xlfn.XLOOKUP(TableDailySummary[[#This Row],[Fecha]],SummaryDaily[day],SummaryDaily[Corporativo no tienda_average_order_value],0)</f>
        <v>0</v>
      </c>
      <c r="X413" s="11">
        <f>_xlfn.XLOOKUP(TableDailySummary[[#This Row],[Fecha]],SummaryDaily[day],SummaryDaily[GoogleAdsOperation.Cost],0)</f>
        <v>0</v>
      </c>
      <c r="Y413" s="11">
        <f>SUMIFS(SalesByUTMDaily[google],SalesByUTMDaily[day],TableDailySummary[[#This Row],[Fecha]])</f>
        <v>0</v>
      </c>
      <c r="Z413" s="11">
        <f>_xlfn.XLOOKUP(TableDailySummary[[#This Row],[Fecha]],SummaryDaily[day],SummaryDaily[MetaAdsOperation.spend],0)</f>
        <v>0</v>
      </c>
      <c r="AA413" s="11">
        <f>SUMIFS(SalesByUTMDaily[facebook],SalesByUTMDaily[day],TableDailySummary[[#This Row],[Fecha]])</f>
        <v>0</v>
      </c>
      <c r="AB413" s="11">
        <f>TableDailySummary[[#This Row],[Inversión google ads]]+TableDailySummary[[#This Row],[Inversión meta ads]]</f>
        <v>0</v>
      </c>
      <c r="AC413" s="11">
        <f>TableDailySummary[[#This Row],[Ventas google ads]]+TableDailySummary[[#This Row],[Ventas meta ads]]</f>
        <v>0</v>
      </c>
      <c r="AD413" s="14">
        <f>IFERROR(TableDailySummary[[#This Row],[Ventas publicidad]]/TableDailySummary[[#This Row],[Inversión publicidad]],0)</f>
        <v>0</v>
      </c>
      <c r="AE413" s="14">
        <f>IFERROR(TableDailySummary[[#This Row],[Ventas primer cliente]]/TableDailySummary[[#This Row],[Inversión publicidad]],0)</f>
        <v>0</v>
      </c>
      <c r="AF413" s="14"/>
      <c r="AG413" s="11"/>
      <c r="AM413" s="11">
        <f>_xlfn.XLOOKUP(TableDailySummary[[#This Row],[Fecha]],SummaryDaily[day],SummaryDaily[net_sales_with_cost_recorded],0)</f>
        <v>0</v>
      </c>
      <c r="AN413" s="11">
        <f>_xlfn.XLOOKUP(TableDailySummary[[#This Row],[Fecha]],SummaryDaily[day],SummaryDaily[cost_of_goods_sold],0)</f>
        <v>0</v>
      </c>
      <c r="AO413" s="11">
        <f>_xlfn.XLOOKUP(TableDailySummary[[#This Row],[Fecha]],SummaryDaily[day],SummaryDaily[gross_profit],0)</f>
        <v>0</v>
      </c>
      <c r="AP413" s="18">
        <f>IFERROR(TableDailySummary[[#This Row],[Utilidad bruta]]/TableDailySummary[[#This Row],[Ventas netas con costo registrado]],0)</f>
        <v>0</v>
      </c>
    </row>
    <row r="414" spans="2:42" x14ac:dyDescent="0.2">
      <c r="B414" s="15" cm="1">
        <f t="array" ref="B414">ParamFechaInicioReporte + (ROW(TableDailySummary[#This Row]) - ROW(TableDailySummary[[#Headers],[Dia]]) - 1)</f>
        <v>44941</v>
      </c>
      <c r="C414" s="6">
        <f>TableDailySummary[[#This Row],[Dia]]</f>
        <v>44941</v>
      </c>
      <c r="D414" s="11">
        <f>_xlfn.XLOOKUP(TableDailySummary[[#This Row],[Fecha]],SummaryDaily[day],SummaryDaily[net_sales],0)</f>
        <v>0</v>
      </c>
      <c r="E414" s="11">
        <f>_xlfn.XLOOKUP(TableDailySummary[[#This Row],[Fecha]],SummaryDaily[day],SummaryDaily[orders],0)</f>
        <v>0</v>
      </c>
      <c r="F414" s="11">
        <f>_xlfn.XLOOKUP(TableDailySummary[[#This Row],[Fecha]],SummaryDaily[day],SummaryDaily[average_order_value],0)</f>
        <v>0</v>
      </c>
      <c r="G414" s="24" cm="1">
        <f t="array" ref="G414">_xlfn.XLOOKUP(TableDailySummary[[#This Row],[Fecha]]&amp;"Total site",ConversionRateByReferral[day]&amp;ConversionRateByReferral[referrer_source],ConversionRateByReferral[conversion_rate],0)</f>
        <v>0</v>
      </c>
      <c r="H414" s="11">
        <f>TableDailySummary[[#This Row],[Órden promedio totales]]*TableDailySummary[[#This Row],[CR totales]]</f>
        <v>0</v>
      </c>
      <c r="I414" s="11">
        <f>_xlfn.XLOOKUP(TableDailySummary[[#This Row],[Fecha]],SummaryDaily[day],SummaryDaily[new_net_sales],0)</f>
        <v>0</v>
      </c>
      <c r="J414" s="11">
        <f>_xlfn.XLOOKUP(TableDailySummary[[#This Row],[Fecha]],SummaryDaily[day],SummaryDaily[new_orders],0)</f>
        <v>0</v>
      </c>
      <c r="K414" s="11">
        <f>_xlfn.XLOOKUP(TableDailySummary[[#This Row],[Fecha]],SummaryDaily[day],SummaryDaily[new_average_order_value],0)</f>
        <v>0</v>
      </c>
      <c r="L414" s="11">
        <f>_xlfn.XLOOKUP(TableDailySummary[[#This Row],[Fecha]],SummaryDaily[day],SummaryDaily[Online Store_net_sales],0)</f>
        <v>0</v>
      </c>
      <c r="M414" s="11">
        <f>_xlfn.XLOOKUP(TableDailySummary[[#This Row],[Fecha]],SummaryDaily[day],SummaryDaily[Online Store_orders],0)</f>
        <v>0</v>
      </c>
      <c r="N414" s="11">
        <f>_xlfn.XLOOKUP(TableDailySummary[[#This Row],[Fecha]],SummaryDaily[day],SummaryDaily[Online Store_average_order_value],0)</f>
        <v>0</v>
      </c>
      <c r="O414" s="11">
        <f>_xlfn.XLOOKUP(TableDailySummary[[#This Row],[Fecha]],SummaryDaily[day],SummaryDaily[Tienda 81_net_sales],0)</f>
        <v>0</v>
      </c>
      <c r="P414" s="11">
        <f>_xlfn.XLOOKUP(TableDailySummary[[#This Row],[Fecha]],SummaryDaily[day],SummaryDaily[Tienda 81_orders],0)</f>
        <v>0</v>
      </c>
      <c r="Q414" s="11">
        <f>_xlfn.XLOOKUP(TableDailySummary[[#This Row],[Fecha]],SummaryDaily[day],SummaryDaily[Tienda 81_average_order_value],0)</f>
        <v>0</v>
      </c>
      <c r="R414" s="11">
        <f>_xlfn.XLOOKUP(TableDailySummary[[#This Row],[Fecha]],SummaryDaily[day],SummaryDaily[Rappi_net_sales],0)</f>
        <v>0</v>
      </c>
      <c r="S414" s="11">
        <f>_xlfn.XLOOKUP(TableDailySummary[[#This Row],[Fecha]],SummaryDaily[day],SummaryDaily[Rappi_orders],0)</f>
        <v>0</v>
      </c>
      <c r="T414" s="11">
        <f>_xlfn.XLOOKUP(TableDailySummary[[#This Row],[Fecha]],SummaryDaily[day],SummaryDaily[Rappi_average_order_value],0)</f>
        <v>0</v>
      </c>
      <c r="U414" s="11">
        <f>_xlfn.XLOOKUP(TableDailySummary[[#This Row],[Fecha]],SummaryDaily[day],SummaryDaily[Corporativo no tienda_net_sales],0)</f>
        <v>0</v>
      </c>
      <c r="V414" s="11">
        <f>_xlfn.XLOOKUP(TableDailySummary[[#This Row],[Fecha]],SummaryDaily[day],SummaryDaily[Corporativo no tienda_orders],0)</f>
        <v>0</v>
      </c>
      <c r="W414" s="11">
        <f>_xlfn.XLOOKUP(TableDailySummary[[#This Row],[Fecha]],SummaryDaily[day],SummaryDaily[Corporativo no tienda_average_order_value],0)</f>
        <v>0</v>
      </c>
      <c r="X414" s="11">
        <f>_xlfn.XLOOKUP(TableDailySummary[[#This Row],[Fecha]],SummaryDaily[day],SummaryDaily[GoogleAdsOperation.Cost],0)</f>
        <v>0</v>
      </c>
      <c r="Y414" s="11">
        <f>SUMIFS(SalesByUTMDaily[google],SalesByUTMDaily[day],TableDailySummary[[#This Row],[Fecha]])</f>
        <v>0</v>
      </c>
      <c r="Z414" s="11">
        <f>_xlfn.XLOOKUP(TableDailySummary[[#This Row],[Fecha]],SummaryDaily[day],SummaryDaily[MetaAdsOperation.spend],0)</f>
        <v>0</v>
      </c>
      <c r="AA414" s="11">
        <f>SUMIFS(SalesByUTMDaily[facebook],SalesByUTMDaily[day],TableDailySummary[[#This Row],[Fecha]])</f>
        <v>0</v>
      </c>
      <c r="AB414" s="11">
        <f>TableDailySummary[[#This Row],[Inversión google ads]]+TableDailySummary[[#This Row],[Inversión meta ads]]</f>
        <v>0</v>
      </c>
      <c r="AC414" s="11">
        <f>TableDailySummary[[#This Row],[Ventas google ads]]+TableDailySummary[[#This Row],[Ventas meta ads]]</f>
        <v>0</v>
      </c>
      <c r="AD414" s="14">
        <f>IFERROR(TableDailySummary[[#This Row],[Ventas publicidad]]/TableDailySummary[[#This Row],[Inversión publicidad]],0)</f>
        <v>0</v>
      </c>
      <c r="AE414" s="14">
        <f>IFERROR(TableDailySummary[[#This Row],[Ventas primer cliente]]/TableDailySummary[[#This Row],[Inversión publicidad]],0)</f>
        <v>0</v>
      </c>
      <c r="AF414" s="14"/>
      <c r="AG414" s="11"/>
      <c r="AM414" s="11">
        <f>_xlfn.XLOOKUP(TableDailySummary[[#This Row],[Fecha]],SummaryDaily[day],SummaryDaily[net_sales_with_cost_recorded],0)</f>
        <v>0</v>
      </c>
      <c r="AN414" s="11">
        <f>_xlfn.XLOOKUP(TableDailySummary[[#This Row],[Fecha]],SummaryDaily[day],SummaryDaily[cost_of_goods_sold],0)</f>
        <v>0</v>
      </c>
      <c r="AO414" s="11">
        <f>_xlfn.XLOOKUP(TableDailySummary[[#This Row],[Fecha]],SummaryDaily[day],SummaryDaily[gross_profit],0)</f>
        <v>0</v>
      </c>
      <c r="AP414" s="18">
        <f>IFERROR(TableDailySummary[[#This Row],[Utilidad bruta]]/TableDailySummary[[#This Row],[Ventas netas con costo registrado]],0)</f>
        <v>0</v>
      </c>
    </row>
    <row r="415" spans="2:42" x14ac:dyDescent="0.2">
      <c r="B415" s="15" cm="1">
        <f t="array" ref="B415">ParamFechaInicioReporte + (ROW(TableDailySummary[#This Row]) - ROW(TableDailySummary[[#Headers],[Dia]]) - 1)</f>
        <v>44942</v>
      </c>
      <c r="C415" s="6">
        <f>TableDailySummary[[#This Row],[Dia]]</f>
        <v>44942</v>
      </c>
      <c r="D415" s="11">
        <f>_xlfn.XLOOKUP(TableDailySummary[[#This Row],[Fecha]],SummaryDaily[day],SummaryDaily[net_sales],0)</f>
        <v>0</v>
      </c>
      <c r="E415" s="11">
        <f>_xlfn.XLOOKUP(TableDailySummary[[#This Row],[Fecha]],SummaryDaily[day],SummaryDaily[orders],0)</f>
        <v>0</v>
      </c>
      <c r="F415" s="11">
        <f>_xlfn.XLOOKUP(TableDailySummary[[#This Row],[Fecha]],SummaryDaily[day],SummaryDaily[average_order_value],0)</f>
        <v>0</v>
      </c>
      <c r="G415" s="24" cm="1">
        <f t="array" ref="G415">_xlfn.XLOOKUP(TableDailySummary[[#This Row],[Fecha]]&amp;"Total site",ConversionRateByReferral[day]&amp;ConversionRateByReferral[referrer_source],ConversionRateByReferral[conversion_rate],0)</f>
        <v>0</v>
      </c>
      <c r="H415" s="11">
        <f>TableDailySummary[[#This Row],[Órden promedio totales]]*TableDailySummary[[#This Row],[CR totales]]</f>
        <v>0</v>
      </c>
      <c r="I415" s="11">
        <f>_xlfn.XLOOKUP(TableDailySummary[[#This Row],[Fecha]],SummaryDaily[day],SummaryDaily[new_net_sales],0)</f>
        <v>0</v>
      </c>
      <c r="J415" s="11">
        <f>_xlfn.XLOOKUP(TableDailySummary[[#This Row],[Fecha]],SummaryDaily[day],SummaryDaily[new_orders],0)</f>
        <v>0</v>
      </c>
      <c r="K415" s="11">
        <f>_xlfn.XLOOKUP(TableDailySummary[[#This Row],[Fecha]],SummaryDaily[day],SummaryDaily[new_average_order_value],0)</f>
        <v>0</v>
      </c>
      <c r="L415" s="11">
        <f>_xlfn.XLOOKUP(TableDailySummary[[#This Row],[Fecha]],SummaryDaily[day],SummaryDaily[Online Store_net_sales],0)</f>
        <v>0</v>
      </c>
      <c r="M415" s="11">
        <f>_xlfn.XLOOKUP(TableDailySummary[[#This Row],[Fecha]],SummaryDaily[day],SummaryDaily[Online Store_orders],0)</f>
        <v>0</v>
      </c>
      <c r="N415" s="11">
        <f>_xlfn.XLOOKUP(TableDailySummary[[#This Row],[Fecha]],SummaryDaily[day],SummaryDaily[Online Store_average_order_value],0)</f>
        <v>0</v>
      </c>
      <c r="O415" s="11">
        <f>_xlfn.XLOOKUP(TableDailySummary[[#This Row],[Fecha]],SummaryDaily[day],SummaryDaily[Tienda 81_net_sales],0)</f>
        <v>0</v>
      </c>
      <c r="P415" s="11">
        <f>_xlfn.XLOOKUP(TableDailySummary[[#This Row],[Fecha]],SummaryDaily[day],SummaryDaily[Tienda 81_orders],0)</f>
        <v>0</v>
      </c>
      <c r="Q415" s="11">
        <f>_xlfn.XLOOKUP(TableDailySummary[[#This Row],[Fecha]],SummaryDaily[day],SummaryDaily[Tienda 81_average_order_value],0)</f>
        <v>0</v>
      </c>
      <c r="R415" s="11">
        <f>_xlfn.XLOOKUP(TableDailySummary[[#This Row],[Fecha]],SummaryDaily[day],SummaryDaily[Rappi_net_sales],0)</f>
        <v>0</v>
      </c>
      <c r="S415" s="11">
        <f>_xlfn.XLOOKUP(TableDailySummary[[#This Row],[Fecha]],SummaryDaily[day],SummaryDaily[Rappi_orders],0)</f>
        <v>0</v>
      </c>
      <c r="T415" s="11">
        <f>_xlfn.XLOOKUP(TableDailySummary[[#This Row],[Fecha]],SummaryDaily[day],SummaryDaily[Rappi_average_order_value],0)</f>
        <v>0</v>
      </c>
      <c r="U415" s="11">
        <f>_xlfn.XLOOKUP(TableDailySummary[[#This Row],[Fecha]],SummaryDaily[day],SummaryDaily[Corporativo no tienda_net_sales],0)</f>
        <v>0</v>
      </c>
      <c r="V415" s="11">
        <f>_xlfn.XLOOKUP(TableDailySummary[[#This Row],[Fecha]],SummaryDaily[day],SummaryDaily[Corporativo no tienda_orders],0)</f>
        <v>0</v>
      </c>
      <c r="W415" s="11">
        <f>_xlfn.XLOOKUP(TableDailySummary[[#This Row],[Fecha]],SummaryDaily[day],SummaryDaily[Corporativo no tienda_average_order_value],0)</f>
        <v>0</v>
      </c>
      <c r="X415" s="11">
        <f>_xlfn.XLOOKUP(TableDailySummary[[#This Row],[Fecha]],SummaryDaily[day],SummaryDaily[GoogleAdsOperation.Cost],0)</f>
        <v>0</v>
      </c>
      <c r="Y415" s="11">
        <f>SUMIFS(SalesByUTMDaily[google],SalesByUTMDaily[day],TableDailySummary[[#This Row],[Fecha]])</f>
        <v>0</v>
      </c>
      <c r="Z415" s="11">
        <f>_xlfn.XLOOKUP(TableDailySummary[[#This Row],[Fecha]],SummaryDaily[day],SummaryDaily[MetaAdsOperation.spend],0)</f>
        <v>0</v>
      </c>
      <c r="AA415" s="11">
        <f>SUMIFS(SalesByUTMDaily[facebook],SalesByUTMDaily[day],TableDailySummary[[#This Row],[Fecha]])</f>
        <v>0</v>
      </c>
      <c r="AB415" s="11">
        <f>TableDailySummary[[#This Row],[Inversión google ads]]+TableDailySummary[[#This Row],[Inversión meta ads]]</f>
        <v>0</v>
      </c>
      <c r="AC415" s="11">
        <f>TableDailySummary[[#This Row],[Ventas google ads]]+TableDailySummary[[#This Row],[Ventas meta ads]]</f>
        <v>0</v>
      </c>
      <c r="AD415" s="14">
        <f>IFERROR(TableDailySummary[[#This Row],[Ventas publicidad]]/TableDailySummary[[#This Row],[Inversión publicidad]],0)</f>
        <v>0</v>
      </c>
      <c r="AE415" s="14">
        <f>IFERROR(TableDailySummary[[#This Row],[Ventas primer cliente]]/TableDailySummary[[#This Row],[Inversión publicidad]],0)</f>
        <v>0</v>
      </c>
      <c r="AF415" s="14"/>
      <c r="AG415" s="11"/>
      <c r="AM415" s="11">
        <f>_xlfn.XLOOKUP(TableDailySummary[[#This Row],[Fecha]],SummaryDaily[day],SummaryDaily[net_sales_with_cost_recorded],0)</f>
        <v>0</v>
      </c>
      <c r="AN415" s="11">
        <f>_xlfn.XLOOKUP(TableDailySummary[[#This Row],[Fecha]],SummaryDaily[day],SummaryDaily[cost_of_goods_sold],0)</f>
        <v>0</v>
      </c>
      <c r="AO415" s="11">
        <f>_xlfn.XLOOKUP(TableDailySummary[[#This Row],[Fecha]],SummaryDaily[day],SummaryDaily[gross_profit],0)</f>
        <v>0</v>
      </c>
      <c r="AP415" s="18">
        <f>IFERROR(TableDailySummary[[#This Row],[Utilidad bruta]]/TableDailySummary[[#This Row],[Ventas netas con costo registrado]],0)</f>
        <v>0</v>
      </c>
    </row>
    <row r="416" spans="2:42" x14ac:dyDescent="0.2">
      <c r="B416" s="15" cm="1">
        <f t="array" ref="B416">ParamFechaInicioReporte + (ROW(TableDailySummary[#This Row]) - ROW(TableDailySummary[[#Headers],[Dia]]) - 1)</f>
        <v>44943</v>
      </c>
      <c r="C416" s="6">
        <f>TableDailySummary[[#This Row],[Dia]]</f>
        <v>44943</v>
      </c>
      <c r="D416" s="11">
        <f>_xlfn.XLOOKUP(TableDailySummary[[#This Row],[Fecha]],SummaryDaily[day],SummaryDaily[net_sales],0)</f>
        <v>0</v>
      </c>
      <c r="E416" s="11">
        <f>_xlfn.XLOOKUP(TableDailySummary[[#This Row],[Fecha]],SummaryDaily[day],SummaryDaily[orders],0)</f>
        <v>0</v>
      </c>
      <c r="F416" s="11">
        <f>_xlfn.XLOOKUP(TableDailySummary[[#This Row],[Fecha]],SummaryDaily[day],SummaryDaily[average_order_value],0)</f>
        <v>0</v>
      </c>
      <c r="G416" s="24" cm="1">
        <f t="array" ref="G416">_xlfn.XLOOKUP(TableDailySummary[[#This Row],[Fecha]]&amp;"Total site",ConversionRateByReferral[day]&amp;ConversionRateByReferral[referrer_source],ConversionRateByReferral[conversion_rate],0)</f>
        <v>0</v>
      </c>
      <c r="H416" s="11">
        <f>TableDailySummary[[#This Row],[Órden promedio totales]]*TableDailySummary[[#This Row],[CR totales]]</f>
        <v>0</v>
      </c>
      <c r="I416" s="11">
        <f>_xlfn.XLOOKUP(TableDailySummary[[#This Row],[Fecha]],SummaryDaily[day],SummaryDaily[new_net_sales],0)</f>
        <v>0</v>
      </c>
      <c r="J416" s="11">
        <f>_xlfn.XLOOKUP(TableDailySummary[[#This Row],[Fecha]],SummaryDaily[day],SummaryDaily[new_orders],0)</f>
        <v>0</v>
      </c>
      <c r="K416" s="11">
        <f>_xlfn.XLOOKUP(TableDailySummary[[#This Row],[Fecha]],SummaryDaily[day],SummaryDaily[new_average_order_value],0)</f>
        <v>0</v>
      </c>
      <c r="L416" s="11">
        <f>_xlfn.XLOOKUP(TableDailySummary[[#This Row],[Fecha]],SummaryDaily[day],SummaryDaily[Online Store_net_sales],0)</f>
        <v>0</v>
      </c>
      <c r="M416" s="11">
        <f>_xlfn.XLOOKUP(TableDailySummary[[#This Row],[Fecha]],SummaryDaily[day],SummaryDaily[Online Store_orders],0)</f>
        <v>0</v>
      </c>
      <c r="N416" s="11">
        <f>_xlfn.XLOOKUP(TableDailySummary[[#This Row],[Fecha]],SummaryDaily[day],SummaryDaily[Online Store_average_order_value],0)</f>
        <v>0</v>
      </c>
      <c r="O416" s="11">
        <f>_xlfn.XLOOKUP(TableDailySummary[[#This Row],[Fecha]],SummaryDaily[day],SummaryDaily[Tienda 81_net_sales],0)</f>
        <v>0</v>
      </c>
      <c r="P416" s="11">
        <f>_xlfn.XLOOKUP(TableDailySummary[[#This Row],[Fecha]],SummaryDaily[day],SummaryDaily[Tienda 81_orders],0)</f>
        <v>0</v>
      </c>
      <c r="Q416" s="11">
        <f>_xlfn.XLOOKUP(TableDailySummary[[#This Row],[Fecha]],SummaryDaily[day],SummaryDaily[Tienda 81_average_order_value],0)</f>
        <v>0</v>
      </c>
      <c r="R416" s="11">
        <f>_xlfn.XLOOKUP(TableDailySummary[[#This Row],[Fecha]],SummaryDaily[day],SummaryDaily[Rappi_net_sales],0)</f>
        <v>0</v>
      </c>
      <c r="S416" s="11">
        <f>_xlfn.XLOOKUP(TableDailySummary[[#This Row],[Fecha]],SummaryDaily[day],SummaryDaily[Rappi_orders],0)</f>
        <v>0</v>
      </c>
      <c r="T416" s="11">
        <f>_xlfn.XLOOKUP(TableDailySummary[[#This Row],[Fecha]],SummaryDaily[day],SummaryDaily[Rappi_average_order_value],0)</f>
        <v>0</v>
      </c>
      <c r="U416" s="11">
        <f>_xlfn.XLOOKUP(TableDailySummary[[#This Row],[Fecha]],SummaryDaily[day],SummaryDaily[Corporativo no tienda_net_sales],0)</f>
        <v>0</v>
      </c>
      <c r="V416" s="11">
        <f>_xlfn.XLOOKUP(TableDailySummary[[#This Row],[Fecha]],SummaryDaily[day],SummaryDaily[Corporativo no tienda_orders],0)</f>
        <v>0</v>
      </c>
      <c r="W416" s="11">
        <f>_xlfn.XLOOKUP(TableDailySummary[[#This Row],[Fecha]],SummaryDaily[day],SummaryDaily[Corporativo no tienda_average_order_value],0)</f>
        <v>0</v>
      </c>
      <c r="X416" s="11">
        <f>_xlfn.XLOOKUP(TableDailySummary[[#This Row],[Fecha]],SummaryDaily[day],SummaryDaily[GoogleAdsOperation.Cost],0)</f>
        <v>0</v>
      </c>
      <c r="Y416" s="11">
        <f>SUMIFS(SalesByUTMDaily[google],SalesByUTMDaily[day],TableDailySummary[[#This Row],[Fecha]])</f>
        <v>0</v>
      </c>
      <c r="Z416" s="11">
        <f>_xlfn.XLOOKUP(TableDailySummary[[#This Row],[Fecha]],SummaryDaily[day],SummaryDaily[MetaAdsOperation.spend],0)</f>
        <v>0</v>
      </c>
      <c r="AA416" s="11">
        <f>SUMIFS(SalesByUTMDaily[facebook],SalesByUTMDaily[day],TableDailySummary[[#This Row],[Fecha]])</f>
        <v>0</v>
      </c>
      <c r="AB416" s="11">
        <f>TableDailySummary[[#This Row],[Inversión google ads]]+TableDailySummary[[#This Row],[Inversión meta ads]]</f>
        <v>0</v>
      </c>
      <c r="AC416" s="11">
        <f>TableDailySummary[[#This Row],[Ventas google ads]]+TableDailySummary[[#This Row],[Ventas meta ads]]</f>
        <v>0</v>
      </c>
      <c r="AD416" s="14">
        <f>IFERROR(TableDailySummary[[#This Row],[Ventas publicidad]]/TableDailySummary[[#This Row],[Inversión publicidad]],0)</f>
        <v>0</v>
      </c>
      <c r="AE416" s="14">
        <f>IFERROR(TableDailySummary[[#This Row],[Ventas primer cliente]]/TableDailySummary[[#This Row],[Inversión publicidad]],0)</f>
        <v>0</v>
      </c>
      <c r="AF416" s="14"/>
      <c r="AG416" s="11"/>
      <c r="AM416" s="11">
        <f>_xlfn.XLOOKUP(TableDailySummary[[#This Row],[Fecha]],SummaryDaily[day],SummaryDaily[net_sales_with_cost_recorded],0)</f>
        <v>0</v>
      </c>
      <c r="AN416" s="11">
        <f>_xlfn.XLOOKUP(TableDailySummary[[#This Row],[Fecha]],SummaryDaily[day],SummaryDaily[cost_of_goods_sold],0)</f>
        <v>0</v>
      </c>
      <c r="AO416" s="11">
        <f>_xlfn.XLOOKUP(TableDailySummary[[#This Row],[Fecha]],SummaryDaily[day],SummaryDaily[gross_profit],0)</f>
        <v>0</v>
      </c>
      <c r="AP416" s="18">
        <f>IFERROR(TableDailySummary[[#This Row],[Utilidad bruta]]/TableDailySummary[[#This Row],[Ventas netas con costo registrado]],0)</f>
        <v>0</v>
      </c>
    </row>
    <row r="417" spans="2:42" x14ac:dyDescent="0.2">
      <c r="B417" s="15" cm="1">
        <f t="array" ref="B417">ParamFechaInicioReporte + (ROW(TableDailySummary[#This Row]) - ROW(TableDailySummary[[#Headers],[Dia]]) - 1)</f>
        <v>44944</v>
      </c>
      <c r="C417" s="6">
        <f>TableDailySummary[[#This Row],[Dia]]</f>
        <v>44944</v>
      </c>
      <c r="D417" s="11">
        <f>_xlfn.XLOOKUP(TableDailySummary[[#This Row],[Fecha]],SummaryDaily[day],SummaryDaily[net_sales],0)</f>
        <v>0</v>
      </c>
      <c r="E417" s="11">
        <f>_xlfn.XLOOKUP(TableDailySummary[[#This Row],[Fecha]],SummaryDaily[day],SummaryDaily[orders],0)</f>
        <v>0</v>
      </c>
      <c r="F417" s="11">
        <f>_xlfn.XLOOKUP(TableDailySummary[[#This Row],[Fecha]],SummaryDaily[day],SummaryDaily[average_order_value],0)</f>
        <v>0</v>
      </c>
      <c r="G417" s="24" cm="1">
        <f t="array" ref="G417">_xlfn.XLOOKUP(TableDailySummary[[#This Row],[Fecha]]&amp;"Total site",ConversionRateByReferral[day]&amp;ConversionRateByReferral[referrer_source],ConversionRateByReferral[conversion_rate],0)</f>
        <v>0</v>
      </c>
      <c r="H417" s="11">
        <f>TableDailySummary[[#This Row],[Órden promedio totales]]*TableDailySummary[[#This Row],[CR totales]]</f>
        <v>0</v>
      </c>
      <c r="I417" s="11">
        <f>_xlfn.XLOOKUP(TableDailySummary[[#This Row],[Fecha]],SummaryDaily[day],SummaryDaily[new_net_sales],0)</f>
        <v>0</v>
      </c>
      <c r="J417" s="11">
        <f>_xlfn.XLOOKUP(TableDailySummary[[#This Row],[Fecha]],SummaryDaily[day],SummaryDaily[new_orders],0)</f>
        <v>0</v>
      </c>
      <c r="K417" s="11">
        <f>_xlfn.XLOOKUP(TableDailySummary[[#This Row],[Fecha]],SummaryDaily[day],SummaryDaily[new_average_order_value],0)</f>
        <v>0</v>
      </c>
      <c r="L417" s="11">
        <f>_xlfn.XLOOKUP(TableDailySummary[[#This Row],[Fecha]],SummaryDaily[day],SummaryDaily[Online Store_net_sales],0)</f>
        <v>0</v>
      </c>
      <c r="M417" s="11">
        <f>_xlfn.XLOOKUP(TableDailySummary[[#This Row],[Fecha]],SummaryDaily[day],SummaryDaily[Online Store_orders],0)</f>
        <v>0</v>
      </c>
      <c r="N417" s="11">
        <f>_xlfn.XLOOKUP(TableDailySummary[[#This Row],[Fecha]],SummaryDaily[day],SummaryDaily[Online Store_average_order_value],0)</f>
        <v>0</v>
      </c>
      <c r="O417" s="11">
        <f>_xlfn.XLOOKUP(TableDailySummary[[#This Row],[Fecha]],SummaryDaily[day],SummaryDaily[Tienda 81_net_sales],0)</f>
        <v>0</v>
      </c>
      <c r="P417" s="11">
        <f>_xlfn.XLOOKUP(TableDailySummary[[#This Row],[Fecha]],SummaryDaily[day],SummaryDaily[Tienda 81_orders],0)</f>
        <v>0</v>
      </c>
      <c r="Q417" s="11">
        <f>_xlfn.XLOOKUP(TableDailySummary[[#This Row],[Fecha]],SummaryDaily[day],SummaryDaily[Tienda 81_average_order_value],0)</f>
        <v>0</v>
      </c>
      <c r="R417" s="11">
        <f>_xlfn.XLOOKUP(TableDailySummary[[#This Row],[Fecha]],SummaryDaily[day],SummaryDaily[Rappi_net_sales],0)</f>
        <v>0</v>
      </c>
      <c r="S417" s="11">
        <f>_xlfn.XLOOKUP(TableDailySummary[[#This Row],[Fecha]],SummaryDaily[day],SummaryDaily[Rappi_orders],0)</f>
        <v>0</v>
      </c>
      <c r="T417" s="11">
        <f>_xlfn.XLOOKUP(TableDailySummary[[#This Row],[Fecha]],SummaryDaily[day],SummaryDaily[Rappi_average_order_value],0)</f>
        <v>0</v>
      </c>
      <c r="U417" s="11">
        <f>_xlfn.XLOOKUP(TableDailySummary[[#This Row],[Fecha]],SummaryDaily[day],SummaryDaily[Corporativo no tienda_net_sales],0)</f>
        <v>0</v>
      </c>
      <c r="V417" s="11">
        <f>_xlfn.XLOOKUP(TableDailySummary[[#This Row],[Fecha]],SummaryDaily[day],SummaryDaily[Corporativo no tienda_orders],0)</f>
        <v>0</v>
      </c>
      <c r="W417" s="11">
        <f>_xlfn.XLOOKUP(TableDailySummary[[#This Row],[Fecha]],SummaryDaily[day],SummaryDaily[Corporativo no tienda_average_order_value],0)</f>
        <v>0</v>
      </c>
      <c r="X417" s="11">
        <f>_xlfn.XLOOKUP(TableDailySummary[[#This Row],[Fecha]],SummaryDaily[day],SummaryDaily[GoogleAdsOperation.Cost],0)</f>
        <v>0</v>
      </c>
      <c r="Y417" s="11">
        <f>SUMIFS(SalesByUTMDaily[google],SalesByUTMDaily[day],TableDailySummary[[#This Row],[Fecha]])</f>
        <v>0</v>
      </c>
      <c r="Z417" s="11">
        <f>_xlfn.XLOOKUP(TableDailySummary[[#This Row],[Fecha]],SummaryDaily[day],SummaryDaily[MetaAdsOperation.spend],0)</f>
        <v>0</v>
      </c>
      <c r="AA417" s="11">
        <f>SUMIFS(SalesByUTMDaily[facebook],SalesByUTMDaily[day],TableDailySummary[[#This Row],[Fecha]])</f>
        <v>0</v>
      </c>
      <c r="AB417" s="11">
        <f>TableDailySummary[[#This Row],[Inversión google ads]]+TableDailySummary[[#This Row],[Inversión meta ads]]</f>
        <v>0</v>
      </c>
      <c r="AC417" s="11">
        <f>TableDailySummary[[#This Row],[Ventas google ads]]+TableDailySummary[[#This Row],[Ventas meta ads]]</f>
        <v>0</v>
      </c>
      <c r="AD417" s="14">
        <f>IFERROR(TableDailySummary[[#This Row],[Ventas publicidad]]/TableDailySummary[[#This Row],[Inversión publicidad]],0)</f>
        <v>0</v>
      </c>
      <c r="AE417" s="14">
        <f>IFERROR(TableDailySummary[[#This Row],[Ventas primer cliente]]/TableDailySummary[[#This Row],[Inversión publicidad]],0)</f>
        <v>0</v>
      </c>
      <c r="AF417" s="14"/>
      <c r="AG417" s="11"/>
      <c r="AM417" s="11">
        <f>_xlfn.XLOOKUP(TableDailySummary[[#This Row],[Fecha]],SummaryDaily[day],SummaryDaily[net_sales_with_cost_recorded],0)</f>
        <v>0</v>
      </c>
      <c r="AN417" s="11">
        <f>_xlfn.XLOOKUP(TableDailySummary[[#This Row],[Fecha]],SummaryDaily[day],SummaryDaily[cost_of_goods_sold],0)</f>
        <v>0</v>
      </c>
      <c r="AO417" s="11">
        <f>_xlfn.XLOOKUP(TableDailySummary[[#This Row],[Fecha]],SummaryDaily[day],SummaryDaily[gross_profit],0)</f>
        <v>0</v>
      </c>
      <c r="AP417" s="18">
        <f>IFERROR(TableDailySummary[[#This Row],[Utilidad bruta]]/TableDailySummary[[#This Row],[Ventas netas con costo registrado]],0)</f>
        <v>0</v>
      </c>
    </row>
    <row r="418" spans="2:42" x14ac:dyDescent="0.2">
      <c r="B418" s="15" cm="1">
        <f t="array" ref="B418">ParamFechaInicioReporte + (ROW(TableDailySummary[#This Row]) - ROW(TableDailySummary[[#Headers],[Dia]]) - 1)</f>
        <v>44945</v>
      </c>
      <c r="C418" s="6">
        <f>TableDailySummary[[#This Row],[Dia]]</f>
        <v>44945</v>
      </c>
      <c r="D418" s="11">
        <f>_xlfn.XLOOKUP(TableDailySummary[[#This Row],[Fecha]],SummaryDaily[day],SummaryDaily[net_sales],0)</f>
        <v>0</v>
      </c>
      <c r="E418" s="11">
        <f>_xlfn.XLOOKUP(TableDailySummary[[#This Row],[Fecha]],SummaryDaily[day],SummaryDaily[orders],0)</f>
        <v>0</v>
      </c>
      <c r="F418" s="11">
        <f>_xlfn.XLOOKUP(TableDailySummary[[#This Row],[Fecha]],SummaryDaily[day],SummaryDaily[average_order_value],0)</f>
        <v>0</v>
      </c>
      <c r="G418" s="24" cm="1">
        <f t="array" ref="G418">_xlfn.XLOOKUP(TableDailySummary[[#This Row],[Fecha]]&amp;"Total site",ConversionRateByReferral[day]&amp;ConversionRateByReferral[referrer_source],ConversionRateByReferral[conversion_rate],0)</f>
        <v>0</v>
      </c>
      <c r="H418" s="11">
        <f>TableDailySummary[[#This Row],[Órden promedio totales]]*TableDailySummary[[#This Row],[CR totales]]</f>
        <v>0</v>
      </c>
      <c r="I418" s="11">
        <f>_xlfn.XLOOKUP(TableDailySummary[[#This Row],[Fecha]],SummaryDaily[day],SummaryDaily[new_net_sales],0)</f>
        <v>0</v>
      </c>
      <c r="J418" s="11">
        <f>_xlfn.XLOOKUP(TableDailySummary[[#This Row],[Fecha]],SummaryDaily[day],SummaryDaily[new_orders],0)</f>
        <v>0</v>
      </c>
      <c r="K418" s="11">
        <f>_xlfn.XLOOKUP(TableDailySummary[[#This Row],[Fecha]],SummaryDaily[day],SummaryDaily[new_average_order_value],0)</f>
        <v>0</v>
      </c>
      <c r="L418" s="11">
        <f>_xlfn.XLOOKUP(TableDailySummary[[#This Row],[Fecha]],SummaryDaily[day],SummaryDaily[Online Store_net_sales],0)</f>
        <v>0</v>
      </c>
      <c r="M418" s="11">
        <f>_xlfn.XLOOKUP(TableDailySummary[[#This Row],[Fecha]],SummaryDaily[day],SummaryDaily[Online Store_orders],0)</f>
        <v>0</v>
      </c>
      <c r="N418" s="11">
        <f>_xlfn.XLOOKUP(TableDailySummary[[#This Row],[Fecha]],SummaryDaily[day],SummaryDaily[Online Store_average_order_value],0)</f>
        <v>0</v>
      </c>
      <c r="O418" s="11">
        <f>_xlfn.XLOOKUP(TableDailySummary[[#This Row],[Fecha]],SummaryDaily[day],SummaryDaily[Tienda 81_net_sales],0)</f>
        <v>0</v>
      </c>
      <c r="P418" s="11">
        <f>_xlfn.XLOOKUP(TableDailySummary[[#This Row],[Fecha]],SummaryDaily[day],SummaryDaily[Tienda 81_orders],0)</f>
        <v>0</v>
      </c>
      <c r="Q418" s="11">
        <f>_xlfn.XLOOKUP(TableDailySummary[[#This Row],[Fecha]],SummaryDaily[day],SummaryDaily[Tienda 81_average_order_value],0)</f>
        <v>0</v>
      </c>
      <c r="R418" s="11">
        <f>_xlfn.XLOOKUP(TableDailySummary[[#This Row],[Fecha]],SummaryDaily[day],SummaryDaily[Rappi_net_sales],0)</f>
        <v>0</v>
      </c>
      <c r="S418" s="11">
        <f>_xlfn.XLOOKUP(TableDailySummary[[#This Row],[Fecha]],SummaryDaily[day],SummaryDaily[Rappi_orders],0)</f>
        <v>0</v>
      </c>
      <c r="T418" s="11">
        <f>_xlfn.XLOOKUP(TableDailySummary[[#This Row],[Fecha]],SummaryDaily[day],SummaryDaily[Rappi_average_order_value],0)</f>
        <v>0</v>
      </c>
      <c r="U418" s="11">
        <f>_xlfn.XLOOKUP(TableDailySummary[[#This Row],[Fecha]],SummaryDaily[day],SummaryDaily[Corporativo no tienda_net_sales],0)</f>
        <v>0</v>
      </c>
      <c r="V418" s="11">
        <f>_xlfn.XLOOKUP(TableDailySummary[[#This Row],[Fecha]],SummaryDaily[day],SummaryDaily[Corporativo no tienda_orders],0)</f>
        <v>0</v>
      </c>
      <c r="W418" s="11">
        <f>_xlfn.XLOOKUP(TableDailySummary[[#This Row],[Fecha]],SummaryDaily[day],SummaryDaily[Corporativo no tienda_average_order_value],0)</f>
        <v>0</v>
      </c>
      <c r="X418" s="11">
        <f>_xlfn.XLOOKUP(TableDailySummary[[#This Row],[Fecha]],SummaryDaily[day],SummaryDaily[GoogleAdsOperation.Cost],0)</f>
        <v>0</v>
      </c>
      <c r="Y418" s="11">
        <f>SUMIFS(SalesByUTMDaily[google],SalesByUTMDaily[day],TableDailySummary[[#This Row],[Fecha]])</f>
        <v>0</v>
      </c>
      <c r="Z418" s="11">
        <f>_xlfn.XLOOKUP(TableDailySummary[[#This Row],[Fecha]],SummaryDaily[day],SummaryDaily[MetaAdsOperation.spend],0)</f>
        <v>0</v>
      </c>
      <c r="AA418" s="11">
        <f>SUMIFS(SalesByUTMDaily[facebook],SalesByUTMDaily[day],TableDailySummary[[#This Row],[Fecha]])</f>
        <v>0</v>
      </c>
      <c r="AB418" s="11">
        <f>TableDailySummary[[#This Row],[Inversión google ads]]+TableDailySummary[[#This Row],[Inversión meta ads]]</f>
        <v>0</v>
      </c>
      <c r="AC418" s="11">
        <f>TableDailySummary[[#This Row],[Ventas google ads]]+TableDailySummary[[#This Row],[Ventas meta ads]]</f>
        <v>0</v>
      </c>
      <c r="AD418" s="14">
        <f>IFERROR(TableDailySummary[[#This Row],[Ventas publicidad]]/TableDailySummary[[#This Row],[Inversión publicidad]],0)</f>
        <v>0</v>
      </c>
      <c r="AE418" s="14">
        <f>IFERROR(TableDailySummary[[#This Row],[Ventas primer cliente]]/TableDailySummary[[#This Row],[Inversión publicidad]],0)</f>
        <v>0</v>
      </c>
      <c r="AF418" s="14"/>
      <c r="AG418" s="11"/>
      <c r="AM418" s="11">
        <f>_xlfn.XLOOKUP(TableDailySummary[[#This Row],[Fecha]],SummaryDaily[day],SummaryDaily[net_sales_with_cost_recorded],0)</f>
        <v>0</v>
      </c>
      <c r="AN418" s="11">
        <f>_xlfn.XLOOKUP(TableDailySummary[[#This Row],[Fecha]],SummaryDaily[day],SummaryDaily[cost_of_goods_sold],0)</f>
        <v>0</v>
      </c>
      <c r="AO418" s="11">
        <f>_xlfn.XLOOKUP(TableDailySummary[[#This Row],[Fecha]],SummaryDaily[day],SummaryDaily[gross_profit],0)</f>
        <v>0</v>
      </c>
      <c r="AP418" s="18">
        <f>IFERROR(TableDailySummary[[#This Row],[Utilidad bruta]]/TableDailySummary[[#This Row],[Ventas netas con costo registrado]],0)</f>
        <v>0</v>
      </c>
    </row>
    <row r="419" spans="2:42" x14ac:dyDescent="0.2">
      <c r="B419" s="15" cm="1">
        <f t="array" ref="B419">ParamFechaInicioReporte + (ROW(TableDailySummary[#This Row]) - ROW(TableDailySummary[[#Headers],[Dia]]) - 1)</f>
        <v>44946</v>
      </c>
      <c r="C419" s="6">
        <f>TableDailySummary[[#This Row],[Dia]]</f>
        <v>44946</v>
      </c>
      <c r="D419" s="11">
        <f>_xlfn.XLOOKUP(TableDailySummary[[#This Row],[Fecha]],SummaryDaily[day],SummaryDaily[net_sales],0)</f>
        <v>0</v>
      </c>
      <c r="E419" s="11">
        <f>_xlfn.XLOOKUP(TableDailySummary[[#This Row],[Fecha]],SummaryDaily[day],SummaryDaily[orders],0)</f>
        <v>0</v>
      </c>
      <c r="F419" s="11">
        <f>_xlfn.XLOOKUP(TableDailySummary[[#This Row],[Fecha]],SummaryDaily[day],SummaryDaily[average_order_value],0)</f>
        <v>0</v>
      </c>
      <c r="G419" s="24" cm="1">
        <f t="array" ref="G419">_xlfn.XLOOKUP(TableDailySummary[[#This Row],[Fecha]]&amp;"Total site",ConversionRateByReferral[day]&amp;ConversionRateByReferral[referrer_source],ConversionRateByReferral[conversion_rate],0)</f>
        <v>0</v>
      </c>
      <c r="H419" s="11">
        <f>TableDailySummary[[#This Row],[Órden promedio totales]]*TableDailySummary[[#This Row],[CR totales]]</f>
        <v>0</v>
      </c>
      <c r="I419" s="11">
        <f>_xlfn.XLOOKUP(TableDailySummary[[#This Row],[Fecha]],SummaryDaily[day],SummaryDaily[new_net_sales],0)</f>
        <v>0</v>
      </c>
      <c r="J419" s="11">
        <f>_xlfn.XLOOKUP(TableDailySummary[[#This Row],[Fecha]],SummaryDaily[day],SummaryDaily[new_orders],0)</f>
        <v>0</v>
      </c>
      <c r="K419" s="11">
        <f>_xlfn.XLOOKUP(TableDailySummary[[#This Row],[Fecha]],SummaryDaily[day],SummaryDaily[new_average_order_value],0)</f>
        <v>0</v>
      </c>
      <c r="L419" s="11">
        <f>_xlfn.XLOOKUP(TableDailySummary[[#This Row],[Fecha]],SummaryDaily[day],SummaryDaily[Online Store_net_sales],0)</f>
        <v>0</v>
      </c>
      <c r="M419" s="11">
        <f>_xlfn.XLOOKUP(TableDailySummary[[#This Row],[Fecha]],SummaryDaily[day],SummaryDaily[Online Store_orders],0)</f>
        <v>0</v>
      </c>
      <c r="N419" s="11">
        <f>_xlfn.XLOOKUP(TableDailySummary[[#This Row],[Fecha]],SummaryDaily[day],SummaryDaily[Online Store_average_order_value],0)</f>
        <v>0</v>
      </c>
      <c r="O419" s="11">
        <f>_xlfn.XLOOKUP(TableDailySummary[[#This Row],[Fecha]],SummaryDaily[day],SummaryDaily[Tienda 81_net_sales],0)</f>
        <v>0</v>
      </c>
      <c r="P419" s="11">
        <f>_xlfn.XLOOKUP(TableDailySummary[[#This Row],[Fecha]],SummaryDaily[day],SummaryDaily[Tienda 81_orders],0)</f>
        <v>0</v>
      </c>
      <c r="Q419" s="11">
        <f>_xlfn.XLOOKUP(TableDailySummary[[#This Row],[Fecha]],SummaryDaily[day],SummaryDaily[Tienda 81_average_order_value],0)</f>
        <v>0</v>
      </c>
      <c r="R419" s="11">
        <f>_xlfn.XLOOKUP(TableDailySummary[[#This Row],[Fecha]],SummaryDaily[day],SummaryDaily[Rappi_net_sales],0)</f>
        <v>0</v>
      </c>
      <c r="S419" s="11">
        <f>_xlfn.XLOOKUP(TableDailySummary[[#This Row],[Fecha]],SummaryDaily[day],SummaryDaily[Rappi_orders],0)</f>
        <v>0</v>
      </c>
      <c r="T419" s="11">
        <f>_xlfn.XLOOKUP(TableDailySummary[[#This Row],[Fecha]],SummaryDaily[day],SummaryDaily[Rappi_average_order_value],0)</f>
        <v>0</v>
      </c>
      <c r="U419" s="11">
        <f>_xlfn.XLOOKUP(TableDailySummary[[#This Row],[Fecha]],SummaryDaily[day],SummaryDaily[Corporativo no tienda_net_sales],0)</f>
        <v>0</v>
      </c>
      <c r="V419" s="11">
        <f>_xlfn.XLOOKUP(TableDailySummary[[#This Row],[Fecha]],SummaryDaily[day],SummaryDaily[Corporativo no tienda_orders],0)</f>
        <v>0</v>
      </c>
      <c r="W419" s="11">
        <f>_xlfn.XLOOKUP(TableDailySummary[[#This Row],[Fecha]],SummaryDaily[day],SummaryDaily[Corporativo no tienda_average_order_value],0)</f>
        <v>0</v>
      </c>
      <c r="X419" s="11">
        <f>_xlfn.XLOOKUP(TableDailySummary[[#This Row],[Fecha]],SummaryDaily[day],SummaryDaily[GoogleAdsOperation.Cost],0)</f>
        <v>0</v>
      </c>
      <c r="Y419" s="11">
        <f>SUMIFS(SalesByUTMDaily[google],SalesByUTMDaily[day],TableDailySummary[[#This Row],[Fecha]])</f>
        <v>0</v>
      </c>
      <c r="Z419" s="11">
        <f>_xlfn.XLOOKUP(TableDailySummary[[#This Row],[Fecha]],SummaryDaily[day],SummaryDaily[MetaAdsOperation.spend],0)</f>
        <v>0</v>
      </c>
      <c r="AA419" s="11">
        <f>SUMIFS(SalesByUTMDaily[facebook],SalesByUTMDaily[day],TableDailySummary[[#This Row],[Fecha]])</f>
        <v>0</v>
      </c>
      <c r="AB419" s="11">
        <f>TableDailySummary[[#This Row],[Inversión google ads]]+TableDailySummary[[#This Row],[Inversión meta ads]]</f>
        <v>0</v>
      </c>
      <c r="AC419" s="11">
        <f>TableDailySummary[[#This Row],[Ventas google ads]]+TableDailySummary[[#This Row],[Ventas meta ads]]</f>
        <v>0</v>
      </c>
      <c r="AD419" s="14">
        <f>IFERROR(TableDailySummary[[#This Row],[Ventas publicidad]]/TableDailySummary[[#This Row],[Inversión publicidad]],0)</f>
        <v>0</v>
      </c>
      <c r="AE419" s="14">
        <f>IFERROR(TableDailySummary[[#This Row],[Ventas primer cliente]]/TableDailySummary[[#This Row],[Inversión publicidad]],0)</f>
        <v>0</v>
      </c>
      <c r="AF419" s="14"/>
      <c r="AG419" s="11"/>
      <c r="AM419" s="11">
        <f>_xlfn.XLOOKUP(TableDailySummary[[#This Row],[Fecha]],SummaryDaily[day],SummaryDaily[net_sales_with_cost_recorded],0)</f>
        <v>0</v>
      </c>
      <c r="AN419" s="11">
        <f>_xlfn.XLOOKUP(TableDailySummary[[#This Row],[Fecha]],SummaryDaily[day],SummaryDaily[cost_of_goods_sold],0)</f>
        <v>0</v>
      </c>
      <c r="AO419" s="11">
        <f>_xlfn.XLOOKUP(TableDailySummary[[#This Row],[Fecha]],SummaryDaily[day],SummaryDaily[gross_profit],0)</f>
        <v>0</v>
      </c>
      <c r="AP419" s="18">
        <f>IFERROR(TableDailySummary[[#This Row],[Utilidad bruta]]/TableDailySummary[[#This Row],[Ventas netas con costo registrado]],0)</f>
        <v>0</v>
      </c>
    </row>
    <row r="420" spans="2:42" x14ac:dyDescent="0.2">
      <c r="B420" s="15" cm="1">
        <f t="array" ref="B420">ParamFechaInicioReporte + (ROW(TableDailySummary[#This Row]) - ROW(TableDailySummary[[#Headers],[Dia]]) - 1)</f>
        <v>44947</v>
      </c>
      <c r="C420" s="6">
        <f>TableDailySummary[[#This Row],[Dia]]</f>
        <v>44947</v>
      </c>
      <c r="D420" s="11">
        <f>_xlfn.XLOOKUP(TableDailySummary[[#This Row],[Fecha]],SummaryDaily[day],SummaryDaily[net_sales],0)</f>
        <v>0</v>
      </c>
      <c r="E420" s="11">
        <f>_xlfn.XLOOKUP(TableDailySummary[[#This Row],[Fecha]],SummaryDaily[day],SummaryDaily[orders],0)</f>
        <v>0</v>
      </c>
      <c r="F420" s="11">
        <f>_xlfn.XLOOKUP(TableDailySummary[[#This Row],[Fecha]],SummaryDaily[day],SummaryDaily[average_order_value],0)</f>
        <v>0</v>
      </c>
      <c r="G420" s="24" cm="1">
        <f t="array" ref="G420">_xlfn.XLOOKUP(TableDailySummary[[#This Row],[Fecha]]&amp;"Total site",ConversionRateByReferral[day]&amp;ConversionRateByReferral[referrer_source],ConversionRateByReferral[conversion_rate],0)</f>
        <v>0</v>
      </c>
      <c r="H420" s="11">
        <f>TableDailySummary[[#This Row],[Órden promedio totales]]*TableDailySummary[[#This Row],[CR totales]]</f>
        <v>0</v>
      </c>
      <c r="I420" s="11">
        <f>_xlfn.XLOOKUP(TableDailySummary[[#This Row],[Fecha]],SummaryDaily[day],SummaryDaily[new_net_sales],0)</f>
        <v>0</v>
      </c>
      <c r="J420" s="11">
        <f>_xlfn.XLOOKUP(TableDailySummary[[#This Row],[Fecha]],SummaryDaily[day],SummaryDaily[new_orders],0)</f>
        <v>0</v>
      </c>
      <c r="K420" s="11">
        <f>_xlfn.XLOOKUP(TableDailySummary[[#This Row],[Fecha]],SummaryDaily[day],SummaryDaily[new_average_order_value],0)</f>
        <v>0</v>
      </c>
      <c r="L420" s="11">
        <f>_xlfn.XLOOKUP(TableDailySummary[[#This Row],[Fecha]],SummaryDaily[day],SummaryDaily[Online Store_net_sales],0)</f>
        <v>0</v>
      </c>
      <c r="M420" s="11">
        <f>_xlfn.XLOOKUP(TableDailySummary[[#This Row],[Fecha]],SummaryDaily[day],SummaryDaily[Online Store_orders],0)</f>
        <v>0</v>
      </c>
      <c r="N420" s="11">
        <f>_xlfn.XLOOKUP(TableDailySummary[[#This Row],[Fecha]],SummaryDaily[day],SummaryDaily[Online Store_average_order_value],0)</f>
        <v>0</v>
      </c>
      <c r="O420" s="11">
        <f>_xlfn.XLOOKUP(TableDailySummary[[#This Row],[Fecha]],SummaryDaily[day],SummaryDaily[Tienda 81_net_sales],0)</f>
        <v>0</v>
      </c>
      <c r="P420" s="11">
        <f>_xlfn.XLOOKUP(TableDailySummary[[#This Row],[Fecha]],SummaryDaily[day],SummaryDaily[Tienda 81_orders],0)</f>
        <v>0</v>
      </c>
      <c r="Q420" s="11">
        <f>_xlfn.XLOOKUP(TableDailySummary[[#This Row],[Fecha]],SummaryDaily[day],SummaryDaily[Tienda 81_average_order_value],0)</f>
        <v>0</v>
      </c>
      <c r="R420" s="11">
        <f>_xlfn.XLOOKUP(TableDailySummary[[#This Row],[Fecha]],SummaryDaily[day],SummaryDaily[Rappi_net_sales],0)</f>
        <v>0</v>
      </c>
      <c r="S420" s="11">
        <f>_xlfn.XLOOKUP(TableDailySummary[[#This Row],[Fecha]],SummaryDaily[day],SummaryDaily[Rappi_orders],0)</f>
        <v>0</v>
      </c>
      <c r="T420" s="11">
        <f>_xlfn.XLOOKUP(TableDailySummary[[#This Row],[Fecha]],SummaryDaily[day],SummaryDaily[Rappi_average_order_value],0)</f>
        <v>0</v>
      </c>
      <c r="U420" s="11">
        <f>_xlfn.XLOOKUP(TableDailySummary[[#This Row],[Fecha]],SummaryDaily[day],SummaryDaily[Corporativo no tienda_net_sales],0)</f>
        <v>0</v>
      </c>
      <c r="V420" s="11">
        <f>_xlfn.XLOOKUP(TableDailySummary[[#This Row],[Fecha]],SummaryDaily[day],SummaryDaily[Corporativo no tienda_orders],0)</f>
        <v>0</v>
      </c>
      <c r="W420" s="11">
        <f>_xlfn.XLOOKUP(TableDailySummary[[#This Row],[Fecha]],SummaryDaily[day],SummaryDaily[Corporativo no tienda_average_order_value],0)</f>
        <v>0</v>
      </c>
      <c r="X420" s="11">
        <f>_xlfn.XLOOKUP(TableDailySummary[[#This Row],[Fecha]],SummaryDaily[day],SummaryDaily[GoogleAdsOperation.Cost],0)</f>
        <v>0</v>
      </c>
      <c r="Y420" s="11">
        <f>SUMIFS(SalesByUTMDaily[google],SalesByUTMDaily[day],TableDailySummary[[#This Row],[Fecha]])</f>
        <v>0</v>
      </c>
      <c r="Z420" s="11">
        <f>_xlfn.XLOOKUP(TableDailySummary[[#This Row],[Fecha]],SummaryDaily[day],SummaryDaily[MetaAdsOperation.spend],0)</f>
        <v>0</v>
      </c>
      <c r="AA420" s="11">
        <f>SUMIFS(SalesByUTMDaily[facebook],SalesByUTMDaily[day],TableDailySummary[[#This Row],[Fecha]])</f>
        <v>0</v>
      </c>
      <c r="AB420" s="11">
        <f>TableDailySummary[[#This Row],[Inversión google ads]]+TableDailySummary[[#This Row],[Inversión meta ads]]</f>
        <v>0</v>
      </c>
      <c r="AC420" s="11">
        <f>TableDailySummary[[#This Row],[Ventas google ads]]+TableDailySummary[[#This Row],[Ventas meta ads]]</f>
        <v>0</v>
      </c>
      <c r="AD420" s="14">
        <f>IFERROR(TableDailySummary[[#This Row],[Ventas publicidad]]/TableDailySummary[[#This Row],[Inversión publicidad]],0)</f>
        <v>0</v>
      </c>
      <c r="AE420" s="14">
        <f>IFERROR(TableDailySummary[[#This Row],[Ventas primer cliente]]/TableDailySummary[[#This Row],[Inversión publicidad]],0)</f>
        <v>0</v>
      </c>
      <c r="AF420" s="14"/>
      <c r="AG420" s="11"/>
      <c r="AM420" s="11">
        <f>_xlfn.XLOOKUP(TableDailySummary[[#This Row],[Fecha]],SummaryDaily[day],SummaryDaily[net_sales_with_cost_recorded],0)</f>
        <v>0</v>
      </c>
      <c r="AN420" s="11">
        <f>_xlfn.XLOOKUP(TableDailySummary[[#This Row],[Fecha]],SummaryDaily[day],SummaryDaily[cost_of_goods_sold],0)</f>
        <v>0</v>
      </c>
      <c r="AO420" s="11">
        <f>_xlfn.XLOOKUP(TableDailySummary[[#This Row],[Fecha]],SummaryDaily[day],SummaryDaily[gross_profit],0)</f>
        <v>0</v>
      </c>
      <c r="AP420" s="18">
        <f>IFERROR(TableDailySummary[[#This Row],[Utilidad bruta]]/TableDailySummary[[#This Row],[Ventas netas con costo registrado]],0)</f>
        <v>0</v>
      </c>
    </row>
    <row r="421" spans="2:42" x14ac:dyDescent="0.2">
      <c r="B421" s="15" cm="1">
        <f t="array" ref="B421">ParamFechaInicioReporte + (ROW(TableDailySummary[#This Row]) - ROW(TableDailySummary[[#Headers],[Dia]]) - 1)</f>
        <v>44948</v>
      </c>
      <c r="C421" s="6">
        <f>TableDailySummary[[#This Row],[Dia]]</f>
        <v>44948</v>
      </c>
      <c r="D421" s="11">
        <f>_xlfn.XLOOKUP(TableDailySummary[[#This Row],[Fecha]],SummaryDaily[day],SummaryDaily[net_sales],0)</f>
        <v>0</v>
      </c>
      <c r="E421" s="11">
        <f>_xlfn.XLOOKUP(TableDailySummary[[#This Row],[Fecha]],SummaryDaily[day],SummaryDaily[orders],0)</f>
        <v>0</v>
      </c>
      <c r="F421" s="11">
        <f>_xlfn.XLOOKUP(TableDailySummary[[#This Row],[Fecha]],SummaryDaily[day],SummaryDaily[average_order_value],0)</f>
        <v>0</v>
      </c>
      <c r="G421" s="24" cm="1">
        <f t="array" ref="G421">_xlfn.XLOOKUP(TableDailySummary[[#This Row],[Fecha]]&amp;"Total site",ConversionRateByReferral[day]&amp;ConversionRateByReferral[referrer_source],ConversionRateByReferral[conversion_rate],0)</f>
        <v>0</v>
      </c>
      <c r="H421" s="11">
        <f>TableDailySummary[[#This Row],[Órden promedio totales]]*TableDailySummary[[#This Row],[CR totales]]</f>
        <v>0</v>
      </c>
      <c r="I421" s="11">
        <f>_xlfn.XLOOKUP(TableDailySummary[[#This Row],[Fecha]],SummaryDaily[day],SummaryDaily[new_net_sales],0)</f>
        <v>0</v>
      </c>
      <c r="J421" s="11">
        <f>_xlfn.XLOOKUP(TableDailySummary[[#This Row],[Fecha]],SummaryDaily[day],SummaryDaily[new_orders],0)</f>
        <v>0</v>
      </c>
      <c r="K421" s="11">
        <f>_xlfn.XLOOKUP(TableDailySummary[[#This Row],[Fecha]],SummaryDaily[day],SummaryDaily[new_average_order_value],0)</f>
        <v>0</v>
      </c>
      <c r="L421" s="11">
        <f>_xlfn.XLOOKUP(TableDailySummary[[#This Row],[Fecha]],SummaryDaily[day],SummaryDaily[Online Store_net_sales],0)</f>
        <v>0</v>
      </c>
      <c r="M421" s="11">
        <f>_xlfn.XLOOKUP(TableDailySummary[[#This Row],[Fecha]],SummaryDaily[day],SummaryDaily[Online Store_orders],0)</f>
        <v>0</v>
      </c>
      <c r="N421" s="11">
        <f>_xlfn.XLOOKUP(TableDailySummary[[#This Row],[Fecha]],SummaryDaily[day],SummaryDaily[Online Store_average_order_value],0)</f>
        <v>0</v>
      </c>
      <c r="O421" s="11">
        <f>_xlfn.XLOOKUP(TableDailySummary[[#This Row],[Fecha]],SummaryDaily[day],SummaryDaily[Tienda 81_net_sales],0)</f>
        <v>0</v>
      </c>
      <c r="P421" s="11">
        <f>_xlfn.XLOOKUP(TableDailySummary[[#This Row],[Fecha]],SummaryDaily[day],SummaryDaily[Tienda 81_orders],0)</f>
        <v>0</v>
      </c>
      <c r="Q421" s="11">
        <f>_xlfn.XLOOKUP(TableDailySummary[[#This Row],[Fecha]],SummaryDaily[day],SummaryDaily[Tienda 81_average_order_value],0)</f>
        <v>0</v>
      </c>
      <c r="R421" s="11">
        <f>_xlfn.XLOOKUP(TableDailySummary[[#This Row],[Fecha]],SummaryDaily[day],SummaryDaily[Rappi_net_sales],0)</f>
        <v>0</v>
      </c>
      <c r="S421" s="11">
        <f>_xlfn.XLOOKUP(TableDailySummary[[#This Row],[Fecha]],SummaryDaily[day],SummaryDaily[Rappi_orders],0)</f>
        <v>0</v>
      </c>
      <c r="T421" s="11">
        <f>_xlfn.XLOOKUP(TableDailySummary[[#This Row],[Fecha]],SummaryDaily[day],SummaryDaily[Rappi_average_order_value],0)</f>
        <v>0</v>
      </c>
      <c r="U421" s="11">
        <f>_xlfn.XLOOKUP(TableDailySummary[[#This Row],[Fecha]],SummaryDaily[day],SummaryDaily[Corporativo no tienda_net_sales],0)</f>
        <v>0</v>
      </c>
      <c r="V421" s="11">
        <f>_xlfn.XLOOKUP(TableDailySummary[[#This Row],[Fecha]],SummaryDaily[day],SummaryDaily[Corporativo no tienda_orders],0)</f>
        <v>0</v>
      </c>
      <c r="W421" s="11">
        <f>_xlfn.XLOOKUP(TableDailySummary[[#This Row],[Fecha]],SummaryDaily[day],SummaryDaily[Corporativo no tienda_average_order_value],0)</f>
        <v>0</v>
      </c>
      <c r="X421" s="11">
        <f>_xlfn.XLOOKUP(TableDailySummary[[#This Row],[Fecha]],SummaryDaily[day],SummaryDaily[GoogleAdsOperation.Cost],0)</f>
        <v>0</v>
      </c>
      <c r="Y421" s="11">
        <f>SUMIFS(SalesByUTMDaily[google],SalesByUTMDaily[day],TableDailySummary[[#This Row],[Fecha]])</f>
        <v>0</v>
      </c>
      <c r="Z421" s="11">
        <f>_xlfn.XLOOKUP(TableDailySummary[[#This Row],[Fecha]],SummaryDaily[day],SummaryDaily[MetaAdsOperation.spend],0)</f>
        <v>0</v>
      </c>
      <c r="AA421" s="11">
        <f>SUMIFS(SalesByUTMDaily[facebook],SalesByUTMDaily[day],TableDailySummary[[#This Row],[Fecha]])</f>
        <v>0</v>
      </c>
      <c r="AB421" s="11">
        <f>TableDailySummary[[#This Row],[Inversión google ads]]+TableDailySummary[[#This Row],[Inversión meta ads]]</f>
        <v>0</v>
      </c>
      <c r="AC421" s="11">
        <f>TableDailySummary[[#This Row],[Ventas google ads]]+TableDailySummary[[#This Row],[Ventas meta ads]]</f>
        <v>0</v>
      </c>
      <c r="AD421" s="14">
        <f>IFERROR(TableDailySummary[[#This Row],[Ventas publicidad]]/TableDailySummary[[#This Row],[Inversión publicidad]],0)</f>
        <v>0</v>
      </c>
      <c r="AE421" s="14">
        <f>IFERROR(TableDailySummary[[#This Row],[Ventas primer cliente]]/TableDailySummary[[#This Row],[Inversión publicidad]],0)</f>
        <v>0</v>
      </c>
      <c r="AF421" s="14"/>
      <c r="AG421" s="11"/>
      <c r="AM421" s="11">
        <f>_xlfn.XLOOKUP(TableDailySummary[[#This Row],[Fecha]],SummaryDaily[day],SummaryDaily[net_sales_with_cost_recorded],0)</f>
        <v>0</v>
      </c>
      <c r="AN421" s="11">
        <f>_xlfn.XLOOKUP(TableDailySummary[[#This Row],[Fecha]],SummaryDaily[day],SummaryDaily[cost_of_goods_sold],0)</f>
        <v>0</v>
      </c>
      <c r="AO421" s="11">
        <f>_xlfn.XLOOKUP(TableDailySummary[[#This Row],[Fecha]],SummaryDaily[day],SummaryDaily[gross_profit],0)</f>
        <v>0</v>
      </c>
      <c r="AP421" s="18">
        <f>IFERROR(TableDailySummary[[#This Row],[Utilidad bruta]]/TableDailySummary[[#This Row],[Ventas netas con costo registrado]],0)</f>
        <v>0</v>
      </c>
    </row>
    <row r="422" spans="2:42" x14ac:dyDescent="0.2">
      <c r="B422" s="15" cm="1">
        <f t="array" ref="B422">ParamFechaInicioReporte + (ROW(TableDailySummary[#This Row]) - ROW(TableDailySummary[[#Headers],[Dia]]) - 1)</f>
        <v>44949</v>
      </c>
      <c r="C422" s="6">
        <f>TableDailySummary[[#This Row],[Dia]]</f>
        <v>44949</v>
      </c>
      <c r="D422" s="11">
        <f>_xlfn.XLOOKUP(TableDailySummary[[#This Row],[Fecha]],SummaryDaily[day],SummaryDaily[net_sales],0)</f>
        <v>0</v>
      </c>
      <c r="E422" s="11">
        <f>_xlfn.XLOOKUP(TableDailySummary[[#This Row],[Fecha]],SummaryDaily[day],SummaryDaily[orders],0)</f>
        <v>0</v>
      </c>
      <c r="F422" s="11">
        <f>_xlfn.XLOOKUP(TableDailySummary[[#This Row],[Fecha]],SummaryDaily[day],SummaryDaily[average_order_value],0)</f>
        <v>0</v>
      </c>
      <c r="G422" s="24" cm="1">
        <f t="array" ref="G422">_xlfn.XLOOKUP(TableDailySummary[[#This Row],[Fecha]]&amp;"Total site",ConversionRateByReferral[day]&amp;ConversionRateByReferral[referrer_source],ConversionRateByReferral[conversion_rate],0)</f>
        <v>0</v>
      </c>
      <c r="H422" s="11">
        <f>TableDailySummary[[#This Row],[Órden promedio totales]]*TableDailySummary[[#This Row],[CR totales]]</f>
        <v>0</v>
      </c>
      <c r="I422" s="11">
        <f>_xlfn.XLOOKUP(TableDailySummary[[#This Row],[Fecha]],SummaryDaily[day],SummaryDaily[new_net_sales],0)</f>
        <v>0</v>
      </c>
      <c r="J422" s="11">
        <f>_xlfn.XLOOKUP(TableDailySummary[[#This Row],[Fecha]],SummaryDaily[day],SummaryDaily[new_orders],0)</f>
        <v>0</v>
      </c>
      <c r="K422" s="11">
        <f>_xlfn.XLOOKUP(TableDailySummary[[#This Row],[Fecha]],SummaryDaily[day],SummaryDaily[new_average_order_value],0)</f>
        <v>0</v>
      </c>
      <c r="L422" s="11">
        <f>_xlfn.XLOOKUP(TableDailySummary[[#This Row],[Fecha]],SummaryDaily[day],SummaryDaily[Online Store_net_sales],0)</f>
        <v>0</v>
      </c>
      <c r="M422" s="11">
        <f>_xlfn.XLOOKUP(TableDailySummary[[#This Row],[Fecha]],SummaryDaily[day],SummaryDaily[Online Store_orders],0)</f>
        <v>0</v>
      </c>
      <c r="N422" s="11">
        <f>_xlfn.XLOOKUP(TableDailySummary[[#This Row],[Fecha]],SummaryDaily[day],SummaryDaily[Online Store_average_order_value],0)</f>
        <v>0</v>
      </c>
      <c r="O422" s="11">
        <f>_xlfn.XLOOKUP(TableDailySummary[[#This Row],[Fecha]],SummaryDaily[day],SummaryDaily[Tienda 81_net_sales],0)</f>
        <v>0</v>
      </c>
      <c r="P422" s="11">
        <f>_xlfn.XLOOKUP(TableDailySummary[[#This Row],[Fecha]],SummaryDaily[day],SummaryDaily[Tienda 81_orders],0)</f>
        <v>0</v>
      </c>
      <c r="Q422" s="11">
        <f>_xlfn.XLOOKUP(TableDailySummary[[#This Row],[Fecha]],SummaryDaily[day],SummaryDaily[Tienda 81_average_order_value],0)</f>
        <v>0</v>
      </c>
      <c r="R422" s="11">
        <f>_xlfn.XLOOKUP(TableDailySummary[[#This Row],[Fecha]],SummaryDaily[day],SummaryDaily[Rappi_net_sales],0)</f>
        <v>0</v>
      </c>
      <c r="S422" s="11">
        <f>_xlfn.XLOOKUP(TableDailySummary[[#This Row],[Fecha]],SummaryDaily[day],SummaryDaily[Rappi_orders],0)</f>
        <v>0</v>
      </c>
      <c r="T422" s="11">
        <f>_xlfn.XLOOKUP(TableDailySummary[[#This Row],[Fecha]],SummaryDaily[day],SummaryDaily[Rappi_average_order_value],0)</f>
        <v>0</v>
      </c>
      <c r="U422" s="11">
        <f>_xlfn.XLOOKUP(TableDailySummary[[#This Row],[Fecha]],SummaryDaily[day],SummaryDaily[Corporativo no tienda_net_sales],0)</f>
        <v>0</v>
      </c>
      <c r="V422" s="11">
        <f>_xlfn.XLOOKUP(TableDailySummary[[#This Row],[Fecha]],SummaryDaily[day],SummaryDaily[Corporativo no tienda_orders],0)</f>
        <v>0</v>
      </c>
      <c r="W422" s="11">
        <f>_xlfn.XLOOKUP(TableDailySummary[[#This Row],[Fecha]],SummaryDaily[day],SummaryDaily[Corporativo no tienda_average_order_value],0)</f>
        <v>0</v>
      </c>
      <c r="X422" s="11">
        <f>_xlfn.XLOOKUP(TableDailySummary[[#This Row],[Fecha]],SummaryDaily[day],SummaryDaily[GoogleAdsOperation.Cost],0)</f>
        <v>0</v>
      </c>
      <c r="Y422" s="11">
        <f>SUMIFS(SalesByUTMDaily[google],SalesByUTMDaily[day],TableDailySummary[[#This Row],[Fecha]])</f>
        <v>0</v>
      </c>
      <c r="Z422" s="11">
        <f>_xlfn.XLOOKUP(TableDailySummary[[#This Row],[Fecha]],SummaryDaily[day],SummaryDaily[MetaAdsOperation.spend],0)</f>
        <v>0</v>
      </c>
      <c r="AA422" s="11">
        <f>SUMIFS(SalesByUTMDaily[facebook],SalesByUTMDaily[day],TableDailySummary[[#This Row],[Fecha]])</f>
        <v>0</v>
      </c>
      <c r="AB422" s="11">
        <f>TableDailySummary[[#This Row],[Inversión google ads]]+TableDailySummary[[#This Row],[Inversión meta ads]]</f>
        <v>0</v>
      </c>
      <c r="AC422" s="11">
        <f>TableDailySummary[[#This Row],[Ventas google ads]]+TableDailySummary[[#This Row],[Ventas meta ads]]</f>
        <v>0</v>
      </c>
      <c r="AD422" s="14">
        <f>IFERROR(TableDailySummary[[#This Row],[Ventas publicidad]]/TableDailySummary[[#This Row],[Inversión publicidad]],0)</f>
        <v>0</v>
      </c>
      <c r="AE422" s="14">
        <f>IFERROR(TableDailySummary[[#This Row],[Ventas primer cliente]]/TableDailySummary[[#This Row],[Inversión publicidad]],0)</f>
        <v>0</v>
      </c>
      <c r="AF422" s="14"/>
      <c r="AG422" s="11"/>
      <c r="AM422" s="11">
        <f>_xlfn.XLOOKUP(TableDailySummary[[#This Row],[Fecha]],SummaryDaily[day],SummaryDaily[net_sales_with_cost_recorded],0)</f>
        <v>0</v>
      </c>
      <c r="AN422" s="11">
        <f>_xlfn.XLOOKUP(TableDailySummary[[#This Row],[Fecha]],SummaryDaily[day],SummaryDaily[cost_of_goods_sold],0)</f>
        <v>0</v>
      </c>
      <c r="AO422" s="11">
        <f>_xlfn.XLOOKUP(TableDailySummary[[#This Row],[Fecha]],SummaryDaily[day],SummaryDaily[gross_profit],0)</f>
        <v>0</v>
      </c>
      <c r="AP422" s="18">
        <f>IFERROR(TableDailySummary[[#This Row],[Utilidad bruta]]/TableDailySummary[[#This Row],[Ventas netas con costo registrado]],0)</f>
        <v>0</v>
      </c>
    </row>
    <row r="423" spans="2:42" x14ac:dyDescent="0.2">
      <c r="B423" s="15" cm="1">
        <f t="array" ref="B423">ParamFechaInicioReporte + (ROW(TableDailySummary[#This Row]) - ROW(TableDailySummary[[#Headers],[Dia]]) - 1)</f>
        <v>44950</v>
      </c>
      <c r="C423" s="6">
        <f>TableDailySummary[[#This Row],[Dia]]</f>
        <v>44950</v>
      </c>
      <c r="D423" s="11">
        <f>_xlfn.XLOOKUP(TableDailySummary[[#This Row],[Fecha]],SummaryDaily[day],SummaryDaily[net_sales],0)</f>
        <v>0</v>
      </c>
      <c r="E423" s="11">
        <f>_xlfn.XLOOKUP(TableDailySummary[[#This Row],[Fecha]],SummaryDaily[day],SummaryDaily[orders],0)</f>
        <v>0</v>
      </c>
      <c r="F423" s="11">
        <f>_xlfn.XLOOKUP(TableDailySummary[[#This Row],[Fecha]],SummaryDaily[day],SummaryDaily[average_order_value],0)</f>
        <v>0</v>
      </c>
      <c r="G423" s="24" cm="1">
        <f t="array" ref="G423">_xlfn.XLOOKUP(TableDailySummary[[#This Row],[Fecha]]&amp;"Total site",ConversionRateByReferral[day]&amp;ConversionRateByReferral[referrer_source],ConversionRateByReferral[conversion_rate],0)</f>
        <v>0</v>
      </c>
      <c r="H423" s="11">
        <f>TableDailySummary[[#This Row],[Órden promedio totales]]*TableDailySummary[[#This Row],[CR totales]]</f>
        <v>0</v>
      </c>
      <c r="I423" s="11">
        <f>_xlfn.XLOOKUP(TableDailySummary[[#This Row],[Fecha]],SummaryDaily[day],SummaryDaily[new_net_sales],0)</f>
        <v>0</v>
      </c>
      <c r="J423" s="11">
        <f>_xlfn.XLOOKUP(TableDailySummary[[#This Row],[Fecha]],SummaryDaily[day],SummaryDaily[new_orders],0)</f>
        <v>0</v>
      </c>
      <c r="K423" s="11">
        <f>_xlfn.XLOOKUP(TableDailySummary[[#This Row],[Fecha]],SummaryDaily[day],SummaryDaily[new_average_order_value],0)</f>
        <v>0</v>
      </c>
      <c r="L423" s="11">
        <f>_xlfn.XLOOKUP(TableDailySummary[[#This Row],[Fecha]],SummaryDaily[day],SummaryDaily[Online Store_net_sales],0)</f>
        <v>0</v>
      </c>
      <c r="M423" s="11">
        <f>_xlfn.XLOOKUP(TableDailySummary[[#This Row],[Fecha]],SummaryDaily[day],SummaryDaily[Online Store_orders],0)</f>
        <v>0</v>
      </c>
      <c r="N423" s="11">
        <f>_xlfn.XLOOKUP(TableDailySummary[[#This Row],[Fecha]],SummaryDaily[day],SummaryDaily[Online Store_average_order_value],0)</f>
        <v>0</v>
      </c>
      <c r="O423" s="11">
        <f>_xlfn.XLOOKUP(TableDailySummary[[#This Row],[Fecha]],SummaryDaily[day],SummaryDaily[Tienda 81_net_sales],0)</f>
        <v>0</v>
      </c>
      <c r="P423" s="11">
        <f>_xlfn.XLOOKUP(TableDailySummary[[#This Row],[Fecha]],SummaryDaily[day],SummaryDaily[Tienda 81_orders],0)</f>
        <v>0</v>
      </c>
      <c r="Q423" s="11">
        <f>_xlfn.XLOOKUP(TableDailySummary[[#This Row],[Fecha]],SummaryDaily[day],SummaryDaily[Tienda 81_average_order_value],0)</f>
        <v>0</v>
      </c>
      <c r="R423" s="11">
        <f>_xlfn.XLOOKUP(TableDailySummary[[#This Row],[Fecha]],SummaryDaily[day],SummaryDaily[Rappi_net_sales],0)</f>
        <v>0</v>
      </c>
      <c r="S423" s="11">
        <f>_xlfn.XLOOKUP(TableDailySummary[[#This Row],[Fecha]],SummaryDaily[day],SummaryDaily[Rappi_orders],0)</f>
        <v>0</v>
      </c>
      <c r="T423" s="11">
        <f>_xlfn.XLOOKUP(TableDailySummary[[#This Row],[Fecha]],SummaryDaily[day],SummaryDaily[Rappi_average_order_value],0)</f>
        <v>0</v>
      </c>
      <c r="U423" s="11">
        <f>_xlfn.XLOOKUP(TableDailySummary[[#This Row],[Fecha]],SummaryDaily[day],SummaryDaily[Corporativo no tienda_net_sales],0)</f>
        <v>0</v>
      </c>
      <c r="V423" s="11">
        <f>_xlfn.XLOOKUP(TableDailySummary[[#This Row],[Fecha]],SummaryDaily[day],SummaryDaily[Corporativo no tienda_orders],0)</f>
        <v>0</v>
      </c>
      <c r="W423" s="11">
        <f>_xlfn.XLOOKUP(TableDailySummary[[#This Row],[Fecha]],SummaryDaily[day],SummaryDaily[Corporativo no tienda_average_order_value],0)</f>
        <v>0</v>
      </c>
      <c r="X423" s="11">
        <f>_xlfn.XLOOKUP(TableDailySummary[[#This Row],[Fecha]],SummaryDaily[day],SummaryDaily[GoogleAdsOperation.Cost],0)</f>
        <v>0</v>
      </c>
      <c r="Y423" s="11">
        <f>SUMIFS(SalesByUTMDaily[google],SalesByUTMDaily[day],TableDailySummary[[#This Row],[Fecha]])</f>
        <v>0</v>
      </c>
      <c r="Z423" s="11">
        <f>_xlfn.XLOOKUP(TableDailySummary[[#This Row],[Fecha]],SummaryDaily[day],SummaryDaily[MetaAdsOperation.spend],0)</f>
        <v>0</v>
      </c>
      <c r="AA423" s="11">
        <f>SUMIFS(SalesByUTMDaily[facebook],SalesByUTMDaily[day],TableDailySummary[[#This Row],[Fecha]])</f>
        <v>0</v>
      </c>
      <c r="AB423" s="11">
        <f>TableDailySummary[[#This Row],[Inversión google ads]]+TableDailySummary[[#This Row],[Inversión meta ads]]</f>
        <v>0</v>
      </c>
      <c r="AC423" s="11">
        <f>TableDailySummary[[#This Row],[Ventas google ads]]+TableDailySummary[[#This Row],[Ventas meta ads]]</f>
        <v>0</v>
      </c>
      <c r="AD423" s="14">
        <f>IFERROR(TableDailySummary[[#This Row],[Ventas publicidad]]/TableDailySummary[[#This Row],[Inversión publicidad]],0)</f>
        <v>0</v>
      </c>
      <c r="AE423" s="14">
        <f>IFERROR(TableDailySummary[[#This Row],[Ventas primer cliente]]/TableDailySummary[[#This Row],[Inversión publicidad]],0)</f>
        <v>0</v>
      </c>
      <c r="AF423" s="14"/>
      <c r="AG423" s="11"/>
      <c r="AM423" s="11">
        <f>_xlfn.XLOOKUP(TableDailySummary[[#This Row],[Fecha]],SummaryDaily[day],SummaryDaily[net_sales_with_cost_recorded],0)</f>
        <v>0</v>
      </c>
      <c r="AN423" s="11">
        <f>_xlfn.XLOOKUP(TableDailySummary[[#This Row],[Fecha]],SummaryDaily[day],SummaryDaily[cost_of_goods_sold],0)</f>
        <v>0</v>
      </c>
      <c r="AO423" s="11">
        <f>_xlfn.XLOOKUP(TableDailySummary[[#This Row],[Fecha]],SummaryDaily[day],SummaryDaily[gross_profit],0)</f>
        <v>0</v>
      </c>
      <c r="AP423" s="18">
        <f>IFERROR(TableDailySummary[[#This Row],[Utilidad bruta]]/TableDailySummary[[#This Row],[Ventas netas con costo registrado]],0)</f>
        <v>0</v>
      </c>
    </row>
    <row r="424" spans="2:42" x14ac:dyDescent="0.2">
      <c r="B424" s="15" cm="1">
        <f t="array" ref="B424">ParamFechaInicioReporte + (ROW(TableDailySummary[#This Row]) - ROW(TableDailySummary[[#Headers],[Dia]]) - 1)</f>
        <v>44951</v>
      </c>
      <c r="C424" s="6">
        <f>TableDailySummary[[#This Row],[Dia]]</f>
        <v>44951</v>
      </c>
      <c r="D424" s="11">
        <f>_xlfn.XLOOKUP(TableDailySummary[[#This Row],[Fecha]],SummaryDaily[day],SummaryDaily[net_sales],0)</f>
        <v>0</v>
      </c>
      <c r="E424" s="11">
        <f>_xlfn.XLOOKUP(TableDailySummary[[#This Row],[Fecha]],SummaryDaily[day],SummaryDaily[orders],0)</f>
        <v>0</v>
      </c>
      <c r="F424" s="11">
        <f>_xlfn.XLOOKUP(TableDailySummary[[#This Row],[Fecha]],SummaryDaily[day],SummaryDaily[average_order_value],0)</f>
        <v>0</v>
      </c>
      <c r="G424" s="24" cm="1">
        <f t="array" ref="G424">_xlfn.XLOOKUP(TableDailySummary[[#This Row],[Fecha]]&amp;"Total site",ConversionRateByReferral[day]&amp;ConversionRateByReferral[referrer_source],ConversionRateByReferral[conversion_rate],0)</f>
        <v>0</v>
      </c>
      <c r="H424" s="11">
        <f>TableDailySummary[[#This Row],[Órden promedio totales]]*TableDailySummary[[#This Row],[CR totales]]</f>
        <v>0</v>
      </c>
      <c r="I424" s="11">
        <f>_xlfn.XLOOKUP(TableDailySummary[[#This Row],[Fecha]],SummaryDaily[day],SummaryDaily[new_net_sales],0)</f>
        <v>0</v>
      </c>
      <c r="J424" s="11">
        <f>_xlfn.XLOOKUP(TableDailySummary[[#This Row],[Fecha]],SummaryDaily[day],SummaryDaily[new_orders],0)</f>
        <v>0</v>
      </c>
      <c r="K424" s="11">
        <f>_xlfn.XLOOKUP(TableDailySummary[[#This Row],[Fecha]],SummaryDaily[day],SummaryDaily[new_average_order_value],0)</f>
        <v>0</v>
      </c>
      <c r="L424" s="11">
        <f>_xlfn.XLOOKUP(TableDailySummary[[#This Row],[Fecha]],SummaryDaily[day],SummaryDaily[Online Store_net_sales],0)</f>
        <v>0</v>
      </c>
      <c r="M424" s="11">
        <f>_xlfn.XLOOKUP(TableDailySummary[[#This Row],[Fecha]],SummaryDaily[day],SummaryDaily[Online Store_orders],0)</f>
        <v>0</v>
      </c>
      <c r="N424" s="11">
        <f>_xlfn.XLOOKUP(TableDailySummary[[#This Row],[Fecha]],SummaryDaily[day],SummaryDaily[Online Store_average_order_value],0)</f>
        <v>0</v>
      </c>
      <c r="O424" s="11">
        <f>_xlfn.XLOOKUP(TableDailySummary[[#This Row],[Fecha]],SummaryDaily[day],SummaryDaily[Tienda 81_net_sales],0)</f>
        <v>0</v>
      </c>
      <c r="P424" s="11">
        <f>_xlfn.XLOOKUP(TableDailySummary[[#This Row],[Fecha]],SummaryDaily[day],SummaryDaily[Tienda 81_orders],0)</f>
        <v>0</v>
      </c>
      <c r="Q424" s="11">
        <f>_xlfn.XLOOKUP(TableDailySummary[[#This Row],[Fecha]],SummaryDaily[day],SummaryDaily[Tienda 81_average_order_value],0)</f>
        <v>0</v>
      </c>
      <c r="R424" s="11">
        <f>_xlfn.XLOOKUP(TableDailySummary[[#This Row],[Fecha]],SummaryDaily[day],SummaryDaily[Rappi_net_sales],0)</f>
        <v>0</v>
      </c>
      <c r="S424" s="11">
        <f>_xlfn.XLOOKUP(TableDailySummary[[#This Row],[Fecha]],SummaryDaily[day],SummaryDaily[Rappi_orders],0)</f>
        <v>0</v>
      </c>
      <c r="T424" s="11">
        <f>_xlfn.XLOOKUP(TableDailySummary[[#This Row],[Fecha]],SummaryDaily[day],SummaryDaily[Rappi_average_order_value],0)</f>
        <v>0</v>
      </c>
      <c r="U424" s="11">
        <f>_xlfn.XLOOKUP(TableDailySummary[[#This Row],[Fecha]],SummaryDaily[day],SummaryDaily[Corporativo no tienda_net_sales],0)</f>
        <v>0</v>
      </c>
      <c r="V424" s="11">
        <f>_xlfn.XLOOKUP(TableDailySummary[[#This Row],[Fecha]],SummaryDaily[day],SummaryDaily[Corporativo no tienda_orders],0)</f>
        <v>0</v>
      </c>
      <c r="W424" s="11">
        <f>_xlfn.XLOOKUP(TableDailySummary[[#This Row],[Fecha]],SummaryDaily[day],SummaryDaily[Corporativo no tienda_average_order_value],0)</f>
        <v>0</v>
      </c>
      <c r="X424" s="11">
        <f>_xlfn.XLOOKUP(TableDailySummary[[#This Row],[Fecha]],SummaryDaily[day],SummaryDaily[GoogleAdsOperation.Cost],0)</f>
        <v>0</v>
      </c>
      <c r="Y424" s="11">
        <f>SUMIFS(SalesByUTMDaily[google],SalesByUTMDaily[day],TableDailySummary[[#This Row],[Fecha]])</f>
        <v>0</v>
      </c>
      <c r="Z424" s="11">
        <f>_xlfn.XLOOKUP(TableDailySummary[[#This Row],[Fecha]],SummaryDaily[day],SummaryDaily[MetaAdsOperation.spend],0)</f>
        <v>0</v>
      </c>
      <c r="AA424" s="11">
        <f>SUMIFS(SalesByUTMDaily[facebook],SalesByUTMDaily[day],TableDailySummary[[#This Row],[Fecha]])</f>
        <v>0</v>
      </c>
      <c r="AB424" s="11">
        <f>TableDailySummary[[#This Row],[Inversión google ads]]+TableDailySummary[[#This Row],[Inversión meta ads]]</f>
        <v>0</v>
      </c>
      <c r="AC424" s="11">
        <f>TableDailySummary[[#This Row],[Ventas google ads]]+TableDailySummary[[#This Row],[Ventas meta ads]]</f>
        <v>0</v>
      </c>
      <c r="AD424" s="14">
        <f>IFERROR(TableDailySummary[[#This Row],[Ventas publicidad]]/TableDailySummary[[#This Row],[Inversión publicidad]],0)</f>
        <v>0</v>
      </c>
      <c r="AE424" s="14">
        <f>IFERROR(TableDailySummary[[#This Row],[Ventas primer cliente]]/TableDailySummary[[#This Row],[Inversión publicidad]],0)</f>
        <v>0</v>
      </c>
      <c r="AF424" s="14"/>
      <c r="AG424" s="11"/>
      <c r="AM424" s="11">
        <f>_xlfn.XLOOKUP(TableDailySummary[[#This Row],[Fecha]],SummaryDaily[day],SummaryDaily[net_sales_with_cost_recorded],0)</f>
        <v>0</v>
      </c>
      <c r="AN424" s="11">
        <f>_xlfn.XLOOKUP(TableDailySummary[[#This Row],[Fecha]],SummaryDaily[day],SummaryDaily[cost_of_goods_sold],0)</f>
        <v>0</v>
      </c>
      <c r="AO424" s="11">
        <f>_xlfn.XLOOKUP(TableDailySummary[[#This Row],[Fecha]],SummaryDaily[day],SummaryDaily[gross_profit],0)</f>
        <v>0</v>
      </c>
      <c r="AP424" s="18">
        <f>IFERROR(TableDailySummary[[#This Row],[Utilidad bruta]]/TableDailySummary[[#This Row],[Ventas netas con costo registrado]],0)</f>
        <v>0</v>
      </c>
    </row>
    <row r="425" spans="2:42" x14ac:dyDescent="0.2">
      <c r="B425" s="15" cm="1">
        <f t="array" ref="B425">ParamFechaInicioReporte + (ROW(TableDailySummary[#This Row]) - ROW(TableDailySummary[[#Headers],[Dia]]) - 1)</f>
        <v>44952</v>
      </c>
      <c r="C425" s="6">
        <f>TableDailySummary[[#This Row],[Dia]]</f>
        <v>44952</v>
      </c>
      <c r="D425" s="11">
        <f>_xlfn.XLOOKUP(TableDailySummary[[#This Row],[Fecha]],SummaryDaily[day],SummaryDaily[net_sales],0)</f>
        <v>0</v>
      </c>
      <c r="E425" s="11">
        <f>_xlfn.XLOOKUP(TableDailySummary[[#This Row],[Fecha]],SummaryDaily[day],SummaryDaily[orders],0)</f>
        <v>0</v>
      </c>
      <c r="F425" s="11">
        <f>_xlfn.XLOOKUP(TableDailySummary[[#This Row],[Fecha]],SummaryDaily[day],SummaryDaily[average_order_value],0)</f>
        <v>0</v>
      </c>
      <c r="G425" s="24" cm="1">
        <f t="array" ref="G425">_xlfn.XLOOKUP(TableDailySummary[[#This Row],[Fecha]]&amp;"Total site",ConversionRateByReferral[day]&amp;ConversionRateByReferral[referrer_source],ConversionRateByReferral[conversion_rate],0)</f>
        <v>0</v>
      </c>
      <c r="H425" s="11">
        <f>TableDailySummary[[#This Row],[Órden promedio totales]]*TableDailySummary[[#This Row],[CR totales]]</f>
        <v>0</v>
      </c>
      <c r="I425" s="11">
        <f>_xlfn.XLOOKUP(TableDailySummary[[#This Row],[Fecha]],SummaryDaily[day],SummaryDaily[new_net_sales],0)</f>
        <v>0</v>
      </c>
      <c r="J425" s="11">
        <f>_xlfn.XLOOKUP(TableDailySummary[[#This Row],[Fecha]],SummaryDaily[day],SummaryDaily[new_orders],0)</f>
        <v>0</v>
      </c>
      <c r="K425" s="11">
        <f>_xlfn.XLOOKUP(TableDailySummary[[#This Row],[Fecha]],SummaryDaily[day],SummaryDaily[new_average_order_value],0)</f>
        <v>0</v>
      </c>
      <c r="L425" s="11">
        <f>_xlfn.XLOOKUP(TableDailySummary[[#This Row],[Fecha]],SummaryDaily[day],SummaryDaily[Online Store_net_sales],0)</f>
        <v>0</v>
      </c>
      <c r="M425" s="11">
        <f>_xlfn.XLOOKUP(TableDailySummary[[#This Row],[Fecha]],SummaryDaily[day],SummaryDaily[Online Store_orders],0)</f>
        <v>0</v>
      </c>
      <c r="N425" s="11">
        <f>_xlfn.XLOOKUP(TableDailySummary[[#This Row],[Fecha]],SummaryDaily[day],SummaryDaily[Online Store_average_order_value],0)</f>
        <v>0</v>
      </c>
      <c r="O425" s="11">
        <f>_xlfn.XLOOKUP(TableDailySummary[[#This Row],[Fecha]],SummaryDaily[day],SummaryDaily[Tienda 81_net_sales],0)</f>
        <v>0</v>
      </c>
      <c r="P425" s="11">
        <f>_xlfn.XLOOKUP(TableDailySummary[[#This Row],[Fecha]],SummaryDaily[day],SummaryDaily[Tienda 81_orders],0)</f>
        <v>0</v>
      </c>
      <c r="Q425" s="11">
        <f>_xlfn.XLOOKUP(TableDailySummary[[#This Row],[Fecha]],SummaryDaily[day],SummaryDaily[Tienda 81_average_order_value],0)</f>
        <v>0</v>
      </c>
      <c r="R425" s="11">
        <f>_xlfn.XLOOKUP(TableDailySummary[[#This Row],[Fecha]],SummaryDaily[day],SummaryDaily[Rappi_net_sales],0)</f>
        <v>0</v>
      </c>
      <c r="S425" s="11">
        <f>_xlfn.XLOOKUP(TableDailySummary[[#This Row],[Fecha]],SummaryDaily[day],SummaryDaily[Rappi_orders],0)</f>
        <v>0</v>
      </c>
      <c r="T425" s="11">
        <f>_xlfn.XLOOKUP(TableDailySummary[[#This Row],[Fecha]],SummaryDaily[day],SummaryDaily[Rappi_average_order_value],0)</f>
        <v>0</v>
      </c>
      <c r="U425" s="11">
        <f>_xlfn.XLOOKUP(TableDailySummary[[#This Row],[Fecha]],SummaryDaily[day],SummaryDaily[Corporativo no tienda_net_sales],0)</f>
        <v>0</v>
      </c>
      <c r="V425" s="11">
        <f>_xlfn.XLOOKUP(TableDailySummary[[#This Row],[Fecha]],SummaryDaily[day],SummaryDaily[Corporativo no tienda_orders],0)</f>
        <v>0</v>
      </c>
      <c r="W425" s="11">
        <f>_xlfn.XLOOKUP(TableDailySummary[[#This Row],[Fecha]],SummaryDaily[day],SummaryDaily[Corporativo no tienda_average_order_value],0)</f>
        <v>0</v>
      </c>
      <c r="X425" s="11">
        <f>_xlfn.XLOOKUP(TableDailySummary[[#This Row],[Fecha]],SummaryDaily[day],SummaryDaily[GoogleAdsOperation.Cost],0)</f>
        <v>0</v>
      </c>
      <c r="Y425" s="11">
        <f>SUMIFS(SalesByUTMDaily[google],SalesByUTMDaily[day],TableDailySummary[[#This Row],[Fecha]])</f>
        <v>0</v>
      </c>
      <c r="Z425" s="11">
        <f>_xlfn.XLOOKUP(TableDailySummary[[#This Row],[Fecha]],SummaryDaily[day],SummaryDaily[MetaAdsOperation.spend],0)</f>
        <v>0</v>
      </c>
      <c r="AA425" s="11">
        <f>SUMIFS(SalesByUTMDaily[facebook],SalesByUTMDaily[day],TableDailySummary[[#This Row],[Fecha]])</f>
        <v>0</v>
      </c>
      <c r="AB425" s="11">
        <f>TableDailySummary[[#This Row],[Inversión google ads]]+TableDailySummary[[#This Row],[Inversión meta ads]]</f>
        <v>0</v>
      </c>
      <c r="AC425" s="11">
        <f>TableDailySummary[[#This Row],[Ventas google ads]]+TableDailySummary[[#This Row],[Ventas meta ads]]</f>
        <v>0</v>
      </c>
      <c r="AD425" s="14">
        <f>IFERROR(TableDailySummary[[#This Row],[Ventas publicidad]]/TableDailySummary[[#This Row],[Inversión publicidad]],0)</f>
        <v>0</v>
      </c>
      <c r="AE425" s="14">
        <f>IFERROR(TableDailySummary[[#This Row],[Ventas primer cliente]]/TableDailySummary[[#This Row],[Inversión publicidad]],0)</f>
        <v>0</v>
      </c>
      <c r="AF425" s="14"/>
      <c r="AG425" s="11"/>
      <c r="AM425" s="11">
        <f>_xlfn.XLOOKUP(TableDailySummary[[#This Row],[Fecha]],SummaryDaily[day],SummaryDaily[net_sales_with_cost_recorded],0)</f>
        <v>0</v>
      </c>
      <c r="AN425" s="11">
        <f>_xlfn.XLOOKUP(TableDailySummary[[#This Row],[Fecha]],SummaryDaily[day],SummaryDaily[cost_of_goods_sold],0)</f>
        <v>0</v>
      </c>
      <c r="AO425" s="11">
        <f>_xlfn.XLOOKUP(TableDailySummary[[#This Row],[Fecha]],SummaryDaily[day],SummaryDaily[gross_profit],0)</f>
        <v>0</v>
      </c>
      <c r="AP425" s="18">
        <f>IFERROR(TableDailySummary[[#This Row],[Utilidad bruta]]/TableDailySummary[[#This Row],[Ventas netas con costo registrado]],0)</f>
        <v>0</v>
      </c>
    </row>
    <row r="426" spans="2:42" x14ac:dyDescent="0.2">
      <c r="B426" s="15" cm="1">
        <f t="array" ref="B426">ParamFechaInicioReporte + (ROW(TableDailySummary[#This Row]) - ROW(TableDailySummary[[#Headers],[Dia]]) - 1)</f>
        <v>44953</v>
      </c>
      <c r="C426" s="6">
        <f>TableDailySummary[[#This Row],[Dia]]</f>
        <v>44953</v>
      </c>
      <c r="D426" s="11">
        <f>_xlfn.XLOOKUP(TableDailySummary[[#This Row],[Fecha]],SummaryDaily[day],SummaryDaily[net_sales],0)</f>
        <v>0</v>
      </c>
      <c r="E426" s="11">
        <f>_xlfn.XLOOKUP(TableDailySummary[[#This Row],[Fecha]],SummaryDaily[day],SummaryDaily[orders],0)</f>
        <v>0</v>
      </c>
      <c r="F426" s="11">
        <f>_xlfn.XLOOKUP(TableDailySummary[[#This Row],[Fecha]],SummaryDaily[day],SummaryDaily[average_order_value],0)</f>
        <v>0</v>
      </c>
      <c r="G426" s="24" cm="1">
        <f t="array" ref="G426">_xlfn.XLOOKUP(TableDailySummary[[#This Row],[Fecha]]&amp;"Total site",ConversionRateByReferral[day]&amp;ConversionRateByReferral[referrer_source],ConversionRateByReferral[conversion_rate],0)</f>
        <v>0</v>
      </c>
      <c r="H426" s="11">
        <f>TableDailySummary[[#This Row],[Órden promedio totales]]*TableDailySummary[[#This Row],[CR totales]]</f>
        <v>0</v>
      </c>
      <c r="I426" s="11">
        <f>_xlfn.XLOOKUP(TableDailySummary[[#This Row],[Fecha]],SummaryDaily[day],SummaryDaily[new_net_sales],0)</f>
        <v>0</v>
      </c>
      <c r="J426" s="11">
        <f>_xlfn.XLOOKUP(TableDailySummary[[#This Row],[Fecha]],SummaryDaily[day],SummaryDaily[new_orders],0)</f>
        <v>0</v>
      </c>
      <c r="K426" s="11">
        <f>_xlfn.XLOOKUP(TableDailySummary[[#This Row],[Fecha]],SummaryDaily[day],SummaryDaily[new_average_order_value],0)</f>
        <v>0</v>
      </c>
      <c r="L426" s="11">
        <f>_xlfn.XLOOKUP(TableDailySummary[[#This Row],[Fecha]],SummaryDaily[day],SummaryDaily[Online Store_net_sales],0)</f>
        <v>0</v>
      </c>
      <c r="M426" s="11">
        <f>_xlfn.XLOOKUP(TableDailySummary[[#This Row],[Fecha]],SummaryDaily[day],SummaryDaily[Online Store_orders],0)</f>
        <v>0</v>
      </c>
      <c r="N426" s="11">
        <f>_xlfn.XLOOKUP(TableDailySummary[[#This Row],[Fecha]],SummaryDaily[day],SummaryDaily[Online Store_average_order_value],0)</f>
        <v>0</v>
      </c>
      <c r="O426" s="11">
        <f>_xlfn.XLOOKUP(TableDailySummary[[#This Row],[Fecha]],SummaryDaily[day],SummaryDaily[Tienda 81_net_sales],0)</f>
        <v>0</v>
      </c>
      <c r="P426" s="11">
        <f>_xlfn.XLOOKUP(TableDailySummary[[#This Row],[Fecha]],SummaryDaily[day],SummaryDaily[Tienda 81_orders],0)</f>
        <v>0</v>
      </c>
      <c r="Q426" s="11">
        <f>_xlfn.XLOOKUP(TableDailySummary[[#This Row],[Fecha]],SummaryDaily[day],SummaryDaily[Tienda 81_average_order_value],0)</f>
        <v>0</v>
      </c>
      <c r="R426" s="11">
        <f>_xlfn.XLOOKUP(TableDailySummary[[#This Row],[Fecha]],SummaryDaily[day],SummaryDaily[Rappi_net_sales],0)</f>
        <v>0</v>
      </c>
      <c r="S426" s="11">
        <f>_xlfn.XLOOKUP(TableDailySummary[[#This Row],[Fecha]],SummaryDaily[day],SummaryDaily[Rappi_orders],0)</f>
        <v>0</v>
      </c>
      <c r="T426" s="11">
        <f>_xlfn.XLOOKUP(TableDailySummary[[#This Row],[Fecha]],SummaryDaily[day],SummaryDaily[Rappi_average_order_value],0)</f>
        <v>0</v>
      </c>
      <c r="U426" s="11">
        <f>_xlfn.XLOOKUP(TableDailySummary[[#This Row],[Fecha]],SummaryDaily[day],SummaryDaily[Corporativo no tienda_net_sales],0)</f>
        <v>0</v>
      </c>
      <c r="V426" s="11">
        <f>_xlfn.XLOOKUP(TableDailySummary[[#This Row],[Fecha]],SummaryDaily[day],SummaryDaily[Corporativo no tienda_orders],0)</f>
        <v>0</v>
      </c>
      <c r="W426" s="11">
        <f>_xlfn.XLOOKUP(TableDailySummary[[#This Row],[Fecha]],SummaryDaily[day],SummaryDaily[Corporativo no tienda_average_order_value],0)</f>
        <v>0</v>
      </c>
      <c r="X426" s="11">
        <f>_xlfn.XLOOKUP(TableDailySummary[[#This Row],[Fecha]],SummaryDaily[day],SummaryDaily[GoogleAdsOperation.Cost],0)</f>
        <v>0</v>
      </c>
      <c r="Y426" s="11">
        <f>SUMIFS(SalesByUTMDaily[google],SalesByUTMDaily[day],TableDailySummary[[#This Row],[Fecha]])</f>
        <v>0</v>
      </c>
      <c r="Z426" s="11">
        <f>_xlfn.XLOOKUP(TableDailySummary[[#This Row],[Fecha]],SummaryDaily[day],SummaryDaily[MetaAdsOperation.spend],0)</f>
        <v>0</v>
      </c>
      <c r="AA426" s="11">
        <f>SUMIFS(SalesByUTMDaily[facebook],SalesByUTMDaily[day],TableDailySummary[[#This Row],[Fecha]])</f>
        <v>0</v>
      </c>
      <c r="AB426" s="11">
        <f>TableDailySummary[[#This Row],[Inversión google ads]]+TableDailySummary[[#This Row],[Inversión meta ads]]</f>
        <v>0</v>
      </c>
      <c r="AC426" s="11">
        <f>TableDailySummary[[#This Row],[Ventas google ads]]+TableDailySummary[[#This Row],[Ventas meta ads]]</f>
        <v>0</v>
      </c>
      <c r="AD426" s="14">
        <f>IFERROR(TableDailySummary[[#This Row],[Ventas publicidad]]/TableDailySummary[[#This Row],[Inversión publicidad]],0)</f>
        <v>0</v>
      </c>
      <c r="AE426" s="14">
        <f>IFERROR(TableDailySummary[[#This Row],[Ventas primer cliente]]/TableDailySummary[[#This Row],[Inversión publicidad]],0)</f>
        <v>0</v>
      </c>
      <c r="AF426" s="14"/>
      <c r="AG426" s="11"/>
      <c r="AM426" s="11">
        <f>_xlfn.XLOOKUP(TableDailySummary[[#This Row],[Fecha]],SummaryDaily[day],SummaryDaily[net_sales_with_cost_recorded],0)</f>
        <v>0</v>
      </c>
      <c r="AN426" s="11">
        <f>_xlfn.XLOOKUP(TableDailySummary[[#This Row],[Fecha]],SummaryDaily[day],SummaryDaily[cost_of_goods_sold],0)</f>
        <v>0</v>
      </c>
      <c r="AO426" s="11">
        <f>_xlfn.XLOOKUP(TableDailySummary[[#This Row],[Fecha]],SummaryDaily[day],SummaryDaily[gross_profit],0)</f>
        <v>0</v>
      </c>
      <c r="AP426" s="18">
        <f>IFERROR(TableDailySummary[[#This Row],[Utilidad bruta]]/TableDailySummary[[#This Row],[Ventas netas con costo registrado]],0)</f>
        <v>0</v>
      </c>
    </row>
    <row r="427" spans="2:42" x14ac:dyDescent="0.2">
      <c r="B427" s="15" cm="1">
        <f t="array" ref="B427">ParamFechaInicioReporte + (ROW(TableDailySummary[#This Row]) - ROW(TableDailySummary[[#Headers],[Dia]]) - 1)</f>
        <v>44954</v>
      </c>
      <c r="C427" s="6">
        <f>TableDailySummary[[#This Row],[Dia]]</f>
        <v>44954</v>
      </c>
      <c r="D427" s="11">
        <f>_xlfn.XLOOKUP(TableDailySummary[[#This Row],[Fecha]],SummaryDaily[day],SummaryDaily[net_sales],0)</f>
        <v>0</v>
      </c>
      <c r="E427" s="11">
        <f>_xlfn.XLOOKUP(TableDailySummary[[#This Row],[Fecha]],SummaryDaily[day],SummaryDaily[orders],0)</f>
        <v>0</v>
      </c>
      <c r="F427" s="11">
        <f>_xlfn.XLOOKUP(TableDailySummary[[#This Row],[Fecha]],SummaryDaily[day],SummaryDaily[average_order_value],0)</f>
        <v>0</v>
      </c>
      <c r="G427" s="24" cm="1">
        <f t="array" ref="G427">_xlfn.XLOOKUP(TableDailySummary[[#This Row],[Fecha]]&amp;"Total site",ConversionRateByReferral[day]&amp;ConversionRateByReferral[referrer_source],ConversionRateByReferral[conversion_rate],0)</f>
        <v>0</v>
      </c>
      <c r="H427" s="11">
        <f>TableDailySummary[[#This Row],[Órden promedio totales]]*TableDailySummary[[#This Row],[CR totales]]</f>
        <v>0</v>
      </c>
      <c r="I427" s="11">
        <f>_xlfn.XLOOKUP(TableDailySummary[[#This Row],[Fecha]],SummaryDaily[day],SummaryDaily[new_net_sales],0)</f>
        <v>0</v>
      </c>
      <c r="J427" s="11">
        <f>_xlfn.XLOOKUP(TableDailySummary[[#This Row],[Fecha]],SummaryDaily[day],SummaryDaily[new_orders],0)</f>
        <v>0</v>
      </c>
      <c r="K427" s="11">
        <f>_xlfn.XLOOKUP(TableDailySummary[[#This Row],[Fecha]],SummaryDaily[day],SummaryDaily[new_average_order_value],0)</f>
        <v>0</v>
      </c>
      <c r="L427" s="11">
        <f>_xlfn.XLOOKUP(TableDailySummary[[#This Row],[Fecha]],SummaryDaily[day],SummaryDaily[Online Store_net_sales],0)</f>
        <v>0</v>
      </c>
      <c r="M427" s="11">
        <f>_xlfn.XLOOKUP(TableDailySummary[[#This Row],[Fecha]],SummaryDaily[day],SummaryDaily[Online Store_orders],0)</f>
        <v>0</v>
      </c>
      <c r="N427" s="11">
        <f>_xlfn.XLOOKUP(TableDailySummary[[#This Row],[Fecha]],SummaryDaily[day],SummaryDaily[Online Store_average_order_value],0)</f>
        <v>0</v>
      </c>
      <c r="O427" s="11">
        <f>_xlfn.XLOOKUP(TableDailySummary[[#This Row],[Fecha]],SummaryDaily[day],SummaryDaily[Tienda 81_net_sales],0)</f>
        <v>0</v>
      </c>
      <c r="P427" s="11">
        <f>_xlfn.XLOOKUP(TableDailySummary[[#This Row],[Fecha]],SummaryDaily[day],SummaryDaily[Tienda 81_orders],0)</f>
        <v>0</v>
      </c>
      <c r="Q427" s="11">
        <f>_xlfn.XLOOKUP(TableDailySummary[[#This Row],[Fecha]],SummaryDaily[day],SummaryDaily[Tienda 81_average_order_value],0)</f>
        <v>0</v>
      </c>
      <c r="R427" s="11">
        <f>_xlfn.XLOOKUP(TableDailySummary[[#This Row],[Fecha]],SummaryDaily[day],SummaryDaily[Rappi_net_sales],0)</f>
        <v>0</v>
      </c>
      <c r="S427" s="11">
        <f>_xlfn.XLOOKUP(TableDailySummary[[#This Row],[Fecha]],SummaryDaily[day],SummaryDaily[Rappi_orders],0)</f>
        <v>0</v>
      </c>
      <c r="T427" s="11">
        <f>_xlfn.XLOOKUP(TableDailySummary[[#This Row],[Fecha]],SummaryDaily[day],SummaryDaily[Rappi_average_order_value],0)</f>
        <v>0</v>
      </c>
      <c r="U427" s="11">
        <f>_xlfn.XLOOKUP(TableDailySummary[[#This Row],[Fecha]],SummaryDaily[day],SummaryDaily[Corporativo no tienda_net_sales],0)</f>
        <v>0</v>
      </c>
      <c r="V427" s="11">
        <f>_xlfn.XLOOKUP(TableDailySummary[[#This Row],[Fecha]],SummaryDaily[day],SummaryDaily[Corporativo no tienda_orders],0)</f>
        <v>0</v>
      </c>
      <c r="W427" s="11">
        <f>_xlfn.XLOOKUP(TableDailySummary[[#This Row],[Fecha]],SummaryDaily[day],SummaryDaily[Corporativo no tienda_average_order_value],0)</f>
        <v>0</v>
      </c>
      <c r="X427" s="11">
        <f>_xlfn.XLOOKUP(TableDailySummary[[#This Row],[Fecha]],SummaryDaily[day],SummaryDaily[GoogleAdsOperation.Cost],0)</f>
        <v>0</v>
      </c>
      <c r="Y427" s="11">
        <f>SUMIFS(SalesByUTMDaily[google],SalesByUTMDaily[day],TableDailySummary[[#This Row],[Fecha]])</f>
        <v>0</v>
      </c>
      <c r="Z427" s="11">
        <f>_xlfn.XLOOKUP(TableDailySummary[[#This Row],[Fecha]],SummaryDaily[day],SummaryDaily[MetaAdsOperation.spend],0)</f>
        <v>0</v>
      </c>
      <c r="AA427" s="11">
        <f>SUMIFS(SalesByUTMDaily[facebook],SalesByUTMDaily[day],TableDailySummary[[#This Row],[Fecha]])</f>
        <v>0</v>
      </c>
      <c r="AB427" s="11">
        <f>TableDailySummary[[#This Row],[Inversión google ads]]+TableDailySummary[[#This Row],[Inversión meta ads]]</f>
        <v>0</v>
      </c>
      <c r="AC427" s="11">
        <f>TableDailySummary[[#This Row],[Ventas google ads]]+TableDailySummary[[#This Row],[Ventas meta ads]]</f>
        <v>0</v>
      </c>
      <c r="AD427" s="14">
        <f>IFERROR(TableDailySummary[[#This Row],[Ventas publicidad]]/TableDailySummary[[#This Row],[Inversión publicidad]],0)</f>
        <v>0</v>
      </c>
      <c r="AE427" s="14">
        <f>IFERROR(TableDailySummary[[#This Row],[Ventas primer cliente]]/TableDailySummary[[#This Row],[Inversión publicidad]],0)</f>
        <v>0</v>
      </c>
      <c r="AF427" s="14"/>
      <c r="AG427" s="11"/>
      <c r="AM427" s="11">
        <f>_xlfn.XLOOKUP(TableDailySummary[[#This Row],[Fecha]],SummaryDaily[day],SummaryDaily[net_sales_with_cost_recorded],0)</f>
        <v>0</v>
      </c>
      <c r="AN427" s="11">
        <f>_xlfn.XLOOKUP(TableDailySummary[[#This Row],[Fecha]],SummaryDaily[day],SummaryDaily[cost_of_goods_sold],0)</f>
        <v>0</v>
      </c>
      <c r="AO427" s="11">
        <f>_xlfn.XLOOKUP(TableDailySummary[[#This Row],[Fecha]],SummaryDaily[day],SummaryDaily[gross_profit],0)</f>
        <v>0</v>
      </c>
      <c r="AP427" s="18">
        <f>IFERROR(TableDailySummary[[#This Row],[Utilidad bruta]]/TableDailySummary[[#This Row],[Ventas netas con costo registrado]],0)</f>
        <v>0</v>
      </c>
    </row>
    <row r="428" spans="2:42" x14ac:dyDescent="0.2">
      <c r="B428" s="15" cm="1">
        <f t="array" ref="B428">ParamFechaInicioReporte + (ROW(TableDailySummary[#This Row]) - ROW(TableDailySummary[[#Headers],[Dia]]) - 1)</f>
        <v>44955</v>
      </c>
      <c r="C428" s="6">
        <f>TableDailySummary[[#This Row],[Dia]]</f>
        <v>44955</v>
      </c>
      <c r="D428" s="11">
        <f>_xlfn.XLOOKUP(TableDailySummary[[#This Row],[Fecha]],SummaryDaily[day],SummaryDaily[net_sales],0)</f>
        <v>0</v>
      </c>
      <c r="E428" s="11">
        <f>_xlfn.XLOOKUP(TableDailySummary[[#This Row],[Fecha]],SummaryDaily[day],SummaryDaily[orders],0)</f>
        <v>0</v>
      </c>
      <c r="F428" s="11">
        <f>_xlfn.XLOOKUP(TableDailySummary[[#This Row],[Fecha]],SummaryDaily[day],SummaryDaily[average_order_value],0)</f>
        <v>0</v>
      </c>
      <c r="G428" s="24" cm="1">
        <f t="array" ref="G428">_xlfn.XLOOKUP(TableDailySummary[[#This Row],[Fecha]]&amp;"Total site",ConversionRateByReferral[day]&amp;ConversionRateByReferral[referrer_source],ConversionRateByReferral[conversion_rate],0)</f>
        <v>0</v>
      </c>
      <c r="H428" s="11">
        <f>TableDailySummary[[#This Row],[Órden promedio totales]]*TableDailySummary[[#This Row],[CR totales]]</f>
        <v>0</v>
      </c>
      <c r="I428" s="11">
        <f>_xlfn.XLOOKUP(TableDailySummary[[#This Row],[Fecha]],SummaryDaily[day],SummaryDaily[new_net_sales],0)</f>
        <v>0</v>
      </c>
      <c r="J428" s="11">
        <f>_xlfn.XLOOKUP(TableDailySummary[[#This Row],[Fecha]],SummaryDaily[day],SummaryDaily[new_orders],0)</f>
        <v>0</v>
      </c>
      <c r="K428" s="11">
        <f>_xlfn.XLOOKUP(TableDailySummary[[#This Row],[Fecha]],SummaryDaily[day],SummaryDaily[new_average_order_value],0)</f>
        <v>0</v>
      </c>
      <c r="L428" s="11">
        <f>_xlfn.XLOOKUP(TableDailySummary[[#This Row],[Fecha]],SummaryDaily[day],SummaryDaily[Online Store_net_sales],0)</f>
        <v>0</v>
      </c>
      <c r="M428" s="11">
        <f>_xlfn.XLOOKUP(TableDailySummary[[#This Row],[Fecha]],SummaryDaily[day],SummaryDaily[Online Store_orders],0)</f>
        <v>0</v>
      </c>
      <c r="N428" s="11">
        <f>_xlfn.XLOOKUP(TableDailySummary[[#This Row],[Fecha]],SummaryDaily[day],SummaryDaily[Online Store_average_order_value],0)</f>
        <v>0</v>
      </c>
      <c r="O428" s="11">
        <f>_xlfn.XLOOKUP(TableDailySummary[[#This Row],[Fecha]],SummaryDaily[day],SummaryDaily[Tienda 81_net_sales],0)</f>
        <v>0</v>
      </c>
      <c r="P428" s="11">
        <f>_xlfn.XLOOKUP(TableDailySummary[[#This Row],[Fecha]],SummaryDaily[day],SummaryDaily[Tienda 81_orders],0)</f>
        <v>0</v>
      </c>
      <c r="Q428" s="11">
        <f>_xlfn.XLOOKUP(TableDailySummary[[#This Row],[Fecha]],SummaryDaily[day],SummaryDaily[Tienda 81_average_order_value],0)</f>
        <v>0</v>
      </c>
      <c r="R428" s="11">
        <f>_xlfn.XLOOKUP(TableDailySummary[[#This Row],[Fecha]],SummaryDaily[day],SummaryDaily[Rappi_net_sales],0)</f>
        <v>0</v>
      </c>
      <c r="S428" s="11">
        <f>_xlfn.XLOOKUP(TableDailySummary[[#This Row],[Fecha]],SummaryDaily[day],SummaryDaily[Rappi_orders],0)</f>
        <v>0</v>
      </c>
      <c r="T428" s="11">
        <f>_xlfn.XLOOKUP(TableDailySummary[[#This Row],[Fecha]],SummaryDaily[day],SummaryDaily[Rappi_average_order_value],0)</f>
        <v>0</v>
      </c>
      <c r="U428" s="11">
        <f>_xlfn.XLOOKUP(TableDailySummary[[#This Row],[Fecha]],SummaryDaily[day],SummaryDaily[Corporativo no tienda_net_sales],0)</f>
        <v>0</v>
      </c>
      <c r="V428" s="11">
        <f>_xlfn.XLOOKUP(TableDailySummary[[#This Row],[Fecha]],SummaryDaily[day],SummaryDaily[Corporativo no tienda_orders],0)</f>
        <v>0</v>
      </c>
      <c r="W428" s="11">
        <f>_xlfn.XLOOKUP(TableDailySummary[[#This Row],[Fecha]],SummaryDaily[day],SummaryDaily[Corporativo no tienda_average_order_value],0)</f>
        <v>0</v>
      </c>
      <c r="X428" s="11">
        <f>_xlfn.XLOOKUP(TableDailySummary[[#This Row],[Fecha]],SummaryDaily[day],SummaryDaily[GoogleAdsOperation.Cost],0)</f>
        <v>0</v>
      </c>
      <c r="Y428" s="11">
        <f>SUMIFS(SalesByUTMDaily[google],SalesByUTMDaily[day],TableDailySummary[[#This Row],[Fecha]])</f>
        <v>0</v>
      </c>
      <c r="Z428" s="11">
        <f>_xlfn.XLOOKUP(TableDailySummary[[#This Row],[Fecha]],SummaryDaily[day],SummaryDaily[MetaAdsOperation.spend],0)</f>
        <v>0</v>
      </c>
      <c r="AA428" s="11">
        <f>SUMIFS(SalesByUTMDaily[facebook],SalesByUTMDaily[day],TableDailySummary[[#This Row],[Fecha]])</f>
        <v>0</v>
      </c>
      <c r="AB428" s="11">
        <f>TableDailySummary[[#This Row],[Inversión google ads]]+TableDailySummary[[#This Row],[Inversión meta ads]]</f>
        <v>0</v>
      </c>
      <c r="AC428" s="11">
        <f>TableDailySummary[[#This Row],[Ventas google ads]]+TableDailySummary[[#This Row],[Ventas meta ads]]</f>
        <v>0</v>
      </c>
      <c r="AD428" s="14">
        <f>IFERROR(TableDailySummary[[#This Row],[Ventas publicidad]]/TableDailySummary[[#This Row],[Inversión publicidad]],0)</f>
        <v>0</v>
      </c>
      <c r="AE428" s="14">
        <f>IFERROR(TableDailySummary[[#This Row],[Ventas primer cliente]]/TableDailySummary[[#This Row],[Inversión publicidad]],0)</f>
        <v>0</v>
      </c>
      <c r="AF428" s="14"/>
      <c r="AG428" s="11"/>
      <c r="AM428" s="11">
        <f>_xlfn.XLOOKUP(TableDailySummary[[#This Row],[Fecha]],SummaryDaily[day],SummaryDaily[net_sales_with_cost_recorded],0)</f>
        <v>0</v>
      </c>
      <c r="AN428" s="11">
        <f>_xlfn.XLOOKUP(TableDailySummary[[#This Row],[Fecha]],SummaryDaily[day],SummaryDaily[cost_of_goods_sold],0)</f>
        <v>0</v>
      </c>
      <c r="AO428" s="11">
        <f>_xlfn.XLOOKUP(TableDailySummary[[#This Row],[Fecha]],SummaryDaily[day],SummaryDaily[gross_profit],0)</f>
        <v>0</v>
      </c>
      <c r="AP428" s="18">
        <f>IFERROR(TableDailySummary[[#This Row],[Utilidad bruta]]/TableDailySummary[[#This Row],[Ventas netas con costo registrado]],0)</f>
        <v>0</v>
      </c>
    </row>
    <row r="429" spans="2:42" x14ac:dyDescent="0.2">
      <c r="B429" s="15" cm="1">
        <f t="array" ref="B429">ParamFechaInicioReporte + (ROW(TableDailySummary[#This Row]) - ROW(TableDailySummary[[#Headers],[Dia]]) - 1)</f>
        <v>44956</v>
      </c>
      <c r="C429" s="6">
        <f>TableDailySummary[[#This Row],[Dia]]</f>
        <v>44956</v>
      </c>
      <c r="D429" s="11">
        <f>_xlfn.XLOOKUP(TableDailySummary[[#This Row],[Fecha]],SummaryDaily[day],SummaryDaily[net_sales],0)</f>
        <v>0</v>
      </c>
      <c r="E429" s="11">
        <f>_xlfn.XLOOKUP(TableDailySummary[[#This Row],[Fecha]],SummaryDaily[day],SummaryDaily[orders],0)</f>
        <v>0</v>
      </c>
      <c r="F429" s="11">
        <f>_xlfn.XLOOKUP(TableDailySummary[[#This Row],[Fecha]],SummaryDaily[day],SummaryDaily[average_order_value],0)</f>
        <v>0</v>
      </c>
      <c r="G429" s="24" cm="1">
        <f t="array" ref="G429">_xlfn.XLOOKUP(TableDailySummary[[#This Row],[Fecha]]&amp;"Total site",ConversionRateByReferral[day]&amp;ConversionRateByReferral[referrer_source],ConversionRateByReferral[conversion_rate],0)</f>
        <v>0</v>
      </c>
      <c r="H429" s="11">
        <f>TableDailySummary[[#This Row],[Órden promedio totales]]*TableDailySummary[[#This Row],[CR totales]]</f>
        <v>0</v>
      </c>
      <c r="I429" s="11">
        <f>_xlfn.XLOOKUP(TableDailySummary[[#This Row],[Fecha]],SummaryDaily[day],SummaryDaily[new_net_sales],0)</f>
        <v>0</v>
      </c>
      <c r="J429" s="11">
        <f>_xlfn.XLOOKUP(TableDailySummary[[#This Row],[Fecha]],SummaryDaily[day],SummaryDaily[new_orders],0)</f>
        <v>0</v>
      </c>
      <c r="K429" s="11">
        <f>_xlfn.XLOOKUP(TableDailySummary[[#This Row],[Fecha]],SummaryDaily[day],SummaryDaily[new_average_order_value],0)</f>
        <v>0</v>
      </c>
      <c r="L429" s="11">
        <f>_xlfn.XLOOKUP(TableDailySummary[[#This Row],[Fecha]],SummaryDaily[day],SummaryDaily[Online Store_net_sales],0)</f>
        <v>0</v>
      </c>
      <c r="M429" s="11">
        <f>_xlfn.XLOOKUP(TableDailySummary[[#This Row],[Fecha]],SummaryDaily[day],SummaryDaily[Online Store_orders],0)</f>
        <v>0</v>
      </c>
      <c r="N429" s="11">
        <f>_xlfn.XLOOKUP(TableDailySummary[[#This Row],[Fecha]],SummaryDaily[day],SummaryDaily[Online Store_average_order_value],0)</f>
        <v>0</v>
      </c>
      <c r="O429" s="11">
        <f>_xlfn.XLOOKUP(TableDailySummary[[#This Row],[Fecha]],SummaryDaily[day],SummaryDaily[Tienda 81_net_sales],0)</f>
        <v>0</v>
      </c>
      <c r="P429" s="11">
        <f>_xlfn.XLOOKUP(TableDailySummary[[#This Row],[Fecha]],SummaryDaily[day],SummaryDaily[Tienda 81_orders],0)</f>
        <v>0</v>
      </c>
      <c r="Q429" s="11">
        <f>_xlfn.XLOOKUP(TableDailySummary[[#This Row],[Fecha]],SummaryDaily[day],SummaryDaily[Tienda 81_average_order_value],0)</f>
        <v>0</v>
      </c>
      <c r="R429" s="11">
        <f>_xlfn.XLOOKUP(TableDailySummary[[#This Row],[Fecha]],SummaryDaily[day],SummaryDaily[Rappi_net_sales],0)</f>
        <v>0</v>
      </c>
      <c r="S429" s="11">
        <f>_xlfn.XLOOKUP(TableDailySummary[[#This Row],[Fecha]],SummaryDaily[day],SummaryDaily[Rappi_orders],0)</f>
        <v>0</v>
      </c>
      <c r="T429" s="11">
        <f>_xlfn.XLOOKUP(TableDailySummary[[#This Row],[Fecha]],SummaryDaily[day],SummaryDaily[Rappi_average_order_value],0)</f>
        <v>0</v>
      </c>
      <c r="U429" s="11">
        <f>_xlfn.XLOOKUP(TableDailySummary[[#This Row],[Fecha]],SummaryDaily[day],SummaryDaily[Corporativo no tienda_net_sales],0)</f>
        <v>0</v>
      </c>
      <c r="V429" s="11">
        <f>_xlfn.XLOOKUP(TableDailySummary[[#This Row],[Fecha]],SummaryDaily[day],SummaryDaily[Corporativo no tienda_orders],0)</f>
        <v>0</v>
      </c>
      <c r="W429" s="11">
        <f>_xlfn.XLOOKUP(TableDailySummary[[#This Row],[Fecha]],SummaryDaily[day],SummaryDaily[Corporativo no tienda_average_order_value],0)</f>
        <v>0</v>
      </c>
      <c r="X429" s="11">
        <f>_xlfn.XLOOKUP(TableDailySummary[[#This Row],[Fecha]],SummaryDaily[day],SummaryDaily[GoogleAdsOperation.Cost],0)</f>
        <v>0</v>
      </c>
      <c r="Y429" s="11">
        <f>SUMIFS(SalesByUTMDaily[google],SalesByUTMDaily[day],TableDailySummary[[#This Row],[Fecha]])</f>
        <v>0</v>
      </c>
      <c r="Z429" s="11">
        <f>_xlfn.XLOOKUP(TableDailySummary[[#This Row],[Fecha]],SummaryDaily[day],SummaryDaily[MetaAdsOperation.spend],0)</f>
        <v>0</v>
      </c>
      <c r="AA429" s="11">
        <f>SUMIFS(SalesByUTMDaily[facebook],SalesByUTMDaily[day],TableDailySummary[[#This Row],[Fecha]])</f>
        <v>0</v>
      </c>
      <c r="AB429" s="11">
        <f>TableDailySummary[[#This Row],[Inversión google ads]]+TableDailySummary[[#This Row],[Inversión meta ads]]</f>
        <v>0</v>
      </c>
      <c r="AC429" s="11">
        <f>TableDailySummary[[#This Row],[Ventas google ads]]+TableDailySummary[[#This Row],[Ventas meta ads]]</f>
        <v>0</v>
      </c>
      <c r="AD429" s="14">
        <f>IFERROR(TableDailySummary[[#This Row],[Ventas publicidad]]/TableDailySummary[[#This Row],[Inversión publicidad]],0)</f>
        <v>0</v>
      </c>
      <c r="AE429" s="14">
        <f>IFERROR(TableDailySummary[[#This Row],[Ventas primer cliente]]/TableDailySummary[[#This Row],[Inversión publicidad]],0)</f>
        <v>0</v>
      </c>
      <c r="AF429" s="14"/>
      <c r="AG429" s="11"/>
      <c r="AM429" s="11">
        <f>_xlfn.XLOOKUP(TableDailySummary[[#This Row],[Fecha]],SummaryDaily[day],SummaryDaily[net_sales_with_cost_recorded],0)</f>
        <v>0</v>
      </c>
      <c r="AN429" s="11">
        <f>_xlfn.XLOOKUP(TableDailySummary[[#This Row],[Fecha]],SummaryDaily[day],SummaryDaily[cost_of_goods_sold],0)</f>
        <v>0</v>
      </c>
      <c r="AO429" s="11">
        <f>_xlfn.XLOOKUP(TableDailySummary[[#This Row],[Fecha]],SummaryDaily[day],SummaryDaily[gross_profit],0)</f>
        <v>0</v>
      </c>
      <c r="AP429" s="18">
        <f>IFERROR(TableDailySummary[[#This Row],[Utilidad bruta]]/TableDailySummary[[#This Row],[Ventas netas con costo registrado]],0)</f>
        <v>0</v>
      </c>
    </row>
    <row r="430" spans="2:42" x14ac:dyDescent="0.2">
      <c r="B430" s="15" cm="1">
        <f t="array" ref="B430">ParamFechaInicioReporte + (ROW(TableDailySummary[#This Row]) - ROW(TableDailySummary[[#Headers],[Dia]]) - 1)</f>
        <v>44957</v>
      </c>
      <c r="C430" s="6">
        <f>TableDailySummary[[#This Row],[Dia]]</f>
        <v>44957</v>
      </c>
      <c r="D430" s="11">
        <f>_xlfn.XLOOKUP(TableDailySummary[[#This Row],[Fecha]],SummaryDaily[day],SummaryDaily[net_sales],0)</f>
        <v>0</v>
      </c>
      <c r="E430" s="11">
        <f>_xlfn.XLOOKUP(TableDailySummary[[#This Row],[Fecha]],SummaryDaily[day],SummaryDaily[orders],0)</f>
        <v>0</v>
      </c>
      <c r="F430" s="11">
        <f>_xlfn.XLOOKUP(TableDailySummary[[#This Row],[Fecha]],SummaryDaily[day],SummaryDaily[average_order_value],0)</f>
        <v>0</v>
      </c>
      <c r="G430" s="24" cm="1">
        <f t="array" ref="G430">_xlfn.XLOOKUP(TableDailySummary[[#This Row],[Fecha]]&amp;"Total site",ConversionRateByReferral[day]&amp;ConversionRateByReferral[referrer_source],ConversionRateByReferral[conversion_rate],0)</f>
        <v>0</v>
      </c>
      <c r="H430" s="11">
        <f>TableDailySummary[[#This Row],[Órden promedio totales]]*TableDailySummary[[#This Row],[CR totales]]</f>
        <v>0</v>
      </c>
      <c r="I430" s="11">
        <f>_xlfn.XLOOKUP(TableDailySummary[[#This Row],[Fecha]],SummaryDaily[day],SummaryDaily[new_net_sales],0)</f>
        <v>0</v>
      </c>
      <c r="J430" s="11">
        <f>_xlfn.XLOOKUP(TableDailySummary[[#This Row],[Fecha]],SummaryDaily[day],SummaryDaily[new_orders],0)</f>
        <v>0</v>
      </c>
      <c r="K430" s="11">
        <f>_xlfn.XLOOKUP(TableDailySummary[[#This Row],[Fecha]],SummaryDaily[day],SummaryDaily[new_average_order_value],0)</f>
        <v>0</v>
      </c>
      <c r="L430" s="11">
        <f>_xlfn.XLOOKUP(TableDailySummary[[#This Row],[Fecha]],SummaryDaily[day],SummaryDaily[Online Store_net_sales],0)</f>
        <v>0</v>
      </c>
      <c r="M430" s="11">
        <f>_xlfn.XLOOKUP(TableDailySummary[[#This Row],[Fecha]],SummaryDaily[day],SummaryDaily[Online Store_orders],0)</f>
        <v>0</v>
      </c>
      <c r="N430" s="11">
        <f>_xlfn.XLOOKUP(TableDailySummary[[#This Row],[Fecha]],SummaryDaily[day],SummaryDaily[Online Store_average_order_value],0)</f>
        <v>0</v>
      </c>
      <c r="O430" s="11">
        <f>_xlfn.XLOOKUP(TableDailySummary[[#This Row],[Fecha]],SummaryDaily[day],SummaryDaily[Tienda 81_net_sales],0)</f>
        <v>0</v>
      </c>
      <c r="P430" s="11">
        <f>_xlfn.XLOOKUP(TableDailySummary[[#This Row],[Fecha]],SummaryDaily[day],SummaryDaily[Tienda 81_orders],0)</f>
        <v>0</v>
      </c>
      <c r="Q430" s="11">
        <f>_xlfn.XLOOKUP(TableDailySummary[[#This Row],[Fecha]],SummaryDaily[day],SummaryDaily[Tienda 81_average_order_value],0)</f>
        <v>0</v>
      </c>
      <c r="R430" s="11">
        <f>_xlfn.XLOOKUP(TableDailySummary[[#This Row],[Fecha]],SummaryDaily[day],SummaryDaily[Rappi_net_sales],0)</f>
        <v>0</v>
      </c>
      <c r="S430" s="11">
        <f>_xlfn.XLOOKUP(TableDailySummary[[#This Row],[Fecha]],SummaryDaily[day],SummaryDaily[Rappi_orders],0)</f>
        <v>0</v>
      </c>
      <c r="T430" s="11">
        <f>_xlfn.XLOOKUP(TableDailySummary[[#This Row],[Fecha]],SummaryDaily[day],SummaryDaily[Rappi_average_order_value],0)</f>
        <v>0</v>
      </c>
      <c r="U430" s="11">
        <f>_xlfn.XLOOKUP(TableDailySummary[[#This Row],[Fecha]],SummaryDaily[day],SummaryDaily[Corporativo no tienda_net_sales],0)</f>
        <v>0</v>
      </c>
      <c r="V430" s="11">
        <f>_xlfn.XLOOKUP(TableDailySummary[[#This Row],[Fecha]],SummaryDaily[day],SummaryDaily[Corporativo no tienda_orders],0)</f>
        <v>0</v>
      </c>
      <c r="W430" s="11">
        <f>_xlfn.XLOOKUP(TableDailySummary[[#This Row],[Fecha]],SummaryDaily[day],SummaryDaily[Corporativo no tienda_average_order_value],0)</f>
        <v>0</v>
      </c>
      <c r="X430" s="11">
        <f>_xlfn.XLOOKUP(TableDailySummary[[#This Row],[Fecha]],SummaryDaily[day],SummaryDaily[GoogleAdsOperation.Cost],0)</f>
        <v>0</v>
      </c>
      <c r="Y430" s="11">
        <f>SUMIFS(SalesByUTMDaily[google],SalesByUTMDaily[day],TableDailySummary[[#This Row],[Fecha]])</f>
        <v>0</v>
      </c>
      <c r="Z430" s="11">
        <f>_xlfn.XLOOKUP(TableDailySummary[[#This Row],[Fecha]],SummaryDaily[day],SummaryDaily[MetaAdsOperation.spend],0)</f>
        <v>0</v>
      </c>
      <c r="AA430" s="11">
        <f>SUMIFS(SalesByUTMDaily[facebook],SalesByUTMDaily[day],TableDailySummary[[#This Row],[Fecha]])</f>
        <v>0</v>
      </c>
      <c r="AB430" s="11">
        <f>TableDailySummary[[#This Row],[Inversión google ads]]+TableDailySummary[[#This Row],[Inversión meta ads]]</f>
        <v>0</v>
      </c>
      <c r="AC430" s="11">
        <f>TableDailySummary[[#This Row],[Ventas google ads]]+TableDailySummary[[#This Row],[Ventas meta ads]]</f>
        <v>0</v>
      </c>
      <c r="AD430" s="14">
        <f>IFERROR(TableDailySummary[[#This Row],[Ventas publicidad]]/TableDailySummary[[#This Row],[Inversión publicidad]],0)</f>
        <v>0</v>
      </c>
      <c r="AE430" s="14">
        <f>IFERROR(TableDailySummary[[#This Row],[Ventas primer cliente]]/TableDailySummary[[#This Row],[Inversión publicidad]],0)</f>
        <v>0</v>
      </c>
      <c r="AF430" s="14"/>
      <c r="AG430" s="11"/>
      <c r="AM430" s="11">
        <f>_xlfn.XLOOKUP(TableDailySummary[[#This Row],[Fecha]],SummaryDaily[day],SummaryDaily[net_sales_with_cost_recorded],0)</f>
        <v>0</v>
      </c>
      <c r="AN430" s="11">
        <f>_xlfn.XLOOKUP(TableDailySummary[[#This Row],[Fecha]],SummaryDaily[day],SummaryDaily[cost_of_goods_sold],0)</f>
        <v>0</v>
      </c>
      <c r="AO430" s="11">
        <f>_xlfn.XLOOKUP(TableDailySummary[[#This Row],[Fecha]],SummaryDaily[day],SummaryDaily[gross_profit],0)</f>
        <v>0</v>
      </c>
      <c r="AP430" s="18">
        <f>IFERROR(TableDailySummary[[#This Row],[Utilidad bruta]]/TableDailySummary[[#This Row],[Ventas netas con costo registrado]],0)</f>
        <v>0</v>
      </c>
    </row>
    <row r="431" spans="2:42" x14ac:dyDescent="0.2">
      <c r="B431" s="15" cm="1">
        <f t="array" ref="B431">ParamFechaInicioReporte + (ROW(TableDailySummary[#This Row]) - ROW(TableDailySummary[[#Headers],[Dia]]) - 1)</f>
        <v>44958</v>
      </c>
      <c r="C431" s="6">
        <f>TableDailySummary[[#This Row],[Dia]]</f>
        <v>44958</v>
      </c>
      <c r="D431" s="11">
        <f>_xlfn.XLOOKUP(TableDailySummary[[#This Row],[Fecha]],SummaryDaily[day],SummaryDaily[net_sales],0)</f>
        <v>0</v>
      </c>
      <c r="E431" s="11">
        <f>_xlfn.XLOOKUP(TableDailySummary[[#This Row],[Fecha]],SummaryDaily[day],SummaryDaily[orders],0)</f>
        <v>0</v>
      </c>
      <c r="F431" s="11">
        <f>_xlfn.XLOOKUP(TableDailySummary[[#This Row],[Fecha]],SummaryDaily[day],SummaryDaily[average_order_value],0)</f>
        <v>0</v>
      </c>
      <c r="G431" s="24" cm="1">
        <f t="array" ref="G431">_xlfn.XLOOKUP(TableDailySummary[[#This Row],[Fecha]]&amp;"Total site",ConversionRateByReferral[day]&amp;ConversionRateByReferral[referrer_source],ConversionRateByReferral[conversion_rate],0)</f>
        <v>0</v>
      </c>
      <c r="H431" s="11">
        <f>TableDailySummary[[#This Row],[Órden promedio totales]]*TableDailySummary[[#This Row],[CR totales]]</f>
        <v>0</v>
      </c>
      <c r="I431" s="11">
        <f>_xlfn.XLOOKUP(TableDailySummary[[#This Row],[Fecha]],SummaryDaily[day],SummaryDaily[new_net_sales],0)</f>
        <v>0</v>
      </c>
      <c r="J431" s="11">
        <f>_xlfn.XLOOKUP(TableDailySummary[[#This Row],[Fecha]],SummaryDaily[day],SummaryDaily[new_orders],0)</f>
        <v>0</v>
      </c>
      <c r="K431" s="11">
        <f>_xlfn.XLOOKUP(TableDailySummary[[#This Row],[Fecha]],SummaryDaily[day],SummaryDaily[new_average_order_value],0)</f>
        <v>0</v>
      </c>
      <c r="L431" s="11">
        <f>_xlfn.XLOOKUP(TableDailySummary[[#This Row],[Fecha]],SummaryDaily[day],SummaryDaily[Online Store_net_sales],0)</f>
        <v>0</v>
      </c>
      <c r="M431" s="11">
        <f>_xlfn.XLOOKUP(TableDailySummary[[#This Row],[Fecha]],SummaryDaily[day],SummaryDaily[Online Store_orders],0)</f>
        <v>0</v>
      </c>
      <c r="N431" s="11">
        <f>_xlfn.XLOOKUP(TableDailySummary[[#This Row],[Fecha]],SummaryDaily[day],SummaryDaily[Online Store_average_order_value],0)</f>
        <v>0</v>
      </c>
      <c r="O431" s="11">
        <f>_xlfn.XLOOKUP(TableDailySummary[[#This Row],[Fecha]],SummaryDaily[day],SummaryDaily[Tienda 81_net_sales],0)</f>
        <v>0</v>
      </c>
      <c r="P431" s="11">
        <f>_xlfn.XLOOKUP(TableDailySummary[[#This Row],[Fecha]],SummaryDaily[day],SummaryDaily[Tienda 81_orders],0)</f>
        <v>0</v>
      </c>
      <c r="Q431" s="11">
        <f>_xlfn.XLOOKUP(TableDailySummary[[#This Row],[Fecha]],SummaryDaily[day],SummaryDaily[Tienda 81_average_order_value],0)</f>
        <v>0</v>
      </c>
      <c r="R431" s="11">
        <f>_xlfn.XLOOKUP(TableDailySummary[[#This Row],[Fecha]],SummaryDaily[day],SummaryDaily[Rappi_net_sales],0)</f>
        <v>0</v>
      </c>
      <c r="S431" s="11">
        <f>_xlfn.XLOOKUP(TableDailySummary[[#This Row],[Fecha]],SummaryDaily[day],SummaryDaily[Rappi_orders],0)</f>
        <v>0</v>
      </c>
      <c r="T431" s="11">
        <f>_xlfn.XLOOKUP(TableDailySummary[[#This Row],[Fecha]],SummaryDaily[day],SummaryDaily[Rappi_average_order_value],0)</f>
        <v>0</v>
      </c>
      <c r="U431" s="11">
        <f>_xlfn.XLOOKUP(TableDailySummary[[#This Row],[Fecha]],SummaryDaily[day],SummaryDaily[Corporativo no tienda_net_sales],0)</f>
        <v>0</v>
      </c>
      <c r="V431" s="11">
        <f>_xlfn.XLOOKUP(TableDailySummary[[#This Row],[Fecha]],SummaryDaily[day],SummaryDaily[Corporativo no tienda_orders],0)</f>
        <v>0</v>
      </c>
      <c r="W431" s="11">
        <f>_xlfn.XLOOKUP(TableDailySummary[[#This Row],[Fecha]],SummaryDaily[day],SummaryDaily[Corporativo no tienda_average_order_value],0)</f>
        <v>0</v>
      </c>
      <c r="X431" s="11">
        <f>_xlfn.XLOOKUP(TableDailySummary[[#This Row],[Fecha]],SummaryDaily[day],SummaryDaily[GoogleAdsOperation.Cost],0)</f>
        <v>0</v>
      </c>
      <c r="Y431" s="11">
        <f>SUMIFS(SalesByUTMDaily[google],SalesByUTMDaily[day],TableDailySummary[[#This Row],[Fecha]])</f>
        <v>0</v>
      </c>
      <c r="Z431" s="11">
        <f>_xlfn.XLOOKUP(TableDailySummary[[#This Row],[Fecha]],SummaryDaily[day],SummaryDaily[MetaAdsOperation.spend],0)</f>
        <v>0</v>
      </c>
      <c r="AA431" s="11">
        <f>SUMIFS(SalesByUTMDaily[facebook],SalesByUTMDaily[day],TableDailySummary[[#This Row],[Fecha]])</f>
        <v>0</v>
      </c>
      <c r="AB431" s="11">
        <f>TableDailySummary[[#This Row],[Inversión google ads]]+TableDailySummary[[#This Row],[Inversión meta ads]]</f>
        <v>0</v>
      </c>
      <c r="AC431" s="11">
        <f>TableDailySummary[[#This Row],[Ventas google ads]]+TableDailySummary[[#This Row],[Ventas meta ads]]</f>
        <v>0</v>
      </c>
      <c r="AD431" s="14">
        <f>IFERROR(TableDailySummary[[#This Row],[Ventas publicidad]]/TableDailySummary[[#This Row],[Inversión publicidad]],0)</f>
        <v>0</v>
      </c>
      <c r="AE431" s="14">
        <f>IFERROR(TableDailySummary[[#This Row],[Ventas primer cliente]]/TableDailySummary[[#This Row],[Inversión publicidad]],0)</f>
        <v>0</v>
      </c>
      <c r="AF431" s="14"/>
      <c r="AG431" s="11"/>
      <c r="AM431" s="11">
        <f>_xlfn.XLOOKUP(TableDailySummary[[#This Row],[Fecha]],SummaryDaily[day],SummaryDaily[net_sales_with_cost_recorded],0)</f>
        <v>0</v>
      </c>
      <c r="AN431" s="11">
        <f>_xlfn.XLOOKUP(TableDailySummary[[#This Row],[Fecha]],SummaryDaily[day],SummaryDaily[cost_of_goods_sold],0)</f>
        <v>0</v>
      </c>
      <c r="AO431" s="11">
        <f>_xlfn.XLOOKUP(TableDailySummary[[#This Row],[Fecha]],SummaryDaily[day],SummaryDaily[gross_profit],0)</f>
        <v>0</v>
      </c>
      <c r="AP431" s="18">
        <f>IFERROR(TableDailySummary[[#This Row],[Utilidad bruta]]/TableDailySummary[[#This Row],[Ventas netas con costo registrado]],0)</f>
        <v>0</v>
      </c>
    </row>
    <row r="432" spans="2:42" x14ac:dyDescent="0.2">
      <c r="B432" s="15" cm="1">
        <f t="array" ref="B432">ParamFechaInicioReporte + (ROW(TableDailySummary[#This Row]) - ROW(TableDailySummary[[#Headers],[Dia]]) - 1)</f>
        <v>44959</v>
      </c>
      <c r="C432" s="6">
        <f>TableDailySummary[[#This Row],[Dia]]</f>
        <v>44959</v>
      </c>
      <c r="D432" s="11">
        <f>_xlfn.XLOOKUP(TableDailySummary[[#This Row],[Fecha]],SummaryDaily[day],SummaryDaily[net_sales],0)</f>
        <v>0</v>
      </c>
      <c r="E432" s="11">
        <f>_xlfn.XLOOKUP(TableDailySummary[[#This Row],[Fecha]],SummaryDaily[day],SummaryDaily[orders],0)</f>
        <v>0</v>
      </c>
      <c r="F432" s="11">
        <f>_xlfn.XLOOKUP(TableDailySummary[[#This Row],[Fecha]],SummaryDaily[day],SummaryDaily[average_order_value],0)</f>
        <v>0</v>
      </c>
      <c r="G432" s="24" cm="1">
        <f t="array" ref="G432">_xlfn.XLOOKUP(TableDailySummary[[#This Row],[Fecha]]&amp;"Total site",ConversionRateByReferral[day]&amp;ConversionRateByReferral[referrer_source],ConversionRateByReferral[conversion_rate],0)</f>
        <v>0</v>
      </c>
      <c r="H432" s="11">
        <f>TableDailySummary[[#This Row],[Órden promedio totales]]*TableDailySummary[[#This Row],[CR totales]]</f>
        <v>0</v>
      </c>
      <c r="I432" s="11">
        <f>_xlfn.XLOOKUP(TableDailySummary[[#This Row],[Fecha]],SummaryDaily[day],SummaryDaily[new_net_sales],0)</f>
        <v>0</v>
      </c>
      <c r="J432" s="11">
        <f>_xlfn.XLOOKUP(TableDailySummary[[#This Row],[Fecha]],SummaryDaily[day],SummaryDaily[new_orders],0)</f>
        <v>0</v>
      </c>
      <c r="K432" s="11">
        <f>_xlfn.XLOOKUP(TableDailySummary[[#This Row],[Fecha]],SummaryDaily[day],SummaryDaily[new_average_order_value],0)</f>
        <v>0</v>
      </c>
      <c r="L432" s="11">
        <f>_xlfn.XLOOKUP(TableDailySummary[[#This Row],[Fecha]],SummaryDaily[day],SummaryDaily[Online Store_net_sales],0)</f>
        <v>0</v>
      </c>
      <c r="M432" s="11">
        <f>_xlfn.XLOOKUP(TableDailySummary[[#This Row],[Fecha]],SummaryDaily[day],SummaryDaily[Online Store_orders],0)</f>
        <v>0</v>
      </c>
      <c r="N432" s="11">
        <f>_xlfn.XLOOKUP(TableDailySummary[[#This Row],[Fecha]],SummaryDaily[day],SummaryDaily[Online Store_average_order_value],0)</f>
        <v>0</v>
      </c>
      <c r="O432" s="11">
        <f>_xlfn.XLOOKUP(TableDailySummary[[#This Row],[Fecha]],SummaryDaily[day],SummaryDaily[Tienda 81_net_sales],0)</f>
        <v>0</v>
      </c>
      <c r="P432" s="11">
        <f>_xlfn.XLOOKUP(TableDailySummary[[#This Row],[Fecha]],SummaryDaily[day],SummaryDaily[Tienda 81_orders],0)</f>
        <v>0</v>
      </c>
      <c r="Q432" s="11">
        <f>_xlfn.XLOOKUP(TableDailySummary[[#This Row],[Fecha]],SummaryDaily[day],SummaryDaily[Tienda 81_average_order_value],0)</f>
        <v>0</v>
      </c>
      <c r="R432" s="11">
        <f>_xlfn.XLOOKUP(TableDailySummary[[#This Row],[Fecha]],SummaryDaily[day],SummaryDaily[Rappi_net_sales],0)</f>
        <v>0</v>
      </c>
      <c r="S432" s="11">
        <f>_xlfn.XLOOKUP(TableDailySummary[[#This Row],[Fecha]],SummaryDaily[day],SummaryDaily[Rappi_orders],0)</f>
        <v>0</v>
      </c>
      <c r="T432" s="11">
        <f>_xlfn.XLOOKUP(TableDailySummary[[#This Row],[Fecha]],SummaryDaily[day],SummaryDaily[Rappi_average_order_value],0)</f>
        <v>0</v>
      </c>
      <c r="U432" s="11">
        <f>_xlfn.XLOOKUP(TableDailySummary[[#This Row],[Fecha]],SummaryDaily[day],SummaryDaily[Corporativo no tienda_net_sales],0)</f>
        <v>0</v>
      </c>
      <c r="V432" s="11">
        <f>_xlfn.XLOOKUP(TableDailySummary[[#This Row],[Fecha]],SummaryDaily[day],SummaryDaily[Corporativo no tienda_orders],0)</f>
        <v>0</v>
      </c>
      <c r="W432" s="11">
        <f>_xlfn.XLOOKUP(TableDailySummary[[#This Row],[Fecha]],SummaryDaily[day],SummaryDaily[Corporativo no tienda_average_order_value],0)</f>
        <v>0</v>
      </c>
      <c r="X432" s="11">
        <f>_xlfn.XLOOKUP(TableDailySummary[[#This Row],[Fecha]],SummaryDaily[day],SummaryDaily[GoogleAdsOperation.Cost],0)</f>
        <v>0</v>
      </c>
      <c r="Y432" s="11">
        <f>SUMIFS(SalesByUTMDaily[google],SalesByUTMDaily[day],TableDailySummary[[#This Row],[Fecha]])</f>
        <v>0</v>
      </c>
      <c r="Z432" s="11">
        <f>_xlfn.XLOOKUP(TableDailySummary[[#This Row],[Fecha]],SummaryDaily[day],SummaryDaily[MetaAdsOperation.spend],0)</f>
        <v>0</v>
      </c>
      <c r="AA432" s="11">
        <f>SUMIFS(SalesByUTMDaily[facebook],SalesByUTMDaily[day],TableDailySummary[[#This Row],[Fecha]])</f>
        <v>0</v>
      </c>
      <c r="AB432" s="11">
        <f>TableDailySummary[[#This Row],[Inversión google ads]]+TableDailySummary[[#This Row],[Inversión meta ads]]</f>
        <v>0</v>
      </c>
      <c r="AC432" s="11">
        <f>TableDailySummary[[#This Row],[Ventas google ads]]+TableDailySummary[[#This Row],[Ventas meta ads]]</f>
        <v>0</v>
      </c>
      <c r="AD432" s="14">
        <f>IFERROR(TableDailySummary[[#This Row],[Ventas publicidad]]/TableDailySummary[[#This Row],[Inversión publicidad]],0)</f>
        <v>0</v>
      </c>
      <c r="AE432" s="14">
        <f>IFERROR(TableDailySummary[[#This Row],[Ventas primer cliente]]/TableDailySummary[[#This Row],[Inversión publicidad]],0)</f>
        <v>0</v>
      </c>
      <c r="AF432" s="14"/>
      <c r="AG432" s="11"/>
      <c r="AM432" s="11">
        <f>_xlfn.XLOOKUP(TableDailySummary[[#This Row],[Fecha]],SummaryDaily[day],SummaryDaily[net_sales_with_cost_recorded],0)</f>
        <v>0</v>
      </c>
      <c r="AN432" s="11">
        <f>_xlfn.XLOOKUP(TableDailySummary[[#This Row],[Fecha]],SummaryDaily[day],SummaryDaily[cost_of_goods_sold],0)</f>
        <v>0</v>
      </c>
      <c r="AO432" s="11">
        <f>_xlfn.XLOOKUP(TableDailySummary[[#This Row],[Fecha]],SummaryDaily[day],SummaryDaily[gross_profit],0)</f>
        <v>0</v>
      </c>
      <c r="AP432" s="18">
        <f>IFERROR(TableDailySummary[[#This Row],[Utilidad bruta]]/TableDailySummary[[#This Row],[Ventas netas con costo registrado]],0)</f>
        <v>0</v>
      </c>
    </row>
    <row r="433" spans="2:42" x14ac:dyDescent="0.2">
      <c r="B433" s="15" cm="1">
        <f t="array" ref="B433">ParamFechaInicioReporte + (ROW(TableDailySummary[#This Row]) - ROW(TableDailySummary[[#Headers],[Dia]]) - 1)</f>
        <v>44960</v>
      </c>
      <c r="C433" s="6">
        <f>TableDailySummary[[#This Row],[Dia]]</f>
        <v>44960</v>
      </c>
      <c r="D433" s="11">
        <f>_xlfn.XLOOKUP(TableDailySummary[[#This Row],[Fecha]],SummaryDaily[day],SummaryDaily[net_sales],0)</f>
        <v>0</v>
      </c>
      <c r="E433" s="11">
        <f>_xlfn.XLOOKUP(TableDailySummary[[#This Row],[Fecha]],SummaryDaily[day],SummaryDaily[orders],0)</f>
        <v>0</v>
      </c>
      <c r="F433" s="11">
        <f>_xlfn.XLOOKUP(TableDailySummary[[#This Row],[Fecha]],SummaryDaily[day],SummaryDaily[average_order_value],0)</f>
        <v>0</v>
      </c>
      <c r="G433" s="24" cm="1">
        <f t="array" ref="G433">_xlfn.XLOOKUP(TableDailySummary[[#This Row],[Fecha]]&amp;"Total site",ConversionRateByReferral[day]&amp;ConversionRateByReferral[referrer_source],ConversionRateByReferral[conversion_rate],0)</f>
        <v>0</v>
      </c>
      <c r="H433" s="11">
        <f>TableDailySummary[[#This Row],[Órden promedio totales]]*TableDailySummary[[#This Row],[CR totales]]</f>
        <v>0</v>
      </c>
      <c r="I433" s="11">
        <f>_xlfn.XLOOKUP(TableDailySummary[[#This Row],[Fecha]],SummaryDaily[day],SummaryDaily[new_net_sales],0)</f>
        <v>0</v>
      </c>
      <c r="J433" s="11">
        <f>_xlfn.XLOOKUP(TableDailySummary[[#This Row],[Fecha]],SummaryDaily[day],SummaryDaily[new_orders],0)</f>
        <v>0</v>
      </c>
      <c r="K433" s="11">
        <f>_xlfn.XLOOKUP(TableDailySummary[[#This Row],[Fecha]],SummaryDaily[day],SummaryDaily[new_average_order_value],0)</f>
        <v>0</v>
      </c>
      <c r="L433" s="11">
        <f>_xlfn.XLOOKUP(TableDailySummary[[#This Row],[Fecha]],SummaryDaily[day],SummaryDaily[Online Store_net_sales],0)</f>
        <v>0</v>
      </c>
      <c r="M433" s="11">
        <f>_xlfn.XLOOKUP(TableDailySummary[[#This Row],[Fecha]],SummaryDaily[day],SummaryDaily[Online Store_orders],0)</f>
        <v>0</v>
      </c>
      <c r="N433" s="11">
        <f>_xlfn.XLOOKUP(TableDailySummary[[#This Row],[Fecha]],SummaryDaily[day],SummaryDaily[Online Store_average_order_value],0)</f>
        <v>0</v>
      </c>
      <c r="O433" s="11">
        <f>_xlfn.XLOOKUP(TableDailySummary[[#This Row],[Fecha]],SummaryDaily[day],SummaryDaily[Tienda 81_net_sales],0)</f>
        <v>0</v>
      </c>
      <c r="P433" s="11">
        <f>_xlfn.XLOOKUP(TableDailySummary[[#This Row],[Fecha]],SummaryDaily[day],SummaryDaily[Tienda 81_orders],0)</f>
        <v>0</v>
      </c>
      <c r="Q433" s="11">
        <f>_xlfn.XLOOKUP(TableDailySummary[[#This Row],[Fecha]],SummaryDaily[day],SummaryDaily[Tienda 81_average_order_value],0)</f>
        <v>0</v>
      </c>
      <c r="R433" s="11">
        <f>_xlfn.XLOOKUP(TableDailySummary[[#This Row],[Fecha]],SummaryDaily[day],SummaryDaily[Rappi_net_sales],0)</f>
        <v>0</v>
      </c>
      <c r="S433" s="11">
        <f>_xlfn.XLOOKUP(TableDailySummary[[#This Row],[Fecha]],SummaryDaily[day],SummaryDaily[Rappi_orders],0)</f>
        <v>0</v>
      </c>
      <c r="T433" s="11">
        <f>_xlfn.XLOOKUP(TableDailySummary[[#This Row],[Fecha]],SummaryDaily[day],SummaryDaily[Rappi_average_order_value],0)</f>
        <v>0</v>
      </c>
      <c r="U433" s="11">
        <f>_xlfn.XLOOKUP(TableDailySummary[[#This Row],[Fecha]],SummaryDaily[day],SummaryDaily[Corporativo no tienda_net_sales],0)</f>
        <v>0</v>
      </c>
      <c r="V433" s="11">
        <f>_xlfn.XLOOKUP(TableDailySummary[[#This Row],[Fecha]],SummaryDaily[day],SummaryDaily[Corporativo no tienda_orders],0)</f>
        <v>0</v>
      </c>
      <c r="W433" s="11">
        <f>_xlfn.XLOOKUP(TableDailySummary[[#This Row],[Fecha]],SummaryDaily[day],SummaryDaily[Corporativo no tienda_average_order_value],0)</f>
        <v>0</v>
      </c>
      <c r="X433" s="11">
        <f>_xlfn.XLOOKUP(TableDailySummary[[#This Row],[Fecha]],SummaryDaily[day],SummaryDaily[GoogleAdsOperation.Cost],0)</f>
        <v>0</v>
      </c>
      <c r="Y433" s="11">
        <f>SUMIFS(SalesByUTMDaily[google],SalesByUTMDaily[day],TableDailySummary[[#This Row],[Fecha]])</f>
        <v>0</v>
      </c>
      <c r="Z433" s="11">
        <f>_xlfn.XLOOKUP(TableDailySummary[[#This Row],[Fecha]],SummaryDaily[day],SummaryDaily[MetaAdsOperation.spend],0)</f>
        <v>0</v>
      </c>
      <c r="AA433" s="11">
        <f>SUMIFS(SalesByUTMDaily[facebook],SalesByUTMDaily[day],TableDailySummary[[#This Row],[Fecha]])</f>
        <v>0</v>
      </c>
      <c r="AB433" s="11">
        <f>TableDailySummary[[#This Row],[Inversión google ads]]+TableDailySummary[[#This Row],[Inversión meta ads]]</f>
        <v>0</v>
      </c>
      <c r="AC433" s="11">
        <f>TableDailySummary[[#This Row],[Ventas google ads]]+TableDailySummary[[#This Row],[Ventas meta ads]]</f>
        <v>0</v>
      </c>
      <c r="AD433" s="14">
        <f>IFERROR(TableDailySummary[[#This Row],[Ventas publicidad]]/TableDailySummary[[#This Row],[Inversión publicidad]],0)</f>
        <v>0</v>
      </c>
      <c r="AE433" s="14">
        <f>IFERROR(TableDailySummary[[#This Row],[Ventas primer cliente]]/TableDailySummary[[#This Row],[Inversión publicidad]],0)</f>
        <v>0</v>
      </c>
      <c r="AF433" s="14"/>
      <c r="AG433" s="11"/>
      <c r="AM433" s="11">
        <f>_xlfn.XLOOKUP(TableDailySummary[[#This Row],[Fecha]],SummaryDaily[day],SummaryDaily[net_sales_with_cost_recorded],0)</f>
        <v>0</v>
      </c>
      <c r="AN433" s="11">
        <f>_xlfn.XLOOKUP(TableDailySummary[[#This Row],[Fecha]],SummaryDaily[day],SummaryDaily[cost_of_goods_sold],0)</f>
        <v>0</v>
      </c>
      <c r="AO433" s="11">
        <f>_xlfn.XLOOKUP(TableDailySummary[[#This Row],[Fecha]],SummaryDaily[day],SummaryDaily[gross_profit],0)</f>
        <v>0</v>
      </c>
      <c r="AP433" s="18">
        <f>IFERROR(TableDailySummary[[#This Row],[Utilidad bruta]]/TableDailySummary[[#This Row],[Ventas netas con costo registrado]],0)</f>
        <v>0</v>
      </c>
    </row>
    <row r="434" spans="2:42" x14ac:dyDescent="0.2">
      <c r="B434" s="15" cm="1">
        <f t="array" ref="B434">ParamFechaInicioReporte + (ROW(TableDailySummary[#This Row]) - ROW(TableDailySummary[[#Headers],[Dia]]) - 1)</f>
        <v>44961</v>
      </c>
      <c r="C434" s="6">
        <f>TableDailySummary[[#This Row],[Dia]]</f>
        <v>44961</v>
      </c>
      <c r="D434" s="11">
        <f>_xlfn.XLOOKUP(TableDailySummary[[#This Row],[Fecha]],SummaryDaily[day],SummaryDaily[net_sales],0)</f>
        <v>0</v>
      </c>
      <c r="E434" s="11">
        <f>_xlfn.XLOOKUP(TableDailySummary[[#This Row],[Fecha]],SummaryDaily[day],SummaryDaily[orders],0)</f>
        <v>0</v>
      </c>
      <c r="F434" s="11">
        <f>_xlfn.XLOOKUP(TableDailySummary[[#This Row],[Fecha]],SummaryDaily[day],SummaryDaily[average_order_value],0)</f>
        <v>0</v>
      </c>
      <c r="G434" s="24" cm="1">
        <f t="array" ref="G434">_xlfn.XLOOKUP(TableDailySummary[[#This Row],[Fecha]]&amp;"Total site",ConversionRateByReferral[day]&amp;ConversionRateByReferral[referrer_source],ConversionRateByReferral[conversion_rate],0)</f>
        <v>0</v>
      </c>
      <c r="H434" s="11">
        <f>TableDailySummary[[#This Row],[Órden promedio totales]]*TableDailySummary[[#This Row],[CR totales]]</f>
        <v>0</v>
      </c>
      <c r="I434" s="11">
        <f>_xlfn.XLOOKUP(TableDailySummary[[#This Row],[Fecha]],SummaryDaily[day],SummaryDaily[new_net_sales],0)</f>
        <v>0</v>
      </c>
      <c r="J434" s="11">
        <f>_xlfn.XLOOKUP(TableDailySummary[[#This Row],[Fecha]],SummaryDaily[day],SummaryDaily[new_orders],0)</f>
        <v>0</v>
      </c>
      <c r="K434" s="11">
        <f>_xlfn.XLOOKUP(TableDailySummary[[#This Row],[Fecha]],SummaryDaily[day],SummaryDaily[new_average_order_value],0)</f>
        <v>0</v>
      </c>
      <c r="L434" s="11">
        <f>_xlfn.XLOOKUP(TableDailySummary[[#This Row],[Fecha]],SummaryDaily[day],SummaryDaily[Online Store_net_sales],0)</f>
        <v>0</v>
      </c>
      <c r="M434" s="11">
        <f>_xlfn.XLOOKUP(TableDailySummary[[#This Row],[Fecha]],SummaryDaily[day],SummaryDaily[Online Store_orders],0)</f>
        <v>0</v>
      </c>
      <c r="N434" s="11">
        <f>_xlfn.XLOOKUP(TableDailySummary[[#This Row],[Fecha]],SummaryDaily[day],SummaryDaily[Online Store_average_order_value],0)</f>
        <v>0</v>
      </c>
      <c r="O434" s="11">
        <f>_xlfn.XLOOKUP(TableDailySummary[[#This Row],[Fecha]],SummaryDaily[day],SummaryDaily[Tienda 81_net_sales],0)</f>
        <v>0</v>
      </c>
      <c r="P434" s="11">
        <f>_xlfn.XLOOKUP(TableDailySummary[[#This Row],[Fecha]],SummaryDaily[day],SummaryDaily[Tienda 81_orders],0)</f>
        <v>0</v>
      </c>
      <c r="Q434" s="11">
        <f>_xlfn.XLOOKUP(TableDailySummary[[#This Row],[Fecha]],SummaryDaily[day],SummaryDaily[Tienda 81_average_order_value],0)</f>
        <v>0</v>
      </c>
      <c r="R434" s="11">
        <f>_xlfn.XLOOKUP(TableDailySummary[[#This Row],[Fecha]],SummaryDaily[day],SummaryDaily[Rappi_net_sales],0)</f>
        <v>0</v>
      </c>
      <c r="S434" s="11">
        <f>_xlfn.XLOOKUP(TableDailySummary[[#This Row],[Fecha]],SummaryDaily[day],SummaryDaily[Rappi_orders],0)</f>
        <v>0</v>
      </c>
      <c r="T434" s="11">
        <f>_xlfn.XLOOKUP(TableDailySummary[[#This Row],[Fecha]],SummaryDaily[day],SummaryDaily[Rappi_average_order_value],0)</f>
        <v>0</v>
      </c>
      <c r="U434" s="11">
        <f>_xlfn.XLOOKUP(TableDailySummary[[#This Row],[Fecha]],SummaryDaily[day],SummaryDaily[Corporativo no tienda_net_sales],0)</f>
        <v>0</v>
      </c>
      <c r="V434" s="11">
        <f>_xlfn.XLOOKUP(TableDailySummary[[#This Row],[Fecha]],SummaryDaily[day],SummaryDaily[Corporativo no tienda_orders],0)</f>
        <v>0</v>
      </c>
      <c r="W434" s="11">
        <f>_xlfn.XLOOKUP(TableDailySummary[[#This Row],[Fecha]],SummaryDaily[day],SummaryDaily[Corporativo no tienda_average_order_value],0)</f>
        <v>0</v>
      </c>
      <c r="X434" s="11">
        <f>_xlfn.XLOOKUP(TableDailySummary[[#This Row],[Fecha]],SummaryDaily[day],SummaryDaily[GoogleAdsOperation.Cost],0)</f>
        <v>0</v>
      </c>
      <c r="Y434" s="11">
        <f>SUMIFS(SalesByUTMDaily[google],SalesByUTMDaily[day],TableDailySummary[[#This Row],[Fecha]])</f>
        <v>0</v>
      </c>
      <c r="Z434" s="11">
        <f>_xlfn.XLOOKUP(TableDailySummary[[#This Row],[Fecha]],SummaryDaily[day],SummaryDaily[MetaAdsOperation.spend],0)</f>
        <v>0</v>
      </c>
      <c r="AA434" s="11">
        <f>SUMIFS(SalesByUTMDaily[facebook],SalesByUTMDaily[day],TableDailySummary[[#This Row],[Fecha]])</f>
        <v>0</v>
      </c>
      <c r="AB434" s="11">
        <f>TableDailySummary[[#This Row],[Inversión google ads]]+TableDailySummary[[#This Row],[Inversión meta ads]]</f>
        <v>0</v>
      </c>
      <c r="AC434" s="11">
        <f>TableDailySummary[[#This Row],[Ventas google ads]]+TableDailySummary[[#This Row],[Ventas meta ads]]</f>
        <v>0</v>
      </c>
      <c r="AD434" s="14">
        <f>IFERROR(TableDailySummary[[#This Row],[Ventas publicidad]]/TableDailySummary[[#This Row],[Inversión publicidad]],0)</f>
        <v>0</v>
      </c>
      <c r="AE434" s="14">
        <f>IFERROR(TableDailySummary[[#This Row],[Ventas primer cliente]]/TableDailySummary[[#This Row],[Inversión publicidad]],0)</f>
        <v>0</v>
      </c>
      <c r="AF434" s="14"/>
      <c r="AG434" s="11"/>
      <c r="AM434" s="11">
        <f>_xlfn.XLOOKUP(TableDailySummary[[#This Row],[Fecha]],SummaryDaily[day],SummaryDaily[net_sales_with_cost_recorded],0)</f>
        <v>0</v>
      </c>
      <c r="AN434" s="11">
        <f>_xlfn.XLOOKUP(TableDailySummary[[#This Row],[Fecha]],SummaryDaily[day],SummaryDaily[cost_of_goods_sold],0)</f>
        <v>0</v>
      </c>
      <c r="AO434" s="11">
        <f>_xlfn.XLOOKUP(TableDailySummary[[#This Row],[Fecha]],SummaryDaily[day],SummaryDaily[gross_profit],0)</f>
        <v>0</v>
      </c>
      <c r="AP434" s="18">
        <f>IFERROR(TableDailySummary[[#This Row],[Utilidad bruta]]/TableDailySummary[[#This Row],[Ventas netas con costo registrado]],0)</f>
        <v>0</v>
      </c>
    </row>
    <row r="435" spans="2:42" x14ac:dyDescent="0.2">
      <c r="B435" s="15" cm="1">
        <f t="array" ref="B435">ParamFechaInicioReporte + (ROW(TableDailySummary[#This Row]) - ROW(TableDailySummary[[#Headers],[Dia]]) - 1)</f>
        <v>44962</v>
      </c>
      <c r="C435" s="6">
        <f>TableDailySummary[[#This Row],[Dia]]</f>
        <v>44962</v>
      </c>
      <c r="D435" s="11">
        <f>_xlfn.XLOOKUP(TableDailySummary[[#This Row],[Fecha]],SummaryDaily[day],SummaryDaily[net_sales],0)</f>
        <v>0</v>
      </c>
      <c r="E435" s="11">
        <f>_xlfn.XLOOKUP(TableDailySummary[[#This Row],[Fecha]],SummaryDaily[day],SummaryDaily[orders],0)</f>
        <v>0</v>
      </c>
      <c r="F435" s="11">
        <f>_xlfn.XLOOKUP(TableDailySummary[[#This Row],[Fecha]],SummaryDaily[day],SummaryDaily[average_order_value],0)</f>
        <v>0</v>
      </c>
      <c r="G435" s="24" cm="1">
        <f t="array" ref="G435">_xlfn.XLOOKUP(TableDailySummary[[#This Row],[Fecha]]&amp;"Total site",ConversionRateByReferral[day]&amp;ConversionRateByReferral[referrer_source],ConversionRateByReferral[conversion_rate],0)</f>
        <v>0</v>
      </c>
      <c r="H435" s="11">
        <f>TableDailySummary[[#This Row],[Órden promedio totales]]*TableDailySummary[[#This Row],[CR totales]]</f>
        <v>0</v>
      </c>
      <c r="I435" s="11">
        <f>_xlfn.XLOOKUP(TableDailySummary[[#This Row],[Fecha]],SummaryDaily[day],SummaryDaily[new_net_sales],0)</f>
        <v>0</v>
      </c>
      <c r="J435" s="11">
        <f>_xlfn.XLOOKUP(TableDailySummary[[#This Row],[Fecha]],SummaryDaily[day],SummaryDaily[new_orders],0)</f>
        <v>0</v>
      </c>
      <c r="K435" s="11">
        <f>_xlfn.XLOOKUP(TableDailySummary[[#This Row],[Fecha]],SummaryDaily[day],SummaryDaily[new_average_order_value],0)</f>
        <v>0</v>
      </c>
      <c r="L435" s="11">
        <f>_xlfn.XLOOKUP(TableDailySummary[[#This Row],[Fecha]],SummaryDaily[day],SummaryDaily[Online Store_net_sales],0)</f>
        <v>0</v>
      </c>
      <c r="M435" s="11">
        <f>_xlfn.XLOOKUP(TableDailySummary[[#This Row],[Fecha]],SummaryDaily[day],SummaryDaily[Online Store_orders],0)</f>
        <v>0</v>
      </c>
      <c r="N435" s="11">
        <f>_xlfn.XLOOKUP(TableDailySummary[[#This Row],[Fecha]],SummaryDaily[day],SummaryDaily[Online Store_average_order_value],0)</f>
        <v>0</v>
      </c>
      <c r="O435" s="11">
        <f>_xlfn.XLOOKUP(TableDailySummary[[#This Row],[Fecha]],SummaryDaily[day],SummaryDaily[Tienda 81_net_sales],0)</f>
        <v>0</v>
      </c>
      <c r="P435" s="11">
        <f>_xlfn.XLOOKUP(TableDailySummary[[#This Row],[Fecha]],SummaryDaily[day],SummaryDaily[Tienda 81_orders],0)</f>
        <v>0</v>
      </c>
      <c r="Q435" s="11">
        <f>_xlfn.XLOOKUP(TableDailySummary[[#This Row],[Fecha]],SummaryDaily[day],SummaryDaily[Tienda 81_average_order_value],0)</f>
        <v>0</v>
      </c>
      <c r="R435" s="11">
        <f>_xlfn.XLOOKUP(TableDailySummary[[#This Row],[Fecha]],SummaryDaily[day],SummaryDaily[Rappi_net_sales],0)</f>
        <v>0</v>
      </c>
      <c r="S435" s="11">
        <f>_xlfn.XLOOKUP(TableDailySummary[[#This Row],[Fecha]],SummaryDaily[day],SummaryDaily[Rappi_orders],0)</f>
        <v>0</v>
      </c>
      <c r="T435" s="11">
        <f>_xlfn.XLOOKUP(TableDailySummary[[#This Row],[Fecha]],SummaryDaily[day],SummaryDaily[Rappi_average_order_value],0)</f>
        <v>0</v>
      </c>
      <c r="U435" s="11">
        <f>_xlfn.XLOOKUP(TableDailySummary[[#This Row],[Fecha]],SummaryDaily[day],SummaryDaily[Corporativo no tienda_net_sales],0)</f>
        <v>0</v>
      </c>
      <c r="V435" s="11">
        <f>_xlfn.XLOOKUP(TableDailySummary[[#This Row],[Fecha]],SummaryDaily[day],SummaryDaily[Corporativo no tienda_orders],0)</f>
        <v>0</v>
      </c>
      <c r="W435" s="11">
        <f>_xlfn.XLOOKUP(TableDailySummary[[#This Row],[Fecha]],SummaryDaily[day],SummaryDaily[Corporativo no tienda_average_order_value],0)</f>
        <v>0</v>
      </c>
      <c r="X435" s="11">
        <f>_xlfn.XLOOKUP(TableDailySummary[[#This Row],[Fecha]],SummaryDaily[day],SummaryDaily[GoogleAdsOperation.Cost],0)</f>
        <v>0</v>
      </c>
      <c r="Y435" s="11">
        <f>SUMIFS(SalesByUTMDaily[google],SalesByUTMDaily[day],TableDailySummary[[#This Row],[Fecha]])</f>
        <v>0</v>
      </c>
      <c r="Z435" s="11">
        <f>_xlfn.XLOOKUP(TableDailySummary[[#This Row],[Fecha]],SummaryDaily[day],SummaryDaily[MetaAdsOperation.spend],0)</f>
        <v>0</v>
      </c>
      <c r="AA435" s="11">
        <f>SUMIFS(SalesByUTMDaily[facebook],SalesByUTMDaily[day],TableDailySummary[[#This Row],[Fecha]])</f>
        <v>0</v>
      </c>
      <c r="AB435" s="11">
        <f>TableDailySummary[[#This Row],[Inversión google ads]]+TableDailySummary[[#This Row],[Inversión meta ads]]</f>
        <v>0</v>
      </c>
      <c r="AC435" s="11">
        <f>TableDailySummary[[#This Row],[Ventas google ads]]+TableDailySummary[[#This Row],[Ventas meta ads]]</f>
        <v>0</v>
      </c>
      <c r="AD435" s="14">
        <f>IFERROR(TableDailySummary[[#This Row],[Ventas publicidad]]/TableDailySummary[[#This Row],[Inversión publicidad]],0)</f>
        <v>0</v>
      </c>
      <c r="AE435" s="14">
        <f>IFERROR(TableDailySummary[[#This Row],[Ventas primer cliente]]/TableDailySummary[[#This Row],[Inversión publicidad]],0)</f>
        <v>0</v>
      </c>
      <c r="AF435" s="14"/>
      <c r="AG435" s="11"/>
      <c r="AM435" s="11">
        <f>_xlfn.XLOOKUP(TableDailySummary[[#This Row],[Fecha]],SummaryDaily[day],SummaryDaily[net_sales_with_cost_recorded],0)</f>
        <v>0</v>
      </c>
      <c r="AN435" s="11">
        <f>_xlfn.XLOOKUP(TableDailySummary[[#This Row],[Fecha]],SummaryDaily[day],SummaryDaily[cost_of_goods_sold],0)</f>
        <v>0</v>
      </c>
      <c r="AO435" s="11">
        <f>_xlfn.XLOOKUP(TableDailySummary[[#This Row],[Fecha]],SummaryDaily[day],SummaryDaily[gross_profit],0)</f>
        <v>0</v>
      </c>
      <c r="AP435" s="18">
        <f>IFERROR(TableDailySummary[[#This Row],[Utilidad bruta]]/TableDailySummary[[#This Row],[Ventas netas con costo registrado]],0)</f>
        <v>0</v>
      </c>
    </row>
    <row r="436" spans="2:42" x14ac:dyDescent="0.2">
      <c r="B436" s="15" cm="1">
        <f t="array" ref="B436">ParamFechaInicioReporte + (ROW(TableDailySummary[#This Row]) - ROW(TableDailySummary[[#Headers],[Dia]]) - 1)</f>
        <v>44963</v>
      </c>
      <c r="C436" s="6">
        <f>TableDailySummary[[#This Row],[Dia]]</f>
        <v>44963</v>
      </c>
      <c r="D436" s="11">
        <f>_xlfn.XLOOKUP(TableDailySummary[[#This Row],[Fecha]],SummaryDaily[day],SummaryDaily[net_sales],0)</f>
        <v>0</v>
      </c>
      <c r="E436" s="11">
        <f>_xlfn.XLOOKUP(TableDailySummary[[#This Row],[Fecha]],SummaryDaily[day],SummaryDaily[orders],0)</f>
        <v>0</v>
      </c>
      <c r="F436" s="11">
        <f>_xlfn.XLOOKUP(TableDailySummary[[#This Row],[Fecha]],SummaryDaily[day],SummaryDaily[average_order_value],0)</f>
        <v>0</v>
      </c>
      <c r="G436" s="24" cm="1">
        <f t="array" ref="G436">_xlfn.XLOOKUP(TableDailySummary[[#This Row],[Fecha]]&amp;"Total site",ConversionRateByReferral[day]&amp;ConversionRateByReferral[referrer_source],ConversionRateByReferral[conversion_rate],0)</f>
        <v>0</v>
      </c>
      <c r="H436" s="11">
        <f>TableDailySummary[[#This Row],[Órden promedio totales]]*TableDailySummary[[#This Row],[CR totales]]</f>
        <v>0</v>
      </c>
      <c r="I436" s="11">
        <f>_xlfn.XLOOKUP(TableDailySummary[[#This Row],[Fecha]],SummaryDaily[day],SummaryDaily[new_net_sales],0)</f>
        <v>0</v>
      </c>
      <c r="J436" s="11">
        <f>_xlfn.XLOOKUP(TableDailySummary[[#This Row],[Fecha]],SummaryDaily[day],SummaryDaily[new_orders],0)</f>
        <v>0</v>
      </c>
      <c r="K436" s="11">
        <f>_xlfn.XLOOKUP(TableDailySummary[[#This Row],[Fecha]],SummaryDaily[day],SummaryDaily[new_average_order_value],0)</f>
        <v>0</v>
      </c>
      <c r="L436" s="11">
        <f>_xlfn.XLOOKUP(TableDailySummary[[#This Row],[Fecha]],SummaryDaily[day],SummaryDaily[Online Store_net_sales],0)</f>
        <v>0</v>
      </c>
      <c r="M436" s="11">
        <f>_xlfn.XLOOKUP(TableDailySummary[[#This Row],[Fecha]],SummaryDaily[day],SummaryDaily[Online Store_orders],0)</f>
        <v>0</v>
      </c>
      <c r="N436" s="11">
        <f>_xlfn.XLOOKUP(TableDailySummary[[#This Row],[Fecha]],SummaryDaily[day],SummaryDaily[Online Store_average_order_value],0)</f>
        <v>0</v>
      </c>
      <c r="O436" s="11">
        <f>_xlfn.XLOOKUP(TableDailySummary[[#This Row],[Fecha]],SummaryDaily[day],SummaryDaily[Tienda 81_net_sales],0)</f>
        <v>0</v>
      </c>
      <c r="P436" s="11">
        <f>_xlfn.XLOOKUP(TableDailySummary[[#This Row],[Fecha]],SummaryDaily[day],SummaryDaily[Tienda 81_orders],0)</f>
        <v>0</v>
      </c>
      <c r="Q436" s="11">
        <f>_xlfn.XLOOKUP(TableDailySummary[[#This Row],[Fecha]],SummaryDaily[day],SummaryDaily[Tienda 81_average_order_value],0)</f>
        <v>0</v>
      </c>
      <c r="R436" s="11">
        <f>_xlfn.XLOOKUP(TableDailySummary[[#This Row],[Fecha]],SummaryDaily[day],SummaryDaily[Rappi_net_sales],0)</f>
        <v>0</v>
      </c>
      <c r="S436" s="11">
        <f>_xlfn.XLOOKUP(TableDailySummary[[#This Row],[Fecha]],SummaryDaily[day],SummaryDaily[Rappi_orders],0)</f>
        <v>0</v>
      </c>
      <c r="T436" s="11">
        <f>_xlfn.XLOOKUP(TableDailySummary[[#This Row],[Fecha]],SummaryDaily[day],SummaryDaily[Rappi_average_order_value],0)</f>
        <v>0</v>
      </c>
      <c r="U436" s="11">
        <f>_xlfn.XLOOKUP(TableDailySummary[[#This Row],[Fecha]],SummaryDaily[day],SummaryDaily[Corporativo no tienda_net_sales],0)</f>
        <v>0</v>
      </c>
      <c r="V436" s="11">
        <f>_xlfn.XLOOKUP(TableDailySummary[[#This Row],[Fecha]],SummaryDaily[day],SummaryDaily[Corporativo no tienda_orders],0)</f>
        <v>0</v>
      </c>
      <c r="W436" s="11">
        <f>_xlfn.XLOOKUP(TableDailySummary[[#This Row],[Fecha]],SummaryDaily[day],SummaryDaily[Corporativo no tienda_average_order_value],0)</f>
        <v>0</v>
      </c>
      <c r="X436" s="11">
        <f>_xlfn.XLOOKUP(TableDailySummary[[#This Row],[Fecha]],SummaryDaily[day],SummaryDaily[GoogleAdsOperation.Cost],0)</f>
        <v>0</v>
      </c>
      <c r="Y436" s="11">
        <f>SUMIFS(SalesByUTMDaily[google],SalesByUTMDaily[day],TableDailySummary[[#This Row],[Fecha]])</f>
        <v>0</v>
      </c>
      <c r="Z436" s="11">
        <f>_xlfn.XLOOKUP(TableDailySummary[[#This Row],[Fecha]],SummaryDaily[day],SummaryDaily[MetaAdsOperation.spend],0)</f>
        <v>0</v>
      </c>
      <c r="AA436" s="11">
        <f>SUMIFS(SalesByUTMDaily[facebook],SalesByUTMDaily[day],TableDailySummary[[#This Row],[Fecha]])</f>
        <v>0</v>
      </c>
      <c r="AB436" s="11">
        <f>TableDailySummary[[#This Row],[Inversión google ads]]+TableDailySummary[[#This Row],[Inversión meta ads]]</f>
        <v>0</v>
      </c>
      <c r="AC436" s="11">
        <f>TableDailySummary[[#This Row],[Ventas google ads]]+TableDailySummary[[#This Row],[Ventas meta ads]]</f>
        <v>0</v>
      </c>
      <c r="AD436" s="14">
        <f>IFERROR(TableDailySummary[[#This Row],[Ventas publicidad]]/TableDailySummary[[#This Row],[Inversión publicidad]],0)</f>
        <v>0</v>
      </c>
      <c r="AE436" s="14">
        <f>IFERROR(TableDailySummary[[#This Row],[Ventas primer cliente]]/TableDailySummary[[#This Row],[Inversión publicidad]],0)</f>
        <v>0</v>
      </c>
      <c r="AF436" s="14"/>
      <c r="AG436" s="11"/>
      <c r="AM436" s="11">
        <f>_xlfn.XLOOKUP(TableDailySummary[[#This Row],[Fecha]],SummaryDaily[day],SummaryDaily[net_sales_with_cost_recorded],0)</f>
        <v>0</v>
      </c>
      <c r="AN436" s="11">
        <f>_xlfn.XLOOKUP(TableDailySummary[[#This Row],[Fecha]],SummaryDaily[day],SummaryDaily[cost_of_goods_sold],0)</f>
        <v>0</v>
      </c>
      <c r="AO436" s="11">
        <f>_xlfn.XLOOKUP(TableDailySummary[[#This Row],[Fecha]],SummaryDaily[day],SummaryDaily[gross_profit],0)</f>
        <v>0</v>
      </c>
      <c r="AP436" s="18">
        <f>IFERROR(TableDailySummary[[#This Row],[Utilidad bruta]]/TableDailySummary[[#This Row],[Ventas netas con costo registrado]],0)</f>
        <v>0</v>
      </c>
    </row>
    <row r="437" spans="2:42" x14ac:dyDescent="0.2">
      <c r="B437" s="15" cm="1">
        <f t="array" ref="B437">ParamFechaInicioReporte + (ROW(TableDailySummary[#This Row]) - ROW(TableDailySummary[[#Headers],[Dia]]) - 1)</f>
        <v>44964</v>
      </c>
      <c r="C437" s="6">
        <f>TableDailySummary[[#This Row],[Dia]]</f>
        <v>44964</v>
      </c>
      <c r="D437" s="11">
        <f>_xlfn.XLOOKUP(TableDailySummary[[#This Row],[Fecha]],SummaryDaily[day],SummaryDaily[net_sales],0)</f>
        <v>0</v>
      </c>
      <c r="E437" s="11">
        <f>_xlfn.XLOOKUP(TableDailySummary[[#This Row],[Fecha]],SummaryDaily[day],SummaryDaily[orders],0)</f>
        <v>0</v>
      </c>
      <c r="F437" s="11">
        <f>_xlfn.XLOOKUP(TableDailySummary[[#This Row],[Fecha]],SummaryDaily[day],SummaryDaily[average_order_value],0)</f>
        <v>0</v>
      </c>
      <c r="G437" s="24" cm="1">
        <f t="array" ref="G437">_xlfn.XLOOKUP(TableDailySummary[[#This Row],[Fecha]]&amp;"Total site",ConversionRateByReferral[day]&amp;ConversionRateByReferral[referrer_source],ConversionRateByReferral[conversion_rate],0)</f>
        <v>0</v>
      </c>
      <c r="H437" s="11">
        <f>TableDailySummary[[#This Row],[Órden promedio totales]]*TableDailySummary[[#This Row],[CR totales]]</f>
        <v>0</v>
      </c>
      <c r="I437" s="11">
        <f>_xlfn.XLOOKUP(TableDailySummary[[#This Row],[Fecha]],SummaryDaily[day],SummaryDaily[new_net_sales],0)</f>
        <v>0</v>
      </c>
      <c r="J437" s="11">
        <f>_xlfn.XLOOKUP(TableDailySummary[[#This Row],[Fecha]],SummaryDaily[day],SummaryDaily[new_orders],0)</f>
        <v>0</v>
      </c>
      <c r="K437" s="11">
        <f>_xlfn.XLOOKUP(TableDailySummary[[#This Row],[Fecha]],SummaryDaily[day],SummaryDaily[new_average_order_value],0)</f>
        <v>0</v>
      </c>
      <c r="L437" s="11">
        <f>_xlfn.XLOOKUP(TableDailySummary[[#This Row],[Fecha]],SummaryDaily[day],SummaryDaily[Online Store_net_sales],0)</f>
        <v>0</v>
      </c>
      <c r="M437" s="11">
        <f>_xlfn.XLOOKUP(TableDailySummary[[#This Row],[Fecha]],SummaryDaily[day],SummaryDaily[Online Store_orders],0)</f>
        <v>0</v>
      </c>
      <c r="N437" s="11">
        <f>_xlfn.XLOOKUP(TableDailySummary[[#This Row],[Fecha]],SummaryDaily[day],SummaryDaily[Online Store_average_order_value],0)</f>
        <v>0</v>
      </c>
      <c r="O437" s="11">
        <f>_xlfn.XLOOKUP(TableDailySummary[[#This Row],[Fecha]],SummaryDaily[day],SummaryDaily[Tienda 81_net_sales],0)</f>
        <v>0</v>
      </c>
      <c r="P437" s="11">
        <f>_xlfn.XLOOKUP(TableDailySummary[[#This Row],[Fecha]],SummaryDaily[day],SummaryDaily[Tienda 81_orders],0)</f>
        <v>0</v>
      </c>
      <c r="Q437" s="11">
        <f>_xlfn.XLOOKUP(TableDailySummary[[#This Row],[Fecha]],SummaryDaily[day],SummaryDaily[Tienda 81_average_order_value],0)</f>
        <v>0</v>
      </c>
      <c r="R437" s="11">
        <f>_xlfn.XLOOKUP(TableDailySummary[[#This Row],[Fecha]],SummaryDaily[day],SummaryDaily[Rappi_net_sales],0)</f>
        <v>0</v>
      </c>
      <c r="S437" s="11">
        <f>_xlfn.XLOOKUP(TableDailySummary[[#This Row],[Fecha]],SummaryDaily[day],SummaryDaily[Rappi_orders],0)</f>
        <v>0</v>
      </c>
      <c r="T437" s="11">
        <f>_xlfn.XLOOKUP(TableDailySummary[[#This Row],[Fecha]],SummaryDaily[day],SummaryDaily[Rappi_average_order_value],0)</f>
        <v>0</v>
      </c>
      <c r="U437" s="11">
        <f>_xlfn.XLOOKUP(TableDailySummary[[#This Row],[Fecha]],SummaryDaily[day],SummaryDaily[Corporativo no tienda_net_sales],0)</f>
        <v>0</v>
      </c>
      <c r="V437" s="11">
        <f>_xlfn.XLOOKUP(TableDailySummary[[#This Row],[Fecha]],SummaryDaily[day],SummaryDaily[Corporativo no tienda_orders],0)</f>
        <v>0</v>
      </c>
      <c r="W437" s="11">
        <f>_xlfn.XLOOKUP(TableDailySummary[[#This Row],[Fecha]],SummaryDaily[day],SummaryDaily[Corporativo no tienda_average_order_value],0)</f>
        <v>0</v>
      </c>
      <c r="X437" s="11">
        <f>_xlfn.XLOOKUP(TableDailySummary[[#This Row],[Fecha]],SummaryDaily[day],SummaryDaily[GoogleAdsOperation.Cost],0)</f>
        <v>0</v>
      </c>
      <c r="Y437" s="11">
        <f>SUMIFS(SalesByUTMDaily[google],SalesByUTMDaily[day],TableDailySummary[[#This Row],[Fecha]])</f>
        <v>0</v>
      </c>
      <c r="Z437" s="11">
        <f>_xlfn.XLOOKUP(TableDailySummary[[#This Row],[Fecha]],SummaryDaily[day],SummaryDaily[MetaAdsOperation.spend],0)</f>
        <v>0</v>
      </c>
      <c r="AA437" s="11">
        <f>SUMIFS(SalesByUTMDaily[facebook],SalesByUTMDaily[day],TableDailySummary[[#This Row],[Fecha]])</f>
        <v>0</v>
      </c>
      <c r="AB437" s="11">
        <f>TableDailySummary[[#This Row],[Inversión google ads]]+TableDailySummary[[#This Row],[Inversión meta ads]]</f>
        <v>0</v>
      </c>
      <c r="AC437" s="11">
        <f>TableDailySummary[[#This Row],[Ventas google ads]]+TableDailySummary[[#This Row],[Ventas meta ads]]</f>
        <v>0</v>
      </c>
      <c r="AD437" s="14">
        <f>IFERROR(TableDailySummary[[#This Row],[Ventas publicidad]]/TableDailySummary[[#This Row],[Inversión publicidad]],0)</f>
        <v>0</v>
      </c>
      <c r="AE437" s="14">
        <f>IFERROR(TableDailySummary[[#This Row],[Ventas primer cliente]]/TableDailySummary[[#This Row],[Inversión publicidad]],0)</f>
        <v>0</v>
      </c>
      <c r="AF437" s="14"/>
      <c r="AG437" s="11"/>
      <c r="AM437" s="11">
        <f>_xlfn.XLOOKUP(TableDailySummary[[#This Row],[Fecha]],SummaryDaily[day],SummaryDaily[net_sales_with_cost_recorded],0)</f>
        <v>0</v>
      </c>
      <c r="AN437" s="11">
        <f>_xlfn.XLOOKUP(TableDailySummary[[#This Row],[Fecha]],SummaryDaily[day],SummaryDaily[cost_of_goods_sold],0)</f>
        <v>0</v>
      </c>
      <c r="AO437" s="11">
        <f>_xlfn.XLOOKUP(TableDailySummary[[#This Row],[Fecha]],SummaryDaily[day],SummaryDaily[gross_profit],0)</f>
        <v>0</v>
      </c>
      <c r="AP437" s="18">
        <f>IFERROR(TableDailySummary[[#This Row],[Utilidad bruta]]/TableDailySummary[[#This Row],[Ventas netas con costo registrado]],0)</f>
        <v>0</v>
      </c>
    </row>
    <row r="438" spans="2:42" x14ac:dyDescent="0.2">
      <c r="B438" s="15" cm="1">
        <f t="array" ref="B438">ParamFechaInicioReporte + (ROW(TableDailySummary[#This Row]) - ROW(TableDailySummary[[#Headers],[Dia]]) - 1)</f>
        <v>44965</v>
      </c>
      <c r="C438" s="6">
        <f>TableDailySummary[[#This Row],[Dia]]</f>
        <v>44965</v>
      </c>
      <c r="D438" s="11">
        <f>_xlfn.XLOOKUP(TableDailySummary[[#This Row],[Fecha]],SummaryDaily[day],SummaryDaily[net_sales],0)</f>
        <v>0</v>
      </c>
      <c r="E438" s="11">
        <f>_xlfn.XLOOKUP(TableDailySummary[[#This Row],[Fecha]],SummaryDaily[day],SummaryDaily[orders],0)</f>
        <v>0</v>
      </c>
      <c r="F438" s="11">
        <f>_xlfn.XLOOKUP(TableDailySummary[[#This Row],[Fecha]],SummaryDaily[day],SummaryDaily[average_order_value],0)</f>
        <v>0</v>
      </c>
      <c r="G438" s="24" cm="1">
        <f t="array" ref="G438">_xlfn.XLOOKUP(TableDailySummary[[#This Row],[Fecha]]&amp;"Total site",ConversionRateByReferral[day]&amp;ConversionRateByReferral[referrer_source],ConversionRateByReferral[conversion_rate],0)</f>
        <v>0</v>
      </c>
      <c r="H438" s="11">
        <f>TableDailySummary[[#This Row],[Órden promedio totales]]*TableDailySummary[[#This Row],[CR totales]]</f>
        <v>0</v>
      </c>
      <c r="I438" s="11">
        <f>_xlfn.XLOOKUP(TableDailySummary[[#This Row],[Fecha]],SummaryDaily[day],SummaryDaily[new_net_sales],0)</f>
        <v>0</v>
      </c>
      <c r="J438" s="11">
        <f>_xlfn.XLOOKUP(TableDailySummary[[#This Row],[Fecha]],SummaryDaily[day],SummaryDaily[new_orders],0)</f>
        <v>0</v>
      </c>
      <c r="K438" s="11">
        <f>_xlfn.XLOOKUP(TableDailySummary[[#This Row],[Fecha]],SummaryDaily[day],SummaryDaily[new_average_order_value],0)</f>
        <v>0</v>
      </c>
      <c r="L438" s="11">
        <f>_xlfn.XLOOKUP(TableDailySummary[[#This Row],[Fecha]],SummaryDaily[day],SummaryDaily[Online Store_net_sales],0)</f>
        <v>0</v>
      </c>
      <c r="M438" s="11">
        <f>_xlfn.XLOOKUP(TableDailySummary[[#This Row],[Fecha]],SummaryDaily[day],SummaryDaily[Online Store_orders],0)</f>
        <v>0</v>
      </c>
      <c r="N438" s="11">
        <f>_xlfn.XLOOKUP(TableDailySummary[[#This Row],[Fecha]],SummaryDaily[day],SummaryDaily[Online Store_average_order_value],0)</f>
        <v>0</v>
      </c>
      <c r="O438" s="11">
        <f>_xlfn.XLOOKUP(TableDailySummary[[#This Row],[Fecha]],SummaryDaily[day],SummaryDaily[Tienda 81_net_sales],0)</f>
        <v>0</v>
      </c>
      <c r="P438" s="11">
        <f>_xlfn.XLOOKUP(TableDailySummary[[#This Row],[Fecha]],SummaryDaily[day],SummaryDaily[Tienda 81_orders],0)</f>
        <v>0</v>
      </c>
      <c r="Q438" s="11">
        <f>_xlfn.XLOOKUP(TableDailySummary[[#This Row],[Fecha]],SummaryDaily[day],SummaryDaily[Tienda 81_average_order_value],0)</f>
        <v>0</v>
      </c>
      <c r="R438" s="11">
        <f>_xlfn.XLOOKUP(TableDailySummary[[#This Row],[Fecha]],SummaryDaily[day],SummaryDaily[Rappi_net_sales],0)</f>
        <v>0</v>
      </c>
      <c r="S438" s="11">
        <f>_xlfn.XLOOKUP(TableDailySummary[[#This Row],[Fecha]],SummaryDaily[day],SummaryDaily[Rappi_orders],0)</f>
        <v>0</v>
      </c>
      <c r="T438" s="11">
        <f>_xlfn.XLOOKUP(TableDailySummary[[#This Row],[Fecha]],SummaryDaily[day],SummaryDaily[Rappi_average_order_value],0)</f>
        <v>0</v>
      </c>
      <c r="U438" s="11">
        <f>_xlfn.XLOOKUP(TableDailySummary[[#This Row],[Fecha]],SummaryDaily[day],SummaryDaily[Corporativo no tienda_net_sales],0)</f>
        <v>0</v>
      </c>
      <c r="V438" s="11">
        <f>_xlfn.XLOOKUP(TableDailySummary[[#This Row],[Fecha]],SummaryDaily[day],SummaryDaily[Corporativo no tienda_orders],0)</f>
        <v>0</v>
      </c>
      <c r="W438" s="11">
        <f>_xlfn.XLOOKUP(TableDailySummary[[#This Row],[Fecha]],SummaryDaily[day],SummaryDaily[Corporativo no tienda_average_order_value],0)</f>
        <v>0</v>
      </c>
      <c r="X438" s="11">
        <f>_xlfn.XLOOKUP(TableDailySummary[[#This Row],[Fecha]],SummaryDaily[day],SummaryDaily[GoogleAdsOperation.Cost],0)</f>
        <v>0</v>
      </c>
      <c r="Y438" s="11">
        <f>SUMIFS(SalesByUTMDaily[google],SalesByUTMDaily[day],TableDailySummary[[#This Row],[Fecha]])</f>
        <v>0</v>
      </c>
      <c r="Z438" s="11">
        <f>_xlfn.XLOOKUP(TableDailySummary[[#This Row],[Fecha]],SummaryDaily[day],SummaryDaily[MetaAdsOperation.spend],0)</f>
        <v>0</v>
      </c>
      <c r="AA438" s="11">
        <f>SUMIFS(SalesByUTMDaily[facebook],SalesByUTMDaily[day],TableDailySummary[[#This Row],[Fecha]])</f>
        <v>0</v>
      </c>
      <c r="AB438" s="11">
        <f>TableDailySummary[[#This Row],[Inversión google ads]]+TableDailySummary[[#This Row],[Inversión meta ads]]</f>
        <v>0</v>
      </c>
      <c r="AC438" s="11">
        <f>TableDailySummary[[#This Row],[Ventas google ads]]+TableDailySummary[[#This Row],[Ventas meta ads]]</f>
        <v>0</v>
      </c>
      <c r="AD438" s="14">
        <f>IFERROR(TableDailySummary[[#This Row],[Ventas publicidad]]/TableDailySummary[[#This Row],[Inversión publicidad]],0)</f>
        <v>0</v>
      </c>
      <c r="AE438" s="14">
        <f>IFERROR(TableDailySummary[[#This Row],[Ventas primer cliente]]/TableDailySummary[[#This Row],[Inversión publicidad]],0)</f>
        <v>0</v>
      </c>
      <c r="AF438" s="14"/>
      <c r="AG438" s="11"/>
      <c r="AM438" s="11">
        <f>_xlfn.XLOOKUP(TableDailySummary[[#This Row],[Fecha]],SummaryDaily[day],SummaryDaily[net_sales_with_cost_recorded],0)</f>
        <v>0</v>
      </c>
      <c r="AN438" s="11">
        <f>_xlfn.XLOOKUP(TableDailySummary[[#This Row],[Fecha]],SummaryDaily[day],SummaryDaily[cost_of_goods_sold],0)</f>
        <v>0</v>
      </c>
      <c r="AO438" s="11">
        <f>_xlfn.XLOOKUP(TableDailySummary[[#This Row],[Fecha]],SummaryDaily[day],SummaryDaily[gross_profit],0)</f>
        <v>0</v>
      </c>
      <c r="AP438" s="18">
        <f>IFERROR(TableDailySummary[[#This Row],[Utilidad bruta]]/TableDailySummary[[#This Row],[Ventas netas con costo registrado]],0)</f>
        <v>0</v>
      </c>
    </row>
    <row r="439" spans="2:42" x14ac:dyDescent="0.2">
      <c r="B439" s="15" cm="1">
        <f t="array" ref="B439">ParamFechaInicioReporte + (ROW(TableDailySummary[#This Row]) - ROW(TableDailySummary[[#Headers],[Dia]]) - 1)</f>
        <v>44966</v>
      </c>
      <c r="C439" s="6">
        <f>TableDailySummary[[#This Row],[Dia]]</f>
        <v>44966</v>
      </c>
      <c r="D439" s="11">
        <f>_xlfn.XLOOKUP(TableDailySummary[[#This Row],[Fecha]],SummaryDaily[day],SummaryDaily[net_sales],0)</f>
        <v>0</v>
      </c>
      <c r="E439" s="11">
        <f>_xlfn.XLOOKUP(TableDailySummary[[#This Row],[Fecha]],SummaryDaily[day],SummaryDaily[orders],0)</f>
        <v>0</v>
      </c>
      <c r="F439" s="11">
        <f>_xlfn.XLOOKUP(TableDailySummary[[#This Row],[Fecha]],SummaryDaily[day],SummaryDaily[average_order_value],0)</f>
        <v>0</v>
      </c>
      <c r="G439" s="24" cm="1">
        <f t="array" ref="G439">_xlfn.XLOOKUP(TableDailySummary[[#This Row],[Fecha]]&amp;"Total site",ConversionRateByReferral[day]&amp;ConversionRateByReferral[referrer_source],ConversionRateByReferral[conversion_rate],0)</f>
        <v>0</v>
      </c>
      <c r="H439" s="11">
        <f>TableDailySummary[[#This Row],[Órden promedio totales]]*TableDailySummary[[#This Row],[CR totales]]</f>
        <v>0</v>
      </c>
      <c r="I439" s="11">
        <f>_xlfn.XLOOKUP(TableDailySummary[[#This Row],[Fecha]],SummaryDaily[day],SummaryDaily[new_net_sales],0)</f>
        <v>0</v>
      </c>
      <c r="J439" s="11">
        <f>_xlfn.XLOOKUP(TableDailySummary[[#This Row],[Fecha]],SummaryDaily[day],SummaryDaily[new_orders],0)</f>
        <v>0</v>
      </c>
      <c r="K439" s="11">
        <f>_xlfn.XLOOKUP(TableDailySummary[[#This Row],[Fecha]],SummaryDaily[day],SummaryDaily[new_average_order_value],0)</f>
        <v>0</v>
      </c>
      <c r="L439" s="11">
        <f>_xlfn.XLOOKUP(TableDailySummary[[#This Row],[Fecha]],SummaryDaily[day],SummaryDaily[Online Store_net_sales],0)</f>
        <v>0</v>
      </c>
      <c r="M439" s="11">
        <f>_xlfn.XLOOKUP(TableDailySummary[[#This Row],[Fecha]],SummaryDaily[day],SummaryDaily[Online Store_orders],0)</f>
        <v>0</v>
      </c>
      <c r="N439" s="11">
        <f>_xlfn.XLOOKUP(TableDailySummary[[#This Row],[Fecha]],SummaryDaily[day],SummaryDaily[Online Store_average_order_value],0)</f>
        <v>0</v>
      </c>
      <c r="O439" s="11">
        <f>_xlfn.XLOOKUP(TableDailySummary[[#This Row],[Fecha]],SummaryDaily[day],SummaryDaily[Tienda 81_net_sales],0)</f>
        <v>0</v>
      </c>
      <c r="P439" s="11">
        <f>_xlfn.XLOOKUP(TableDailySummary[[#This Row],[Fecha]],SummaryDaily[day],SummaryDaily[Tienda 81_orders],0)</f>
        <v>0</v>
      </c>
      <c r="Q439" s="11">
        <f>_xlfn.XLOOKUP(TableDailySummary[[#This Row],[Fecha]],SummaryDaily[day],SummaryDaily[Tienda 81_average_order_value],0)</f>
        <v>0</v>
      </c>
      <c r="R439" s="11">
        <f>_xlfn.XLOOKUP(TableDailySummary[[#This Row],[Fecha]],SummaryDaily[day],SummaryDaily[Rappi_net_sales],0)</f>
        <v>0</v>
      </c>
      <c r="S439" s="11">
        <f>_xlfn.XLOOKUP(TableDailySummary[[#This Row],[Fecha]],SummaryDaily[day],SummaryDaily[Rappi_orders],0)</f>
        <v>0</v>
      </c>
      <c r="T439" s="11">
        <f>_xlfn.XLOOKUP(TableDailySummary[[#This Row],[Fecha]],SummaryDaily[day],SummaryDaily[Rappi_average_order_value],0)</f>
        <v>0</v>
      </c>
      <c r="U439" s="11">
        <f>_xlfn.XLOOKUP(TableDailySummary[[#This Row],[Fecha]],SummaryDaily[day],SummaryDaily[Corporativo no tienda_net_sales],0)</f>
        <v>0</v>
      </c>
      <c r="V439" s="11">
        <f>_xlfn.XLOOKUP(TableDailySummary[[#This Row],[Fecha]],SummaryDaily[day],SummaryDaily[Corporativo no tienda_orders],0)</f>
        <v>0</v>
      </c>
      <c r="W439" s="11">
        <f>_xlfn.XLOOKUP(TableDailySummary[[#This Row],[Fecha]],SummaryDaily[day],SummaryDaily[Corporativo no tienda_average_order_value],0)</f>
        <v>0</v>
      </c>
      <c r="X439" s="11">
        <f>_xlfn.XLOOKUP(TableDailySummary[[#This Row],[Fecha]],SummaryDaily[day],SummaryDaily[GoogleAdsOperation.Cost],0)</f>
        <v>0</v>
      </c>
      <c r="Y439" s="11">
        <f>SUMIFS(SalesByUTMDaily[google],SalesByUTMDaily[day],TableDailySummary[[#This Row],[Fecha]])</f>
        <v>0</v>
      </c>
      <c r="Z439" s="11">
        <f>_xlfn.XLOOKUP(TableDailySummary[[#This Row],[Fecha]],SummaryDaily[day],SummaryDaily[MetaAdsOperation.spend],0)</f>
        <v>0</v>
      </c>
      <c r="AA439" s="11">
        <f>SUMIFS(SalesByUTMDaily[facebook],SalesByUTMDaily[day],TableDailySummary[[#This Row],[Fecha]])</f>
        <v>0</v>
      </c>
      <c r="AB439" s="11">
        <f>TableDailySummary[[#This Row],[Inversión google ads]]+TableDailySummary[[#This Row],[Inversión meta ads]]</f>
        <v>0</v>
      </c>
      <c r="AC439" s="11">
        <f>TableDailySummary[[#This Row],[Ventas google ads]]+TableDailySummary[[#This Row],[Ventas meta ads]]</f>
        <v>0</v>
      </c>
      <c r="AD439" s="14">
        <f>IFERROR(TableDailySummary[[#This Row],[Ventas publicidad]]/TableDailySummary[[#This Row],[Inversión publicidad]],0)</f>
        <v>0</v>
      </c>
      <c r="AE439" s="14">
        <f>IFERROR(TableDailySummary[[#This Row],[Ventas primer cliente]]/TableDailySummary[[#This Row],[Inversión publicidad]],0)</f>
        <v>0</v>
      </c>
      <c r="AF439" s="14"/>
      <c r="AG439" s="11"/>
      <c r="AM439" s="11">
        <f>_xlfn.XLOOKUP(TableDailySummary[[#This Row],[Fecha]],SummaryDaily[day],SummaryDaily[net_sales_with_cost_recorded],0)</f>
        <v>0</v>
      </c>
      <c r="AN439" s="11">
        <f>_xlfn.XLOOKUP(TableDailySummary[[#This Row],[Fecha]],SummaryDaily[day],SummaryDaily[cost_of_goods_sold],0)</f>
        <v>0</v>
      </c>
      <c r="AO439" s="11">
        <f>_xlfn.XLOOKUP(TableDailySummary[[#This Row],[Fecha]],SummaryDaily[day],SummaryDaily[gross_profit],0)</f>
        <v>0</v>
      </c>
      <c r="AP439" s="18">
        <f>IFERROR(TableDailySummary[[#This Row],[Utilidad bruta]]/TableDailySummary[[#This Row],[Ventas netas con costo registrado]],0)</f>
        <v>0</v>
      </c>
    </row>
    <row r="440" spans="2:42" x14ac:dyDescent="0.2">
      <c r="B440" s="15" cm="1">
        <f t="array" ref="B440">ParamFechaInicioReporte + (ROW(TableDailySummary[#This Row]) - ROW(TableDailySummary[[#Headers],[Dia]]) - 1)</f>
        <v>44967</v>
      </c>
      <c r="C440" s="6">
        <f>TableDailySummary[[#This Row],[Dia]]</f>
        <v>44967</v>
      </c>
      <c r="D440" s="11">
        <f>_xlfn.XLOOKUP(TableDailySummary[[#This Row],[Fecha]],SummaryDaily[day],SummaryDaily[net_sales],0)</f>
        <v>0</v>
      </c>
      <c r="E440" s="11">
        <f>_xlfn.XLOOKUP(TableDailySummary[[#This Row],[Fecha]],SummaryDaily[day],SummaryDaily[orders],0)</f>
        <v>0</v>
      </c>
      <c r="F440" s="11">
        <f>_xlfn.XLOOKUP(TableDailySummary[[#This Row],[Fecha]],SummaryDaily[day],SummaryDaily[average_order_value],0)</f>
        <v>0</v>
      </c>
      <c r="G440" s="24" cm="1">
        <f t="array" ref="G440">_xlfn.XLOOKUP(TableDailySummary[[#This Row],[Fecha]]&amp;"Total site",ConversionRateByReferral[day]&amp;ConversionRateByReferral[referrer_source],ConversionRateByReferral[conversion_rate],0)</f>
        <v>0</v>
      </c>
      <c r="H440" s="11">
        <f>TableDailySummary[[#This Row],[Órden promedio totales]]*TableDailySummary[[#This Row],[CR totales]]</f>
        <v>0</v>
      </c>
      <c r="I440" s="11">
        <f>_xlfn.XLOOKUP(TableDailySummary[[#This Row],[Fecha]],SummaryDaily[day],SummaryDaily[new_net_sales],0)</f>
        <v>0</v>
      </c>
      <c r="J440" s="11">
        <f>_xlfn.XLOOKUP(TableDailySummary[[#This Row],[Fecha]],SummaryDaily[day],SummaryDaily[new_orders],0)</f>
        <v>0</v>
      </c>
      <c r="K440" s="11">
        <f>_xlfn.XLOOKUP(TableDailySummary[[#This Row],[Fecha]],SummaryDaily[day],SummaryDaily[new_average_order_value],0)</f>
        <v>0</v>
      </c>
      <c r="L440" s="11">
        <f>_xlfn.XLOOKUP(TableDailySummary[[#This Row],[Fecha]],SummaryDaily[day],SummaryDaily[Online Store_net_sales],0)</f>
        <v>0</v>
      </c>
      <c r="M440" s="11">
        <f>_xlfn.XLOOKUP(TableDailySummary[[#This Row],[Fecha]],SummaryDaily[day],SummaryDaily[Online Store_orders],0)</f>
        <v>0</v>
      </c>
      <c r="N440" s="11">
        <f>_xlfn.XLOOKUP(TableDailySummary[[#This Row],[Fecha]],SummaryDaily[day],SummaryDaily[Online Store_average_order_value],0)</f>
        <v>0</v>
      </c>
      <c r="O440" s="11">
        <f>_xlfn.XLOOKUP(TableDailySummary[[#This Row],[Fecha]],SummaryDaily[day],SummaryDaily[Tienda 81_net_sales],0)</f>
        <v>0</v>
      </c>
      <c r="P440" s="11">
        <f>_xlfn.XLOOKUP(TableDailySummary[[#This Row],[Fecha]],SummaryDaily[day],SummaryDaily[Tienda 81_orders],0)</f>
        <v>0</v>
      </c>
      <c r="Q440" s="11">
        <f>_xlfn.XLOOKUP(TableDailySummary[[#This Row],[Fecha]],SummaryDaily[day],SummaryDaily[Tienda 81_average_order_value],0)</f>
        <v>0</v>
      </c>
      <c r="R440" s="11">
        <f>_xlfn.XLOOKUP(TableDailySummary[[#This Row],[Fecha]],SummaryDaily[day],SummaryDaily[Rappi_net_sales],0)</f>
        <v>0</v>
      </c>
      <c r="S440" s="11">
        <f>_xlfn.XLOOKUP(TableDailySummary[[#This Row],[Fecha]],SummaryDaily[day],SummaryDaily[Rappi_orders],0)</f>
        <v>0</v>
      </c>
      <c r="T440" s="11">
        <f>_xlfn.XLOOKUP(TableDailySummary[[#This Row],[Fecha]],SummaryDaily[day],SummaryDaily[Rappi_average_order_value],0)</f>
        <v>0</v>
      </c>
      <c r="U440" s="11">
        <f>_xlfn.XLOOKUP(TableDailySummary[[#This Row],[Fecha]],SummaryDaily[day],SummaryDaily[Corporativo no tienda_net_sales],0)</f>
        <v>0</v>
      </c>
      <c r="V440" s="11">
        <f>_xlfn.XLOOKUP(TableDailySummary[[#This Row],[Fecha]],SummaryDaily[day],SummaryDaily[Corporativo no tienda_orders],0)</f>
        <v>0</v>
      </c>
      <c r="W440" s="11">
        <f>_xlfn.XLOOKUP(TableDailySummary[[#This Row],[Fecha]],SummaryDaily[day],SummaryDaily[Corporativo no tienda_average_order_value],0)</f>
        <v>0</v>
      </c>
      <c r="X440" s="11">
        <f>_xlfn.XLOOKUP(TableDailySummary[[#This Row],[Fecha]],SummaryDaily[day],SummaryDaily[GoogleAdsOperation.Cost],0)</f>
        <v>0</v>
      </c>
      <c r="Y440" s="11">
        <f>SUMIFS(SalesByUTMDaily[google],SalesByUTMDaily[day],TableDailySummary[[#This Row],[Fecha]])</f>
        <v>0</v>
      </c>
      <c r="Z440" s="11">
        <f>_xlfn.XLOOKUP(TableDailySummary[[#This Row],[Fecha]],SummaryDaily[day],SummaryDaily[MetaAdsOperation.spend],0)</f>
        <v>0</v>
      </c>
      <c r="AA440" s="11">
        <f>SUMIFS(SalesByUTMDaily[facebook],SalesByUTMDaily[day],TableDailySummary[[#This Row],[Fecha]])</f>
        <v>0</v>
      </c>
      <c r="AB440" s="11">
        <f>TableDailySummary[[#This Row],[Inversión google ads]]+TableDailySummary[[#This Row],[Inversión meta ads]]</f>
        <v>0</v>
      </c>
      <c r="AC440" s="11">
        <f>TableDailySummary[[#This Row],[Ventas google ads]]+TableDailySummary[[#This Row],[Ventas meta ads]]</f>
        <v>0</v>
      </c>
      <c r="AD440" s="14">
        <f>IFERROR(TableDailySummary[[#This Row],[Ventas publicidad]]/TableDailySummary[[#This Row],[Inversión publicidad]],0)</f>
        <v>0</v>
      </c>
      <c r="AE440" s="14">
        <f>IFERROR(TableDailySummary[[#This Row],[Ventas primer cliente]]/TableDailySummary[[#This Row],[Inversión publicidad]],0)</f>
        <v>0</v>
      </c>
      <c r="AF440" s="14"/>
      <c r="AG440" s="11"/>
      <c r="AM440" s="11">
        <f>_xlfn.XLOOKUP(TableDailySummary[[#This Row],[Fecha]],SummaryDaily[day],SummaryDaily[net_sales_with_cost_recorded],0)</f>
        <v>0</v>
      </c>
      <c r="AN440" s="11">
        <f>_xlfn.XLOOKUP(TableDailySummary[[#This Row],[Fecha]],SummaryDaily[day],SummaryDaily[cost_of_goods_sold],0)</f>
        <v>0</v>
      </c>
      <c r="AO440" s="11">
        <f>_xlfn.XLOOKUP(TableDailySummary[[#This Row],[Fecha]],SummaryDaily[day],SummaryDaily[gross_profit],0)</f>
        <v>0</v>
      </c>
      <c r="AP440" s="18">
        <f>IFERROR(TableDailySummary[[#This Row],[Utilidad bruta]]/TableDailySummary[[#This Row],[Ventas netas con costo registrado]],0)</f>
        <v>0</v>
      </c>
    </row>
    <row r="441" spans="2:42" x14ac:dyDescent="0.2">
      <c r="B441" s="15" cm="1">
        <f t="array" ref="B441">ParamFechaInicioReporte + (ROW(TableDailySummary[#This Row]) - ROW(TableDailySummary[[#Headers],[Dia]]) - 1)</f>
        <v>44968</v>
      </c>
      <c r="C441" s="6">
        <f>TableDailySummary[[#This Row],[Dia]]</f>
        <v>44968</v>
      </c>
      <c r="D441" s="11">
        <f>_xlfn.XLOOKUP(TableDailySummary[[#This Row],[Fecha]],SummaryDaily[day],SummaryDaily[net_sales],0)</f>
        <v>0</v>
      </c>
      <c r="E441" s="11">
        <f>_xlfn.XLOOKUP(TableDailySummary[[#This Row],[Fecha]],SummaryDaily[day],SummaryDaily[orders],0)</f>
        <v>0</v>
      </c>
      <c r="F441" s="11">
        <f>_xlfn.XLOOKUP(TableDailySummary[[#This Row],[Fecha]],SummaryDaily[day],SummaryDaily[average_order_value],0)</f>
        <v>0</v>
      </c>
      <c r="G441" s="24" cm="1">
        <f t="array" ref="G441">_xlfn.XLOOKUP(TableDailySummary[[#This Row],[Fecha]]&amp;"Total site",ConversionRateByReferral[day]&amp;ConversionRateByReferral[referrer_source],ConversionRateByReferral[conversion_rate],0)</f>
        <v>0</v>
      </c>
      <c r="H441" s="11">
        <f>TableDailySummary[[#This Row],[Órden promedio totales]]*TableDailySummary[[#This Row],[CR totales]]</f>
        <v>0</v>
      </c>
      <c r="I441" s="11">
        <f>_xlfn.XLOOKUP(TableDailySummary[[#This Row],[Fecha]],SummaryDaily[day],SummaryDaily[new_net_sales],0)</f>
        <v>0</v>
      </c>
      <c r="J441" s="11">
        <f>_xlfn.XLOOKUP(TableDailySummary[[#This Row],[Fecha]],SummaryDaily[day],SummaryDaily[new_orders],0)</f>
        <v>0</v>
      </c>
      <c r="K441" s="11">
        <f>_xlfn.XLOOKUP(TableDailySummary[[#This Row],[Fecha]],SummaryDaily[day],SummaryDaily[new_average_order_value],0)</f>
        <v>0</v>
      </c>
      <c r="L441" s="11">
        <f>_xlfn.XLOOKUP(TableDailySummary[[#This Row],[Fecha]],SummaryDaily[day],SummaryDaily[Online Store_net_sales],0)</f>
        <v>0</v>
      </c>
      <c r="M441" s="11">
        <f>_xlfn.XLOOKUP(TableDailySummary[[#This Row],[Fecha]],SummaryDaily[day],SummaryDaily[Online Store_orders],0)</f>
        <v>0</v>
      </c>
      <c r="N441" s="11">
        <f>_xlfn.XLOOKUP(TableDailySummary[[#This Row],[Fecha]],SummaryDaily[day],SummaryDaily[Online Store_average_order_value],0)</f>
        <v>0</v>
      </c>
      <c r="O441" s="11">
        <f>_xlfn.XLOOKUP(TableDailySummary[[#This Row],[Fecha]],SummaryDaily[day],SummaryDaily[Tienda 81_net_sales],0)</f>
        <v>0</v>
      </c>
      <c r="P441" s="11">
        <f>_xlfn.XLOOKUP(TableDailySummary[[#This Row],[Fecha]],SummaryDaily[day],SummaryDaily[Tienda 81_orders],0)</f>
        <v>0</v>
      </c>
      <c r="Q441" s="11">
        <f>_xlfn.XLOOKUP(TableDailySummary[[#This Row],[Fecha]],SummaryDaily[day],SummaryDaily[Tienda 81_average_order_value],0)</f>
        <v>0</v>
      </c>
      <c r="R441" s="11">
        <f>_xlfn.XLOOKUP(TableDailySummary[[#This Row],[Fecha]],SummaryDaily[day],SummaryDaily[Rappi_net_sales],0)</f>
        <v>0</v>
      </c>
      <c r="S441" s="11">
        <f>_xlfn.XLOOKUP(TableDailySummary[[#This Row],[Fecha]],SummaryDaily[day],SummaryDaily[Rappi_orders],0)</f>
        <v>0</v>
      </c>
      <c r="T441" s="11">
        <f>_xlfn.XLOOKUP(TableDailySummary[[#This Row],[Fecha]],SummaryDaily[day],SummaryDaily[Rappi_average_order_value],0)</f>
        <v>0</v>
      </c>
      <c r="U441" s="11">
        <f>_xlfn.XLOOKUP(TableDailySummary[[#This Row],[Fecha]],SummaryDaily[day],SummaryDaily[Corporativo no tienda_net_sales],0)</f>
        <v>0</v>
      </c>
      <c r="V441" s="11">
        <f>_xlfn.XLOOKUP(TableDailySummary[[#This Row],[Fecha]],SummaryDaily[day],SummaryDaily[Corporativo no tienda_orders],0)</f>
        <v>0</v>
      </c>
      <c r="W441" s="11">
        <f>_xlfn.XLOOKUP(TableDailySummary[[#This Row],[Fecha]],SummaryDaily[day],SummaryDaily[Corporativo no tienda_average_order_value],0)</f>
        <v>0</v>
      </c>
      <c r="X441" s="11">
        <f>_xlfn.XLOOKUP(TableDailySummary[[#This Row],[Fecha]],SummaryDaily[day],SummaryDaily[GoogleAdsOperation.Cost],0)</f>
        <v>0</v>
      </c>
      <c r="Y441" s="11">
        <f>SUMIFS(SalesByUTMDaily[google],SalesByUTMDaily[day],TableDailySummary[[#This Row],[Fecha]])</f>
        <v>0</v>
      </c>
      <c r="Z441" s="11">
        <f>_xlfn.XLOOKUP(TableDailySummary[[#This Row],[Fecha]],SummaryDaily[day],SummaryDaily[MetaAdsOperation.spend],0)</f>
        <v>0</v>
      </c>
      <c r="AA441" s="11">
        <f>SUMIFS(SalesByUTMDaily[facebook],SalesByUTMDaily[day],TableDailySummary[[#This Row],[Fecha]])</f>
        <v>0</v>
      </c>
      <c r="AB441" s="11">
        <f>TableDailySummary[[#This Row],[Inversión google ads]]+TableDailySummary[[#This Row],[Inversión meta ads]]</f>
        <v>0</v>
      </c>
      <c r="AC441" s="11">
        <f>TableDailySummary[[#This Row],[Ventas google ads]]+TableDailySummary[[#This Row],[Ventas meta ads]]</f>
        <v>0</v>
      </c>
      <c r="AD441" s="14">
        <f>IFERROR(TableDailySummary[[#This Row],[Ventas publicidad]]/TableDailySummary[[#This Row],[Inversión publicidad]],0)</f>
        <v>0</v>
      </c>
      <c r="AE441" s="14">
        <f>IFERROR(TableDailySummary[[#This Row],[Ventas primer cliente]]/TableDailySummary[[#This Row],[Inversión publicidad]],0)</f>
        <v>0</v>
      </c>
      <c r="AF441" s="14"/>
      <c r="AG441" s="11"/>
      <c r="AM441" s="11">
        <f>_xlfn.XLOOKUP(TableDailySummary[[#This Row],[Fecha]],SummaryDaily[day],SummaryDaily[net_sales_with_cost_recorded],0)</f>
        <v>0</v>
      </c>
      <c r="AN441" s="11">
        <f>_xlfn.XLOOKUP(TableDailySummary[[#This Row],[Fecha]],SummaryDaily[day],SummaryDaily[cost_of_goods_sold],0)</f>
        <v>0</v>
      </c>
      <c r="AO441" s="11">
        <f>_xlfn.XLOOKUP(TableDailySummary[[#This Row],[Fecha]],SummaryDaily[day],SummaryDaily[gross_profit],0)</f>
        <v>0</v>
      </c>
      <c r="AP441" s="18">
        <f>IFERROR(TableDailySummary[[#This Row],[Utilidad bruta]]/TableDailySummary[[#This Row],[Ventas netas con costo registrado]],0)</f>
        <v>0</v>
      </c>
    </row>
    <row r="442" spans="2:42" x14ac:dyDescent="0.2">
      <c r="B442" s="15" cm="1">
        <f t="array" ref="B442">ParamFechaInicioReporte + (ROW(TableDailySummary[#This Row]) - ROW(TableDailySummary[[#Headers],[Dia]]) - 1)</f>
        <v>44969</v>
      </c>
      <c r="C442" s="6">
        <f>TableDailySummary[[#This Row],[Dia]]</f>
        <v>44969</v>
      </c>
      <c r="D442" s="11">
        <f>_xlfn.XLOOKUP(TableDailySummary[[#This Row],[Fecha]],SummaryDaily[day],SummaryDaily[net_sales],0)</f>
        <v>0</v>
      </c>
      <c r="E442" s="11">
        <f>_xlfn.XLOOKUP(TableDailySummary[[#This Row],[Fecha]],SummaryDaily[day],SummaryDaily[orders],0)</f>
        <v>0</v>
      </c>
      <c r="F442" s="11">
        <f>_xlfn.XLOOKUP(TableDailySummary[[#This Row],[Fecha]],SummaryDaily[day],SummaryDaily[average_order_value],0)</f>
        <v>0</v>
      </c>
      <c r="G442" s="24" cm="1">
        <f t="array" ref="G442">_xlfn.XLOOKUP(TableDailySummary[[#This Row],[Fecha]]&amp;"Total site",ConversionRateByReferral[day]&amp;ConversionRateByReferral[referrer_source],ConversionRateByReferral[conversion_rate],0)</f>
        <v>0</v>
      </c>
      <c r="H442" s="11">
        <f>TableDailySummary[[#This Row],[Órden promedio totales]]*TableDailySummary[[#This Row],[CR totales]]</f>
        <v>0</v>
      </c>
      <c r="I442" s="11">
        <f>_xlfn.XLOOKUP(TableDailySummary[[#This Row],[Fecha]],SummaryDaily[day],SummaryDaily[new_net_sales],0)</f>
        <v>0</v>
      </c>
      <c r="J442" s="11">
        <f>_xlfn.XLOOKUP(TableDailySummary[[#This Row],[Fecha]],SummaryDaily[day],SummaryDaily[new_orders],0)</f>
        <v>0</v>
      </c>
      <c r="K442" s="11">
        <f>_xlfn.XLOOKUP(TableDailySummary[[#This Row],[Fecha]],SummaryDaily[day],SummaryDaily[new_average_order_value],0)</f>
        <v>0</v>
      </c>
      <c r="L442" s="11">
        <f>_xlfn.XLOOKUP(TableDailySummary[[#This Row],[Fecha]],SummaryDaily[day],SummaryDaily[Online Store_net_sales],0)</f>
        <v>0</v>
      </c>
      <c r="M442" s="11">
        <f>_xlfn.XLOOKUP(TableDailySummary[[#This Row],[Fecha]],SummaryDaily[day],SummaryDaily[Online Store_orders],0)</f>
        <v>0</v>
      </c>
      <c r="N442" s="11">
        <f>_xlfn.XLOOKUP(TableDailySummary[[#This Row],[Fecha]],SummaryDaily[day],SummaryDaily[Online Store_average_order_value],0)</f>
        <v>0</v>
      </c>
      <c r="O442" s="11">
        <f>_xlfn.XLOOKUP(TableDailySummary[[#This Row],[Fecha]],SummaryDaily[day],SummaryDaily[Tienda 81_net_sales],0)</f>
        <v>0</v>
      </c>
      <c r="P442" s="11">
        <f>_xlfn.XLOOKUP(TableDailySummary[[#This Row],[Fecha]],SummaryDaily[day],SummaryDaily[Tienda 81_orders],0)</f>
        <v>0</v>
      </c>
      <c r="Q442" s="11">
        <f>_xlfn.XLOOKUP(TableDailySummary[[#This Row],[Fecha]],SummaryDaily[day],SummaryDaily[Tienda 81_average_order_value],0)</f>
        <v>0</v>
      </c>
      <c r="R442" s="11">
        <f>_xlfn.XLOOKUP(TableDailySummary[[#This Row],[Fecha]],SummaryDaily[day],SummaryDaily[Rappi_net_sales],0)</f>
        <v>0</v>
      </c>
      <c r="S442" s="11">
        <f>_xlfn.XLOOKUP(TableDailySummary[[#This Row],[Fecha]],SummaryDaily[day],SummaryDaily[Rappi_orders],0)</f>
        <v>0</v>
      </c>
      <c r="T442" s="11">
        <f>_xlfn.XLOOKUP(TableDailySummary[[#This Row],[Fecha]],SummaryDaily[day],SummaryDaily[Rappi_average_order_value],0)</f>
        <v>0</v>
      </c>
      <c r="U442" s="11">
        <f>_xlfn.XLOOKUP(TableDailySummary[[#This Row],[Fecha]],SummaryDaily[day],SummaryDaily[Corporativo no tienda_net_sales],0)</f>
        <v>0</v>
      </c>
      <c r="V442" s="11">
        <f>_xlfn.XLOOKUP(TableDailySummary[[#This Row],[Fecha]],SummaryDaily[day],SummaryDaily[Corporativo no tienda_orders],0)</f>
        <v>0</v>
      </c>
      <c r="W442" s="11">
        <f>_xlfn.XLOOKUP(TableDailySummary[[#This Row],[Fecha]],SummaryDaily[day],SummaryDaily[Corporativo no tienda_average_order_value],0)</f>
        <v>0</v>
      </c>
      <c r="X442" s="11">
        <f>_xlfn.XLOOKUP(TableDailySummary[[#This Row],[Fecha]],SummaryDaily[day],SummaryDaily[GoogleAdsOperation.Cost],0)</f>
        <v>0</v>
      </c>
      <c r="Y442" s="11">
        <f>SUMIFS(SalesByUTMDaily[google],SalesByUTMDaily[day],TableDailySummary[[#This Row],[Fecha]])</f>
        <v>0</v>
      </c>
      <c r="Z442" s="11">
        <f>_xlfn.XLOOKUP(TableDailySummary[[#This Row],[Fecha]],SummaryDaily[day],SummaryDaily[MetaAdsOperation.spend],0)</f>
        <v>0</v>
      </c>
      <c r="AA442" s="11">
        <f>SUMIFS(SalesByUTMDaily[facebook],SalesByUTMDaily[day],TableDailySummary[[#This Row],[Fecha]])</f>
        <v>0</v>
      </c>
      <c r="AB442" s="11">
        <f>TableDailySummary[[#This Row],[Inversión google ads]]+TableDailySummary[[#This Row],[Inversión meta ads]]</f>
        <v>0</v>
      </c>
      <c r="AC442" s="11">
        <f>TableDailySummary[[#This Row],[Ventas google ads]]+TableDailySummary[[#This Row],[Ventas meta ads]]</f>
        <v>0</v>
      </c>
      <c r="AD442" s="14">
        <f>IFERROR(TableDailySummary[[#This Row],[Ventas publicidad]]/TableDailySummary[[#This Row],[Inversión publicidad]],0)</f>
        <v>0</v>
      </c>
      <c r="AE442" s="14">
        <f>IFERROR(TableDailySummary[[#This Row],[Ventas primer cliente]]/TableDailySummary[[#This Row],[Inversión publicidad]],0)</f>
        <v>0</v>
      </c>
      <c r="AF442" s="14"/>
      <c r="AG442" s="11"/>
      <c r="AM442" s="11">
        <f>_xlfn.XLOOKUP(TableDailySummary[[#This Row],[Fecha]],SummaryDaily[day],SummaryDaily[net_sales_with_cost_recorded],0)</f>
        <v>0</v>
      </c>
      <c r="AN442" s="11">
        <f>_xlfn.XLOOKUP(TableDailySummary[[#This Row],[Fecha]],SummaryDaily[day],SummaryDaily[cost_of_goods_sold],0)</f>
        <v>0</v>
      </c>
      <c r="AO442" s="11">
        <f>_xlfn.XLOOKUP(TableDailySummary[[#This Row],[Fecha]],SummaryDaily[day],SummaryDaily[gross_profit],0)</f>
        <v>0</v>
      </c>
      <c r="AP442" s="18">
        <f>IFERROR(TableDailySummary[[#This Row],[Utilidad bruta]]/TableDailySummary[[#This Row],[Ventas netas con costo registrado]],0)</f>
        <v>0</v>
      </c>
    </row>
    <row r="443" spans="2:42" x14ac:dyDescent="0.2">
      <c r="B443" s="15" cm="1">
        <f t="array" ref="B443">ParamFechaInicioReporte + (ROW(TableDailySummary[#This Row]) - ROW(TableDailySummary[[#Headers],[Dia]]) - 1)</f>
        <v>44970</v>
      </c>
      <c r="C443" s="6">
        <f>TableDailySummary[[#This Row],[Dia]]</f>
        <v>44970</v>
      </c>
      <c r="D443" s="11">
        <f>_xlfn.XLOOKUP(TableDailySummary[[#This Row],[Fecha]],SummaryDaily[day],SummaryDaily[net_sales],0)</f>
        <v>0</v>
      </c>
      <c r="E443" s="11">
        <f>_xlfn.XLOOKUP(TableDailySummary[[#This Row],[Fecha]],SummaryDaily[day],SummaryDaily[orders],0)</f>
        <v>0</v>
      </c>
      <c r="F443" s="11">
        <f>_xlfn.XLOOKUP(TableDailySummary[[#This Row],[Fecha]],SummaryDaily[day],SummaryDaily[average_order_value],0)</f>
        <v>0</v>
      </c>
      <c r="G443" s="24" cm="1">
        <f t="array" ref="G443">_xlfn.XLOOKUP(TableDailySummary[[#This Row],[Fecha]]&amp;"Total site",ConversionRateByReferral[day]&amp;ConversionRateByReferral[referrer_source],ConversionRateByReferral[conversion_rate],0)</f>
        <v>0</v>
      </c>
      <c r="H443" s="11">
        <f>TableDailySummary[[#This Row],[Órden promedio totales]]*TableDailySummary[[#This Row],[CR totales]]</f>
        <v>0</v>
      </c>
      <c r="I443" s="11">
        <f>_xlfn.XLOOKUP(TableDailySummary[[#This Row],[Fecha]],SummaryDaily[day],SummaryDaily[new_net_sales],0)</f>
        <v>0</v>
      </c>
      <c r="J443" s="11">
        <f>_xlfn.XLOOKUP(TableDailySummary[[#This Row],[Fecha]],SummaryDaily[day],SummaryDaily[new_orders],0)</f>
        <v>0</v>
      </c>
      <c r="K443" s="11">
        <f>_xlfn.XLOOKUP(TableDailySummary[[#This Row],[Fecha]],SummaryDaily[day],SummaryDaily[new_average_order_value],0)</f>
        <v>0</v>
      </c>
      <c r="L443" s="11">
        <f>_xlfn.XLOOKUP(TableDailySummary[[#This Row],[Fecha]],SummaryDaily[day],SummaryDaily[Online Store_net_sales],0)</f>
        <v>0</v>
      </c>
      <c r="M443" s="11">
        <f>_xlfn.XLOOKUP(TableDailySummary[[#This Row],[Fecha]],SummaryDaily[day],SummaryDaily[Online Store_orders],0)</f>
        <v>0</v>
      </c>
      <c r="N443" s="11">
        <f>_xlfn.XLOOKUP(TableDailySummary[[#This Row],[Fecha]],SummaryDaily[day],SummaryDaily[Online Store_average_order_value],0)</f>
        <v>0</v>
      </c>
      <c r="O443" s="11">
        <f>_xlfn.XLOOKUP(TableDailySummary[[#This Row],[Fecha]],SummaryDaily[day],SummaryDaily[Tienda 81_net_sales],0)</f>
        <v>0</v>
      </c>
      <c r="P443" s="11">
        <f>_xlfn.XLOOKUP(TableDailySummary[[#This Row],[Fecha]],SummaryDaily[day],SummaryDaily[Tienda 81_orders],0)</f>
        <v>0</v>
      </c>
      <c r="Q443" s="11">
        <f>_xlfn.XLOOKUP(TableDailySummary[[#This Row],[Fecha]],SummaryDaily[day],SummaryDaily[Tienda 81_average_order_value],0)</f>
        <v>0</v>
      </c>
      <c r="R443" s="11">
        <f>_xlfn.XLOOKUP(TableDailySummary[[#This Row],[Fecha]],SummaryDaily[day],SummaryDaily[Rappi_net_sales],0)</f>
        <v>0</v>
      </c>
      <c r="S443" s="11">
        <f>_xlfn.XLOOKUP(TableDailySummary[[#This Row],[Fecha]],SummaryDaily[day],SummaryDaily[Rappi_orders],0)</f>
        <v>0</v>
      </c>
      <c r="T443" s="11">
        <f>_xlfn.XLOOKUP(TableDailySummary[[#This Row],[Fecha]],SummaryDaily[day],SummaryDaily[Rappi_average_order_value],0)</f>
        <v>0</v>
      </c>
      <c r="U443" s="11">
        <f>_xlfn.XLOOKUP(TableDailySummary[[#This Row],[Fecha]],SummaryDaily[day],SummaryDaily[Corporativo no tienda_net_sales],0)</f>
        <v>0</v>
      </c>
      <c r="V443" s="11">
        <f>_xlfn.XLOOKUP(TableDailySummary[[#This Row],[Fecha]],SummaryDaily[day],SummaryDaily[Corporativo no tienda_orders],0)</f>
        <v>0</v>
      </c>
      <c r="W443" s="11">
        <f>_xlfn.XLOOKUP(TableDailySummary[[#This Row],[Fecha]],SummaryDaily[day],SummaryDaily[Corporativo no tienda_average_order_value],0)</f>
        <v>0</v>
      </c>
      <c r="X443" s="11">
        <f>_xlfn.XLOOKUP(TableDailySummary[[#This Row],[Fecha]],SummaryDaily[day],SummaryDaily[GoogleAdsOperation.Cost],0)</f>
        <v>0</v>
      </c>
      <c r="Y443" s="11">
        <f>SUMIFS(SalesByUTMDaily[google],SalesByUTMDaily[day],TableDailySummary[[#This Row],[Fecha]])</f>
        <v>0</v>
      </c>
      <c r="Z443" s="11">
        <f>_xlfn.XLOOKUP(TableDailySummary[[#This Row],[Fecha]],SummaryDaily[day],SummaryDaily[MetaAdsOperation.spend],0)</f>
        <v>0</v>
      </c>
      <c r="AA443" s="11">
        <f>SUMIFS(SalesByUTMDaily[facebook],SalesByUTMDaily[day],TableDailySummary[[#This Row],[Fecha]])</f>
        <v>0</v>
      </c>
      <c r="AB443" s="11">
        <f>TableDailySummary[[#This Row],[Inversión google ads]]+TableDailySummary[[#This Row],[Inversión meta ads]]</f>
        <v>0</v>
      </c>
      <c r="AC443" s="11">
        <f>TableDailySummary[[#This Row],[Ventas google ads]]+TableDailySummary[[#This Row],[Ventas meta ads]]</f>
        <v>0</v>
      </c>
      <c r="AD443" s="14">
        <f>IFERROR(TableDailySummary[[#This Row],[Ventas publicidad]]/TableDailySummary[[#This Row],[Inversión publicidad]],0)</f>
        <v>0</v>
      </c>
      <c r="AE443" s="14">
        <f>IFERROR(TableDailySummary[[#This Row],[Ventas primer cliente]]/TableDailySummary[[#This Row],[Inversión publicidad]],0)</f>
        <v>0</v>
      </c>
      <c r="AF443" s="14"/>
      <c r="AG443" s="11"/>
      <c r="AM443" s="11">
        <f>_xlfn.XLOOKUP(TableDailySummary[[#This Row],[Fecha]],SummaryDaily[day],SummaryDaily[net_sales_with_cost_recorded],0)</f>
        <v>0</v>
      </c>
      <c r="AN443" s="11">
        <f>_xlfn.XLOOKUP(TableDailySummary[[#This Row],[Fecha]],SummaryDaily[day],SummaryDaily[cost_of_goods_sold],0)</f>
        <v>0</v>
      </c>
      <c r="AO443" s="11">
        <f>_xlfn.XLOOKUP(TableDailySummary[[#This Row],[Fecha]],SummaryDaily[day],SummaryDaily[gross_profit],0)</f>
        <v>0</v>
      </c>
      <c r="AP443" s="18">
        <f>IFERROR(TableDailySummary[[#This Row],[Utilidad bruta]]/TableDailySummary[[#This Row],[Ventas netas con costo registrado]],0)</f>
        <v>0</v>
      </c>
    </row>
    <row r="444" spans="2:42" x14ac:dyDescent="0.2">
      <c r="B444" s="15" cm="1">
        <f t="array" ref="B444">ParamFechaInicioReporte + (ROW(TableDailySummary[#This Row]) - ROW(TableDailySummary[[#Headers],[Dia]]) - 1)</f>
        <v>44971</v>
      </c>
      <c r="C444" s="6">
        <f>TableDailySummary[[#This Row],[Dia]]</f>
        <v>44971</v>
      </c>
      <c r="D444" s="11">
        <f>_xlfn.XLOOKUP(TableDailySummary[[#This Row],[Fecha]],SummaryDaily[day],SummaryDaily[net_sales],0)</f>
        <v>0</v>
      </c>
      <c r="E444" s="11">
        <f>_xlfn.XLOOKUP(TableDailySummary[[#This Row],[Fecha]],SummaryDaily[day],SummaryDaily[orders],0)</f>
        <v>0</v>
      </c>
      <c r="F444" s="11">
        <f>_xlfn.XLOOKUP(TableDailySummary[[#This Row],[Fecha]],SummaryDaily[day],SummaryDaily[average_order_value],0)</f>
        <v>0</v>
      </c>
      <c r="G444" s="24" cm="1">
        <f t="array" ref="G444">_xlfn.XLOOKUP(TableDailySummary[[#This Row],[Fecha]]&amp;"Total site",ConversionRateByReferral[day]&amp;ConversionRateByReferral[referrer_source],ConversionRateByReferral[conversion_rate],0)</f>
        <v>0</v>
      </c>
      <c r="H444" s="11">
        <f>TableDailySummary[[#This Row],[Órden promedio totales]]*TableDailySummary[[#This Row],[CR totales]]</f>
        <v>0</v>
      </c>
      <c r="I444" s="11">
        <f>_xlfn.XLOOKUP(TableDailySummary[[#This Row],[Fecha]],SummaryDaily[day],SummaryDaily[new_net_sales],0)</f>
        <v>0</v>
      </c>
      <c r="J444" s="11">
        <f>_xlfn.XLOOKUP(TableDailySummary[[#This Row],[Fecha]],SummaryDaily[day],SummaryDaily[new_orders],0)</f>
        <v>0</v>
      </c>
      <c r="K444" s="11">
        <f>_xlfn.XLOOKUP(TableDailySummary[[#This Row],[Fecha]],SummaryDaily[day],SummaryDaily[new_average_order_value],0)</f>
        <v>0</v>
      </c>
      <c r="L444" s="11">
        <f>_xlfn.XLOOKUP(TableDailySummary[[#This Row],[Fecha]],SummaryDaily[day],SummaryDaily[Online Store_net_sales],0)</f>
        <v>0</v>
      </c>
      <c r="M444" s="11">
        <f>_xlfn.XLOOKUP(TableDailySummary[[#This Row],[Fecha]],SummaryDaily[day],SummaryDaily[Online Store_orders],0)</f>
        <v>0</v>
      </c>
      <c r="N444" s="11">
        <f>_xlfn.XLOOKUP(TableDailySummary[[#This Row],[Fecha]],SummaryDaily[day],SummaryDaily[Online Store_average_order_value],0)</f>
        <v>0</v>
      </c>
      <c r="O444" s="11">
        <f>_xlfn.XLOOKUP(TableDailySummary[[#This Row],[Fecha]],SummaryDaily[day],SummaryDaily[Tienda 81_net_sales],0)</f>
        <v>0</v>
      </c>
      <c r="P444" s="11">
        <f>_xlfn.XLOOKUP(TableDailySummary[[#This Row],[Fecha]],SummaryDaily[day],SummaryDaily[Tienda 81_orders],0)</f>
        <v>0</v>
      </c>
      <c r="Q444" s="11">
        <f>_xlfn.XLOOKUP(TableDailySummary[[#This Row],[Fecha]],SummaryDaily[day],SummaryDaily[Tienda 81_average_order_value],0)</f>
        <v>0</v>
      </c>
      <c r="R444" s="11">
        <f>_xlfn.XLOOKUP(TableDailySummary[[#This Row],[Fecha]],SummaryDaily[day],SummaryDaily[Rappi_net_sales],0)</f>
        <v>0</v>
      </c>
      <c r="S444" s="11">
        <f>_xlfn.XLOOKUP(TableDailySummary[[#This Row],[Fecha]],SummaryDaily[day],SummaryDaily[Rappi_orders],0)</f>
        <v>0</v>
      </c>
      <c r="T444" s="11">
        <f>_xlfn.XLOOKUP(TableDailySummary[[#This Row],[Fecha]],SummaryDaily[day],SummaryDaily[Rappi_average_order_value],0)</f>
        <v>0</v>
      </c>
      <c r="U444" s="11">
        <f>_xlfn.XLOOKUP(TableDailySummary[[#This Row],[Fecha]],SummaryDaily[day],SummaryDaily[Corporativo no tienda_net_sales],0)</f>
        <v>0</v>
      </c>
      <c r="V444" s="11">
        <f>_xlfn.XLOOKUP(TableDailySummary[[#This Row],[Fecha]],SummaryDaily[day],SummaryDaily[Corporativo no tienda_orders],0)</f>
        <v>0</v>
      </c>
      <c r="W444" s="11">
        <f>_xlfn.XLOOKUP(TableDailySummary[[#This Row],[Fecha]],SummaryDaily[day],SummaryDaily[Corporativo no tienda_average_order_value],0)</f>
        <v>0</v>
      </c>
      <c r="X444" s="11">
        <f>_xlfn.XLOOKUP(TableDailySummary[[#This Row],[Fecha]],SummaryDaily[day],SummaryDaily[GoogleAdsOperation.Cost],0)</f>
        <v>0</v>
      </c>
      <c r="Y444" s="11">
        <f>SUMIFS(SalesByUTMDaily[google],SalesByUTMDaily[day],TableDailySummary[[#This Row],[Fecha]])</f>
        <v>0</v>
      </c>
      <c r="Z444" s="11">
        <f>_xlfn.XLOOKUP(TableDailySummary[[#This Row],[Fecha]],SummaryDaily[day],SummaryDaily[MetaAdsOperation.spend],0)</f>
        <v>0</v>
      </c>
      <c r="AA444" s="11">
        <f>SUMIFS(SalesByUTMDaily[facebook],SalesByUTMDaily[day],TableDailySummary[[#This Row],[Fecha]])</f>
        <v>0</v>
      </c>
      <c r="AB444" s="11">
        <f>TableDailySummary[[#This Row],[Inversión google ads]]+TableDailySummary[[#This Row],[Inversión meta ads]]</f>
        <v>0</v>
      </c>
      <c r="AC444" s="11">
        <f>TableDailySummary[[#This Row],[Ventas google ads]]+TableDailySummary[[#This Row],[Ventas meta ads]]</f>
        <v>0</v>
      </c>
      <c r="AD444" s="14">
        <f>IFERROR(TableDailySummary[[#This Row],[Ventas publicidad]]/TableDailySummary[[#This Row],[Inversión publicidad]],0)</f>
        <v>0</v>
      </c>
      <c r="AE444" s="14">
        <f>IFERROR(TableDailySummary[[#This Row],[Ventas primer cliente]]/TableDailySummary[[#This Row],[Inversión publicidad]],0)</f>
        <v>0</v>
      </c>
      <c r="AF444" s="14"/>
      <c r="AG444" s="11"/>
      <c r="AM444" s="11">
        <f>_xlfn.XLOOKUP(TableDailySummary[[#This Row],[Fecha]],SummaryDaily[day],SummaryDaily[net_sales_with_cost_recorded],0)</f>
        <v>0</v>
      </c>
      <c r="AN444" s="11">
        <f>_xlfn.XLOOKUP(TableDailySummary[[#This Row],[Fecha]],SummaryDaily[day],SummaryDaily[cost_of_goods_sold],0)</f>
        <v>0</v>
      </c>
      <c r="AO444" s="11">
        <f>_xlfn.XLOOKUP(TableDailySummary[[#This Row],[Fecha]],SummaryDaily[day],SummaryDaily[gross_profit],0)</f>
        <v>0</v>
      </c>
      <c r="AP444" s="18">
        <f>IFERROR(TableDailySummary[[#This Row],[Utilidad bruta]]/TableDailySummary[[#This Row],[Ventas netas con costo registrado]],0)</f>
        <v>0</v>
      </c>
    </row>
    <row r="445" spans="2:42" x14ac:dyDescent="0.2">
      <c r="B445" s="15" cm="1">
        <f t="array" ref="B445">ParamFechaInicioReporte + (ROW(TableDailySummary[#This Row]) - ROW(TableDailySummary[[#Headers],[Dia]]) - 1)</f>
        <v>44972</v>
      </c>
      <c r="C445" s="6">
        <f>TableDailySummary[[#This Row],[Dia]]</f>
        <v>44972</v>
      </c>
      <c r="D445" s="11">
        <f>_xlfn.XLOOKUP(TableDailySummary[[#This Row],[Fecha]],SummaryDaily[day],SummaryDaily[net_sales],0)</f>
        <v>0</v>
      </c>
      <c r="E445" s="11">
        <f>_xlfn.XLOOKUP(TableDailySummary[[#This Row],[Fecha]],SummaryDaily[day],SummaryDaily[orders],0)</f>
        <v>0</v>
      </c>
      <c r="F445" s="11">
        <f>_xlfn.XLOOKUP(TableDailySummary[[#This Row],[Fecha]],SummaryDaily[day],SummaryDaily[average_order_value],0)</f>
        <v>0</v>
      </c>
      <c r="G445" s="24" cm="1">
        <f t="array" ref="G445">_xlfn.XLOOKUP(TableDailySummary[[#This Row],[Fecha]]&amp;"Total site",ConversionRateByReferral[day]&amp;ConversionRateByReferral[referrer_source],ConversionRateByReferral[conversion_rate],0)</f>
        <v>0</v>
      </c>
      <c r="H445" s="11">
        <f>TableDailySummary[[#This Row],[Órden promedio totales]]*TableDailySummary[[#This Row],[CR totales]]</f>
        <v>0</v>
      </c>
      <c r="I445" s="11">
        <f>_xlfn.XLOOKUP(TableDailySummary[[#This Row],[Fecha]],SummaryDaily[day],SummaryDaily[new_net_sales],0)</f>
        <v>0</v>
      </c>
      <c r="J445" s="11">
        <f>_xlfn.XLOOKUP(TableDailySummary[[#This Row],[Fecha]],SummaryDaily[day],SummaryDaily[new_orders],0)</f>
        <v>0</v>
      </c>
      <c r="K445" s="11">
        <f>_xlfn.XLOOKUP(TableDailySummary[[#This Row],[Fecha]],SummaryDaily[day],SummaryDaily[new_average_order_value],0)</f>
        <v>0</v>
      </c>
      <c r="L445" s="11">
        <f>_xlfn.XLOOKUP(TableDailySummary[[#This Row],[Fecha]],SummaryDaily[day],SummaryDaily[Online Store_net_sales],0)</f>
        <v>0</v>
      </c>
      <c r="M445" s="11">
        <f>_xlfn.XLOOKUP(TableDailySummary[[#This Row],[Fecha]],SummaryDaily[day],SummaryDaily[Online Store_orders],0)</f>
        <v>0</v>
      </c>
      <c r="N445" s="11">
        <f>_xlfn.XLOOKUP(TableDailySummary[[#This Row],[Fecha]],SummaryDaily[day],SummaryDaily[Online Store_average_order_value],0)</f>
        <v>0</v>
      </c>
      <c r="O445" s="11">
        <f>_xlfn.XLOOKUP(TableDailySummary[[#This Row],[Fecha]],SummaryDaily[day],SummaryDaily[Tienda 81_net_sales],0)</f>
        <v>0</v>
      </c>
      <c r="P445" s="11">
        <f>_xlfn.XLOOKUP(TableDailySummary[[#This Row],[Fecha]],SummaryDaily[day],SummaryDaily[Tienda 81_orders],0)</f>
        <v>0</v>
      </c>
      <c r="Q445" s="11">
        <f>_xlfn.XLOOKUP(TableDailySummary[[#This Row],[Fecha]],SummaryDaily[day],SummaryDaily[Tienda 81_average_order_value],0)</f>
        <v>0</v>
      </c>
      <c r="R445" s="11">
        <f>_xlfn.XLOOKUP(TableDailySummary[[#This Row],[Fecha]],SummaryDaily[day],SummaryDaily[Rappi_net_sales],0)</f>
        <v>0</v>
      </c>
      <c r="S445" s="11">
        <f>_xlfn.XLOOKUP(TableDailySummary[[#This Row],[Fecha]],SummaryDaily[day],SummaryDaily[Rappi_orders],0)</f>
        <v>0</v>
      </c>
      <c r="T445" s="11">
        <f>_xlfn.XLOOKUP(TableDailySummary[[#This Row],[Fecha]],SummaryDaily[day],SummaryDaily[Rappi_average_order_value],0)</f>
        <v>0</v>
      </c>
      <c r="U445" s="11">
        <f>_xlfn.XLOOKUP(TableDailySummary[[#This Row],[Fecha]],SummaryDaily[day],SummaryDaily[Corporativo no tienda_net_sales],0)</f>
        <v>0</v>
      </c>
      <c r="V445" s="11">
        <f>_xlfn.XLOOKUP(TableDailySummary[[#This Row],[Fecha]],SummaryDaily[day],SummaryDaily[Corporativo no tienda_orders],0)</f>
        <v>0</v>
      </c>
      <c r="W445" s="11">
        <f>_xlfn.XLOOKUP(TableDailySummary[[#This Row],[Fecha]],SummaryDaily[day],SummaryDaily[Corporativo no tienda_average_order_value],0)</f>
        <v>0</v>
      </c>
      <c r="X445" s="11">
        <f>_xlfn.XLOOKUP(TableDailySummary[[#This Row],[Fecha]],SummaryDaily[day],SummaryDaily[GoogleAdsOperation.Cost],0)</f>
        <v>0</v>
      </c>
      <c r="Y445" s="11">
        <f>SUMIFS(SalesByUTMDaily[google],SalesByUTMDaily[day],TableDailySummary[[#This Row],[Fecha]])</f>
        <v>0</v>
      </c>
      <c r="Z445" s="11">
        <f>_xlfn.XLOOKUP(TableDailySummary[[#This Row],[Fecha]],SummaryDaily[day],SummaryDaily[MetaAdsOperation.spend],0)</f>
        <v>0</v>
      </c>
      <c r="AA445" s="11">
        <f>SUMIFS(SalesByUTMDaily[facebook],SalesByUTMDaily[day],TableDailySummary[[#This Row],[Fecha]])</f>
        <v>0</v>
      </c>
      <c r="AB445" s="11">
        <f>TableDailySummary[[#This Row],[Inversión google ads]]+TableDailySummary[[#This Row],[Inversión meta ads]]</f>
        <v>0</v>
      </c>
      <c r="AC445" s="11">
        <f>TableDailySummary[[#This Row],[Ventas google ads]]+TableDailySummary[[#This Row],[Ventas meta ads]]</f>
        <v>0</v>
      </c>
      <c r="AD445" s="14">
        <f>IFERROR(TableDailySummary[[#This Row],[Ventas publicidad]]/TableDailySummary[[#This Row],[Inversión publicidad]],0)</f>
        <v>0</v>
      </c>
      <c r="AE445" s="14">
        <f>IFERROR(TableDailySummary[[#This Row],[Ventas primer cliente]]/TableDailySummary[[#This Row],[Inversión publicidad]],0)</f>
        <v>0</v>
      </c>
      <c r="AF445" s="14"/>
      <c r="AG445" s="11"/>
      <c r="AM445" s="11">
        <f>_xlfn.XLOOKUP(TableDailySummary[[#This Row],[Fecha]],SummaryDaily[day],SummaryDaily[net_sales_with_cost_recorded],0)</f>
        <v>0</v>
      </c>
      <c r="AN445" s="11">
        <f>_xlfn.XLOOKUP(TableDailySummary[[#This Row],[Fecha]],SummaryDaily[day],SummaryDaily[cost_of_goods_sold],0)</f>
        <v>0</v>
      </c>
      <c r="AO445" s="11">
        <f>_xlfn.XLOOKUP(TableDailySummary[[#This Row],[Fecha]],SummaryDaily[day],SummaryDaily[gross_profit],0)</f>
        <v>0</v>
      </c>
      <c r="AP445" s="18">
        <f>IFERROR(TableDailySummary[[#This Row],[Utilidad bruta]]/TableDailySummary[[#This Row],[Ventas netas con costo registrado]],0)</f>
        <v>0</v>
      </c>
    </row>
    <row r="446" spans="2:42" x14ac:dyDescent="0.2">
      <c r="B446" s="15" cm="1">
        <f t="array" ref="B446">ParamFechaInicioReporte + (ROW(TableDailySummary[#This Row]) - ROW(TableDailySummary[[#Headers],[Dia]]) - 1)</f>
        <v>44973</v>
      </c>
      <c r="C446" s="6">
        <f>TableDailySummary[[#This Row],[Dia]]</f>
        <v>44973</v>
      </c>
      <c r="D446" s="11">
        <f>_xlfn.XLOOKUP(TableDailySummary[[#This Row],[Fecha]],SummaryDaily[day],SummaryDaily[net_sales],0)</f>
        <v>0</v>
      </c>
      <c r="E446" s="11">
        <f>_xlfn.XLOOKUP(TableDailySummary[[#This Row],[Fecha]],SummaryDaily[day],SummaryDaily[orders],0)</f>
        <v>0</v>
      </c>
      <c r="F446" s="11">
        <f>_xlfn.XLOOKUP(TableDailySummary[[#This Row],[Fecha]],SummaryDaily[day],SummaryDaily[average_order_value],0)</f>
        <v>0</v>
      </c>
      <c r="G446" s="24" cm="1">
        <f t="array" ref="G446">_xlfn.XLOOKUP(TableDailySummary[[#This Row],[Fecha]]&amp;"Total site",ConversionRateByReferral[day]&amp;ConversionRateByReferral[referrer_source],ConversionRateByReferral[conversion_rate],0)</f>
        <v>0</v>
      </c>
      <c r="H446" s="11">
        <f>TableDailySummary[[#This Row],[Órden promedio totales]]*TableDailySummary[[#This Row],[CR totales]]</f>
        <v>0</v>
      </c>
      <c r="I446" s="11">
        <f>_xlfn.XLOOKUP(TableDailySummary[[#This Row],[Fecha]],SummaryDaily[day],SummaryDaily[new_net_sales],0)</f>
        <v>0</v>
      </c>
      <c r="J446" s="11">
        <f>_xlfn.XLOOKUP(TableDailySummary[[#This Row],[Fecha]],SummaryDaily[day],SummaryDaily[new_orders],0)</f>
        <v>0</v>
      </c>
      <c r="K446" s="11">
        <f>_xlfn.XLOOKUP(TableDailySummary[[#This Row],[Fecha]],SummaryDaily[day],SummaryDaily[new_average_order_value],0)</f>
        <v>0</v>
      </c>
      <c r="L446" s="11">
        <f>_xlfn.XLOOKUP(TableDailySummary[[#This Row],[Fecha]],SummaryDaily[day],SummaryDaily[Online Store_net_sales],0)</f>
        <v>0</v>
      </c>
      <c r="M446" s="11">
        <f>_xlfn.XLOOKUP(TableDailySummary[[#This Row],[Fecha]],SummaryDaily[day],SummaryDaily[Online Store_orders],0)</f>
        <v>0</v>
      </c>
      <c r="N446" s="11">
        <f>_xlfn.XLOOKUP(TableDailySummary[[#This Row],[Fecha]],SummaryDaily[day],SummaryDaily[Online Store_average_order_value],0)</f>
        <v>0</v>
      </c>
      <c r="O446" s="11">
        <f>_xlfn.XLOOKUP(TableDailySummary[[#This Row],[Fecha]],SummaryDaily[day],SummaryDaily[Tienda 81_net_sales],0)</f>
        <v>0</v>
      </c>
      <c r="P446" s="11">
        <f>_xlfn.XLOOKUP(TableDailySummary[[#This Row],[Fecha]],SummaryDaily[day],SummaryDaily[Tienda 81_orders],0)</f>
        <v>0</v>
      </c>
      <c r="Q446" s="11">
        <f>_xlfn.XLOOKUP(TableDailySummary[[#This Row],[Fecha]],SummaryDaily[day],SummaryDaily[Tienda 81_average_order_value],0)</f>
        <v>0</v>
      </c>
      <c r="R446" s="11">
        <f>_xlfn.XLOOKUP(TableDailySummary[[#This Row],[Fecha]],SummaryDaily[day],SummaryDaily[Rappi_net_sales],0)</f>
        <v>0</v>
      </c>
      <c r="S446" s="11">
        <f>_xlfn.XLOOKUP(TableDailySummary[[#This Row],[Fecha]],SummaryDaily[day],SummaryDaily[Rappi_orders],0)</f>
        <v>0</v>
      </c>
      <c r="T446" s="11">
        <f>_xlfn.XLOOKUP(TableDailySummary[[#This Row],[Fecha]],SummaryDaily[day],SummaryDaily[Rappi_average_order_value],0)</f>
        <v>0</v>
      </c>
      <c r="U446" s="11">
        <f>_xlfn.XLOOKUP(TableDailySummary[[#This Row],[Fecha]],SummaryDaily[day],SummaryDaily[Corporativo no tienda_net_sales],0)</f>
        <v>0</v>
      </c>
      <c r="V446" s="11">
        <f>_xlfn.XLOOKUP(TableDailySummary[[#This Row],[Fecha]],SummaryDaily[day],SummaryDaily[Corporativo no tienda_orders],0)</f>
        <v>0</v>
      </c>
      <c r="W446" s="11">
        <f>_xlfn.XLOOKUP(TableDailySummary[[#This Row],[Fecha]],SummaryDaily[day],SummaryDaily[Corporativo no tienda_average_order_value],0)</f>
        <v>0</v>
      </c>
      <c r="X446" s="11">
        <f>_xlfn.XLOOKUP(TableDailySummary[[#This Row],[Fecha]],SummaryDaily[day],SummaryDaily[GoogleAdsOperation.Cost],0)</f>
        <v>0</v>
      </c>
      <c r="Y446" s="11">
        <f>SUMIFS(SalesByUTMDaily[google],SalesByUTMDaily[day],TableDailySummary[[#This Row],[Fecha]])</f>
        <v>0</v>
      </c>
      <c r="Z446" s="11">
        <f>_xlfn.XLOOKUP(TableDailySummary[[#This Row],[Fecha]],SummaryDaily[day],SummaryDaily[MetaAdsOperation.spend],0)</f>
        <v>0</v>
      </c>
      <c r="AA446" s="11">
        <f>SUMIFS(SalesByUTMDaily[facebook],SalesByUTMDaily[day],TableDailySummary[[#This Row],[Fecha]])</f>
        <v>0</v>
      </c>
      <c r="AB446" s="11">
        <f>TableDailySummary[[#This Row],[Inversión google ads]]+TableDailySummary[[#This Row],[Inversión meta ads]]</f>
        <v>0</v>
      </c>
      <c r="AC446" s="11">
        <f>TableDailySummary[[#This Row],[Ventas google ads]]+TableDailySummary[[#This Row],[Ventas meta ads]]</f>
        <v>0</v>
      </c>
      <c r="AD446" s="14">
        <f>IFERROR(TableDailySummary[[#This Row],[Ventas publicidad]]/TableDailySummary[[#This Row],[Inversión publicidad]],0)</f>
        <v>0</v>
      </c>
      <c r="AE446" s="14">
        <f>IFERROR(TableDailySummary[[#This Row],[Ventas primer cliente]]/TableDailySummary[[#This Row],[Inversión publicidad]],0)</f>
        <v>0</v>
      </c>
      <c r="AF446" s="14"/>
      <c r="AG446" s="11"/>
      <c r="AM446" s="11">
        <f>_xlfn.XLOOKUP(TableDailySummary[[#This Row],[Fecha]],SummaryDaily[day],SummaryDaily[net_sales_with_cost_recorded],0)</f>
        <v>0</v>
      </c>
      <c r="AN446" s="11">
        <f>_xlfn.XLOOKUP(TableDailySummary[[#This Row],[Fecha]],SummaryDaily[day],SummaryDaily[cost_of_goods_sold],0)</f>
        <v>0</v>
      </c>
      <c r="AO446" s="11">
        <f>_xlfn.XLOOKUP(TableDailySummary[[#This Row],[Fecha]],SummaryDaily[day],SummaryDaily[gross_profit],0)</f>
        <v>0</v>
      </c>
      <c r="AP446" s="18">
        <f>IFERROR(TableDailySummary[[#This Row],[Utilidad bruta]]/TableDailySummary[[#This Row],[Ventas netas con costo registrado]],0)</f>
        <v>0</v>
      </c>
    </row>
    <row r="447" spans="2:42" x14ac:dyDescent="0.2">
      <c r="B447" s="15" cm="1">
        <f t="array" ref="B447">ParamFechaInicioReporte + (ROW(TableDailySummary[#This Row]) - ROW(TableDailySummary[[#Headers],[Dia]]) - 1)</f>
        <v>44974</v>
      </c>
      <c r="C447" s="6">
        <f>TableDailySummary[[#This Row],[Dia]]</f>
        <v>44974</v>
      </c>
      <c r="D447" s="11">
        <f>_xlfn.XLOOKUP(TableDailySummary[[#This Row],[Fecha]],SummaryDaily[day],SummaryDaily[net_sales],0)</f>
        <v>0</v>
      </c>
      <c r="E447" s="11">
        <f>_xlfn.XLOOKUP(TableDailySummary[[#This Row],[Fecha]],SummaryDaily[day],SummaryDaily[orders],0)</f>
        <v>0</v>
      </c>
      <c r="F447" s="11">
        <f>_xlfn.XLOOKUP(TableDailySummary[[#This Row],[Fecha]],SummaryDaily[day],SummaryDaily[average_order_value],0)</f>
        <v>0</v>
      </c>
      <c r="G447" s="24" cm="1">
        <f t="array" ref="G447">_xlfn.XLOOKUP(TableDailySummary[[#This Row],[Fecha]]&amp;"Total site",ConversionRateByReferral[day]&amp;ConversionRateByReferral[referrer_source],ConversionRateByReferral[conversion_rate],0)</f>
        <v>0</v>
      </c>
      <c r="H447" s="11">
        <f>TableDailySummary[[#This Row],[Órden promedio totales]]*TableDailySummary[[#This Row],[CR totales]]</f>
        <v>0</v>
      </c>
      <c r="I447" s="11">
        <f>_xlfn.XLOOKUP(TableDailySummary[[#This Row],[Fecha]],SummaryDaily[day],SummaryDaily[new_net_sales],0)</f>
        <v>0</v>
      </c>
      <c r="J447" s="11">
        <f>_xlfn.XLOOKUP(TableDailySummary[[#This Row],[Fecha]],SummaryDaily[day],SummaryDaily[new_orders],0)</f>
        <v>0</v>
      </c>
      <c r="K447" s="11">
        <f>_xlfn.XLOOKUP(TableDailySummary[[#This Row],[Fecha]],SummaryDaily[day],SummaryDaily[new_average_order_value],0)</f>
        <v>0</v>
      </c>
      <c r="L447" s="11">
        <f>_xlfn.XLOOKUP(TableDailySummary[[#This Row],[Fecha]],SummaryDaily[day],SummaryDaily[Online Store_net_sales],0)</f>
        <v>0</v>
      </c>
      <c r="M447" s="11">
        <f>_xlfn.XLOOKUP(TableDailySummary[[#This Row],[Fecha]],SummaryDaily[day],SummaryDaily[Online Store_orders],0)</f>
        <v>0</v>
      </c>
      <c r="N447" s="11">
        <f>_xlfn.XLOOKUP(TableDailySummary[[#This Row],[Fecha]],SummaryDaily[day],SummaryDaily[Online Store_average_order_value],0)</f>
        <v>0</v>
      </c>
      <c r="O447" s="11">
        <f>_xlfn.XLOOKUP(TableDailySummary[[#This Row],[Fecha]],SummaryDaily[day],SummaryDaily[Tienda 81_net_sales],0)</f>
        <v>0</v>
      </c>
      <c r="P447" s="11">
        <f>_xlfn.XLOOKUP(TableDailySummary[[#This Row],[Fecha]],SummaryDaily[day],SummaryDaily[Tienda 81_orders],0)</f>
        <v>0</v>
      </c>
      <c r="Q447" s="11">
        <f>_xlfn.XLOOKUP(TableDailySummary[[#This Row],[Fecha]],SummaryDaily[day],SummaryDaily[Tienda 81_average_order_value],0)</f>
        <v>0</v>
      </c>
      <c r="R447" s="11">
        <f>_xlfn.XLOOKUP(TableDailySummary[[#This Row],[Fecha]],SummaryDaily[day],SummaryDaily[Rappi_net_sales],0)</f>
        <v>0</v>
      </c>
      <c r="S447" s="11">
        <f>_xlfn.XLOOKUP(TableDailySummary[[#This Row],[Fecha]],SummaryDaily[day],SummaryDaily[Rappi_orders],0)</f>
        <v>0</v>
      </c>
      <c r="T447" s="11">
        <f>_xlfn.XLOOKUP(TableDailySummary[[#This Row],[Fecha]],SummaryDaily[day],SummaryDaily[Rappi_average_order_value],0)</f>
        <v>0</v>
      </c>
      <c r="U447" s="11">
        <f>_xlfn.XLOOKUP(TableDailySummary[[#This Row],[Fecha]],SummaryDaily[day],SummaryDaily[Corporativo no tienda_net_sales],0)</f>
        <v>0</v>
      </c>
      <c r="V447" s="11">
        <f>_xlfn.XLOOKUP(TableDailySummary[[#This Row],[Fecha]],SummaryDaily[day],SummaryDaily[Corporativo no tienda_orders],0)</f>
        <v>0</v>
      </c>
      <c r="W447" s="11">
        <f>_xlfn.XLOOKUP(TableDailySummary[[#This Row],[Fecha]],SummaryDaily[day],SummaryDaily[Corporativo no tienda_average_order_value],0)</f>
        <v>0</v>
      </c>
      <c r="X447" s="11">
        <f>_xlfn.XLOOKUP(TableDailySummary[[#This Row],[Fecha]],SummaryDaily[day],SummaryDaily[GoogleAdsOperation.Cost],0)</f>
        <v>0</v>
      </c>
      <c r="Y447" s="11">
        <f>SUMIFS(SalesByUTMDaily[google],SalesByUTMDaily[day],TableDailySummary[[#This Row],[Fecha]])</f>
        <v>0</v>
      </c>
      <c r="Z447" s="11">
        <f>_xlfn.XLOOKUP(TableDailySummary[[#This Row],[Fecha]],SummaryDaily[day],SummaryDaily[MetaAdsOperation.spend],0)</f>
        <v>0</v>
      </c>
      <c r="AA447" s="11">
        <f>SUMIFS(SalesByUTMDaily[facebook],SalesByUTMDaily[day],TableDailySummary[[#This Row],[Fecha]])</f>
        <v>0</v>
      </c>
      <c r="AB447" s="11">
        <f>TableDailySummary[[#This Row],[Inversión google ads]]+TableDailySummary[[#This Row],[Inversión meta ads]]</f>
        <v>0</v>
      </c>
      <c r="AC447" s="11">
        <f>TableDailySummary[[#This Row],[Ventas google ads]]+TableDailySummary[[#This Row],[Ventas meta ads]]</f>
        <v>0</v>
      </c>
      <c r="AD447" s="14">
        <f>IFERROR(TableDailySummary[[#This Row],[Ventas publicidad]]/TableDailySummary[[#This Row],[Inversión publicidad]],0)</f>
        <v>0</v>
      </c>
      <c r="AE447" s="14">
        <f>IFERROR(TableDailySummary[[#This Row],[Ventas primer cliente]]/TableDailySummary[[#This Row],[Inversión publicidad]],0)</f>
        <v>0</v>
      </c>
      <c r="AF447" s="14"/>
      <c r="AG447" s="11"/>
      <c r="AM447" s="11">
        <f>_xlfn.XLOOKUP(TableDailySummary[[#This Row],[Fecha]],SummaryDaily[day],SummaryDaily[net_sales_with_cost_recorded],0)</f>
        <v>0</v>
      </c>
      <c r="AN447" s="11">
        <f>_xlfn.XLOOKUP(TableDailySummary[[#This Row],[Fecha]],SummaryDaily[day],SummaryDaily[cost_of_goods_sold],0)</f>
        <v>0</v>
      </c>
      <c r="AO447" s="11">
        <f>_xlfn.XLOOKUP(TableDailySummary[[#This Row],[Fecha]],SummaryDaily[day],SummaryDaily[gross_profit],0)</f>
        <v>0</v>
      </c>
      <c r="AP447" s="18">
        <f>IFERROR(TableDailySummary[[#This Row],[Utilidad bruta]]/TableDailySummary[[#This Row],[Ventas netas con costo registrado]],0)</f>
        <v>0</v>
      </c>
    </row>
    <row r="448" spans="2:42" x14ac:dyDescent="0.2">
      <c r="B448" s="15" cm="1">
        <f t="array" ref="B448">ParamFechaInicioReporte + (ROW(TableDailySummary[#This Row]) - ROW(TableDailySummary[[#Headers],[Dia]]) - 1)</f>
        <v>44975</v>
      </c>
      <c r="C448" s="6">
        <f>TableDailySummary[[#This Row],[Dia]]</f>
        <v>44975</v>
      </c>
      <c r="D448" s="11">
        <f>_xlfn.XLOOKUP(TableDailySummary[[#This Row],[Fecha]],SummaryDaily[day],SummaryDaily[net_sales],0)</f>
        <v>0</v>
      </c>
      <c r="E448" s="11">
        <f>_xlfn.XLOOKUP(TableDailySummary[[#This Row],[Fecha]],SummaryDaily[day],SummaryDaily[orders],0)</f>
        <v>0</v>
      </c>
      <c r="F448" s="11">
        <f>_xlfn.XLOOKUP(TableDailySummary[[#This Row],[Fecha]],SummaryDaily[day],SummaryDaily[average_order_value],0)</f>
        <v>0</v>
      </c>
      <c r="G448" s="24" cm="1">
        <f t="array" ref="G448">_xlfn.XLOOKUP(TableDailySummary[[#This Row],[Fecha]]&amp;"Total site",ConversionRateByReferral[day]&amp;ConversionRateByReferral[referrer_source],ConversionRateByReferral[conversion_rate],0)</f>
        <v>0</v>
      </c>
      <c r="H448" s="11">
        <f>TableDailySummary[[#This Row],[Órden promedio totales]]*TableDailySummary[[#This Row],[CR totales]]</f>
        <v>0</v>
      </c>
      <c r="I448" s="11">
        <f>_xlfn.XLOOKUP(TableDailySummary[[#This Row],[Fecha]],SummaryDaily[day],SummaryDaily[new_net_sales],0)</f>
        <v>0</v>
      </c>
      <c r="J448" s="11">
        <f>_xlfn.XLOOKUP(TableDailySummary[[#This Row],[Fecha]],SummaryDaily[day],SummaryDaily[new_orders],0)</f>
        <v>0</v>
      </c>
      <c r="K448" s="11">
        <f>_xlfn.XLOOKUP(TableDailySummary[[#This Row],[Fecha]],SummaryDaily[day],SummaryDaily[new_average_order_value],0)</f>
        <v>0</v>
      </c>
      <c r="L448" s="11">
        <f>_xlfn.XLOOKUP(TableDailySummary[[#This Row],[Fecha]],SummaryDaily[day],SummaryDaily[Online Store_net_sales],0)</f>
        <v>0</v>
      </c>
      <c r="M448" s="11">
        <f>_xlfn.XLOOKUP(TableDailySummary[[#This Row],[Fecha]],SummaryDaily[day],SummaryDaily[Online Store_orders],0)</f>
        <v>0</v>
      </c>
      <c r="N448" s="11">
        <f>_xlfn.XLOOKUP(TableDailySummary[[#This Row],[Fecha]],SummaryDaily[day],SummaryDaily[Online Store_average_order_value],0)</f>
        <v>0</v>
      </c>
      <c r="O448" s="11">
        <f>_xlfn.XLOOKUP(TableDailySummary[[#This Row],[Fecha]],SummaryDaily[day],SummaryDaily[Tienda 81_net_sales],0)</f>
        <v>0</v>
      </c>
      <c r="P448" s="11">
        <f>_xlfn.XLOOKUP(TableDailySummary[[#This Row],[Fecha]],SummaryDaily[day],SummaryDaily[Tienda 81_orders],0)</f>
        <v>0</v>
      </c>
      <c r="Q448" s="11">
        <f>_xlfn.XLOOKUP(TableDailySummary[[#This Row],[Fecha]],SummaryDaily[day],SummaryDaily[Tienda 81_average_order_value],0)</f>
        <v>0</v>
      </c>
      <c r="R448" s="11">
        <f>_xlfn.XLOOKUP(TableDailySummary[[#This Row],[Fecha]],SummaryDaily[day],SummaryDaily[Rappi_net_sales],0)</f>
        <v>0</v>
      </c>
      <c r="S448" s="11">
        <f>_xlfn.XLOOKUP(TableDailySummary[[#This Row],[Fecha]],SummaryDaily[day],SummaryDaily[Rappi_orders],0)</f>
        <v>0</v>
      </c>
      <c r="T448" s="11">
        <f>_xlfn.XLOOKUP(TableDailySummary[[#This Row],[Fecha]],SummaryDaily[day],SummaryDaily[Rappi_average_order_value],0)</f>
        <v>0</v>
      </c>
      <c r="U448" s="11">
        <f>_xlfn.XLOOKUP(TableDailySummary[[#This Row],[Fecha]],SummaryDaily[day],SummaryDaily[Corporativo no tienda_net_sales],0)</f>
        <v>0</v>
      </c>
      <c r="V448" s="11">
        <f>_xlfn.XLOOKUP(TableDailySummary[[#This Row],[Fecha]],SummaryDaily[day],SummaryDaily[Corporativo no tienda_orders],0)</f>
        <v>0</v>
      </c>
      <c r="W448" s="11">
        <f>_xlfn.XLOOKUP(TableDailySummary[[#This Row],[Fecha]],SummaryDaily[day],SummaryDaily[Corporativo no tienda_average_order_value],0)</f>
        <v>0</v>
      </c>
      <c r="X448" s="11">
        <f>_xlfn.XLOOKUP(TableDailySummary[[#This Row],[Fecha]],SummaryDaily[day],SummaryDaily[GoogleAdsOperation.Cost],0)</f>
        <v>0</v>
      </c>
      <c r="Y448" s="11">
        <f>SUMIFS(SalesByUTMDaily[google],SalesByUTMDaily[day],TableDailySummary[[#This Row],[Fecha]])</f>
        <v>0</v>
      </c>
      <c r="Z448" s="11">
        <f>_xlfn.XLOOKUP(TableDailySummary[[#This Row],[Fecha]],SummaryDaily[day],SummaryDaily[MetaAdsOperation.spend],0)</f>
        <v>0</v>
      </c>
      <c r="AA448" s="11">
        <f>SUMIFS(SalesByUTMDaily[facebook],SalesByUTMDaily[day],TableDailySummary[[#This Row],[Fecha]])</f>
        <v>0</v>
      </c>
      <c r="AB448" s="11">
        <f>TableDailySummary[[#This Row],[Inversión google ads]]+TableDailySummary[[#This Row],[Inversión meta ads]]</f>
        <v>0</v>
      </c>
      <c r="AC448" s="11">
        <f>TableDailySummary[[#This Row],[Ventas google ads]]+TableDailySummary[[#This Row],[Ventas meta ads]]</f>
        <v>0</v>
      </c>
      <c r="AD448" s="14">
        <f>IFERROR(TableDailySummary[[#This Row],[Ventas publicidad]]/TableDailySummary[[#This Row],[Inversión publicidad]],0)</f>
        <v>0</v>
      </c>
      <c r="AE448" s="14">
        <f>IFERROR(TableDailySummary[[#This Row],[Ventas primer cliente]]/TableDailySummary[[#This Row],[Inversión publicidad]],0)</f>
        <v>0</v>
      </c>
      <c r="AF448" s="14"/>
      <c r="AG448" s="11"/>
      <c r="AM448" s="11">
        <f>_xlfn.XLOOKUP(TableDailySummary[[#This Row],[Fecha]],SummaryDaily[day],SummaryDaily[net_sales_with_cost_recorded],0)</f>
        <v>0</v>
      </c>
      <c r="AN448" s="11">
        <f>_xlfn.XLOOKUP(TableDailySummary[[#This Row],[Fecha]],SummaryDaily[day],SummaryDaily[cost_of_goods_sold],0)</f>
        <v>0</v>
      </c>
      <c r="AO448" s="11">
        <f>_xlfn.XLOOKUP(TableDailySummary[[#This Row],[Fecha]],SummaryDaily[day],SummaryDaily[gross_profit],0)</f>
        <v>0</v>
      </c>
      <c r="AP448" s="18">
        <f>IFERROR(TableDailySummary[[#This Row],[Utilidad bruta]]/TableDailySummary[[#This Row],[Ventas netas con costo registrado]],0)</f>
        <v>0</v>
      </c>
    </row>
    <row r="449" spans="2:42" x14ac:dyDescent="0.2">
      <c r="B449" s="15" cm="1">
        <f t="array" ref="B449">ParamFechaInicioReporte + (ROW(TableDailySummary[#This Row]) - ROW(TableDailySummary[[#Headers],[Dia]]) - 1)</f>
        <v>44976</v>
      </c>
      <c r="C449" s="6">
        <f>TableDailySummary[[#This Row],[Dia]]</f>
        <v>44976</v>
      </c>
      <c r="D449" s="11">
        <f>_xlfn.XLOOKUP(TableDailySummary[[#This Row],[Fecha]],SummaryDaily[day],SummaryDaily[net_sales],0)</f>
        <v>0</v>
      </c>
      <c r="E449" s="11">
        <f>_xlfn.XLOOKUP(TableDailySummary[[#This Row],[Fecha]],SummaryDaily[day],SummaryDaily[orders],0)</f>
        <v>0</v>
      </c>
      <c r="F449" s="11">
        <f>_xlfn.XLOOKUP(TableDailySummary[[#This Row],[Fecha]],SummaryDaily[day],SummaryDaily[average_order_value],0)</f>
        <v>0</v>
      </c>
      <c r="G449" s="24" cm="1">
        <f t="array" ref="G449">_xlfn.XLOOKUP(TableDailySummary[[#This Row],[Fecha]]&amp;"Total site",ConversionRateByReferral[day]&amp;ConversionRateByReferral[referrer_source],ConversionRateByReferral[conversion_rate],0)</f>
        <v>0</v>
      </c>
      <c r="H449" s="11">
        <f>TableDailySummary[[#This Row],[Órden promedio totales]]*TableDailySummary[[#This Row],[CR totales]]</f>
        <v>0</v>
      </c>
      <c r="I449" s="11">
        <f>_xlfn.XLOOKUP(TableDailySummary[[#This Row],[Fecha]],SummaryDaily[day],SummaryDaily[new_net_sales],0)</f>
        <v>0</v>
      </c>
      <c r="J449" s="11">
        <f>_xlfn.XLOOKUP(TableDailySummary[[#This Row],[Fecha]],SummaryDaily[day],SummaryDaily[new_orders],0)</f>
        <v>0</v>
      </c>
      <c r="K449" s="11">
        <f>_xlfn.XLOOKUP(TableDailySummary[[#This Row],[Fecha]],SummaryDaily[day],SummaryDaily[new_average_order_value],0)</f>
        <v>0</v>
      </c>
      <c r="L449" s="11">
        <f>_xlfn.XLOOKUP(TableDailySummary[[#This Row],[Fecha]],SummaryDaily[day],SummaryDaily[Online Store_net_sales],0)</f>
        <v>0</v>
      </c>
      <c r="M449" s="11">
        <f>_xlfn.XLOOKUP(TableDailySummary[[#This Row],[Fecha]],SummaryDaily[day],SummaryDaily[Online Store_orders],0)</f>
        <v>0</v>
      </c>
      <c r="N449" s="11">
        <f>_xlfn.XLOOKUP(TableDailySummary[[#This Row],[Fecha]],SummaryDaily[day],SummaryDaily[Online Store_average_order_value],0)</f>
        <v>0</v>
      </c>
      <c r="O449" s="11">
        <f>_xlfn.XLOOKUP(TableDailySummary[[#This Row],[Fecha]],SummaryDaily[day],SummaryDaily[Tienda 81_net_sales],0)</f>
        <v>0</v>
      </c>
      <c r="P449" s="11">
        <f>_xlfn.XLOOKUP(TableDailySummary[[#This Row],[Fecha]],SummaryDaily[day],SummaryDaily[Tienda 81_orders],0)</f>
        <v>0</v>
      </c>
      <c r="Q449" s="11">
        <f>_xlfn.XLOOKUP(TableDailySummary[[#This Row],[Fecha]],SummaryDaily[day],SummaryDaily[Tienda 81_average_order_value],0)</f>
        <v>0</v>
      </c>
      <c r="R449" s="11">
        <f>_xlfn.XLOOKUP(TableDailySummary[[#This Row],[Fecha]],SummaryDaily[day],SummaryDaily[Rappi_net_sales],0)</f>
        <v>0</v>
      </c>
      <c r="S449" s="11">
        <f>_xlfn.XLOOKUP(TableDailySummary[[#This Row],[Fecha]],SummaryDaily[day],SummaryDaily[Rappi_orders],0)</f>
        <v>0</v>
      </c>
      <c r="T449" s="11">
        <f>_xlfn.XLOOKUP(TableDailySummary[[#This Row],[Fecha]],SummaryDaily[day],SummaryDaily[Rappi_average_order_value],0)</f>
        <v>0</v>
      </c>
      <c r="U449" s="11">
        <f>_xlfn.XLOOKUP(TableDailySummary[[#This Row],[Fecha]],SummaryDaily[day],SummaryDaily[Corporativo no tienda_net_sales],0)</f>
        <v>0</v>
      </c>
      <c r="V449" s="11">
        <f>_xlfn.XLOOKUP(TableDailySummary[[#This Row],[Fecha]],SummaryDaily[day],SummaryDaily[Corporativo no tienda_orders],0)</f>
        <v>0</v>
      </c>
      <c r="W449" s="11">
        <f>_xlfn.XLOOKUP(TableDailySummary[[#This Row],[Fecha]],SummaryDaily[day],SummaryDaily[Corporativo no tienda_average_order_value],0)</f>
        <v>0</v>
      </c>
      <c r="X449" s="11">
        <f>_xlfn.XLOOKUP(TableDailySummary[[#This Row],[Fecha]],SummaryDaily[day],SummaryDaily[GoogleAdsOperation.Cost],0)</f>
        <v>0</v>
      </c>
      <c r="Y449" s="11">
        <f>SUMIFS(SalesByUTMDaily[google],SalesByUTMDaily[day],TableDailySummary[[#This Row],[Fecha]])</f>
        <v>0</v>
      </c>
      <c r="Z449" s="11">
        <f>_xlfn.XLOOKUP(TableDailySummary[[#This Row],[Fecha]],SummaryDaily[day],SummaryDaily[MetaAdsOperation.spend],0)</f>
        <v>0</v>
      </c>
      <c r="AA449" s="11">
        <f>SUMIFS(SalesByUTMDaily[facebook],SalesByUTMDaily[day],TableDailySummary[[#This Row],[Fecha]])</f>
        <v>0</v>
      </c>
      <c r="AB449" s="11">
        <f>TableDailySummary[[#This Row],[Inversión google ads]]+TableDailySummary[[#This Row],[Inversión meta ads]]</f>
        <v>0</v>
      </c>
      <c r="AC449" s="11">
        <f>TableDailySummary[[#This Row],[Ventas google ads]]+TableDailySummary[[#This Row],[Ventas meta ads]]</f>
        <v>0</v>
      </c>
      <c r="AD449" s="14">
        <f>IFERROR(TableDailySummary[[#This Row],[Ventas publicidad]]/TableDailySummary[[#This Row],[Inversión publicidad]],0)</f>
        <v>0</v>
      </c>
      <c r="AE449" s="14">
        <f>IFERROR(TableDailySummary[[#This Row],[Ventas primer cliente]]/TableDailySummary[[#This Row],[Inversión publicidad]],0)</f>
        <v>0</v>
      </c>
      <c r="AF449" s="14"/>
      <c r="AG449" s="11"/>
      <c r="AM449" s="11">
        <f>_xlfn.XLOOKUP(TableDailySummary[[#This Row],[Fecha]],SummaryDaily[day],SummaryDaily[net_sales_with_cost_recorded],0)</f>
        <v>0</v>
      </c>
      <c r="AN449" s="11">
        <f>_xlfn.XLOOKUP(TableDailySummary[[#This Row],[Fecha]],SummaryDaily[day],SummaryDaily[cost_of_goods_sold],0)</f>
        <v>0</v>
      </c>
      <c r="AO449" s="11">
        <f>_xlfn.XLOOKUP(TableDailySummary[[#This Row],[Fecha]],SummaryDaily[day],SummaryDaily[gross_profit],0)</f>
        <v>0</v>
      </c>
      <c r="AP449" s="18">
        <f>IFERROR(TableDailySummary[[#This Row],[Utilidad bruta]]/TableDailySummary[[#This Row],[Ventas netas con costo registrado]],0)</f>
        <v>0</v>
      </c>
    </row>
    <row r="450" spans="2:42" x14ac:dyDescent="0.2">
      <c r="B450" s="15" cm="1">
        <f t="array" ref="B450">ParamFechaInicioReporte + (ROW(TableDailySummary[#This Row]) - ROW(TableDailySummary[[#Headers],[Dia]]) - 1)</f>
        <v>44977</v>
      </c>
      <c r="C450" s="6">
        <f>TableDailySummary[[#This Row],[Dia]]</f>
        <v>44977</v>
      </c>
      <c r="D450" s="11">
        <f>_xlfn.XLOOKUP(TableDailySummary[[#This Row],[Fecha]],SummaryDaily[day],SummaryDaily[net_sales],0)</f>
        <v>0</v>
      </c>
      <c r="E450" s="11">
        <f>_xlfn.XLOOKUP(TableDailySummary[[#This Row],[Fecha]],SummaryDaily[day],SummaryDaily[orders],0)</f>
        <v>0</v>
      </c>
      <c r="F450" s="11">
        <f>_xlfn.XLOOKUP(TableDailySummary[[#This Row],[Fecha]],SummaryDaily[day],SummaryDaily[average_order_value],0)</f>
        <v>0</v>
      </c>
      <c r="G450" s="24" cm="1">
        <f t="array" ref="G450">_xlfn.XLOOKUP(TableDailySummary[[#This Row],[Fecha]]&amp;"Total site",ConversionRateByReferral[day]&amp;ConversionRateByReferral[referrer_source],ConversionRateByReferral[conversion_rate],0)</f>
        <v>0</v>
      </c>
      <c r="H450" s="11">
        <f>TableDailySummary[[#This Row],[Órden promedio totales]]*TableDailySummary[[#This Row],[CR totales]]</f>
        <v>0</v>
      </c>
      <c r="I450" s="11">
        <f>_xlfn.XLOOKUP(TableDailySummary[[#This Row],[Fecha]],SummaryDaily[day],SummaryDaily[new_net_sales],0)</f>
        <v>0</v>
      </c>
      <c r="J450" s="11">
        <f>_xlfn.XLOOKUP(TableDailySummary[[#This Row],[Fecha]],SummaryDaily[day],SummaryDaily[new_orders],0)</f>
        <v>0</v>
      </c>
      <c r="K450" s="11">
        <f>_xlfn.XLOOKUP(TableDailySummary[[#This Row],[Fecha]],SummaryDaily[day],SummaryDaily[new_average_order_value],0)</f>
        <v>0</v>
      </c>
      <c r="L450" s="11">
        <f>_xlfn.XLOOKUP(TableDailySummary[[#This Row],[Fecha]],SummaryDaily[day],SummaryDaily[Online Store_net_sales],0)</f>
        <v>0</v>
      </c>
      <c r="M450" s="11">
        <f>_xlfn.XLOOKUP(TableDailySummary[[#This Row],[Fecha]],SummaryDaily[day],SummaryDaily[Online Store_orders],0)</f>
        <v>0</v>
      </c>
      <c r="N450" s="11">
        <f>_xlfn.XLOOKUP(TableDailySummary[[#This Row],[Fecha]],SummaryDaily[day],SummaryDaily[Online Store_average_order_value],0)</f>
        <v>0</v>
      </c>
      <c r="O450" s="11">
        <f>_xlfn.XLOOKUP(TableDailySummary[[#This Row],[Fecha]],SummaryDaily[day],SummaryDaily[Tienda 81_net_sales],0)</f>
        <v>0</v>
      </c>
      <c r="P450" s="11">
        <f>_xlfn.XLOOKUP(TableDailySummary[[#This Row],[Fecha]],SummaryDaily[day],SummaryDaily[Tienda 81_orders],0)</f>
        <v>0</v>
      </c>
      <c r="Q450" s="11">
        <f>_xlfn.XLOOKUP(TableDailySummary[[#This Row],[Fecha]],SummaryDaily[day],SummaryDaily[Tienda 81_average_order_value],0)</f>
        <v>0</v>
      </c>
      <c r="R450" s="11">
        <f>_xlfn.XLOOKUP(TableDailySummary[[#This Row],[Fecha]],SummaryDaily[day],SummaryDaily[Rappi_net_sales],0)</f>
        <v>0</v>
      </c>
      <c r="S450" s="11">
        <f>_xlfn.XLOOKUP(TableDailySummary[[#This Row],[Fecha]],SummaryDaily[day],SummaryDaily[Rappi_orders],0)</f>
        <v>0</v>
      </c>
      <c r="T450" s="11">
        <f>_xlfn.XLOOKUP(TableDailySummary[[#This Row],[Fecha]],SummaryDaily[day],SummaryDaily[Rappi_average_order_value],0)</f>
        <v>0</v>
      </c>
      <c r="U450" s="11">
        <f>_xlfn.XLOOKUP(TableDailySummary[[#This Row],[Fecha]],SummaryDaily[day],SummaryDaily[Corporativo no tienda_net_sales],0)</f>
        <v>0</v>
      </c>
      <c r="V450" s="11">
        <f>_xlfn.XLOOKUP(TableDailySummary[[#This Row],[Fecha]],SummaryDaily[day],SummaryDaily[Corporativo no tienda_orders],0)</f>
        <v>0</v>
      </c>
      <c r="W450" s="11">
        <f>_xlfn.XLOOKUP(TableDailySummary[[#This Row],[Fecha]],SummaryDaily[day],SummaryDaily[Corporativo no tienda_average_order_value],0)</f>
        <v>0</v>
      </c>
      <c r="X450" s="11">
        <f>_xlfn.XLOOKUP(TableDailySummary[[#This Row],[Fecha]],SummaryDaily[day],SummaryDaily[GoogleAdsOperation.Cost],0)</f>
        <v>0</v>
      </c>
      <c r="Y450" s="11">
        <f>SUMIFS(SalesByUTMDaily[google],SalesByUTMDaily[day],TableDailySummary[[#This Row],[Fecha]])</f>
        <v>0</v>
      </c>
      <c r="Z450" s="11">
        <f>_xlfn.XLOOKUP(TableDailySummary[[#This Row],[Fecha]],SummaryDaily[day],SummaryDaily[MetaAdsOperation.spend],0)</f>
        <v>0</v>
      </c>
      <c r="AA450" s="11">
        <f>SUMIFS(SalesByUTMDaily[facebook],SalesByUTMDaily[day],TableDailySummary[[#This Row],[Fecha]])</f>
        <v>0</v>
      </c>
      <c r="AB450" s="11">
        <f>TableDailySummary[[#This Row],[Inversión google ads]]+TableDailySummary[[#This Row],[Inversión meta ads]]</f>
        <v>0</v>
      </c>
      <c r="AC450" s="11">
        <f>TableDailySummary[[#This Row],[Ventas google ads]]+TableDailySummary[[#This Row],[Ventas meta ads]]</f>
        <v>0</v>
      </c>
      <c r="AD450" s="14">
        <f>IFERROR(TableDailySummary[[#This Row],[Ventas publicidad]]/TableDailySummary[[#This Row],[Inversión publicidad]],0)</f>
        <v>0</v>
      </c>
      <c r="AE450" s="14">
        <f>IFERROR(TableDailySummary[[#This Row],[Ventas primer cliente]]/TableDailySummary[[#This Row],[Inversión publicidad]],0)</f>
        <v>0</v>
      </c>
      <c r="AF450" s="14"/>
      <c r="AG450" s="11"/>
      <c r="AM450" s="11">
        <f>_xlfn.XLOOKUP(TableDailySummary[[#This Row],[Fecha]],SummaryDaily[day],SummaryDaily[net_sales_with_cost_recorded],0)</f>
        <v>0</v>
      </c>
      <c r="AN450" s="11">
        <f>_xlfn.XLOOKUP(TableDailySummary[[#This Row],[Fecha]],SummaryDaily[day],SummaryDaily[cost_of_goods_sold],0)</f>
        <v>0</v>
      </c>
      <c r="AO450" s="11">
        <f>_xlfn.XLOOKUP(TableDailySummary[[#This Row],[Fecha]],SummaryDaily[day],SummaryDaily[gross_profit],0)</f>
        <v>0</v>
      </c>
      <c r="AP450" s="18">
        <f>IFERROR(TableDailySummary[[#This Row],[Utilidad bruta]]/TableDailySummary[[#This Row],[Ventas netas con costo registrado]],0)</f>
        <v>0</v>
      </c>
    </row>
    <row r="451" spans="2:42" x14ac:dyDescent="0.2">
      <c r="B451" s="15" cm="1">
        <f t="array" ref="B451">ParamFechaInicioReporte + (ROW(TableDailySummary[#This Row]) - ROW(TableDailySummary[[#Headers],[Dia]]) - 1)</f>
        <v>44978</v>
      </c>
      <c r="C451" s="6">
        <f>TableDailySummary[[#This Row],[Dia]]</f>
        <v>44978</v>
      </c>
      <c r="D451" s="11">
        <f>_xlfn.XLOOKUP(TableDailySummary[[#This Row],[Fecha]],SummaryDaily[day],SummaryDaily[net_sales],0)</f>
        <v>0</v>
      </c>
      <c r="E451" s="11">
        <f>_xlfn.XLOOKUP(TableDailySummary[[#This Row],[Fecha]],SummaryDaily[day],SummaryDaily[orders],0)</f>
        <v>0</v>
      </c>
      <c r="F451" s="11">
        <f>_xlfn.XLOOKUP(TableDailySummary[[#This Row],[Fecha]],SummaryDaily[day],SummaryDaily[average_order_value],0)</f>
        <v>0</v>
      </c>
      <c r="G451" s="24" cm="1">
        <f t="array" ref="G451">_xlfn.XLOOKUP(TableDailySummary[[#This Row],[Fecha]]&amp;"Total site",ConversionRateByReferral[day]&amp;ConversionRateByReferral[referrer_source],ConversionRateByReferral[conversion_rate],0)</f>
        <v>0</v>
      </c>
      <c r="H451" s="11">
        <f>TableDailySummary[[#This Row],[Órden promedio totales]]*TableDailySummary[[#This Row],[CR totales]]</f>
        <v>0</v>
      </c>
      <c r="I451" s="11">
        <f>_xlfn.XLOOKUP(TableDailySummary[[#This Row],[Fecha]],SummaryDaily[day],SummaryDaily[new_net_sales],0)</f>
        <v>0</v>
      </c>
      <c r="J451" s="11">
        <f>_xlfn.XLOOKUP(TableDailySummary[[#This Row],[Fecha]],SummaryDaily[day],SummaryDaily[new_orders],0)</f>
        <v>0</v>
      </c>
      <c r="K451" s="11">
        <f>_xlfn.XLOOKUP(TableDailySummary[[#This Row],[Fecha]],SummaryDaily[day],SummaryDaily[new_average_order_value],0)</f>
        <v>0</v>
      </c>
      <c r="L451" s="11">
        <f>_xlfn.XLOOKUP(TableDailySummary[[#This Row],[Fecha]],SummaryDaily[day],SummaryDaily[Online Store_net_sales],0)</f>
        <v>0</v>
      </c>
      <c r="M451" s="11">
        <f>_xlfn.XLOOKUP(TableDailySummary[[#This Row],[Fecha]],SummaryDaily[day],SummaryDaily[Online Store_orders],0)</f>
        <v>0</v>
      </c>
      <c r="N451" s="11">
        <f>_xlfn.XLOOKUP(TableDailySummary[[#This Row],[Fecha]],SummaryDaily[day],SummaryDaily[Online Store_average_order_value],0)</f>
        <v>0</v>
      </c>
      <c r="O451" s="11">
        <f>_xlfn.XLOOKUP(TableDailySummary[[#This Row],[Fecha]],SummaryDaily[day],SummaryDaily[Tienda 81_net_sales],0)</f>
        <v>0</v>
      </c>
      <c r="P451" s="11">
        <f>_xlfn.XLOOKUP(TableDailySummary[[#This Row],[Fecha]],SummaryDaily[day],SummaryDaily[Tienda 81_orders],0)</f>
        <v>0</v>
      </c>
      <c r="Q451" s="11">
        <f>_xlfn.XLOOKUP(TableDailySummary[[#This Row],[Fecha]],SummaryDaily[day],SummaryDaily[Tienda 81_average_order_value],0)</f>
        <v>0</v>
      </c>
      <c r="R451" s="11">
        <f>_xlfn.XLOOKUP(TableDailySummary[[#This Row],[Fecha]],SummaryDaily[day],SummaryDaily[Rappi_net_sales],0)</f>
        <v>0</v>
      </c>
      <c r="S451" s="11">
        <f>_xlfn.XLOOKUP(TableDailySummary[[#This Row],[Fecha]],SummaryDaily[day],SummaryDaily[Rappi_orders],0)</f>
        <v>0</v>
      </c>
      <c r="T451" s="11">
        <f>_xlfn.XLOOKUP(TableDailySummary[[#This Row],[Fecha]],SummaryDaily[day],SummaryDaily[Rappi_average_order_value],0)</f>
        <v>0</v>
      </c>
      <c r="U451" s="11">
        <f>_xlfn.XLOOKUP(TableDailySummary[[#This Row],[Fecha]],SummaryDaily[day],SummaryDaily[Corporativo no tienda_net_sales],0)</f>
        <v>0</v>
      </c>
      <c r="V451" s="11">
        <f>_xlfn.XLOOKUP(TableDailySummary[[#This Row],[Fecha]],SummaryDaily[day],SummaryDaily[Corporativo no tienda_orders],0)</f>
        <v>0</v>
      </c>
      <c r="W451" s="11">
        <f>_xlfn.XLOOKUP(TableDailySummary[[#This Row],[Fecha]],SummaryDaily[day],SummaryDaily[Corporativo no tienda_average_order_value],0)</f>
        <v>0</v>
      </c>
      <c r="X451" s="11">
        <f>_xlfn.XLOOKUP(TableDailySummary[[#This Row],[Fecha]],SummaryDaily[day],SummaryDaily[GoogleAdsOperation.Cost],0)</f>
        <v>0</v>
      </c>
      <c r="Y451" s="11">
        <f>SUMIFS(SalesByUTMDaily[google],SalesByUTMDaily[day],TableDailySummary[[#This Row],[Fecha]])</f>
        <v>0</v>
      </c>
      <c r="Z451" s="11">
        <f>_xlfn.XLOOKUP(TableDailySummary[[#This Row],[Fecha]],SummaryDaily[day],SummaryDaily[MetaAdsOperation.spend],0)</f>
        <v>0</v>
      </c>
      <c r="AA451" s="11">
        <f>SUMIFS(SalesByUTMDaily[facebook],SalesByUTMDaily[day],TableDailySummary[[#This Row],[Fecha]])</f>
        <v>0</v>
      </c>
      <c r="AB451" s="11">
        <f>TableDailySummary[[#This Row],[Inversión google ads]]+TableDailySummary[[#This Row],[Inversión meta ads]]</f>
        <v>0</v>
      </c>
      <c r="AC451" s="11">
        <f>TableDailySummary[[#This Row],[Ventas google ads]]+TableDailySummary[[#This Row],[Ventas meta ads]]</f>
        <v>0</v>
      </c>
      <c r="AD451" s="14">
        <f>IFERROR(TableDailySummary[[#This Row],[Ventas publicidad]]/TableDailySummary[[#This Row],[Inversión publicidad]],0)</f>
        <v>0</v>
      </c>
      <c r="AE451" s="14">
        <f>IFERROR(TableDailySummary[[#This Row],[Ventas primer cliente]]/TableDailySummary[[#This Row],[Inversión publicidad]],0)</f>
        <v>0</v>
      </c>
      <c r="AF451" s="14"/>
      <c r="AG451" s="11"/>
      <c r="AM451" s="11">
        <f>_xlfn.XLOOKUP(TableDailySummary[[#This Row],[Fecha]],SummaryDaily[day],SummaryDaily[net_sales_with_cost_recorded],0)</f>
        <v>0</v>
      </c>
      <c r="AN451" s="11">
        <f>_xlfn.XLOOKUP(TableDailySummary[[#This Row],[Fecha]],SummaryDaily[day],SummaryDaily[cost_of_goods_sold],0)</f>
        <v>0</v>
      </c>
      <c r="AO451" s="11">
        <f>_xlfn.XLOOKUP(TableDailySummary[[#This Row],[Fecha]],SummaryDaily[day],SummaryDaily[gross_profit],0)</f>
        <v>0</v>
      </c>
      <c r="AP451" s="18">
        <f>IFERROR(TableDailySummary[[#This Row],[Utilidad bruta]]/TableDailySummary[[#This Row],[Ventas netas con costo registrado]],0)</f>
        <v>0</v>
      </c>
    </row>
    <row r="452" spans="2:42" x14ac:dyDescent="0.2">
      <c r="B452" s="15" cm="1">
        <f t="array" ref="B452">ParamFechaInicioReporte + (ROW(TableDailySummary[#This Row]) - ROW(TableDailySummary[[#Headers],[Dia]]) - 1)</f>
        <v>44979</v>
      </c>
      <c r="C452" s="6">
        <f>TableDailySummary[[#This Row],[Dia]]</f>
        <v>44979</v>
      </c>
      <c r="D452" s="11">
        <f>_xlfn.XLOOKUP(TableDailySummary[[#This Row],[Fecha]],SummaryDaily[day],SummaryDaily[net_sales],0)</f>
        <v>0</v>
      </c>
      <c r="E452" s="11">
        <f>_xlfn.XLOOKUP(TableDailySummary[[#This Row],[Fecha]],SummaryDaily[day],SummaryDaily[orders],0)</f>
        <v>0</v>
      </c>
      <c r="F452" s="11">
        <f>_xlfn.XLOOKUP(TableDailySummary[[#This Row],[Fecha]],SummaryDaily[day],SummaryDaily[average_order_value],0)</f>
        <v>0</v>
      </c>
      <c r="G452" s="24" cm="1">
        <f t="array" ref="G452">_xlfn.XLOOKUP(TableDailySummary[[#This Row],[Fecha]]&amp;"Total site",ConversionRateByReferral[day]&amp;ConversionRateByReferral[referrer_source],ConversionRateByReferral[conversion_rate],0)</f>
        <v>0</v>
      </c>
      <c r="H452" s="11">
        <f>TableDailySummary[[#This Row],[Órden promedio totales]]*TableDailySummary[[#This Row],[CR totales]]</f>
        <v>0</v>
      </c>
      <c r="I452" s="11">
        <f>_xlfn.XLOOKUP(TableDailySummary[[#This Row],[Fecha]],SummaryDaily[day],SummaryDaily[new_net_sales],0)</f>
        <v>0</v>
      </c>
      <c r="J452" s="11">
        <f>_xlfn.XLOOKUP(TableDailySummary[[#This Row],[Fecha]],SummaryDaily[day],SummaryDaily[new_orders],0)</f>
        <v>0</v>
      </c>
      <c r="K452" s="11">
        <f>_xlfn.XLOOKUP(TableDailySummary[[#This Row],[Fecha]],SummaryDaily[day],SummaryDaily[new_average_order_value],0)</f>
        <v>0</v>
      </c>
      <c r="L452" s="11">
        <f>_xlfn.XLOOKUP(TableDailySummary[[#This Row],[Fecha]],SummaryDaily[day],SummaryDaily[Online Store_net_sales],0)</f>
        <v>0</v>
      </c>
      <c r="M452" s="11">
        <f>_xlfn.XLOOKUP(TableDailySummary[[#This Row],[Fecha]],SummaryDaily[day],SummaryDaily[Online Store_orders],0)</f>
        <v>0</v>
      </c>
      <c r="N452" s="11">
        <f>_xlfn.XLOOKUP(TableDailySummary[[#This Row],[Fecha]],SummaryDaily[day],SummaryDaily[Online Store_average_order_value],0)</f>
        <v>0</v>
      </c>
      <c r="O452" s="11">
        <f>_xlfn.XLOOKUP(TableDailySummary[[#This Row],[Fecha]],SummaryDaily[day],SummaryDaily[Tienda 81_net_sales],0)</f>
        <v>0</v>
      </c>
      <c r="P452" s="11">
        <f>_xlfn.XLOOKUP(TableDailySummary[[#This Row],[Fecha]],SummaryDaily[day],SummaryDaily[Tienda 81_orders],0)</f>
        <v>0</v>
      </c>
      <c r="Q452" s="11">
        <f>_xlfn.XLOOKUP(TableDailySummary[[#This Row],[Fecha]],SummaryDaily[day],SummaryDaily[Tienda 81_average_order_value],0)</f>
        <v>0</v>
      </c>
      <c r="R452" s="11">
        <f>_xlfn.XLOOKUP(TableDailySummary[[#This Row],[Fecha]],SummaryDaily[day],SummaryDaily[Rappi_net_sales],0)</f>
        <v>0</v>
      </c>
      <c r="S452" s="11">
        <f>_xlfn.XLOOKUP(TableDailySummary[[#This Row],[Fecha]],SummaryDaily[day],SummaryDaily[Rappi_orders],0)</f>
        <v>0</v>
      </c>
      <c r="T452" s="11">
        <f>_xlfn.XLOOKUP(TableDailySummary[[#This Row],[Fecha]],SummaryDaily[day],SummaryDaily[Rappi_average_order_value],0)</f>
        <v>0</v>
      </c>
      <c r="U452" s="11">
        <f>_xlfn.XLOOKUP(TableDailySummary[[#This Row],[Fecha]],SummaryDaily[day],SummaryDaily[Corporativo no tienda_net_sales],0)</f>
        <v>0</v>
      </c>
      <c r="V452" s="11">
        <f>_xlfn.XLOOKUP(TableDailySummary[[#This Row],[Fecha]],SummaryDaily[day],SummaryDaily[Corporativo no tienda_orders],0)</f>
        <v>0</v>
      </c>
      <c r="W452" s="11">
        <f>_xlfn.XLOOKUP(TableDailySummary[[#This Row],[Fecha]],SummaryDaily[day],SummaryDaily[Corporativo no tienda_average_order_value],0)</f>
        <v>0</v>
      </c>
      <c r="X452" s="11">
        <f>_xlfn.XLOOKUP(TableDailySummary[[#This Row],[Fecha]],SummaryDaily[day],SummaryDaily[GoogleAdsOperation.Cost],0)</f>
        <v>0</v>
      </c>
      <c r="Y452" s="11">
        <f>SUMIFS(SalesByUTMDaily[google],SalesByUTMDaily[day],TableDailySummary[[#This Row],[Fecha]])</f>
        <v>0</v>
      </c>
      <c r="Z452" s="11">
        <f>_xlfn.XLOOKUP(TableDailySummary[[#This Row],[Fecha]],SummaryDaily[day],SummaryDaily[MetaAdsOperation.spend],0)</f>
        <v>0</v>
      </c>
      <c r="AA452" s="11">
        <f>SUMIFS(SalesByUTMDaily[facebook],SalesByUTMDaily[day],TableDailySummary[[#This Row],[Fecha]])</f>
        <v>0</v>
      </c>
      <c r="AB452" s="11">
        <f>TableDailySummary[[#This Row],[Inversión google ads]]+TableDailySummary[[#This Row],[Inversión meta ads]]</f>
        <v>0</v>
      </c>
      <c r="AC452" s="11">
        <f>TableDailySummary[[#This Row],[Ventas google ads]]+TableDailySummary[[#This Row],[Ventas meta ads]]</f>
        <v>0</v>
      </c>
      <c r="AD452" s="14">
        <f>IFERROR(TableDailySummary[[#This Row],[Ventas publicidad]]/TableDailySummary[[#This Row],[Inversión publicidad]],0)</f>
        <v>0</v>
      </c>
      <c r="AE452" s="14">
        <f>IFERROR(TableDailySummary[[#This Row],[Ventas primer cliente]]/TableDailySummary[[#This Row],[Inversión publicidad]],0)</f>
        <v>0</v>
      </c>
      <c r="AF452" s="14"/>
      <c r="AG452" s="11"/>
      <c r="AM452" s="11">
        <f>_xlfn.XLOOKUP(TableDailySummary[[#This Row],[Fecha]],SummaryDaily[day],SummaryDaily[net_sales_with_cost_recorded],0)</f>
        <v>0</v>
      </c>
      <c r="AN452" s="11">
        <f>_xlfn.XLOOKUP(TableDailySummary[[#This Row],[Fecha]],SummaryDaily[day],SummaryDaily[cost_of_goods_sold],0)</f>
        <v>0</v>
      </c>
      <c r="AO452" s="11">
        <f>_xlfn.XLOOKUP(TableDailySummary[[#This Row],[Fecha]],SummaryDaily[day],SummaryDaily[gross_profit],0)</f>
        <v>0</v>
      </c>
      <c r="AP452" s="18">
        <f>IFERROR(TableDailySummary[[#This Row],[Utilidad bruta]]/TableDailySummary[[#This Row],[Ventas netas con costo registrado]],0)</f>
        <v>0</v>
      </c>
    </row>
    <row r="453" spans="2:42" x14ac:dyDescent="0.2">
      <c r="B453" s="15" cm="1">
        <f t="array" ref="B453">ParamFechaInicioReporte + (ROW(TableDailySummary[#This Row]) - ROW(TableDailySummary[[#Headers],[Dia]]) - 1)</f>
        <v>44980</v>
      </c>
      <c r="C453" s="6">
        <f>TableDailySummary[[#This Row],[Dia]]</f>
        <v>44980</v>
      </c>
      <c r="D453" s="11">
        <f>_xlfn.XLOOKUP(TableDailySummary[[#This Row],[Fecha]],SummaryDaily[day],SummaryDaily[net_sales],0)</f>
        <v>0</v>
      </c>
      <c r="E453" s="11">
        <f>_xlfn.XLOOKUP(TableDailySummary[[#This Row],[Fecha]],SummaryDaily[day],SummaryDaily[orders],0)</f>
        <v>0</v>
      </c>
      <c r="F453" s="11">
        <f>_xlfn.XLOOKUP(TableDailySummary[[#This Row],[Fecha]],SummaryDaily[day],SummaryDaily[average_order_value],0)</f>
        <v>0</v>
      </c>
      <c r="G453" s="24" cm="1">
        <f t="array" ref="G453">_xlfn.XLOOKUP(TableDailySummary[[#This Row],[Fecha]]&amp;"Total site",ConversionRateByReferral[day]&amp;ConversionRateByReferral[referrer_source],ConversionRateByReferral[conversion_rate],0)</f>
        <v>0</v>
      </c>
      <c r="H453" s="11">
        <f>TableDailySummary[[#This Row],[Órden promedio totales]]*TableDailySummary[[#This Row],[CR totales]]</f>
        <v>0</v>
      </c>
      <c r="I453" s="11">
        <f>_xlfn.XLOOKUP(TableDailySummary[[#This Row],[Fecha]],SummaryDaily[day],SummaryDaily[new_net_sales],0)</f>
        <v>0</v>
      </c>
      <c r="J453" s="11">
        <f>_xlfn.XLOOKUP(TableDailySummary[[#This Row],[Fecha]],SummaryDaily[day],SummaryDaily[new_orders],0)</f>
        <v>0</v>
      </c>
      <c r="K453" s="11">
        <f>_xlfn.XLOOKUP(TableDailySummary[[#This Row],[Fecha]],SummaryDaily[day],SummaryDaily[new_average_order_value],0)</f>
        <v>0</v>
      </c>
      <c r="L453" s="11">
        <f>_xlfn.XLOOKUP(TableDailySummary[[#This Row],[Fecha]],SummaryDaily[day],SummaryDaily[Online Store_net_sales],0)</f>
        <v>0</v>
      </c>
      <c r="M453" s="11">
        <f>_xlfn.XLOOKUP(TableDailySummary[[#This Row],[Fecha]],SummaryDaily[day],SummaryDaily[Online Store_orders],0)</f>
        <v>0</v>
      </c>
      <c r="N453" s="11">
        <f>_xlfn.XLOOKUP(TableDailySummary[[#This Row],[Fecha]],SummaryDaily[day],SummaryDaily[Online Store_average_order_value],0)</f>
        <v>0</v>
      </c>
      <c r="O453" s="11">
        <f>_xlfn.XLOOKUP(TableDailySummary[[#This Row],[Fecha]],SummaryDaily[day],SummaryDaily[Tienda 81_net_sales],0)</f>
        <v>0</v>
      </c>
      <c r="P453" s="11">
        <f>_xlfn.XLOOKUP(TableDailySummary[[#This Row],[Fecha]],SummaryDaily[day],SummaryDaily[Tienda 81_orders],0)</f>
        <v>0</v>
      </c>
      <c r="Q453" s="11">
        <f>_xlfn.XLOOKUP(TableDailySummary[[#This Row],[Fecha]],SummaryDaily[day],SummaryDaily[Tienda 81_average_order_value],0)</f>
        <v>0</v>
      </c>
      <c r="R453" s="11">
        <f>_xlfn.XLOOKUP(TableDailySummary[[#This Row],[Fecha]],SummaryDaily[day],SummaryDaily[Rappi_net_sales],0)</f>
        <v>0</v>
      </c>
      <c r="S453" s="11">
        <f>_xlfn.XLOOKUP(TableDailySummary[[#This Row],[Fecha]],SummaryDaily[day],SummaryDaily[Rappi_orders],0)</f>
        <v>0</v>
      </c>
      <c r="T453" s="11">
        <f>_xlfn.XLOOKUP(TableDailySummary[[#This Row],[Fecha]],SummaryDaily[day],SummaryDaily[Rappi_average_order_value],0)</f>
        <v>0</v>
      </c>
      <c r="U453" s="11">
        <f>_xlfn.XLOOKUP(TableDailySummary[[#This Row],[Fecha]],SummaryDaily[day],SummaryDaily[Corporativo no tienda_net_sales],0)</f>
        <v>0</v>
      </c>
      <c r="V453" s="11">
        <f>_xlfn.XLOOKUP(TableDailySummary[[#This Row],[Fecha]],SummaryDaily[day],SummaryDaily[Corporativo no tienda_orders],0)</f>
        <v>0</v>
      </c>
      <c r="W453" s="11">
        <f>_xlfn.XLOOKUP(TableDailySummary[[#This Row],[Fecha]],SummaryDaily[day],SummaryDaily[Corporativo no tienda_average_order_value],0)</f>
        <v>0</v>
      </c>
      <c r="X453" s="11">
        <f>_xlfn.XLOOKUP(TableDailySummary[[#This Row],[Fecha]],SummaryDaily[day],SummaryDaily[GoogleAdsOperation.Cost],0)</f>
        <v>0</v>
      </c>
      <c r="Y453" s="11">
        <f>SUMIFS(SalesByUTMDaily[google],SalesByUTMDaily[day],TableDailySummary[[#This Row],[Fecha]])</f>
        <v>0</v>
      </c>
      <c r="Z453" s="11">
        <f>_xlfn.XLOOKUP(TableDailySummary[[#This Row],[Fecha]],SummaryDaily[day],SummaryDaily[MetaAdsOperation.spend],0)</f>
        <v>0</v>
      </c>
      <c r="AA453" s="11">
        <f>SUMIFS(SalesByUTMDaily[facebook],SalesByUTMDaily[day],TableDailySummary[[#This Row],[Fecha]])</f>
        <v>0</v>
      </c>
      <c r="AB453" s="11">
        <f>TableDailySummary[[#This Row],[Inversión google ads]]+TableDailySummary[[#This Row],[Inversión meta ads]]</f>
        <v>0</v>
      </c>
      <c r="AC453" s="11">
        <f>TableDailySummary[[#This Row],[Ventas google ads]]+TableDailySummary[[#This Row],[Ventas meta ads]]</f>
        <v>0</v>
      </c>
      <c r="AD453" s="14">
        <f>IFERROR(TableDailySummary[[#This Row],[Ventas publicidad]]/TableDailySummary[[#This Row],[Inversión publicidad]],0)</f>
        <v>0</v>
      </c>
      <c r="AE453" s="14">
        <f>IFERROR(TableDailySummary[[#This Row],[Ventas primer cliente]]/TableDailySummary[[#This Row],[Inversión publicidad]],0)</f>
        <v>0</v>
      </c>
      <c r="AF453" s="14"/>
      <c r="AG453" s="11"/>
      <c r="AM453" s="11">
        <f>_xlfn.XLOOKUP(TableDailySummary[[#This Row],[Fecha]],SummaryDaily[day],SummaryDaily[net_sales_with_cost_recorded],0)</f>
        <v>0</v>
      </c>
      <c r="AN453" s="11">
        <f>_xlfn.XLOOKUP(TableDailySummary[[#This Row],[Fecha]],SummaryDaily[day],SummaryDaily[cost_of_goods_sold],0)</f>
        <v>0</v>
      </c>
      <c r="AO453" s="11">
        <f>_xlfn.XLOOKUP(TableDailySummary[[#This Row],[Fecha]],SummaryDaily[day],SummaryDaily[gross_profit],0)</f>
        <v>0</v>
      </c>
      <c r="AP453" s="18">
        <f>IFERROR(TableDailySummary[[#This Row],[Utilidad bruta]]/TableDailySummary[[#This Row],[Ventas netas con costo registrado]],0)</f>
        <v>0</v>
      </c>
    </row>
    <row r="454" spans="2:42" x14ac:dyDescent="0.2">
      <c r="B454" s="15" cm="1">
        <f t="array" ref="B454">ParamFechaInicioReporte + (ROW(TableDailySummary[#This Row]) - ROW(TableDailySummary[[#Headers],[Dia]]) - 1)</f>
        <v>44981</v>
      </c>
      <c r="C454" s="6">
        <f>TableDailySummary[[#This Row],[Dia]]</f>
        <v>44981</v>
      </c>
      <c r="D454" s="11">
        <f>_xlfn.XLOOKUP(TableDailySummary[[#This Row],[Fecha]],SummaryDaily[day],SummaryDaily[net_sales],0)</f>
        <v>0</v>
      </c>
      <c r="E454" s="11">
        <f>_xlfn.XLOOKUP(TableDailySummary[[#This Row],[Fecha]],SummaryDaily[day],SummaryDaily[orders],0)</f>
        <v>0</v>
      </c>
      <c r="F454" s="11">
        <f>_xlfn.XLOOKUP(TableDailySummary[[#This Row],[Fecha]],SummaryDaily[day],SummaryDaily[average_order_value],0)</f>
        <v>0</v>
      </c>
      <c r="G454" s="24" cm="1">
        <f t="array" ref="G454">_xlfn.XLOOKUP(TableDailySummary[[#This Row],[Fecha]]&amp;"Total site",ConversionRateByReferral[day]&amp;ConversionRateByReferral[referrer_source],ConversionRateByReferral[conversion_rate],0)</f>
        <v>0</v>
      </c>
      <c r="H454" s="11">
        <f>TableDailySummary[[#This Row],[Órden promedio totales]]*TableDailySummary[[#This Row],[CR totales]]</f>
        <v>0</v>
      </c>
      <c r="I454" s="11">
        <f>_xlfn.XLOOKUP(TableDailySummary[[#This Row],[Fecha]],SummaryDaily[day],SummaryDaily[new_net_sales],0)</f>
        <v>0</v>
      </c>
      <c r="J454" s="11">
        <f>_xlfn.XLOOKUP(TableDailySummary[[#This Row],[Fecha]],SummaryDaily[day],SummaryDaily[new_orders],0)</f>
        <v>0</v>
      </c>
      <c r="K454" s="11">
        <f>_xlfn.XLOOKUP(TableDailySummary[[#This Row],[Fecha]],SummaryDaily[day],SummaryDaily[new_average_order_value],0)</f>
        <v>0</v>
      </c>
      <c r="L454" s="11">
        <f>_xlfn.XLOOKUP(TableDailySummary[[#This Row],[Fecha]],SummaryDaily[day],SummaryDaily[Online Store_net_sales],0)</f>
        <v>0</v>
      </c>
      <c r="M454" s="11">
        <f>_xlfn.XLOOKUP(TableDailySummary[[#This Row],[Fecha]],SummaryDaily[day],SummaryDaily[Online Store_orders],0)</f>
        <v>0</v>
      </c>
      <c r="N454" s="11">
        <f>_xlfn.XLOOKUP(TableDailySummary[[#This Row],[Fecha]],SummaryDaily[day],SummaryDaily[Online Store_average_order_value],0)</f>
        <v>0</v>
      </c>
      <c r="O454" s="11">
        <f>_xlfn.XLOOKUP(TableDailySummary[[#This Row],[Fecha]],SummaryDaily[day],SummaryDaily[Tienda 81_net_sales],0)</f>
        <v>0</v>
      </c>
      <c r="P454" s="11">
        <f>_xlfn.XLOOKUP(TableDailySummary[[#This Row],[Fecha]],SummaryDaily[day],SummaryDaily[Tienda 81_orders],0)</f>
        <v>0</v>
      </c>
      <c r="Q454" s="11">
        <f>_xlfn.XLOOKUP(TableDailySummary[[#This Row],[Fecha]],SummaryDaily[day],SummaryDaily[Tienda 81_average_order_value],0)</f>
        <v>0</v>
      </c>
      <c r="R454" s="11">
        <f>_xlfn.XLOOKUP(TableDailySummary[[#This Row],[Fecha]],SummaryDaily[day],SummaryDaily[Rappi_net_sales],0)</f>
        <v>0</v>
      </c>
      <c r="S454" s="11">
        <f>_xlfn.XLOOKUP(TableDailySummary[[#This Row],[Fecha]],SummaryDaily[day],SummaryDaily[Rappi_orders],0)</f>
        <v>0</v>
      </c>
      <c r="T454" s="11">
        <f>_xlfn.XLOOKUP(TableDailySummary[[#This Row],[Fecha]],SummaryDaily[day],SummaryDaily[Rappi_average_order_value],0)</f>
        <v>0</v>
      </c>
      <c r="U454" s="11">
        <f>_xlfn.XLOOKUP(TableDailySummary[[#This Row],[Fecha]],SummaryDaily[day],SummaryDaily[Corporativo no tienda_net_sales],0)</f>
        <v>0</v>
      </c>
      <c r="V454" s="11">
        <f>_xlfn.XLOOKUP(TableDailySummary[[#This Row],[Fecha]],SummaryDaily[day],SummaryDaily[Corporativo no tienda_orders],0)</f>
        <v>0</v>
      </c>
      <c r="W454" s="11">
        <f>_xlfn.XLOOKUP(TableDailySummary[[#This Row],[Fecha]],SummaryDaily[day],SummaryDaily[Corporativo no tienda_average_order_value],0)</f>
        <v>0</v>
      </c>
      <c r="X454" s="11">
        <f>_xlfn.XLOOKUP(TableDailySummary[[#This Row],[Fecha]],SummaryDaily[day],SummaryDaily[GoogleAdsOperation.Cost],0)</f>
        <v>0</v>
      </c>
      <c r="Y454" s="11">
        <f>SUMIFS(SalesByUTMDaily[google],SalesByUTMDaily[day],TableDailySummary[[#This Row],[Fecha]])</f>
        <v>0</v>
      </c>
      <c r="Z454" s="11">
        <f>_xlfn.XLOOKUP(TableDailySummary[[#This Row],[Fecha]],SummaryDaily[day],SummaryDaily[MetaAdsOperation.spend],0)</f>
        <v>0</v>
      </c>
      <c r="AA454" s="11">
        <f>SUMIFS(SalesByUTMDaily[facebook],SalesByUTMDaily[day],TableDailySummary[[#This Row],[Fecha]])</f>
        <v>0</v>
      </c>
      <c r="AB454" s="11">
        <f>TableDailySummary[[#This Row],[Inversión google ads]]+TableDailySummary[[#This Row],[Inversión meta ads]]</f>
        <v>0</v>
      </c>
      <c r="AC454" s="11">
        <f>TableDailySummary[[#This Row],[Ventas google ads]]+TableDailySummary[[#This Row],[Ventas meta ads]]</f>
        <v>0</v>
      </c>
      <c r="AD454" s="14">
        <f>IFERROR(TableDailySummary[[#This Row],[Ventas publicidad]]/TableDailySummary[[#This Row],[Inversión publicidad]],0)</f>
        <v>0</v>
      </c>
      <c r="AE454" s="14">
        <f>IFERROR(TableDailySummary[[#This Row],[Ventas primer cliente]]/TableDailySummary[[#This Row],[Inversión publicidad]],0)</f>
        <v>0</v>
      </c>
      <c r="AF454" s="14"/>
      <c r="AG454" s="11"/>
      <c r="AM454" s="11">
        <f>_xlfn.XLOOKUP(TableDailySummary[[#This Row],[Fecha]],SummaryDaily[day],SummaryDaily[net_sales_with_cost_recorded],0)</f>
        <v>0</v>
      </c>
      <c r="AN454" s="11">
        <f>_xlfn.XLOOKUP(TableDailySummary[[#This Row],[Fecha]],SummaryDaily[day],SummaryDaily[cost_of_goods_sold],0)</f>
        <v>0</v>
      </c>
      <c r="AO454" s="11">
        <f>_xlfn.XLOOKUP(TableDailySummary[[#This Row],[Fecha]],SummaryDaily[day],SummaryDaily[gross_profit],0)</f>
        <v>0</v>
      </c>
      <c r="AP454" s="18">
        <f>IFERROR(TableDailySummary[[#This Row],[Utilidad bruta]]/TableDailySummary[[#This Row],[Ventas netas con costo registrado]],0)</f>
        <v>0</v>
      </c>
    </row>
    <row r="455" spans="2:42" x14ac:dyDescent="0.2">
      <c r="B455" s="15" cm="1">
        <f t="array" ref="B455">ParamFechaInicioReporte + (ROW(TableDailySummary[#This Row]) - ROW(TableDailySummary[[#Headers],[Dia]]) - 1)</f>
        <v>44982</v>
      </c>
      <c r="C455" s="6">
        <f>TableDailySummary[[#This Row],[Dia]]</f>
        <v>44982</v>
      </c>
      <c r="D455" s="11">
        <f>_xlfn.XLOOKUP(TableDailySummary[[#This Row],[Fecha]],SummaryDaily[day],SummaryDaily[net_sales],0)</f>
        <v>0</v>
      </c>
      <c r="E455" s="11">
        <f>_xlfn.XLOOKUP(TableDailySummary[[#This Row],[Fecha]],SummaryDaily[day],SummaryDaily[orders],0)</f>
        <v>0</v>
      </c>
      <c r="F455" s="11">
        <f>_xlfn.XLOOKUP(TableDailySummary[[#This Row],[Fecha]],SummaryDaily[day],SummaryDaily[average_order_value],0)</f>
        <v>0</v>
      </c>
      <c r="G455" s="24" cm="1">
        <f t="array" ref="G455">_xlfn.XLOOKUP(TableDailySummary[[#This Row],[Fecha]]&amp;"Total site",ConversionRateByReferral[day]&amp;ConversionRateByReferral[referrer_source],ConversionRateByReferral[conversion_rate],0)</f>
        <v>0</v>
      </c>
      <c r="H455" s="11">
        <f>TableDailySummary[[#This Row],[Órden promedio totales]]*TableDailySummary[[#This Row],[CR totales]]</f>
        <v>0</v>
      </c>
      <c r="I455" s="11">
        <f>_xlfn.XLOOKUP(TableDailySummary[[#This Row],[Fecha]],SummaryDaily[day],SummaryDaily[new_net_sales],0)</f>
        <v>0</v>
      </c>
      <c r="J455" s="11">
        <f>_xlfn.XLOOKUP(TableDailySummary[[#This Row],[Fecha]],SummaryDaily[day],SummaryDaily[new_orders],0)</f>
        <v>0</v>
      </c>
      <c r="K455" s="11">
        <f>_xlfn.XLOOKUP(TableDailySummary[[#This Row],[Fecha]],SummaryDaily[day],SummaryDaily[new_average_order_value],0)</f>
        <v>0</v>
      </c>
      <c r="L455" s="11">
        <f>_xlfn.XLOOKUP(TableDailySummary[[#This Row],[Fecha]],SummaryDaily[day],SummaryDaily[Online Store_net_sales],0)</f>
        <v>0</v>
      </c>
      <c r="M455" s="11">
        <f>_xlfn.XLOOKUP(TableDailySummary[[#This Row],[Fecha]],SummaryDaily[day],SummaryDaily[Online Store_orders],0)</f>
        <v>0</v>
      </c>
      <c r="N455" s="11">
        <f>_xlfn.XLOOKUP(TableDailySummary[[#This Row],[Fecha]],SummaryDaily[day],SummaryDaily[Online Store_average_order_value],0)</f>
        <v>0</v>
      </c>
      <c r="O455" s="11">
        <f>_xlfn.XLOOKUP(TableDailySummary[[#This Row],[Fecha]],SummaryDaily[day],SummaryDaily[Tienda 81_net_sales],0)</f>
        <v>0</v>
      </c>
      <c r="P455" s="11">
        <f>_xlfn.XLOOKUP(TableDailySummary[[#This Row],[Fecha]],SummaryDaily[day],SummaryDaily[Tienda 81_orders],0)</f>
        <v>0</v>
      </c>
      <c r="Q455" s="11">
        <f>_xlfn.XLOOKUP(TableDailySummary[[#This Row],[Fecha]],SummaryDaily[day],SummaryDaily[Tienda 81_average_order_value],0)</f>
        <v>0</v>
      </c>
      <c r="R455" s="11">
        <f>_xlfn.XLOOKUP(TableDailySummary[[#This Row],[Fecha]],SummaryDaily[day],SummaryDaily[Rappi_net_sales],0)</f>
        <v>0</v>
      </c>
      <c r="S455" s="11">
        <f>_xlfn.XLOOKUP(TableDailySummary[[#This Row],[Fecha]],SummaryDaily[day],SummaryDaily[Rappi_orders],0)</f>
        <v>0</v>
      </c>
      <c r="T455" s="11">
        <f>_xlfn.XLOOKUP(TableDailySummary[[#This Row],[Fecha]],SummaryDaily[day],SummaryDaily[Rappi_average_order_value],0)</f>
        <v>0</v>
      </c>
      <c r="U455" s="11">
        <f>_xlfn.XLOOKUP(TableDailySummary[[#This Row],[Fecha]],SummaryDaily[day],SummaryDaily[Corporativo no tienda_net_sales],0)</f>
        <v>0</v>
      </c>
      <c r="V455" s="11">
        <f>_xlfn.XLOOKUP(TableDailySummary[[#This Row],[Fecha]],SummaryDaily[day],SummaryDaily[Corporativo no tienda_orders],0)</f>
        <v>0</v>
      </c>
      <c r="W455" s="11">
        <f>_xlfn.XLOOKUP(TableDailySummary[[#This Row],[Fecha]],SummaryDaily[day],SummaryDaily[Corporativo no tienda_average_order_value],0)</f>
        <v>0</v>
      </c>
      <c r="X455" s="11">
        <f>_xlfn.XLOOKUP(TableDailySummary[[#This Row],[Fecha]],SummaryDaily[day],SummaryDaily[GoogleAdsOperation.Cost],0)</f>
        <v>0</v>
      </c>
      <c r="Y455" s="11">
        <f>SUMIFS(SalesByUTMDaily[google],SalesByUTMDaily[day],TableDailySummary[[#This Row],[Fecha]])</f>
        <v>0</v>
      </c>
      <c r="Z455" s="11">
        <f>_xlfn.XLOOKUP(TableDailySummary[[#This Row],[Fecha]],SummaryDaily[day],SummaryDaily[MetaAdsOperation.spend],0)</f>
        <v>0</v>
      </c>
      <c r="AA455" s="11">
        <f>SUMIFS(SalesByUTMDaily[facebook],SalesByUTMDaily[day],TableDailySummary[[#This Row],[Fecha]])</f>
        <v>0</v>
      </c>
      <c r="AB455" s="11">
        <f>TableDailySummary[[#This Row],[Inversión google ads]]+TableDailySummary[[#This Row],[Inversión meta ads]]</f>
        <v>0</v>
      </c>
      <c r="AC455" s="11">
        <f>TableDailySummary[[#This Row],[Ventas google ads]]+TableDailySummary[[#This Row],[Ventas meta ads]]</f>
        <v>0</v>
      </c>
      <c r="AD455" s="14">
        <f>IFERROR(TableDailySummary[[#This Row],[Ventas publicidad]]/TableDailySummary[[#This Row],[Inversión publicidad]],0)</f>
        <v>0</v>
      </c>
      <c r="AE455" s="14">
        <f>IFERROR(TableDailySummary[[#This Row],[Ventas primer cliente]]/TableDailySummary[[#This Row],[Inversión publicidad]],0)</f>
        <v>0</v>
      </c>
      <c r="AF455" s="14"/>
      <c r="AG455" s="11"/>
      <c r="AM455" s="11">
        <f>_xlfn.XLOOKUP(TableDailySummary[[#This Row],[Fecha]],SummaryDaily[day],SummaryDaily[net_sales_with_cost_recorded],0)</f>
        <v>0</v>
      </c>
      <c r="AN455" s="11">
        <f>_xlfn.XLOOKUP(TableDailySummary[[#This Row],[Fecha]],SummaryDaily[day],SummaryDaily[cost_of_goods_sold],0)</f>
        <v>0</v>
      </c>
      <c r="AO455" s="11">
        <f>_xlfn.XLOOKUP(TableDailySummary[[#This Row],[Fecha]],SummaryDaily[day],SummaryDaily[gross_profit],0)</f>
        <v>0</v>
      </c>
      <c r="AP455" s="18">
        <f>IFERROR(TableDailySummary[[#This Row],[Utilidad bruta]]/TableDailySummary[[#This Row],[Ventas netas con costo registrado]],0)</f>
        <v>0</v>
      </c>
    </row>
    <row r="456" spans="2:42" x14ac:dyDescent="0.2">
      <c r="B456" s="15" cm="1">
        <f t="array" ref="B456">ParamFechaInicioReporte + (ROW(TableDailySummary[#This Row]) - ROW(TableDailySummary[[#Headers],[Dia]]) - 1)</f>
        <v>44983</v>
      </c>
      <c r="C456" s="6">
        <f>TableDailySummary[[#This Row],[Dia]]</f>
        <v>44983</v>
      </c>
      <c r="D456" s="11">
        <f>_xlfn.XLOOKUP(TableDailySummary[[#This Row],[Fecha]],SummaryDaily[day],SummaryDaily[net_sales],0)</f>
        <v>0</v>
      </c>
      <c r="E456" s="11">
        <f>_xlfn.XLOOKUP(TableDailySummary[[#This Row],[Fecha]],SummaryDaily[day],SummaryDaily[orders],0)</f>
        <v>0</v>
      </c>
      <c r="F456" s="11">
        <f>_xlfn.XLOOKUP(TableDailySummary[[#This Row],[Fecha]],SummaryDaily[day],SummaryDaily[average_order_value],0)</f>
        <v>0</v>
      </c>
      <c r="G456" s="24" cm="1">
        <f t="array" ref="G456">_xlfn.XLOOKUP(TableDailySummary[[#This Row],[Fecha]]&amp;"Total site",ConversionRateByReferral[day]&amp;ConversionRateByReferral[referrer_source],ConversionRateByReferral[conversion_rate],0)</f>
        <v>0</v>
      </c>
      <c r="H456" s="11">
        <f>TableDailySummary[[#This Row],[Órden promedio totales]]*TableDailySummary[[#This Row],[CR totales]]</f>
        <v>0</v>
      </c>
      <c r="I456" s="11">
        <f>_xlfn.XLOOKUP(TableDailySummary[[#This Row],[Fecha]],SummaryDaily[day],SummaryDaily[new_net_sales],0)</f>
        <v>0</v>
      </c>
      <c r="J456" s="11">
        <f>_xlfn.XLOOKUP(TableDailySummary[[#This Row],[Fecha]],SummaryDaily[day],SummaryDaily[new_orders],0)</f>
        <v>0</v>
      </c>
      <c r="K456" s="11">
        <f>_xlfn.XLOOKUP(TableDailySummary[[#This Row],[Fecha]],SummaryDaily[day],SummaryDaily[new_average_order_value],0)</f>
        <v>0</v>
      </c>
      <c r="L456" s="11">
        <f>_xlfn.XLOOKUP(TableDailySummary[[#This Row],[Fecha]],SummaryDaily[day],SummaryDaily[Online Store_net_sales],0)</f>
        <v>0</v>
      </c>
      <c r="M456" s="11">
        <f>_xlfn.XLOOKUP(TableDailySummary[[#This Row],[Fecha]],SummaryDaily[day],SummaryDaily[Online Store_orders],0)</f>
        <v>0</v>
      </c>
      <c r="N456" s="11">
        <f>_xlfn.XLOOKUP(TableDailySummary[[#This Row],[Fecha]],SummaryDaily[day],SummaryDaily[Online Store_average_order_value],0)</f>
        <v>0</v>
      </c>
      <c r="O456" s="11">
        <f>_xlfn.XLOOKUP(TableDailySummary[[#This Row],[Fecha]],SummaryDaily[day],SummaryDaily[Tienda 81_net_sales],0)</f>
        <v>0</v>
      </c>
      <c r="P456" s="11">
        <f>_xlfn.XLOOKUP(TableDailySummary[[#This Row],[Fecha]],SummaryDaily[day],SummaryDaily[Tienda 81_orders],0)</f>
        <v>0</v>
      </c>
      <c r="Q456" s="11">
        <f>_xlfn.XLOOKUP(TableDailySummary[[#This Row],[Fecha]],SummaryDaily[day],SummaryDaily[Tienda 81_average_order_value],0)</f>
        <v>0</v>
      </c>
      <c r="R456" s="11">
        <f>_xlfn.XLOOKUP(TableDailySummary[[#This Row],[Fecha]],SummaryDaily[day],SummaryDaily[Rappi_net_sales],0)</f>
        <v>0</v>
      </c>
      <c r="S456" s="11">
        <f>_xlfn.XLOOKUP(TableDailySummary[[#This Row],[Fecha]],SummaryDaily[day],SummaryDaily[Rappi_orders],0)</f>
        <v>0</v>
      </c>
      <c r="T456" s="11">
        <f>_xlfn.XLOOKUP(TableDailySummary[[#This Row],[Fecha]],SummaryDaily[day],SummaryDaily[Rappi_average_order_value],0)</f>
        <v>0</v>
      </c>
      <c r="U456" s="11">
        <f>_xlfn.XLOOKUP(TableDailySummary[[#This Row],[Fecha]],SummaryDaily[day],SummaryDaily[Corporativo no tienda_net_sales],0)</f>
        <v>0</v>
      </c>
      <c r="V456" s="11">
        <f>_xlfn.XLOOKUP(TableDailySummary[[#This Row],[Fecha]],SummaryDaily[day],SummaryDaily[Corporativo no tienda_orders],0)</f>
        <v>0</v>
      </c>
      <c r="W456" s="11">
        <f>_xlfn.XLOOKUP(TableDailySummary[[#This Row],[Fecha]],SummaryDaily[day],SummaryDaily[Corporativo no tienda_average_order_value],0)</f>
        <v>0</v>
      </c>
      <c r="X456" s="11">
        <f>_xlfn.XLOOKUP(TableDailySummary[[#This Row],[Fecha]],SummaryDaily[day],SummaryDaily[GoogleAdsOperation.Cost],0)</f>
        <v>0</v>
      </c>
      <c r="Y456" s="11">
        <f>SUMIFS(SalesByUTMDaily[google],SalesByUTMDaily[day],TableDailySummary[[#This Row],[Fecha]])</f>
        <v>0</v>
      </c>
      <c r="Z456" s="11">
        <f>_xlfn.XLOOKUP(TableDailySummary[[#This Row],[Fecha]],SummaryDaily[day],SummaryDaily[MetaAdsOperation.spend],0)</f>
        <v>0</v>
      </c>
      <c r="AA456" s="11">
        <f>SUMIFS(SalesByUTMDaily[facebook],SalesByUTMDaily[day],TableDailySummary[[#This Row],[Fecha]])</f>
        <v>0</v>
      </c>
      <c r="AB456" s="11">
        <f>TableDailySummary[[#This Row],[Inversión google ads]]+TableDailySummary[[#This Row],[Inversión meta ads]]</f>
        <v>0</v>
      </c>
      <c r="AC456" s="11">
        <f>TableDailySummary[[#This Row],[Ventas google ads]]+TableDailySummary[[#This Row],[Ventas meta ads]]</f>
        <v>0</v>
      </c>
      <c r="AD456" s="14">
        <f>IFERROR(TableDailySummary[[#This Row],[Ventas publicidad]]/TableDailySummary[[#This Row],[Inversión publicidad]],0)</f>
        <v>0</v>
      </c>
      <c r="AE456" s="14">
        <f>IFERROR(TableDailySummary[[#This Row],[Ventas primer cliente]]/TableDailySummary[[#This Row],[Inversión publicidad]],0)</f>
        <v>0</v>
      </c>
      <c r="AF456" s="14"/>
      <c r="AG456" s="11"/>
      <c r="AM456" s="11">
        <f>_xlfn.XLOOKUP(TableDailySummary[[#This Row],[Fecha]],SummaryDaily[day],SummaryDaily[net_sales_with_cost_recorded],0)</f>
        <v>0</v>
      </c>
      <c r="AN456" s="11">
        <f>_xlfn.XLOOKUP(TableDailySummary[[#This Row],[Fecha]],SummaryDaily[day],SummaryDaily[cost_of_goods_sold],0)</f>
        <v>0</v>
      </c>
      <c r="AO456" s="11">
        <f>_xlfn.XLOOKUP(TableDailySummary[[#This Row],[Fecha]],SummaryDaily[day],SummaryDaily[gross_profit],0)</f>
        <v>0</v>
      </c>
      <c r="AP456" s="18">
        <f>IFERROR(TableDailySummary[[#This Row],[Utilidad bruta]]/TableDailySummary[[#This Row],[Ventas netas con costo registrado]],0)</f>
        <v>0</v>
      </c>
    </row>
    <row r="457" spans="2:42" x14ac:dyDescent="0.2">
      <c r="B457" s="15" cm="1">
        <f t="array" ref="B457">ParamFechaInicioReporte + (ROW(TableDailySummary[#This Row]) - ROW(TableDailySummary[[#Headers],[Dia]]) - 1)</f>
        <v>44984</v>
      </c>
      <c r="C457" s="6">
        <f>TableDailySummary[[#This Row],[Dia]]</f>
        <v>44984</v>
      </c>
      <c r="D457" s="11">
        <f>_xlfn.XLOOKUP(TableDailySummary[[#This Row],[Fecha]],SummaryDaily[day],SummaryDaily[net_sales],0)</f>
        <v>0</v>
      </c>
      <c r="E457" s="11">
        <f>_xlfn.XLOOKUP(TableDailySummary[[#This Row],[Fecha]],SummaryDaily[day],SummaryDaily[orders],0)</f>
        <v>0</v>
      </c>
      <c r="F457" s="11">
        <f>_xlfn.XLOOKUP(TableDailySummary[[#This Row],[Fecha]],SummaryDaily[day],SummaryDaily[average_order_value],0)</f>
        <v>0</v>
      </c>
      <c r="G457" s="24" cm="1">
        <f t="array" ref="G457">_xlfn.XLOOKUP(TableDailySummary[[#This Row],[Fecha]]&amp;"Total site",ConversionRateByReferral[day]&amp;ConversionRateByReferral[referrer_source],ConversionRateByReferral[conversion_rate],0)</f>
        <v>0</v>
      </c>
      <c r="H457" s="11">
        <f>TableDailySummary[[#This Row],[Órden promedio totales]]*TableDailySummary[[#This Row],[CR totales]]</f>
        <v>0</v>
      </c>
      <c r="I457" s="11">
        <f>_xlfn.XLOOKUP(TableDailySummary[[#This Row],[Fecha]],SummaryDaily[day],SummaryDaily[new_net_sales],0)</f>
        <v>0</v>
      </c>
      <c r="J457" s="11">
        <f>_xlfn.XLOOKUP(TableDailySummary[[#This Row],[Fecha]],SummaryDaily[day],SummaryDaily[new_orders],0)</f>
        <v>0</v>
      </c>
      <c r="K457" s="11">
        <f>_xlfn.XLOOKUP(TableDailySummary[[#This Row],[Fecha]],SummaryDaily[day],SummaryDaily[new_average_order_value],0)</f>
        <v>0</v>
      </c>
      <c r="L457" s="11">
        <f>_xlfn.XLOOKUP(TableDailySummary[[#This Row],[Fecha]],SummaryDaily[day],SummaryDaily[Online Store_net_sales],0)</f>
        <v>0</v>
      </c>
      <c r="M457" s="11">
        <f>_xlfn.XLOOKUP(TableDailySummary[[#This Row],[Fecha]],SummaryDaily[day],SummaryDaily[Online Store_orders],0)</f>
        <v>0</v>
      </c>
      <c r="N457" s="11">
        <f>_xlfn.XLOOKUP(TableDailySummary[[#This Row],[Fecha]],SummaryDaily[day],SummaryDaily[Online Store_average_order_value],0)</f>
        <v>0</v>
      </c>
      <c r="O457" s="11">
        <f>_xlfn.XLOOKUP(TableDailySummary[[#This Row],[Fecha]],SummaryDaily[day],SummaryDaily[Tienda 81_net_sales],0)</f>
        <v>0</v>
      </c>
      <c r="P457" s="11">
        <f>_xlfn.XLOOKUP(TableDailySummary[[#This Row],[Fecha]],SummaryDaily[day],SummaryDaily[Tienda 81_orders],0)</f>
        <v>0</v>
      </c>
      <c r="Q457" s="11">
        <f>_xlfn.XLOOKUP(TableDailySummary[[#This Row],[Fecha]],SummaryDaily[day],SummaryDaily[Tienda 81_average_order_value],0)</f>
        <v>0</v>
      </c>
      <c r="R457" s="11">
        <f>_xlfn.XLOOKUP(TableDailySummary[[#This Row],[Fecha]],SummaryDaily[day],SummaryDaily[Rappi_net_sales],0)</f>
        <v>0</v>
      </c>
      <c r="S457" s="11">
        <f>_xlfn.XLOOKUP(TableDailySummary[[#This Row],[Fecha]],SummaryDaily[day],SummaryDaily[Rappi_orders],0)</f>
        <v>0</v>
      </c>
      <c r="T457" s="11">
        <f>_xlfn.XLOOKUP(TableDailySummary[[#This Row],[Fecha]],SummaryDaily[day],SummaryDaily[Rappi_average_order_value],0)</f>
        <v>0</v>
      </c>
      <c r="U457" s="11">
        <f>_xlfn.XLOOKUP(TableDailySummary[[#This Row],[Fecha]],SummaryDaily[day],SummaryDaily[Corporativo no tienda_net_sales],0)</f>
        <v>0</v>
      </c>
      <c r="V457" s="11">
        <f>_xlfn.XLOOKUP(TableDailySummary[[#This Row],[Fecha]],SummaryDaily[day],SummaryDaily[Corporativo no tienda_orders],0)</f>
        <v>0</v>
      </c>
      <c r="W457" s="11">
        <f>_xlfn.XLOOKUP(TableDailySummary[[#This Row],[Fecha]],SummaryDaily[day],SummaryDaily[Corporativo no tienda_average_order_value],0)</f>
        <v>0</v>
      </c>
      <c r="X457" s="11">
        <f>_xlfn.XLOOKUP(TableDailySummary[[#This Row],[Fecha]],SummaryDaily[day],SummaryDaily[GoogleAdsOperation.Cost],0)</f>
        <v>0</v>
      </c>
      <c r="Y457" s="11">
        <f>SUMIFS(SalesByUTMDaily[google],SalesByUTMDaily[day],TableDailySummary[[#This Row],[Fecha]])</f>
        <v>0</v>
      </c>
      <c r="Z457" s="11">
        <f>_xlfn.XLOOKUP(TableDailySummary[[#This Row],[Fecha]],SummaryDaily[day],SummaryDaily[MetaAdsOperation.spend],0)</f>
        <v>0</v>
      </c>
      <c r="AA457" s="11">
        <f>SUMIFS(SalesByUTMDaily[facebook],SalesByUTMDaily[day],TableDailySummary[[#This Row],[Fecha]])</f>
        <v>0</v>
      </c>
      <c r="AB457" s="11">
        <f>TableDailySummary[[#This Row],[Inversión google ads]]+TableDailySummary[[#This Row],[Inversión meta ads]]</f>
        <v>0</v>
      </c>
      <c r="AC457" s="11">
        <f>TableDailySummary[[#This Row],[Ventas google ads]]+TableDailySummary[[#This Row],[Ventas meta ads]]</f>
        <v>0</v>
      </c>
      <c r="AD457" s="14">
        <f>IFERROR(TableDailySummary[[#This Row],[Ventas publicidad]]/TableDailySummary[[#This Row],[Inversión publicidad]],0)</f>
        <v>0</v>
      </c>
      <c r="AE457" s="14">
        <f>IFERROR(TableDailySummary[[#This Row],[Ventas primer cliente]]/TableDailySummary[[#This Row],[Inversión publicidad]],0)</f>
        <v>0</v>
      </c>
      <c r="AF457" s="14"/>
      <c r="AG457" s="11"/>
      <c r="AM457" s="11">
        <f>_xlfn.XLOOKUP(TableDailySummary[[#This Row],[Fecha]],SummaryDaily[day],SummaryDaily[net_sales_with_cost_recorded],0)</f>
        <v>0</v>
      </c>
      <c r="AN457" s="11">
        <f>_xlfn.XLOOKUP(TableDailySummary[[#This Row],[Fecha]],SummaryDaily[day],SummaryDaily[cost_of_goods_sold],0)</f>
        <v>0</v>
      </c>
      <c r="AO457" s="11">
        <f>_xlfn.XLOOKUP(TableDailySummary[[#This Row],[Fecha]],SummaryDaily[day],SummaryDaily[gross_profit],0)</f>
        <v>0</v>
      </c>
      <c r="AP457" s="18">
        <f>IFERROR(TableDailySummary[[#This Row],[Utilidad bruta]]/TableDailySummary[[#This Row],[Ventas netas con costo registrado]],0)</f>
        <v>0</v>
      </c>
    </row>
    <row r="458" spans="2:42" x14ac:dyDescent="0.2">
      <c r="B458" s="15" cm="1">
        <f t="array" ref="B458">ParamFechaInicioReporte + (ROW(TableDailySummary[#This Row]) - ROW(TableDailySummary[[#Headers],[Dia]]) - 1)</f>
        <v>44985</v>
      </c>
      <c r="C458" s="6">
        <f>TableDailySummary[[#This Row],[Dia]]</f>
        <v>44985</v>
      </c>
      <c r="D458" s="11">
        <f>_xlfn.XLOOKUP(TableDailySummary[[#This Row],[Fecha]],SummaryDaily[day],SummaryDaily[net_sales],0)</f>
        <v>0</v>
      </c>
      <c r="E458" s="11">
        <f>_xlfn.XLOOKUP(TableDailySummary[[#This Row],[Fecha]],SummaryDaily[day],SummaryDaily[orders],0)</f>
        <v>0</v>
      </c>
      <c r="F458" s="11">
        <f>_xlfn.XLOOKUP(TableDailySummary[[#This Row],[Fecha]],SummaryDaily[day],SummaryDaily[average_order_value],0)</f>
        <v>0</v>
      </c>
      <c r="G458" s="24" cm="1">
        <f t="array" ref="G458">_xlfn.XLOOKUP(TableDailySummary[[#This Row],[Fecha]]&amp;"Total site",ConversionRateByReferral[day]&amp;ConversionRateByReferral[referrer_source],ConversionRateByReferral[conversion_rate],0)</f>
        <v>0</v>
      </c>
      <c r="H458" s="11">
        <f>TableDailySummary[[#This Row],[Órden promedio totales]]*TableDailySummary[[#This Row],[CR totales]]</f>
        <v>0</v>
      </c>
      <c r="I458" s="11">
        <f>_xlfn.XLOOKUP(TableDailySummary[[#This Row],[Fecha]],SummaryDaily[day],SummaryDaily[new_net_sales],0)</f>
        <v>0</v>
      </c>
      <c r="J458" s="11">
        <f>_xlfn.XLOOKUP(TableDailySummary[[#This Row],[Fecha]],SummaryDaily[day],SummaryDaily[new_orders],0)</f>
        <v>0</v>
      </c>
      <c r="K458" s="11">
        <f>_xlfn.XLOOKUP(TableDailySummary[[#This Row],[Fecha]],SummaryDaily[day],SummaryDaily[new_average_order_value],0)</f>
        <v>0</v>
      </c>
      <c r="L458" s="11">
        <f>_xlfn.XLOOKUP(TableDailySummary[[#This Row],[Fecha]],SummaryDaily[day],SummaryDaily[Online Store_net_sales],0)</f>
        <v>0</v>
      </c>
      <c r="M458" s="11">
        <f>_xlfn.XLOOKUP(TableDailySummary[[#This Row],[Fecha]],SummaryDaily[day],SummaryDaily[Online Store_orders],0)</f>
        <v>0</v>
      </c>
      <c r="N458" s="11">
        <f>_xlfn.XLOOKUP(TableDailySummary[[#This Row],[Fecha]],SummaryDaily[day],SummaryDaily[Online Store_average_order_value],0)</f>
        <v>0</v>
      </c>
      <c r="O458" s="11">
        <f>_xlfn.XLOOKUP(TableDailySummary[[#This Row],[Fecha]],SummaryDaily[day],SummaryDaily[Tienda 81_net_sales],0)</f>
        <v>0</v>
      </c>
      <c r="P458" s="11">
        <f>_xlfn.XLOOKUP(TableDailySummary[[#This Row],[Fecha]],SummaryDaily[day],SummaryDaily[Tienda 81_orders],0)</f>
        <v>0</v>
      </c>
      <c r="Q458" s="11">
        <f>_xlfn.XLOOKUP(TableDailySummary[[#This Row],[Fecha]],SummaryDaily[day],SummaryDaily[Tienda 81_average_order_value],0)</f>
        <v>0</v>
      </c>
      <c r="R458" s="11">
        <f>_xlfn.XLOOKUP(TableDailySummary[[#This Row],[Fecha]],SummaryDaily[day],SummaryDaily[Rappi_net_sales],0)</f>
        <v>0</v>
      </c>
      <c r="S458" s="11">
        <f>_xlfn.XLOOKUP(TableDailySummary[[#This Row],[Fecha]],SummaryDaily[day],SummaryDaily[Rappi_orders],0)</f>
        <v>0</v>
      </c>
      <c r="T458" s="11">
        <f>_xlfn.XLOOKUP(TableDailySummary[[#This Row],[Fecha]],SummaryDaily[day],SummaryDaily[Rappi_average_order_value],0)</f>
        <v>0</v>
      </c>
      <c r="U458" s="11">
        <f>_xlfn.XLOOKUP(TableDailySummary[[#This Row],[Fecha]],SummaryDaily[day],SummaryDaily[Corporativo no tienda_net_sales],0)</f>
        <v>0</v>
      </c>
      <c r="V458" s="11">
        <f>_xlfn.XLOOKUP(TableDailySummary[[#This Row],[Fecha]],SummaryDaily[day],SummaryDaily[Corporativo no tienda_orders],0)</f>
        <v>0</v>
      </c>
      <c r="W458" s="11">
        <f>_xlfn.XLOOKUP(TableDailySummary[[#This Row],[Fecha]],SummaryDaily[day],SummaryDaily[Corporativo no tienda_average_order_value],0)</f>
        <v>0</v>
      </c>
      <c r="X458" s="11">
        <f>_xlfn.XLOOKUP(TableDailySummary[[#This Row],[Fecha]],SummaryDaily[day],SummaryDaily[GoogleAdsOperation.Cost],0)</f>
        <v>0</v>
      </c>
      <c r="Y458" s="11">
        <f>SUMIFS(SalesByUTMDaily[google],SalesByUTMDaily[day],TableDailySummary[[#This Row],[Fecha]])</f>
        <v>0</v>
      </c>
      <c r="Z458" s="11">
        <f>_xlfn.XLOOKUP(TableDailySummary[[#This Row],[Fecha]],SummaryDaily[day],SummaryDaily[MetaAdsOperation.spend],0)</f>
        <v>0</v>
      </c>
      <c r="AA458" s="11">
        <f>SUMIFS(SalesByUTMDaily[facebook],SalesByUTMDaily[day],TableDailySummary[[#This Row],[Fecha]])</f>
        <v>0</v>
      </c>
      <c r="AB458" s="11">
        <f>TableDailySummary[[#This Row],[Inversión google ads]]+TableDailySummary[[#This Row],[Inversión meta ads]]</f>
        <v>0</v>
      </c>
      <c r="AC458" s="11">
        <f>TableDailySummary[[#This Row],[Ventas google ads]]+TableDailySummary[[#This Row],[Ventas meta ads]]</f>
        <v>0</v>
      </c>
      <c r="AD458" s="14">
        <f>IFERROR(TableDailySummary[[#This Row],[Ventas publicidad]]/TableDailySummary[[#This Row],[Inversión publicidad]],0)</f>
        <v>0</v>
      </c>
      <c r="AE458" s="14">
        <f>IFERROR(TableDailySummary[[#This Row],[Ventas primer cliente]]/TableDailySummary[[#This Row],[Inversión publicidad]],0)</f>
        <v>0</v>
      </c>
      <c r="AF458" s="14"/>
      <c r="AG458" s="11"/>
      <c r="AM458" s="11">
        <f>_xlfn.XLOOKUP(TableDailySummary[[#This Row],[Fecha]],SummaryDaily[day],SummaryDaily[net_sales_with_cost_recorded],0)</f>
        <v>0</v>
      </c>
      <c r="AN458" s="11">
        <f>_xlfn.XLOOKUP(TableDailySummary[[#This Row],[Fecha]],SummaryDaily[day],SummaryDaily[cost_of_goods_sold],0)</f>
        <v>0</v>
      </c>
      <c r="AO458" s="11">
        <f>_xlfn.XLOOKUP(TableDailySummary[[#This Row],[Fecha]],SummaryDaily[day],SummaryDaily[gross_profit],0)</f>
        <v>0</v>
      </c>
      <c r="AP458" s="18">
        <f>IFERROR(TableDailySummary[[#This Row],[Utilidad bruta]]/TableDailySummary[[#This Row],[Ventas netas con costo registrado]],0)</f>
        <v>0</v>
      </c>
    </row>
    <row r="459" spans="2:42" x14ac:dyDescent="0.2">
      <c r="B459" s="15" cm="1">
        <f t="array" ref="B459">ParamFechaInicioReporte + (ROW(TableDailySummary[#This Row]) - ROW(TableDailySummary[[#Headers],[Dia]]) - 1)</f>
        <v>44986</v>
      </c>
      <c r="C459" s="6">
        <f>TableDailySummary[[#This Row],[Dia]]</f>
        <v>44986</v>
      </c>
      <c r="D459" s="11">
        <f>_xlfn.XLOOKUP(TableDailySummary[[#This Row],[Fecha]],SummaryDaily[day],SummaryDaily[net_sales],0)</f>
        <v>0</v>
      </c>
      <c r="E459" s="11">
        <f>_xlfn.XLOOKUP(TableDailySummary[[#This Row],[Fecha]],SummaryDaily[day],SummaryDaily[orders],0)</f>
        <v>0</v>
      </c>
      <c r="F459" s="11">
        <f>_xlfn.XLOOKUP(TableDailySummary[[#This Row],[Fecha]],SummaryDaily[day],SummaryDaily[average_order_value],0)</f>
        <v>0</v>
      </c>
      <c r="G459" s="24" cm="1">
        <f t="array" ref="G459">_xlfn.XLOOKUP(TableDailySummary[[#This Row],[Fecha]]&amp;"Total site",ConversionRateByReferral[day]&amp;ConversionRateByReferral[referrer_source],ConversionRateByReferral[conversion_rate],0)</f>
        <v>0</v>
      </c>
      <c r="H459" s="11">
        <f>TableDailySummary[[#This Row],[Órden promedio totales]]*TableDailySummary[[#This Row],[CR totales]]</f>
        <v>0</v>
      </c>
      <c r="I459" s="11">
        <f>_xlfn.XLOOKUP(TableDailySummary[[#This Row],[Fecha]],SummaryDaily[day],SummaryDaily[new_net_sales],0)</f>
        <v>0</v>
      </c>
      <c r="J459" s="11">
        <f>_xlfn.XLOOKUP(TableDailySummary[[#This Row],[Fecha]],SummaryDaily[day],SummaryDaily[new_orders],0)</f>
        <v>0</v>
      </c>
      <c r="K459" s="11">
        <f>_xlfn.XLOOKUP(TableDailySummary[[#This Row],[Fecha]],SummaryDaily[day],SummaryDaily[new_average_order_value],0)</f>
        <v>0</v>
      </c>
      <c r="L459" s="11">
        <f>_xlfn.XLOOKUP(TableDailySummary[[#This Row],[Fecha]],SummaryDaily[day],SummaryDaily[Online Store_net_sales],0)</f>
        <v>0</v>
      </c>
      <c r="M459" s="11">
        <f>_xlfn.XLOOKUP(TableDailySummary[[#This Row],[Fecha]],SummaryDaily[day],SummaryDaily[Online Store_orders],0)</f>
        <v>0</v>
      </c>
      <c r="N459" s="11">
        <f>_xlfn.XLOOKUP(TableDailySummary[[#This Row],[Fecha]],SummaryDaily[day],SummaryDaily[Online Store_average_order_value],0)</f>
        <v>0</v>
      </c>
      <c r="O459" s="11">
        <f>_xlfn.XLOOKUP(TableDailySummary[[#This Row],[Fecha]],SummaryDaily[day],SummaryDaily[Tienda 81_net_sales],0)</f>
        <v>0</v>
      </c>
      <c r="P459" s="11">
        <f>_xlfn.XLOOKUP(TableDailySummary[[#This Row],[Fecha]],SummaryDaily[day],SummaryDaily[Tienda 81_orders],0)</f>
        <v>0</v>
      </c>
      <c r="Q459" s="11">
        <f>_xlfn.XLOOKUP(TableDailySummary[[#This Row],[Fecha]],SummaryDaily[day],SummaryDaily[Tienda 81_average_order_value],0)</f>
        <v>0</v>
      </c>
      <c r="R459" s="11">
        <f>_xlfn.XLOOKUP(TableDailySummary[[#This Row],[Fecha]],SummaryDaily[day],SummaryDaily[Rappi_net_sales],0)</f>
        <v>0</v>
      </c>
      <c r="S459" s="11">
        <f>_xlfn.XLOOKUP(TableDailySummary[[#This Row],[Fecha]],SummaryDaily[day],SummaryDaily[Rappi_orders],0)</f>
        <v>0</v>
      </c>
      <c r="T459" s="11">
        <f>_xlfn.XLOOKUP(TableDailySummary[[#This Row],[Fecha]],SummaryDaily[day],SummaryDaily[Rappi_average_order_value],0)</f>
        <v>0</v>
      </c>
      <c r="U459" s="11">
        <f>_xlfn.XLOOKUP(TableDailySummary[[#This Row],[Fecha]],SummaryDaily[day],SummaryDaily[Corporativo no tienda_net_sales],0)</f>
        <v>0</v>
      </c>
      <c r="V459" s="11">
        <f>_xlfn.XLOOKUP(TableDailySummary[[#This Row],[Fecha]],SummaryDaily[day],SummaryDaily[Corporativo no tienda_orders],0)</f>
        <v>0</v>
      </c>
      <c r="W459" s="11">
        <f>_xlfn.XLOOKUP(TableDailySummary[[#This Row],[Fecha]],SummaryDaily[day],SummaryDaily[Corporativo no tienda_average_order_value],0)</f>
        <v>0</v>
      </c>
      <c r="X459" s="11">
        <f>_xlfn.XLOOKUP(TableDailySummary[[#This Row],[Fecha]],SummaryDaily[day],SummaryDaily[GoogleAdsOperation.Cost],0)</f>
        <v>0</v>
      </c>
      <c r="Y459" s="11">
        <f>SUMIFS(SalesByUTMDaily[google],SalesByUTMDaily[day],TableDailySummary[[#This Row],[Fecha]])</f>
        <v>0</v>
      </c>
      <c r="Z459" s="11">
        <f>_xlfn.XLOOKUP(TableDailySummary[[#This Row],[Fecha]],SummaryDaily[day],SummaryDaily[MetaAdsOperation.spend],0)</f>
        <v>0</v>
      </c>
      <c r="AA459" s="11">
        <f>SUMIFS(SalesByUTMDaily[facebook],SalesByUTMDaily[day],TableDailySummary[[#This Row],[Fecha]])</f>
        <v>0</v>
      </c>
      <c r="AB459" s="11">
        <f>TableDailySummary[[#This Row],[Inversión google ads]]+TableDailySummary[[#This Row],[Inversión meta ads]]</f>
        <v>0</v>
      </c>
      <c r="AC459" s="11">
        <f>TableDailySummary[[#This Row],[Ventas google ads]]+TableDailySummary[[#This Row],[Ventas meta ads]]</f>
        <v>0</v>
      </c>
      <c r="AD459" s="14">
        <f>IFERROR(TableDailySummary[[#This Row],[Ventas publicidad]]/TableDailySummary[[#This Row],[Inversión publicidad]],0)</f>
        <v>0</v>
      </c>
      <c r="AE459" s="14">
        <f>IFERROR(TableDailySummary[[#This Row],[Ventas primer cliente]]/TableDailySummary[[#This Row],[Inversión publicidad]],0)</f>
        <v>0</v>
      </c>
      <c r="AF459" s="14"/>
      <c r="AG459" s="11"/>
      <c r="AM459" s="11">
        <f>_xlfn.XLOOKUP(TableDailySummary[[#This Row],[Fecha]],SummaryDaily[day],SummaryDaily[net_sales_with_cost_recorded],0)</f>
        <v>0</v>
      </c>
      <c r="AN459" s="11">
        <f>_xlfn.XLOOKUP(TableDailySummary[[#This Row],[Fecha]],SummaryDaily[day],SummaryDaily[cost_of_goods_sold],0)</f>
        <v>0</v>
      </c>
      <c r="AO459" s="11">
        <f>_xlfn.XLOOKUP(TableDailySummary[[#This Row],[Fecha]],SummaryDaily[day],SummaryDaily[gross_profit],0)</f>
        <v>0</v>
      </c>
      <c r="AP459" s="18">
        <f>IFERROR(TableDailySummary[[#This Row],[Utilidad bruta]]/TableDailySummary[[#This Row],[Ventas netas con costo registrado]],0)</f>
        <v>0</v>
      </c>
    </row>
    <row r="460" spans="2:42" x14ac:dyDescent="0.2">
      <c r="B460" s="15" cm="1">
        <f t="array" ref="B460">ParamFechaInicioReporte + (ROW(TableDailySummary[#This Row]) - ROW(TableDailySummary[[#Headers],[Dia]]) - 1)</f>
        <v>44987</v>
      </c>
      <c r="C460" s="6">
        <f>TableDailySummary[[#This Row],[Dia]]</f>
        <v>44987</v>
      </c>
      <c r="D460" s="11">
        <f>_xlfn.XLOOKUP(TableDailySummary[[#This Row],[Fecha]],SummaryDaily[day],SummaryDaily[net_sales],0)</f>
        <v>0</v>
      </c>
      <c r="E460" s="11">
        <f>_xlfn.XLOOKUP(TableDailySummary[[#This Row],[Fecha]],SummaryDaily[day],SummaryDaily[orders],0)</f>
        <v>0</v>
      </c>
      <c r="F460" s="11">
        <f>_xlfn.XLOOKUP(TableDailySummary[[#This Row],[Fecha]],SummaryDaily[day],SummaryDaily[average_order_value],0)</f>
        <v>0</v>
      </c>
      <c r="G460" s="24" cm="1">
        <f t="array" ref="G460">_xlfn.XLOOKUP(TableDailySummary[[#This Row],[Fecha]]&amp;"Total site",ConversionRateByReferral[day]&amp;ConversionRateByReferral[referrer_source],ConversionRateByReferral[conversion_rate],0)</f>
        <v>0</v>
      </c>
      <c r="H460" s="11">
        <f>TableDailySummary[[#This Row],[Órden promedio totales]]*TableDailySummary[[#This Row],[CR totales]]</f>
        <v>0</v>
      </c>
      <c r="I460" s="11">
        <f>_xlfn.XLOOKUP(TableDailySummary[[#This Row],[Fecha]],SummaryDaily[day],SummaryDaily[new_net_sales],0)</f>
        <v>0</v>
      </c>
      <c r="J460" s="11">
        <f>_xlfn.XLOOKUP(TableDailySummary[[#This Row],[Fecha]],SummaryDaily[day],SummaryDaily[new_orders],0)</f>
        <v>0</v>
      </c>
      <c r="K460" s="11">
        <f>_xlfn.XLOOKUP(TableDailySummary[[#This Row],[Fecha]],SummaryDaily[day],SummaryDaily[new_average_order_value],0)</f>
        <v>0</v>
      </c>
      <c r="L460" s="11">
        <f>_xlfn.XLOOKUP(TableDailySummary[[#This Row],[Fecha]],SummaryDaily[day],SummaryDaily[Online Store_net_sales],0)</f>
        <v>0</v>
      </c>
      <c r="M460" s="11">
        <f>_xlfn.XLOOKUP(TableDailySummary[[#This Row],[Fecha]],SummaryDaily[day],SummaryDaily[Online Store_orders],0)</f>
        <v>0</v>
      </c>
      <c r="N460" s="11">
        <f>_xlfn.XLOOKUP(TableDailySummary[[#This Row],[Fecha]],SummaryDaily[day],SummaryDaily[Online Store_average_order_value],0)</f>
        <v>0</v>
      </c>
      <c r="O460" s="11">
        <f>_xlfn.XLOOKUP(TableDailySummary[[#This Row],[Fecha]],SummaryDaily[day],SummaryDaily[Tienda 81_net_sales],0)</f>
        <v>0</v>
      </c>
      <c r="P460" s="11">
        <f>_xlfn.XLOOKUP(TableDailySummary[[#This Row],[Fecha]],SummaryDaily[day],SummaryDaily[Tienda 81_orders],0)</f>
        <v>0</v>
      </c>
      <c r="Q460" s="11">
        <f>_xlfn.XLOOKUP(TableDailySummary[[#This Row],[Fecha]],SummaryDaily[day],SummaryDaily[Tienda 81_average_order_value],0)</f>
        <v>0</v>
      </c>
      <c r="R460" s="11">
        <f>_xlfn.XLOOKUP(TableDailySummary[[#This Row],[Fecha]],SummaryDaily[day],SummaryDaily[Rappi_net_sales],0)</f>
        <v>0</v>
      </c>
      <c r="S460" s="11">
        <f>_xlfn.XLOOKUP(TableDailySummary[[#This Row],[Fecha]],SummaryDaily[day],SummaryDaily[Rappi_orders],0)</f>
        <v>0</v>
      </c>
      <c r="T460" s="11">
        <f>_xlfn.XLOOKUP(TableDailySummary[[#This Row],[Fecha]],SummaryDaily[day],SummaryDaily[Rappi_average_order_value],0)</f>
        <v>0</v>
      </c>
      <c r="U460" s="11">
        <f>_xlfn.XLOOKUP(TableDailySummary[[#This Row],[Fecha]],SummaryDaily[day],SummaryDaily[Corporativo no tienda_net_sales],0)</f>
        <v>0</v>
      </c>
      <c r="V460" s="11">
        <f>_xlfn.XLOOKUP(TableDailySummary[[#This Row],[Fecha]],SummaryDaily[day],SummaryDaily[Corporativo no tienda_orders],0)</f>
        <v>0</v>
      </c>
      <c r="W460" s="11">
        <f>_xlfn.XLOOKUP(TableDailySummary[[#This Row],[Fecha]],SummaryDaily[day],SummaryDaily[Corporativo no tienda_average_order_value],0)</f>
        <v>0</v>
      </c>
      <c r="X460" s="11">
        <f>_xlfn.XLOOKUP(TableDailySummary[[#This Row],[Fecha]],SummaryDaily[day],SummaryDaily[GoogleAdsOperation.Cost],0)</f>
        <v>0</v>
      </c>
      <c r="Y460" s="11">
        <f>SUMIFS(SalesByUTMDaily[google],SalesByUTMDaily[day],TableDailySummary[[#This Row],[Fecha]])</f>
        <v>0</v>
      </c>
      <c r="Z460" s="11">
        <f>_xlfn.XLOOKUP(TableDailySummary[[#This Row],[Fecha]],SummaryDaily[day],SummaryDaily[MetaAdsOperation.spend],0)</f>
        <v>0</v>
      </c>
      <c r="AA460" s="11">
        <f>SUMIFS(SalesByUTMDaily[facebook],SalesByUTMDaily[day],TableDailySummary[[#This Row],[Fecha]])</f>
        <v>0</v>
      </c>
      <c r="AB460" s="11">
        <f>TableDailySummary[[#This Row],[Inversión google ads]]+TableDailySummary[[#This Row],[Inversión meta ads]]</f>
        <v>0</v>
      </c>
      <c r="AC460" s="11">
        <f>TableDailySummary[[#This Row],[Ventas google ads]]+TableDailySummary[[#This Row],[Ventas meta ads]]</f>
        <v>0</v>
      </c>
      <c r="AD460" s="14">
        <f>IFERROR(TableDailySummary[[#This Row],[Ventas publicidad]]/TableDailySummary[[#This Row],[Inversión publicidad]],0)</f>
        <v>0</v>
      </c>
      <c r="AE460" s="14">
        <f>IFERROR(TableDailySummary[[#This Row],[Ventas primer cliente]]/TableDailySummary[[#This Row],[Inversión publicidad]],0)</f>
        <v>0</v>
      </c>
      <c r="AF460" s="14"/>
      <c r="AG460" s="11"/>
      <c r="AM460" s="11">
        <f>_xlfn.XLOOKUP(TableDailySummary[[#This Row],[Fecha]],SummaryDaily[day],SummaryDaily[net_sales_with_cost_recorded],0)</f>
        <v>0</v>
      </c>
      <c r="AN460" s="11">
        <f>_xlfn.XLOOKUP(TableDailySummary[[#This Row],[Fecha]],SummaryDaily[day],SummaryDaily[cost_of_goods_sold],0)</f>
        <v>0</v>
      </c>
      <c r="AO460" s="11">
        <f>_xlfn.XLOOKUP(TableDailySummary[[#This Row],[Fecha]],SummaryDaily[day],SummaryDaily[gross_profit],0)</f>
        <v>0</v>
      </c>
      <c r="AP460" s="18">
        <f>IFERROR(TableDailySummary[[#This Row],[Utilidad bruta]]/TableDailySummary[[#This Row],[Ventas netas con costo registrado]],0)</f>
        <v>0</v>
      </c>
    </row>
    <row r="461" spans="2:42" x14ac:dyDescent="0.2">
      <c r="B461" s="15" cm="1">
        <f t="array" ref="B461">ParamFechaInicioReporte + (ROW(TableDailySummary[#This Row]) - ROW(TableDailySummary[[#Headers],[Dia]]) - 1)</f>
        <v>44988</v>
      </c>
      <c r="C461" s="6">
        <f>TableDailySummary[[#This Row],[Dia]]</f>
        <v>44988</v>
      </c>
      <c r="D461" s="11">
        <f>_xlfn.XLOOKUP(TableDailySummary[[#This Row],[Fecha]],SummaryDaily[day],SummaryDaily[net_sales],0)</f>
        <v>0</v>
      </c>
      <c r="E461" s="11">
        <f>_xlfn.XLOOKUP(TableDailySummary[[#This Row],[Fecha]],SummaryDaily[day],SummaryDaily[orders],0)</f>
        <v>0</v>
      </c>
      <c r="F461" s="11">
        <f>_xlfn.XLOOKUP(TableDailySummary[[#This Row],[Fecha]],SummaryDaily[day],SummaryDaily[average_order_value],0)</f>
        <v>0</v>
      </c>
      <c r="G461" s="24" cm="1">
        <f t="array" ref="G461">_xlfn.XLOOKUP(TableDailySummary[[#This Row],[Fecha]]&amp;"Total site",ConversionRateByReferral[day]&amp;ConversionRateByReferral[referrer_source],ConversionRateByReferral[conversion_rate],0)</f>
        <v>0</v>
      </c>
      <c r="H461" s="11">
        <f>TableDailySummary[[#This Row],[Órden promedio totales]]*TableDailySummary[[#This Row],[CR totales]]</f>
        <v>0</v>
      </c>
      <c r="I461" s="11">
        <f>_xlfn.XLOOKUP(TableDailySummary[[#This Row],[Fecha]],SummaryDaily[day],SummaryDaily[new_net_sales],0)</f>
        <v>0</v>
      </c>
      <c r="J461" s="11">
        <f>_xlfn.XLOOKUP(TableDailySummary[[#This Row],[Fecha]],SummaryDaily[day],SummaryDaily[new_orders],0)</f>
        <v>0</v>
      </c>
      <c r="K461" s="11">
        <f>_xlfn.XLOOKUP(TableDailySummary[[#This Row],[Fecha]],SummaryDaily[day],SummaryDaily[new_average_order_value],0)</f>
        <v>0</v>
      </c>
      <c r="L461" s="11">
        <f>_xlfn.XLOOKUP(TableDailySummary[[#This Row],[Fecha]],SummaryDaily[day],SummaryDaily[Online Store_net_sales],0)</f>
        <v>0</v>
      </c>
      <c r="M461" s="11">
        <f>_xlfn.XLOOKUP(TableDailySummary[[#This Row],[Fecha]],SummaryDaily[day],SummaryDaily[Online Store_orders],0)</f>
        <v>0</v>
      </c>
      <c r="N461" s="11">
        <f>_xlfn.XLOOKUP(TableDailySummary[[#This Row],[Fecha]],SummaryDaily[day],SummaryDaily[Online Store_average_order_value],0)</f>
        <v>0</v>
      </c>
      <c r="O461" s="11">
        <f>_xlfn.XLOOKUP(TableDailySummary[[#This Row],[Fecha]],SummaryDaily[day],SummaryDaily[Tienda 81_net_sales],0)</f>
        <v>0</v>
      </c>
      <c r="P461" s="11">
        <f>_xlfn.XLOOKUP(TableDailySummary[[#This Row],[Fecha]],SummaryDaily[day],SummaryDaily[Tienda 81_orders],0)</f>
        <v>0</v>
      </c>
      <c r="Q461" s="11">
        <f>_xlfn.XLOOKUP(TableDailySummary[[#This Row],[Fecha]],SummaryDaily[day],SummaryDaily[Tienda 81_average_order_value],0)</f>
        <v>0</v>
      </c>
      <c r="R461" s="11">
        <f>_xlfn.XLOOKUP(TableDailySummary[[#This Row],[Fecha]],SummaryDaily[day],SummaryDaily[Rappi_net_sales],0)</f>
        <v>0</v>
      </c>
      <c r="S461" s="11">
        <f>_xlfn.XLOOKUP(TableDailySummary[[#This Row],[Fecha]],SummaryDaily[day],SummaryDaily[Rappi_orders],0)</f>
        <v>0</v>
      </c>
      <c r="T461" s="11">
        <f>_xlfn.XLOOKUP(TableDailySummary[[#This Row],[Fecha]],SummaryDaily[day],SummaryDaily[Rappi_average_order_value],0)</f>
        <v>0</v>
      </c>
      <c r="U461" s="11">
        <f>_xlfn.XLOOKUP(TableDailySummary[[#This Row],[Fecha]],SummaryDaily[day],SummaryDaily[Corporativo no tienda_net_sales],0)</f>
        <v>0</v>
      </c>
      <c r="V461" s="11">
        <f>_xlfn.XLOOKUP(TableDailySummary[[#This Row],[Fecha]],SummaryDaily[day],SummaryDaily[Corporativo no tienda_orders],0)</f>
        <v>0</v>
      </c>
      <c r="W461" s="11">
        <f>_xlfn.XLOOKUP(TableDailySummary[[#This Row],[Fecha]],SummaryDaily[day],SummaryDaily[Corporativo no tienda_average_order_value],0)</f>
        <v>0</v>
      </c>
      <c r="X461" s="11">
        <f>_xlfn.XLOOKUP(TableDailySummary[[#This Row],[Fecha]],SummaryDaily[day],SummaryDaily[GoogleAdsOperation.Cost],0)</f>
        <v>0</v>
      </c>
      <c r="Y461" s="11">
        <f>SUMIFS(SalesByUTMDaily[google],SalesByUTMDaily[day],TableDailySummary[[#This Row],[Fecha]])</f>
        <v>0</v>
      </c>
      <c r="Z461" s="11">
        <f>_xlfn.XLOOKUP(TableDailySummary[[#This Row],[Fecha]],SummaryDaily[day],SummaryDaily[MetaAdsOperation.spend],0)</f>
        <v>0</v>
      </c>
      <c r="AA461" s="11">
        <f>SUMIFS(SalesByUTMDaily[facebook],SalesByUTMDaily[day],TableDailySummary[[#This Row],[Fecha]])</f>
        <v>0</v>
      </c>
      <c r="AB461" s="11">
        <f>TableDailySummary[[#This Row],[Inversión google ads]]+TableDailySummary[[#This Row],[Inversión meta ads]]</f>
        <v>0</v>
      </c>
      <c r="AC461" s="11">
        <f>TableDailySummary[[#This Row],[Ventas google ads]]+TableDailySummary[[#This Row],[Ventas meta ads]]</f>
        <v>0</v>
      </c>
      <c r="AD461" s="14">
        <f>IFERROR(TableDailySummary[[#This Row],[Ventas publicidad]]/TableDailySummary[[#This Row],[Inversión publicidad]],0)</f>
        <v>0</v>
      </c>
      <c r="AE461" s="14">
        <f>IFERROR(TableDailySummary[[#This Row],[Ventas primer cliente]]/TableDailySummary[[#This Row],[Inversión publicidad]],0)</f>
        <v>0</v>
      </c>
      <c r="AF461" s="14"/>
      <c r="AG461" s="11"/>
      <c r="AM461" s="11">
        <f>_xlfn.XLOOKUP(TableDailySummary[[#This Row],[Fecha]],SummaryDaily[day],SummaryDaily[net_sales_with_cost_recorded],0)</f>
        <v>0</v>
      </c>
      <c r="AN461" s="11">
        <f>_xlfn.XLOOKUP(TableDailySummary[[#This Row],[Fecha]],SummaryDaily[day],SummaryDaily[cost_of_goods_sold],0)</f>
        <v>0</v>
      </c>
      <c r="AO461" s="11">
        <f>_xlfn.XLOOKUP(TableDailySummary[[#This Row],[Fecha]],SummaryDaily[day],SummaryDaily[gross_profit],0)</f>
        <v>0</v>
      </c>
      <c r="AP461" s="18">
        <f>IFERROR(TableDailySummary[[#This Row],[Utilidad bruta]]/TableDailySummary[[#This Row],[Ventas netas con costo registrado]],0)</f>
        <v>0</v>
      </c>
    </row>
    <row r="462" spans="2:42" x14ac:dyDescent="0.2">
      <c r="B462" s="15" cm="1">
        <f t="array" ref="B462">ParamFechaInicioReporte + (ROW(TableDailySummary[#This Row]) - ROW(TableDailySummary[[#Headers],[Dia]]) - 1)</f>
        <v>44989</v>
      </c>
      <c r="C462" s="6">
        <f>TableDailySummary[[#This Row],[Dia]]</f>
        <v>44989</v>
      </c>
      <c r="D462" s="11">
        <f>_xlfn.XLOOKUP(TableDailySummary[[#This Row],[Fecha]],SummaryDaily[day],SummaryDaily[net_sales],0)</f>
        <v>0</v>
      </c>
      <c r="E462" s="11">
        <f>_xlfn.XLOOKUP(TableDailySummary[[#This Row],[Fecha]],SummaryDaily[day],SummaryDaily[orders],0)</f>
        <v>0</v>
      </c>
      <c r="F462" s="11">
        <f>_xlfn.XLOOKUP(TableDailySummary[[#This Row],[Fecha]],SummaryDaily[day],SummaryDaily[average_order_value],0)</f>
        <v>0</v>
      </c>
      <c r="G462" s="24" cm="1">
        <f t="array" ref="G462">_xlfn.XLOOKUP(TableDailySummary[[#This Row],[Fecha]]&amp;"Total site",ConversionRateByReferral[day]&amp;ConversionRateByReferral[referrer_source],ConversionRateByReferral[conversion_rate],0)</f>
        <v>0</v>
      </c>
      <c r="H462" s="11">
        <f>TableDailySummary[[#This Row],[Órden promedio totales]]*TableDailySummary[[#This Row],[CR totales]]</f>
        <v>0</v>
      </c>
      <c r="I462" s="11">
        <f>_xlfn.XLOOKUP(TableDailySummary[[#This Row],[Fecha]],SummaryDaily[day],SummaryDaily[new_net_sales],0)</f>
        <v>0</v>
      </c>
      <c r="J462" s="11">
        <f>_xlfn.XLOOKUP(TableDailySummary[[#This Row],[Fecha]],SummaryDaily[day],SummaryDaily[new_orders],0)</f>
        <v>0</v>
      </c>
      <c r="K462" s="11">
        <f>_xlfn.XLOOKUP(TableDailySummary[[#This Row],[Fecha]],SummaryDaily[day],SummaryDaily[new_average_order_value],0)</f>
        <v>0</v>
      </c>
      <c r="L462" s="11">
        <f>_xlfn.XLOOKUP(TableDailySummary[[#This Row],[Fecha]],SummaryDaily[day],SummaryDaily[Online Store_net_sales],0)</f>
        <v>0</v>
      </c>
      <c r="M462" s="11">
        <f>_xlfn.XLOOKUP(TableDailySummary[[#This Row],[Fecha]],SummaryDaily[day],SummaryDaily[Online Store_orders],0)</f>
        <v>0</v>
      </c>
      <c r="N462" s="11">
        <f>_xlfn.XLOOKUP(TableDailySummary[[#This Row],[Fecha]],SummaryDaily[day],SummaryDaily[Online Store_average_order_value],0)</f>
        <v>0</v>
      </c>
      <c r="O462" s="11">
        <f>_xlfn.XLOOKUP(TableDailySummary[[#This Row],[Fecha]],SummaryDaily[day],SummaryDaily[Tienda 81_net_sales],0)</f>
        <v>0</v>
      </c>
      <c r="P462" s="11">
        <f>_xlfn.XLOOKUP(TableDailySummary[[#This Row],[Fecha]],SummaryDaily[day],SummaryDaily[Tienda 81_orders],0)</f>
        <v>0</v>
      </c>
      <c r="Q462" s="11">
        <f>_xlfn.XLOOKUP(TableDailySummary[[#This Row],[Fecha]],SummaryDaily[day],SummaryDaily[Tienda 81_average_order_value],0)</f>
        <v>0</v>
      </c>
      <c r="R462" s="11">
        <f>_xlfn.XLOOKUP(TableDailySummary[[#This Row],[Fecha]],SummaryDaily[day],SummaryDaily[Rappi_net_sales],0)</f>
        <v>0</v>
      </c>
      <c r="S462" s="11">
        <f>_xlfn.XLOOKUP(TableDailySummary[[#This Row],[Fecha]],SummaryDaily[day],SummaryDaily[Rappi_orders],0)</f>
        <v>0</v>
      </c>
      <c r="T462" s="11">
        <f>_xlfn.XLOOKUP(TableDailySummary[[#This Row],[Fecha]],SummaryDaily[day],SummaryDaily[Rappi_average_order_value],0)</f>
        <v>0</v>
      </c>
      <c r="U462" s="11">
        <f>_xlfn.XLOOKUP(TableDailySummary[[#This Row],[Fecha]],SummaryDaily[day],SummaryDaily[Corporativo no tienda_net_sales],0)</f>
        <v>0</v>
      </c>
      <c r="V462" s="11">
        <f>_xlfn.XLOOKUP(TableDailySummary[[#This Row],[Fecha]],SummaryDaily[day],SummaryDaily[Corporativo no tienda_orders],0)</f>
        <v>0</v>
      </c>
      <c r="W462" s="11">
        <f>_xlfn.XLOOKUP(TableDailySummary[[#This Row],[Fecha]],SummaryDaily[day],SummaryDaily[Corporativo no tienda_average_order_value],0)</f>
        <v>0</v>
      </c>
      <c r="X462" s="11">
        <f>_xlfn.XLOOKUP(TableDailySummary[[#This Row],[Fecha]],SummaryDaily[day],SummaryDaily[GoogleAdsOperation.Cost],0)</f>
        <v>0</v>
      </c>
      <c r="Y462" s="11">
        <f>SUMIFS(SalesByUTMDaily[google],SalesByUTMDaily[day],TableDailySummary[[#This Row],[Fecha]])</f>
        <v>0</v>
      </c>
      <c r="Z462" s="11">
        <f>_xlfn.XLOOKUP(TableDailySummary[[#This Row],[Fecha]],SummaryDaily[day],SummaryDaily[MetaAdsOperation.spend],0)</f>
        <v>0</v>
      </c>
      <c r="AA462" s="11">
        <f>SUMIFS(SalesByUTMDaily[facebook],SalesByUTMDaily[day],TableDailySummary[[#This Row],[Fecha]])</f>
        <v>0</v>
      </c>
      <c r="AB462" s="11">
        <f>TableDailySummary[[#This Row],[Inversión google ads]]+TableDailySummary[[#This Row],[Inversión meta ads]]</f>
        <v>0</v>
      </c>
      <c r="AC462" s="11">
        <f>TableDailySummary[[#This Row],[Ventas google ads]]+TableDailySummary[[#This Row],[Ventas meta ads]]</f>
        <v>0</v>
      </c>
      <c r="AD462" s="14">
        <f>IFERROR(TableDailySummary[[#This Row],[Ventas publicidad]]/TableDailySummary[[#This Row],[Inversión publicidad]],0)</f>
        <v>0</v>
      </c>
      <c r="AE462" s="14">
        <f>IFERROR(TableDailySummary[[#This Row],[Ventas primer cliente]]/TableDailySummary[[#This Row],[Inversión publicidad]],0)</f>
        <v>0</v>
      </c>
      <c r="AF462" s="14"/>
      <c r="AG462" s="11"/>
      <c r="AM462" s="11">
        <f>_xlfn.XLOOKUP(TableDailySummary[[#This Row],[Fecha]],SummaryDaily[day],SummaryDaily[net_sales_with_cost_recorded],0)</f>
        <v>0</v>
      </c>
      <c r="AN462" s="11">
        <f>_xlfn.XLOOKUP(TableDailySummary[[#This Row],[Fecha]],SummaryDaily[day],SummaryDaily[cost_of_goods_sold],0)</f>
        <v>0</v>
      </c>
      <c r="AO462" s="11">
        <f>_xlfn.XLOOKUP(TableDailySummary[[#This Row],[Fecha]],SummaryDaily[day],SummaryDaily[gross_profit],0)</f>
        <v>0</v>
      </c>
      <c r="AP462" s="18">
        <f>IFERROR(TableDailySummary[[#This Row],[Utilidad bruta]]/TableDailySummary[[#This Row],[Ventas netas con costo registrado]],0)</f>
        <v>0</v>
      </c>
    </row>
    <row r="463" spans="2:42" x14ac:dyDescent="0.2">
      <c r="B463" s="15" cm="1">
        <f t="array" ref="B463">ParamFechaInicioReporte + (ROW(TableDailySummary[#This Row]) - ROW(TableDailySummary[[#Headers],[Dia]]) - 1)</f>
        <v>44990</v>
      </c>
      <c r="C463" s="6">
        <f>TableDailySummary[[#This Row],[Dia]]</f>
        <v>44990</v>
      </c>
      <c r="D463" s="11">
        <f>_xlfn.XLOOKUP(TableDailySummary[[#This Row],[Fecha]],SummaryDaily[day],SummaryDaily[net_sales],0)</f>
        <v>0</v>
      </c>
      <c r="E463" s="11">
        <f>_xlfn.XLOOKUP(TableDailySummary[[#This Row],[Fecha]],SummaryDaily[day],SummaryDaily[orders],0)</f>
        <v>0</v>
      </c>
      <c r="F463" s="11">
        <f>_xlfn.XLOOKUP(TableDailySummary[[#This Row],[Fecha]],SummaryDaily[day],SummaryDaily[average_order_value],0)</f>
        <v>0</v>
      </c>
      <c r="G463" s="24" cm="1">
        <f t="array" ref="G463">_xlfn.XLOOKUP(TableDailySummary[[#This Row],[Fecha]]&amp;"Total site",ConversionRateByReferral[day]&amp;ConversionRateByReferral[referrer_source],ConversionRateByReferral[conversion_rate],0)</f>
        <v>0</v>
      </c>
      <c r="H463" s="11">
        <f>TableDailySummary[[#This Row],[Órden promedio totales]]*TableDailySummary[[#This Row],[CR totales]]</f>
        <v>0</v>
      </c>
      <c r="I463" s="11">
        <f>_xlfn.XLOOKUP(TableDailySummary[[#This Row],[Fecha]],SummaryDaily[day],SummaryDaily[new_net_sales],0)</f>
        <v>0</v>
      </c>
      <c r="J463" s="11">
        <f>_xlfn.XLOOKUP(TableDailySummary[[#This Row],[Fecha]],SummaryDaily[day],SummaryDaily[new_orders],0)</f>
        <v>0</v>
      </c>
      <c r="K463" s="11">
        <f>_xlfn.XLOOKUP(TableDailySummary[[#This Row],[Fecha]],SummaryDaily[day],SummaryDaily[new_average_order_value],0)</f>
        <v>0</v>
      </c>
      <c r="L463" s="11">
        <f>_xlfn.XLOOKUP(TableDailySummary[[#This Row],[Fecha]],SummaryDaily[day],SummaryDaily[Online Store_net_sales],0)</f>
        <v>0</v>
      </c>
      <c r="M463" s="11">
        <f>_xlfn.XLOOKUP(TableDailySummary[[#This Row],[Fecha]],SummaryDaily[day],SummaryDaily[Online Store_orders],0)</f>
        <v>0</v>
      </c>
      <c r="N463" s="11">
        <f>_xlfn.XLOOKUP(TableDailySummary[[#This Row],[Fecha]],SummaryDaily[day],SummaryDaily[Online Store_average_order_value],0)</f>
        <v>0</v>
      </c>
      <c r="O463" s="11">
        <f>_xlfn.XLOOKUP(TableDailySummary[[#This Row],[Fecha]],SummaryDaily[day],SummaryDaily[Tienda 81_net_sales],0)</f>
        <v>0</v>
      </c>
      <c r="P463" s="11">
        <f>_xlfn.XLOOKUP(TableDailySummary[[#This Row],[Fecha]],SummaryDaily[day],SummaryDaily[Tienda 81_orders],0)</f>
        <v>0</v>
      </c>
      <c r="Q463" s="11">
        <f>_xlfn.XLOOKUP(TableDailySummary[[#This Row],[Fecha]],SummaryDaily[day],SummaryDaily[Tienda 81_average_order_value],0)</f>
        <v>0</v>
      </c>
      <c r="R463" s="11">
        <f>_xlfn.XLOOKUP(TableDailySummary[[#This Row],[Fecha]],SummaryDaily[day],SummaryDaily[Rappi_net_sales],0)</f>
        <v>0</v>
      </c>
      <c r="S463" s="11">
        <f>_xlfn.XLOOKUP(TableDailySummary[[#This Row],[Fecha]],SummaryDaily[day],SummaryDaily[Rappi_orders],0)</f>
        <v>0</v>
      </c>
      <c r="T463" s="11">
        <f>_xlfn.XLOOKUP(TableDailySummary[[#This Row],[Fecha]],SummaryDaily[day],SummaryDaily[Rappi_average_order_value],0)</f>
        <v>0</v>
      </c>
      <c r="U463" s="11">
        <f>_xlfn.XLOOKUP(TableDailySummary[[#This Row],[Fecha]],SummaryDaily[day],SummaryDaily[Corporativo no tienda_net_sales],0)</f>
        <v>0</v>
      </c>
      <c r="V463" s="11">
        <f>_xlfn.XLOOKUP(TableDailySummary[[#This Row],[Fecha]],SummaryDaily[day],SummaryDaily[Corporativo no tienda_orders],0)</f>
        <v>0</v>
      </c>
      <c r="W463" s="11">
        <f>_xlfn.XLOOKUP(TableDailySummary[[#This Row],[Fecha]],SummaryDaily[day],SummaryDaily[Corporativo no tienda_average_order_value],0)</f>
        <v>0</v>
      </c>
      <c r="X463" s="11">
        <f>_xlfn.XLOOKUP(TableDailySummary[[#This Row],[Fecha]],SummaryDaily[day],SummaryDaily[GoogleAdsOperation.Cost],0)</f>
        <v>0</v>
      </c>
      <c r="Y463" s="11">
        <f>SUMIFS(SalesByUTMDaily[google],SalesByUTMDaily[day],TableDailySummary[[#This Row],[Fecha]])</f>
        <v>0</v>
      </c>
      <c r="Z463" s="11">
        <f>_xlfn.XLOOKUP(TableDailySummary[[#This Row],[Fecha]],SummaryDaily[day],SummaryDaily[MetaAdsOperation.spend],0)</f>
        <v>0</v>
      </c>
      <c r="AA463" s="11">
        <f>SUMIFS(SalesByUTMDaily[facebook],SalesByUTMDaily[day],TableDailySummary[[#This Row],[Fecha]])</f>
        <v>0</v>
      </c>
      <c r="AB463" s="11">
        <f>TableDailySummary[[#This Row],[Inversión google ads]]+TableDailySummary[[#This Row],[Inversión meta ads]]</f>
        <v>0</v>
      </c>
      <c r="AC463" s="11">
        <f>TableDailySummary[[#This Row],[Ventas google ads]]+TableDailySummary[[#This Row],[Ventas meta ads]]</f>
        <v>0</v>
      </c>
      <c r="AD463" s="14">
        <f>IFERROR(TableDailySummary[[#This Row],[Ventas publicidad]]/TableDailySummary[[#This Row],[Inversión publicidad]],0)</f>
        <v>0</v>
      </c>
      <c r="AE463" s="14">
        <f>IFERROR(TableDailySummary[[#This Row],[Ventas primer cliente]]/TableDailySummary[[#This Row],[Inversión publicidad]],0)</f>
        <v>0</v>
      </c>
      <c r="AF463" s="14"/>
      <c r="AG463" s="11"/>
      <c r="AM463" s="11">
        <f>_xlfn.XLOOKUP(TableDailySummary[[#This Row],[Fecha]],SummaryDaily[day],SummaryDaily[net_sales_with_cost_recorded],0)</f>
        <v>0</v>
      </c>
      <c r="AN463" s="11">
        <f>_xlfn.XLOOKUP(TableDailySummary[[#This Row],[Fecha]],SummaryDaily[day],SummaryDaily[cost_of_goods_sold],0)</f>
        <v>0</v>
      </c>
      <c r="AO463" s="11">
        <f>_xlfn.XLOOKUP(TableDailySummary[[#This Row],[Fecha]],SummaryDaily[day],SummaryDaily[gross_profit],0)</f>
        <v>0</v>
      </c>
      <c r="AP463" s="18">
        <f>IFERROR(TableDailySummary[[#This Row],[Utilidad bruta]]/TableDailySummary[[#This Row],[Ventas netas con costo registrado]],0)</f>
        <v>0</v>
      </c>
    </row>
    <row r="464" spans="2:42" x14ac:dyDescent="0.2">
      <c r="B464" s="15" cm="1">
        <f t="array" ref="B464">ParamFechaInicioReporte + (ROW(TableDailySummary[#This Row]) - ROW(TableDailySummary[[#Headers],[Dia]]) - 1)</f>
        <v>44991</v>
      </c>
      <c r="C464" s="6">
        <f>TableDailySummary[[#This Row],[Dia]]</f>
        <v>44991</v>
      </c>
      <c r="D464" s="11">
        <f>_xlfn.XLOOKUP(TableDailySummary[[#This Row],[Fecha]],SummaryDaily[day],SummaryDaily[net_sales],0)</f>
        <v>0</v>
      </c>
      <c r="E464" s="11">
        <f>_xlfn.XLOOKUP(TableDailySummary[[#This Row],[Fecha]],SummaryDaily[day],SummaryDaily[orders],0)</f>
        <v>0</v>
      </c>
      <c r="F464" s="11">
        <f>_xlfn.XLOOKUP(TableDailySummary[[#This Row],[Fecha]],SummaryDaily[day],SummaryDaily[average_order_value],0)</f>
        <v>0</v>
      </c>
      <c r="G464" s="24" cm="1">
        <f t="array" ref="G464">_xlfn.XLOOKUP(TableDailySummary[[#This Row],[Fecha]]&amp;"Total site",ConversionRateByReferral[day]&amp;ConversionRateByReferral[referrer_source],ConversionRateByReferral[conversion_rate],0)</f>
        <v>0</v>
      </c>
      <c r="H464" s="11">
        <f>TableDailySummary[[#This Row],[Órden promedio totales]]*TableDailySummary[[#This Row],[CR totales]]</f>
        <v>0</v>
      </c>
      <c r="I464" s="11">
        <f>_xlfn.XLOOKUP(TableDailySummary[[#This Row],[Fecha]],SummaryDaily[day],SummaryDaily[new_net_sales],0)</f>
        <v>0</v>
      </c>
      <c r="J464" s="11">
        <f>_xlfn.XLOOKUP(TableDailySummary[[#This Row],[Fecha]],SummaryDaily[day],SummaryDaily[new_orders],0)</f>
        <v>0</v>
      </c>
      <c r="K464" s="11">
        <f>_xlfn.XLOOKUP(TableDailySummary[[#This Row],[Fecha]],SummaryDaily[day],SummaryDaily[new_average_order_value],0)</f>
        <v>0</v>
      </c>
      <c r="L464" s="11">
        <f>_xlfn.XLOOKUP(TableDailySummary[[#This Row],[Fecha]],SummaryDaily[day],SummaryDaily[Online Store_net_sales],0)</f>
        <v>0</v>
      </c>
      <c r="M464" s="11">
        <f>_xlfn.XLOOKUP(TableDailySummary[[#This Row],[Fecha]],SummaryDaily[day],SummaryDaily[Online Store_orders],0)</f>
        <v>0</v>
      </c>
      <c r="N464" s="11">
        <f>_xlfn.XLOOKUP(TableDailySummary[[#This Row],[Fecha]],SummaryDaily[day],SummaryDaily[Online Store_average_order_value],0)</f>
        <v>0</v>
      </c>
      <c r="O464" s="11">
        <f>_xlfn.XLOOKUP(TableDailySummary[[#This Row],[Fecha]],SummaryDaily[day],SummaryDaily[Tienda 81_net_sales],0)</f>
        <v>0</v>
      </c>
      <c r="P464" s="11">
        <f>_xlfn.XLOOKUP(TableDailySummary[[#This Row],[Fecha]],SummaryDaily[day],SummaryDaily[Tienda 81_orders],0)</f>
        <v>0</v>
      </c>
      <c r="Q464" s="11">
        <f>_xlfn.XLOOKUP(TableDailySummary[[#This Row],[Fecha]],SummaryDaily[day],SummaryDaily[Tienda 81_average_order_value],0)</f>
        <v>0</v>
      </c>
      <c r="R464" s="11">
        <f>_xlfn.XLOOKUP(TableDailySummary[[#This Row],[Fecha]],SummaryDaily[day],SummaryDaily[Rappi_net_sales],0)</f>
        <v>0</v>
      </c>
      <c r="S464" s="11">
        <f>_xlfn.XLOOKUP(TableDailySummary[[#This Row],[Fecha]],SummaryDaily[day],SummaryDaily[Rappi_orders],0)</f>
        <v>0</v>
      </c>
      <c r="T464" s="11">
        <f>_xlfn.XLOOKUP(TableDailySummary[[#This Row],[Fecha]],SummaryDaily[day],SummaryDaily[Rappi_average_order_value],0)</f>
        <v>0</v>
      </c>
      <c r="U464" s="11">
        <f>_xlfn.XLOOKUP(TableDailySummary[[#This Row],[Fecha]],SummaryDaily[day],SummaryDaily[Corporativo no tienda_net_sales],0)</f>
        <v>0</v>
      </c>
      <c r="V464" s="11">
        <f>_xlfn.XLOOKUP(TableDailySummary[[#This Row],[Fecha]],SummaryDaily[day],SummaryDaily[Corporativo no tienda_orders],0)</f>
        <v>0</v>
      </c>
      <c r="W464" s="11">
        <f>_xlfn.XLOOKUP(TableDailySummary[[#This Row],[Fecha]],SummaryDaily[day],SummaryDaily[Corporativo no tienda_average_order_value],0)</f>
        <v>0</v>
      </c>
      <c r="X464" s="11">
        <f>_xlfn.XLOOKUP(TableDailySummary[[#This Row],[Fecha]],SummaryDaily[day],SummaryDaily[GoogleAdsOperation.Cost],0)</f>
        <v>0</v>
      </c>
      <c r="Y464" s="11">
        <f>SUMIFS(SalesByUTMDaily[google],SalesByUTMDaily[day],TableDailySummary[[#This Row],[Fecha]])</f>
        <v>0</v>
      </c>
      <c r="Z464" s="11">
        <f>_xlfn.XLOOKUP(TableDailySummary[[#This Row],[Fecha]],SummaryDaily[day],SummaryDaily[MetaAdsOperation.spend],0)</f>
        <v>0</v>
      </c>
      <c r="AA464" s="11">
        <f>SUMIFS(SalesByUTMDaily[facebook],SalesByUTMDaily[day],TableDailySummary[[#This Row],[Fecha]])</f>
        <v>0</v>
      </c>
      <c r="AB464" s="11">
        <f>TableDailySummary[[#This Row],[Inversión google ads]]+TableDailySummary[[#This Row],[Inversión meta ads]]</f>
        <v>0</v>
      </c>
      <c r="AC464" s="11">
        <f>TableDailySummary[[#This Row],[Ventas google ads]]+TableDailySummary[[#This Row],[Ventas meta ads]]</f>
        <v>0</v>
      </c>
      <c r="AD464" s="14">
        <f>IFERROR(TableDailySummary[[#This Row],[Ventas publicidad]]/TableDailySummary[[#This Row],[Inversión publicidad]],0)</f>
        <v>0</v>
      </c>
      <c r="AE464" s="14">
        <f>IFERROR(TableDailySummary[[#This Row],[Ventas primer cliente]]/TableDailySummary[[#This Row],[Inversión publicidad]],0)</f>
        <v>0</v>
      </c>
      <c r="AF464" s="14"/>
      <c r="AG464" s="11"/>
      <c r="AM464" s="11">
        <f>_xlfn.XLOOKUP(TableDailySummary[[#This Row],[Fecha]],SummaryDaily[day],SummaryDaily[net_sales_with_cost_recorded],0)</f>
        <v>0</v>
      </c>
      <c r="AN464" s="11">
        <f>_xlfn.XLOOKUP(TableDailySummary[[#This Row],[Fecha]],SummaryDaily[day],SummaryDaily[cost_of_goods_sold],0)</f>
        <v>0</v>
      </c>
      <c r="AO464" s="11">
        <f>_xlfn.XLOOKUP(TableDailySummary[[#This Row],[Fecha]],SummaryDaily[day],SummaryDaily[gross_profit],0)</f>
        <v>0</v>
      </c>
      <c r="AP464" s="18">
        <f>IFERROR(TableDailySummary[[#This Row],[Utilidad bruta]]/TableDailySummary[[#This Row],[Ventas netas con costo registrado]],0)</f>
        <v>0</v>
      </c>
    </row>
    <row r="465" spans="2:42" x14ac:dyDescent="0.2">
      <c r="B465" s="15" cm="1">
        <f t="array" ref="B465">ParamFechaInicioReporte + (ROW(TableDailySummary[#This Row]) - ROW(TableDailySummary[[#Headers],[Dia]]) - 1)</f>
        <v>44992</v>
      </c>
      <c r="C465" s="6">
        <f>TableDailySummary[[#This Row],[Dia]]</f>
        <v>44992</v>
      </c>
      <c r="D465" s="11">
        <f>_xlfn.XLOOKUP(TableDailySummary[[#This Row],[Fecha]],SummaryDaily[day],SummaryDaily[net_sales],0)</f>
        <v>0</v>
      </c>
      <c r="E465" s="11">
        <f>_xlfn.XLOOKUP(TableDailySummary[[#This Row],[Fecha]],SummaryDaily[day],SummaryDaily[orders],0)</f>
        <v>0</v>
      </c>
      <c r="F465" s="11">
        <f>_xlfn.XLOOKUP(TableDailySummary[[#This Row],[Fecha]],SummaryDaily[day],SummaryDaily[average_order_value],0)</f>
        <v>0</v>
      </c>
      <c r="G465" s="24" cm="1">
        <f t="array" ref="G465">_xlfn.XLOOKUP(TableDailySummary[[#This Row],[Fecha]]&amp;"Total site",ConversionRateByReferral[day]&amp;ConversionRateByReferral[referrer_source],ConversionRateByReferral[conversion_rate],0)</f>
        <v>0</v>
      </c>
      <c r="H465" s="11">
        <f>TableDailySummary[[#This Row],[Órden promedio totales]]*TableDailySummary[[#This Row],[CR totales]]</f>
        <v>0</v>
      </c>
      <c r="I465" s="11">
        <f>_xlfn.XLOOKUP(TableDailySummary[[#This Row],[Fecha]],SummaryDaily[day],SummaryDaily[new_net_sales],0)</f>
        <v>0</v>
      </c>
      <c r="J465" s="11">
        <f>_xlfn.XLOOKUP(TableDailySummary[[#This Row],[Fecha]],SummaryDaily[day],SummaryDaily[new_orders],0)</f>
        <v>0</v>
      </c>
      <c r="K465" s="11">
        <f>_xlfn.XLOOKUP(TableDailySummary[[#This Row],[Fecha]],SummaryDaily[day],SummaryDaily[new_average_order_value],0)</f>
        <v>0</v>
      </c>
      <c r="L465" s="11">
        <f>_xlfn.XLOOKUP(TableDailySummary[[#This Row],[Fecha]],SummaryDaily[day],SummaryDaily[Online Store_net_sales],0)</f>
        <v>0</v>
      </c>
      <c r="M465" s="11">
        <f>_xlfn.XLOOKUP(TableDailySummary[[#This Row],[Fecha]],SummaryDaily[day],SummaryDaily[Online Store_orders],0)</f>
        <v>0</v>
      </c>
      <c r="N465" s="11">
        <f>_xlfn.XLOOKUP(TableDailySummary[[#This Row],[Fecha]],SummaryDaily[day],SummaryDaily[Online Store_average_order_value],0)</f>
        <v>0</v>
      </c>
      <c r="O465" s="11">
        <f>_xlfn.XLOOKUP(TableDailySummary[[#This Row],[Fecha]],SummaryDaily[day],SummaryDaily[Tienda 81_net_sales],0)</f>
        <v>0</v>
      </c>
      <c r="P465" s="11">
        <f>_xlfn.XLOOKUP(TableDailySummary[[#This Row],[Fecha]],SummaryDaily[day],SummaryDaily[Tienda 81_orders],0)</f>
        <v>0</v>
      </c>
      <c r="Q465" s="11">
        <f>_xlfn.XLOOKUP(TableDailySummary[[#This Row],[Fecha]],SummaryDaily[day],SummaryDaily[Tienda 81_average_order_value],0)</f>
        <v>0</v>
      </c>
      <c r="R465" s="11">
        <f>_xlfn.XLOOKUP(TableDailySummary[[#This Row],[Fecha]],SummaryDaily[day],SummaryDaily[Rappi_net_sales],0)</f>
        <v>0</v>
      </c>
      <c r="S465" s="11">
        <f>_xlfn.XLOOKUP(TableDailySummary[[#This Row],[Fecha]],SummaryDaily[day],SummaryDaily[Rappi_orders],0)</f>
        <v>0</v>
      </c>
      <c r="T465" s="11">
        <f>_xlfn.XLOOKUP(TableDailySummary[[#This Row],[Fecha]],SummaryDaily[day],SummaryDaily[Rappi_average_order_value],0)</f>
        <v>0</v>
      </c>
      <c r="U465" s="11">
        <f>_xlfn.XLOOKUP(TableDailySummary[[#This Row],[Fecha]],SummaryDaily[day],SummaryDaily[Corporativo no tienda_net_sales],0)</f>
        <v>0</v>
      </c>
      <c r="V465" s="11">
        <f>_xlfn.XLOOKUP(TableDailySummary[[#This Row],[Fecha]],SummaryDaily[day],SummaryDaily[Corporativo no tienda_orders],0)</f>
        <v>0</v>
      </c>
      <c r="W465" s="11">
        <f>_xlfn.XLOOKUP(TableDailySummary[[#This Row],[Fecha]],SummaryDaily[day],SummaryDaily[Corporativo no tienda_average_order_value],0)</f>
        <v>0</v>
      </c>
      <c r="X465" s="11">
        <f>_xlfn.XLOOKUP(TableDailySummary[[#This Row],[Fecha]],SummaryDaily[day],SummaryDaily[GoogleAdsOperation.Cost],0)</f>
        <v>0</v>
      </c>
      <c r="Y465" s="11">
        <f>SUMIFS(SalesByUTMDaily[google],SalesByUTMDaily[day],TableDailySummary[[#This Row],[Fecha]])</f>
        <v>0</v>
      </c>
      <c r="Z465" s="11">
        <f>_xlfn.XLOOKUP(TableDailySummary[[#This Row],[Fecha]],SummaryDaily[day],SummaryDaily[MetaAdsOperation.spend],0)</f>
        <v>0</v>
      </c>
      <c r="AA465" s="11">
        <f>SUMIFS(SalesByUTMDaily[facebook],SalesByUTMDaily[day],TableDailySummary[[#This Row],[Fecha]])</f>
        <v>0</v>
      </c>
      <c r="AB465" s="11">
        <f>TableDailySummary[[#This Row],[Inversión google ads]]+TableDailySummary[[#This Row],[Inversión meta ads]]</f>
        <v>0</v>
      </c>
      <c r="AC465" s="11">
        <f>TableDailySummary[[#This Row],[Ventas google ads]]+TableDailySummary[[#This Row],[Ventas meta ads]]</f>
        <v>0</v>
      </c>
      <c r="AD465" s="14">
        <f>IFERROR(TableDailySummary[[#This Row],[Ventas publicidad]]/TableDailySummary[[#This Row],[Inversión publicidad]],0)</f>
        <v>0</v>
      </c>
      <c r="AE465" s="14">
        <f>IFERROR(TableDailySummary[[#This Row],[Ventas primer cliente]]/TableDailySummary[[#This Row],[Inversión publicidad]],0)</f>
        <v>0</v>
      </c>
      <c r="AF465" s="14"/>
      <c r="AG465" s="11"/>
      <c r="AM465" s="11">
        <f>_xlfn.XLOOKUP(TableDailySummary[[#This Row],[Fecha]],SummaryDaily[day],SummaryDaily[net_sales_with_cost_recorded],0)</f>
        <v>0</v>
      </c>
      <c r="AN465" s="11">
        <f>_xlfn.XLOOKUP(TableDailySummary[[#This Row],[Fecha]],SummaryDaily[day],SummaryDaily[cost_of_goods_sold],0)</f>
        <v>0</v>
      </c>
      <c r="AO465" s="11">
        <f>_xlfn.XLOOKUP(TableDailySummary[[#This Row],[Fecha]],SummaryDaily[day],SummaryDaily[gross_profit],0)</f>
        <v>0</v>
      </c>
      <c r="AP465" s="18">
        <f>IFERROR(TableDailySummary[[#This Row],[Utilidad bruta]]/TableDailySummary[[#This Row],[Ventas netas con costo registrado]],0)</f>
        <v>0</v>
      </c>
    </row>
    <row r="466" spans="2:42" x14ac:dyDescent="0.2">
      <c r="B466" s="15" cm="1">
        <f t="array" ref="B466">ParamFechaInicioReporte + (ROW(TableDailySummary[#This Row]) - ROW(TableDailySummary[[#Headers],[Dia]]) - 1)</f>
        <v>44993</v>
      </c>
      <c r="C466" s="6">
        <f>TableDailySummary[[#This Row],[Dia]]</f>
        <v>44993</v>
      </c>
      <c r="D466" s="11">
        <f>_xlfn.XLOOKUP(TableDailySummary[[#This Row],[Fecha]],SummaryDaily[day],SummaryDaily[net_sales],0)</f>
        <v>0</v>
      </c>
      <c r="E466" s="11">
        <f>_xlfn.XLOOKUP(TableDailySummary[[#This Row],[Fecha]],SummaryDaily[day],SummaryDaily[orders],0)</f>
        <v>0</v>
      </c>
      <c r="F466" s="11">
        <f>_xlfn.XLOOKUP(TableDailySummary[[#This Row],[Fecha]],SummaryDaily[day],SummaryDaily[average_order_value],0)</f>
        <v>0</v>
      </c>
      <c r="G466" s="24" cm="1">
        <f t="array" ref="G466">_xlfn.XLOOKUP(TableDailySummary[[#This Row],[Fecha]]&amp;"Total site",ConversionRateByReferral[day]&amp;ConversionRateByReferral[referrer_source],ConversionRateByReferral[conversion_rate],0)</f>
        <v>0</v>
      </c>
      <c r="H466" s="11">
        <f>TableDailySummary[[#This Row],[Órden promedio totales]]*TableDailySummary[[#This Row],[CR totales]]</f>
        <v>0</v>
      </c>
      <c r="I466" s="11">
        <f>_xlfn.XLOOKUP(TableDailySummary[[#This Row],[Fecha]],SummaryDaily[day],SummaryDaily[new_net_sales],0)</f>
        <v>0</v>
      </c>
      <c r="J466" s="11">
        <f>_xlfn.XLOOKUP(TableDailySummary[[#This Row],[Fecha]],SummaryDaily[day],SummaryDaily[new_orders],0)</f>
        <v>0</v>
      </c>
      <c r="K466" s="11">
        <f>_xlfn.XLOOKUP(TableDailySummary[[#This Row],[Fecha]],SummaryDaily[day],SummaryDaily[new_average_order_value],0)</f>
        <v>0</v>
      </c>
      <c r="L466" s="11">
        <f>_xlfn.XLOOKUP(TableDailySummary[[#This Row],[Fecha]],SummaryDaily[day],SummaryDaily[Online Store_net_sales],0)</f>
        <v>0</v>
      </c>
      <c r="M466" s="11">
        <f>_xlfn.XLOOKUP(TableDailySummary[[#This Row],[Fecha]],SummaryDaily[day],SummaryDaily[Online Store_orders],0)</f>
        <v>0</v>
      </c>
      <c r="N466" s="11">
        <f>_xlfn.XLOOKUP(TableDailySummary[[#This Row],[Fecha]],SummaryDaily[day],SummaryDaily[Online Store_average_order_value],0)</f>
        <v>0</v>
      </c>
      <c r="O466" s="11">
        <f>_xlfn.XLOOKUP(TableDailySummary[[#This Row],[Fecha]],SummaryDaily[day],SummaryDaily[Tienda 81_net_sales],0)</f>
        <v>0</v>
      </c>
      <c r="P466" s="11">
        <f>_xlfn.XLOOKUP(TableDailySummary[[#This Row],[Fecha]],SummaryDaily[day],SummaryDaily[Tienda 81_orders],0)</f>
        <v>0</v>
      </c>
      <c r="Q466" s="11">
        <f>_xlfn.XLOOKUP(TableDailySummary[[#This Row],[Fecha]],SummaryDaily[day],SummaryDaily[Tienda 81_average_order_value],0)</f>
        <v>0</v>
      </c>
      <c r="R466" s="11">
        <f>_xlfn.XLOOKUP(TableDailySummary[[#This Row],[Fecha]],SummaryDaily[day],SummaryDaily[Rappi_net_sales],0)</f>
        <v>0</v>
      </c>
      <c r="S466" s="11">
        <f>_xlfn.XLOOKUP(TableDailySummary[[#This Row],[Fecha]],SummaryDaily[day],SummaryDaily[Rappi_orders],0)</f>
        <v>0</v>
      </c>
      <c r="T466" s="11">
        <f>_xlfn.XLOOKUP(TableDailySummary[[#This Row],[Fecha]],SummaryDaily[day],SummaryDaily[Rappi_average_order_value],0)</f>
        <v>0</v>
      </c>
      <c r="U466" s="11">
        <f>_xlfn.XLOOKUP(TableDailySummary[[#This Row],[Fecha]],SummaryDaily[day],SummaryDaily[Corporativo no tienda_net_sales],0)</f>
        <v>0</v>
      </c>
      <c r="V466" s="11">
        <f>_xlfn.XLOOKUP(TableDailySummary[[#This Row],[Fecha]],SummaryDaily[day],SummaryDaily[Corporativo no tienda_orders],0)</f>
        <v>0</v>
      </c>
      <c r="W466" s="11">
        <f>_xlfn.XLOOKUP(TableDailySummary[[#This Row],[Fecha]],SummaryDaily[day],SummaryDaily[Corporativo no tienda_average_order_value],0)</f>
        <v>0</v>
      </c>
      <c r="X466" s="11">
        <f>_xlfn.XLOOKUP(TableDailySummary[[#This Row],[Fecha]],SummaryDaily[day],SummaryDaily[GoogleAdsOperation.Cost],0)</f>
        <v>0</v>
      </c>
      <c r="Y466" s="11">
        <f>SUMIFS(SalesByUTMDaily[google],SalesByUTMDaily[day],TableDailySummary[[#This Row],[Fecha]])</f>
        <v>0</v>
      </c>
      <c r="Z466" s="11">
        <f>_xlfn.XLOOKUP(TableDailySummary[[#This Row],[Fecha]],SummaryDaily[day],SummaryDaily[MetaAdsOperation.spend],0)</f>
        <v>0</v>
      </c>
      <c r="AA466" s="11">
        <f>SUMIFS(SalesByUTMDaily[facebook],SalesByUTMDaily[day],TableDailySummary[[#This Row],[Fecha]])</f>
        <v>0</v>
      </c>
      <c r="AB466" s="11">
        <f>TableDailySummary[[#This Row],[Inversión google ads]]+TableDailySummary[[#This Row],[Inversión meta ads]]</f>
        <v>0</v>
      </c>
      <c r="AC466" s="11">
        <f>TableDailySummary[[#This Row],[Ventas google ads]]+TableDailySummary[[#This Row],[Ventas meta ads]]</f>
        <v>0</v>
      </c>
      <c r="AD466" s="14">
        <f>IFERROR(TableDailySummary[[#This Row],[Ventas publicidad]]/TableDailySummary[[#This Row],[Inversión publicidad]],0)</f>
        <v>0</v>
      </c>
      <c r="AE466" s="14">
        <f>IFERROR(TableDailySummary[[#This Row],[Ventas primer cliente]]/TableDailySummary[[#This Row],[Inversión publicidad]],0)</f>
        <v>0</v>
      </c>
      <c r="AF466" s="14"/>
      <c r="AG466" s="11"/>
      <c r="AM466" s="11">
        <f>_xlfn.XLOOKUP(TableDailySummary[[#This Row],[Fecha]],SummaryDaily[day],SummaryDaily[net_sales_with_cost_recorded],0)</f>
        <v>0</v>
      </c>
      <c r="AN466" s="11">
        <f>_xlfn.XLOOKUP(TableDailySummary[[#This Row],[Fecha]],SummaryDaily[day],SummaryDaily[cost_of_goods_sold],0)</f>
        <v>0</v>
      </c>
      <c r="AO466" s="11">
        <f>_xlfn.XLOOKUP(TableDailySummary[[#This Row],[Fecha]],SummaryDaily[day],SummaryDaily[gross_profit],0)</f>
        <v>0</v>
      </c>
      <c r="AP466" s="18">
        <f>IFERROR(TableDailySummary[[#This Row],[Utilidad bruta]]/TableDailySummary[[#This Row],[Ventas netas con costo registrado]],0)</f>
        <v>0</v>
      </c>
    </row>
    <row r="467" spans="2:42" x14ac:dyDescent="0.2">
      <c r="B467" s="15" cm="1">
        <f t="array" ref="B467">ParamFechaInicioReporte + (ROW(TableDailySummary[#This Row]) - ROW(TableDailySummary[[#Headers],[Dia]]) - 1)</f>
        <v>44994</v>
      </c>
      <c r="C467" s="6">
        <f>TableDailySummary[[#This Row],[Dia]]</f>
        <v>44994</v>
      </c>
      <c r="D467" s="11">
        <f>_xlfn.XLOOKUP(TableDailySummary[[#This Row],[Fecha]],SummaryDaily[day],SummaryDaily[net_sales],0)</f>
        <v>0</v>
      </c>
      <c r="E467" s="11">
        <f>_xlfn.XLOOKUP(TableDailySummary[[#This Row],[Fecha]],SummaryDaily[day],SummaryDaily[orders],0)</f>
        <v>0</v>
      </c>
      <c r="F467" s="11">
        <f>_xlfn.XLOOKUP(TableDailySummary[[#This Row],[Fecha]],SummaryDaily[day],SummaryDaily[average_order_value],0)</f>
        <v>0</v>
      </c>
      <c r="G467" s="24" cm="1">
        <f t="array" ref="G467">_xlfn.XLOOKUP(TableDailySummary[[#This Row],[Fecha]]&amp;"Total site",ConversionRateByReferral[day]&amp;ConversionRateByReferral[referrer_source],ConversionRateByReferral[conversion_rate],0)</f>
        <v>0</v>
      </c>
      <c r="H467" s="11">
        <f>TableDailySummary[[#This Row],[Órden promedio totales]]*TableDailySummary[[#This Row],[CR totales]]</f>
        <v>0</v>
      </c>
      <c r="I467" s="11">
        <f>_xlfn.XLOOKUP(TableDailySummary[[#This Row],[Fecha]],SummaryDaily[day],SummaryDaily[new_net_sales],0)</f>
        <v>0</v>
      </c>
      <c r="J467" s="11">
        <f>_xlfn.XLOOKUP(TableDailySummary[[#This Row],[Fecha]],SummaryDaily[day],SummaryDaily[new_orders],0)</f>
        <v>0</v>
      </c>
      <c r="K467" s="11">
        <f>_xlfn.XLOOKUP(TableDailySummary[[#This Row],[Fecha]],SummaryDaily[day],SummaryDaily[new_average_order_value],0)</f>
        <v>0</v>
      </c>
      <c r="L467" s="11">
        <f>_xlfn.XLOOKUP(TableDailySummary[[#This Row],[Fecha]],SummaryDaily[day],SummaryDaily[Online Store_net_sales],0)</f>
        <v>0</v>
      </c>
      <c r="M467" s="11">
        <f>_xlfn.XLOOKUP(TableDailySummary[[#This Row],[Fecha]],SummaryDaily[day],SummaryDaily[Online Store_orders],0)</f>
        <v>0</v>
      </c>
      <c r="N467" s="11">
        <f>_xlfn.XLOOKUP(TableDailySummary[[#This Row],[Fecha]],SummaryDaily[day],SummaryDaily[Online Store_average_order_value],0)</f>
        <v>0</v>
      </c>
      <c r="O467" s="11">
        <f>_xlfn.XLOOKUP(TableDailySummary[[#This Row],[Fecha]],SummaryDaily[day],SummaryDaily[Tienda 81_net_sales],0)</f>
        <v>0</v>
      </c>
      <c r="P467" s="11">
        <f>_xlfn.XLOOKUP(TableDailySummary[[#This Row],[Fecha]],SummaryDaily[day],SummaryDaily[Tienda 81_orders],0)</f>
        <v>0</v>
      </c>
      <c r="Q467" s="11">
        <f>_xlfn.XLOOKUP(TableDailySummary[[#This Row],[Fecha]],SummaryDaily[day],SummaryDaily[Tienda 81_average_order_value],0)</f>
        <v>0</v>
      </c>
      <c r="R467" s="11">
        <f>_xlfn.XLOOKUP(TableDailySummary[[#This Row],[Fecha]],SummaryDaily[day],SummaryDaily[Rappi_net_sales],0)</f>
        <v>0</v>
      </c>
      <c r="S467" s="11">
        <f>_xlfn.XLOOKUP(TableDailySummary[[#This Row],[Fecha]],SummaryDaily[day],SummaryDaily[Rappi_orders],0)</f>
        <v>0</v>
      </c>
      <c r="T467" s="11">
        <f>_xlfn.XLOOKUP(TableDailySummary[[#This Row],[Fecha]],SummaryDaily[day],SummaryDaily[Rappi_average_order_value],0)</f>
        <v>0</v>
      </c>
      <c r="U467" s="11">
        <f>_xlfn.XLOOKUP(TableDailySummary[[#This Row],[Fecha]],SummaryDaily[day],SummaryDaily[Corporativo no tienda_net_sales],0)</f>
        <v>0</v>
      </c>
      <c r="V467" s="11">
        <f>_xlfn.XLOOKUP(TableDailySummary[[#This Row],[Fecha]],SummaryDaily[day],SummaryDaily[Corporativo no tienda_orders],0)</f>
        <v>0</v>
      </c>
      <c r="W467" s="11">
        <f>_xlfn.XLOOKUP(TableDailySummary[[#This Row],[Fecha]],SummaryDaily[day],SummaryDaily[Corporativo no tienda_average_order_value],0)</f>
        <v>0</v>
      </c>
      <c r="X467" s="11">
        <f>_xlfn.XLOOKUP(TableDailySummary[[#This Row],[Fecha]],SummaryDaily[day],SummaryDaily[GoogleAdsOperation.Cost],0)</f>
        <v>0</v>
      </c>
      <c r="Y467" s="11">
        <f>SUMIFS(SalesByUTMDaily[google],SalesByUTMDaily[day],TableDailySummary[[#This Row],[Fecha]])</f>
        <v>0</v>
      </c>
      <c r="Z467" s="11">
        <f>_xlfn.XLOOKUP(TableDailySummary[[#This Row],[Fecha]],SummaryDaily[day],SummaryDaily[MetaAdsOperation.spend],0)</f>
        <v>0</v>
      </c>
      <c r="AA467" s="11">
        <f>SUMIFS(SalesByUTMDaily[facebook],SalesByUTMDaily[day],TableDailySummary[[#This Row],[Fecha]])</f>
        <v>0</v>
      </c>
      <c r="AB467" s="11">
        <f>TableDailySummary[[#This Row],[Inversión google ads]]+TableDailySummary[[#This Row],[Inversión meta ads]]</f>
        <v>0</v>
      </c>
      <c r="AC467" s="11">
        <f>TableDailySummary[[#This Row],[Ventas google ads]]+TableDailySummary[[#This Row],[Ventas meta ads]]</f>
        <v>0</v>
      </c>
      <c r="AD467" s="14">
        <f>IFERROR(TableDailySummary[[#This Row],[Ventas publicidad]]/TableDailySummary[[#This Row],[Inversión publicidad]],0)</f>
        <v>0</v>
      </c>
      <c r="AE467" s="14">
        <f>IFERROR(TableDailySummary[[#This Row],[Ventas primer cliente]]/TableDailySummary[[#This Row],[Inversión publicidad]],0)</f>
        <v>0</v>
      </c>
      <c r="AF467" s="14"/>
      <c r="AG467" s="11"/>
      <c r="AM467" s="11">
        <f>_xlfn.XLOOKUP(TableDailySummary[[#This Row],[Fecha]],SummaryDaily[day],SummaryDaily[net_sales_with_cost_recorded],0)</f>
        <v>0</v>
      </c>
      <c r="AN467" s="11">
        <f>_xlfn.XLOOKUP(TableDailySummary[[#This Row],[Fecha]],SummaryDaily[day],SummaryDaily[cost_of_goods_sold],0)</f>
        <v>0</v>
      </c>
      <c r="AO467" s="11">
        <f>_xlfn.XLOOKUP(TableDailySummary[[#This Row],[Fecha]],SummaryDaily[day],SummaryDaily[gross_profit],0)</f>
        <v>0</v>
      </c>
      <c r="AP467" s="18">
        <f>IFERROR(TableDailySummary[[#This Row],[Utilidad bruta]]/TableDailySummary[[#This Row],[Ventas netas con costo registrado]],0)</f>
        <v>0</v>
      </c>
    </row>
    <row r="468" spans="2:42" x14ac:dyDescent="0.2">
      <c r="B468" s="15" cm="1">
        <f t="array" ref="B468">ParamFechaInicioReporte + (ROW(TableDailySummary[#This Row]) - ROW(TableDailySummary[[#Headers],[Dia]]) - 1)</f>
        <v>44995</v>
      </c>
      <c r="C468" s="6">
        <f>TableDailySummary[[#This Row],[Dia]]</f>
        <v>44995</v>
      </c>
      <c r="D468" s="11">
        <f>_xlfn.XLOOKUP(TableDailySummary[[#This Row],[Fecha]],SummaryDaily[day],SummaryDaily[net_sales],0)</f>
        <v>0</v>
      </c>
      <c r="E468" s="11">
        <f>_xlfn.XLOOKUP(TableDailySummary[[#This Row],[Fecha]],SummaryDaily[day],SummaryDaily[orders],0)</f>
        <v>0</v>
      </c>
      <c r="F468" s="11">
        <f>_xlfn.XLOOKUP(TableDailySummary[[#This Row],[Fecha]],SummaryDaily[day],SummaryDaily[average_order_value],0)</f>
        <v>0</v>
      </c>
      <c r="G468" s="24" cm="1">
        <f t="array" ref="G468">_xlfn.XLOOKUP(TableDailySummary[[#This Row],[Fecha]]&amp;"Total site",ConversionRateByReferral[day]&amp;ConversionRateByReferral[referrer_source],ConversionRateByReferral[conversion_rate],0)</f>
        <v>0</v>
      </c>
      <c r="H468" s="11">
        <f>TableDailySummary[[#This Row],[Órden promedio totales]]*TableDailySummary[[#This Row],[CR totales]]</f>
        <v>0</v>
      </c>
      <c r="I468" s="11">
        <f>_xlfn.XLOOKUP(TableDailySummary[[#This Row],[Fecha]],SummaryDaily[day],SummaryDaily[new_net_sales],0)</f>
        <v>0</v>
      </c>
      <c r="J468" s="11">
        <f>_xlfn.XLOOKUP(TableDailySummary[[#This Row],[Fecha]],SummaryDaily[day],SummaryDaily[new_orders],0)</f>
        <v>0</v>
      </c>
      <c r="K468" s="11">
        <f>_xlfn.XLOOKUP(TableDailySummary[[#This Row],[Fecha]],SummaryDaily[day],SummaryDaily[new_average_order_value],0)</f>
        <v>0</v>
      </c>
      <c r="L468" s="11">
        <f>_xlfn.XLOOKUP(TableDailySummary[[#This Row],[Fecha]],SummaryDaily[day],SummaryDaily[Online Store_net_sales],0)</f>
        <v>0</v>
      </c>
      <c r="M468" s="11">
        <f>_xlfn.XLOOKUP(TableDailySummary[[#This Row],[Fecha]],SummaryDaily[day],SummaryDaily[Online Store_orders],0)</f>
        <v>0</v>
      </c>
      <c r="N468" s="11">
        <f>_xlfn.XLOOKUP(TableDailySummary[[#This Row],[Fecha]],SummaryDaily[day],SummaryDaily[Online Store_average_order_value],0)</f>
        <v>0</v>
      </c>
      <c r="O468" s="11">
        <f>_xlfn.XLOOKUP(TableDailySummary[[#This Row],[Fecha]],SummaryDaily[day],SummaryDaily[Tienda 81_net_sales],0)</f>
        <v>0</v>
      </c>
      <c r="P468" s="11">
        <f>_xlfn.XLOOKUP(TableDailySummary[[#This Row],[Fecha]],SummaryDaily[day],SummaryDaily[Tienda 81_orders],0)</f>
        <v>0</v>
      </c>
      <c r="Q468" s="11">
        <f>_xlfn.XLOOKUP(TableDailySummary[[#This Row],[Fecha]],SummaryDaily[day],SummaryDaily[Tienda 81_average_order_value],0)</f>
        <v>0</v>
      </c>
      <c r="R468" s="11">
        <f>_xlfn.XLOOKUP(TableDailySummary[[#This Row],[Fecha]],SummaryDaily[day],SummaryDaily[Rappi_net_sales],0)</f>
        <v>0</v>
      </c>
      <c r="S468" s="11">
        <f>_xlfn.XLOOKUP(TableDailySummary[[#This Row],[Fecha]],SummaryDaily[day],SummaryDaily[Rappi_orders],0)</f>
        <v>0</v>
      </c>
      <c r="T468" s="11">
        <f>_xlfn.XLOOKUP(TableDailySummary[[#This Row],[Fecha]],SummaryDaily[day],SummaryDaily[Rappi_average_order_value],0)</f>
        <v>0</v>
      </c>
      <c r="U468" s="11">
        <f>_xlfn.XLOOKUP(TableDailySummary[[#This Row],[Fecha]],SummaryDaily[day],SummaryDaily[Corporativo no tienda_net_sales],0)</f>
        <v>0</v>
      </c>
      <c r="V468" s="11">
        <f>_xlfn.XLOOKUP(TableDailySummary[[#This Row],[Fecha]],SummaryDaily[day],SummaryDaily[Corporativo no tienda_orders],0)</f>
        <v>0</v>
      </c>
      <c r="W468" s="11">
        <f>_xlfn.XLOOKUP(TableDailySummary[[#This Row],[Fecha]],SummaryDaily[day],SummaryDaily[Corporativo no tienda_average_order_value],0)</f>
        <v>0</v>
      </c>
      <c r="X468" s="11">
        <f>_xlfn.XLOOKUP(TableDailySummary[[#This Row],[Fecha]],SummaryDaily[day],SummaryDaily[GoogleAdsOperation.Cost],0)</f>
        <v>0</v>
      </c>
      <c r="Y468" s="11">
        <f>SUMIFS(SalesByUTMDaily[google],SalesByUTMDaily[day],TableDailySummary[[#This Row],[Fecha]])</f>
        <v>0</v>
      </c>
      <c r="Z468" s="11">
        <f>_xlfn.XLOOKUP(TableDailySummary[[#This Row],[Fecha]],SummaryDaily[day],SummaryDaily[MetaAdsOperation.spend],0)</f>
        <v>0</v>
      </c>
      <c r="AA468" s="11">
        <f>SUMIFS(SalesByUTMDaily[facebook],SalesByUTMDaily[day],TableDailySummary[[#This Row],[Fecha]])</f>
        <v>0</v>
      </c>
      <c r="AB468" s="11">
        <f>TableDailySummary[[#This Row],[Inversión google ads]]+TableDailySummary[[#This Row],[Inversión meta ads]]</f>
        <v>0</v>
      </c>
      <c r="AC468" s="11">
        <f>TableDailySummary[[#This Row],[Ventas google ads]]+TableDailySummary[[#This Row],[Ventas meta ads]]</f>
        <v>0</v>
      </c>
      <c r="AD468" s="14">
        <f>IFERROR(TableDailySummary[[#This Row],[Ventas publicidad]]/TableDailySummary[[#This Row],[Inversión publicidad]],0)</f>
        <v>0</v>
      </c>
      <c r="AE468" s="14">
        <f>IFERROR(TableDailySummary[[#This Row],[Ventas primer cliente]]/TableDailySummary[[#This Row],[Inversión publicidad]],0)</f>
        <v>0</v>
      </c>
      <c r="AF468" s="14"/>
      <c r="AG468" s="11"/>
      <c r="AM468" s="11">
        <f>_xlfn.XLOOKUP(TableDailySummary[[#This Row],[Fecha]],SummaryDaily[day],SummaryDaily[net_sales_with_cost_recorded],0)</f>
        <v>0</v>
      </c>
      <c r="AN468" s="11">
        <f>_xlfn.XLOOKUP(TableDailySummary[[#This Row],[Fecha]],SummaryDaily[day],SummaryDaily[cost_of_goods_sold],0)</f>
        <v>0</v>
      </c>
      <c r="AO468" s="11">
        <f>_xlfn.XLOOKUP(TableDailySummary[[#This Row],[Fecha]],SummaryDaily[day],SummaryDaily[gross_profit],0)</f>
        <v>0</v>
      </c>
      <c r="AP468" s="18">
        <f>IFERROR(TableDailySummary[[#This Row],[Utilidad bruta]]/TableDailySummary[[#This Row],[Ventas netas con costo registrado]],0)</f>
        <v>0</v>
      </c>
    </row>
    <row r="469" spans="2:42" x14ac:dyDescent="0.2">
      <c r="B469" s="15" cm="1">
        <f t="array" ref="B469">ParamFechaInicioReporte + (ROW(TableDailySummary[#This Row]) - ROW(TableDailySummary[[#Headers],[Dia]]) - 1)</f>
        <v>44996</v>
      </c>
      <c r="C469" s="6">
        <f>TableDailySummary[[#This Row],[Dia]]</f>
        <v>44996</v>
      </c>
      <c r="D469" s="11">
        <f>_xlfn.XLOOKUP(TableDailySummary[[#This Row],[Fecha]],SummaryDaily[day],SummaryDaily[net_sales],0)</f>
        <v>0</v>
      </c>
      <c r="E469" s="11">
        <f>_xlfn.XLOOKUP(TableDailySummary[[#This Row],[Fecha]],SummaryDaily[day],SummaryDaily[orders],0)</f>
        <v>0</v>
      </c>
      <c r="F469" s="11">
        <f>_xlfn.XLOOKUP(TableDailySummary[[#This Row],[Fecha]],SummaryDaily[day],SummaryDaily[average_order_value],0)</f>
        <v>0</v>
      </c>
      <c r="G469" s="24" cm="1">
        <f t="array" ref="G469">_xlfn.XLOOKUP(TableDailySummary[[#This Row],[Fecha]]&amp;"Total site",ConversionRateByReferral[day]&amp;ConversionRateByReferral[referrer_source],ConversionRateByReferral[conversion_rate],0)</f>
        <v>0</v>
      </c>
      <c r="H469" s="11">
        <f>TableDailySummary[[#This Row],[Órden promedio totales]]*TableDailySummary[[#This Row],[CR totales]]</f>
        <v>0</v>
      </c>
      <c r="I469" s="11">
        <f>_xlfn.XLOOKUP(TableDailySummary[[#This Row],[Fecha]],SummaryDaily[day],SummaryDaily[new_net_sales],0)</f>
        <v>0</v>
      </c>
      <c r="J469" s="11">
        <f>_xlfn.XLOOKUP(TableDailySummary[[#This Row],[Fecha]],SummaryDaily[day],SummaryDaily[new_orders],0)</f>
        <v>0</v>
      </c>
      <c r="K469" s="11">
        <f>_xlfn.XLOOKUP(TableDailySummary[[#This Row],[Fecha]],SummaryDaily[day],SummaryDaily[new_average_order_value],0)</f>
        <v>0</v>
      </c>
      <c r="L469" s="11">
        <f>_xlfn.XLOOKUP(TableDailySummary[[#This Row],[Fecha]],SummaryDaily[day],SummaryDaily[Online Store_net_sales],0)</f>
        <v>0</v>
      </c>
      <c r="M469" s="11">
        <f>_xlfn.XLOOKUP(TableDailySummary[[#This Row],[Fecha]],SummaryDaily[day],SummaryDaily[Online Store_orders],0)</f>
        <v>0</v>
      </c>
      <c r="N469" s="11">
        <f>_xlfn.XLOOKUP(TableDailySummary[[#This Row],[Fecha]],SummaryDaily[day],SummaryDaily[Online Store_average_order_value],0)</f>
        <v>0</v>
      </c>
      <c r="O469" s="11">
        <f>_xlfn.XLOOKUP(TableDailySummary[[#This Row],[Fecha]],SummaryDaily[day],SummaryDaily[Tienda 81_net_sales],0)</f>
        <v>0</v>
      </c>
      <c r="P469" s="11">
        <f>_xlfn.XLOOKUP(TableDailySummary[[#This Row],[Fecha]],SummaryDaily[day],SummaryDaily[Tienda 81_orders],0)</f>
        <v>0</v>
      </c>
      <c r="Q469" s="11">
        <f>_xlfn.XLOOKUP(TableDailySummary[[#This Row],[Fecha]],SummaryDaily[day],SummaryDaily[Tienda 81_average_order_value],0)</f>
        <v>0</v>
      </c>
      <c r="R469" s="11">
        <f>_xlfn.XLOOKUP(TableDailySummary[[#This Row],[Fecha]],SummaryDaily[day],SummaryDaily[Rappi_net_sales],0)</f>
        <v>0</v>
      </c>
      <c r="S469" s="11">
        <f>_xlfn.XLOOKUP(TableDailySummary[[#This Row],[Fecha]],SummaryDaily[day],SummaryDaily[Rappi_orders],0)</f>
        <v>0</v>
      </c>
      <c r="T469" s="11">
        <f>_xlfn.XLOOKUP(TableDailySummary[[#This Row],[Fecha]],SummaryDaily[day],SummaryDaily[Rappi_average_order_value],0)</f>
        <v>0</v>
      </c>
      <c r="U469" s="11">
        <f>_xlfn.XLOOKUP(TableDailySummary[[#This Row],[Fecha]],SummaryDaily[day],SummaryDaily[Corporativo no tienda_net_sales],0)</f>
        <v>0</v>
      </c>
      <c r="V469" s="11">
        <f>_xlfn.XLOOKUP(TableDailySummary[[#This Row],[Fecha]],SummaryDaily[day],SummaryDaily[Corporativo no tienda_orders],0)</f>
        <v>0</v>
      </c>
      <c r="W469" s="11">
        <f>_xlfn.XLOOKUP(TableDailySummary[[#This Row],[Fecha]],SummaryDaily[day],SummaryDaily[Corporativo no tienda_average_order_value],0)</f>
        <v>0</v>
      </c>
      <c r="X469" s="11">
        <f>_xlfn.XLOOKUP(TableDailySummary[[#This Row],[Fecha]],SummaryDaily[day],SummaryDaily[GoogleAdsOperation.Cost],0)</f>
        <v>0</v>
      </c>
      <c r="Y469" s="11">
        <f>SUMIFS(SalesByUTMDaily[google],SalesByUTMDaily[day],TableDailySummary[[#This Row],[Fecha]])</f>
        <v>0</v>
      </c>
      <c r="Z469" s="11">
        <f>_xlfn.XLOOKUP(TableDailySummary[[#This Row],[Fecha]],SummaryDaily[day],SummaryDaily[MetaAdsOperation.spend],0)</f>
        <v>0</v>
      </c>
      <c r="AA469" s="11">
        <f>SUMIFS(SalesByUTMDaily[facebook],SalesByUTMDaily[day],TableDailySummary[[#This Row],[Fecha]])</f>
        <v>0</v>
      </c>
      <c r="AB469" s="11">
        <f>TableDailySummary[[#This Row],[Inversión google ads]]+TableDailySummary[[#This Row],[Inversión meta ads]]</f>
        <v>0</v>
      </c>
      <c r="AC469" s="11">
        <f>TableDailySummary[[#This Row],[Ventas google ads]]+TableDailySummary[[#This Row],[Ventas meta ads]]</f>
        <v>0</v>
      </c>
      <c r="AD469" s="14">
        <f>IFERROR(TableDailySummary[[#This Row],[Ventas publicidad]]/TableDailySummary[[#This Row],[Inversión publicidad]],0)</f>
        <v>0</v>
      </c>
      <c r="AE469" s="14">
        <f>IFERROR(TableDailySummary[[#This Row],[Ventas primer cliente]]/TableDailySummary[[#This Row],[Inversión publicidad]],0)</f>
        <v>0</v>
      </c>
      <c r="AF469" s="14"/>
      <c r="AG469" s="11"/>
      <c r="AM469" s="11">
        <f>_xlfn.XLOOKUP(TableDailySummary[[#This Row],[Fecha]],SummaryDaily[day],SummaryDaily[net_sales_with_cost_recorded],0)</f>
        <v>0</v>
      </c>
      <c r="AN469" s="11">
        <f>_xlfn.XLOOKUP(TableDailySummary[[#This Row],[Fecha]],SummaryDaily[day],SummaryDaily[cost_of_goods_sold],0)</f>
        <v>0</v>
      </c>
      <c r="AO469" s="11">
        <f>_xlfn.XLOOKUP(TableDailySummary[[#This Row],[Fecha]],SummaryDaily[day],SummaryDaily[gross_profit],0)</f>
        <v>0</v>
      </c>
      <c r="AP469" s="18">
        <f>IFERROR(TableDailySummary[[#This Row],[Utilidad bruta]]/TableDailySummary[[#This Row],[Ventas netas con costo registrado]],0)</f>
        <v>0</v>
      </c>
    </row>
    <row r="470" spans="2:42" x14ac:dyDescent="0.2">
      <c r="B470" s="15" cm="1">
        <f t="array" ref="B470">ParamFechaInicioReporte + (ROW(TableDailySummary[#This Row]) - ROW(TableDailySummary[[#Headers],[Dia]]) - 1)</f>
        <v>44997</v>
      </c>
      <c r="C470" s="6">
        <f>TableDailySummary[[#This Row],[Dia]]</f>
        <v>44997</v>
      </c>
      <c r="D470" s="11">
        <f>_xlfn.XLOOKUP(TableDailySummary[[#This Row],[Fecha]],SummaryDaily[day],SummaryDaily[net_sales],0)</f>
        <v>0</v>
      </c>
      <c r="E470" s="11">
        <f>_xlfn.XLOOKUP(TableDailySummary[[#This Row],[Fecha]],SummaryDaily[day],SummaryDaily[orders],0)</f>
        <v>0</v>
      </c>
      <c r="F470" s="11">
        <f>_xlfn.XLOOKUP(TableDailySummary[[#This Row],[Fecha]],SummaryDaily[day],SummaryDaily[average_order_value],0)</f>
        <v>0</v>
      </c>
      <c r="G470" s="24" cm="1">
        <f t="array" ref="G470">_xlfn.XLOOKUP(TableDailySummary[[#This Row],[Fecha]]&amp;"Total site",ConversionRateByReferral[day]&amp;ConversionRateByReferral[referrer_source],ConversionRateByReferral[conversion_rate],0)</f>
        <v>0</v>
      </c>
      <c r="H470" s="11">
        <f>TableDailySummary[[#This Row],[Órden promedio totales]]*TableDailySummary[[#This Row],[CR totales]]</f>
        <v>0</v>
      </c>
      <c r="I470" s="11">
        <f>_xlfn.XLOOKUP(TableDailySummary[[#This Row],[Fecha]],SummaryDaily[day],SummaryDaily[new_net_sales],0)</f>
        <v>0</v>
      </c>
      <c r="J470" s="11">
        <f>_xlfn.XLOOKUP(TableDailySummary[[#This Row],[Fecha]],SummaryDaily[day],SummaryDaily[new_orders],0)</f>
        <v>0</v>
      </c>
      <c r="K470" s="11">
        <f>_xlfn.XLOOKUP(TableDailySummary[[#This Row],[Fecha]],SummaryDaily[day],SummaryDaily[new_average_order_value],0)</f>
        <v>0</v>
      </c>
      <c r="L470" s="11">
        <f>_xlfn.XLOOKUP(TableDailySummary[[#This Row],[Fecha]],SummaryDaily[day],SummaryDaily[Online Store_net_sales],0)</f>
        <v>0</v>
      </c>
      <c r="M470" s="11">
        <f>_xlfn.XLOOKUP(TableDailySummary[[#This Row],[Fecha]],SummaryDaily[day],SummaryDaily[Online Store_orders],0)</f>
        <v>0</v>
      </c>
      <c r="N470" s="11">
        <f>_xlfn.XLOOKUP(TableDailySummary[[#This Row],[Fecha]],SummaryDaily[day],SummaryDaily[Online Store_average_order_value],0)</f>
        <v>0</v>
      </c>
      <c r="O470" s="11">
        <f>_xlfn.XLOOKUP(TableDailySummary[[#This Row],[Fecha]],SummaryDaily[day],SummaryDaily[Tienda 81_net_sales],0)</f>
        <v>0</v>
      </c>
      <c r="P470" s="11">
        <f>_xlfn.XLOOKUP(TableDailySummary[[#This Row],[Fecha]],SummaryDaily[day],SummaryDaily[Tienda 81_orders],0)</f>
        <v>0</v>
      </c>
      <c r="Q470" s="11">
        <f>_xlfn.XLOOKUP(TableDailySummary[[#This Row],[Fecha]],SummaryDaily[day],SummaryDaily[Tienda 81_average_order_value],0)</f>
        <v>0</v>
      </c>
      <c r="R470" s="11">
        <f>_xlfn.XLOOKUP(TableDailySummary[[#This Row],[Fecha]],SummaryDaily[day],SummaryDaily[Rappi_net_sales],0)</f>
        <v>0</v>
      </c>
      <c r="S470" s="11">
        <f>_xlfn.XLOOKUP(TableDailySummary[[#This Row],[Fecha]],SummaryDaily[day],SummaryDaily[Rappi_orders],0)</f>
        <v>0</v>
      </c>
      <c r="T470" s="11">
        <f>_xlfn.XLOOKUP(TableDailySummary[[#This Row],[Fecha]],SummaryDaily[day],SummaryDaily[Rappi_average_order_value],0)</f>
        <v>0</v>
      </c>
      <c r="U470" s="11">
        <f>_xlfn.XLOOKUP(TableDailySummary[[#This Row],[Fecha]],SummaryDaily[day],SummaryDaily[Corporativo no tienda_net_sales],0)</f>
        <v>0</v>
      </c>
      <c r="V470" s="11">
        <f>_xlfn.XLOOKUP(TableDailySummary[[#This Row],[Fecha]],SummaryDaily[day],SummaryDaily[Corporativo no tienda_orders],0)</f>
        <v>0</v>
      </c>
      <c r="W470" s="11">
        <f>_xlfn.XLOOKUP(TableDailySummary[[#This Row],[Fecha]],SummaryDaily[day],SummaryDaily[Corporativo no tienda_average_order_value],0)</f>
        <v>0</v>
      </c>
      <c r="X470" s="11">
        <f>_xlfn.XLOOKUP(TableDailySummary[[#This Row],[Fecha]],SummaryDaily[day],SummaryDaily[GoogleAdsOperation.Cost],0)</f>
        <v>0</v>
      </c>
      <c r="Y470" s="11">
        <f>SUMIFS(SalesByUTMDaily[google],SalesByUTMDaily[day],TableDailySummary[[#This Row],[Fecha]])</f>
        <v>0</v>
      </c>
      <c r="Z470" s="11">
        <f>_xlfn.XLOOKUP(TableDailySummary[[#This Row],[Fecha]],SummaryDaily[day],SummaryDaily[MetaAdsOperation.spend],0)</f>
        <v>0</v>
      </c>
      <c r="AA470" s="11">
        <f>SUMIFS(SalesByUTMDaily[facebook],SalesByUTMDaily[day],TableDailySummary[[#This Row],[Fecha]])</f>
        <v>0</v>
      </c>
      <c r="AB470" s="11">
        <f>TableDailySummary[[#This Row],[Inversión google ads]]+TableDailySummary[[#This Row],[Inversión meta ads]]</f>
        <v>0</v>
      </c>
      <c r="AC470" s="11">
        <f>TableDailySummary[[#This Row],[Ventas google ads]]+TableDailySummary[[#This Row],[Ventas meta ads]]</f>
        <v>0</v>
      </c>
      <c r="AD470" s="14">
        <f>IFERROR(TableDailySummary[[#This Row],[Ventas publicidad]]/TableDailySummary[[#This Row],[Inversión publicidad]],0)</f>
        <v>0</v>
      </c>
      <c r="AE470" s="14">
        <f>IFERROR(TableDailySummary[[#This Row],[Ventas primer cliente]]/TableDailySummary[[#This Row],[Inversión publicidad]],0)</f>
        <v>0</v>
      </c>
      <c r="AF470" s="14"/>
      <c r="AG470" s="11"/>
      <c r="AM470" s="11">
        <f>_xlfn.XLOOKUP(TableDailySummary[[#This Row],[Fecha]],SummaryDaily[day],SummaryDaily[net_sales_with_cost_recorded],0)</f>
        <v>0</v>
      </c>
      <c r="AN470" s="11">
        <f>_xlfn.XLOOKUP(TableDailySummary[[#This Row],[Fecha]],SummaryDaily[day],SummaryDaily[cost_of_goods_sold],0)</f>
        <v>0</v>
      </c>
      <c r="AO470" s="11">
        <f>_xlfn.XLOOKUP(TableDailySummary[[#This Row],[Fecha]],SummaryDaily[day],SummaryDaily[gross_profit],0)</f>
        <v>0</v>
      </c>
      <c r="AP470" s="18">
        <f>IFERROR(TableDailySummary[[#This Row],[Utilidad bruta]]/TableDailySummary[[#This Row],[Ventas netas con costo registrado]],0)</f>
        <v>0</v>
      </c>
    </row>
    <row r="471" spans="2:42" x14ac:dyDescent="0.2">
      <c r="B471" s="15" cm="1">
        <f t="array" ref="B471">ParamFechaInicioReporte + (ROW(TableDailySummary[#This Row]) - ROW(TableDailySummary[[#Headers],[Dia]]) - 1)</f>
        <v>44998</v>
      </c>
      <c r="C471" s="6">
        <f>TableDailySummary[[#This Row],[Dia]]</f>
        <v>44998</v>
      </c>
      <c r="D471" s="11">
        <f>_xlfn.XLOOKUP(TableDailySummary[[#This Row],[Fecha]],SummaryDaily[day],SummaryDaily[net_sales],0)</f>
        <v>0</v>
      </c>
      <c r="E471" s="11">
        <f>_xlfn.XLOOKUP(TableDailySummary[[#This Row],[Fecha]],SummaryDaily[day],SummaryDaily[orders],0)</f>
        <v>0</v>
      </c>
      <c r="F471" s="11">
        <f>_xlfn.XLOOKUP(TableDailySummary[[#This Row],[Fecha]],SummaryDaily[day],SummaryDaily[average_order_value],0)</f>
        <v>0</v>
      </c>
      <c r="G471" s="24" cm="1">
        <f t="array" ref="G471">_xlfn.XLOOKUP(TableDailySummary[[#This Row],[Fecha]]&amp;"Total site",ConversionRateByReferral[day]&amp;ConversionRateByReferral[referrer_source],ConversionRateByReferral[conversion_rate],0)</f>
        <v>0</v>
      </c>
      <c r="H471" s="11">
        <f>TableDailySummary[[#This Row],[Órden promedio totales]]*TableDailySummary[[#This Row],[CR totales]]</f>
        <v>0</v>
      </c>
      <c r="I471" s="11">
        <f>_xlfn.XLOOKUP(TableDailySummary[[#This Row],[Fecha]],SummaryDaily[day],SummaryDaily[new_net_sales],0)</f>
        <v>0</v>
      </c>
      <c r="J471" s="11">
        <f>_xlfn.XLOOKUP(TableDailySummary[[#This Row],[Fecha]],SummaryDaily[day],SummaryDaily[new_orders],0)</f>
        <v>0</v>
      </c>
      <c r="K471" s="11">
        <f>_xlfn.XLOOKUP(TableDailySummary[[#This Row],[Fecha]],SummaryDaily[day],SummaryDaily[new_average_order_value],0)</f>
        <v>0</v>
      </c>
      <c r="L471" s="11">
        <f>_xlfn.XLOOKUP(TableDailySummary[[#This Row],[Fecha]],SummaryDaily[day],SummaryDaily[Online Store_net_sales],0)</f>
        <v>0</v>
      </c>
      <c r="M471" s="11">
        <f>_xlfn.XLOOKUP(TableDailySummary[[#This Row],[Fecha]],SummaryDaily[day],SummaryDaily[Online Store_orders],0)</f>
        <v>0</v>
      </c>
      <c r="N471" s="11">
        <f>_xlfn.XLOOKUP(TableDailySummary[[#This Row],[Fecha]],SummaryDaily[day],SummaryDaily[Online Store_average_order_value],0)</f>
        <v>0</v>
      </c>
      <c r="O471" s="11">
        <f>_xlfn.XLOOKUP(TableDailySummary[[#This Row],[Fecha]],SummaryDaily[day],SummaryDaily[Tienda 81_net_sales],0)</f>
        <v>0</v>
      </c>
      <c r="P471" s="11">
        <f>_xlfn.XLOOKUP(TableDailySummary[[#This Row],[Fecha]],SummaryDaily[day],SummaryDaily[Tienda 81_orders],0)</f>
        <v>0</v>
      </c>
      <c r="Q471" s="11">
        <f>_xlfn.XLOOKUP(TableDailySummary[[#This Row],[Fecha]],SummaryDaily[day],SummaryDaily[Tienda 81_average_order_value],0)</f>
        <v>0</v>
      </c>
      <c r="R471" s="11">
        <f>_xlfn.XLOOKUP(TableDailySummary[[#This Row],[Fecha]],SummaryDaily[day],SummaryDaily[Rappi_net_sales],0)</f>
        <v>0</v>
      </c>
      <c r="S471" s="11">
        <f>_xlfn.XLOOKUP(TableDailySummary[[#This Row],[Fecha]],SummaryDaily[day],SummaryDaily[Rappi_orders],0)</f>
        <v>0</v>
      </c>
      <c r="T471" s="11">
        <f>_xlfn.XLOOKUP(TableDailySummary[[#This Row],[Fecha]],SummaryDaily[day],SummaryDaily[Rappi_average_order_value],0)</f>
        <v>0</v>
      </c>
      <c r="U471" s="11">
        <f>_xlfn.XLOOKUP(TableDailySummary[[#This Row],[Fecha]],SummaryDaily[day],SummaryDaily[Corporativo no tienda_net_sales],0)</f>
        <v>0</v>
      </c>
      <c r="V471" s="11">
        <f>_xlfn.XLOOKUP(TableDailySummary[[#This Row],[Fecha]],SummaryDaily[day],SummaryDaily[Corporativo no tienda_orders],0)</f>
        <v>0</v>
      </c>
      <c r="W471" s="11">
        <f>_xlfn.XLOOKUP(TableDailySummary[[#This Row],[Fecha]],SummaryDaily[day],SummaryDaily[Corporativo no tienda_average_order_value],0)</f>
        <v>0</v>
      </c>
      <c r="X471" s="11">
        <f>_xlfn.XLOOKUP(TableDailySummary[[#This Row],[Fecha]],SummaryDaily[day],SummaryDaily[GoogleAdsOperation.Cost],0)</f>
        <v>0</v>
      </c>
      <c r="Y471" s="11">
        <f>SUMIFS(SalesByUTMDaily[google],SalesByUTMDaily[day],TableDailySummary[[#This Row],[Fecha]])</f>
        <v>0</v>
      </c>
      <c r="Z471" s="11">
        <f>_xlfn.XLOOKUP(TableDailySummary[[#This Row],[Fecha]],SummaryDaily[day],SummaryDaily[MetaAdsOperation.spend],0)</f>
        <v>0</v>
      </c>
      <c r="AA471" s="11">
        <f>SUMIFS(SalesByUTMDaily[facebook],SalesByUTMDaily[day],TableDailySummary[[#This Row],[Fecha]])</f>
        <v>0</v>
      </c>
      <c r="AB471" s="11">
        <f>TableDailySummary[[#This Row],[Inversión google ads]]+TableDailySummary[[#This Row],[Inversión meta ads]]</f>
        <v>0</v>
      </c>
      <c r="AC471" s="11">
        <f>TableDailySummary[[#This Row],[Ventas google ads]]+TableDailySummary[[#This Row],[Ventas meta ads]]</f>
        <v>0</v>
      </c>
      <c r="AD471" s="14">
        <f>IFERROR(TableDailySummary[[#This Row],[Ventas publicidad]]/TableDailySummary[[#This Row],[Inversión publicidad]],0)</f>
        <v>0</v>
      </c>
      <c r="AE471" s="14">
        <f>IFERROR(TableDailySummary[[#This Row],[Ventas primer cliente]]/TableDailySummary[[#This Row],[Inversión publicidad]],0)</f>
        <v>0</v>
      </c>
      <c r="AF471" s="14"/>
      <c r="AG471" s="11"/>
      <c r="AM471" s="11">
        <f>_xlfn.XLOOKUP(TableDailySummary[[#This Row],[Fecha]],SummaryDaily[day],SummaryDaily[net_sales_with_cost_recorded],0)</f>
        <v>0</v>
      </c>
      <c r="AN471" s="11">
        <f>_xlfn.XLOOKUP(TableDailySummary[[#This Row],[Fecha]],SummaryDaily[day],SummaryDaily[cost_of_goods_sold],0)</f>
        <v>0</v>
      </c>
      <c r="AO471" s="11">
        <f>_xlfn.XLOOKUP(TableDailySummary[[#This Row],[Fecha]],SummaryDaily[day],SummaryDaily[gross_profit],0)</f>
        <v>0</v>
      </c>
      <c r="AP471" s="18">
        <f>IFERROR(TableDailySummary[[#This Row],[Utilidad bruta]]/TableDailySummary[[#This Row],[Ventas netas con costo registrado]],0)</f>
        <v>0</v>
      </c>
    </row>
    <row r="472" spans="2:42" x14ac:dyDescent="0.2">
      <c r="B472" s="15" cm="1">
        <f t="array" ref="B472">ParamFechaInicioReporte + (ROW(TableDailySummary[#This Row]) - ROW(TableDailySummary[[#Headers],[Dia]]) - 1)</f>
        <v>44999</v>
      </c>
      <c r="C472" s="6">
        <f>TableDailySummary[[#This Row],[Dia]]</f>
        <v>44999</v>
      </c>
      <c r="D472" s="11">
        <f>_xlfn.XLOOKUP(TableDailySummary[[#This Row],[Fecha]],SummaryDaily[day],SummaryDaily[net_sales],0)</f>
        <v>0</v>
      </c>
      <c r="E472" s="11">
        <f>_xlfn.XLOOKUP(TableDailySummary[[#This Row],[Fecha]],SummaryDaily[day],SummaryDaily[orders],0)</f>
        <v>0</v>
      </c>
      <c r="F472" s="11">
        <f>_xlfn.XLOOKUP(TableDailySummary[[#This Row],[Fecha]],SummaryDaily[day],SummaryDaily[average_order_value],0)</f>
        <v>0</v>
      </c>
      <c r="G472" s="24" cm="1">
        <f t="array" ref="G472">_xlfn.XLOOKUP(TableDailySummary[[#This Row],[Fecha]]&amp;"Total site",ConversionRateByReferral[day]&amp;ConversionRateByReferral[referrer_source],ConversionRateByReferral[conversion_rate],0)</f>
        <v>0</v>
      </c>
      <c r="H472" s="11">
        <f>TableDailySummary[[#This Row],[Órden promedio totales]]*TableDailySummary[[#This Row],[CR totales]]</f>
        <v>0</v>
      </c>
      <c r="I472" s="11">
        <f>_xlfn.XLOOKUP(TableDailySummary[[#This Row],[Fecha]],SummaryDaily[day],SummaryDaily[new_net_sales],0)</f>
        <v>0</v>
      </c>
      <c r="J472" s="11">
        <f>_xlfn.XLOOKUP(TableDailySummary[[#This Row],[Fecha]],SummaryDaily[day],SummaryDaily[new_orders],0)</f>
        <v>0</v>
      </c>
      <c r="K472" s="11">
        <f>_xlfn.XLOOKUP(TableDailySummary[[#This Row],[Fecha]],SummaryDaily[day],SummaryDaily[new_average_order_value],0)</f>
        <v>0</v>
      </c>
      <c r="L472" s="11">
        <f>_xlfn.XLOOKUP(TableDailySummary[[#This Row],[Fecha]],SummaryDaily[day],SummaryDaily[Online Store_net_sales],0)</f>
        <v>0</v>
      </c>
      <c r="M472" s="11">
        <f>_xlfn.XLOOKUP(TableDailySummary[[#This Row],[Fecha]],SummaryDaily[day],SummaryDaily[Online Store_orders],0)</f>
        <v>0</v>
      </c>
      <c r="N472" s="11">
        <f>_xlfn.XLOOKUP(TableDailySummary[[#This Row],[Fecha]],SummaryDaily[day],SummaryDaily[Online Store_average_order_value],0)</f>
        <v>0</v>
      </c>
      <c r="O472" s="11">
        <f>_xlfn.XLOOKUP(TableDailySummary[[#This Row],[Fecha]],SummaryDaily[day],SummaryDaily[Tienda 81_net_sales],0)</f>
        <v>0</v>
      </c>
      <c r="P472" s="11">
        <f>_xlfn.XLOOKUP(TableDailySummary[[#This Row],[Fecha]],SummaryDaily[day],SummaryDaily[Tienda 81_orders],0)</f>
        <v>0</v>
      </c>
      <c r="Q472" s="11">
        <f>_xlfn.XLOOKUP(TableDailySummary[[#This Row],[Fecha]],SummaryDaily[day],SummaryDaily[Tienda 81_average_order_value],0)</f>
        <v>0</v>
      </c>
      <c r="R472" s="11">
        <f>_xlfn.XLOOKUP(TableDailySummary[[#This Row],[Fecha]],SummaryDaily[day],SummaryDaily[Rappi_net_sales],0)</f>
        <v>0</v>
      </c>
      <c r="S472" s="11">
        <f>_xlfn.XLOOKUP(TableDailySummary[[#This Row],[Fecha]],SummaryDaily[day],SummaryDaily[Rappi_orders],0)</f>
        <v>0</v>
      </c>
      <c r="T472" s="11">
        <f>_xlfn.XLOOKUP(TableDailySummary[[#This Row],[Fecha]],SummaryDaily[day],SummaryDaily[Rappi_average_order_value],0)</f>
        <v>0</v>
      </c>
      <c r="U472" s="11">
        <f>_xlfn.XLOOKUP(TableDailySummary[[#This Row],[Fecha]],SummaryDaily[day],SummaryDaily[Corporativo no tienda_net_sales],0)</f>
        <v>0</v>
      </c>
      <c r="V472" s="11">
        <f>_xlfn.XLOOKUP(TableDailySummary[[#This Row],[Fecha]],SummaryDaily[day],SummaryDaily[Corporativo no tienda_orders],0)</f>
        <v>0</v>
      </c>
      <c r="W472" s="11">
        <f>_xlfn.XLOOKUP(TableDailySummary[[#This Row],[Fecha]],SummaryDaily[day],SummaryDaily[Corporativo no tienda_average_order_value],0)</f>
        <v>0</v>
      </c>
      <c r="X472" s="11">
        <f>_xlfn.XLOOKUP(TableDailySummary[[#This Row],[Fecha]],SummaryDaily[day],SummaryDaily[GoogleAdsOperation.Cost],0)</f>
        <v>0</v>
      </c>
      <c r="Y472" s="11">
        <f>SUMIFS(SalesByUTMDaily[google],SalesByUTMDaily[day],TableDailySummary[[#This Row],[Fecha]])</f>
        <v>0</v>
      </c>
      <c r="Z472" s="11">
        <f>_xlfn.XLOOKUP(TableDailySummary[[#This Row],[Fecha]],SummaryDaily[day],SummaryDaily[MetaAdsOperation.spend],0)</f>
        <v>0</v>
      </c>
      <c r="AA472" s="11">
        <f>SUMIFS(SalesByUTMDaily[facebook],SalesByUTMDaily[day],TableDailySummary[[#This Row],[Fecha]])</f>
        <v>0</v>
      </c>
      <c r="AB472" s="11">
        <f>TableDailySummary[[#This Row],[Inversión google ads]]+TableDailySummary[[#This Row],[Inversión meta ads]]</f>
        <v>0</v>
      </c>
      <c r="AC472" s="11">
        <f>TableDailySummary[[#This Row],[Ventas google ads]]+TableDailySummary[[#This Row],[Ventas meta ads]]</f>
        <v>0</v>
      </c>
      <c r="AD472" s="14">
        <f>IFERROR(TableDailySummary[[#This Row],[Ventas publicidad]]/TableDailySummary[[#This Row],[Inversión publicidad]],0)</f>
        <v>0</v>
      </c>
      <c r="AE472" s="14">
        <f>IFERROR(TableDailySummary[[#This Row],[Ventas primer cliente]]/TableDailySummary[[#This Row],[Inversión publicidad]],0)</f>
        <v>0</v>
      </c>
      <c r="AF472" s="14"/>
      <c r="AG472" s="11"/>
      <c r="AM472" s="11">
        <f>_xlfn.XLOOKUP(TableDailySummary[[#This Row],[Fecha]],SummaryDaily[day],SummaryDaily[net_sales_with_cost_recorded],0)</f>
        <v>0</v>
      </c>
      <c r="AN472" s="11">
        <f>_xlfn.XLOOKUP(TableDailySummary[[#This Row],[Fecha]],SummaryDaily[day],SummaryDaily[cost_of_goods_sold],0)</f>
        <v>0</v>
      </c>
      <c r="AO472" s="11">
        <f>_xlfn.XLOOKUP(TableDailySummary[[#This Row],[Fecha]],SummaryDaily[day],SummaryDaily[gross_profit],0)</f>
        <v>0</v>
      </c>
      <c r="AP472" s="18">
        <f>IFERROR(TableDailySummary[[#This Row],[Utilidad bruta]]/TableDailySummary[[#This Row],[Ventas netas con costo registrado]],0)</f>
        <v>0</v>
      </c>
    </row>
    <row r="473" spans="2:42" x14ac:dyDescent="0.2">
      <c r="B473" s="15" cm="1">
        <f t="array" ref="B473">ParamFechaInicioReporte + (ROW(TableDailySummary[#This Row]) - ROW(TableDailySummary[[#Headers],[Dia]]) - 1)</f>
        <v>45000</v>
      </c>
      <c r="C473" s="6">
        <f>TableDailySummary[[#This Row],[Dia]]</f>
        <v>45000</v>
      </c>
      <c r="D473" s="11">
        <f>_xlfn.XLOOKUP(TableDailySummary[[#This Row],[Fecha]],SummaryDaily[day],SummaryDaily[net_sales],0)</f>
        <v>0</v>
      </c>
      <c r="E473" s="11">
        <f>_xlfn.XLOOKUP(TableDailySummary[[#This Row],[Fecha]],SummaryDaily[day],SummaryDaily[orders],0)</f>
        <v>0</v>
      </c>
      <c r="F473" s="11">
        <f>_xlfn.XLOOKUP(TableDailySummary[[#This Row],[Fecha]],SummaryDaily[day],SummaryDaily[average_order_value],0)</f>
        <v>0</v>
      </c>
      <c r="G473" s="24" cm="1">
        <f t="array" ref="G473">_xlfn.XLOOKUP(TableDailySummary[[#This Row],[Fecha]]&amp;"Total site",ConversionRateByReferral[day]&amp;ConversionRateByReferral[referrer_source],ConversionRateByReferral[conversion_rate],0)</f>
        <v>0</v>
      </c>
      <c r="H473" s="11">
        <f>TableDailySummary[[#This Row],[Órden promedio totales]]*TableDailySummary[[#This Row],[CR totales]]</f>
        <v>0</v>
      </c>
      <c r="I473" s="11">
        <f>_xlfn.XLOOKUP(TableDailySummary[[#This Row],[Fecha]],SummaryDaily[day],SummaryDaily[new_net_sales],0)</f>
        <v>0</v>
      </c>
      <c r="J473" s="11">
        <f>_xlfn.XLOOKUP(TableDailySummary[[#This Row],[Fecha]],SummaryDaily[day],SummaryDaily[new_orders],0)</f>
        <v>0</v>
      </c>
      <c r="K473" s="11">
        <f>_xlfn.XLOOKUP(TableDailySummary[[#This Row],[Fecha]],SummaryDaily[day],SummaryDaily[new_average_order_value],0)</f>
        <v>0</v>
      </c>
      <c r="L473" s="11">
        <f>_xlfn.XLOOKUP(TableDailySummary[[#This Row],[Fecha]],SummaryDaily[day],SummaryDaily[Online Store_net_sales],0)</f>
        <v>0</v>
      </c>
      <c r="M473" s="11">
        <f>_xlfn.XLOOKUP(TableDailySummary[[#This Row],[Fecha]],SummaryDaily[day],SummaryDaily[Online Store_orders],0)</f>
        <v>0</v>
      </c>
      <c r="N473" s="11">
        <f>_xlfn.XLOOKUP(TableDailySummary[[#This Row],[Fecha]],SummaryDaily[day],SummaryDaily[Online Store_average_order_value],0)</f>
        <v>0</v>
      </c>
      <c r="O473" s="11">
        <f>_xlfn.XLOOKUP(TableDailySummary[[#This Row],[Fecha]],SummaryDaily[day],SummaryDaily[Tienda 81_net_sales],0)</f>
        <v>0</v>
      </c>
      <c r="P473" s="11">
        <f>_xlfn.XLOOKUP(TableDailySummary[[#This Row],[Fecha]],SummaryDaily[day],SummaryDaily[Tienda 81_orders],0)</f>
        <v>0</v>
      </c>
      <c r="Q473" s="11">
        <f>_xlfn.XLOOKUP(TableDailySummary[[#This Row],[Fecha]],SummaryDaily[day],SummaryDaily[Tienda 81_average_order_value],0)</f>
        <v>0</v>
      </c>
      <c r="R473" s="11">
        <f>_xlfn.XLOOKUP(TableDailySummary[[#This Row],[Fecha]],SummaryDaily[day],SummaryDaily[Rappi_net_sales],0)</f>
        <v>0</v>
      </c>
      <c r="S473" s="11">
        <f>_xlfn.XLOOKUP(TableDailySummary[[#This Row],[Fecha]],SummaryDaily[day],SummaryDaily[Rappi_orders],0)</f>
        <v>0</v>
      </c>
      <c r="T473" s="11">
        <f>_xlfn.XLOOKUP(TableDailySummary[[#This Row],[Fecha]],SummaryDaily[day],SummaryDaily[Rappi_average_order_value],0)</f>
        <v>0</v>
      </c>
      <c r="U473" s="11">
        <f>_xlfn.XLOOKUP(TableDailySummary[[#This Row],[Fecha]],SummaryDaily[day],SummaryDaily[Corporativo no tienda_net_sales],0)</f>
        <v>0</v>
      </c>
      <c r="V473" s="11">
        <f>_xlfn.XLOOKUP(TableDailySummary[[#This Row],[Fecha]],SummaryDaily[day],SummaryDaily[Corporativo no tienda_orders],0)</f>
        <v>0</v>
      </c>
      <c r="W473" s="11">
        <f>_xlfn.XLOOKUP(TableDailySummary[[#This Row],[Fecha]],SummaryDaily[day],SummaryDaily[Corporativo no tienda_average_order_value],0)</f>
        <v>0</v>
      </c>
      <c r="X473" s="11">
        <f>_xlfn.XLOOKUP(TableDailySummary[[#This Row],[Fecha]],SummaryDaily[day],SummaryDaily[GoogleAdsOperation.Cost],0)</f>
        <v>0</v>
      </c>
      <c r="Y473" s="11">
        <f>SUMIFS(SalesByUTMDaily[google],SalesByUTMDaily[day],TableDailySummary[[#This Row],[Fecha]])</f>
        <v>0</v>
      </c>
      <c r="Z473" s="11">
        <f>_xlfn.XLOOKUP(TableDailySummary[[#This Row],[Fecha]],SummaryDaily[day],SummaryDaily[MetaAdsOperation.spend],0)</f>
        <v>0</v>
      </c>
      <c r="AA473" s="11">
        <f>SUMIFS(SalesByUTMDaily[facebook],SalesByUTMDaily[day],TableDailySummary[[#This Row],[Fecha]])</f>
        <v>0</v>
      </c>
      <c r="AB473" s="11">
        <f>TableDailySummary[[#This Row],[Inversión google ads]]+TableDailySummary[[#This Row],[Inversión meta ads]]</f>
        <v>0</v>
      </c>
      <c r="AC473" s="11">
        <f>TableDailySummary[[#This Row],[Ventas google ads]]+TableDailySummary[[#This Row],[Ventas meta ads]]</f>
        <v>0</v>
      </c>
      <c r="AD473" s="14">
        <f>IFERROR(TableDailySummary[[#This Row],[Ventas publicidad]]/TableDailySummary[[#This Row],[Inversión publicidad]],0)</f>
        <v>0</v>
      </c>
      <c r="AE473" s="14">
        <f>IFERROR(TableDailySummary[[#This Row],[Ventas primer cliente]]/TableDailySummary[[#This Row],[Inversión publicidad]],0)</f>
        <v>0</v>
      </c>
      <c r="AF473" s="14"/>
      <c r="AG473" s="11"/>
      <c r="AM473" s="11">
        <f>_xlfn.XLOOKUP(TableDailySummary[[#This Row],[Fecha]],SummaryDaily[day],SummaryDaily[net_sales_with_cost_recorded],0)</f>
        <v>0</v>
      </c>
      <c r="AN473" s="11">
        <f>_xlfn.XLOOKUP(TableDailySummary[[#This Row],[Fecha]],SummaryDaily[day],SummaryDaily[cost_of_goods_sold],0)</f>
        <v>0</v>
      </c>
      <c r="AO473" s="11">
        <f>_xlfn.XLOOKUP(TableDailySummary[[#This Row],[Fecha]],SummaryDaily[day],SummaryDaily[gross_profit],0)</f>
        <v>0</v>
      </c>
      <c r="AP473" s="18">
        <f>IFERROR(TableDailySummary[[#This Row],[Utilidad bruta]]/TableDailySummary[[#This Row],[Ventas netas con costo registrado]],0)</f>
        <v>0</v>
      </c>
    </row>
    <row r="474" spans="2:42" x14ac:dyDescent="0.2">
      <c r="B474" s="15" cm="1">
        <f t="array" ref="B474">ParamFechaInicioReporte + (ROW(TableDailySummary[#This Row]) - ROW(TableDailySummary[[#Headers],[Dia]]) - 1)</f>
        <v>45001</v>
      </c>
      <c r="C474" s="6">
        <f>TableDailySummary[[#This Row],[Dia]]</f>
        <v>45001</v>
      </c>
      <c r="D474" s="11">
        <f>_xlfn.XLOOKUP(TableDailySummary[[#This Row],[Fecha]],SummaryDaily[day],SummaryDaily[net_sales],0)</f>
        <v>0</v>
      </c>
      <c r="E474" s="11">
        <f>_xlfn.XLOOKUP(TableDailySummary[[#This Row],[Fecha]],SummaryDaily[day],SummaryDaily[orders],0)</f>
        <v>0</v>
      </c>
      <c r="F474" s="11">
        <f>_xlfn.XLOOKUP(TableDailySummary[[#This Row],[Fecha]],SummaryDaily[day],SummaryDaily[average_order_value],0)</f>
        <v>0</v>
      </c>
      <c r="G474" s="24" cm="1">
        <f t="array" ref="G474">_xlfn.XLOOKUP(TableDailySummary[[#This Row],[Fecha]]&amp;"Total site",ConversionRateByReferral[day]&amp;ConversionRateByReferral[referrer_source],ConversionRateByReferral[conversion_rate],0)</f>
        <v>0</v>
      </c>
      <c r="H474" s="11">
        <f>TableDailySummary[[#This Row],[Órden promedio totales]]*TableDailySummary[[#This Row],[CR totales]]</f>
        <v>0</v>
      </c>
      <c r="I474" s="11">
        <f>_xlfn.XLOOKUP(TableDailySummary[[#This Row],[Fecha]],SummaryDaily[day],SummaryDaily[new_net_sales],0)</f>
        <v>0</v>
      </c>
      <c r="J474" s="11">
        <f>_xlfn.XLOOKUP(TableDailySummary[[#This Row],[Fecha]],SummaryDaily[day],SummaryDaily[new_orders],0)</f>
        <v>0</v>
      </c>
      <c r="K474" s="11">
        <f>_xlfn.XLOOKUP(TableDailySummary[[#This Row],[Fecha]],SummaryDaily[day],SummaryDaily[new_average_order_value],0)</f>
        <v>0</v>
      </c>
      <c r="L474" s="11">
        <f>_xlfn.XLOOKUP(TableDailySummary[[#This Row],[Fecha]],SummaryDaily[day],SummaryDaily[Online Store_net_sales],0)</f>
        <v>0</v>
      </c>
      <c r="M474" s="11">
        <f>_xlfn.XLOOKUP(TableDailySummary[[#This Row],[Fecha]],SummaryDaily[day],SummaryDaily[Online Store_orders],0)</f>
        <v>0</v>
      </c>
      <c r="N474" s="11">
        <f>_xlfn.XLOOKUP(TableDailySummary[[#This Row],[Fecha]],SummaryDaily[day],SummaryDaily[Online Store_average_order_value],0)</f>
        <v>0</v>
      </c>
      <c r="O474" s="11">
        <f>_xlfn.XLOOKUP(TableDailySummary[[#This Row],[Fecha]],SummaryDaily[day],SummaryDaily[Tienda 81_net_sales],0)</f>
        <v>0</v>
      </c>
      <c r="P474" s="11">
        <f>_xlfn.XLOOKUP(TableDailySummary[[#This Row],[Fecha]],SummaryDaily[day],SummaryDaily[Tienda 81_orders],0)</f>
        <v>0</v>
      </c>
      <c r="Q474" s="11">
        <f>_xlfn.XLOOKUP(TableDailySummary[[#This Row],[Fecha]],SummaryDaily[day],SummaryDaily[Tienda 81_average_order_value],0)</f>
        <v>0</v>
      </c>
      <c r="R474" s="11">
        <f>_xlfn.XLOOKUP(TableDailySummary[[#This Row],[Fecha]],SummaryDaily[day],SummaryDaily[Rappi_net_sales],0)</f>
        <v>0</v>
      </c>
      <c r="S474" s="11">
        <f>_xlfn.XLOOKUP(TableDailySummary[[#This Row],[Fecha]],SummaryDaily[day],SummaryDaily[Rappi_orders],0)</f>
        <v>0</v>
      </c>
      <c r="T474" s="11">
        <f>_xlfn.XLOOKUP(TableDailySummary[[#This Row],[Fecha]],SummaryDaily[day],SummaryDaily[Rappi_average_order_value],0)</f>
        <v>0</v>
      </c>
      <c r="U474" s="11">
        <f>_xlfn.XLOOKUP(TableDailySummary[[#This Row],[Fecha]],SummaryDaily[day],SummaryDaily[Corporativo no tienda_net_sales],0)</f>
        <v>0</v>
      </c>
      <c r="V474" s="11">
        <f>_xlfn.XLOOKUP(TableDailySummary[[#This Row],[Fecha]],SummaryDaily[day],SummaryDaily[Corporativo no tienda_orders],0)</f>
        <v>0</v>
      </c>
      <c r="W474" s="11">
        <f>_xlfn.XLOOKUP(TableDailySummary[[#This Row],[Fecha]],SummaryDaily[day],SummaryDaily[Corporativo no tienda_average_order_value],0)</f>
        <v>0</v>
      </c>
      <c r="X474" s="11">
        <f>_xlfn.XLOOKUP(TableDailySummary[[#This Row],[Fecha]],SummaryDaily[day],SummaryDaily[GoogleAdsOperation.Cost],0)</f>
        <v>0</v>
      </c>
      <c r="Y474" s="11">
        <f>SUMIFS(SalesByUTMDaily[google],SalesByUTMDaily[day],TableDailySummary[[#This Row],[Fecha]])</f>
        <v>0</v>
      </c>
      <c r="Z474" s="11">
        <f>_xlfn.XLOOKUP(TableDailySummary[[#This Row],[Fecha]],SummaryDaily[day],SummaryDaily[MetaAdsOperation.spend],0)</f>
        <v>0</v>
      </c>
      <c r="AA474" s="11">
        <f>SUMIFS(SalesByUTMDaily[facebook],SalesByUTMDaily[day],TableDailySummary[[#This Row],[Fecha]])</f>
        <v>0</v>
      </c>
      <c r="AB474" s="11">
        <f>TableDailySummary[[#This Row],[Inversión google ads]]+TableDailySummary[[#This Row],[Inversión meta ads]]</f>
        <v>0</v>
      </c>
      <c r="AC474" s="11">
        <f>TableDailySummary[[#This Row],[Ventas google ads]]+TableDailySummary[[#This Row],[Ventas meta ads]]</f>
        <v>0</v>
      </c>
      <c r="AD474" s="14">
        <f>IFERROR(TableDailySummary[[#This Row],[Ventas publicidad]]/TableDailySummary[[#This Row],[Inversión publicidad]],0)</f>
        <v>0</v>
      </c>
      <c r="AE474" s="14">
        <f>IFERROR(TableDailySummary[[#This Row],[Ventas primer cliente]]/TableDailySummary[[#This Row],[Inversión publicidad]],0)</f>
        <v>0</v>
      </c>
      <c r="AF474" s="14"/>
      <c r="AG474" s="11"/>
      <c r="AM474" s="11">
        <f>_xlfn.XLOOKUP(TableDailySummary[[#This Row],[Fecha]],SummaryDaily[day],SummaryDaily[net_sales_with_cost_recorded],0)</f>
        <v>0</v>
      </c>
      <c r="AN474" s="11">
        <f>_xlfn.XLOOKUP(TableDailySummary[[#This Row],[Fecha]],SummaryDaily[day],SummaryDaily[cost_of_goods_sold],0)</f>
        <v>0</v>
      </c>
      <c r="AO474" s="11">
        <f>_xlfn.XLOOKUP(TableDailySummary[[#This Row],[Fecha]],SummaryDaily[day],SummaryDaily[gross_profit],0)</f>
        <v>0</v>
      </c>
      <c r="AP474" s="18">
        <f>IFERROR(TableDailySummary[[#This Row],[Utilidad bruta]]/TableDailySummary[[#This Row],[Ventas netas con costo registrado]],0)</f>
        <v>0</v>
      </c>
    </row>
    <row r="475" spans="2:42" x14ac:dyDescent="0.2">
      <c r="B475" s="15" cm="1">
        <f t="array" ref="B475">ParamFechaInicioReporte + (ROW(TableDailySummary[#This Row]) - ROW(TableDailySummary[[#Headers],[Dia]]) - 1)</f>
        <v>45002</v>
      </c>
      <c r="C475" s="6">
        <f>TableDailySummary[[#This Row],[Dia]]</f>
        <v>45002</v>
      </c>
      <c r="D475" s="11">
        <f>_xlfn.XLOOKUP(TableDailySummary[[#This Row],[Fecha]],SummaryDaily[day],SummaryDaily[net_sales],0)</f>
        <v>0</v>
      </c>
      <c r="E475" s="11">
        <f>_xlfn.XLOOKUP(TableDailySummary[[#This Row],[Fecha]],SummaryDaily[day],SummaryDaily[orders],0)</f>
        <v>0</v>
      </c>
      <c r="F475" s="11">
        <f>_xlfn.XLOOKUP(TableDailySummary[[#This Row],[Fecha]],SummaryDaily[day],SummaryDaily[average_order_value],0)</f>
        <v>0</v>
      </c>
      <c r="G475" s="24" cm="1">
        <f t="array" ref="G475">_xlfn.XLOOKUP(TableDailySummary[[#This Row],[Fecha]]&amp;"Total site",ConversionRateByReferral[day]&amp;ConversionRateByReferral[referrer_source],ConversionRateByReferral[conversion_rate],0)</f>
        <v>0</v>
      </c>
      <c r="H475" s="11">
        <f>TableDailySummary[[#This Row],[Órden promedio totales]]*TableDailySummary[[#This Row],[CR totales]]</f>
        <v>0</v>
      </c>
      <c r="I475" s="11">
        <f>_xlfn.XLOOKUP(TableDailySummary[[#This Row],[Fecha]],SummaryDaily[day],SummaryDaily[new_net_sales],0)</f>
        <v>0</v>
      </c>
      <c r="J475" s="11">
        <f>_xlfn.XLOOKUP(TableDailySummary[[#This Row],[Fecha]],SummaryDaily[day],SummaryDaily[new_orders],0)</f>
        <v>0</v>
      </c>
      <c r="K475" s="11">
        <f>_xlfn.XLOOKUP(TableDailySummary[[#This Row],[Fecha]],SummaryDaily[day],SummaryDaily[new_average_order_value],0)</f>
        <v>0</v>
      </c>
      <c r="L475" s="11">
        <f>_xlfn.XLOOKUP(TableDailySummary[[#This Row],[Fecha]],SummaryDaily[day],SummaryDaily[Online Store_net_sales],0)</f>
        <v>0</v>
      </c>
      <c r="M475" s="11">
        <f>_xlfn.XLOOKUP(TableDailySummary[[#This Row],[Fecha]],SummaryDaily[day],SummaryDaily[Online Store_orders],0)</f>
        <v>0</v>
      </c>
      <c r="N475" s="11">
        <f>_xlfn.XLOOKUP(TableDailySummary[[#This Row],[Fecha]],SummaryDaily[day],SummaryDaily[Online Store_average_order_value],0)</f>
        <v>0</v>
      </c>
      <c r="O475" s="11">
        <f>_xlfn.XLOOKUP(TableDailySummary[[#This Row],[Fecha]],SummaryDaily[day],SummaryDaily[Tienda 81_net_sales],0)</f>
        <v>0</v>
      </c>
      <c r="P475" s="11">
        <f>_xlfn.XLOOKUP(TableDailySummary[[#This Row],[Fecha]],SummaryDaily[day],SummaryDaily[Tienda 81_orders],0)</f>
        <v>0</v>
      </c>
      <c r="Q475" s="11">
        <f>_xlfn.XLOOKUP(TableDailySummary[[#This Row],[Fecha]],SummaryDaily[day],SummaryDaily[Tienda 81_average_order_value],0)</f>
        <v>0</v>
      </c>
      <c r="R475" s="11">
        <f>_xlfn.XLOOKUP(TableDailySummary[[#This Row],[Fecha]],SummaryDaily[day],SummaryDaily[Rappi_net_sales],0)</f>
        <v>0</v>
      </c>
      <c r="S475" s="11">
        <f>_xlfn.XLOOKUP(TableDailySummary[[#This Row],[Fecha]],SummaryDaily[day],SummaryDaily[Rappi_orders],0)</f>
        <v>0</v>
      </c>
      <c r="T475" s="11">
        <f>_xlfn.XLOOKUP(TableDailySummary[[#This Row],[Fecha]],SummaryDaily[day],SummaryDaily[Rappi_average_order_value],0)</f>
        <v>0</v>
      </c>
      <c r="U475" s="11">
        <f>_xlfn.XLOOKUP(TableDailySummary[[#This Row],[Fecha]],SummaryDaily[day],SummaryDaily[Corporativo no tienda_net_sales],0)</f>
        <v>0</v>
      </c>
      <c r="V475" s="11">
        <f>_xlfn.XLOOKUP(TableDailySummary[[#This Row],[Fecha]],SummaryDaily[day],SummaryDaily[Corporativo no tienda_orders],0)</f>
        <v>0</v>
      </c>
      <c r="W475" s="11">
        <f>_xlfn.XLOOKUP(TableDailySummary[[#This Row],[Fecha]],SummaryDaily[day],SummaryDaily[Corporativo no tienda_average_order_value],0)</f>
        <v>0</v>
      </c>
      <c r="X475" s="11">
        <f>_xlfn.XLOOKUP(TableDailySummary[[#This Row],[Fecha]],SummaryDaily[day],SummaryDaily[GoogleAdsOperation.Cost],0)</f>
        <v>0</v>
      </c>
      <c r="Y475" s="11">
        <f>SUMIFS(SalesByUTMDaily[google],SalesByUTMDaily[day],TableDailySummary[[#This Row],[Fecha]])</f>
        <v>0</v>
      </c>
      <c r="Z475" s="11">
        <f>_xlfn.XLOOKUP(TableDailySummary[[#This Row],[Fecha]],SummaryDaily[day],SummaryDaily[MetaAdsOperation.spend],0)</f>
        <v>0</v>
      </c>
      <c r="AA475" s="11">
        <f>SUMIFS(SalesByUTMDaily[facebook],SalesByUTMDaily[day],TableDailySummary[[#This Row],[Fecha]])</f>
        <v>0</v>
      </c>
      <c r="AB475" s="11">
        <f>TableDailySummary[[#This Row],[Inversión google ads]]+TableDailySummary[[#This Row],[Inversión meta ads]]</f>
        <v>0</v>
      </c>
      <c r="AC475" s="11">
        <f>TableDailySummary[[#This Row],[Ventas google ads]]+TableDailySummary[[#This Row],[Ventas meta ads]]</f>
        <v>0</v>
      </c>
      <c r="AD475" s="14">
        <f>IFERROR(TableDailySummary[[#This Row],[Ventas publicidad]]/TableDailySummary[[#This Row],[Inversión publicidad]],0)</f>
        <v>0</v>
      </c>
      <c r="AE475" s="14">
        <f>IFERROR(TableDailySummary[[#This Row],[Ventas primer cliente]]/TableDailySummary[[#This Row],[Inversión publicidad]],0)</f>
        <v>0</v>
      </c>
      <c r="AF475" s="14"/>
      <c r="AG475" s="11"/>
      <c r="AM475" s="11">
        <f>_xlfn.XLOOKUP(TableDailySummary[[#This Row],[Fecha]],SummaryDaily[day],SummaryDaily[net_sales_with_cost_recorded],0)</f>
        <v>0</v>
      </c>
      <c r="AN475" s="11">
        <f>_xlfn.XLOOKUP(TableDailySummary[[#This Row],[Fecha]],SummaryDaily[day],SummaryDaily[cost_of_goods_sold],0)</f>
        <v>0</v>
      </c>
      <c r="AO475" s="11">
        <f>_xlfn.XLOOKUP(TableDailySummary[[#This Row],[Fecha]],SummaryDaily[day],SummaryDaily[gross_profit],0)</f>
        <v>0</v>
      </c>
      <c r="AP475" s="18">
        <f>IFERROR(TableDailySummary[[#This Row],[Utilidad bruta]]/TableDailySummary[[#This Row],[Ventas netas con costo registrado]],0)</f>
        <v>0</v>
      </c>
    </row>
    <row r="476" spans="2:42" x14ac:dyDescent="0.2">
      <c r="B476" s="15" cm="1">
        <f t="array" ref="B476">ParamFechaInicioReporte + (ROW(TableDailySummary[#This Row]) - ROW(TableDailySummary[[#Headers],[Dia]]) - 1)</f>
        <v>45003</v>
      </c>
      <c r="C476" s="6">
        <f>TableDailySummary[[#This Row],[Dia]]</f>
        <v>45003</v>
      </c>
      <c r="D476" s="11">
        <f>_xlfn.XLOOKUP(TableDailySummary[[#This Row],[Fecha]],SummaryDaily[day],SummaryDaily[net_sales],0)</f>
        <v>0</v>
      </c>
      <c r="E476" s="11">
        <f>_xlfn.XLOOKUP(TableDailySummary[[#This Row],[Fecha]],SummaryDaily[day],SummaryDaily[orders],0)</f>
        <v>0</v>
      </c>
      <c r="F476" s="11">
        <f>_xlfn.XLOOKUP(TableDailySummary[[#This Row],[Fecha]],SummaryDaily[day],SummaryDaily[average_order_value],0)</f>
        <v>0</v>
      </c>
      <c r="G476" s="24" cm="1">
        <f t="array" ref="G476">_xlfn.XLOOKUP(TableDailySummary[[#This Row],[Fecha]]&amp;"Total site",ConversionRateByReferral[day]&amp;ConversionRateByReferral[referrer_source],ConversionRateByReferral[conversion_rate],0)</f>
        <v>0</v>
      </c>
      <c r="H476" s="11">
        <f>TableDailySummary[[#This Row],[Órden promedio totales]]*TableDailySummary[[#This Row],[CR totales]]</f>
        <v>0</v>
      </c>
      <c r="I476" s="11">
        <f>_xlfn.XLOOKUP(TableDailySummary[[#This Row],[Fecha]],SummaryDaily[day],SummaryDaily[new_net_sales],0)</f>
        <v>0</v>
      </c>
      <c r="J476" s="11">
        <f>_xlfn.XLOOKUP(TableDailySummary[[#This Row],[Fecha]],SummaryDaily[day],SummaryDaily[new_orders],0)</f>
        <v>0</v>
      </c>
      <c r="K476" s="11">
        <f>_xlfn.XLOOKUP(TableDailySummary[[#This Row],[Fecha]],SummaryDaily[day],SummaryDaily[new_average_order_value],0)</f>
        <v>0</v>
      </c>
      <c r="L476" s="11">
        <f>_xlfn.XLOOKUP(TableDailySummary[[#This Row],[Fecha]],SummaryDaily[day],SummaryDaily[Online Store_net_sales],0)</f>
        <v>0</v>
      </c>
      <c r="M476" s="11">
        <f>_xlfn.XLOOKUP(TableDailySummary[[#This Row],[Fecha]],SummaryDaily[day],SummaryDaily[Online Store_orders],0)</f>
        <v>0</v>
      </c>
      <c r="N476" s="11">
        <f>_xlfn.XLOOKUP(TableDailySummary[[#This Row],[Fecha]],SummaryDaily[day],SummaryDaily[Online Store_average_order_value],0)</f>
        <v>0</v>
      </c>
      <c r="O476" s="11">
        <f>_xlfn.XLOOKUP(TableDailySummary[[#This Row],[Fecha]],SummaryDaily[day],SummaryDaily[Tienda 81_net_sales],0)</f>
        <v>0</v>
      </c>
      <c r="P476" s="11">
        <f>_xlfn.XLOOKUP(TableDailySummary[[#This Row],[Fecha]],SummaryDaily[day],SummaryDaily[Tienda 81_orders],0)</f>
        <v>0</v>
      </c>
      <c r="Q476" s="11">
        <f>_xlfn.XLOOKUP(TableDailySummary[[#This Row],[Fecha]],SummaryDaily[day],SummaryDaily[Tienda 81_average_order_value],0)</f>
        <v>0</v>
      </c>
      <c r="R476" s="11">
        <f>_xlfn.XLOOKUP(TableDailySummary[[#This Row],[Fecha]],SummaryDaily[day],SummaryDaily[Rappi_net_sales],0)</f>
        <v>0</v>
      </c>
      <c r="S476" s="11">
        <f>_xlfn.XLOOKUP(TableDailySummary[[#This Row],[Fecha]],SummaryDaily[day],SummaryDaily[Rappi_orders],0)</f>
        <v>0</v>
      </c>
      <c r="T476" s="11">
        <f>_xlfn.XLOOKUP(TableDailySummary[[#This Row],[Fecha]],SummaryDaily[day],SummaryDaily[Rappi_average_order_value],0)</f>
        <v>0</v>
      </c>
      <c r="U476" s="11">
        <f>_xlfn.XLOOKUP(TableDailySummary[[#This Row],[Fecha]],SummaryDaily[day],SummaryDaily[Corporativo no tienda_net_sales],0)</f>
        <v>0</v>
      </c>
      <c r="V476" s="11">
        <f>_xlfn.XLOOKUP(TableDailySummary[[#This Row],[Fecha]],SummaryDaily[day],SummaryDaily[Corporativo no tienda_orders],0)</f>
        <v>0</v>
      </c>
      <c r="W476" s="11">
        <f>_xlfn.XLOOKUP(TableDailySummary[[#This Row],[Fecha]],SummaryDaily[day],SummaryDaily[Corporativo no tienda_average_order_value],0)</f>
        <v>0</v>
      </c>
      <c r="X476" s="11">
        <f>_xlfn.XLOOKUP(TableDailySummary[[#This Row],[Fecha]],SummaryDaily[day],SummaryDaily[GoogleAdsOperation.Cost],0)</f>
        <v>0</v>
      </c>
      <c r="Y476" s="11">
        <f>SUMIFS(SalesByUTMDaily[google],SalesByUTMDaily[day],TableDailySummary[[#This Row],[Fecha]])</f>
        <v>0</v>
      </c>
      <c r="Z476" s="11">
        <f>_xlfn.XLOOKUP(TableDailySummary[[#This Row],[Fecha]],SummaryDaily[day],SummaryDaily[MetaAdsOperation.spend],0)</f>
        <v>0</v>
      </c>
      <c r="AA476" s="11">
        <f>SUMIFS(SalesByUTMDaily[facebook],SalesByUTMDaily[day],TableDailySummary[[#This Row],[Fecha]])</f>
        <v>0</v>
      </c>
      <c r="AB476" s="11">
        <f>TableDailySummary[[#This Row],[Inversión google ads]]+TableDailySummary[[#This Row],[Inversión meta ads]]</f>
        <v>0</v>
      </c>
      <c r="AC476" s="11">
        <f>TableDailySummary[[#This Row],[Ventas google ads]]+TableDailySummary[[#This Row],[Ventas meta ads]]</f>
        <v>0</v>
      </c>
      <c r="AD476" s="14">
        <f>IFERROR(TableDailySummary[[#This Row],[Ventas publicidad]]/TableDailySummary[[#This Row],[Inversión publicidad]],0)</f>
        <v>0</v>
      </c>
      <c r="AE476" s="14">
        <f>IFERROR(TableDailySummary[[#This Row],[Ventas primer cliente]]/TableDailySummary[[#This Row],[Inversión publicidad]],0)</f>
        <v>0</v>
      </c>
      <c r="AF476" s="14"/>
      <c r="AG476" s="11"/>
      <c r="AM476" s="11">
        <f>_xlfn.XLOOKUP(TableDailySummary[[#This Row],[Fecha]],SummaryDaily[day],SummaryDaily[net_sales_with_cost_recorded],0)</f>
        <v>0</v>
      </c>
      <c r="AN476" s="11">
        <f>_xlfn.XLOOKUP(TableDailySummary[[#This Row],[Fecha]],SummaryDaily[day],SummaryDaily[cost_of_goods_sold],0)</f>
        <v>0</v>
      </c>
      <c r="AO476" s="11">
        <f>_xlfn.XLOOKUP(TableDailySummary[[#This Row],[Fecha]],SummaryDaily[day],SummaryDaily[gross_profit],0)</f>
        <v>0</v>
      </c>
      <c r="AP476" s="18">
        <f>IFERROR(TableDailySummary[[#This Row],[Utilidad bruta]]/TableDailySummary[[#This Row],[Ventas netas con costo registrado]],0)</f>
        <v>0</v>
      </c>
    </row>
    <row r="477" spans="2:42" x14ac:dyDescent="0.2">
      <c r="B477" s="15" cm="1">
        <f t="array" ref="B477">ParamFechaInicioReporte + (ROW(TableDailySummary[#This Row]) - ROW(TableDailySummary[[#Headers],[Dia]]) - 1)</f>
        <v>45004</v>
      </c>
      <c r="C477" s="6">
        <f>TableDailySummary[[#This Row],[Dia]]</f>
        <v>45004</v>
      </c>
      <c r="D477" s="11">
        <f>_xlfn.XLOOKUP(TableDailySummary[[#This Row],[Fecha]],SummaryDaily[day],SummaryDaily[net_sales],0)</f>
        <v>0</v>
      </c>
      <c r="E477" s="11">
        <f>_xlfn.XLOOKUP(TableDailySummary[[#This Row],[Fecha]],SummaryDaily[day],SummaryDaily[orders],0)</f>
        <v>0</v>
      </c>
      <c r="F477" s="11">
        <f>_xlfn.XLOOKUP(TableDailySummary[[#This Row],[Fecha]],SummaryDaily[day],SummaryDaily[average_order_value],0)</f>
        <v>0</v>
      </c>
      <c r="G477" s="24" cm="1">
        <f t="array" ref="G477">_xlfn.XLOOKUP(TableDailySummary[[#This Row],[Fecha]]&amp;"Total site",ConversionRateByReferral[day]&amp;ConversionRateByReferral[referrer_source],ConversionRateByReferral[conversion_rate],0)</f>
        <v>0</v>
      </c>
      <c r="H477" s="11">
        <f>TableDailySummary[[#This Row],[Órden promedio totales]]*TableDailySummary[[#This Row],[CR totales]]</f>
        <v>0</v>
      </c>
      <c r="I477" s="11">
        <f>_xlfn.XLOOKUP(TableDailySummary[[#This Row],[Fecha]],SummaryDaily[day],SummaryDaily[new_net_sales],0)</f>
        <v>0</v>
      </c>
      <c r="J477" s="11">
        <f>_xlfn.XLOOKUP(TableDailySummary[[#This Row],[Fecha]],SummaryDaily[day],SummaryDaily[new_orders],0)</f>
        <v>0</v>
      </c>
      <c r="K477" s="11">
        <f>_xlfn.XLOOKUP(TableDailySummary[[#This Row],[Fecha]],SummaryDaily[day],SummaryDaily[new_average_order_value],0)</f>
        <v>0</v>
      </c>
      <c r="L477" s="11">
        <f>_xlfn.XLOOKUP(TableDailySummary[[#This Row],[Fecha]],SummaryDaily[day],SummaryDaily[Online Store_net_sales],0)</f>
        <v>0</v>
      </c>
      <c r="M477" s="11">
        <f>_xlfn.XLOOKUP(TableDailySummary[[#This Row],[Fecha]],SummaryDaily[day],SummaryDaily[Online Store_orders],0)</f>
        <v>0</v>
      </c>
      <c r="N477" s="11">
        <f>_xlfn.XLOOKUP(TableDailySummary[[#This Row],[Fecha]],SummaryDaily[day],SummaryDaily[Online Store_average_order_value],0)</f>
        <v>0</v>
      </c>
      <c r="O477" s="11">
        <f>_xlfn.XLOOKUP(TableDailySummary[[#This Row],[Fecha]],SummaryDaily[day],SummaryDaily[Tienda 81_net_sales],0)</f>
        <v>0</v>
      </c>
      <c r="P477" s="11">
        <f>_xlfn.XLOOKUP(TableDailySummary[[#This Row],[Fecha]],SummaryDaily[day],SummaryDaily[Tienda 81_orders],0)</f>
        <v>0</v>
      </c>
      <c r="Q477" s="11">
        <f>_xlfn.XLOOKUP(TableDailySummary[[#This Row],[Fecha]],SummaryDaily[day],SummaryDaily[Tienda 81_average_order_value],0)</f>
        <v>0</v>
      </c>
      <c r="R477" s="11">
        <f>_xlfn.XLOOKUP(TableDailySummary[[#This Row],[Fecha]],SummaryDaily[day],SummaryDaily[Rappi_net_sales],0)</f>
        <v>0</v>
      </c>
      <c r="S477" s="11">
        <f>_xlfn.XLOOKUP(TableDailySummary[[#This Row],[Fecha]],SummaryDaily[day],SummaryDaily[Rappi_orders],0)</f>
        <v>0</v>
      </c>
      <c r="T477" s="11">
        <f>_xlfn.XLOOKUP(TableDailySummary[[#This Row],[Fecha]],SummaryDaily[day],SummaryDaily[Rappi_average_order_value],0)</f>
        <v>0</v>
      </c>
      <c r="U477" s="11">
        <f>_xlfn.XLOOKUP(TableDailySummary[[#This Row],[Fecha]],SummaryDaily[day],SummaryDaily[Corporativo no tienda_net_sales],0)</f>
        <v>0</v>
      </c>
      <c r="V477" s="11">
        <f>_xlfn.XLOOKUP(TableDailySummary[[#This Row],[Fecha]],SummaryDaily[day],SummaryDaily[Corporativo no tienda_orders],0)</f>
        <v>0</v>
      </c>
      <c r="W477" s="11">
        <f>_xlfn.XLOOKUP(TableDailySummary[[#This Row],[Fecha]],SummaryDaily[day],SummaryDaily[Corporativo no tienda_average_order_value],0)</f>
        <v>0</v>
      </c>
      <c r="X477" s="11">
        <f>_xlfn.XLOOKUP(TableDailySummary[[#This Row],[Fecha]],SummaryDaily[day],SummaryDaily[GoogleAdsOperation.Cost],0)</f>
        <v>0</v>
      </c>
      <c r="Y477" s="11">
        <f>SUMIFS(SalesByUTMDaily[google],SalesByUTMDaily[day],TableDailySummary[[#This Row],[Fecha]])</f>
        <v>0</v>
      </c>
      <c r="Z477" s="11">
        <f>_xlfn.XLOOKUP(TableDailySummary[[#This Row],[Fecha]],SummaryDaily[day],SummaryDaily[MetaAdsOperation.spend],0)</f>
        <v>0</v>
      </c>
      <c r="AA477" s="11">
        <f>SUMIFS(SalesByUTMDaily[facebook],SalesByUTMDaily[day],TableDailySummary[[#This Row],[Fecha]])</f>
        <v>0</v>
      </c>
      <c r="AB477" s="11">
        <f>TableDailySummary[[#This Row],[Inversión google ads]]+TableDailySummary[[#This Row],[Inversión meta ads]]</f>
        <v>0</v>
      </c>
      <c r="AC477" s="11">
        <f>TableDailySummary[[#This Row],[Ventas google ads]]+TableDailySummary[[#This Row],[Ventas meta ads]]</f>
        <v>0</v>
      </c>
      <c r="AD477" s="14">
        <f>IFERROR(TableDailySummary[[#This Row],[Ventas publicidad]]/TableDailySummary[[#This Row],[Inversión publicidad]],0)</f>
        <v>0</v>
      </c>
      <c r="AE477" s="14">
        <f>IFERROR(TableDailySummary[[#This Row],[Ventas primer cliente]]/TableDailySummary[[#This Row],[Inversión publicidad]],0)</f>
        <v>0</v>
      </c>
      <c r="AF477" s="14"/>
      <c r="AG477" s="11"/>
      <c r="AM477" s="11">
        <f>_xlfn.XLOOKUP(TableDailySummary[[#This Row],[Fecha]],SummaryDaily[day],SummaryDaily[net_sales_with_cost_recorded],0)</f>
        <v>0</v>
      </c>
      <c r="AN477" s="11">
        <f>_xlfn.XLOOKUP(TableDailySummary[[#This Row],[Fecha]],SummaryDaily[day],SummaryDaily[cost_of_goods_sold],0)</f>
        <v>0</v>
      </c>
      <c r="AO477" s="11">
        <f>_xlfn.XLOOKUP(TableDailySummary[[#This Row],[Fecha]],SummaryDaily[day],SummaryDaily[gross_profit],0)</f>
        <v>0</v>
      </c>
      <c r="AP477" s="18">
        <f>IFERROR(TableDailySummary[[#This Row],[Utilidad bruta]]/TableDailySummary[[#This Row],[Ventas netas con costo registrado]],0)</f>
        <v>0</v>
      </c>
    </row>
    <row r="478" spans="2:42" x14ac:dyDescent="0.2">
      <c r="B478" s="15" cm="1">
        <f t="array" ref="B478">ParamFechaInicioReporte + (ROW(TableDailySummary[#This Row]) - ROW(TableDailySummary[[#Headers],[Dia]]) - 1)</f>
        <v>45005</v>
      </c>
      <c r="C478" s="6">
        <f>TableDailySummary[[#This Row],[Dia]]</f>
        <v>45005</v>
      </c>
      <c r="D478" s="11">
        <f>_xlfn.XLOOKUP(TableDailySummary[[#This Row],[Fecha]],SummaryDaily[day],SummaryDaily[net_sales],0)</f>
        <v>0</v>
      </c>
      <c r="E478" s="11">
        <f>_xlfn.XLOOKUP(TableDailySummary[[#This Row],[Fecha]],SummaryDaily[day],SummaryDaily[orders],0)</f>
        <v>0</v>
      </c>
      <c r="F478" s="11">
        <f>_xlfn.XLOOKUP(TableDailySummary[[#This Row],[Fecha]],SummaryDaily[day],SummaryDaily[average_order_value],0)</f>
        <v>0</v>
      </c>
      <c r="G478" s="24" cm="1">
        <f t="array" ref="G478">_xlfn.XLOOKUP(TableDailySummary[[#This Row],[Fecha]]&amp;"Total site",ConversionRateByReferral[day]&amp;ConversionRateByReferral[referrer_source],ConversionRateByReferral[conversion_rate],0)</f>
        <v>0</v>
      </c>
      <c r="H478" s="11">
        <f>TableDailySummary[[#This Row],[Órden promedio totales]]*TableDailySummary[[#This Row],[CR totales]]</f>
        <v>0</v>
      </c>
      <c r="I478" s="11">
        <f>_xlfn.XLOOKUP(TableDailySummary[[#This Row],[Fecha]],SummaryDaily[day],SummaryDaily[new_net_sales],0)</f>
        <v>0</v>
      </c>
      <c r="J478" s="11">
        <f>_xlfn.XLOOKUP(TableDailySummary[[#This Row],[Fecha]],SummaryDaily[day],SummaryDaily[new_orders],0)</f>
        <v>0</v>
      </c>
      <c r="K478" s="11">
        <f>_xlfn.XLOOKUP(TableDailySummary[[#This Row],[Fecha]],SummaryDaily[day],SummaryDaily[new_average_order_value],0)</f>
        <v>0</v>
      </c>
      <c r="L478" s="11">
        <f>_xlfn.XLOOKUP(TableDailySummary[[#This Row],[Fecha]],SummaryDaily[day],SummaryDaily[Online Store_net_sales],0)</f>
        <v>0</v>
      </c>
      <c r="M478" s="11">
        <f>_xlfn.XLOOKUP(TableDailySummary[[#This Row],[Fecha]],SummaryDaily[day],SummaryDaily[Online Store_orders],0)</f>
        <v>0</v>
      </c>
      <c r="N478" s="11">
        <f>_xlfn.XLOOKUP(TableDailySummary[[#This Row],[Fecha]],SummaryDaily[day],SummaryDaily[Online Store_average_order_value],0)</f>
        <v>0</v>
      </c>
      <c r="O478" s="11">
        <f>_xlfn.XLOOKUP(TableDailySummary[[#This Row],[Fecha]],SummaryDaily[day],SummaryDaily[Tienda 81_net_sales],0)</f>
        <v>0</v>
      </c>
      <c r="P478" s="11">
        <f>_xlfn.XLOOKUP(TableDailySummary[[#This Row],[Fecha]],SummaryDaily[day],SummaryDaily[Tienda 81_orders],0)</f>
        <v>0</v>
      </c>
      <c r="Q478" s="11">
        <f>_xlfn.XLOOKUP(TableDailySummary[[#This Row],[Fecha]],SummaryDaily[day],SummaryDaily[Tienda 81_average_order_value],0)</f>
        <v>0</v>
      </c>
      <c r="R478" s="11">
        <f>_xlfn.XLOOKUP(TableDailySummary[[#This Row],[Fecha]],SummaryDaily[day],SummaryDaily[Rappi_net_sales],0)</f>
        <v>0</v>
      </c>
      <c r="S478" s="11">
        <f>_xlfn.XLOOKUP(TableDailySummary[[#This Row],[Fecha]],SummaryDaily[day],SummaryDaily[Rappi_orders],0)</f>
        <v>0</v>
      </c>
      <c r="T478" s="11">
        <f>_xlfn.XLOOKUP(TableDailySummary[[#This Row],[Fecha]],SummaryDaily[day],SummaryDaily[Rappi_average_order_value],0)</f>
        <v>0</v>
      </c>
      <c r="U478" s="11">
        <f>_xlfn.XLOOKUP(TableDailySummary[[#This Row],[Fecha]],SummaryDaily[day],SummaryDaily[Corporativo no tienda_net_sales],0)</f>
        <v>0</v>
      </c>
      <c r="V478" s="11">
        <f>_xlfn.XLOOKUP(TableDailySummary[[#This Row],[Fecha]],SummaryDaily[day],SummaryDaily[Corporativo no tienda_orders],0)</f>
        <v>0</v>
      </c>
      <c r="W478" s="11">
        <f>_xlfn.XLOOKUP(TableDailySummary[[#This Row],[Fecha]],SummaryDaily[day],SummaryDaily[Corporativo no tienda_average_order_value],0)</f>
        <v>0</v>
      </c>
      <c r="X478" s="11">
        <f>_xlfn.XLOOKUP(TableDailySummary[[#This Row],[Fecha]],SummaryDaily[day],SummaryDaily[GoogleAdsOperation.Cost],0)</f>
        <v>0</v>
      </c>
      <c r="Y478" s="11">
        <f>SUMIFS(SalesByUTMDaily[google],SalesByUTMDaily[day],TableDailySummary[[#This Row],[Fecha]])</f>
        <v>0</v>
      </c>
      <c r="Z478" s="11">
        <f>_xlfn.XLOOKUP(TableDailySummary[[#This Row],[Fecha]],SummaryDaily[day],SummaryDaily[MetaAdsOperation.spend],0)</f>
        <v>0</v>
      </c>
      <c r="AA478" s="11">
        <f>SUMIFS(SalesByUTMDaily[facebook],SalesByUTMDaily[day],TableDailySummary[[#This Row],[Fecha]])</f>
        <v>0</v>
      </c>
      <c r="AB478" s="11">
        <f>TableDailySummary[[#This Row],[Inversión google ads]]+TableDailySummary[[#This Row],[Inversión meta ads]]</f>
        <v>0</v>
      </c>
      <c r="AC478" s="11">
        <f>TableDailySummary[[#This Row],[Ventas google ads]]+TableDailySummary[[#This Row],[Ventas meta ads]]</f>
        <v>0</v>
      </c>
      <c r="AD478" s="14">
        <f>IFERROR(TableDailySummary[[#This Row],[Ventas publicidad]]/TableDailySummary[[#This Row],[Inversión publicidad]],0)</f>
        <v>0</v>
      </c>
      <c r="AE478" s="14">
        <f>IFERROR(TableDailySummary[[#This Row],[Ventas primer cliente]]/TableDailySummary[[#This Row],[Inversión publicidad]],0)</f>
        <v>0</v>
      </c>
      <c r="AF478" s="14"/>
      <c r="AG478" s="11"/>
      <c r="AM478" s="11">
        <f>_xlfn.XLOOKUP(TableDailySummary[[#This Row],[Fecha]],SummaryDaily[day],SummaryDaily[net_sales_with_cost_recorded],0)</f>
        <v>0</v>
      </c>
      <c r="AN478" s="11">
        <f>_xlfn.XLOOKUP(TableDailySummary[[#This Row],[Fecha]],SummaryDaily[day],SummaryDaily[cost_of_goods_sold],0)</f>
        <v>0</v>
      </c>
      <c r="AO478" s="11">
        <f>_xlfn.XLOOKUP(TableDailySummary[[#This Row],[Fecha]],SummaryDaily[day],SummaryDaily[gross_profit],0)</f>
        <v>0</v>
      </c>
      <c r="AP478" s="18">
        <f>IFERROR(TableDailySummary[[#This Row],[Utilidad bruta]]/TableDailySummary[[#This Row],[Ventas netas con costo registrado]],0)</f>
        <v>0</v>
      </c>
    </row>
    <row r="479" spans="2:42" x14ac:dyDescent="0.2">
      <c r="B479" s="15" cm="1">
        <f t="array" ref="B479">ParamFechaInicioReporte + (ROW(TableDailySummary[#This Row]) - ROW(TableDailySummary[[#Headers],[Dia]]) - 1)</f>
        <v>45006</v>
      </c>
      <c r="C479" s="6">
        <f>TableDailySummary[[#This Row],[Dia]]</f>
        <v>45006</v>
      </c>
      <c r="D479" s="11">
        <f>_xlfn.XLOOKUP(TableDailySummary[[#This Row],[Fecha]],SummaryDaily[day],SummaryDaily[net_sales],0)</f>
        <v>0</v>
      </c>
      <c r="E479" s="11">
        <f>_xlfn.XLOOKUP(TableDailySummary[[#This Row],[Fecha]],SummaryDaily[day],SummaryDaily[orders],0)</f>
        <v>0</v>
      </c>
      <c r="F479" s="11">
        <f>_xlfn.XLOOKUP(TableDailySummary[[#This Row],[Fecha]],SummaryDaily[day],SummaryDaily[average_order_value],0)</f>
        <v>0</v>
      </c>
      <c r="G479" s="24" cm="1">
        <f t="array" ref="G479">_xlfn.XLOOKUP(TableDailySummary[[#This Row],[Fecha]]&amp;"Total site",ConversionRateByReferral[day]&amp;ConversionRateByReferral[referrer_source],ConversionRateByReferral[conversion_rate],0)</f>
        <v>0</v>
      </c>
      <c r="H479" s="11">
        <f>TableDailySummary[[#This Row],[Órden promedio totales]]*TableDailySummary[[#This Row],[CR totales]]</f>
        <v>0</v>
      </c>
      <c r="I479" s="11">
        <f>_xlfn.XLOOKUP(TableDailySummary[[#This Row],[Fecha]],SummaryDaily[day],SummaryDaily[new_net_sales],0)</f>
        <v>0</v>
      </c>
      <c r="J479" s="11">
        <f>_xlfn.XLOOKUP(TableDailySummary[[#This Row],[Fecha]],SummaryDaily[day],SummaryDaily[new_orders],0)</f>
        <v>0</v>
      </c>
      <c r="K479" s="11">
        <f>_xlfn.XLOOKUP(TableDailySummary[[#This Row],[Fecha]],SummaryDaily[day],SummaryDaily[new_average_order_value],0)</f>
        <v>0</v>
      </c>
      <c r="L479" s="11">
        <f>_xlfn.XLOOKUP(TableDailySummary[[#This Row],[Fecha]],SummaryDaily[day],SummaryDaily[Online Store_net_sales],0)</f>
        <v>0</v>
      </c>
      <c r="M479" s="11">
        <f>_xlfn.XLOOKUP(TableDailySummary[[#This Row],[Fecha]],SummaryDaily[day],SummaryDaily[Online Store_orders],0)</f>
        <v>0</v>
      </c>
      <c r="N479" s="11">
        <f>_xlfn.XLOOKUP(TableDailySummary[[#This Row],[Fecha]],SummaryDaily[day],SummaryDaily[Online Store_average_order_value],0)</f>
        <v>0</v>
      </c>
      <c r="O479" s="11">
        <f>_xlfn.XLOOKUP(TableDailySummary[[#This Row],[Fecha]],SummaryDaily[day],SummaryDaily[Tienda 81_net_sales],0)</f>
        <v>0</v>
      </c>
      <c r="P479" s="11">
        <f>_xlfn.XLOOKUP(TableDailySummary[[#This Row],[Fecha]],SummaryDaily[day],SummaryDaily[Tienda 81_orders],0)</f>
        <v>0</v>
      </c>
      <c r="Q479" s="11">
        <f>_xlfn.XLOOKUP(TableDailySummary[[#This Row],[Fecha]],SummaryDaily[day],SummaryDaily[Tienda 81_average_order_value],0)</f>
        <v>0</v>
      </c>
      <c r="R479" s="11">
        <f>_xlfn.XLOOKUP(TableDailySummary[[#This Row],[Fecha]],SummaryDaily[day],SummaryDaily[Rappi_net_sales],0)</f>
        <v>0</v>
      </c>
      <c r="S479" s="11">
        <f>_xlfn.XLOOKUP(TableDailySummary[[#This Row],[Fecha]],SummaryDaily[day],SummaryDaily[Rappi_orders],0)</f>
        <v>0</v>
      </c>
      <c r="T479" s="11">
        <f>_xlfn.XLOOKUP(TableDailySummary[[#This Row],[Fecha]],SummaryDaily[day],SummaryDaily[Rappi_average_order_value],0)</f>
        <v>0</v>
      </c>
      <c r="U479" s="11">
        <f>_xlfn.XLOOKUP(TableDailySummary[[#This Row],[Fecha]],SummaryDaily[day],SummaryDaily[Corporativo no tienda_net_sales],0)</f>
        <v>0</v>
      </c>
      <c r="V479" s="11">
        <f>_xlfn.XLOOKUP(TableDailySummary[[#This Row],[Fecha]],SummaryDaily[day],SummaryDaily[Corporativo no tienda_orders],0)</f>
        <v>0</v>
      </c>
      <c r="W479" s="11">
        <f>_xlfn.XLOOKUP(TableDailySummary[[#This Row],[Fecha]],SummaryDaily[day],SummaryDaily[Corporativo no tienda_average_order_value],0)</f>
        <v>0</v>
      </c>
      <c r="X479" s="11">
        <f>_xlfn.XLOOKUP(TableDailySummary[[#This Row],[Fecha]],SummaryDaily[day],SummaryDaily[GoogleAdsOperation.Cost],0)</f>
        <v>0</v>
      </c>
      <c r="Y479" s="11">
        <f>SUMIFS(SalesByUTMDaily[google],SalesByUTMDaily[day],TableDailySummary[[#This Row],[Fecha]])</f>
        <v>0</v>
      </c>
      <c r="Z479" s="11">
        <f>_xlfn.XLOOKUP(TableDailySummary[[#This Row],[Fecha]],SummaryDaily[day],SummaryDaily[MetaAdsOperation.spend],0)</f>
        <v>0</v>
      </c>
      <c r="AA479" s="11">
        <f>SUMIFS(SalesByUTMDaily[facebook],SalesByUTMDaily[day],TableDailySummary[[#This Row],[Fecha]])</f>
        <v>0</v>
      </c>
      <c r="AB479" s="11">
        <f>TableDailySummary[[#This Row],[Inversión google ads]]+TableDailySummary[[#This Row],[Inversión meta ads]]</f>
        <v>0</v>
      </c>
      <c r="AC479" s="11">
        <f>TableDailySummary[[#This Row],[Ventas google ads]]+TableDailySummary[[#This Row],[Ventas meta ads]]</f>
        <v>0</v>
      </c>
      <c r="AD479" s="14">
        <f>IFERROR(TableDailySummary[[#This Row],[Ventas publicidad]]/TableDailySummary[[#This Row],[Inversión publicidad]],0)</f>
        <v>0</v>
      </c>
      <c r="AE479" s="14">
        <f>IFERROR(TableDailySummary[[#This Row],[Ventas primer cliente]]/TableDailySummary[[#This Row],[Inversión publicidad]],0)</f>
        <v>0</v>
      </c>
      <c r="AF479" s="14"/>
      <c r="AG479" s="11"/>
      <c r="AM479" s="11">
        <f>_xlfn.XLOOKUP(TableDailySummary[[#This Row],[Fecha]],SummaryDaily[day],SummaryDaily[net_sales_with_cost_recorded],0)</f>
        <v>0</v>
      </c>
      <c r="AN479" s="11">
        <f>_xlfn.XLOOKUP(TableDailySummary[[#This Row],[Fecha]],SummaryDaily[day],SummaryDaily[cost_of_goods_sold],0)</f>
        <v>0</v>
      </c>
      <c r="AO479" s="11">
        <f>_xlfn.XLOOKUP(TableDailySummary[[#This Row],[Fecha]],SummaryDaily[day],SummaryDaily[gross_profit],0)</f>
        <v>0</v>
      </c>
      <c r="AP479" s="18">
        <f>IFERROR(TableDailySummary[[#This Row],[Utilidad bruta]]/TableDailySummary[[#This Row],[Ventas netas con costo registrado]],0)</f>
        <v>0</v>
      </c>
    </row>
    <row r="480" spans="2:42" x14ac:dyDescent="0.2">
      <c r="B480" s="15" cm="1">
        <f t="array" ref="B480">ParamFechaInicioReporte + (ROW(TableDailySummary[#This Row]) - ROW(TableDailySummary[[#Headers],[Dia]]) - 1)</f>
        <v>45007</v>
      </c>
      <c r="C480" s="6">
        <f>TableDailySummary[[#This Row],[Dia]]</f>
        <v>45007</v>
      </c>
      <c r="D480" s="11">
        <f>_xlfn.XLOOKUP(TableDailySummary[[#This Row],[Fecha]],SummaryDaily[day],SummaryDaily[net_sales],0)</f>
        <v>0</v>
      </c>
      <c r="E480" s="11">
        <f>_xlfn.XLOOKUP(TableDailySummary[[#This Row],[Fecha]],SummaryDaily[day],SummaryDaily[orders],0)</f>
        <v>0</v>
      </c>
      <c r="F480" s="11">
        <f>_xlfn.XLOOKUP(TableDailySummary[[#This Row],[Fecha]],SummaryDaily[day],SummaryDaily[average_order_value],0)</f>
        <v>0</v>
      </c>
      <c r="G480" s="24" cm="1">
        <f t="array" ref="G480">_xlfn.XLOOKUP(TableDailySummary[[#This Row],[Fecha]]&amp;"Total site",ConversionRateByReferral[day]&amp;ConversionRateByReferral[referrer_source],ConversionRateByReferral[conversion_rate],0)</f>
        <v>0</v>
      </c>
      <c r="H480" s="11">
        <f>TableDailySummary[[#This Row],[Órden promedio totales]]*TableDailySummary[[#This Row],[CR totales]]</f>
        <v>0</v>
      </c>
      <c r="I480" s="11">
        <f>_xlfn.XLOOKUP(TableDailySummary[[#This Row],[Fecha]],SummaryDaily[day],SummaryDaily[new_net_sales],0)</f>
        <v>0</v>
      </c>
      <c r="J480" s="11">
        <f>_xlfn.XLOOKUP(TableDailySummary[[#This Row],[Fecha]],SummaryDaily[day],SummaryDaily[new_orders],0)</f>
        <v>0</v>
      </c>
      <c r="K480" s="11">
        <f>_xlfn.XLOOKUP(TableDailySummary[[#This Row],[Fecha]],SummaryDaily[day],SummaryDaily[new_average_order_value],0)</f>
        <v>0</v>
      </c>
      <c r="L480" s="11">
        <f>_xlfn.XLOOKUP(TableDailySummary[[#This Row],[Fecha]],SummaryDaily[day],SummaryDaily[Online Store_net_sales],0)</f>
        <v>0</v>
      </c>
      <c r="M480" s="11">
        <f>_xlfn.XLOOKUP(TableDailySummary[[#This Row],[Fecha]],SummaryDaily[day],SummaryDaily[Online Store_orders],0)</f>
        <v>0</v>
      </c>
      <c r="N480" s="11">
        <f>_xlfn.XLOOKUP(TableDailySummary[[#This Row],[Fecha]],SummaryDaily[day],SummaryDaily[Online Store_average_order_value],0)</f>
        <v>0</v>
      </c>
      <c r="O480" s="11">
        <f>_xlfn.XLOOKUP(TableDailySummary[[#This Row],[Fecha]],SummaryDaily[day],SummaryDaily[Tienda 81_net_sales],0)</f>
        <v>0</v>
      </c>
      <c r="P480" s="11">
        <f>_xlfn.XLOOKUP(TableDailySummary[[#This Row],[Fecha]],SummaryDaily[day],SummaryDaily[Tienda 81_orders],0)</f>
        <v>0</v>
      </c>
      <c r="Q480" s="11">
        <f>_xlfn.XLOOKUP(TableDailySummary[[#This Row],[Fecha]],SummaryDaily[day],SummaryDaily[Tienda 81_average_order_value],0)</f>
        <v>0</v>
      </c>
      <c r="R480" s="11">
        <f>_xlfn.XLOOKUP(TableDailySummary[[#This Row],[Fecha]],SummaryDaily[day],SummaryDaily[Rappi_net_sales],0)</f>
        <v>0</v>
      </c>
      <c r="S480" s="11">
        <f>_xlfn.XLOOKUP(TableDailySummary[[#This Row],[Fecha]],SummaryDaily[day],SummaryDaily[Rappi_orders],0)</f>
        <v>0</v>
      </c>
      <c r="T480" s="11">
        <f>_xlfn.XLOOKUP(TableDailySummary[[#This Row],[Fecha]],SummaryDaily[day],SummaryDaily[Rappi_average_order_value],0)</f>
        <v>0</v>
      </c>
      <c r="U480" s="11">
        <f>_xlfn.XLOOKUP(TableDailySummary[[#This Row],[Fecha]],SummaryDaily[day],SummaryDaily[Corporativo no tienda_net_sales],0)</f>
        <v>0</v>
      </c>
      <c r="V480" s="11">
        <f>_xlfn.XLOOKUP(TableDailySummary[[#This Row],[Fecha]],SummaryDaily[day],SummaryDaily[Corporativo no tienda_orders],0)</f>
        <v>0</v>
      </c>
      <c r="W480" s="11">
        <f>_xlfn.XLOOKUP(TableDailySummary[[#This Row],[Fecha]],SummaryDaily[day],SummaryDaily[Corporativo no tienda_average_order_value],0)</f>
        <v>0</v>
      </c>
      <c r="X480" s="11">
        <f>_xlfn.XLOOKUP(TableDailySummary[[#This Row],[Fecha]],SummaryDaily[day],SummaryDaily[GoogleAdsOperation.Cost],0)</f>
        <v>0</v>
      </c>
      <c r="Y480" s="11">
        <f>SUMIFS(SalesByUTMDaily[google],SalesByUTMDaily[day],TableDailySummary[[#This Row],[Fecha]])</f>
        <v>0</v>
      </c>
      <c r="Z480" s="11">
        <f>_xlfn.XLOOKUP(TableDailySummary[[#This Row],[Fecha]],SummaryDaily[day],SummaryDaily[MetaAdsOperation.spend],0)</f>
        <v>0</v>
      </c>
      <c r="AA480" s="11">
        <f>SUMIFS(SalesByUTMDaily[facebook],SalesByUTMDaily[day],TableDailySummary[[#This Row],[Fecha]])</f>
        <v>0</v>
      </c>
      <c r="AB480" s="11">
        <f>TableDailySummary[[#This Row],[Inversión google ads]]+TableDailySummary[[#This Row],[Inversión meta ads]]</f>
        <v>0</v>
      </c>
      <c r="AC480" s="11">
        <f>TableDailySummary[[#This Row],[Ventas google ads]]+TableDailySummary[[#This Row],[Ventas meta ads]]</f>
        <v>0</v>
      </c>
      <c r="AD480" s="14">
        <f>IFERROR(TableDailySummary[[#This Row],[Ventas publicidad]]/TableDailySummary[[#This Row],[Inversión publicidad]],0)</f>
        <v>0</v>
      </c>
      <c r="AE480" s="14">
        <f>IFERROR(TableDailySummary[[#This Row],[Ventas primer cliente]]/TableDailySummary[[#This Row],[Inversión publicidad]],0)</f>
        <v>0</v>
      </c>
      <c r="AF480" s="14"/>
      <c r="AG480" s="11"/>
      <c r="AM480" s="11">
        <f>_xlfn.XLOOKUP(TableDailySummary[[#This Row],[Fecha]],SummaryDaily[day],SummaryDaily[net_sales_with_cost_recorded],0)</f>
        <v>0</v>
      </c>
      <c r="AN480" s="11">
        <f>_xlfn.XLOOKUP(TableDailySummary[[#This Row],[Fecha]],SummaryDaily[day],SummaryDaily[cost_of_goods_sold],0)</f>
        <v>0</v>
      </c>
      <c r="AO480" s="11">
        <f>_xlfn.XLOOKUP(TableDailySummary[[#This Row],[Fecha]],SummaryDaily[day],SummaryDaily[gross_profit],0)</f>
        <v>0</v>
      </c>
      <c r="AP480" s="18">
        <f>IFERROR(TableDailySummary[[#This Row],[Utilidad bruta]]/TableDailySummary[[#This Row],[Ventas netas con costo registrado]],0)</f>
        <v>0</v>
      </c>
    </row>
    <row r="481" spans="2:42" x14ac:dyDescent="0.2">
      <c r="B481" s="15" cm="1">
        <f t="array" ref="B481">ParamFechaInicioReporte + (ROW(TableDailySummary[#This Row]) - ROW(TableDailySummary[[#Headers],[Dia]]) - 1)</f>
        <v>45008</v>
      </c>
      <c r="C481" s="6">
        <f>TableDailySummary[[#This Row],[Dia]]</f>
        <v>45008</v>
      </c>
      <c r="D481" s="11">
        <f>_xlfn.XLOOKUP(TableDailySummary[[#This Row],[Fecha]],SummaryDaily[day],SummaryDaily[net_sales],0)</f>
        <v>0</v>
      </c>
      <c r="E481" s="11">
        <f>_xlfn.XLOOKUP(TableDailySummary[[#This Row],[Fecha]],SummaryDaily[day],SummaryDaily[orders],0)</f>
        <v>0</v>
      </c>
      <c r="F481" s="11">
        <f>_xlfn.XLOOKUP(TableDailySummary[[#This Row],[Fecha]],SummaryDaily[day],SummaryDaily[average_order_value],0)</f>
        <v>0</v>
      </c>
      <c r="G481" s="24" cm="1">
        <f t="array" ref="G481">_xlfn.XLOOKUP(TableDailySummary[[#This Row],[Fecha]]&amp;"Total site",ConversionRateByReferral[day]&amp;ConversionRateByReferral[referrer_source],ConversionRateByReferral[conversion_rate],0)</f>
        <v>0</v>
      </c>
      <c r="H481" s="11">
        <f>TableDailySummary[[#This Row],[Órden promedio totales]]*TableDailySummary[[#This Row],[CR totales]]</f>
        <v>0</v>
      </c>
      <c r="I481" s="11">
        <f>_xlfn.XLOOKUP(TableDailySummary[[#This Row],[Fecha]],SummaryDaily[day],SummaryDaily[new_net_sales],0)</f>
        <v>0</v>
      </c>
      <c r="J481" s="11">
        <f>_xlfn.XLOOKUP(TableDailySummary[[#This Row],[Fecha]],SummaryDaily[day],SummaryDaily[new_orders],0)</f>
        <v>0</v>
      </c>
      <c r="K481" s="11">
        <f>_xlfn.XLOOKUP(TableDailySummary[[#This Row],[Fecha]],SummaryDaily[day],SummaryDaily[new_average_order_value],0)</f>
        <v>0</v>
      </c>
      <c r="L481" s="11">
        <f>_xlfn.XLOOKUP(TableDailySummary[[#This Row],[Fecha]],SummaryDaily[day],SummaryDaily[Online Store_net_sales],0)</f>
        <v>0</v>
      </c>
      <c r="M481" s="11">
        <f>_xlfn.XLOOKUP(TableDailySummary[[#This Row],[Fecha]],SummaryDaily[day],SummaryDaily[Online Store_orders],0)</f>
        <v>0</v>
      </c>
      <c r="N481" s="11">
        <f>_xlfn.XLOOKUP(TableDailySummary[[#This Row],[Fecha]],SummaryDaily[day],SummaryDaily[Online Store_average_order_value],0)</f>
        <v>0</v>
      </c>
      <c r="O481" s="11">
        <f>_xlfn.XLOOKUP(TableDailySummary[[#This Row],[Fecha]],SummaryDaily[day],SummaryDaily[Tienda 81_net_sales],0)</f>
        <v>0</v>
      </c>
      <c r="P481" s="11">
        <f>_xlfn.XLOOKUP(TableDailySummary[[#This Row],[Fecha]],SummaryDaily[day],SummaryDaily[Tienda 81_orders],0)</f>
        <v>0</v>
      </c>
      <c r="Q481" s="11">
        <f>_xlfn.XLOOKUP(TableDailySummary[[#This Row],[Fecha]],SummaryDaily[day],SummaryDaily[Tienda 81_average_order_value],0)</f>
        <v>0</v>
      </c>
      <c r="R481" s="11">
        <f>_xlfn.XLOOKUP(TableDailySummary[[#This Row],[Fecha]],SummaryDaily[day],SummaryDaily[Rappi_net_sales],0)</f>
        <v>0</v>
      </c>
      <c r="S481" s="11">
        <f>_xlfn.XLOOKUP(TableDailySummary[[#This Row],[Fecha]],SummaryDaily[day],SummaryDaily[Rappi_orders],0)</f>
        <v>0</v>
      </c>
      <c r="T481" s="11">
        <f>_xlfn.XLOOKUP(TableDailySummary[[#This Row],[Fecha]],SummaryDaily[day],SummaryDaily[Rappi_average_order_value],0)</f>
        <v>0</v>
      </c>
      <c r="U481" s="11">
        <f>_xlfn.XLOOKUP(TableDailySummary[[#This Row],[Fecha]],SummaryDaily[day],SummaryDaily[Corporativo no tienda_net_sales],0)</f>
        <v>0</v>
      </c>
      <c r="V481" s="11">
        <f>_xlfn.XLOOKUP(TableDailySummary[[#This Row],[Fecha]],SummaryDaily[day],SummaryDaily[Corporativo no tienda_orders],0)</f>
        <v>0</v>
      </c>
      <c r="W481" s="11">
        <f>_xlfn.XLOOKUP(TableDailySummary[[#This Row],[Fecha]],SummaryDaily[day],SummaryDaily[Corporativo no tienda_average_order_value],0)</f>
        <v>0</v>
      </c>
      <c r="X481" s="11">
        <f>_xlfn.XLOOKUP(TableDailySummary[[#This Row],[Fecha]],SummaryDaily[day],SummaryDaily[GoogleAdsOperation.Cost],0)</f>
        <v>0</v>
      </c>
      <c r="Y481" s="11">
        <f>SUMIFS(SalesByUTMDaily[google],SalesByUTMDaily[day],TableDailySummary[[#This Row],[Fecha]])</f>
        <v>0</v>
      </c>
      <c r="Z481" s="11">
        <f>_xlfn.XLOOKUP(TableDailySummary[[#This Row],[Fecha]],SummaryDaily[day],SummaryDaily[MetaAdsOperation.spend],0)</f>
        <v>0</v>
      </c>
      <c r="AA481" s="11">
        <f>SUMIFS(SalesByUTMDaily[facebook],SalesByUTMDaily[day],TableDailySummary[[#This Row],[Fecha]])</f>
        <v>0</v>
      </c>
      <c r="AB481" s="11">
        <f>TableDailySummary[[#This Row],[Inversión google ads]]+TableDailySummary[[#This Row],[Inversión meta ads]]</f>
        <v>0</v>
      </c>
      <c r="AC481" s="11">
        <f>TableDailySummary[[#This Row],[Ventas google ads]]+TableDailySummary[[#This Row],[Ventas meta ads]]</f>
        <v>0</v>
      </c>
      <c r="AD481" s="14">
        <f>IFERROR(TableDailySummary[[#This Row],[Ventas publicidad]]/TableDailySummary[[#This Row],[Inversión publicidad]],0)</f>
        <v>0</v>
      </c>
      <c r="AE481" s="14">
        <f>IFERROR(TableDailySummary[[#This Row],[Ventas primer cliente]]/TableDailySummary[[#This Row],[Inversión publicidad]],0)</f>
        <v>0</v>
      </c>
      <c r="AF481" s="14"/>
      <c r="AG481" s="11"/>
      <c r="AM481" s="11">
        <f>_xlfn.XLOOKUP(TableDailySummary[[#This Row],[Fecha]],SummaryDaily[day],SummaryDaily[net_sales_with_cost_recorded],0)</f>
        <v>0</v>
      </c>
      <c r="AN481" s="11">
        <f>_xlfn.XLOOKUP(TableDailySummary[[#This Row],[Fecha]],SummaryDaily[day],SummaryDaily[cost_of_goods_sold],0)</f>
        <v>0</v>
      </c>
      <c r="AO481" s="11">
        <f>_xlfn.XLOOKUP(TableDailySummary[[#This Row],[Fecha]],SummaryDaily[day],SummaryDaily[gross_profit],0)</f>
        <v>0</v>
      </c>
      <c r="AP481" s="18">
        <f>IFERROR(TableDailySummary[[#This Row],[Utilidad bruta]]/TableDailySummary[[#This Row],[Ventas netas con costo registrado]],0)</f>
        <v>0</v>
      </c>
    </row>
    <row r="482" spans="2:42" x14ac:dyDescent="0.2">
      <c r="B482" s="15" cm="1">
        <f t="array" ref="B482">ParamFechaInicioReporte + (ROW(TableDailySummary[#This Row]) - ROW(TableDailySummary[[#Headers],[Dia]]) - 1)</f>
        <v>45009</v>
      </c>
      <c r="C482" s="6">
        <f>TableDailySummary[[#This Row],[Dia]]</f>
        <v>45009</v>
      </c>
      <c r="D482" s="11">
        <f>_xlfn.XLOOKUP(TableDailySummary[[#This Row],[Fecha]],SummaryDaily[day],SummaryDaily[net_sales],0)</f>
        <v>0</v>
      </c>
      <c r="E482" s="11">
        <f>_xlfn.XLOOKUP(TableDailySummary[[#This Row],[Fecha]],SummaryDaily[day],SummaryDaily[orders],0)</f>
        <v>0</v>
      </c>
      <c r="F482" s="11">
        <f>_xlfn.XLOOKUP(TableDailySummary[[#This Row],[Fecha]],SummaryDaily[day],SummaryDaily[average_order_value],0)</f>
        <v>0</v>
      </c>
      <c r="G482" s="24" cm="1">
        <f t="array" ref="G482">_xlfn.XLOOKUP(TableDailySummary[[#This Row],[Fecha]]&amp;"Total site",ConversionRateByReferral[day]&amp;ConversionRateByReferral[referrer_source],ConversionRateByReferral[conversion_rate],0)</f>
        <v>0</v>
      </c>
      <c r="H482" s="11">
        <f>TableDailySummary[[#This Row],[Órden promedio totales]]*TableDailySummary[[#This Row],[CR totales]]</f>
        <v>0</v>
      </c>
      <c r="I482" s="11">
        <f>_xlfn.XLOOKUP(TableDailySummary[[#This Row],[Fecha]],SummaryDaily[day],SummaryDaily[new_net_sales],0)</f>
        <v>0</v>
      </c>
      <c r="J482" s="11">
        <f>_xlfn.XLOOKUP(TableDailySummary[[#This Row],[Fecha]],SummaryDaily[day],SummaryDaily[new_orders],0)</f>
        <v>0</v>
      </c>
      <c r="K482" s="11">
        <f>_xlfn.XLOOKUP(TableDailySummary[[#This Row],[Fecha]],SummaryDaily[day],SummaryDaily[new_average_order_value],0)</f>
        <v>0</v>
      </c>
      <c r="L482" s="11">
        <f>_xlfn.XLOOKUP(TableDailySummary[[#This Row],[Fecha]],SummaryDaily[day],SummaryDaily[Online Store_net_sales],0)</f>
        <v>0</v>
      </c>
      <c r="M482" s="11">
        <f>_xlfn.XLOOKUP(TableDailySummary[[#This Row],[Fecha]],SummaryDaily[day],SummaryDaily[Online Store_orders],0)</f>
        <v>0</v>
      </c>
      <c r="N482" s="11">
        <f>_xlfn.XLOOKUP(TableDailySummary[[#This Row],[Fecha]],SummaryDaily[day],SummaryDaily[Online Store_average_order_value],0)</f>
        <v>0</v>
      </c>
      <c r="O482" s="11">
        <f>_xlfn.XLOOKUP(TableDailySummary[[#This Row],[Fecha]],SummaryDaily[day],SummaryDaily[Tienda 81_net_sales],0)</f>
        <v>0</v>
      </c>
      <c r="P482" s="11">
        <f>_xlfn.XLOOKUP(TableDailySummary[[#This Row],[Fecha]],SummaryDaily[day],SummaryDaily[Tienda 81_orders],0)</f>
        <v>0</v>
      </c>
      <c r="Q482" s="11">
        <f>_xlfn.XLOOKUP(TableDailySummary[[#This Row],[Fecha]],SummaryDaily[day],SummaryDaily[Tienda 81_average_order_value],0)</f>
        <v>0</v>
      </c>
      <c r="R482" s="11">
        <f>_xlfn.XLOOKUP(TableDailySummary[[#This Row],[Fecha]],SummaryDaily[day],SummaryDaily[Rappi_net_sales],0)</f>
        <v>0</v>
      </c>
      <c r="S482" s="11">
        <f>_xlfn.XLOOKUP(TableDailySummary[[#This Row],[Fecha]],SummaryDaily[day],SummaryDaily[Rappi_orders],0)</f>
        <v>0</v>
      </c>
      <c r="T482" s="11">
        <f>_xlfn.XLOOKUP(TableDailySummary[[#This Row],[Fecha]],SummaryDaily[day],SummaryDaily[Rappi_average_order_value],0)</f>
        <v>0</v>
      </c>
      <c r="U482" s="11">
        <f>_xlfn.XLOOKUP(TableDailySummary[[#This Row],[Fecha]],SummaryDaily[day],SummaryDaily[Corporativo no tienda_net_sales],0)</f>
        <v>0</v>
      </c>
      <c r="V482" s="11">
        <f>_xlfn.XLOOKUP(TableDailySummary[[#This Row],[Fecha]],SummaryDaily[day],SummaryDaily[Corporativo no tienda_orders],0)</f>
        <v>0</v>
      </c>
      <c r="W482" s="11">
        <f>_xlfn.XLOOKUP(TableDailySummary[[#This Row],[Fecha]],SummaryDaily[day],SummaryDaily[Corporativo no tienda_average_order_value],0)</f>
        <v>0</v>
      </c>
      <c r="X482" s="11">
        <f>_xlfn.XLOOKUP(TableDailySummary[[#This Row],[Fecha]],SummaryDaily[day],SummaryDaily[GoogleAdsOperation.Cost],0)</f>
        <v>0</v>
      </c>
      <c r="Y482" s="11">
        <f>SUMIFS(SalesByUTMDaily[google],SalesByUTMDaily[day],TableDailySummary[[#This Row],[Fecha]])</f>
        <v>0</v>
      </c>
      <c r="Z482" s="11">
        <f>_xlfn.XLOOKUP(TableDailySummary[[#This Row],[Fecha]],SummaryDaily[day],SummaryDaily[MetaAdsOperation.spend],0)</f>
        <v>0</v>
      </c>
      <c r="AA482" s="11">
        <f>SUMIFS(SalesByUTMDaily[facebook],SalesByUTMDaily[day],TableDailySummary[[#This Row],[Fecha]])</f>
        <v>0</v>
      </c>
      <c r="AB482" s="11">
        <f>TableDailySummary[[#This Row],[Inversión google ads]]+TableDailySummary[[#This Row],[Inversión meta ads]]</f>
        <v>0</v>
      </c>
      <c r="AC482" s="11">
        <f>TableDailySummary[[#This Row],[Ventas google ads]]+TableDailySummary[[#This Row],[Ventas meta ads]]</f>
        <v>0</v>
      </c>
      <c r="AD482" s="14">
        <f>IFERROR(TableDailySummary[[#This Row],[Ventas publicidad]]/TableDailySummary[[#This Row],[Inversión publicidad]],0)</f>
        <v>0</v>
      </c>
      <c r="AE482" s="14">
        <f>IFERROR(TableDailySummary[[#This Row],[Ventas primer cliente]]/TableDailySummary[[#This Row],[Inversión publicidad]],0)</f>
        <v>0</v>
      </c>
      <c r="AF482" s="14"/>
      <c r="AG482" s="11"/>
      <c r="AM482" s="11">
        <f>_xlfn.XLOOKUP(TableDailySummary[[#This Row],[Fecha]],SummaryDaily[day],SummaryDaily[net_sales_with_cost_recorded],0)</f>
        <v>0</v>
      </c>
      <c r="AN482" s="11">
        <f>_xlfn.XLOOKUP(TableDailySummary[[#This Row],[Fecha]],SummaryDaily[day],SummaryDaily[cost_of_goods_sold],0)</f>
        <v>0</v>
      </c>
      <c r="AO482" s="11">
        <f>_xlfn.XLOOKUP(TableDailySummary[[#This Row],[Fecha]],SummaryDaily[day],SummaryDaily[gross_profit],0)</f>
        <v>0</v>
      </c>
      <c r="AP482" s="18">
        <f>IFERROR(TableDailySummary[[#This Row],[Utilidad bruta]]/TableDailySummary[[#This Row],[Ventas netas con costo registrado]],0)</f>
        <v>0</v>
      </c>
    </row>
    <row r="483" spans="2:42" x14ac:dyDescent="0.2">
      <c r="B483" s="15" cm="1">
        <f t="array" ref="B483">ParamFechaInicioReporte + (ROW(TableDailySummary[#This Row]) - ROW(TableDailySummary[[#Headers],[Dia]]) - 1)</f>
        <v>45010</v>
      </c>
      <c r="C483" s="6">
        <f>TableDailySummary[[#This Row],[Dia]]</f>
        <v>45010</v>
      </c>
      <c r="D483" s="11">
        <f>_xlfn.XLOOKUP(TableDailySummary[[#This Row],[Fecha]],SummaryDaily[day],SummaryDaily[net_sales],0)</f>
        <v>0</v>
      </c>
      <c r="E483" s="11">
        <f>_xlfn.XLOOKUP(TableDailySummary[[#This Row],[Fecha]],SummaryDaily[day],SummaryDaily[orders],0)</f>
        <v>0</v>
      </c>
      <c r="F483" s="11">
        <f>_xlfn.XLOOKUP(TableDailySummary[[#This Row],[Fecha]],SummaryDaily[day],SummaryDaily[average_order_value],0)</f>
        <v>0</v>
      </c>
      <c r="G483" s="24" cm="1">
        <f t="array" ref="G483">_xlfn.XLOOKUP(TableDailySummary[[#This Row],[Fecha]]&amp;"Total site",ConversionRateByReferral[day]&amp;ConversionRateByReferral[referrer_source],ConversionRateByReferral[conversion_rate],0)</f>
        <v>0</v>
      </c>
      <c r="H483" s="11">
        <f>TableDailySummary[[#This Row],[Órden promedio totales]]*TableDailySummary[[#This Row],[CR totales]]</f>
        <v>0</v>
      </c>
      <c r="I483" s="11">
        <f>_xlfn.XLOOKUP(TableDailySummary[[#This Row],[Fecha]],SummaryDaily[day],SummaryDaily[new_net_sales],0)</f>
        <v>0</v>
      </c>
      <c r="J483" s="11">
        <f>_xlfn.XLOOKUP(TableDailySummary[[#This Row],[Fecha]],SummaryDaily[day],SummaryDaily[new_orders],0)</f>
        <v>0</v>
      </c>
      <c r="K483" s="11">
        <f>_xlfn.XLOOKUP(TableDailySummary[[#This Row],[Fecha]],SummaryDaily[day],SummaryDaily[new_average_order_value],0)</f>
        <v>0</v>
      </c>
      <c r="L483" s="11">
        <f>_xlfn.XLOOKUP(TableDailySummary[[#This Row],[Fecha]],SummaryDaily[day],SummaryDaily[Online Store_net_sales],0)</f>
        <v>0</v>
      </c>
      <c r="M483" s="11">
        <f>_xlfn.XLOOKUP(TableDailySummary[[#This Row],[Fecha]],SummaryDaily[day],SummaryDaily[Online Store_orders],0)</f>
        <v>0</v>
      </c>
      <c r="N483" s="11">
        <f>_xlfn.XLOOKUP(TableDailySummary[[#This Row],[Fecha]],SummaryDaily[day],SummaryDaily[Online Store_average_order_value],0)</f>
        <v>0</v>
      </c>
      <c r="O483" s="11">
        <f>_xlfn.XLOOKUP(TableDailySummary[[#This Row],[Fecha]],SummaryDaily[day],SummaryDaily[Tienda 81_net_sales],0)</f>
        <v>0</v>
      </c>
      <c r="P483" s="11">
        <f>_xlfn.XLOOKUP(TableDailySummary[[#This Row],[Fecha]],SummaryDaily[day],SummaryDaily[Tienda 81_orders],0)</f>
        <v>0</v>
      </c>
      <c r="Q483" s="11">
        <f>_xlfn.XLOOKUP(TableDailySummary[[#This Row],[Fecha]],SummaryDaily[day],SummaryDaily[Tienda 81_average_order_value],0)</f>
        <v>0</v>
      </c>
      <c r="R483" s="11">
        <f>_xlfn.XLOOKUP(TableDailySummary[[#This Row],[Fecha]],SummaryDaily[day],SummaryDaily[Rappi_net_sales],0)</f>
        <v>0</v>
      </c>
      <c r="S483" s="11">
        <f>_xlfn.XLOOKUP(TableDailySummary[[#This Row],[Fecha]],SummaryDaily[day],SummaryDaily[Rappi_orders],0)</f>
        <v>0</v>
      </c>
      <c r="T483" s="11">
        <f>_xlfn.XLOOKUP(TableDailySummary[[#This Row],[Fecha]],SummaryDaily[day],SummaryDaily[Rappi_average_order_value],0)</f>
        <v>0</v>
      </c>
      <c r="U483" s="11">
        <f>_xlfn.XLOOKUP(TableDailySummary[[#This Row],[Fecha]],SummaryDaily[day],SummaryDaily[Corporativo no tienda_net_sales],0)</f>
        <v>0</v>
      </c>
      <c r="V483" s="11">
        <f>_xlfn.XLOOKUP(TableDailySummary[[#This Row],[Fecha]],SummaryDaily[day],SummaryDaily[Corporativo no tienda_orders],0)</f>
        <v>0</v>
      </c>
      <c r="W483" s="11">
        <f>_xlfn.XLOOKUP(TableDailySummary[[#This Row],[Fecha]],SummaryDaily[day],SummaryDaily[Corporativo no tienda_average_order_value],0)</f>
        <v>0</v>
      </c>
      <c r="X483" s="11">
        <f>_xlfn.XLOOKUP(TableDailySummary[[#This Row],[Fecha]],SummaryDaily[day],SummaryDaily[GoogleAdsOperation.Cost],0)</f>
        <v>0</v>
      </c>
      <c r="Y483" s="11">
        <f>SUMIFS(SalesByUTMDaily[google],SalesByUTMDaily[day],TableDailySummary[[#This Row],[Fecha]])</f>
        <v>0</v>
      </c>
      <c r="Z483" s="11">
        <f>_xlfn.XLOOKUP(TableDailySummary[[#This Row],[Fecha]],SummaryDaily[day],SummaryDaily[MetaAdsOperation.spend],0)</f>
        <v>0</v>
      </c>
      <c r="AA483" s="11">
        <f>SUMIFS(SalesByUTMDaily[facebook],SalesByUTMDaily[day],TableDailySummary[[#This Row],[Fecha]])</f>
        <v>0</v>
      </c>
      <c r="AB483" s="11">
        <f>TableDailySummary[[#This Row],[Inversión google ads]]+TableDailySummary[[#This Row],[Inversión meta ads]]</f>
        <v>0</v>
      </c>
      <c r="AC483" s="11">
        <f>TableDailySummary[[#This Row],[Ventas google ads]]+TableDailySummary[[#This Row],[Ventas meta ads]]</f>
        <v>0</v>
      </c>
      <c r="AD483" s="14">
        <f>IFERROR(TableDailySummary[[#This Row],[Ventas publicidad]]/TableDailySummary[[#This Row],[Inversión publicidad]],0)</f>
        <v>0</v>
      </c>
      <c r="AE483" s="14">
        <f>IFERROR(TableDailySummary[[#This Row],[Ventas primer cliente]]/TableDailySummary[[#This Row],[Inversión publicidad]],0)</f>
        <v>0</v>
      </c>
      <c r="AF483" s="14"/>
      <c r="AG483" s="11"/>
      <c r="AM483" s="11">
        <f>_xlfn.XLOOKUP(TableDailySummary[[#This Row],[Fecha]],SummaryDaily[day],SummaryDaily[net_sales_with_cost_recorded],0)</f>
        <v>0</v>
      </c>
      <c r="AN483" s="11">
        <f>_xlfn.XLOOKUP(TableDailySummary[[#This Row],[Fecha]],SummaryDaily[day],SummaryDaily[cost_of_goods_sold],0)</f>
        <v>0</v>
      </c>
      <c r="AO483" s="11">
        <f>_xlfn.XLOOKUP(TableDailySummary[[#This Row],[Fecha]],SummaryDaily[day],SummaryDaily[gross_profit],0)</f>
        <v>0</v>
      </c>
      <c r="AP483" s="18">
        <f>IFERROR(TableDailySummary[[#This Row],[Utilidad bruta]]/TableDailySummary[[#This Row],[Ventas netas con costo registrado]],0)</f>
        <v>0</v>
      </c>
    </row>
    <row r="484" spans="2:42" x14ac:dyDescent="0.2">
      <c r="B484" s="15" cm="1">
        <f t="array" ref="B484">ParamFechaInicioReporte + (ROW(TableDailySummary[#This Row]) - ROW(TableDailySummary[[#Headers],[Dia]]) - 1)</f>
        <v>45011</v>
      </c>
      <c r="C484" s="6">
        <f>TableDailySummary[[#This Row],[Dia]]</f>
        <v>45011</v>
      </c>
      <c r="D484" s="11">
        <f>_xlfn.XLOOKUP(TableDailySummary[[#This Row],[Fecha]],SummaryDaily[day],SummaryDaily[net_sales],0)</f>
        <v>0</v>
      </c>
      <c r="E484" s="11">
        <f>_xlfn.XLOOKUP(TableDailySummary[[#This Row],[Fecha]],SummaryDaily[day],SummaryDaily[orders],0)</f>
        <v>0</v>
      </c>
      <c r="F484" s="11">
        <f>_xlfn.XLOOKUP(TableDailySummary[[#This Row],[Fecha]],SummaryDaily[day],SummaryDaily[average_order_value],0)</f>
        <v>0</v>
      </c>
      <c r="G484" s="24" cm="1">
        <f t="array" ref="G484">_xlfn.XLOOKUP(TableDailySummary[[#This Row],[Fecha]]&amp;"Total site",ConversionRateByReferral[day]&amp;ConversionRateByReferral[referrer_source],ConversionRateByReferral[conversion_rate],0)</f>
        <v>0</v>
      </c>
      <c r="H484" s="11">
        <f>TableDailySummary[[#This Row],[Órden promedio totales]]*TableDailySummary[[#This Row],[CR totales]]</f>
        <v>0</v>
      </c>
      <c r="I484" s="11">
        <f>_xlfn.XLOOKUP(TableDailySummary[[#This Row],[Fecha]],SummaryDaily[day],SummaryDaily[new_net_sales],0)</f>
        <v>0</v>
      </c>
      <c r="J484" s="11">
        <f>_xlfn.XLOOKUP(TableDailySummary[[#This Row],[Fecha]],SummaryDaily[day],SummaryDaily[new_orders],0)</f>
        <v>0</v>
      </c>
      <c r="K484" s="11">
        <f>_xlfn.XLOOKUP(TableDailySummary[[#This Row],[Fecha]],SummaryDaily[day],SummaryDaily[new_average_order_value],0)</f>
        <v>0</v>
      </c>
      <c r="L484" s="11">
        <f>_xlfn.XLOOKUP(TableDailySummary[[#This Row],[Fecha]],SummaryDaily[day],SummaryDaily[Online Store_net_sales],0)</f>
        <v>0</v>
      </c>
      <c r="M484" s="11">
        <f>_xlfn.XLOOKUP(TableDailySummary[[#This Row],[Fecha]],SummaryDaily[day],SummaryDaily[Online Store_orders],0)</f>
        <v>0</v>
      </c>
      <c r="N484" s="11">
        <f>_xlfn.XLOOKUP(TableDailySummary[[#This Row],[Fecha]],SummaryDaily[day],SummaryDaily[Online Store_average_order_value],0)</f>
        <v>0</v>
      </c>
      <c r="O484" s="11">
        <f>_xlfn.XLOOKUP(TableDailySummary[[#This Row],[Fecha]],SummaryDaily[day],SummaryDaily[Tienda 81_net_sales],0)</f>
        <v>0</v>
      </c>
      <c r="P484" s="11">
        <f>_xlfn.XLOOKUP(TableDailySummary[[#This Row],[Fecha]],SummaryDaily[day],SummaryDaily[Tienda 81_orders],0)</f>
        <v>0</v>
      </c>
      <c r="Q484" s="11">
        <f>_xlfn.XLOOKUP(TableDailySummary[[#This Row],[Fecha]],SummaryDaily[day],SummaryDaily[Tienda 81_average_order_value],0)</f>
        <v>0</v>
      </c>
      <c r="R484" s="11">
        <f>_xlfn.XLOOKUP(TableDailySummary[[#This Row],[Fecha]],SummaryDaily[day],SummaryDaily[Rappi_net_sales],0)</f>
        <v>0</v>
      </c>
      <c r="S484" s="11">
        <f>_xlfn.XLOOKUP(TableDailySummary[[#This Row],[Fecha]],SummaryDaily[day],SummaryDaily[Rappi_orders],0)</f>
        <v>0</v>
      </c>
      <c r="T484" s="11">
        <f>_xlfn.XLOOKUP(TableDailySummary[[#This Row],[Fecha]],SummaryDaily[day],SummaryDaily[Rappi_average_order_value],0)</f>
        <v>0</v>
      </c>
      <c r="U484" s="11">
        <f>_xlfn.XLOOKUP(TableDailySummary[[#This Row],[Fecha]],SummaryDaily[day],SummaryDaily[Corporativo no tienda_net_sales],0)</f>
        <v>0</v>
      </c>
      <c r="V484" s="11">
        <f>_xlfn.XLOOKUP(TableDailySummary[[#This Row],[Fecha]],SummaryDaily[day],SummaryDaily[Corporativo no tienda_orders],0)</f>
        <v>0</v>
      </c>
      <c r="W484" s="11">
        <f>_xlfn.XLOOKUP(TableDailySummary[[#This Row],[Fecha]],SummaryDaily[day],SummaryDaily[Corporativo no tienda_average_order_value],0)</f>
        <v>0</v>
      </c>
      <c r="X484" s="11">
        <f>_xlfn.XLOOKUP(TableDailySummary[[#This Row],[Fecha]],SummaryDaily[day],SummaryDaily[GoogleAdsOperation.Cost],0)</f>
        <v>0</v>
      </c>
      <c r="Y484" s="11">
        <f>SUMIFS(SalesByUTMDaily[google],SalesByUTMDaily[day],TableDailySummary[[#This Row],[Fecha]])</f>
        <v>0</v>
      </c>
      <c r="Z484" s="11">
        <f>_xlfn.XLOOKUP(TableDailySummary[[#This Row],[Fecha]],SummaryDaily[day],SummaryDaily[MetaAdsOperation.spend],0)</f>
        <v>0</v>
      </c>
      <c r="AA484" s="11">
        <f>SUMIFS(SalesByUTMDaily[facebook],SalesByUTMDaily[day],TableDailySummary[[#This Row],[Fecha]])</f>
        <v>0</v>
      </c>
      <c r="AB484" s="11">
        <f>TableDailySummary[[#This Row],[Inversión google ads]]+TableDailySummary[[#This Row],[Inversión meta ads]]</f>
        <v>0</v>
      </c>
      <c r="AC484" s="11">
        <f>TableDailySummary[[#This Row],[Ventas google ads]]+TableDailySummary[[#This Row],[Ventas meta ads]]</f>
        <v>0</v>
      </c>
      <c r="AD484" s="14">
        <f>IFERROR(TableDailySummary[[#This Row],[Ventas publicidad]]/TableDailySummary[[#This Row],[Inversión publicidad]],0)</f>
        <v>0</v>
      </c>
      <c r="AE484" s="14">
        <f>IFERROR(TableDailySummary[[#This Row],[Ventas primer cliente]]/TableDailySummary[[#This Row],[Inversión publicidad]],0)</f>
        <v>0</v>
      </c>
      <c r="AF484" s="14"/>
      <c r="AG484" s="11"/>
      <c r="AM484" s="11">
        <f>_xlfn.XLOOKUP(TableDailySummary[[#This Row],[Fecha]],SummaryDaily[day],SummaryDaily[net_sales_with_cost_recorded],0)</f>
        <v>0</v>
      </c>
      <c r="AN484" s="11">
        <f>_xlfn.XLOOKUP(TableDailySummary[[#This Row],[Fecha]],SummaryDaily[day],SummaryDaily[cost_of_goods_sold],0)</f>
        <v>0</v>
      </c>
      <c r="AO484" s="11">
        <f>_xlfn.XLOOKUP(TableDailySummary[[#This Row],[Fecha]],SummaryDaily[day],SummaryDaily[gross_profit],0)</f>
        <v>0</v>
      </c>
      <c r="AP484" s="18">
        <f>IFERROR(TableDailySummary[[#This Row],[Utilidad bruta]]/TableDailySummary[[#This Row],[Ventas netas con costo registrado]],0)</f>
        <v>0</v>
      </c>
    </row>
    <row r="485" spans="2:42" x14ac:dyDescent="0.2">
      <c r="B485" s="15" cm="1">
        <f t="array" ref="B485">ParamFechaInicioReporte + (ROW(TableDailySummary[#This Row]) - ROW(TableDailySummary[[#Headers],[Dia]]) - 1)</f>
        <v>45012</v>
      </c>
      <c r="C485" s="6">
        <f>TableDailySummary[[#This Row],[Dia]]</f>
        <v>45012</v>
      </c>
      <c r="D485" s="11">
        <f>_xlfn.XLOOKUP(TableDailySummary[[#This Row],[Fecha]],SummaryDaily[day],SummaryDaily[net_sales],0)</f>
        <v>0</v>
      </c>
      <c r="E485" s="11">
        <f>_xlfn.XLOOKUP(TableDailySummary[[#This Row],[Fecha]],SummaryDaily[day],SummaryDaily[orders],0)</f>
        <v>0</v>
      </c>
      <c r="F485" s="11">
        <f>_xlfn.XLOOKUP(TableDailySummary[[#This Row],[Fecha]],SummaryDaily[day],SummaryDaily[average_order_value],0)</f>
        <v>0</v>
      </c>
      <c r="G485" s="24" cm="1">
        <f t="array" ref="G485">_xlfn.XLOOKUP(TableDailySummary[[#This Row],[Fecha]]&amp;"Total site",ConversionRateByReferral[day]&amp;ConversionRateByReferral[referrer_source],ConversionRateByReferral[conversion_rate],0)</f>
        <v>0</v>
      </c>
      <c r="H485" s="11">
        <f>TableDailySummary[[#This Row],[Órden promedio totales]]*TableDailySummary[[#This Row],[CR totales]]</f>
        <v>0</v>
      </c>
      <c r="I485" s="11">
        <f>_xlfn.XLOOKUP(TableDailySummary[[#This Row],[Fecha]],SummaryDaily[day],SummaryDaily[new_net_sales],0)</f>
        <v>0</v>
      </c>
      <c r="J485" s="11">
        <f>_xlfn.XLOOKUP(TableDailySummary[[#This Row],[Fecha]],SummaryDaily[day],SummaryDaily[new_orders],0)</f>
        <v>0</v>
      </c>
      <c r="K485" s="11">
        <f>_xlfn.XLOOKUP(TableDailySummary[[#This Row],[Fecha]],SummaryDaily[day],SummaryDaily[new_average_order_value],0)</f>
        <v>0</v>
      </c>
      <c r="L485" s="11">
        <f>_xlfn.XLOOKUP(TableDailySummary[[#This Row],[Fecha]],SummaryDaily[day],SummaryDaily[Online Store_net_sales],0)</f>
        <v>0</v>
      </c>
      <c r="M485" s="11">
        <f>_xlfn.XLOOKUP(TableDailySummary[[#This Row],[Fecha]],SummaryDaily[day],SummaryDaily[Online Store_orders],0)</f>
        <v>0</v>
      </c>
      <c r="N485" s="11">
        <f>_xlfn.XLOOKUP(TableDailySummary[[#This Row],[Fecha]],SummaryDaily[day],SummaryDaily[Online Store_average_order_value],0)</f>
        <v>0</v>
      </c>
      <c r="O485" s="11">
        <f>_xlfn.XLOOKUP(TableDailySummary[[#This Row],[Fecha]],SummaryDaily[day],SummaryDaily[Tienda 81_net_sales],0)</f>
        <v>0</v>
      </c>
      <c r="P485" s="11">
        <f>_xlfn.XLOOKUP(TableDailySummary[[#This Row],[Fecha]],SummaryDaily[day],SummaryDaily[Tienda 81_orders],0)</f>
        <v>0</v>
      </c>
      <c r="Q485" s="11">
        <f>_xlfn.XLOOKUP(TableDailySummary[[#This Row],[Fecha]],SummaryDaily[day],SummaryDaily[Tienda 81_average_order_value],0)</f>
        <v>0</v>
      </c>
      <c r="R485" s="11">
        <f>_xlfn.XLOOKUP(TableDailySummary[[#This Row],[Fecha]],SummaryDaily[day],SummaryDaily[Rappi_net_sales],0)</f>
        <v>0</v>
      </c>
      <c r="S485" s="11">
        <f>_xlfn.XLOOKUP(TableDailySummary[[#This Row],[Fecha]],SummaryDaily[day],SummaryDaily[Rappi_orders],0)</f>
        <v>0</v>
      </c>
      <c r="T485" s="11">
        <f>_xlfn.XLOOKUP(TableDailySummary[[#This Row],[Fecha]],SummaryDaily[day],SummaryDaily[Rappi_average_order_value],0)</f>
        <v>0</v>
      </c>
      <c r="U485" s="11">
        <f>_xlfn.XLOOKUP(TableDailySummary[[#This Row],[Fecha]],SummaryDaily[day],SummaryDaily[Corporativo no tienda_net_sales],0)</f>
        <v>0</v>
      </c>
      <c r="V485" s="11">
        <f>_xlfn.XLOOKUP(TableDailySummary[[#This Row],[Fecha]],SummaryDaily[day],SummaryDaily[Corporativo no tienda_orders],0)</f>
        <v>0</v>
      </c>
      <c r="W485" s="11">
        <f>_xlfn.XLOOKUP(TableDailySummary[[#This Row],[Fecha]],SummaryDaily[day],SummaryDaily[Corporativo no tienda_average_order_value],0)</f>
        <v>0</v>
      </c>
      <c r="X485" s="11">
        <f>_xlfn.XLOOKUP(TableDailySummary[[#This Row],[Fecha]],SummaryDaily[day],SummaryDaily[GoogleAdsOperation.Cost],0)</f>
        <v>0</v>
      </c>
      <c r="Y485" s="11">
        <f>SUMIFS(SalesByUTMDaily[google],SalesByUTMDaily[day],TableDailySummary[[#This Row],[Fecha]])</f>
        <v>0</v>
      </c>
      <c r="Z485" s="11">
        <f>_xlfn.XLOOKUP(TableDailySummary[[#This Row],[Fecha]],SummaryDaily[day],SummaryDaily[MetaAdsOperation.spend],0)</f>
        <v>0</v>
      </c>
      <c r="AA485" s="11">
        <f>SUMIFS(SalesByUTMDaily[facebook],SalesByUTMDaily[day],TableDailySummary[[#This Row],[Fecha]])</f>
        <v>0</v>
      </c>
      <c r="AB485" s="11">
        <f>TableDailySummary[[#This Row],[Inversión google ads]]+TableDailySummary[[#This Row],[Inversión meta ads]]</f>
        <v>0</v>
      </c>
      <c r="AC485" s="11">
        <f>TableDailySummary[[#This Row],[Ventas google ads]]+TableDailySummary[[#This Row],[Ventas meta ads]]</f>
        <v>0</v>
      </c>
      <c r="AD485" s="14">
        <f>IFERROR(TableDailySummary[[#This Row],[Ventas publicidad]]/TableDailySummary[[#This Row],[Inversión publicidad]],0)</f>
        <v>0</v>
      </c>
      <c r="AE485" s="14">
        <f>IFERROR(TableDailySummary[[#This Row],[Ventas primer cliente]]/TableDailySummary[[#This Row],[Inversión publicidad]],0)</f>
        <v>0</v>
      </c>
      <c r="AF485" s="14"/>
      <c r="AG485" s="11"/>
      <c r="AM485" s="11">
        <f>_xlfn.XLOOKUP(TableDailySummary[[#This Row],[Fecha]],SummaryDaily[day],SummaryDaily[net_sales_with_cost_recorded],0)</f>
        <v>0</v>
      </c>
      <c r="AN485" s="11">
        <f>_xlfn.XLOOKUP(TableDailySummary[[#This Row],[Fecha]],SummaryDaily[day],SummaryDaily[cost_of_goods_sold],0)</f>
        <v>0</v>
      </c>
      <c r="AO485" s="11">
        <f>_xlfn.XLOOKUP(TableDailySummary[[#This Row],[Fecha]],SummaryDaily[day],SummaryDaily[gross_profit],0)</f>
        <v>0</v>
      </c>
      <c r="AP485" s="18">
        <f>IFERROR(TableDailySummary[[#This Row],[Utilidad bruta]]/TableDailySummary[[#This Row],[Ventas netas con costo registrado]],0)</f>
        <v>0</v>
      </c>
    </row>
    <row r="486" spans="2:42" x14ac:dyDescent="0.2">
      <c r="B486" s="15" cm="1">
        <f t="array" ref="B486">ParamFechaInicioReporte + (ROW(TableDailySummary[#This Row]) - ROW(TableDailySummary[[#Headers],[Dia]]) - 1)</f>
        <v>45013</v>
      </c>
      <c r="C486" s="6">
        <f>TableDailySummary[[#This Row],[Dia]]</f>
        <v>45013</v>
      </c>
      <c r="D486" s="11">
        <f>_xlfn.XLOOKUP(TableDailySummary[[#This Row],[Fecha]],SummaryDaily[day],SummaryDaily[net_sales],0)</f>
        <v>0</v>
      </c>
      <c r="E486" s="11">
        <f>_xlfn.XLOOKUP(TableDailySummary[[#This Row],[Fecha]],SummaryDaily[day],SummaryDaily[orders],0)</f>
        <v>0</v>
      </c>
      <c r="F486" s="11">
        <f>_xlfn.XLOOKUP(TableDailySummary[[#This Row],[Fecha]],SummaryDaily[day],SummaryDaily[average_order_value],0)</f>
        <v>0</v>
      </c>
      <c r="G486" s="24" cm="1">
        <f t="array" ref="G486">_xlfn.XLOOKUP(TableDailySummary[[#This Row],[Fecha]]&amp;"Total site",ConversionRateByReferral[day]&amp;ConversionRateByReferral[referrer_source],ConversionRateByReferral[conversion_rate],0)</f>
        <v>0</v>
      </c>
      <c r="H486" s="11">
        <f>TableDailySummary[[#This Row],[Órden promedio totales]]*TableDailySummary[[#This Row],[CR totales]]</f>
        <v>0</v>
      </c>
      <c r="I486" s="11">
        <f>_xlfn.XLOOKUP(TableDailySummary[[#This Row],[Fecha]],SummaryDaily[day],SummaryDaily[new_net_sales],0)</f>
        <v>0</v>
      </c>
      <c r="J486" s="11">
        <f>_xlfn.XLOOKUP(TableDailySummary[[#This Row],[Fecha]],SummaryDaily[day],SummaryDaily[new_orders],0)</f>
        <v>0</v>
      </c>
      <c r="K486" s="11">
        <f>_xlfn.XLOOKUP(TableDailySummary[[#This Row],[Fecha]],SummaryDaily[day],SummaryDaily[new_average_order_value],0)</f>
        <v>0</v>
      </c>
      <c r="L486" s="11">
        <f>_xlfn.XLOOKUP(TableDailySummary[[#This Row],[Fecha]],SummaryDaily[day],SummaryDaily[Online Store_net_sales],0)</f>
        <v>0</v>
      </c>
      <c r="M486" s="11">
        <f>_xlfn.XLOOKUP(TableDailySummary[[#This Row],[Fecha]],SummaryDaily[day],SummaryDaily[Online Store_orders],0)</f>
        <v>0</v>
      </c>
      <c r="N486" s="11">
        <f>_xlfn.XLOOKUP(TableDailySummary[[#This Row],[Fecha]],SummaryDaily[day],SummaryDaily[Online Store_average_order_value],0)</f>
        <v>0</v>
      </c>
      <c r="O486" s="11">
        <f>_xlfn.XLOOKUP(TableDailySummary[[#This Row],[Fecha]],SummaryDaily[day],SummaryDaily[Tienda 81_net_sales],0)</f>
        <v>0</v>
      </c>
      <c r="P486" s="11">
        <f>_xlfn.XLOOKUP(TableDailySummary[[#This Row],[Fecha]],SummaryDaily[day],SummaryDaily[Tienda 81_orders],0)</f>
        <v>0</v>
      </c>
      <c r="Q486" s="11">
        <f>_xlfn.XLOOKUP(TableDailySummary[[#This Row],[Fecha]],SummaryDaily[day],SummaryDaily[Tienda 81_average_order_value],0)</f>
        <v>0</v>
      </c>
      <c r="R486" s="11">
        <f>_xlfn.XLOOKUP(TableDailySummary[[#This Row],[Fecha]],SummaryDaily[day],SummaryDaily[Rappi_net_sales],0)</f>
        <v>0</v>
      </c>
      <c r="S486" s="11">
        <f>_xlfn.XLOOKUP(TableDailySummary[[#This Row],[Fecha]],SummaryDaily[day],SummaryDaily[Rappi_orders],0)</f>
        <v>0</v>
      </c>
      <c r="T486" s="11">
        <f>_xlfn.XLOOKUP(TableDailySummary[[#This Row],[Fecha]],SummaryDaily[day],SummaryDaily[Rappi_average_order_value],0)</f>
        <v>0</v>
      </c>
      <c r="U486" s="11">
        <f>_xlfn.XLOOKUP(TableDailySummary[[#This Row],[Fecha]],SummaryDaily[day],SummaryDaily[Corporativo no tienda_net_sales],0)</f>
        <v>0</v>
      </c>
      <c r="V486" s="11">
        <f>_xlfn.XLOOKUP(TableDailySummary[[#This Row],[Fecha]],SummaryDaily[day],SummaryDaily[Corporativo no tienda_orders],0)</f>
        <v>0</v>
      </c>
      <c r="W486" s="11">
        <f>_xlfn.XLOOKUP(TableDailySummary[[#This Row],[Fecha]],SummaryDaily[day],SummaryDaily[Corporativo no tienda_average_order_value],0)</f>
        <v>0</v>
      </c>
      <c r="X486" s="11">
        <f>_xlfn.XLOOKUP(TableDailySummary[[#This Row],[Fecha]],SummaryDaily[day],SummaryDaily[GoogleAdsOperation.Cost],0)</f>
        <v>0</v>
      </c>
      <c r="Y486" s="11">
        <f>SUMIFS(SalesByUTMDaily[google],SalesByUTMDaily[day],TableDailySummary[[#This Row],[Fecha]])</f>
        <v>0</v>
      </c>
      <c r="Z486" s="11">
        <f>_xlfn.XLOOKUP(TableDailySummary[[#This Row],[Fecha]],SummaryDaily[day],SummaryDaily[MetaAdsOperation.spend],0)</f>
        <v>0</v>
      </c>
      <c r="AA486" s="11">
        <f>SUMIFS(SalesByUTMDaily[facebook],SalesByUTMDaily[day],TableDailySummary[[#This Row],[Fecha]])</f>
        <v>0</v>
      </c>
      <c r="AB486" s="11">
        <f>TableDailySummary[[#This Row],[Inversión google ads]]+TableDailySummary[[#This Row],[Inversión meta ads]]</f>
        <v>0</v>
      </c>
      <c r="AC486" s="11">
        <f>TableDailySummary[[#This Row],[Ventas google ads]]+TableDailySummary[[#This Row],[Ventas meta ads]]</f>
        <v>0</v>
      </c>
      <c r="AD486" s="14">
        <f>IFERROR(TableDailySummary[[#This Row],[Ventas publicidad]]/TableDailySummary[[#This Row],[Inversión publicidad]],0)</f>
        <v>0</v>
      </c>
      <c r="AE486" s="14">
        <f>IFERROR(TableDailySummary[[#This Row],[Ventas primer cliente]]/TableDailySummary[[#This Row],[Inversión publicidad]],0)</f>
        <v>0</v>
      </c>
      <c r="AF486" s="14"/>
      <c r="AG486" s="11"/>
      <c r="AM486" s="11">
        <f>_xlfn.XLOOKUP(TableDailySummary[[#This Row],[Fecha]],SummaryDaily[day],SummaryDaily[net_sales_with_cost_recorded],0)</f>
        <v>0</v>
      </c>
      <c r="AN486" s="11">
        <f>_xlfn.XLOOKUP(TableDailySummary[[#This Row],[Fecha]],SummaryDaily[day],SummaryDaily[cost_of_goods_sold],0)</f>
        <v>0</v>
      </c>
      <c r="AO486" s="11">
        <f>_xlfn.XLOOKUP(TableDailySummary[[#This Row],[Fecha]],SummaryDaily[day],SummaryDaily[gross_profit],0)</f>
        <v>0</v>
      </c>
      <c r="AP486" s="18">
        <f>IFERROR(TableDailySummary[[#This Row],[Utilidad bruta]]/TableDailySummary[[#This Row],[Ventas netas con costo registrado]],0)</f>
        <v>0</v>
      </c>
    </row>
    <row r="487" spans="2:42" x14ac:dyDescent="0.2">
      <c r="B487" s="15" cm="1">
        <f t="array" ref="B487">ParamFechaInicioReporte + (ROW(TableDailySummary[#This Row]) - ROW(TableDailySummary[[#Headers],[Dia]]) - 1)</f>
        <v>45014</v>
      </c>
      <c r="C487" s="6">
        <f>TableDailySummary[[#This Row],[Dia]]</f>
        <v>45014</v>
      </c>
      <c r="D487" s="11">
        <f>_xlfn.XLOOKUP(TableDailySummary[[#This Row],[Fecha]],SummaryDaily[day],SummaryDaily[net_sales],0)</f>
        <v>0</v>
      </c>
      <c r="E487" s="11">
        <f>_xlfn.XLOOKUP(TableDailySummary[[#This Row],[Fecha]],SummaryDaily[day],SummaryDaily[orders],0)</f>
        <v>0</v>
      </c>
      <c r="F487" s="11">
        <f>_xlfn.XLOOKUP(TableDailySummary[[#This Row],[Fecha]],SummaryDaily[day],SummaryDaily[average_order_value],0)</f>
        <v>0</v>
      </c>
      <c r="G487" s="24" cm="1">
        <f t="array" ref="G487">_xlfn.XLOOKUP(TableDailySummary[[#This Row],[Fecha]]&amp;"Total site",ConversionRateByReferral[day]&amp;ConversionRateByReferral[referrer_source],ConversionRateByReferral[conversion_rate],0)</f>
        <v>0</v>
      </c>
      <c r="H487" s="11">
        <f>TableDailySummary[[#This Row],[Órden promedio totales]]*TableDailySummary[[#This Row],[CR totales]]</f>
        <v>0</v>
      </c>
      <c r="I487" s="11">
        <f>_xlfn.XLOOKUP(TableDailySummary[[#This Row],[Fecha]],SummaryDaily[day],SummaryDaily[new_net_sales],0)</f>
        <v>0</v>
      </c>
      <c r="J487" s="11">
        <f>_xlfn.XLOOKUP(TableDailySummary[[#This Row],[Fecha]],SummaryDaily[day],SummaryDaily[new_orders],0)</f>
        <v>0</v>
      </c>
      <c r="K487" s="11">
        <f>_xlfn.XLOOKUP(TableDailySummary[[#This Row],[Fecha]],SummaryDaily[day],SummaryDaily[new_average_order_value],0)</f>
        <v>0</v>
      </c>
      <c r="L487" s="11">
        <f>_xlfn.XLOOKUP(TableDailySummary[[#This Row],[Fecha]],SummaryDaily[day],SummaryDaily[Online Store_net_sales],0)</f>
        <v>0</v>
      </c>
      <c r="M487" s="11">
        <f>_xlfn.XLOOKUP(TableDailySummary[[#This Row],[Fecha]],SummaryDaily[day],SummaryDaily[Online Store_orders],0)</f>
        <v>0</v>
      </c>
      <c r="N487" s="11">
        <f>_xlfn.XLOOKUP(TableDailySummary[[#This Row],[Fecha]],SummaryDaily[day],SummaryDaily[Online Store_average_order_value],0)</f>
        <v>0</v>
      </c>
      <c r="O487" s="11">
        <f>_xlfn.XLOOKUP(TableDailySummary[[#This Row],[Fecha]],SummaryDaily[day],SummaryDaily[Tienda 81_net_sales],0)</f>
        <v>0</v>
      </c>
      <c r="P487" s="11">
        <f>_xlfn.XLOOKUP(TableDailySummary[[#This Row],[Fecha]],SummaryDaily[day],SummaryDaily[Tienda 81_orders],0)</f>
        <v>0</v>
      </c>
      <c r="Q487" s="11">
        <f>_xlfn.XLOOKUP(TableDailySummary[[#This Row],[Fecha]],SummaryDaily[day],SummaryDaily[Tienda 81_average_order_value],0)</f>
        <v>0</v>
      </c>
      <c r="R487" s="11">
        <f>_xlfn.XLOOKUP(TableDailySummary[[#This Row],[Fecha]],SummaryDaily[day],SummaryDaily[Rappi_net_sales],0)</f>
        <v>0</v>
      </c>
      <c r="S487" s="11">
        <f>_xlfn.XLOOKUP(TableDailySummary[[#This Row],[Fecha]],SummaryDaily[day],SummaryDaily[Rappi_orders],0)</f>
        <v>0</v>
      </c>
      <c r="T487" s="11">
        <f>_xlfn.XLOOKUP(TableDailySummary[[#This Row],[Fecha]],SummaryDaily[day],SummaryDaily[Rappi_average_order_value],0)</f>
        <v>0</v>
      </c>
      <c r="U487" s="11">
        <f>_xlfn.XLOOKUP(TableDailySummary[[#This Row],[Fecha]],SummaryDaily[day],SummaryDaily[Corporativo no tienda_net_sales],0)</f>
        <v>0</v>
      </c>
      <c r="V487" s="11">
        <f>_xlfn.XLOOKUP(TableDailySummary[[#This Row],[Fecha]],SummaryDaily[day],SummaryDaily[Corporativo no tienda_orders],0)</f>
        <v>0</v>
      </c>
      <c r="W487" s="11">
        <f>_xlfn.XLOOKUP(TableDailySummary[[#This Row],[Fecha]],SummaryDaily[day],SummaryDaily[Corporativo no tienda_average_order_value],0)</f>
        <v>0</v>
      </c>
      <c r="X487" s="11">
        <f>_xlfn.XLOOKUP(TableDailySummary[[#This Row],[Fecha]],SummaryDaily[day],SummaryDaily[GoogleAdsOperation.Cost],0)</f>
        <v>0</v>
      </c>
      <c r="Y487" s="11">
        <f>SUMIFS(SalesByUTMDaily[google],SalesByUTMDaily[day],TableDailySummary[[#This Row],[Fecha]])</f>
        <v>0</v>
      </c>
      <c r="Z487" s="11">
        <f>_xlfn.XLOOKUP(TableDailySummary[[#This Row],[Fecha]],SummaryDaily[day],SummaryDaily[MetaAdsOperation.spend],0)</f>
        <v>0</v>
      </c>
      <c r="AA487" s="11">
        <f>SUMIFS(SalesByUTMDaily[facebook],SalesByUTMDaily[day],TableDailySummary[[#This Row],[Fecha]])</f>
        <v>0</v>
      </c>
      <c r="AB487" s="11">
        <f>TableDailySummary[[#This Row],[Inversión google ads]]+TableDailySummary[[#This Row],[Inversión meta ads]]</f>
        <v>0</v>
      </c>
      <c r="AC487" s="11">
        <f>TableDailySummary[[#This Row],[Ventas google ads]]+TableDailySummary[[#This Row],[Ventas meta ads]]</f>
        <v>0</v>
      </c>
      <c r="AD487" s="14">
        <f>IFERROR(TableDailySummary[[#This Row],[Ventas publicidad]]/TableDailySummary[[#This Row],[Inversión publicidad]],0)</f>
        <v>0</v>
      </c>
      <c r="AE487" s="14">
        <f>IFERROR(TableDailySummary[[#This Row],[Ventas primer cliente]]/TableDailySummary[[#This Row],[Inversión publicidad]],0)</f>
        <v>0</v>
      </c>
      <c r="AF487" s="14"/>
      <c r="AG487" s="11"/>
      <c r="AM487" s="11">
        <f>_xlfn.XLOOKUP(TableDailySummary[[#This Row],[Fecha]],SummaryDaily[day],SummaryDaily[net_sales_with_cost_recorded],0)</f>
        <v>0</v>
      </c>
      <c r="AN487" s="11">
        <f>_xlfn.XLOOKUP(TableDailySummary[[#This Row],[Fecha]],SummaryDaily[day],SummaryDaily[cost_of_goods_sold],0)</f>
        <v>0</v>
      </c>
      <c r="AO487" s="11">
        <f>_xlfn.XLOOKUP(TableDailySummary[[#This Row],[Fecha]],SummaryDaily[day],SummaryDaily[gross_profit],0)</f>
        <v>0</v>
      </c>
      <c r="AP487" s="18">
        <f>IFERROR(TableDailySummary[[#This Row],[Utilidad bruta]]/TableDailySummary[[#This Row],[Ventas netas con costo registrado]],0)</f>
        <v>0</v>
      </c>
    </row>
    <row r="488" spans="2:42" x14ac:dyDescent="0.2">
      <c r="B488" s="15" cm="1">
        <f t="array" ref="B488">ParamFechaInicioReporte + (ROW(TableDailySummary[#This Row]) - ROW(TableDailySummary[[#Headers],[Dia]]) - 1)</f>
        <v>45015</v>
      </c>
      <c r="C488" s="6">
        <f>TableDailySummary[[#This Row],[Dia]]</f>
        <v>45015</v>
      </c>
      <c r="D488" s="11">
        <f>_xlfn.XLOOKUP(TableDailySummary[[#This Row],[Fecha]],SummaryDaily[day],SummaryDaily[net_sales],0)</f>
        <v>0</v>
      </c>
      <c r="E488" s="11">
        <f>_xlfn.XLOOKUP(TableDailySummary[[#This Row],[Fecha]],SummaryDaily[day],SummaryDaily[orders],0)</f>
        <v>0</v>
      </c>
      <c r="F488" s="11">
        <f>_xlfn.XLOOKUP(TableDailySummary[[#This Row],[Fecha]],SummaryDaily[day],SummaryDaily[average_order_value],0)</f>
        <v>0</v>
      </c>
      <c r="G488" s="24" cm="1">
        <f t="array" ref="G488">_xlfn.XLOOKUP(TableDailySummary[[#This Row],[Fecha]]&amp;"Total site",ConversionRateByReferral[day]&amp;ConversionRateByReferral[referrer_source],ConversionRateByReferral[conversion_rate],0)</f>
        <v>0</v>
      </c>
      <c r="H488" s="11">
        <f>TableDailySummary[[#This Row],[Órden promedio totales]]*TableDailySummary[[#This Row],[CR totales]]</f>
        <v>0</v>
      </c>
      <c r="I488" s="11">
        <f>_xlfn.XLOOKUP(TableDailySummary[[#This Row],[Fecha]],SummaryDaily[day],SummaryDaily[new_net_sales],0)</f>
        <v>0</v>
      </c>
      <c r="J488" s="11">
        <f>_xlfn.XLOOKUP(TableDailySummary[[#This Row],[Fecha]],SummaryDaily[day],SummaryDaily[new_orders],0)</f>
        <v>0</v>
      </c>
      <c r="K488" s="11">
        <f>_xlfn.XLOOKUP(TableDailySummary[[#This Row],[Fecha]],SummaryDaily[day],SummaryDaily[new_average_order_value],0)</f>
        <v>0</v>
      </c>
      <c r="L488" s="11">
        <f>_xlfn.XLOOKUP(TableDailySummary[[#This Row],[Fecha]],SummaryDaily[day],SummaryDaily[Online Store_net_sales],0)</f>
        <v>0</v>
      </c>
      <c r="M488" s="11">
        <f>_xlfn.XLOOKUP(TableDailySummary[[#This Row],[Fecha]],SummaryDaily[day],SummaryDaily[Online Store_orders],0)</f>
        <v>0</v>
      </c>
      <c r="N488" s="11">
        <f>_xlfn.XLOOKUP(TableDailySummary[[#This Row],[Fecha]],SummaryDaily[day],SummaryDaily[Online Store_average_order_value],0)</f>
        <v>0</v>
      </c>
      <c r="O488" s="11">
        <f>_xlfn.XLOOKUP(TableDailySummary[[#This Row],[Fecha]],SummaryDaily[day],SummaryDaily[Tienda 81_net_sales],0)</f>
        <v>0</v>
      </c>
      <c r="P488" s="11">
        <f>_xlfn.XLOOKUP(TableDailySummary[[#This Row],[Fecha]],SummaryDaily[day],SummaryDaily[Tienda 81_orders],0)</f>
        <v>0</v>
      </c>
      <c r="Q488" s="11">
        <f>_xlfn.XLOOKUP(TableDailySummary[[#This Row],[Fecha]],SummaryDaily[day],SummaryDaily[Tienda 81_average_order_value],0)</f>
        <v>0</v>
      </c>
      <c r="R488" s="11">
        <f>_xlfn.XLOOKUP(TableDailySummary[[#This Row],[Fecha]],SummaryDaily[day],SummaryDaily[Rappi_net_sales],0)</f>
        <v>0</v>
      </c>
      <c r="S488" s="11">
        <f>_xlfn.XLOOKUP(TableDailySummary[[#This Row],[Fecha]],SummaryDaily[day],SummaryDaily[Rappi_orders],0)</f>
        <v>0</v>
      </c>
      <c r="T488" s="11">
        <f>_xlfn.XLOOKUP(TableDailySummary[[#This Row],[Fecha]],SummaryDaily[day],SummaryDaily[Rappi_average_order_value],0)</f>
        <v>0</v>
      </c>
      <c r="U488" s="11">
        <f>_xlfn.XLOOKUP(TableDailySummary[[#This Row],[Fecha]],SummaryDaily[day],SummaryDaily[Corporativo no tienda_net_sales],0)</f>
        <v>0</v>
      </c>
      <c r="V488" s="11">
        <f>_xlfn.XLOOKUP(TableDailySummary[[#This Row],[Fecha]],SummaryDaily[day],SummaryDaily[Corporativo no tienda_orders],0)</f>
        <v>0</v>
      </c>
      <c r="W488" s="11">
        <f>_xlfn.XLOOKUP(TableDailySummary[[#This Row],[Fecha]],SummaryDaily[day],SummaryDaily[Corporativo no tienda_average_order_value],0)</f>
        <v>0</v>
      </c>
      <c r="X488" s="11">
        <f>_xlfn.XLOOKUP(TableDailySummary[[#This Row],[Fecha]],SummaryDaily[day],SummaryDaily[GoogleAdsOperation.Cost],0)</f>
        <v>0</v>
      </c>
      <c r="Y488" s="11">
        <f>SUMIFS(SalesByUTMDaily[google],SalesByUTMDaily[day],TableDailySummary[[#This Row],[Fecha]])</f>
        <v>0</v>
      </c>
      <c r="Z488" s="11">
        <f>_xlfn.XLOOKUP(TableDailySummary[[#This Row],[Fecha]],SummaryDaily[day],SummaryDaily[MetaAdsOperation.spend],0)</f>
        <v>0</v>
      </c>
      <c r="AA488" s="11">
        <f>SUMIFS(SalesByUTMDaily[facebook],SalesByUTMDaily[day],TableDailySummary[[#This Row],[Fecha]])</f>
        <v>0</v>
      </c>
      <c r="AB488" s="11">
        <f>TableDailySummary[[#This Row],[Inversión google ads]]+TableDailySummary[[#This Row],[Inversión meta ads]]</f>
        <v>0</v>
      </c>
      <c r="AC488" s="11">
        <f>TableDailySummary[[#This Row],[Ventas google ads]]+TableDailySummary[[#This Row],[Ventas meta ads]]</f>
        <v>0</v>
      </c>
      <c r="AD488" s="14">
        <f>IFERROR(TableDailySummary[[#This Row],[Ventas publicidad]]/TableDailySummary[[#This Row],[Inversión publicidad]],0)</f>
        <v>0</v>
      </c>
      <c r="AE488" s="14">
        <f>IFERROR(TableDailySummary[[#This Row],[Ventas primer cliente]]/TableDailySummary[[#This Row],[Inversión publicidad]],0)</f>
        <v>0</v>
      </c>
      <c r="AF488" s="14"/>
      <c r="AG488" s="11"/>
      <c r="AM488" s="11">
        <f>_xlfn.XLOOKUP(TableDailySummary[[#This Row],[Fecha]],SummaryDaily[day],SummaryDaily[net_sales_with_cost_recorded],0)</f>
        <v>0</v>
      </c>
      <c r="AN488" s="11">
        <f>_xlfn.XLOOKUP(TableDailySummary[[#This Row],[Fecha]],SummaryDaily[day],SummaryDaily[cost_of_goods_sold],0)</f>
        <v>0</v>
      </c>
      <c r="AO488" s="11">
        <f>_xlfn.XLOOKUP(TableDailySummary[[#This Row],[Fecha]],SummaryDaily[day],SummaryDaily[gross_profit],0)</f>
        <v>0</v>
      </c>
      <c r="AP488" s="18">
        <f>IFERROR(TableDailySummary[[#This Row],[Utilidad bruta]]/TableDailySummary[[#This Row],[Ventas netas con costo registrado]],0)</f>
        <v>0</v>
      </c>
    </row>
    <row r="489" spans="2:42" x14ac:dyDescent="0.2">
      <c r="B489" s="15" cm="1">
        <f t="array" ref="B489">ParamFechaInicioReporte + (ROW(TableDailySummary[#This Row]) - ROW(TableDailySummary[[#Headers],[Dia]]) - 1)</f>
        <v>45016</v>
      </c>
      <c r="C489" s="6">
        <f>TableDailySummary[[#This Row],[Dia]]</f>
        <v>45016</v>
      </c>
      <c r="D489" s="11">
        <f>_xlfn.XLOOKUP(TableDailySummary[[#This Row],[Fecha]],SummaryDaily[day],SummaryDaily[net_sales],0)</f>
        <v>0</v>
      </c>
      <c r="E489" s="11">
        <f>_xlfn.XLOOKUP(TableDailySummary[[#This Row],[Fecha]],SummaryDaily[day],SummaryDaily[orders],0)</f>
        <v>0</v>
      </c>
      <c r="F489" s="11">
        <f>_xlfn.XLOOKUP(TableDailySummary[[#This Row],[Fecha]],SummaryDaily[day],SummaryDaily[average_order_value],0)</f>
        <v>0</v>
      </c>
      <c r="G489" s="24" cm="1">
        <f t="array" ref="G489">_xlfn.XLOOKUP(TableDailySummary[[#This Row],[Fecha]]&amp;"Total site",ConversionRateByReferral[day]&amp;ConversionRateByReferral[referrer_source],ConversionRateByReferral[conversion_rate],0)</f>
        <v>0</v>
      </c>
      <c r="H489" s="11">
        <f>TableDailySummary[[#This Row],[Órden promedio totales]]*TableDailySummary[[#This Row],[CR totales]]</f>
        <v>0</v>
      </c>
      <c r="I489" s="11">
        <f>_xlfn.XLOOKUP(TableDailySummary[[#This Row],[Fecha]],SummaryDaily[day],SummaryDaily[new_net_sales],0)</f>
        <v>0</v>
      </c>
      <c r="J489" s="11">
        <f>_xlfn.XLOOKUP(TableDailySummary[[#This Row],[Fecha]],SummaryDaily[day],SummaryDaily[new_orders],0)</f>
        <v>0</v>
      </c>
      <c r="K489" s="11">
        <f>_xlfn.XLOOKUP(TableDailySummary[[#This Row],[Fecha]],SummaryDaily[day],SummaryDaily[new_average_order_value],0)</f>
        <v>0</v>
      </c>
      <c r="L489" s="11">
        <f>_xlfn.XLOOKUP(TableDailySummary[[#This Row],[Fecha]],SummaryDaily[day],SummaryDaily[Online Store_net_sales],0)</f>
        <v>0</v>
      </c>
      <c r="M489" s="11">
        <f>_xlfn.XLOOKUP(TableDailySummary[[#This Row],[Fecha]],SummaryDaily[day],SummaryDaily[Online Store_orders],0)</f>
        <v>0</v>
      </c>
      <c r="N489" s="11">
        <f>_xlfn.XLOOKUP(TableDailySummary[[#This Row],[Fecha]],SummaryDaily[day],SummaryDaily[Online Store_average_order_value],0)</f>
        <v>0</v>
      </c>
      <c r="O489" s="11">
        <f>_xlfn.XLOOKUP(TableDailySummary[[#This Row],[Fecha]],SummaryDaily[day],SummaryDaily[Tienda 81_net_sales],0)</f>
        <v>0</v>
      </c>
      <c r="P489" s="11">
        <f>_xlfn.XLOOKUP(TableDailySummary[[#This Row],[Fecha]],SummaryDaily[day],SummaryDaily[Tienda 81_orders],0)</f>
        <v>0</v>
      </c>
      <c r="Q489" s="11">
        <f>_xlfn.XLOOKUP(TableDailySummary[[#This Row],[Fecha]],SummaryDaily[day],SummaryDaily[Tienda 81_average_order_value],0)</f>
        <v>0</v>
      </c>
      <c r="R489" s="11">
        <f>_xlfn.XLOOKUP(TableDailySummary[[#This Row],[Fecha]],SummaryDaily[day],SummaryDaily[Rappi_net_sales],0)</f>
        <v>0</v>
      </c>
      <c r="S489" s="11">
        <f>_xlfn.XLOOKUP(TableDailySummary[[#This Row],[Fecha]],SummaryDaily[day],SummaryDaily[Rappi_orders],0)</f>
        <v>0</v>
      </c>
      <c r="T489" s="11">
        <f>_xlfn.XLOOKUP(TableDailySummary[[#This Row],[Fecha]],SummaryDaily[day],SummaryDaily[Rappi_average_order_value],0)</f>
        <v>0</v>
      </c>
      <c r="U489" s="11">
        <f>_xlfn.XLOOKUP(TableDailySummary[[#This Row],[Fecha]],SummaryDaily[day],SummaryDaily[Corporativo no tienda_net_sales],0)</f>
        <v>0</v>
      </c>
      <c r="V489" s="11">
        <f>_xlfn.XLOOKUP(TableDailySummary[[#This Row],[Fecha]],SummaryDaily[day],SummaryDaily[Corporativo no tienda_orders],0)</f>
        <v>0</v>
      </c>
      <c r="W489" s="11">
        <f>_xlfn.XLOOKUP(TableDailySummary[[#This Row],[Fecha]],SummaryDaily[day],SummaryDaily[Corporativo no tienda_average_order_value],0)</f>
        <v>0</v>
      </c>
      <c r="X489" s="11">
        <f>_xlfn.XLOOKUP(TableDailySummary[[#This Row],[Fecha]],SummaryDaily[day],SummaryDaily[GoogleAdsOperation.Cost],0)</f>
        <v>0</v>
      </c>
      <c r="Y489" s="11">
        <f>SUMIFS(SalesByUTMDaily[google],SalesByUTMDaily[day],TableDailySummary[[#This Row],[Fecha]])</f>
        <v>0</v>
      </c>
      <c r="Z489" s="11">
        <f>_xlfn.XLOOKUP(TableDailySummary[[#This Row],[Fecha]],SummaryDaily[day],SummaryDaily[MetaAdsOperation.spend],0)</f>
        <v>0</v>
      </c>
      <c r="AA489" s="11">
        <f>SUMIFS(SalesByUTMDaily[facebook],SalesByUTMDaily[day],TableDailySummary[[#This Row],[Fecha]])</f>
        <v>0</v>
      </c>
      <c r="AB489" s="11">
        <f>TableDailySummary[[#This Row],[Inversión google ads]]+TableDailySummary[[#This Row],[Inversión meta ads]]</f>
        <v>0</v>
      </c>
      <c r="AC489" s="11">
        <f>TableDailySummary[[#This Row],[Ventas google ads]]+TableDailySummary[[#This Row],[Ventas meta ads]]</f>
        <v>0</v>
      </c>
      <c r="AD489" s="14">
        <f>IFERROR(TableDailySummary[[#This Row],[Ventas publicidad]]/TableDailySummary[[#This Row],[Inversión publicidad]],0)</f>
        <v>0</v>
      </c>
      <c r="AE489" s="14">
        <f>IFERROR(TableDailySummary[[#This Row],[Ventas primer cliente]]/TableDailySummary[[#This Row],[Inversión publicidad]],0)</f>
        <v>0</v>
      </c>
      <c r="AF489" s="14"/>
      <c r="AG489" s="11"/>
      <c r="AM489" s="11">
        <f>_xlfn.XLOOKUP(TableDailySummary[[#This Row],[Fecha]],SummaryDaily[day],SummaryDaily[net_sales_with_cost_recorded],0)</f>
        <v>0</v>
      </c>
      <c r="AN489" s="11">
        <f>_xlfn.XLOOKUP(TableDailySummary[[#This Row],[Fecha]],SummaryDaily[day],SummaryDaily[cost_of_goods_sold],0)</f>
        <v>0</v>
      </c>
      <c r="AO489" s="11">
        <f>_xlfn.XLOOKUP(TableDailySummary[[#This Row],[Fecha]],SummaryDaily[day],SummaryDaily[gross_profit],0)</f>
        <v>0</v>
      </c>
      <c r="AP489" s="18">
        <f>IFERROR(TableDailySummary[[#This Row],[Utilidad bruta]]/TableDailySummary[[#This Row],[Ventas netas con costo registrado]],0)</f>
        <v>0</v>
      </c>
    </row>
    <row r="490" spans="2:42" x14ac:dyDescent="0.2">
      <c r="B490" s="15" cm="1">
        <f t="array" ref="B490">ParamFechaInicioReporte + (ROW(TableDailySummary[#This Row]) - ROW(TableDailySummary[[#Headers],[Dia]]) - 1)</f>
        <v>45017</v>
      </c>
      <c r="C490" s="6">
        <f>TableDailySummary[[#This Row],[Dia]]</f>
        <v>45017</v>
      </c>
      <c r="D490" s="11">
        <f>_xlfn.XLOOKUP(TableDailySummary[[#This Row],[Fecha]],SummaryDaily[day],SummaryDaily[net_sales],0)</f>
        <v>0</v>
      </c>
      <c r="E490" s="11">
        <f>_xlfn.XLOOKUP(TableDailySummary[[#This Row],[Fecha]],SummaryDaily[day],SummaryDaily[orders],0)</f>
        <v>0</v>
      </c>
      <c r="F490" s="11">
        <f>_xlfn.XLOOKUP(TableDailySummary[[#This Row],[Fecha]],SummaryDaily[day],SummaryDaily[average_order_value],0)</f>
        <v>0</v>
      </c>
      <c r="G490" s="24" cm="1">
        <f t="array" ref="G490">_xlfn.XLOOKUP(TableDailySummary[[#This Row],[Fecha]]&amp;"Total site",ConversionRateByReferral[day]&amp;ConversionRateByReferral[referrer_source],ConversionRateByReferral[conversion_rate],0)</f>
        <v>0</v>
      </c>
      <c r="H490" s="11">
        <f>TableDailySummary[[#This Row],[Órden promedio totales]]*TableDailySummary[[#This Row],[CR totales]]</f>
        <v>0</v>
      </c>
      <c r="I490" s="11">
        <f>_xlfn.XLOOKUP(TableDailySummary[[#This Row],[Fecha]],SummaryDaily[day],SummaryDaily[new_net_sales],0)</f>
        <v>0</v>
      </c>
      <c r="J490" s="11">
        <f>_xlfn.XLOOKUP(TableDailySummary[[#This Row],[Fecha]],SummaryDaily[day],SummaryDaily[new_orders],0)</f>
        <v>0</v>
      </c>
      <c r="K490" s="11">
        <f>_xlfn.XLOOKUP(TableDailySummary[[#This Row],[Fecha]],SummaryDaily[day],SummaryDaily[new_average_order_value],0)</f>
        <v>0</v>
      </c>
      <c r="L490" s="11">
        <f>_xlfn.XLOOKUP(TableDailySummary[[#This Row],[Fecha]],SummaryDaily[day],SummaryDaily[Online Store_net_sales],0)</f>
        <v>0</v>
      </c>
      <c r="M490" s="11">
        <f>_xlfn.XLOOKUP(TableDailySummary[[#This Row],[Fecha]],SummaryDaily[day],SummaryDaily[Online Store_orders],0)</f>
        <v>0</v>
      </c>
      <c r="N490" s="11">
        <f>_xlfn.XLOOKUP(TableDailySummary[[#This Row],[Fecha]],SummaryDaily[day],SummaryDaily[Online Store_average_order_value],0)</f>
        <v>0</v>
      </c>
      <c r="O490" s="11">
        <f>_xlfn.XLOOKUP(TableDailySummary[[#This Row],[Fecha]],SummaryDaily[day],SummaryDaily[Tienda 81_net_sales],0)</f>
        <v>0</v>
      </c>
      <c r="P490" s="11">
        <f>_xlfn.XLOOKUP(TableDailySummary[[#This Row],[Fecha]],SummaryDaily[day],SummaryDaily[Tienda 81_orders],0)</f>
        <v>0</v>
      </c>
      <c r="Q490" s="11">
        <f>_xlfn.XLOOKUP(TableDailySummary[[#This Row],[Fecha]],SummaryDaily[day],SummaryDaily[Tienda 81_average_order_value],0)</f>
        <v>0</v>
      </c>
      <c r="R490" s="11">
        <f>_xlfn.XLOOKUP(TableDailySummary[[#This Row],[Fecha]],SummaryDaily[day],SummaryDaily[Rappi_net_sales],0)</f>
        <v>0</v>
      </c>
      <c r="S490" s="11">
        <f>_xlfn.XLOOKUP(TableDailySummary[[#This Row],[Fecha]],SummaryDaily[day],SummaryDaily[Rappi_orders],0)</f>
        <v>0</v>
      </c>
      <c r="T490" s="11">
        <f>_xlfn.XLOOKUP(TableDailySummary[[#This Row],[Fecha]],SummaryDaily[day],SummaryDaily[Rappi_average_order_value],0)</f>
        <v>0</v>
      </c>
      <c r="U490" s="11">
        <f>_xlfn.XLOOKUP(TableDailySummary[[#This Row],[Fecha]],SummaryDaily[day],SummaryDaily[Corporativo no tienda_net_sales],0)</f>
        <v>0</v>
      </c>
      <c r="V490" s="11">
        <f>_xlfn.XLOOKUP(TableDailySummary[[#This Row],[Fecha]],SummaryDaily[day],SummaryDaily[Corporativo no tienda_orders],0)</f>
        <v>0</v>
      </c>
      <c r="W490" s="11">
        <f>_xlfn.XLOOKUP(TableDailySummary[[#This Row],[Fecha]],SummaryDaily[day],SummaryDaily[Corporativo no tienda_average_order_value],0)</f>
        <v>0</v>
      </c>
      <c r="X490" s="11">
        <f>_xlfn.XLOOKUP(TableDailySummary[[#This Row],[Fecha]],SummaryDaily[day],SummaryDaily[GoogleAdsOperation.Cost],0)</f>
        <v>0</v>
      </c>
      <c r="Y490" s="11">
        <f>SUMIFS(SalesByUTMDaily[google],SalesByUTMDaily[day],TableDailySummary[[#This Row],[Fecha]])</f>
        <v>0</v>
      </c>
      <c r="Z490" s="11">
        <f>_xlfn.XLOOKUP(TableDailySummary[[#This Row],[Fecha]],SummaryDaily[day],SummaryDaily[MetaAdsOperation.spend],0)</f>
        <v>0</v>
      </c>
      <c r="AA490" s="11">
        <f>SUMIFS(SalesByUTMDaily[facebook],SalesByUTMDaily[day],TableDailySummary[[#This Row],[Fecha]])</f>
        <v>0</v>
      </c>
      <c r="AB490" s="11">
        <f>TableDailySummary[[#This Row],[Inversión google ads]]+TableDailySummary[[#This Row],[Inversión meta ads]]</f>
        <v>0</v>
      </c>
      <c r="AC490" s="11">
        <f>TableDailySummary[[#This Row],[Ventas google ads]]+TableDailySummary[[#This Row],[Ventas meta ads]]</f>
        <v>0</v>
      </c>
      <c r="AD490" s="14">
        <f>IFERROR(TableDailySummary[[#This Row],[Ventas publicidad]]/TableDailySummary[[#This Row],[Inversión publicidad]],0)</f>
        <v>0</v>
      </c>
      <c r="AE490" s="14">
        <f>IFERROR(TableDailySummary[[#This Row],[Ventas primer cliente]]/TableDailySummary[[#This Row],[Inversión publicidad]],0)</f>
        <v>0</v>
      </c>
      <c r="AF490" s="14"/>
      <c r="AG490" s="11"/>
      <c r="AM490" s="11">
        <f>_xlfn.XLOOKUP(TableDailySummary[[#This Row],[Fecha]],SummaryDaily[day],SummaryDaily[net_sales_with_cost_recorded],0)</f>
        <v>0</v>
      </c>
      <c r="AN490" s="11">
        <f>_xlfn.XLOOKUP(TableDailySummary[[#This Row],[Fecha]],SummaryDaily[day],SummaryDaily[cost_of_goods_sold],0)</f>
        <v>0</v>
      </c>
      <c r="AO490" s="11">
        <f>_xlfn.XLOOKUP(TableDailySummary[[#This Row],[Fecha]],SummaryDaily[day],SummaryDaily[gross_profit],0)</f>
        <v>0</v>
      </c>
      <c r="AP490" s="18">
        <f>IFERROR(TableDailySummary[[#This Row],[Utilidad bruta]]/TableDailySummary[[#This Row],[Ventas netas con costo registrado]],0)</f>
        <v>0</v>
      </c>
    </row>
    <row r="491" spans="2:42" x14ac:dyDescent="0.2">
      <c r="B491" s="15" cm="1">
        <f t="array" ref="B491">ParamFechaInicioReporte + (ROW(TableDailySummary[#This Row]) - ROW(TableDailySummary[[#Headers],[Dia]]) - 1)</f>
        <v>45018</v>
      </c>
      <c r="C491" s="6">
        <f>TableDailySummary[[#This Row],[Dia]]</f>
        <v>45018</v>
      </c>
      <c r="D491" s="11">
        <f>_xlfn.XLOOKUP(TableDailySummary[[#This Row],[Fecha]],SummaryDaily[day],SummaryDaily[net_sales],0)</f>
        <v>0</v>
      </c>
      <c r="E491" s="11">
        <f>_xlfn.XLOOKUP(TableDailySummary[[#This Row],[Fecha]],SummaryDaily[day],SummaryDaily[orders],0)</f>
        <v>0</v>
      </c>
      <c r="F491" s="11">
        <f>_xlfn.XLOOKUP(TableDailySummary[[#This Row],[Fecha]],SummaryDaily[day],SummaryDaily[average_order_value],0)</f>
        <v>0</v>
      </c>
      <c r="G491" s="24" cm="1">
        <f t="array" ref="G491">_xlfn.XLOOKUP(TableDailySummary[[#This Row],[Fecha]]&amp;"Total site",ConversionRateByReferral[day]&amp;ConversionRateByReferral[referrer_source],ConversionRateByReferral[conversion_rate],0)</f>
        <v>0</v>
      </c>
      <c r="H491" s="11">
        <f>TableDailySummary[[#This Row],[Órden promedio totales]]*TableDailySummary[[#This Row],[CR totales]]</f>
        <v>0</v>
      </c>
      <c r="I491" s="11">
        <f>_xlfn.XLOOKUP(TableDailySummary[[#This Row],[Fecha]],SummaryDaily[day],SummaryDaily[new_net_sales],0)</f>
        <v>0</v>
      </c>
      <c r="J491" s="11">
        <f>_xlfn.XLOOKUP(TableDailySummary[[#This Row],[Fecha]],SummaryDaily[day],SummaryDaily[new_orders],0)</f>
        <v>0</v>
      </c>
      <c r="K491" s="11">
        <f>_xlfn.XLOOKUP(TableDailySummary[[#This Row],[Fecha]],SummaryDaily[day],SummaryDaily[new_average_order_value],0)</f>
        <v>0</v>
      </c>
      <c r="L491" s="11">
        <f>_xlfn.XLOOKUP(TableDailySummary[[#This Row],[Fecha]],SummaryDaily[day],SummaryDaily[Online Store_net_sales],0)</f>
        <v>0</v>
      </c>
      <c r="M491" s="11">
        <f>_xlfn.XLOOKUP(TableDailySummary[[#This Row],[Fecha]],SummaryDaily[day],SummaryDaily[Online Store_orders],0)</f>
        <v>0</v>
      </c>
      <c r="N491" s="11">
        <f>_xlfn.XLOOKUP(TableDailySummary[[#This Row],[Fecha]],SummaryDaily[day],SummaryDaily[Online Store_average_order_value],0)</f>
        <v>0</v>
      </c>
      <c r="O491" s="11">
        <f>_xlfn.XLOOKUP(TableDailySummary[[#This Row],[Fecha]],SummaryDaily[day],SummaryDaily[Tienda 81_net_sales],0)</f>
        <v>0</v>
      </c>
      <c r="P491" s="11">
        <f>_xlfn.XLOOKUP(TableDailySummary[[#This Row],[Fecha]],SummaryDaily[day],SummaryDaily[Tienda 81_orders],0)</f>
        <v>0</v>
      </c>
      <c r="Q491" s="11">
        <f>_xlfn.XLOOKUP(TableDailySummary[[#This Row],[Fecha]],SummaryDaily[day],SummaryDaily[Tienda 81_average_order_value],0)</f>
        <v>0</v>
      </c>
      <c r="R491" s="11">
        <f>_xlfn.XLOOKUP(TableDailySummary[[#This Row],[Fecha]],SummaryDaily[day],SummaryDaily[Rappi_net_sales],0)</f>
        <v>0</v>
      </c>
      <c r="S491" s="11">
        <f>_xlfn.XLOOKUP(TableDailySummary[[#This Row],[Fecha]],SummaryDaily[day],SummaryDaily[Rappi_orders],0)</f>
        <v>0</v>
      </c>
      <c r="T491" s="11">
        <f>_xlfn.XLOOKUP(TableDailySummary[[#This Row],[Fecha]],SummaryDaily[day],SummaryDaily[Rappi_average_order_value],0)</f>
        <v>0</v>
      </c>
      <c r="U491" s="11">
        <f>_xlfn.XLOOKUP(TableDailySummary[[#This Row],[Fecha]],SummaryDaily[day],SummaryDaily[Corporativo no tienda_net_sales],0)</f>
        <v>0</v>
      </c>
      <c r="V491" s="11">
        <f>_xlfn.XLOOKUP(TableDailySummary[[#This Row],[Fecha]],SummaryDaily[day],SummaryDaily[Corporativo no tienda_orders],0)</f>
        <v>0</v>
      </c>
      <c r="W491" s="11">
        <f>_xlfn.XLOOKUP(TableDailySummary[[#This Row],[Fecha]],SummaryDaily[day],SummaryDaily[Corporativo no tienda_average_order_value],0)</f>
        <v>0</v>
      </c>
      <c r="X491" s="11">
        <f>_xlfn.XLOOKUP(TableDailySummary[[#This Row],[Fecha]],SummaryDaily[day],SummaryDaily[GoogleAdsOperation.Cost],0)</f>
        <v>0</v>
      </c>
      <c r="Y491" s="11">
        <f>SUMIFS(SalesByUTMDaily[google],SalesByUTMDaily[day],TableDailySummary[[#This Row],[Fecha]])</f>
        <v>0</v>
      </c>
      <c r="Z491" s="11">
        <f>_xlfn.XLOOKUP(TableDailySummary[[#This Row],[Fecha]],SummaryDaily[day],SummaryDaily[MetaAdsOperation.spend],0)</f>
        <v>0</v>
      </c>
      <c r="AA491" s="11">
        <f>SUMIFS(SalesByUTMDaily[facebook],SalesByUTMDaily[day],TableDailySummary[[#This Row],[Fecha]])</f>
        <v>0</v>
      </c>
      <c r="AB491" s="11">
        <f>TableDailySummary[[#This Row],[Inversión google ads]]+TableDailySummary[[#This Row],[Inversión meta ads]]</f>
        <v>0</v>
      </c>
      <c r="AC491" s="11">
        <f>TableDailySummary[[#This Row],[Ventas google ads]]+TableDailySummary[[#This Row],[Ventas meta ads]]</f>
        <v>0</v>
      </c>
      <c r="AD491" s="14">
        <f>IFERROR(TableDailySummary[[#This Row],[Ventas publicidad]]/TableDailySummary[[#This Row],[Inversión publicidad]],0)</f>
        <v>0</v>
      </c>
      <c r="AE491" s="14">
        <f>IFERROR(TableDailySummary[[#This Row],[Ventas primer cliente]]/TableDailySummary[[#This Row],[Inversión publicidad]],0)</f>
        <v>0</v>
      </c>
      <c r="AF491" s="14"/>
      <c r="AG491" s="11"/>
      <c r="AM491" s="11">
        <f>_xlfn.XLOOKUP(TableDailySummary[[#This Row],[Fecha]],SummaryDaily[day],SummaryDaily[net_sales_with_cost_recorded],0)</f>
        <v>0</v>
      </c>
      <c r="AN491" s="11">
        <f>_xlfn.XLOOKUP(TableDailySummary[[#This Row],[Fecha]],SummaryDaily[day],SummaryDaily[cost_of_goods_sold],0)</f>
        <v>0</v>
      </c>
      <c r="AO491" s="11">
        <f>_xlfn.XLOOKUP(TableDailySummary[[#This Row],[Fecha]],SummaryDaily[day],SummaryDaily[gross_profit],0)</f>
        <v>0</v>
      </c>
      <c r="AP491" s="18">
        <f>IFERROR(TableDailySummary[[#This Row],[Utilidad bruta]]/TableDailySummary[[#This Row],[Ventas netas con costo registrado]],0)</f>
        <v>0</v>
      </c>
    </row>
    <row r="492" spans="2:42" x14ac:dyDescent="0.2">
      <c r="B492" s="15" cm="1">
        <f t="array" ref="B492">ParamFechaInicioReporte + (ROW(TableDailySummary[#This Row]) - ROW(TableDailySummary[[#Headers],[Dia]]) - 1)</f>
        <v>45019</v>
      </c>
      <c r="C492" s="6">
        <f>TableDailySummary[[#This Row],[Dia]]</f>
        <v>45019</v>
      </c>
      <c r="D492" s="11">
        <f>_xlfn.XLOOKUP(TableDailySummary[[#This Row],[Fecha]],SummaryDaily[day],SummaryDaily[net_sales],0)</f>
        <v>0</v>
      </c>
      <c r="E492" s="11">
        <f>_xlfn.XLOOKUP(TableDailySummary[[#This Row],[Fecha]],SummaryDaily[day],SummaryDaily[orders],0)</f>
        <v>0</v>
      </c>
      <c r="F492" s="11">
        <f>_xlfn.XLOOKUP(TableDailySummary[[#This Row],[Fecha]],SummaryDaily[day],SummaryDaily[average_order_value],0)</f>
        <v>0</v>
      </c>
      <c r="G492" s="24" cm="1">
        <f t="array" ref="G492">_xlfn.XLOOKUP(TableDailySummary[[#This Row],[Fecha]]&amp;"Total site",ConversionRateByReferral[day]&amp;ConversionRateByReferral[referrer_source],ConversionRateByReferral[conversion_rate],0)</f>
        <v>0</v>
      </c>
      <c r="H492" s="11">
        <f>TableDailySummary[[#This Row],[Órden promedio totales]]*TableDailySummary[[#This Row],[CR totales]]</f>
        <v>0</v>
      </c>
      <c r="I492" s="11">
        <f>_xlfn.XLOOKUP(TableDailySummary[[#This Row],[Fecha]],SummaryDaily[day],SummaryDaily[new_net_sales],0)</f>
        <v>0</v>
      </c>
      <c r="J492" s="11">
        <f>_xlfn.XLOOKUP(TableDailySummary[[#This Row],[Fecha]],SummaryDaily[day],SummaryDaily[new_orders],0)</f>
        <v>0</v>
      </c>
      <c r="K492" s="11">
        <f>_xlfn.XLOOKUP(TableDailySummary[[#This Row],[Fecha]],SummaryDaily[day],SummaryDaily[new_average_order_value],0)</f>
        <v>0</v>
      </c>
      <c r="L492" s="11">
        <f>_xlfn.XLOOKUP(TableDailySummary[[#This Row],[Fecha]],SummaryDaily[day],SummaryDaily[Online Store_net_sales],0)</f>
        <v>0</v>
      </c>
      <c r="M492" s="11">
        <f>_xlfn.XLOOKUP(TableDailySummary[[#This Row],[Fecha]],SummaryDaily[day],SummaryDaily[Online Store_orders],0)</f>
        <v>0</v>
      </c>
      <c r="N492" s="11">
        <f>_xlfn.XLOOKUP(TableDailySummary[[#This Row],[Fecha]],SummaryDaily[day],SummaryDaily[Online Store_average_order_value],0)</f>
        <v>0</v>
      </c>
      <c r="O492" s="11">
        <f>_xlfn.XLOOKUP(TableDailySummary[[#This Row],[Fecha]],SummaryDaily[day],SummaryDaily[Tienda 81_net_sales],0)</f>
        <v>0</v>
      </c>
      <c r="P492" s="11">
        <f>_xlfn.XLOOKUP(TableDailySummary[[#This Row],[Fecha]],SummaryDaily[day],SummaryDaily[Tienda 81_orders],0)</f>
        <v>0</v>
      </c>
      <c r="Q492" s="11">
        <f>_xlfn.XLOOKUP(TableDailySummary[[#This Row],[Fecha]],SummaryDaily[day],SummaryDaily[Tienda 81_average_order_value],0)</f>
        <v>0</v>
      </c>
      <c r="R492" s="11">
        <f>_xlfn.XLOOKUP(TableDailySummary[[#This Row],[Fecha]],SummaryDaily[day],SummaryDaily[Rappi_net_sales],0)</f>
        <v>0</v>
      </c>
      <c r="S492" s="11">
        <f>_xlfn.XLOOKUP(TableDailySummary[[#This Row],[Fecha]],SummaryDaily[day],SummaryDaily[Rappi_orders],0)</f>
        <v>0</v>
      </c>
      <c r="T492" s="11">
        <f>_xlfn.XLOOKUP(TableDailySummary[[#This Row],[Fecha]],SummaryDaily[day],SummaryDaily[Rappi_average_order_value],0)</f>
        <v>0</v>
      </c>
      <c r="U492" s="11">
        <f>_xlfn.XLOOKUP(TableDailySummary[[#This Row],[Fecha]],SummaryDaily[day],SummaryDaily[Corporativo no tienda_net_sales],0)</f>
        <v>0</v>
      </c>
      <c r="V492" s="11">
        <f>_xlfn.XLOOKUP(TableDailySummary[[#This Row],[Fecha]],SummaryDaily[day],SummaryDaily[Corporativo no tienda_orders],0)</f>
        <v>0</v>
      </c>
      <c r="W492" s="11">
        <f>_xlfn.XLOOKUP(TableDailySummary[[#This Row],[Fecha]],SummaryDaily[day],SummaryDaily[Corporativo no tienda_average_order_value],0)</f>
        <v>0</v>
      </c>
      <c r="X492" s="11">
        <f>_xlfn.XLOOKUP(TableDailySummary[[#This Row],[Fecha]],SummaryDaily[day],SummaryDaily[GoogleAdsOperation.Cost],0)</f>
        <v>0</v>
      </c>
      <c r="Y492" s="11">
        <f>SUMIFS(SalesByUTMDaily[google],SalesByUTMDaily[day],TableDailySummary[[#This Row],[Fecha]])</f>
        <v>0</v>
      </c>
      <c r="Z492" s="11">
        <f>_xlfn.XLOOKUP(TableDailySummary[[#This Row],[Fecha]],SummaryDaily[day],SummaryDaily[MetaAdsOperation.spend],0)</f>
        <v>0</v>
      </c>
      <c r="AA492" s="11">
        <f>SUMIFS(SalesByUTMDaily[facebook],SalesByUTMDaily[day],TableDailySummary[[#This Row],[Fecha]])</f>
        <v>0</v>
      </c>
      <c r="AB492" s="11">
        <f>TableDailySummary[[#This Row],[Inversión google ads]]+TableDailySummary[[#This Row],[Inversión meta ads]]</f>
        <v>0</v>
      </c>
      <c r="AC492" s="11">
        <f>TableDailySummary[[#This Row],[Ventas google ads]]+TableDailySummary[[#This Row],[Ventas meta ads]]</f>
        <v>0</v>
      </c>
      <c r="AD492" s="14">
        <f>IFERROR(TableDailySummary[[#This Row],[Ventas publicidad]]/TableDailySummary[[#This Row],[Inversión publicidad]],0)</f>
        <v>0</v>
      </c>
      <c r="AE492" s="14">
        <f>IFERROR(TableDailySummary[[#This Row],[Ventas primer cliente]]/TableDailySummary[[#This Row],[Inversión publicidad]],0)</f>
        <v>0</v>
      </c>
      <c r="AF492" s="14"/>
      <c r="AG492" s="11"/>
      <c r="AM492" s="11">
        <f>_xlfn.XLOOKUP(TableDailySummary[[#This Row],[Fecha]],SummaryDaily[day],SummaryDaily[net_sales_with_cost_recorded],0)</f>
        <v>0</v>
      </c>
      <c r="AN492" s="11">
        <f>_xlfn.XLOOKUP(TableDailySummary[[#This Row],[Fecha]],SummaryDaily[day],SummaryDaily[cost_of_goods_sold],0)</f>
        <v>0</v>
      </c>
      <c r="AO492" s="11">
        <f>_xlfn.XLOOKUP(TableDailySummary[[#This Row],[Fecha]],SummaryDaily[day],SummaryDaily[gross_profit],0)</f>
        <v>0</v>
      </c>
      <c r="AP492" s="18">
        <f>IFERROR(TableDailySummary[[#This Row],[Utilidad bruta]]/TableDailySummary[[#This Row],[Ventas netas con costo registrado]],0)</f>
        <v>0</v>
      </c>
    </row>
    <row r="493" spans="2:42" x14ac:dyDescent="0.2">
      <c r="B493" s="15" cm="1">
        <f t="array" ref="B493">ParamFechaInicioReporte + (ROW(TableDailySummary[#This Row]) - ROW(TableDailySummary[[#Headers],[Dia]]) - 1)</f>
        <v>45020</v>
      </c>
      <c r="C493" s="6">
        <f>TableDailySummary[[#This Row],[Dia]]</f>
        <v>45020</v>
      </c>
      <c r="D493" s="11">
        <f>_xlfn.XLOOKUP(TableDailySummary[[#This Row],[Fecha]],SummaryDaily[day],SummaryDaily[net_sales],0)</f>
        <v>0</v>
      </c>
      <c r="E493" s="11">
        <f>_xlfn.XLOOKUP(TableDailySummary[[#This Row],[Fecha]],SummaryDaily[day],SummaryDaily[orders],0)</f>
        <v>0</v>
      </c>
      <c r="F493" s="11">
        <f>_xlfn.XLOOKUP(TableDailySummary[[#This Row],[Fecha]],SummaryDaily[day],SummaryDaily[average_order_value],0)</f>
        <v>0</v>
      </c>
      <c r="G493" s="24" cm="1">
        <f t="array" ref="G493">_xlfn.XLOOKUP(TableDailySummary[[#This Row],[Fecha]]&amp;"Total site",ConversionRateByReferral[day]&amp;ConversionRateByReferral[referrer_source],ConversionRateByReferral[conversion_rate],0)</f>
        <v>0</v>
      </c>
      <c r="H493" s="11">
        <f>TableDailySummary[[#This Row],[Órden promedio totales]]*TableDailySummary[[#This Row],[CR totales]]</f>
        <v>0</v>
      </c>
      <c r="I493" s="11">
        <f>_xlfn.XLOOKUP(TableDailySummary[[#This Row],[Fecha]],SummaryDaily[day],SummaryDaily[new_net_sales],0)</f>
        <v>0</v>
      </c>
      <c r="J493" s="11">
        <f>_xlfn.XLOOKUP(TableDailySummary[[#This Row],[Fecha]],SummaryDaily[day],SummaryDaily[new_orders],0)</f>
        <v>0</v>
      </c>
      <c r="K493" s="11">
        <f>_xlfn.XLOOKUP(TableDailySummary[[#This Row],[Fecha]],SummaryDaily[day],SummaryDaily[new_average_order_value],0)</f>
        <v>0</v>
      </c>
      <c r="L493" s="11">
        <f>_xlfn.XLOOKUP(TableDailySummary[[#This Row],[Fecha]],SummaryDaily[day],SummaryDaily[Online Store_net_sales],0)</f>
        <v>0</v>
      </c>
      <c r="M493" s="11">
        <f>_xlfn.XLOOKUP(TableDailySummary[[#This Row],[Fecha]],SummaryDaily[day],SummaryDaily[Online Store_orders],0)</f>
        <v>0</v>
      </c>
      <c r="N493" s="11">
        <f>_xlfn.XLOOKUP(TableDailySummary[[#This Row],[Fecha]],SummaryDaily[day],SummaryDaily[Online Store_average_order_value],0)</f>
        <v>0</v>
      </c>
      <c r="O493" s="11">
        <f>_xlfn.XLOOKUP(TableDailySummary[[#This Row],[Fecha]],SummaryDaily[day],SummaryDaily[Tienda 81_net_sales],0)</f>
        <v>0</v>
      </c>
      <c r="P493" s="11">
        <f>_xlfn.XLOOKUP(TableDailySummary[[#This Row],[Fecha]],SummaryDaily[day],SummaryDaily[Tienda 81_orders],0)</f>
        <v>0</v>
      </c>
      <c r="Q493" s="11">
        <f>_xlfn.XLOOKUP(TableDailySummary[[#This Row],[Fecha]],SummaryDaily[day],SummaryDaily[Tienda 81_average_order_value],0)</f>
        <v>0</v>
      </c>
      <c r="R493" s="11">
        <f>_xlfn.XLOOKUP(TableDailySummary[[#This Row],[Fecha]],SummaryDaily[day],SummaryDaily[Rappi_net_sales],0)</f>
        <v>0</v>
      </c>
      <c r="S493" s="11">
        <f>_xlfn.XLOOKUP(TableDailySummary[[#This Row],[Fecha]],SummaryDaily[day],SummaryDaily[Rappi_orders],0)</f>
        <v>0</v>
      </c>
      <c r="T493" s="11">
        <f>_xlfn.XLOOKUP(TableDailySummary[[#This Row],[Fecha]],SummaryDaily[day],SummaryDaily[Rappi_average_order_value],0)</f>
        <v>0</v>
      </c>
      <c r="U493" s="11">
        <f>_xlfn.XLOOKUP(TableDailySummary[[#This Row],[Fecha]],SummaryDaily[day],SummaryDaily[Corporativo no tienda_net_sales],0)</f>
        <v>0</v>
      </c>
      <c r="V493" s="11">
        <f>_xlfn.XLOOKUP(TableDailySummary[[#This Row],[Fecha]],SummaryDaily[day],SummaryDaily[Corporativo no tienda_orders],0)</f>
        <v>0</v>
      </c>
      <c r="W493" s="11">
        <f>_xlfn.XLOOKUP(TableDailySummary[[#This Row],[Fecha]],SummaryDaily[day],SummaryDaily[Corporativo no tienda_average_order_value],0)</f>
        <v>0</v>
      </c>
      <c r="X493" s="11">
        <f>_xlfn.XLOOKUP(TableDailySummary[[#This Row],[Fecha]],SummaryDaily[day],SummaryDaily[GoogleAdsOperation.Cost],0)</f>
        <v>0</v>
      </c>
      <c r="Y493" s="11">
        <f>SUMIFS(SalesByUTMDaily[google],SalesByUTMDaily[day],TableDailySummary[[#This Row],[Fecha]])</f>
        <v>0</v>
      </c>
      <c r="Z493" s="11">
        <f>_xlfn.XLOOKUP(TableDailySummary[[#This Row],[Fecha]],SummaryDaily[day],SummaryDaily[MetaAdsOperation.spend],0)</f>
        <v>0</v>
      </c>
      <c r="AA493" s="11">
        <f>SUMIFS(SalesByUTMDaily[facebook],SalesByUTMDaily[day],TableDailySummary[[#This Row],[Fecha]])</f>
        <v>0</v>
      </c>
      <c r="AB493" s="11">
        <f>TableDailySummary[[#This Row],[Inversión google ads]]+TableDailySummary[[#This Row],[Inversión meta ads]]</f>
        <v>0</v>
      </c>
      <c r="AC493" s="11">
        <f>TableDailySummary[[#This Row],[Ventas google ads]]+TableDailySummary[[#This Row],[Ventas meta ads]]</f>
        <v>0</v>
      </c>
      <c r="AD493" s="14">
        <f>IFERROR(TableDailySummary[[#This Row],[Ventas publicidad]]/TableDailySummary[[#This Row],[Inversión publicidad]],0)</f>
        <v>0</v>
      </c>
      <c r="AE493" s="14">
        <f>IFERROR(TableDailySummary[[#This Row],[Ventas primer cliente]]/TableDailySummary[[#This Row],[Inversión publicidad]],0)</f>
        <v>0</v>
      </c>
      <c r="AF493" s="14"/>
      <c r="AG493" s="11"/>
      <c r="AM493" s="11">
        <f>_xlfn.XLOOKUP(TableDailySummary[[#This Row],[Fecha]],SummaryDaily[day],SummaryDaily[net_sales_with_cost_recorded],0)</f>
        <v>0</v>
      </c>
      <c r="AN493" s="11">
        <f>_xlfn.XLOOKUP(TableDailySummary[[#This Row],[Fecha]],SummaryDaily[day],SummaryDaily[cost_of_goods_sold],0)</f>
        <v>0</v>
      </c>
      <c r="AO493" s="11">
        <f>_xlfn.XLOOKUP(TableDailySummary[[#This Row],[Fecha]],SummaryDaily[day],SummaryDaily[gross_profit],0)</f>
        <v>0</v>
      </c>
      <c r="AP493" s="18">
        <f>IFERROR(TableDailySummary[[#This Row],[Utilidad bruta]]/TableDailySummary[[#This Row],[Ventas netas con costo registrado]],0)</f>
        <v>0</v>
      </c>
    </row>
    <row r="494" spans="2:42" x14ac:dyDescent="0.2">
      <c r="B494" s="15" cm="1">
        <f t="array" ref="B494">ParamFechaInicioReporte + (ROW(TableDailySummary[#This Row]) - ROW(TableDailySummary[[#Headers],[Dia]]) - 1)</f>
        <v>45021</v>
      </c>
      <c r="C494" s="6">
        <f>TableDailySummary[[#This Row],[Dia]]</f>
        <v>45021</v>
      </c>
      <c r="D494" s="11">
        <f>_xlfn.XLOOKUP(TableDailySummary[[#This Row],[Fecha]],SummaryDaily[day],SummaryDaily[net_sales],0)</f>
        <v>0</v>
      </c>
      <c r="E494" s="11">
        <f>_xlfn.XLOOKUP(TableDailySummary[[#This Row],[Fecha]],SummaryDaily[day],SummaryDaily[orders],0)</f>
        <v>0</v>
      </c>
      <c r="F494" s="11">
        <f>_xlfn.XLOOKUP(TableDailySummary[[#This Row],[Fecha]],SummaryDaily[day],SummaryDaily[average_order_value],0)</f>
        <v>0</v>
      </c>
      <c r="G494" s="24" cm="1">
        <f t="array" ref="G494">_xlfn.XLOOKUP(TableDailySummary[[#This Row],[Fecha]]&amp;"Total site",ConversionRateByReferral[day]&amp;ConversionRateByReferral[referrer_source],ConversionRateByReferral[conversion_rate],0)</f>
        <v>0</v>
      </c>
      <c r="H494" s="11">
        <f>TableDailySummary[[#This Row],[Órden promedio totales]]*TableDailySummary[[#This Row],[CR totales]]</f>
        <v>0</v>
      </c>
      <c r="I494" s="11">
        <f>_xlfn.XLOOKUP(TableDailySummary[[#This Row],[Fecha]],SummaryDaily[day],SummaryDaily[new_net_sales],0)</f>
        <v>0</v>
      </c>
      <c r="J494" s="11">
        <f>_xlfn.XLOOKUP(TableDailySummary[[#This Row],[Fecha]],SummaryDaily[day],SummaryDaily[new_orders],0)</f>
        <v>0</v>
      </c>
      <c r="K494" s="11">
        <f>_xlfn.XLOOKUP(TableDailySummary[[#This Row],[Fecha]],SummaryDaily[day],SummaryDaily[new_average_order_value],0)</f>
        <v>0</v>
      </c>
      <c r="L494" s="11">
        <f>_xlfn.XLOOKUP(TableDailySummary[[#This Row],[Fecha]],SummaryDaily[day],SummaryDaily[Online Store_net_sales],0)</f>
        <v>0</v>
      </c>
      <c r="M494" s="11">
        <f>_xlfn.XLOOKUP(TableDailySummary[[#This Row],[Fecha]],SummaryDaily[day],SummaryDaily[Online Store_orders],0)</f>
        <v>0</v>
      </c>
      <c r="N494" s="11">
        <f>_xlfn.XLOOKUP(TableDailySummary[[#This Row],[Fecha]],SummaryDaily[day],SummaryDaily[Online Store_average_order_value],0)</f>
        <v>0</v>
      </c>
      <c r="O494" s="11">
        <f>_xlfn.XLOOKUP(TableDailySummary[[#This Row],[Fecha]],SummaryDaily[day],SummaryDaily[Tienda 81_net_sales],0)</f>
        <v>0</v>
      </c>
      <c r="P494" s="11">
        <f>_xlfn.XLOOKUP(TableDailySummary[[#This Row],[Fecha]],SummaryDaily[day],SummaryDaily[Tienda 81_orders],0)</f>
        <v>0</v>
      </c>
      <c r="Q494" s="11">
        <f>_xlfn.XLOOKUP(TableDailySummary[[#This Row],[Fecha]],SummaryDaily[day],SummaryDaily[Tienda 81_average_order_value],0)</f>
        <v>0</v>
      </c>
      <c r="R494" s="11">
        <f>_xlfn.XLOOKUP(TableDailySummary[[#This Row],[Fecha]],SummaryDaily[day],SummaryDaily[Rappi_net_sales],0)</f>
        <v>0</v>
      </c>
      <c r="S494" s="11">
        <f>_xlfn.XLOOKUP(TableDailySummary[[#This Row],[Fecha]],SummaryDaily[day],SummaryDaily[Rappi_orders],0)</f>
        <v>0</v>
      </c>
      <c r="T494" s="11">
        <f>_xlfn.XLOOKUP(TableDailySummary[[#This Row],[Fecha]],SummaryDaily[day],SummaryDaily[Rappi_average_order_value],0)</f>
        <v>0</v>
      </c>
      <c r="U494" s="11">
        <f>_xlfn.XLOOKUP(TableDailySummary[[#This Row],[Fecha]],SummaryDaily[day],SummaryDaily[Corporativo no tienda_net_sales],0)</f>
        <v>0</v>
      </c>
      <c r="V494" s="11">
        <f>_xlfn.XLOOKUP(TableDailySummary[[#This Row],[Fecha]],SummaryDaily[day],SummaryDaily[Corporativo no tienda_orders],0)</f>
        <v>0</v>
      </c>
      <c r="W494" s="11">
        <f>_xlfn.XLOOKUP(TableDailySummary[[#This Row],[Fecha]],SummaryDaily[day],SummaryDaily[Corporativo no tienda_average_order_value],0)</f>
        <v>0</v>
      </c>
      <c r="X494" s="11">
        <f>_xlfn.XLOOKUP(TableDailySummary[[#This Row],[Fecha]],SummaryDaily[day],SummaryDaily[GoogleAdsOperation.Cost],0)</f>
        <v>0</v>
      </c>
      <c r="Y494" s="11">
        <f>SUMIFS(SalesByUTMDaily[google],SalesByUTMDaily[day],TableDailySummary[[#This Row],[Fecha]])</f>
        <v>0</v>
      </c>
      <c r="Z494" s="11">
        <f>_xlfn.XLOOKUP(TableDailySummary[[#This Row],[Fecha]],SummaryDaily[day],SummaryDaily[MetaAdsOperation.spend],0)</f>
        <v>0</v>
      </c>
      <c r="AA494" s="11">
        <f>SUMIFS(SalesByUTMDaily[facebook],SalesByUTMDaily[day],TableDailySummary[[#This Row],[Fecha]])</f>
        <v>0</v>
      </c>
      <c r="AB494" s="11">
        <f>TableDailySummary[[#This Row],[Inversión google ads]]+TableDailySummary[[#This Row],[Inversión meta ads]]</f>
        <v>0</v>
      </c>
      <c r="AC494" s="11">
        <f>TableDailySummary[[#This Row],[Ventas google ads]]+TableDailySummary[[#This Row],[Ventas meta ads]]</f>
        <v>0</v>
      </c>
      <c r="AD494" s="14">
        <f>IFERROR(TableDailySummary[[#This Row],[Ventas publicidad]]/TableDailySummary[[#This Row],[Inversión publicidad]],0)</f>
        <v>0</v>
      </c>
      <c r="AE494" s="14">
        <f>IFERROR(TableDailySummary[[#This Row],[Ventas primer cliente]]/TableDailySummary[[#This Row],[Inversión publicidad]],0)</f>
        <v>0</v>
      </c>
      <c r="AF494" s="14"/>
      <c r="AG494" s="11"/>
      <c r="AM494" s="11">
        <f>_xlfn.XLOOKUP(TableDailySummary[[#This Row],[Fecha]],SummaryDaily[day],SummaryDaily[net_sales_with_cost_recorded],0)</f>
        <v>0</v>
      </c>
      <c r="AN494" s="11">
        <f>_xlfn.XLOOKUP(TableDailySummary[[#This Row],[Fecha]],SummaryDaily[day],SummaryDaily[cost_of_goods_sold],0)</f>
        <v>0</v>
      </c>
      <c r="AO494" s="11">
        <f>_xlfn.XLOOKUP(TableDailySummary[[#This Row],[Fecha]],SummaryDaily[day],SummaryDaily[gross_profit],0)</f>
        <v>0</v>
      </c>
      <c r="AP494" s="18">
        <f>IFERROR(TableDailySummary[[#This Row],[Utilidad bruta]]/TableDailySummary[[#This Row],[Ventas netas con costo registrado]],0)</f>
        <v>0</v>
      </c>
    </row>
    <row r="495" spans="2:42" x14ac:dyDescent="0.2">
      <c r="B495" s="15" cm="1">
        <f t="array" ref="B495">ParamFechaInicioReporte + (ROW(TableDailySummary[#This Row]) - ROW(TableDailySummary[[#Headers],[Dia]]) - 1)</f>
        <v>45022</v>
      </c>
      <c r="C495" s="6">
        <f>TableDailySummary[[#This Row],[Dia]]</f>
        <v>45022</v>
      </c>
      <c r="D495" s="11">
        <f>_xlfn.XLOOKUP(TableDailySummary[[#This Row],[Fecha]],SummaryDaily[day],SummaryDaily[net_sales],0)</f>
        <v>0</v>
      </c>
      <c r="E495" s="11">
        <f>_xlfn.XLOOKUP(TableDailySummary[[#This Row],[Fecha]],SummaryDaily[day],SummaryDaily[orders],0)</f>
        <v>0</v>
      </c>
      <c r="F495" s="11">
        <f>_xlfn.XLOOKUP(TableDailySummary[[#This Row],[Fecha]],SummaryDaily[day],SummaryDaily[average_order_value],0)</f>
        <v>0</v>
      </c>
      <c r="G495" s="24" cm="1">
        <f t="array" ref="G495">_xlfn.XLOOKUP(TableDailySummary[[#This Row],[Fecha]]&amp;"Total site",ConversionRateByReferral[day]&amp;ConversionRateByReferral[referrer_source],ConversionRateByReferral[conversion_rate],0)</f>
        <v>0</v>
      </c>
      <c r="H495" s="11">
        <f>TableDailySummary[[#This Row],[Órden promedio totales]]*TableDailySummary[[#This Row],[CR totales]]</f>
        <v>0</v>
      </c>
      <c r="I495" s="11">
        <f>_xlfn.XLOOKUP(TableDailySummary[[#This Row],[Fecha]],SummaryDaily[day],SummaryDaily[new_net_sales],0)</f>
        <v>0</v>
      </c>
      <c r="J495" s="11">
        <f>_xlfn.XLOOKUP(TableDailySummary[[#This Row],[Fecha]],SummaryDaily[day],SummaryDaily[new_orders],0)</f>
        <v>0</v>
      </c>
      <c r="K495" s="11">
        <f>_xlfn.XLOOKUP(TableDailySummary[[#This Row],[Fecha]],SummaryDaily[day],SummaryDaily[new_average_order_value],0)</f>
        <v>0</v>
      </c>
      <c r="L495" s="11">
        <f>_xlfn.XLOOKUP(TableDailySummary[[#This Row],[Fecha]],SummaryDaily[day],SummaryDaily[Online Store_net_sales],0)</f>
        <v>0</v>
      </c>
      <c r="M495" s="11">
        <f>_xlfn.XLOOKUP(TableDailySummary[[#This Row],[Fecha]],SummaryDaily[day],SummaryDaily[Online Store_orders],0)</f>
        <v>0</v>
      </c>
      <c r="N495" s="11">
        <f>_xlfn.XLOOKUP(TableDailySummary[[#This Row],[Fecha]],SummaryDaily[day],SummaryDaily[Online Store_average_order_value],0)</f>
        <v>0</v>
      </c>
      <c r="O495" s="11">
        <f>_xlfn.XLOOKUP(TableDailySummary[[#This Row],[Fecha]],SummaryDaily[day],SummaryDaily[Tienda 81_net_sales],0)</f>
        <v>0</v>
      </c>
      <c r="P495" s="11">
        <f>_xlfn.XLOOKUP(TableDailySummary[[#This Row],[Fecha]],SummaryDaily[day],SummaryDaily[Tienda 81_orders],0)</f>
        <v>0</v>
      </c>
      <c r="Q495" s="11">
        <f>_xlfn.XLOOKUP(TableDailySummary[[#This Row],[Fecha]],SummaryDaily[day],SummaryDaily[Tienda 81_average_order_value],0)</f>
        <v>0</v>
      </c>
      <c r="R495" s="11">
        <f>_xlfn.XLOOKUP(TableDailySummary[[#This Row],[Fecha]],SummaryDaily[day],SummaryDaily[Rappi_net_sales],0)</f>
        <v>0</v>
      </c>
      <c r="S495" s="11">
        <f>_xlfn.XLOOKUP(TableDailySummary[[#This Row],[Fecha]],SummaryDaily[day],SummaryDaily[Rappi_orders],0)</f>
        <v>0</v>
      </c>
      <c r="T495" s="11">
        <f>_xlfn.XLOOKUP(TableDailySummary[[#This Row],[Fecha]],SummaryDaily[day],SummaryDaily[Rappi_average_order_value],0)</f>
        <v>0</v>
      </c>
      <c r="U495" s="11">
        <f>_xlfn.XLOOKUP(TableDailySummary[[#This Row],[Fecha]],SummaryDaily[day],SummaryDaily[Corporativo no tienda_net_sales],0)</f>
        <v>0</v>
      </c>
      <c r="V495" s="11">
        <f>_xlfn.XLOOKUP(TableDailySummary[[#This Row],[Fecha]],SummaryDaily[day],SummaryDaily[Corporativo no tienda_orders],0)</f>
        <v>0</v>
      </c>
      <c r="W495" s="11">
        <f>_xlfn.XLOOKUP(TableDailySummary[[#This Row],[Fecha]],SummaryDaily[day],SummaryDaily[Corporativo no tienda_average_order_value],0)</f>
        <v>0</v>
      </c>
      <c r="X495" s="11">
        <f>_xlfn.XLOOKUP(TableDailySummary[[#This Row],[Fecha]],SummaryDaily[day],SummaryDaily[GoogleAdsOperation.Cost],0)</f>
        <v>0</v>
      </c>
      <c r="Y495" s="11">
        <f>SUMIFS(SalesByUTMDaily[google],SalesByUTMDaily[day],TableDailySummary[[#This Row],[Fecha]])</f>
        <v>0</v>
      </c>
      <c r="Z495" s="11">
        <f>_xlfn.XLOOKUP(TableDailySummary[[#This Row],[Fecha]],SummaryDaily[day],SummaryDaily[MetaAdsOperation.spend],0)</f>
        <v>0</v>
      </c>
      <c r="AA495" s="11">
        <f>SUMIFS(SalesByUTMDaily[facebook],SalesByUTMDaily[day],TableDailySummary[[#This Row],[Fecha]])</f>
        <v>0</v>
      </c>
      <c r="AB495" s="11">
        <f>TableDailySummary[[#This Row],[Inversión google ads]]+TableDailySummary[[#This Row],[Inversión meta ads]]</f>
        <v>0</v>
      </c>
      <c r="AC495" s="11">
        <f>TableDailySummary[[#This Row],[Ventas google ads]]+TableDailySummary[[#This Row],[Ventas meta ads]]</f>
        <v>0</v>
      </c>
      <c r="AD495" s="14">
        <f>IFERROR(TableDailySummary[[#This Row],[Ventas publicidad]]/TableDailySummary[[#This Row],[Inversión publicidad]],0)</f>
        <v>0</v>
      </c>
      <c r="AE495" s="14">
        <f>IFERROR(TableDailySummary[[#This Row],[Ventas primer cliente]]/TableDailySummary[[#This Row],[Inversión publicidad]],0)</f>
        <v>0</v>
      </c>
      <c r="AF495" s="14"/>
      <c r="AG495" s="11"/>
      <c r="AM495" s="11">
        <f>_xlfn.XLOOKUP(TableDailySummary[[#This Row],[Fecha]],SummaryDaily[day],SummaryDaily[net_sales_with_cost_recorded],0)</f>
        <v>0</v>
      </c>
      <c r="AN495" s="11">
        <f>_xlfn.XLOOKUP(TableDailySummary[[#This Row],[Fecha]],SummaryDaily[day],SummaryDaily[cost_of_goods_sold],0)</f>
        <v>0</v>
      </c>
      <c r="AO495" s="11">
        <f>_xlfn.XLOOKUP(TableDailySummary[[#This Row],[Fecha]],SummaryDaily[day],SummaryDaily[gross_profit],0)</f>
        <v>0</v>
      </c>
      <c r="AP495" s="18">
        <f>IFERROR(TableDailySummary[[#This Row],[Utilidad bruta]]/TableDailySummary[[#This Row],[Ventas netas con costo registrado]],0)</f>
        <v>0</v>
      </c>
    </row>
    <row r="496" spans="2:42" x14ac:dyDescent="0.2">
      <c r="B496" s="15" cm="1">
        <f t="array" ref="B496">ParamFechaInicioReporte + (ROW(TableDailySummary[#This Row]) - ROW(TableDailySummary[[#Headers],[Dia]]) - 1)</f>
        <v>45023</v>
      </c>
      <c r="C496" s="6">
        <f>TableDailySummary[[#This Row],[Dia]]</f>
        <v>45023</v>
      </c>
      <c r="D496" s="11">
        <f>_xlfn.XLOOKUP(TableDailySummary[[#This Row],[Fecha]],SummaryDaily[day],SummaryDaily[net_sales],0)</f>
        <v>0</v>
      </c>
      <c r="E496" s="11">
        <f>_xlfn.XLOOKUP(TableDailySummary[[#This Row],[Fecha]],SummaryDaily[day],SummaryDaily[orders],0)</f>
        <v>0</v>
      </c>
      <c r="F496" s="11">
        <f>_xlfn.XLOOKUP(TableDailySummary[[#This Row],[Fecha]],SummaryDaily[day],SummaryDaily[average_order_value],0)</f>
        <v>0</v>
      </c>
      <c r="G496" s="24" cm="1">
        <f t="array" ref="G496">_xlfn.XLOOKUP(TableDailySummary[[#This Row],[Fecha]]&amp;"Total site",ConversionRateByReferral[day]&amp;ConversionRateByReferral[referrer_source],ConversionRateByReferral[conversion_rate],0)</f>
        <v>0</v>
      </c>
      <c r="H496" s="11">
        <f>TableDailySummary[[#This Row],[Órden promedio totales]]*TableDailySummary[[#This Row],[CR totales]]</f>
        <v>0</v>
      </c>
      <c r="I496" s="11">
        <f>_xlfn.XLOOKUP(TableDailySummary[[#This Row],[Fecha]],SummaryDaily[day],SummaryDaily[new_net_sales],0)</f>
        <v>0</v>
      </c>
      <c r="J496" s="11">
        <f>_xlfn.XLOOKUP(TableDailySummary[[#This Row],[Fecha]],SummaryDaily[day],SummaryDaily[new_orders],0)</f>
        <v>0</v>
      </c>
      <c r="K496" s="11">
        <f>_xlfn.XLOOKUP(TableDailySummary[[#This Row],[Fecha]],SummaryDaily[day],SummaryDaily[new_average_order_value],0)</f>
        <v>0</v>
      </c>
      <c r="L496" s="11">
        <f>_xlfn.XLOOKUP(TableDailySummary[[#This Row],[Fecha]],SummaryDaily[day],SummaryDaily[Online Store_net_sales],0)</f>
        <v>0</v>
      </c>
      <c r="M496" s="11">
        <f>_xlfn.XLOOKUP(TableDailySummary[[#This Row],[Fecha]],SummaryDaily[day],SummaryDaily[Online Store_orders],0)</f>
        <v>0</v>
      </c>
      <c r="N496" s="11">
        <f>_xlfn.XLOOKUP(TableDailySummary[[#This Row],[Fecha]],SummaryDaily[day],SummaryDaily[Online Store_average_order_value],0)</f>
        <v>0</v>
      </c>
      <c r="O496" s="11">
        <f>_xlfn.XLOOKUP(TableDailySummary[[#This Row],[Fecha]],SummaryDaily[day],SummaryDaily[Tienda 81_net_sales],0)</f>
        <v>0</v>
      </c>
      <c r="P496" s="11">
        <f>_xlfn.XLOOKUP(TableDailySummary[[#This Row],[Fecha]],SummaryDaily[day],SummaryDaily[Tienda 81_orders],0)</f>
        <v>0</v>
      </c>
      <c r="Q496" s="11">
        <f>_xlfn.XLOOKUP(TableDailySummary[[#This Row],[Fecha]],SummaryDaily[day],SummaryDaily[Tienda 81_average_order_value],0)</f>
        <v>0</v>
      </c>
      <c r="R496" s="11">
        <f>_xlfn.XLOOKUP(TableDailySummary[[#This Row],[Fecha]],SummaryDaily[day],SummaryDaily[Rappi_net_sales],0)</f>
        <v>0</v>
      </c>
      <c r="S496" s="11">
        <f>_xlfn.XLOOKUP(TableDailySummary[[#This Row],[Fecha]],SummaryDaily[day],SummaryDaily[Rappi_orders],0)</f>
        <v>0</v>
      </c>
      <c r="T496" s="11">
        <f>_xlfn.XLOOKUP(TableDailySummary[[#This Row],[Fecha]],SummaryDaily[day],SummaryDaily[Rappi_average_order_value],0)</f>
        <v>0</v>
      </c>
      <c r="U496" s="11">
        <f>_xlfn.XLOOKUP(TableDailySummary[[#This Row],[Fecha]],SummaryDaily[day],SummaryDaily[Corporativo no tienda_net_sales],0)</f>
        <v>0</v>
      </c>
      <c r="V496" s="11">
        <f>_xlfn.XLOOKUP(TableDailySummary[[#This Row],[Fecha]],SummaryDaily[day],SummaryDaily[Corporativo no tienda_orders],0)</f>
        <v>0</v>
      </c>
      <c r="W496" s="11">
        <f>_xlfn.XLOOKUP(TableDailySummary[[#This Row],[Fecha]],SummaryDaily[day],SummaryDaily[Corporativo no tienda_average_order_value],0)</f>
        <v>0</v>
      </c>
      <c r="X496" s="11">
        <f>_xlfn.XLOOKUP(TableDailySummary[[#This Row],[Fecha]],SummaryDaily[day],SummaryDaily[GoogleAdsOperation.Cost],0)</f>
        <v>0</v>
      </c>
      <c r="Y496" s="11">
        <f>SUMIFS(SalesByUTMDaily[google],SalesByUTMDaily[day],TableDailySummary[[#This Row],[Fecha]])</f>
        <v>0</v>
      </c>
      <c r="Z496" s="11">
        <f>_xlfn.XLOOKUP(TableDailySummary[[#This Row],[Fecha]],SummaryDaily[day],SummaryDaily[MetaAdsOperation.spend],0)</f>
        <v>0</v>
      </c>
      <c r="AA496" s="11">
        <f>SUMIFS(SalesByUTMDaily[facebook],SalesByUTMDaily[day],TableDailySummary[[#This Row],[Fecha]])</f>
        <v>0</v>
      </c>
      <c r="AB496" s="11">
        <f>TableDailySummary[[#This Row],[Inversión google ads]]+TableDailySummary[[#This Row],[Inversión meta ads]]</f>
        <v>0</v>
      </c>
      <c r="AC496" s="11">
        <f>TableDailySummary[[#This Row],[Ventas google ads]]+TableDailySummary[[#This Row],[Ventas meta ads]]</f>
        <v>0</v>
      </c>
      <c r="AD496" s="14">
        <f>IFERROR(TableDailySummary[[#This Row],[Ventas publicidad]]/TableDailySummary[[#This Row],[Inversión publicidad]],0)</f>
        <v>0</v>
      </c>
      <c r="AE496" s="14">
        <f>IFERROR(TableDailySummary[[#This Row],[Ventas primer cliente]]/TableDailySummary[[#This Row],[Inversión publicidad]],0)</f>
        <v>0</v>
      </c>
      <c r="AF496" s="14"/>
      <c r="AG496" s="11"/>
      <c r="AM496" s="11">
        <f>_xlfn.XLOOKUP(TableDailySummary[[#This Row],[Fecha]],SummaryDaily[day],SummaryDaily[net_sales_with_cost_recorded],0)</f>
        <v>0</v>
      </c>
      <c r="AN496" s="11">
        <f>_xlfn.XLOOKUP(TableDailySummary[[#This Row],[Fecha]],SummaryDaily[day],SummaryDaily[cost_of_goods_sold],0)</f>
        <v>0</v>
      </c>
      <c r="AO496" s="11">
        <f>_xlfn.XLOOKUP(TableDailySummary[[#This Row],[Fecha]],SummaryDaily[day],SummaryDaily[gross_profit],0)</f>
        <v>0</v>
      </c>
      <c r="AP496" s="18">
        <f>IFERROR(TableDailySummary[[#This Row],[Utilidad bruta]]/TableDailySummary[[#This Row],[Ventas netas con costo registrado]],0)</f>
        <v>0</v>
      </c>
    </row>
    <row r="497" spans="2:42" x14ac:dyDescent="0.2">
      <c r="B497" s="15" cm="1">
        <f t="array" ref="B497">ParamFechaInicioReporte + (ROW(TableDailySummary[#This Row]) - ROW(TableDailySummary[[#Headers],[Dia]]) - 1)</f>
        <v>45024</v>
      </c>
      <c r="C497" s="6">
        <f>TableDailySummary[[#This Row],[Dia]]</f>
        <v>45024</v>
      </c>
      <c r="D497" s="11">
        <f>_xlfn.XLOOKUP(TableDailySummary[[#This Row],[Fecha]],SummaryDaily[day],SummaryDaily[net_sales],0)</f>
        <v>0</v>
      </c>
      <c r="E497" s="11">
        <f>_xlfn.XLOOKUP(TableDailySummary[[#This Row],[Fecha]],SummaryDaily[day],SummaryDaily[orders],0)</f>
        <v>0</v>
      </c>
      <c r="F497" s="11">
        <f>_xlfn.XLOOKUP(TableDailySummary[[#This Row],[Fecha]],SummaryDaily[day],SummaryDaily[average_order_value],0)</f>
        <v>0</v>
      </c>
      <c r="G497" s="24" cm="1">
        <f t="array" ref="G497">_xlfn.XLOOKUP(TableDailySummary[[#This Row],[Fecha]]&amp;"Total site",ConversionRateByReferral[day]&amp;ConversionRateByReferral[referrer_source],ConversionRateByReferral[conversion_rate],0)</f>
        <v>0</v>
      </c>
      <c r="H497" s="11">
        <f>TableDailySummary[[#This Row],[Órden promedio totales]]*TableDailySummary[[#This Row],[CR totales]]</f>
        <v>0</v>
      </c>
      <c r="I497" s="11">
        <f>_xlfn.XLOOKUP(TableDailySummary[[#This Row],[Fecha]],SummaryDaily[day],SummaryDaily[new_net_sales],0)</f>
        <v>0</v>
      </c>
      <c r="J497" s="11">
        <f>_xlfn.XLOOKUP(TableDailySummary[[#This Row],[Fecha]],SummaryDaily[day],SummaryDaily[new_orders],0)</f>
        <v>0</v>
      </c>
      <c r="K497" s="11">
        <f>_xlfn.XLOOKUP(TableDailySummary[[#This Row],[Fecha]],SummaryDaily[day],SummaryDaily[new_average_order_value],0)</f>
        <v>0</v>
      </c>
      <c r="L497" s="11">
        <f>_xlfn.XLOOKUP(TableDailySummary[[#This Row],[Fecha]],SummaryDaily[day],SummaryDaily[Online Store_net_sales],0)</f>
        <v>0</v>
      </c>
      <c r="M497" s="11">
        <f>_xlfn.XLOOKUP(TableDailySummary[[#This Row],[Fecha]],SummaryDaily[day],SummaryDaily[Online Store_orders],0)</f>
        <v>0</v>
      </c>
      <c r="N497" s="11">
        <f>_xlfn.XLOOKUP(TableDailySummary[[#This Row],[Fecha]],SummaryDaily[day],SummaryDaily[Online Store_average_order_value],0)</f>
        <v>0</v>
      </c>
      <c r="O497" s="11">
        <f>_xlfn.XLOOKUP(TableDailySummary[[#This Row],[Fecha]],SummaryDaily[day],SummaryDaily[Tienda 81_net_sales],0)</f>
        <v>0</v>
      </c>
      <c r="P497" s="11">
        <f>_xlfn.XLOOKUP(TableDailySummary[[#This Row],[Fecha]],SummaryDaily[day],SummaryDaily[Tienda 81_orders],0)</f>
        <v>0</v>
      </c>
      <c r="Q497" s="11">
        <f>_xlfn.XLOOKUP(TableDailySummary[[#This Row],[Fecha]],SummaryDaily[day],SummaryDaily[Tienda 81_average_order_value],0)</f>
        <v>0</v>
      </c>
      <c r="R497" s="11">
        <f>_xlfn.XLOOKUP(TableDailySummary[[#This Row],[Fecha]],SummaryDaily[day],SummaryDaily[Rappi_net_sales],0)</f>
        <v>0</v>
      </c>
      <c r="S497" s="11">
        <f>_xlfn.XLOOKUP(TableDailySummary[[#This Row],[Fecha]],SummaryDaily[day],SummaryDaily[Rappi_orders],0)</f>
        <v>0</v>
      </c>
      <c r="T497" s="11">
        <f>_xlfn.XLOOKUP(TableDailySummary[[#This Row],[Fecha]],SummaryDaily[day],SummaryDaily[Rappi_average_order_value],0)</f>
        <v>0</v>
      </c>
      <c r="U497" s="11">
        <f>_xlfn.XLOOKUP(TableDailySummary[[#This Row],[Fecha]],SummaryDaily[day],SummaryDaily[Corporativo no tienda_net_sales],0)</f>
        <v>0</v>
      </c>
      <c r="V497" s="11">
        <f>_xlfn.XLOOKUP(TableDailySummary[[#This Row],[Fecha]],SummaryDaily[day],SummaryDaily[Corporativo no tienda_orders],0)</f>
        <v>0</v>
      </c>
      <c r="W497" s="11">
        <f>_xlfn.XLOOKUP(TableDailySummary[[#This Row],[Fecha]],SummaryDaily[day],SummaryDaily[Corporativo no tienda_average_order_value],0)</f>
        <v>0</v>
      </c>
      <c r="X497" s="11">
        <f>_xlfn.XLOOKUP(TableDailySummary[[#This Row],[Fecha]],SummaryDaily[day],SummaryDaily[GoogleAdsOperation.Cost],0)</f>
        <v>0</v>
      </c>
      <c r="Y497" s="11">
        <f>SUMIFS(SalesByUTMDaily[google],SalesByUTMDaily[day],TableDailySummary[[#This Row],[Fecha]])</f>
        <v>0</v>
      </c>
      <c r="Z497" s="11">
        <f>_xlfn.XLOOKUP(TableDailySummary[[#This Row],[Fecha]],SummaryDaily[day],SummaryDaily[MetaAdsOperation.spend],0)</f>
        <v>0</v>
      </c>
      <c r="AA497" s="11">
        <f>SUMIFS(SalesByUTMDaily[facebook],SalesByUTMDaily[day],TableDailySummary[[#This Row],[Fecha]])</f>
        <v>0</v>
      </c>
      <c r="AB497" s="11">
        <f>TableDailySummary[[#This Row],[Inversión google ads]]+TableDailySummary[[#This Row],[Inversión meta ads]]</f>
        <v>0</v>
      </c>
      <c r="AC497" s="11">
        <f>TableDailySummary[[#This Row],[Ventas google ads]]+TableDailySummary[[#This Row],[Ventas meta ads]]</f>
        <v>0</v>
      </c>
      <c r="AD497" s="14">
        <f>IFERROR(TableDailySummary[[#This Row],[Ventas publicidad]]/TableDailySummary[[#This Row],[Inversión publicidad]],0)</f>
        <v>0</v>
      </c>
      <c r="AE497" s="14">
        <f>IFERROR(TableDailySummary[[#This Row],[Ventas primer cliente]]/TableDailySummary[[#This Row],[Inversión publicidad]],0)</f>
        <v>0</v>
      </c>
      <c r="AF497" s="14"/>
      <c r="AG497" s="11"/>
      <c r="AM497" s="11">
        <f>_xlfn.XLOOKUP(TableDailySummary[[#This Row],[Fecha]],SummaryDaily[day],SummaryDaily[net_sales_with_cost_recorded],0)</f>
        <v>0</v>
      </c>
      <c r="AN497" s="11">
        <f>_xlfn.XLOOKUP(TableDailySummary[[#This Row],[Fecha]],SummaryDaily[day],SummaryDaily[cost_of_goods_sold],0)</f>
        <v>0</v>
      </c>
      <c r="AO497" s="11">
        <f>_xlfn.XLOOKUP(TableDailySummary[[#This Row],[Fecha]],SummaryDaily[day],SummaryDaily[gross_profit],0)</f>
        <v>0</v>
      </c>
      <c r="AP497" s="18">
        <f>IFERROR(TableDailySummary[[#This Row],[Utilidad bruta]]/TableDailySummary[[#This Row],[Ventas netas con costo registrado]],0)</f>
        <v>0</v>
      </c>
    </row>
    <row r="498" spans="2:42" x14ac:dyDescent="0.2">
      <c r="B498" s="15" cm="1">
        <f t="array" ref="B498">ParamFechaInicioReporte + (ROW(TableDailySummary[#This Row]) - ROW(TableDailySummary[[#Headers],[Dia]]) - 1)</f>
        <v>45025</v>
      </c>
      <c r="C498" s="6">
        <f>TableDailySummary[[#This Row],[Dia]]</f>
        <v>45025</v>
      </c>
      <c r="D498" s="11">
        <f>_xlfn.XLOOKUP(TableDailySummary[[#This Row],[Fecha]],SummaryDaily[day],SummaryDaily[net_sales],0)</f>
        <v>0</v>
      </c>
      <c r="E498" s="11">
        <f>_xlfn.XLOOKUP(TableDailySummary[[#This Row],[Fecha]],SummaryDaily[day],SummaryDaily[orders],0)</f>
        <v>0</v>
      </c>
      <c r="F498" s="11">
        <f>_xlfn.XLOOKUP(TableDailySummary[[#This Row],[Fecha]],SummaryDaily[day],SummaryDaily[average_order_value],0)</f>
        <v>0</v>
      </c>
      <c r="G498" s="24" cm="1">
        <f t="array" ref="G498">_xlfn.XLOOKUP(TableDailySummary[[#This Row],[Fecha]]&amp;"Total site",ConversionRateByReferral[day]&amp;ConversionRateByReferral[referrer_source],ConversionRateByReferral[conversion_rate],0)</f>
        <v>0</v>
      </c>
      <c r="H498" s="11">
        <f>TableDailySummary[[#This Row],[Órden promedio totales]]*TableDailySummary[[#This Row],[CR totales]]</f>
        <v>0</v>
      </c>
      <c r="I498" s="11">
        <f>_xlfn.XLOOKUP(TableDailySummary[[#This Row],[Fecha]],SummaryDaily[day],SummaryDaily[new_net_sales],0)</f>
        <v>0</v>
      </c>
      <c r="J498" s="11">
        <f>_xlfn.XLOOKUP(TableDailySummary[[#This Row],[Fecha]],SummaryDaily[day],SummaryDaily[new_orders],0)</f>
        <v>0</v>
      </c>
      <c r="K498" s="11">
        <f>_xlfn.XLOOKUP(TableDailySummary[[#This Row],[Fecha]],SummaryDaily[day],SummaryDaily[new_average_order_value],0)</f>
        <v>0</v>
      </c>
      <c r="L498" s="11">
        <f>_xlfn.XLOOKUP(TableDailySummary[[#This Row],[Fecha]],SummaryDaily[day],SummaryDaily[Online Store_net_sales],0)</f>
        <v>0</v>
      </c>
      <c r="M498" s="11">
        <f>_xlfn.XLOOKUP(TableDailySummary[[#This Row],[Fecha]],SummaryDaily[day],SummaryDaily[Online Store_orders],0)</f>
        <v>0</v>
      </c>
      <c r="N498" s="11">
        <f>_xlfn.XLOOKUP(TableDailySummary[[#This Row],[Fecha]],SummaryDaily[day],SummaryDaily[Online Store_average_order_value],0)</f>
        <v>0</v>
      </c>
      <c r="O498" s="11">
        <f>_xlfn.XLOOKUP(TableDailySummary[[#This Row],[Fecha]],SummaryDaily[day],SummaryDaily[Tienda 81_net_sales],0)</f>
        <v>0</v>
      </c>
      <c r="P498" s="11">
        <f>_xlfn.XLOOKUP(TableDailySummary[[#This Row],[Fecha]],SummaryDaily[day],SummaryDaily[Tienda 81_orders],0)</f>
        <v>0</v>
      </c>
      <c r="Q498" s="11">
        <f>_xlfn.XLOOKUP(TableDailySummary[[#This Row],[Fecha]],SummaryDaily[day],SummaryDaily[Tienda 81_average_order_value],0)</f>
        <v>0</v>
      </c>
      <c r="R498" s="11">
        <f>_xlfn.XLOOKUP(TableDailySummary[[#This Row],[Fecha]],SummaryDaily[day],SummaryDaily[Rappi_net_sales],0)</f>
        <v>0</v>
      </c>
      <c r="S498" s="11">
        <f>_xlfn.XLOOKUP(TableDailySummary[[#This Row],[Fecha]],SummaryDaily[day],SummaryDaily[Rappi_orders],0)</f>
        <v>0</v>
      </c>
      <c r="T498" s="11">
        <f>_xlfn.XLOOKUP(TableDailySummary[[#This Row],[Fecha]],SummaryDaily[day],SummaryDaily[Rappi_average_order_value],0)</f>
        <v>0</v>
      </c>
      <c r="U498" s="11">
        <f>_xlfn.XLOOKUP(TableDailySummary[[#This Row],[Fecha]],SummaryDaily[day],SummaryDaily[Corporativo no tienda_net_sales],0)</f>
        <v>0</v>
      </c>
      <c r="V498" s="11">
        <f>_xlfn.XLOOKUP(TableDailySummary[[#This Row],[Fecha]],SummaryDaily[day],SummaryDaily[Corporativo no tienda_orders],0)</f>
        <v>0</v>
      </c>
      <c r="W498" s="11">
        <f>_xlfn.XLOOKUP(TableDailySummary[[#This Row],[Fecha]],SummaryDaily[day],SummaryDaily[Corporativo no tienda_average_order_value],0)</f>
        <v>0</v>
      </c>
      <c r="X498" s="11">
        <f>_xlfn.XLOOKUP(TableDailySummary[[#This Row],[Fecha]],SummaryDaily[day],SummaryDaily[GoogleAdsOperation.Cost],0)</f>
        <v>0</v>
      </c>
      <c r="Y498" s="11">
        <f>SUMIFS(SalesByUTMDaily[google],SalesByUTMDaily[day],TableDailySummary[[#This Row],[Fecha]])</f>
        <v>0</v>
      </c>
      <c r="Z498" s="11">
        <f>_xlfn.XLOOKUP(TableDailySummary[[#This Row],[Fecha]],SummaryDaily[day],SummaryDaily[MetaAdsOperation.spend],0)</f>
        <v>0</v>
      </c>
      <c r="AA498" s="11">
        <f>SUMIFS(SalesByUTMDaily[facebook],SalesByUTMDaily[day],TableDailySummary[[#This Row],[Fecha]])</f>
        <v>0</v>
      </c>
      <c r="AB498" s="11">
        <f>TableDailySummary[[#This Row],[Inversión google ads]]+TableDailySummary[[#This Row],[Inversión meta ads]]</f>
        <v>0</v>
      </c>
      <c r="AC498" s="11">
        <f>TableDailySummary[[#This Row],[Ventas google ads]]+TableDailySummary[[#This Row],[Ventas meta ads]]</f>
        <v>0</v>
      </c>
      <c r="AD498" s="14">
        <f>IFERROR(TableDailySummary[[#This Row],[Ventas publicidad]]/TableDailySummary[[#This Row],[Inversión publicidad]],0)</f>
        <v>0</v>
      </c>
      <c r="AE498" s="14">
        <f>IFERROR(TableDailySummary[[#This Row],[Ventas primer cliente]]/TableDailySummary[[#This Row],[Inversión publicidad]],0)</f>
        <v>0</v>
      </c>
      <c r="AF498" s="14"/>
      <c r="AG498" s="11"/>
      <c r="AM498" s="11">
        <f>_xlfn.XLOOKUP(TableDailySummary[[#This Row],[Fecha]],SummaryDaily[day],SummaryDaily[net_sales_with_cost_recorded],0)</f>
        <v>0</v>
      </c>
      <c r="AN498" s="11">
        <f>_xlfn.XLOOKUP(TableDailySummary[[#This Row],[Fecha]],SummaryDaily[day],SummaryDaily[cost_of_goods_sold],0)</f>
        <v>0</v>
      </c>
      <c r="AO498" s="11">
        <f>_xlfn.XLOOKUP(TableDailySummary[[#This Row],[Fecha]],SummaryDaily[day],SummaryDaily[gross_profit],0)</f>
        <v>0</v>
      </c>
      <c r="AP498" s="18">
        <f>IFERROR(TableDailySummary[[#This Row],[Utilidad bruta]]/TableDailySummary[[#This Row],[Ventas netas con costo registrado]],0)</f>
        <v>0</v>
      </c>
    </row>
    <row r="499" spans="2:42" x14ac:dyDescent="0.2">
      <c r="B499" s="15" cm="1">
        <f t="array" ref="B499">ParamFechaInicioReporte + (ROW(TableDailySummary[#This Row]) - ROW(TableDailySummary[[#Headers],[Dia]]) - 1)</f>
        <v>45026</v>
      </c>
      <c r="C499" s="6">
        <f>TableDailySummary[[#This Row],[Dia]]</f>
        <v>45026</v>
      </c>
      <c r="D499" s="11">
        <f>_xlfn.XLOOKUP(TableDailySummary[[#This Row],[Fecha]],SummaryDaily[day],SummaryDaily[net_sales],0)</f>
        <v>0</v>
      </c>
      <c r="E499" s="11">
        <f>_xlfn.XLOOKUP(TableDailySummary[[#This Row],[Fecha]],SummaryDaily[day],SummaryDaily[orders],0)</f>
        <v>0</v>
      </c>
      <c r="F499" s="11">
        <f>_xlfn.XLOOKUP(TableDailySummary[[#This Row],[Fecha]],SummaryDaily[day],SummaryDaily[average_order_value],0)</f>
        <v>0</v>
      </c>
      <c r="G499" s="24" cm="1">
        <f t="array" ref="G499">_xlfn.XLOOKUP(TableDailySummary[[#This Row],[Fecha]]&amp;"Total site",ConversionRateByReferral[day]&amp;ConversionRateByReferral[referrer_source],ConversionRateByReferral[conversion_rate],0)</f>
        <v>0</v>
      </c>
      <c r="H499" s="11">
        <f>TableDailySummary[[#This Row],[Órden promedio totales]]*TableDailySummary[[#This Row],[CR totales]]</f>
        <v>0</v>
      </c>
      <c r="I499" s="11">
        <f>_xlfn.XLOOKUP(TableDailySummary[[#This Row],[Fecha]],SummaryDaily[day],SummaryDaily[new_net_sales],0)</f>
        <v>0</v>
      </c>
      <c r="J499" s="11">
        <f>_xlfn.XLOOKUP(TableDailySummary[[#This Row],[Fecha]],SummaryDaily[day],SummaryDaily[new_orders],0)</f>
        <v>0</v>
      </c>
      <c r="K499" s="11">
        <f>_xlfn.XLOOKUP(TableDailySummary[[#This Row],[Fecha]],SummaryDaily[day],SummaryDaily[new_average_order_value],0)</f>
        <v>0</v>
      </c>
      <c r="L499" s="11">
        <f>_xlfn.XLOOKUP(TableDailySummary[[#This Row],[Fecha]],SummaryDaily[day],SummaryDaily[Online Store_net_sales],0)</f>
        <v>0</v>
      </c>
      <c r="M499" s="11">
        <f>_xlfn.XLOOKUP(TableDailySummary[[#This Row],[Fecha]],SummaryDaily[day],SummaryDaily[Online Store_orders],0)</f>
        <v>0</v>
      </c>
      <c r="N499" s="11">
        <f>_xlfn.XLOOKUP(TableDailySummary[[#This Row],[Fecha]],SummaryDaily[day],SummaryDaily[Online Store_average_order_value],0)</f>
        <v>0</v>
      </c>
      <c r="O499" s="11">
        <f>_xlfn.XLOOKUP(TableDailySummary[[#This Row],[Fecha]],SummaryDaily[day],SummaryDaily[Tienda 81_net_sales],0)</f>
        <v>0</v>
      </c>
      <c r="P499" s="11">
        <f>_xlfn.XLOOKUP(TableDailySummary[[#This Row],[Fecha]],SummaryDaily[day],SummaryDaily[Tienda 81_orders],0)</f>
        <v>0</v>
      </c>
      <c r="Q499" s="11">
        <f>_xlfn.XLOOKUP(TableDailySummary[[#This Row],[Fecha]],SummaryDaily[day],SummaryDaily[Tienda 81_average_order_value],0)</f>
        <v>0</v>
      </c>
      <c r="R499" s="11">
        <f>_xlfn.XLOOKUP(TableDailySummary[[#This Row],[Fecha]],SummaryDaily[day],SummaryDaily[Rappi_net_sales],0)</f>
        <v>0</v>
      </c>
      <c r="S499" s="11">
        <f>_xlfn.XLOOKUP(TableDailySummary[[#This Row],[Fecha]],SummaryDaily[day],SummaryDaily[Rappi_orders],0)</f>
        <v>0</v>
      </c>
      <c r="T499" s="11">
        <f>_xlfn.XLOOKUP(TableDailySummary[[#This Row],[Fecha]],SummaryDaily[day],SummaryDaily[Rappi_average_order_value],0)</f>
        <v>0</v>
      </c>
      <c r="U499" s="11">
        <f>_xlfn.XLOOKUP(TableDailySummary[[#This Row],[Fecha]],SummaryDaily[day],SummaryDaily[Corporativo no tienda_net_sales],0)</f>
        <v>0</v>
      </c>
      <c r="V499" s="11">
        <f>_xlfn.XLOOKUP(TableDailySummary[[#This Row],[Fecha]],SummaryDaily[day],SummaryDaily[Corporativo no tienda_orders],0)</f>
        <v>0</v>
      </c>
      <c r="W499" s="11">
        <f>_xlfn.XLOOKUP(TableDailySummary[[#This Row],[Fecha]],SummaryDaily[day],SummaryDaily[Corporativo no tienda_average_order_value],0)</f>
        <v>0</v>
      </c>
      <c r="X499" s="11">
        <f>_xlfn.XLOOKUP(TableDailySummary[[#This Row],[Fecha]],SummaryDaily[day],SummaryDaily[GoogleAdsOperation.Cost],0)</f>
        <v>0</v>
      </c>
      <c r="Y499" s="11">
        <f>SUMIFS(SalesByUTMDaily[google],SalesByUTMDaily[day],TableDailySummary[[#This Row],[Fecha]])</f>
        <v>0</v>
      </c>
      <c r="Z499" s="11">
        <f>_xlfn.XLOOKUP(TableDailySummary[[#This Row],[Fecha]],SummaryDaily[day],SummaryDaily[MetaAdsOperation.spend],0)</f>
        <v>0</v>
      </c>
      <c r="AA499" s="11">
        <f>SUMIFS(SalesByUTMDaily[facebook],SalesByUTMDaily[day],TableDailySummary[[#This Row],[Fecha]])</f>
        <v>0</v>
      </c>
      <c r="AB499" s="11">
        <f>TableDailySummary[[#This Row],[Inversión google ads]]+TableDailySummary[[#This Row],[Inversión meta ads]]</f>
        <v>0</v>
      </c>
      <c r="AC499" s="11">
        <f>TableDailySummary[[#This Row],[Ventas google ads]]+TableDailySummary[[#This Row],[Ventas meta ads]]</f>
        <v>0</v>
      </c>
      <c r="AD499" s="14">
        <f>IFERROR(TableDailySummary[[#This Row],[Ventas publicidad]]/TableDailySummary[[#This Row],[Inversión publicidad]],0)</f>
        <v>0</v>
      </c>
      <c r="AE499" s="14">
        <f>IFERROR(TableDailySummary[[#This Row],[Ventas primer cliente]]/TableDailySummary[[#This Row],[Inversión publicidad]],0)</f>
        <v>0</v>
      </c>
      <c r="AF499" s="14"/>
      <c r="AG499" s="11"/>
      <c r="AM499" s="11">
        <f>_xlfn.XLOOKUP(TableDailySummary[[#This Row],[Fecha]],SummaryDaily[day],SummaryDaily[net_sales_with_cost_recorded],0)</f>
        <v>0</v>
      </c>
      <c r="AN499" s="11">
        <f>_xlfn.XLOOKUP(TableDailySummary[[#This Row],[Fecha]],SummaryDaily[day],SummaryDaily[cost_of_goods_sold],0)</f>
        <v>0</v>
      </c>
      <c r="AO499" s="11">
        <f>_xlfn.XLOOKUP(TableDailySummary[[#This Row],[Fecha]],SummaryDaily[day],SummaryDaily[gross_profit],0)</f>
        <v>0</v>
      </c>
      <c r="AP499" s="18">
        <f>IFERROR(TableDailySummary[[#This Row],[Utilidad bruta]]/TableDailySummary[[#This Row],[Ventas netas con costo registrado]],0)</f>
        <v>0</v>
      </c>
    </row>
    <row r="500" spans="2:42" x14ac:dyDescent="0.2">
      <c r="B500" s="15" cm="1">
        <f t="array" ref="B500">ParamFechaInicioReporte + (ROW(TableDailySummary[#This Row]) - ROW(TableDailySummary[[#Headers],[Dia]]) - 1)</f>
        <v>45027</v>
      </c>
      <c r="C500" s="6">
        <f>TableDailySummary[[#This Row],[Dia]]</f>
        <v>45027</v>
      </c>
      <c r="D500" s="11">
        <f>_xlfn.XLOOKUP(TableDailySummary[[#This Row],[Fecha]],SummaryDaily[day],SummaryDaily[net_sales],0)</f>
        <v>0</v>
      </c>
      <c r="E500" s="11">
        <f>_xlfn.XLOOKUP(TableDailySummary[[#This Row],[Fecha]],SummaryDaily[day],SummaryDaily[orders],0)</f>
        <v>0</v>
      </c>
      <c r="F500" s="11">
        <f>_xlfn.XLOOKUP(TableDailySummary[[#This Row],[Fecha]],SummaryDaily[day],SummaryDaily[average_order_value],0)</f>
        <v>0</v>
      </c>
      <c r="G500" s="24" cm="1">
        <f t="array" ref="G500">_xlfn.XLOOKUP(TableDailySummary[[#This Row],[Fecha]]&amp;"Total site",ConversionRateByReferral[day]&amp;ConversionRateByReferral[referrer_source],ConversionRateByReferral[conversion_rate],0)</f>
        <v>0</v>
      </c>
      <c r="H500" s="11">
        <f>TableDailySummary[[#This Row],[Órden promedio totales]]*TableDailySummary[[#This Row],[CR totales]]</f>
        <v>0</v>
      </c>
      <c r="I500" s="11">
        <f>_xlfn.XLOOKUP(TableDailySummary[[#This Row],[Fecha]],SummaryDaily[day],SummaryDaily[new_net_sales],0)</f>
        <v>0</v>
      </c>
      <c r="J500" s="11">
        <f>_xlfn.XLOOKUP(TableDailySummary[[#This Row],[Fecha]],SummaryDaily[day],SummaryDaily[new_orders],0)</f>
        <v>0</v>
      </c>
      <c r="K500" s="11">
        <f>_xlfn.XLOOKUP(TableDailySummary[[#This Row],[Fecha]],SummaryDaily[day],SummaryDaily[new_average_order_value],0)</f>
        <v>0</v>
      </c>
      <c r="L500" s="11">
        <f>_xlfn.XLOOKUP(TableDailySummary[[#This Row],[Fecha]],SummaryDaily[day],SummaryDaily[Online Store_net_sales],0)</f>
        <v>0</v>
      </c>
      <c r="M500" s="11">
        <f>_xlfn.XLOOKUP(TableDailySummary[[#This Row],[Fecha]],SummaryDaily[day],SummaryDaily[Online Store_orders],0)</f>
        <v>0</v>
      </c>
      <c r="N500" s="11">
        <f>_xlfn.XLOOKUP(TableDailySummary[[#This Row],[Fecha]],SummaryDaily[day],SummaryDaily[Online Store_average_order_value],0)</f>
        <v>0</v>
      </c>
      <c r="O500" s="11">
        <f>_xlfn.XLOOKUP(TableDailySummary[[#This Row],[Fecha]],SummaryDaily[day],SummaryDaily[Tienda 81_net_sales],0)</f>
        <v>0</v>
      </c>
      <c r="P500" s="11">
        <f>_xlfn.XLOOKUP(TableDailySummary[[#This Row],[Fecha]],SummaryDaily[day],SummaryDaily[Tienda 81_orders],0)</f>
        <v>0</v>
      </c>
      <c r="Q500" s="11">
        <f>_xlfn.XLOOKUP(TableDailySummary[[#This Row],[Fecha]],SummaryDaily[day],SummaryDaily[Tienda 81_average_order_value],0)</f>
        <v>0</v>
      </c>
      <c r="R500" s="11">
        <f>_xlfn.XLOOKUP(TableDailySummary[[#This Row],[Fecha]],SummaryDaily[day],SummaryDaily[Rappi_net_sales],0)</f>
        <v>0</v>
      </c>
      <c r="S500" s="11">
        <f>_xlfn.XLOOKUP(TableDailySummary[[#This Row],[Fecha]],SummaryDaily[day],SummaryDaily[Rappi_orders],0)</f>
        <v>0</v>
      </c>
      <c r="T500" s="11">
        <f>_xlfn.XLOOKUP(TableDailySummary[[#This Row],[Fecha]],SummaryDaily[day],SummaryDaily[Rappi_average_order_value],0)</f>
        <v>0</v>
      </c>
      <c r="U500" s="11">
        <f>_xlfn.XLOOKUP(TableDailySummary[[#This Row],[Fecha]],SummaryDaily[day],SummaryDaily[Corporativo no tienda_net_sales],0)</f>
        <v>0</v>
      </c>
      <c r="V500" s="11">
        <f>_xlfn.XLOOKUP(TableDailySummary[[#This Row],[Fecha]],SummaryDaily[day],SummaryDaily[Corporativo no tienda_orders],0)</f>
        <v>0</v>
      </c>
      <c r="W500" s="11">
        <f>_xlfn.XLOOKUP(TableDailySummary[[#This Row],[Fecha]],SummaryDaily[day],SummaryDaily[Corporativo no tienda_average_order_value],0)</f>
        <v>0</v>
      </c>
      <c r="X500" s="11">
        <f>_xlfn.XLOOKUP(TableDailySummary[[#This Row],[Fecha]],SummaryDaily[day],SummaryDaily[GoogleAdsOperation.Cost],0)</f>
        <v>0</v>
      </c>
      <c r="Y500" s="11">
        <f>SUMIFS(SalesByUTMDaily[google],SalesByUTMDaily[day],TableDailySummary[[#This Row],[Fecha]])</f>
        <v>0</v>
      </c>
      <c r="Z500" s="11">
        <f>_xlfn.XLOOKUP(TableDailySummary[[#This Row],[Fecha]],SummaryDaily[day],SummaryDaily[MetaAdsOperation.spend],0)</f>
        <v>0</v>
      </c>
      <c r="AA500" s="11">
        <f>SUMIFS(SalesByUTMDaily[facebook],SalesByUTMDaily[day],TableDailySummary[[#This Row],[Fecha]])</f>
        <v>0</v>
      </c>
      <c r="AB500" s="11">
        <f>TableDailySummary[[#This Row],[Inversión google ads]]+TableDailySummary[[#This Row],[Inversión meta ads]]</f>
        <v>0</v>
      </c>
      <c r="AC500" s="11">
        <f>TableDailySummary[[#This Row],[Ventas google ads]]+TableDailySummary[[#This Row],[Ventas meta ads]]</f>
        <v>0</v>
      </c>
      <c r="AD500" s="14">
        <f>IFERROR(TableDailySummary[[#This Row],[Ventas publicidad]]/TableDailySummary[[#This Row],[Inversión publicidad]],0)</f>
        <v>0</v>
      </c>
      <c r="AE500" s="14">
        <f>IFERROR(TableDailySummary[[#This Row],[Ventas primer cliente]]/TableDailySummary[[#This Row],[Inversión publicidad]],0)</f>
        <v>0</v>
      </c>
      <c r="AF500" s="14"/>
      <c r="AG500" s="11"/>
      <c r="AM500" s="11">
        <f>_xlfn.XLOOKUP(TableDailySummary[[#This Row],[Fecha]],SummaryDaily[day],SummaryDaily[net_sales_with_cost_recorded],0)</f>
        <v>0</v>
      </c>
      <c r="AN500" s="11">
        <f>_xlfn.XLOOKUP(TableDailySummary[[#This Row],[Fecha]],SummaryDaily[day],SummaryDaily[cost_of_goods_sold],0)</f>
        <v>0</v>
      </c>
      <c r="AO500" s="11">
        <f>_xlfn.XLOOKUP(TableDailySummary[[#This Row],[Fecha]],SummaryDaily[day],SummaryDaily[gross_profit],0)</f>
        <v>0</v>
      </c>
      <c r="AP500" s="18">
        <f>IFERROR(TableDailySummary[[#This Row],[Utilidad bruta]]/TableDailySummary[[#This Row],[Ventas netas con costo registrado]],0)</f>
        <v>0</v>
      </c>
    </row>
    <row r="501" spans="2:42" x14ac:dyDescent="0.2">
      <c r="B501" s="15" cm="1">
        <f t="array" ref="B501">ParamFechaInicioReporte + (ROW(TableDailySummary[#This Row]) - ROW(TableDailySummary[[#Headers],[Dia]]) - 1)</f>
        <v>45028</v>
      </c>
      <c r="C501" s="6">
        <f>TableDailySummary[[#This Row],[Dia]]</f>
        <v>45028</v>
      </c>
      <c r="D501" s="11">
        <f>_xlfn.XLOOKUP(TableDailySummary[[#This Row],[Fecha]],SummaryDaily[day],SummaryDaily[net_sales],0)</f>
        <v>0</v>
      </c>
      <c r="E501" s="11">
        <f>_xlfn.XLOOKUP(TableDailySummary[[#This Row],[Fecha]],SummaryDaily[day],SummaryDaily[orders],0)</f>
        <v>0</v>
      </c>
      <c r="F501" s="11">
        <f>_xlfn.XLOOKUP(TableDailySummary[[#This Row],[Fecha]],SummaryDaily[day],SummaryDaily[average_order_value],0)</f>
        <v>0</v>
      </c>
      <c r="G501" s="24" cm="1">
        <f t="array" ref="G501">_xlfn.XLOOKUP(TableDailySummary[[#This Row],[Fecha]]&amp;"Total site",ConversionRateByReferral[day]&amp;ConversionRateByReferral[referrer_source],ConversionRateByReferral[conversion_rate],0)</f>
        <v>0</v>
      </c>
      <c r="H501" s="11">
        <f>TableDailySummary[[#This Row],[Órden promedio totales]]*TableDailySummary[[#This Row],[CR totales]]</f>
        <v>0</v>
      </c>
      <c r="I501" s="11">
        <f>_xlfn.XLOOKUP(TableDailySummary[[#This Row],[Fecha]],SummaryDaily[day],SummaryDaily[new_net_sales],0)</f>
        <v>0</v>
      </c>
      <c r="J501" s="11">
        <f>_xlfn.XLOOKUP(TableDailySummary[[#This Row],[Fecha]],SummaryDaily[day],SummaryDaily[new_orders],0)</f>
        <v>0</v>
      </c>
      <c r="K501" s="11">
        <f>_xlfn.XLOOKUP(TableDailySummary[[#This Row],[Fecha]],SummaryDaily[day],SummaryDaily[new_average_order_value],0)</f>
        <v>0</v>
      </c>
      <c r="L501" s="11">
        <f>_xlfn.XLOOKUP(TableDailySummary[[#This Row],[Fecha]],SummaryDaily[day],SummaryDaily[Online Store_net_sales],0)</f>
        <v>0</v>
      </c>
      <c r="M501" s="11">
        <f>_xlfn.XLOOKUP(TableDailySummary[[#This Row],[Fecha]],SummaryDaily[day],SummaryDaily[Online Store_orders],0)</f>
        <v>0</v>
      </c>
      <c r="N501" s="11">
        <f>_xlfn.XLOOKUP(TableDailySummary[[#This Row],[Fecha]],SummaryDaily[day],SummaryDaily[Online Store_average_order_value],0)</f>
        <v>0</v>
      </c>
      <c r="O501" s="11">
        <f>_xlfn.XLOOKUP(TableDailySummary[[#This Row],[Fecha]],SummaryDaily[day],SummaryDaily[Tienda 81_net_sales],0)</f>
        <v>0</v>
      </c>
      <c r="P501" s="11">
        <f>_xlfn.XLOOKUP(TableDailySummary[[#This Row],[Fecha]],SummaryDaily[day],SummaryDaily[Tienda 81_orders],0)</f>
        <v>0</v>
      </c>
      <c r="Q501" s="11">
        <f>_xlfn.XLOOKUP(TableDailySummary[[#This Row],[Fecha]],SummaryDaily[day],SummaryDaily[Tienda 81_average_order_value],0)</f>
        <v>0</v>
      </c>
      <c r="R501" s="11">
        <f>_xlfn.XLOOKUP(TableDailySummary[[#This Row],[Fecha]],SummaryDaily[day],SummaryDaily[Rappi_net_sales],0)</f>
        <v>0</v>
      </c>
      <c r="S501" s="11">
        <f>_xlfn.XLOOKUP(TableDailySummary[[#This Row],[Fecha]],SummaryDaily[day],SummaryDaily[Rappi_orders],0)</f>
        <v>0</v>
      </c>
      <c r="T501" s="11">
        <f>_xlfn.XLOOKUP(TableDailySummary[[#This Row],[Fecha]],SummaryDaily[day],SummaryDaily[Rappi_average_order_value],0)</f>
        <v>0</v>
      </c>
      <c r="U501" s="11">
        <f>_xlfn.XLOOKUP(TableDailySummary[[#This Row],[Fecha]],SummaryDaily[day],SummaryDaily[Corporativo no tienda_net_sales],0)</f>
        <v>0</v>
      </c>
      <c r="V501" s="11">
        <f>_xlfn.XLOOKUP(TableDailySummary[[#This Row],[Fecha]],SummaryDaily[day],SummaryDaily[Corporativo no tienda_orders],0)</f>
        <v>0</v>
      </c>
      <c r="W501" s="11">
        <f>_xlfn.XLOOKUP(TableDailySummary[[#This Row],[Fecha]],SummaryDaily[day],SummaryDaily[Corporativo no tienda_average_order_value],0)</f>
        <v>0</v>
      </c>
      <c r="X501" s="11">
        <f>_xlfn.XLOOKUP(TableDailySummary[[#This Row],[Fecha]],SummaryDaily[day],SummaryDaily[GoogleAdsOperation.Cost],0)</f>
        <v>0</v>
      </c>
      <c r="Y501" s="11">
        <f>SUMIFS(SalesByUTMDaily[google],SalesByUTMDaily[day],TableDailySummary[[#This Row],[Fecha]])</f>
        <v>0</v>
      </c>
      <c r="Z501" s="11">
        <f>_xlfn.XLOOKUP(TableDailySummary[[#This Row],[Fecha]],SummaryDaily[day],SummaryDaily[MetaAdsOperation.spend],0)</f>
        <v>0</v>
      </c>
      <c r="AA501" s="11">
        <f>SUMIFS(SalesByUTMDaily[facebook],SalesByUTMDaily[day],TableDailySummary[[#This Row],[Fecha]])</f>
        <v>0</v>
      </c>
      <c r="AB501" s="11">
        <f>TableDailySummary[[#This Row],[Inversión google ads]]+TableDailySummary[[#This Row],[Inversión meta ads]]</f>
        <v>0</v>
      </c>
      <c r="AC501" s="11">
        <f>TableDailySummary[[#This Row],[Ventas google ads]]+TableDailySummary[[#This Row],[Ventas meta ads]]</f>
        <v>0</v>
      </c>
      <c r="AD501" s="14">
        <f>IFERROR(TableDailySummary[[#This Row],[Ventas publicidad]]/TableDailySummary[[#This Row],[Inversión publicidad]],0)</f>
        <v>0</v>
      </c>
      <c r="AE501" s="14">
        <f>IFERROR(TableDailySummary[[#This Row],[Ventas primer cliente]]/TableDailySummary[[#This Row],[Inversión publicidad]],0)</f>
        <v>0</v>
      </c>
      <c r="AF501" s="14"/>
      <c r="AG501" s="11"/>
      <c r="AM501" s="11">
        <f>_xlfn.XLOOKUP(TableDailySummary[[#This Row],[Fecha]],SummaryDaily[day],SummaryDaily[net_sales_with_cost_recorded],0)</f>
        <v>0</v>
      </c>
      <c r="AN501" s="11">
        <f>_xlfn.XLOOKUP(TableDailySummary[[#This Row],[Fecha]],SummaryDaily[day],SummaryDaily[cost_of_goods_sold],0)</f>
        <v>0</v>
      </c>
      <c r="AO501" s="11">
        <f>_xlfn.XLOOKUP(TableDailySummary[[#This Row],[Fecha]],SummaryDaily[day],SummaryDaily[gross_profit],0)</f>
        <v>0</v>
      </c>
      <c r="AP501" s="18">
        <f>IFERROR(TableDailySummary[[#This Row],[Utilidad bruta]]/TableDailySummary[[#This Row],[Ventas netas con costo registrado]],0)</f>
        <v>0</v>
      </c>
    </row>
    <row r="502" spans="2:42" x14ac:dyDescent="0.2">
      <c r="B502" s="15" cm="1">
        <f t="array" ref="B502">ParamFechaInicioReporte + (ROW(TableDailySummary[#This Row]) - ROW(TableDailySummary[[#Headers],[Dia]]) - 1)</f>
        <v>45029</v>
      </c>
      <c r="C502" s="6">
        <f>TableDailySummary[[#This Row],[Dia]]</f>
        <v>45029</v>
      </c>
      <c r="D502" s="11">
        <f>_xlfn.XLOOKUP(TableDailySummary[[#This Row],[Fecha]],SummaryDaily[day],SummaryDaily[net_sales],0)</f>
        <v>0</v>
      </c>
      <c r="E502" s="11">
        <f>_xlfn.XLOOKUP(TableDailySummary[[#This Row],[Fecha]],SummaryDaily[day],SummaryDaily[orders],0)</f>
        <v>0</v>
      </c>
      <c r="F502" s="11">
        <f>_xlfn.XLOOKUP(TableDailySummary[[#This Row],[Fecha]],SummaryDaily[day],SummaryDaily[average_order_value],0)</f>
        <v>0</v>
      </c>
      <c r="G502" s="24" cm="1">
        <f t="array" ref="G502">_xlfn.XLOOKUP(TableDailySummary[[#This Row],[Fecha]]&amp;"Total site",ConversionRateByReferral[day]&amp;ConversionRateByReferral[referrer_source],ConversionRateByReferral[conversion_rate],0)</f>
        <v>0</v>
      </c>
      <c r="H502" s="11">
        <f>TableDailySummary[[#This Row],[Órden promedio totales]]*TableDailySummary[[#This Row],[CR totales]]</f>
        <v>0</v>
      </c>
      <c r="I502" s="11">
        <f>_xlfn.XLOOKUP(TableDailySummary[[#This Row],[Fecha]],SummaryDaily[day],SummaryDaily[new_net_sales],0)</f>
        <v>0</v>
      </c>
      <c r="J502" s="11">
        <f>_xlfn.XLOOKUP(TableDailySummary[[#This Row],[Fecha]],SummaryDaily[day],SummaryDaily[new_orders],0)</f>
        <v>0</v>
      </c>
      <c r="K502" s="11">
        <f>_xlfn.XLOOKUP(TableDailySummary[[#This Row],[Fecha]],SummaryDaily[day],SummaryDaily[new_average_order_value],0)</f>
        <v>0</v>
      </c>
      <c r="L502" s="11">
        <f>_xlfn.XLOOKUP(TableDailySummary[[#This Row],[Fecha]],SummaryDaily[day],SummaryDaily[Online Store_net_sales],0)</f>
        <v>0</v>
      </c>
      <c r="M502" s="11">
        <f>_xlfn.XLOOKUP(TableDailySummary[[#This Row],[Fecha]],SummaryDaily[day],SummaryDaily[Online Store_orders],0)</f>
        <v>0</v>
      </c>
      <c r="N502" s="11">
        <f>_xlfn.XLOOKUP(TableDailySummary[[#This Row],[Fecha]],SummaryDaily[day],SummaryDaily[Online Store_average_order_value],0)</f>
        <v>0</v>
      </c>
      <c r="O502" s="11">
        <f>_xlfn.XLOOKUP(TableDailySummary[[#This Row],[Fecha]],SummaryDaily[day],SummaryDaily[Tienda 81_net_sales],0)</f>
        <v>0</v>
      </c>
      <c r="P502" s="11">
        <f>_xlfn.XLOOKUP(TableDailySummary[[#This Row],[Fecha]],SummaryDaily[day],SummaryDaily[Tienda 81_orders],0)</f>
        <v>0</v>
      </c>
      <c r="Q502" s="11">
        <f>_xlfn.XLOOKUP(TableDailySummary[[#This Row],[Fecha]],SummaryDaily[day],SummaryDaily[Tienda 81_average_order_value],0)</f>
        <v>0</v>
      </c>
      <c r="R502" s="11">
        <f>_xlfn.XLOOKUP(TableDailySummary[[#This Row],[Fecha]],SummaryDaily[day],SummaryDaily[Rappi_net_sales],0)</f>
        <v>0</v>
      </c>
      <c r="S502" s="11">
        <f>_xlfn.XLOOKUP(TableDailySummary[[#This Row],[Fecha]],SummaryDaily[day],SummaryDaily[Rappi_orders],0)</f>
        <v>0</v>
      </c>
      <c r="T502" s="11">
        <f>_xlfn.XLOOKUP(TableDailySummary[[#This Row],[Fecha]],SummaryDaily[day],SummaryDaily[Rappi_average_order_value],0)</f>
        <v>0</v>
      </c>
      <c r="U502" s="11">
        <f>_xlfn.XLOOKUP(TableDailySummary[[#This Row],[Fecha]],SummaryDaily[day],SummaryDaily[Corporativo no tienda_net_sales],0)</f>
        <v>0</v>
      </c>
      <c r="V502" s="11">
        <f>_xlfn.XLOOKUP(TableDailySummary[[#This Row],[Fecha]],SummaryDaily[day],SummaryDaily[Corporativo no tienda_orders],0)</f>
        <v>0</v>
      </c>
      <c r="W502" s="11">
        <f>_xlfn.XLOOKUP(TableDailySummary[[#This Row],[Fecha]],SummaryDaily[day],SummaryDaily[Corporativo no tienda_average_order_value],0)</f>
        <v>0</v>
      </c>
      <c r="X502" s="11">
        <f>_xlfn.XLOOKUP(TableDailySummary[[#This Row],[Fecha]],SummaryDaily[day],SummaryDaily[GoogleAdsOperation.Cost],0)</f>
        <v>0</v>
      </c>
      <c r="Y502" s="11">
        <f>SUMIFS(SalesByUTMDaily[google],SalesByUTMDaily[day],TableDailySummary[[#This Row],[Fecha]])</f>
        <v>0</v>
      </c>
      <c r="Z502" s="11">
        <f>_xlfn.XLOOKUP(TableDailySummary[[#This Row],[Fecha]],SummaryDaily[day],SummaryDaily[MetaAdsOperation.spend],0)</f>
        <v>0</v>
      </c>
      <c r="AA502" s="11">
        <f>SUMIFS(SalesByUTMDaily[facebook],SalesByUTMDaily[day],TableDailySummary[[#This Row],[Fecha]])</f>
        <v>0</v>
      </c>
      <c r="AB502" s="11">
        <f>TableDailySummary[[#This Row],[Inversión google ads]]+TableDailySummary[[#This Row],[Inversión meta ads]]</f>
        <v>0</v>
      </c>
      <c r="AC502" s="11">
        <f>TableDailySummary[[#This Row],[Ventas google ads]]+TableDailySummary[[#This Row],[Ventas meta ads]]</f>
        <v>0</v>
      </c>
      <c r="AD502" s="14">
        <f>IFERROR(TableDailySummary[[#This Row],[Ventas publicidad]]/TableDailySummary[[#This Row],[Inversión publicidad]],0)</f>
        <v>0</v>
      </c>
      <c r="AE502" s="14">
        <f>IFERROR(TableDailySummary[[#This Row],[Ventas primer cliente]]/TableDailySummary[[#This Row],[Inversión publicidad]],0)</f>
        <v>0</v>
      </c>
      <c r="AF502" s="14"/>
      <c r="AG502" s="11"/>
      <c r="AM502" s="11">
        <f>_xlfn.XLOOKUP(TableDailySummary[[#This Row],[Fecha]],SummaryDaily[day],SummaryDaily[net_sales_with_cost_recorded],0)</f>
        <v>0</v>
      </c>
      <c r="AN502" s="11">
        <f>_xlfn.XLOOKUP(TableDailySummary[[#This Row],[Fecha]],SummaryDaily[day],SummaryDaily[cost_of_goods_sold],0)</f>
        <v>0</v>
      </c>
      <c r="AO502" s="11">
        <f>_xlfn.XLOOKUP(TableDailySummary[[#This Row],[Fecha]],SummaryDaily[day],SummaryDaily[gross_profit],0)</f>
        <v>0</v>
      </c>
      <c r="AP502" s="18">
        <f>IFERROR(TableDailySummary[[#This Row],[Utilidad bruta]]/TableDailySummary[[#This Row],[Ventas netas con costo registrado]],0)</f>
        <v>0</v>
      </c>
    </row>
    <row r="503" spans="2:42" x14ac:dyDescent="0.2">
      <c r="B503" s="15" cm="1">
        <f t="array" ref="B503">ParamFechaInicioReporte + (ROW(TableDailySummary[#This Row]) - ROW(TableDailySummary[[#Headers],[Dia]]) - 1)</f>
        <v>45030</v>
      </c>
      <c r="C503" s="6">
        <f>TableDailySummary[[#This Row],[Dia]]</f>
        <v>45030</v>
      </c>
      <c r="D503" s="11">
        <f>_xlfn.XLOOKUP(TableDailySummary[[#This Row],[Fecha]],SummaryDaily[day],SummaryDaily[net_sales],0)</f>
        <v>0</v>
      </c>
      <c r="E503" s="11">
        <f>_xlfn.XLOOKUP(TableDailySummary[[#This Row],[Fecha]],SummaryDaily[day],SummaryDaily[orders],0)</f>
        <v>0</v>
      </c>
      <c r="F503" s="11">
        <f>_xlfn.XLOOKUP(TableDailySummary[[#This Row],[Fecha]],SummaryDaily[day],SummaryDaily[average_order_value],0)</f>
        <v>0</v>
      </c>
      <c r="G503" s="24" cm="1">
        <f t="array" ref="G503">_xlfn.XLOOKUP(TableDailySummary[[#This Row],[Fecha]]&amp;"Total site",ConversionRateByReferral[day]&amp;ConversionRateByReferral[referrer_source],ConversionRateByReferral[conversion_rate],0)</f>
        <v>0</v>
      </c>
      <c r="H503" s="11">
        <f>TableDailySummary[[#This Row],[Órden promedio totales]]*TableDailySummary[[#This Row],[CR totales]]</f>
        <v>0</v>
      </c>
      <c r="I503" s="11">
        <f>_xlfn.XLOOKUP(TableDailySummary[[#This Row],[Fecha]],SummaryDaily[day],SummaryDaily[new_net_sales],0)</f>
        <v>0</v>
      </c>
      <c r="J503" s="11">
        <f>_xlfn.XLOOKUP(TableDailySummary[[#This Row],[Fecha]],SummaryDaily[day],SummaryDaily[new_orders],0)</f>
        <v>0</v>
      </c>
      <c r="K503" s="11">
        <f>_xlfn.XLOOKUP(TableDailySummary[[#This Row],[Fecha]],SummaryDaily[day],SummaryDaily[new_average_order_value],0)</f>
        <v>0</v>
      </c>
      <c r="L503" s="11">
        <f>_xlfn.XLOOKUP(TableDailySummary[[#This Row],[Fecha]],SummaryDaily[day],SummaryDaily[Online Store_net_sales],0)</f>
        <v>0</v>
      </c>
      <c r="M503" s="11">
        <f>_xlfn.XLOOKUP(TableDailySummary[[#This Row],[Fecha]],SummaryDaily[day],SummaryDaily[Online Store_orders],0)</f>
        <v>0</v>
      </c>
      <c r="N503" s="11">
        <f>_xlfn.XLOOKUP(TableDailySummary[[#This Row],[Fecha]],SummaryDaily[day],SummaryDaily[Online Store_average_order_value],0)</f>
        <v>0</v>
      </c>
      <c r="O503" s="11">
        <f>_xlfn.XLOOKUP(TableDailySummary[[#This Row],[Fecha]],SummaryDaily[day],SummaryDaily[Tienda 81_net_sales],0)</f>
        <v>0</v>
      </c>
      <c r="P503" s="11">
        <f>_xlfn.XLOOKUP(TableDailySummary[[#This Row],[Fecha]],SummaryDaily[day],SummaryDaily[Tienda 81_orders],0)</f>
        <v>0</v>
      </c>
      <c r="Q503" s="11">
        <f>_xlfn.XLOOKUP(TableDailySummary[[#This Row],[Fecha]],SummaryDaily[day],SummaryDaily[Tienda 81_average_order_value],0)</f>
        <v>0</v>
      </c>
      <c r="R503" s="11">
        <f>_xlfn.XLOOKUP(TableDailySummary[[#This Row],[Fecha]],SummaryDaily[day],SummaryDaily[Rappi_net_sales],0)</f>
        <v>0</v>
      </c>
      <c r="S503" s="11">
        <f>_xlfn.XLOOKUP(TableDailySummary[[#This Row],[Fecha]],SummaryDaily[day],SummaryDaily[Rappi_orders],0)</f>
        <v>0</v>
      </c>
      <c r="T503" s="11">
        <f>_xlfn.XLOOKUP(TableDailySummary[[#This Row],[Fecha]],SummaryDaily[day],SummaryDaily[Rappi_average_order_value],0)</f>
        <v>0</v>
      </c>
      <c r="U503" s="11">
        <f>_xlfn.XLOOKUP(TableDailySummary[[#This Row],[Fecha]],SummaryDaily[day],SummaryDaily[Corporativo no tienda_net_sales],0)</f>
        <v>0</v>
      </c>
      <c r="V503" s="11">
        <f>_xlfn.XLOOKUP(TableDailySummary[[#This Row],[Fecha]],SummaryDaily[day],SummaryDaily[Corporativo no tienda_orders],0)</f>
        <v>0</v>
      </c>
      <c r="W503" s="11">
        <f>_xlfn.XLOOKUP(TableDailySummary[[#This Row],[Fecha]],SummaryDaily[day],SummaryDaily[Corporativo no tienda_average_order_value],0)</f>
        <v>0</v>
      </c>
      <c r="X503" s="11">
        <f>_xlfn.XLOOKUP(TableDailySummary[[#This Row],[Fecha]],SummaryDaily[day],SummaryDaily[GoogleAdsOperation.Cost],0)</f>
        <v>0</v>
      </c>
      <c r="Y503" s="11">
        <f>SUMIFS(SalesByUTMDaily[google],SalesByUTMDaily[day],TableDailySummary[[#This Row],[Fecha]])</f>
        <v>0</v>
      </c>
      <c r="Z503" s="11">
        <f>_xlfn.XLOOKUP(TableDailySummary[[#This Row],[Fecha]],SummaryDaily[day],SummaryDaily[MetaAdsOperation.spend],0)</f>
        <v>0</v>
      </c>
      <c r="AA503" s="11">
        <f>SUMIFS(SalesByUTMDaily[facebook],SalesByUTMDaily[day],TableDailySummary[[#This Row],[Fecha]])</f>
        <v>0</v>
      </c>
      <c r="AB503" s="11">
        <f>TableDailySummary[[#This Row],[Inversión google ads]]+TableDailySummary[[#This Row],[Inversión meta ads]]</f>
        <v>0</v>
      </c>
      <c r="AC503" s="11">
        <f>TableDailySummary[[#This Row],[Ventas google ads]]+TableDailySummary[[#This Row],[Ventas meta ads]]</f>
        <v>0</v>
      </c>
      <c r="AD503" s="14">
        <f>IFERROR(TableDailySummary[[#This Row],[Ventas publicidad]]/TableDailySummary[[#This Row],[Inversión publicidad]],0)</f>
        <v>0</v>
      </c>
      <c r="AE503" s="14">
        <f>IFERROR(TableDailySummary[[#This Row],[Ventas primer cliente]]/TableDailySummary[[#This Row],[Inversión publicidad]],0)</f>
        <v>0</v>
      </c>
      <c r="AF503" s="14"/>
      <c r="AG503" s="11"/>
      <c r="AM503" s="11">
        <f>_xlfn.XLOOKUP(TableDailySummary[[#This Row],[Fecha]],SummaryDaily[day],SummaryDaily[net_sales_with_cost_recorded],0)</f>
        <v>0</v>
      </c>
      <c r="AN503" s="11">
        <f>_xlfn.XLOOKUP(TableDailySummary[[#This Row],[Fecha]],SummaryDaily[day],SummaryDaily[cost_of_goods_sold],0)</f>
        <v>0</v>
      </c>
      <c r="AO503" s="11">
        <f>_xlfn.XLOOKUP(TableDailySummary[[#This Row],[Fecha]],SummaryDaily[day],SummaryDaily[gross_profit],0)</f>
        <v>0</v>
      </c>
      <c r="AP503" s="18">
        <f>IFERROR(TableDailySummary[[#This Row],[Utilidad bruta]]/TableDailySummary[[#This Row],[Ventas netas con costo registrado]],0)</f>
        <v>0</v>
      </c>
    </row>
    <row r="504" spans="2:42" x14ac:dyDescent="0.2">
      <c r="B504" s="15" cm="1">
        <f t="array" ref="B504">ParamFechaInicioReporte + (ROW(TableDailySummary[#This Row]) - ROW(TableDailySummary[[#Headers],[Dia]]) - 1)</f>
        <v>45031</v>
      </c>
      <c r="C504" s="6">
        <f>TableDailySummary[[#This Row],[Dia]]</f>
        <v>45031</v>
      </c>
      <c r="D504" s="11">
        <f>_xlfn.XLOOKUP(TableDailySummary[[#This Row],[Fecha]],SummaryDaily[day],SummaryDaily[net_sales],0)</f>
        <v>0</v>
      </c>
      <c r="E504" s="11">
        <f>_xlfn.XLOOKUP(TableDailySummary[[#This Row],[Fecha]],SummaryDaily[day],SummaryDaily[orders],0)</f>
        <v>0</v>
      </c>
      <c r="F504" s="11">
        <f>_xlfn.XLOOKUP(TableDailySummary[[#This Row],[Fecha]],SummaryDaily[day],SummaryDaily[average_order_value],0)</f>
        <v>0</v>
      </c>
      <c r="G504" s="24" cm="1">
        <f t="array" ref="G504">_xlfn.XLOOKUP(TableDailySummary[[#This Row],[Fecha]]&amp;"Total site",ConversionRateByReferral[day]&amp;ConversionRateByReferral[referrer_source],ConversionRateByReferral[conversion_rate],0)</f>
        <v>0</v>
      </c>
      <c r="H504" s="11">
        <f>TableDailySummary[[#This Row],[Órden promedio totales]]*TableDailySummary[[#This Row],[CR totales]]</f>
        <v>0</v>
      </c>
      <c r="I504" s="11">
        <f>_xlfn.XLOOKUP(TableDailySummary[[#This Row],[Fecha]],SummaryDaily[day],SummaryDaily[new_net_sales],0)</f>
        <v>0</v>
      </c>
      <c r="J504" s="11">
        <f>_xlfn.XLOOKUP(TableDailySummary[[#This Row],[Fecha]],SummaryDaily[day],SummaryDaily[new_orders],0)</f>
        <v>0</v>
      </c>
      <c r="K504" s="11">
        <f>_xlfn.XLOOKUP(TableDailySummary[[#This Row],[Fecha]],SummaryDaily[day],SummaryDaily[new_average_order_value],0)</f>
        <v>0</v>
      </c>
      <c r="L504" s="11">
        <f>_xlfn.XLOOKUP(TableDailySummary[[#This Row],[Fecha]],SummaryDaily[day],SummaryDaily[Online Store_net_sales],0)</f>
        <v>0</v>
      </c>
      <c r="M504" s="11">
        <f>_xlfn.XLOOKUP(TableDailySummary[[#This Row],[Fecha]],SummaryDaily[day],SummaryDaily[Online Store_orders],0)</f>
        <v>0</v>
      </c>
      <c r="N504" s="11">
        <f>_xlfn.XLOOKUP(TableDailySummary[[#This Row],[Fecha]],SummaryDaily[day],SummaryDaily[Online Store_average_order_value],0)</f>
        <v>0</v>
      </c>
      <c r="O504" s="11">
        <f>_xlfn.XLOOKUP(TableDailySummary[[#This Row],[Fecha]],SummaryDaily[day],SummaryDaily[Tienda 81_net_sales],0)</f>
        <v>0</v>
      </c>
      <c r="P504" s="11">
        <f>_xlfn.XLOOKUP(TableDailySummary[[#This Row],[Fecha]],SummaryDaily[day],SummaryDaily[Tienda 81_orders],0)</f>
        <v>0</v>
      </c>
      <c r="Q504" s="11">
        <f>_xlfn.XLOOKUP(TableDailySummary[[#This Row],[Fecha]],SummaryDaily[day],SummaryDaily[Tienda 81_average_order_value],0)</f>
        <v>0</v>
      </c>
      <c r="R504" s="11">
        <f>_xlfn.XLOOKUP(TableDailySummary[[#This Row],[Fecha]],SummaryDaily[day],SummaryDaily[Rappi_net_sales],0)</f>
        <v>0</v>
      </c>
      <c r="S504" s="11">
        <f>_xlfn.XLOOKUP(TableDailySummary[[#This Row],[Fecha]],SummaryDaily[day],SummaryDaily[Rappi_orders],0)</f>
        <v>0</v>
      </c>
      <c r="T504" s="11">
        <f>_xlfn.XLOOKUP(TableDailySummary[[#This Row],[Fecha]],SummaryDaily[day],SummaryDaily[Rappi_average_order_value],0)</f>
        <v>0</v>
      </c>
      <c r="U504" s="11">
        <f>_xlfn.XLOOKUP(TableDailySummary[[#This Row],[Fecha]],SummaryDaily[day],SummaryDaily[Corporativo no tienda_net_sales],0)</f>
        <v>0</v>
      </c>
      <c r="V504" s="11">
        <f>_xlfn.XLOOKUP(TableDailySummary[[#This Row],[Fecha]],SummaryDaily[day],SummaryDaily[Corporativo no tienda_orders],0)</f>
        <v>0</v>
      </c>
      <c r="W504" s="11">
        <f>_xlfn.XLOOKUP(TableDailySummary[[#This Row],[Fecha]],SummaryDaily[day],SummaryDaily[Corporativo no tienda_average_order_value],0)</f>
        <v>0</v>
      </c>
      <c r="X504" s="11">
        <f>_xlfn.XLOOKUP(TableDailySummary[[#This Row],[Fecha]],SummaryDaily[day],SummaryDaily[GoogleAdsOperation.Cost],0)</f>
        <v>0</v>
      </c>
      <c r="Y504" s="11">
        <f>SUMIFS(SalesByUTMDaily[google],SalesByUTMDaily[day],TableDailySummary[[#This Row],[Fecha]])</f>
        <v>0</v>
      </c>
      <c r="Z504" s="11">
        <f>_xlfn.XLOOKUP(TableDailySummary[[#This Row],[Fecha]],SummaryDaily[day],SummaryDaily[MetaAdsOperation.spend],0)</f>
        <v>0</v>
      </c>
      <c r="AA504" s="11">
        <f>SUMIFS(SalesByUTMDaily[facebook],SalesByUTMDaily[day],TableDailySummary[[#This Row],[Fecha]])</f>
        <v>0</v>
      </c>
      <c r="AB504" s="11">
        <f>TableDailySummary[[#This Row],[Inversión google ads]]+TableDailySummary[[#This Row],[Inversión meta ads]]</f>
        <v>0</v>
      </c>
      <c r="AC504" s="11">
        <f>TableDailySummary[[#This Row],[Ventas google ads]]+TableDailySummary[[#This Row],[Ventas meta ads]]</f>
        <v>0</v>
      </c>
      <c r="AD504" s="14">
        <f>IFERROR(TableDailySummary[[#This Row],[Ventas publicidad]]/TableDailySummary[[#This Row],[Inversión publicidad]],0)</f>
        <v>0</v>
      </c>
      <c r="AE504" s="14">
        <f>IFERROR(TableDailySummary[[#This Row],[Ventas primer cliente]]/TableDailySummary[[#This Row],[Inversión publicidad]],0)</f>
        <v>0</v>
      </c>
      <c r="AF504" s="14"/>
      <c r="AG504" s="11"/>
      <c r="AM504" s="11">
        <f>_xlfn.XLOOKUP(TableDailySummary[[#This Row],[Fecha]],SummaryDaily[day],SummaryDaily[net_sales_with_cost_recorded],0)</f>
        <v>0</v>
      </c>
      <c r="AN504" s="11">
        <f>_xlfn.XLOOKUP(TableDailySummary[[#This Row],[Fecha]],SummaryDaily[day],SummaryDaily[cost_of_goods_sold],0)</f>
        <v>0</v>
      </c>
      <c r="AO504" s="11">
        <f>_xlfn.XLOOKUP(TableDailySummary[[#This Row],[Fecha]],SummaryDaily[day],SummaryDaily[gross_profit],0)</f>
        <v>0</v>
      </c>
      <c r="AP504" s="18">
        <f>IFERROR(TableDailySummary[[#This Row],[Utilidad bruta]]/TableDailySummary[[#This Row],[Ventas netas con costo registrado]],0)</f>
        <v>0</v>
      </c>
    </row>
    <row r="505" spans="2:42" x14ac:dyDescent="0.2">
      <c r="B505" s="15" cm="1">
        <f t="array" ref="B505">ParamFechaInicioReporte + (ROW(TableDailySummary[#This Row]) - ROW(TableDailySummary[[#Headers],[Dia]]) - 1)</f>
        <v>45032</v>
      </c>
      <c r="C505" s="6">
        <f>TableDailySummary[[#This Row],[Dia]]</f>
        <v>45032</v>
      </c>
      <c r="D505" s="11">
        <f>_xlfn.XLOOKUP(TableDailySummary[[#This Row],[Fecha]],SummaryDaily[day],SummaryDaily[net_sales],0)</f>
        <v>0</v>
      </c>
      <c r="E505" s="11">
        <f>_xlfn.XLOOKUP(TableDailySummary[[#This Row],[Fecha]],SummaryDaily[day],SummaryDaily[orders],0)</f>
        <v>0</v>
      </c>
      <c r="F505" s="11">
        <f>_xlfn.XLOOKUP(TableDailySummary[[#This Row],[Fecha]],SummaryDaily[day],SummaryDaily[average_order_value],0)</f>
        <v>0</v>
      </c>
      <c r="G505" s="24" cm="1">
        <f t="array" ref="G505">_xlfn.XLOOKUP(TableDailySummary[[#This Row],[Fecha]]&amp;"Total site",ConversionRateByReferral[day]&amp;ConversionRateByReferral[referrer_source],ConversionRateByReferral[conversion_rate],0)</f>
        <v>0</v>
      </c>
      <c r="H505" s="11">
        <f>TableDailySummary[[#This Row],[Órden promedio totales]]*TableDailySummary[[#This Row],[CR totales]]</f>
        <v>0</v>
      </c>
      <c r="I505" s="11">
        <f>_xlfn.XLOOKUP(TableDailySummary[[#This Row],[Fecha]],SummaryDaily[day],SummaryDaily[new_net_sales],0)</f>
        <v>0</v>
      </c>
      <c r="J505" s="11">
        <f>_xlfn.XLOOKUP(TableDailySummary[[#This Row],[Fecha]],SummaryDaily[day],SummaryDaily[new_orders],0)</f>
        <v>0</v>
      </c>
      <c r="K505" s="11">
        <f>_xlfn.XLOOKUP(TableDailySummary[[#This Row],[Fecha]],SummaryDaily[day],SummaryDaily[new_average_order_value],0)</f>
        <v>0</v>
      </c>
      <c r="L505" s="11">
        <f>_xlfn.XLOOKUP(TableDailySummary[[#This Row],[Fecha]],SummaryDaily[day],SummaryDaily[Online Store_net_sales],0)</f>
        <v>0</v>
      </c>
      <c r="M505" s="11">
        <f>_xlfn.XLOOKUP(TableDailySummary[[#This Row],[Fecha]],SummaryDaily[day],SummaryDaily[Online Store_orders],0)</f>
        <v>0</v>
      </c>
      <c r="N505" s="11">
        <f>_xlfn.XLOOKUP(TableDailySummary[[#This Row],[Fecha]],SummaryDaily[day],SummaryDaily[Online Store_average_order_value],0)</f>
        <v>0</v>
      </c>
      <c r="O505" s="11">
        <f>_xlfn.XLOOKUP(TableDailySummary[[#This Row],[Fecha]],SummaryDaily[day],SummaryDaily[Tienda 81_net_sales],0)</f>
        <v>0</v>
      </c>
      <c r="P505" s="11">
        <f>_xlfn.XLOOKUP(TableDailySummary[[#This Row],[Fecha]],SummaryDaily[day],SummaryDaily[Tienda 81_orders],0)</f>
        <v>0</v>
      </c>
      <c r="Q505" s="11">
        <f>_xlfn.XLOOKUP(TableDailySummary[[#This Row],[Fecha]],SummaryDaily[day],SummaryDaily[Tienda 81_average_order_value],0)</f>
        <v>0</v>
      </c>
      <c r="R505" s="11">
        <f>_xlfn.XLOOKUP(TableDailySummary[[#This Row],[Fecha]],SummaryDaily[day],SummaryDaily[Rappi_net_sales],0)</f>
        <v>0</v>
      </c>
      <c r="S505" s="11">
        <f>_xlfn.XLOOKUP(TableDailySummary[[#This Row],[Fecha]],SummaryDaily[day],SummaryDaily[Rappi_orders],0)</f>
        <v>0</v>
      </c>
      <c r="T505" s="11">
        <f>_xlfn.XLOOKUP(TableDailySummary[[#This Row],[Fecha]],SummaryDaily[day],SummaryDaily[Rappi_average_order_value],0)</f>
        <v>0</v>
      </c>
      <c r="U505" s="11">
        <f>_xlfn.XLOOKUP(TableDailySummary[[#This Row],[Fecha]],SummaryDaily[day],SummaryDaily[Corporativo no tienda_net_sales],0)</f>
        <v>0</v>
      </c>
      <c r="V505" s="11">
        <f>_xlfn.XLOOKUP(TableDailySummary[[#This Row],[Fecha]],SummaryDaily[day],SummaryDaily[Corporativo no tienda_orders],0)</f>
        <v>0</v>
      </c>
      <c r="W505" s="11">
        <f>_xlfn.XLOOKUP(TableDailySummary[[#This Row],[Fecha]],SummaryDaily[day],SummaryDaily[Corporativo no tienda_average_order_value],0)</f>
        <v>0</v>
      </c>
      <c r="X505" s="11">
        <f>_xlfn.XLOOKUP(TableDailySummary[[#This Row],[Fecha]],SummaryDaily[day],SummaryDaily[GoogleAdsOperation.Cost],0)</f>
        <v>0</v>
      </c>
      <c r="Y505" s="11">
        <f>SUMIFS(SalesByUTMDaily[google],SalesByUTMDaily[day],TableDailySummary[[#This Row],[Fecha]])</f>
        <v>0</v>
      </c>
      <c r="Z505" s="11">
        <f>_xlfn.XLOOKUP(TableDailySummary[[#This Row],[Fecha]],SummaryDaily[day],SummaryDaily[MetaAdsOperation.spend],0)</f>
        <v>0</v>
      </c>
      <c r="AA505" s="11">
        <f>SUMIFS(SalesByUTMDaily[facebook],SalesByUTMDaily[day],TableDailySummary[[#This Row],[Fecha]])</f>
        <v>0</v>
      </c>
      <c r="AB505" s="11">
        <f>TableDailySummary[[#This Row],[Inversión google ads]]+TableDailySummary[[#This Row],[Inversión meta ads]]</f>
        <v>0</v>
      </c>
      <c r="AC505" s="11">
        <f>TableDailySummary[[#This Row],[Ventas google ads]]+TableDailySummary[[#This Row],[Ventas meta ads]]</f>
        <v>0</v>
      </c>
      <c r="AD505" s="14">
        <f>IFERROR(TableDailySummary[[#This Row],[Ventas publicidad]]/TableDailySummary[[#This Row],[Inversión publicidad]],0)</f>
        <v>0</v>
      </c>
      <c r="AE505" s="14">
        <f>IFERROR(TableDailySummary[[#This Row],[Ventas primer cliente]]/TableDailySummary[[#This Row],[Inversión publicidad]],0)</f>
        <v>0</v>
      </c>
      <c r="AF505" s="14"/>
      <c r="AG505" s="11"/>
      <c r="AM505" s="11">
        <f>_xlfn.XLOOKUP(TableDailySummary[[#This Row],[Fecha]],SummaryDaily[day],SummaryDaily[net_sales_with_cost_recorded],0)</f>
        <v>0</v>
      </c>
      <c r="AN505" s="11">
        <f>_xlfn.XLOOKUP(TableDailySummary[[#This Row],[Fecha]],SummaryDaily[day],SummaryDaily[cost_of_goods_sold],0)</f>
        <v>0</v>
      </c>
      <c r="AO505" s="11">
        <f>_xlfn.XLOOKUP(TableDailySummary[[#This Row],[Fecha]],SummaryDaily[day],SummaryDaily[gross_profit],0)</f>
        <v>0</v>
      </c>
      <c r="AP505" s="18">
        <f>IFERROR(TableDailySummary[[#This Row],[Utilidad bruta]]/TableDailySummary[[#This Row],[Ventas netas con costo registrado]],0)</f>
        <v>0</v>
      </c>
    </row>
    <row r="506" spans="2:42" x14ac:dyDescent="0.2">
      <c r="B506" s="15" cm="1">
        <f t="array" ref="B506">ParamFechaInicioReporte + (ROW(TableDailySummary[#This Row]) - ROW(TableDailySummary[[#Headers],[Dia]]) - 1)</f>
        <v>45033</v>
      </c>
      <c r="C506" s="6">
        <f>TableDailySummary[[#This Row],[Dia]]</f>
        <v>45033</v>
      </c>
      <c r="D506" s="11">
        <f>_xlfn.XLOOKUP(TableDailySummary[[#This Row],[Fecha]],SummaryDaily[day],SummaryDaily[net_sales],0)</f>
        <v>0</v>
      </c>
      <c r="E506" s="11">
        <f>_xlfn.XLOOKUP(TableDailySummary[[#This Row],[Fecha]],SummaryDaily[day],SummaryDaily[orders],0)</f>
        <v>0</v>
      </c>
      <c r="F506" s="11">
        <f>_xlfn.XLOOKUP(TableDailySummary[[#This Row],[Fecha]],SummaryDaily[day],SummaryDaily[average_order_value],0)</f>
        <v>0</v>
      </c>
      <c r="G506" s="24" cm="1">
        <f t="array" ref="G506">_xlfn.XLOOKUP(TableDailySummary[[#This Row],[Fecha]]&amp;"Total site",ConversionRateByReferral[day]&amp;ConversionRateByReferral[referrer_source],ConversionRateByReferral[conversion_rate],0)</f>
        <v>0</v>
      </c>
      <c r="H506" s="11">
        <f>TableDailySummary[[#This Row],[Órden promedio totales]]*TableDailySummary[[#This Row],[CR totales]]</f>
        <v>0</v>
      </c>
      <c r="I506" s="11">
        <f>_xlfn.XLOOKUP(TableDailySummary[[#This Row],[Fecha]],SummaryDaily[day],SummaryDaily[new_net_sales],0)</f>
        <v>0</v>
      </c>
      <c r="J506" s="11">
        <f>_xlfn.XLOOKUP(TableDailySummary[[#This Row],[Fecha]],SummaryDaily[day],SummaryDaily[new_orders],0)</f>
        <v>0</v>
      </c>
      <c r="K506" s="11">
        <f>_xlfn.XLOOKUP(TableDailySummary[[#This Row],[Fecha]],SummaryDaily[day],SummaryDaily[new_average_order_value],0)</f>
        <v>0</v>
      </c>
      <c r="L506" s="11">
        <f>_xlfn.XLOOKUP(TableDailySummary[[#This Row],[Fecha]],SummaryDaily[day],SummaryDaily[Online Store_net_sales],0)</f>
        <v>0</v>
      </c>
      <c r="M506" s="11">
        <f>_xlfn.XLOOKUP(TableDailySummary[[#This Row],[Fecha]],SummaryDaily[day],SummaryDaily[Online Store_orders],0)</f>
        <v>0</v>
      </c>
      <c r="N506" s="11">
        <f>_xlfn.XLOOKUP(TableDailySummary[[#This Row],[Fecha]],SummaryDaily[day],SummaryDaily[Online Store_average_order_value],0)</f>
        <v>0</v>
      </c>
      <c r="O506" s="11">
        <f>_xlfn.XLOOKUP(TableDailySummary[[#This Row],[Fecha]],SummaryDaily[day],SummaryDaily[Tienda 81_net_sales],0)</f>
        <v>0</v>
      </c>
      <c r="P506" s="11">
        <f>_xlfn.XLOOKUP(TableDailySummary[[#This Row],[Fecha]],SummaryDaily[day],SummaryDaily[Tienda 81_orders],0)</f>
        <v>0</v>
      </c>
      <c r="Q506" s="11">
        <f>_xlfn.XLOOKUP(TableDailySummary[[#This Row],[Fecha]],SummaryDaily[day],SummaryDaily[Tienda 81_average_order_value],0)</f>
        <v>0</v>
      </c>
      <c r="R506" s="11">
        <f>_xlfn.XLOOKUP(TableDailySummary[[#This Row],[Fecha]],SummaryDaily[day],SummaryDaily[Rappi_net_sales],0)</f>
        <v>0</v>
      </c>
      <c r="S506" s="11">
        <f>_xlfn.XLOOKUP(TableDailySummary[[#This Row],[Fecha]],SummaryDaily[day],SummaryDaily[Rappi_orders],0)</f>
        <v>0</v>
      </c>
      <c r="T506" s="11">
        <f>_xlfn.XLOOKUP(TableDailySummary[[#This Row],[Fecha]],SummaryDaily[day],SummaryDaily[Rappi_average_order_value],0)</f>
        <v>0</v>
      </c>
      <c r="U506" s="11">
        <f>_xlfn.XLOOKUP(TableDailySummary[[#This Row],[Fecha]],SummaryDaily[day],SummaryDaily[Corporativo no tienda_net_sales],0)</f>
        <v>0</v>
      </c>
      <c r="V506" s="11">
        <f>_xlfn.XLOOKUP(TableDailySummary[[#This Row],[Fecha]],SummaryDaily[day],SummaryDaily[Corporativo no tienda_orders],0)</f>
        <v>0</v>
      </c>
      <c r="W506" s="11">
        <f>_xlfn.XLOOKUP(TableDailySummary[[#This Row],[Fecha]],SummaryDaily[day],SummaryDaily[Corporativo no tienda_average_order_value],0)</f>
        <v>0</v>
      </c>
      <c r="X506" s="11">
        <f>_xlfn.XLOOKUP(TableDailySummary[[#This Row],[Fecha]],SummaryDaily[day],SummaryDaily[GoogleAdsOperation.Cost],0)</f>
        <v>0</v>
      </c>
      <c r="Y506" s="11">
        <f>SUMIFS(SalesByUTMDaily[google],SalesByUTMDaily[day],TableDailySummary[[#This Row],[Fecha]])</f>
        <v>0</v>
      </c>
      <c r="Z506" s="11">
        <f>_xlfn.XLOOKUP(TableDailySummary[[#This Row],[Fecha]],SummaryDaily[day],SummaryDaily[MetaAdsOperation.spend],0)</f>
        <v>0</v>
      </c>
      <c r="AA506" s="11">
        <f>SUMIFS(SalesByUTMDaily[facebook],SalesByUTMDaily[day],TableDailySummary[[#This Row],[Fecha]])</f>
        <v>0</v>
      </c>
      <c r="AB506" s="11">
        <f>TableDailySummary[[#This Row],[Inversión google ads]]+TableDailySummary[[#This Row],[Inversión meta ads]]</f>
        <v>0</v>
      </c>
      <c r="AC506" s="11">
        <f>TableDailySummary[[#This Row],[Ventas google ads]]+TableDailySummary[[#This Row],[Ventas meta ads]]</f>
        <v>0</v>
      </c>
      <c r="AD506" s="14">
        <f>IFERROR(TableDailySummary[[#This Row],[Ventas publicidad]]/TableDailySummary[[#This Row],[Inversión publicidad]],0)</f>
        <v>0</v>
      </c>
      <c r="AE506" s="14">
        <f>IFERROR(TableDailySummary[[#This Row],[Ventas primer cliente]]/TableDailySummary[[#This Row],[Inversión publicidad]],0)</f>
        <v>0</v>
      </c>
      <c r="AF506" s="14"/>
      <c r="AG506" s="11"/>
      <c r="AM506" s="11">
        <f>_xlfn.XLOOKUP(TableDailySummary[[#This Row],[Fecha]],SummaryDaily[day],SummaryDaily[net_sales_with_cost_recorded],0)</f>
        <v>0</v>
      </c>
      <c r="AN506" s="11">
        <f>_xlfn.XLOOKUP(TableDailySummary[[#This Row],[Fecha]],SummaryDaily[day],SummaryDaily[cost_of_goods_sold],0)</f>
        <v>0</v>
      </c>
      <c r="AO506" s="11">
        <f>_xlfn.XLOOKUP(TableDailySummary[[#This Row],[Fecha]],SummaryDaily[day],SummaryDaily[gross_profit],0)</f>
        <v>0</v>
      </c>
      <c r="AP506" s="18">
        <f>IFERROR(TableDailySummary[[#This Row],[Utilidad bruta]]/TableDailySummary[[#This Row],[Ventas netas con costo registrado]],0)</f>
        <v>0</v>
      </c>
    </row>
    <row r="507" spans="2:42" x14ac:dyDescent="0.2">
      <c r="B507" s="15" cm="1">
        <f t="array" ref="B507">ParamFechaInicioReporte + (ROW(TableDailySummary[#This Row]) - ROW(TableDailySummary[[#Headers],[Dia]]) - 1)</f>
        <v>45034</v>
      </c>
      <c r="C507" s="6">
        <f>TableDailySummary[[#This Row],[Dia]]</f>
        <v>45034</v>
      </c>
      <c r="D507" s="11">
        <f>_xlfn.XLOOKUP(TableDailySummary[[#This Row],[Fecha]],SummaryDaily[day],SummaryDaily[net_sales],0)</f>
        <v>0</v>
      </c>
      <c r="E507" s="11">
        <f>_xlfn.XLOOKUP(TableDailySummary[[#This Row],[Fecha]],SummaryDaily[day],SummaryDaily[orders],0)</f>
        <v>0</v>
      </c>
      <c r="F507" s="11">
        <f>_xlfn.XLOOKUP(TableDailySummary[[#This Row],[Fecha]],SummaryDaily[day],SummaryDaily[average_order_value],0)</f>
        <v>0</v>
      </c>
      <c r="G507" s="24" cm="1">
        <f t="array" ref="G507">_xlfn.XLOOKUP(TableDailySummary[[#This Row],[Fecha]]&amp;"Total site",ConversionRateByReferral[day]&amp;ConversionRateByReferral[referrer_source],ConversionRateByReferral[conversion_rate],0)</f>
        <v>0</v>
      </c>
      <c r="H507" s="11">
        <f>TableDailySummary[[#This Row],[Órden promedio totales]]*TableDailySummary[[#This Row],[CR totales]]</f>
        <v>0</v>
      </c>
      <c r="I507" s="11">
        <f>_xlfn.XLOOKUP(TableDailySummary[[#This Row],[Fecha]],SummaryDaily[day],SummaryDaily[new_net_sales],0)</f>
        <v>0</v>
      </c>
      <c r="J507" s="11">
        <f>_xlfn.XLOOKUP(TableDailySummary[[#This Row],[Fecha]],SummaryDaily[day],SummaryDaily[new_orders],0)</f>
        <v>0</v>
      </c>
      <c r="K507" s="11">
        <f>_xlfn.XLOOKUP(TableDailySummary[[#This Row],[Fecha]],SummaryDaily[day],SummaryDaily[new_average_order_value],0)</f>
        <v>0</v>
      </c>
      <c r="L507" s="11">
        <f>_xlfn.XLOOKUP(TableDailySummary[[#This Row],[Fecha]],SummaryDaily[day],SummaryDaily[Online Store_net_sales],0)</f>
        <v>0</v>
      </c>
      <c r="M507" s="11">
        <f>_xlfn.XLOOKUP(TableDailySummary[[#This Row],[Fecha]],SummaryDaily[day],SummaryDaily[Online Store_orders],0)</f>
        <v>0</v>
      </c>
      <c r="N507" s="11">
        <f>_xlfn.XLOOKUP(TableDailySummary[[#This Row],[Fecha]],SummaryDaily[day],SummaryDaily[Online Store_average_order_value],0)</f>
        <v>0</v>
      </c>
      <c r="O507" s="11">
        <f>_xlfn.XLOOKUP(TableDailySummary[[#This Row],[Fecha]],SummaryDaily[day],SummaryDaily[Tienda 81_net_sales],0)</f>
        <v>0</v>
      </c>
      <c r="P507" s="11">
        <f>_xlfn.XLOOKUP(TableDailySummary[[#This Row],[Fecha]],SummaryDaily[day],SummaryDaily[Tienda 81_orders],0)</f>
        <v>0</v>
      </c>
      <c r="Q507" s="11">
        <f>_xlfn.XLOOKUP(TableDailySummary[[#This Row],[Fecha]],SummaryDaily[day],SummaryDaily[Tienda 81_average_order_value],0)</f>
        <v>0</v>
      </c>
      <c r="R507" s="11">
        <f>_xlfn.XLOOKUP(TableDailySummary[[#This Row],[Fecha]],SummaryDaily[day],SummaryDaily[Rappi_net_sales],0)</f>
        <v>0</v>
      </c>
      <c r="S507" s="11">
        <f>_xlfn.XLOOKUP(TableDailySummary[[#This Row],[Fecha]],SummaryDaily[day],SummaryDaily[Rappi_orders],0)</f>
        <v>0</v>
      </c>
      <c r="T507" s="11">
        <f>_xlfn.XLOOKUP(TableDailySummary[[#This Row],[Fecha]],SummaryDaily[day],SummaryDaily[Rappi_average_order_value],0)</f>
        <v>0</v>
      </c>
      <c r="U507" s="11">
        <f>_xlfn.XLOOKUP(TableDailySummary[[#This Row],[Fecha]],SummaryDaily[day],SummaryDaily[Corporativo no tienda_net_sales],0)</f>
        <v>0</v>
      </c>
      <c r="V507" s="11">
        <f>_xlfn.XLOOKUP(TableDailySummary[[#This Row],[Fecha]],SummaryDaily[day],SummaryDaily[Corporativo no tienda_orders],0)</f>
        <v>0</v>
      </c>
      <c r="W507" s="11">
        <f>_xlfn.XLOOKUP(TableDailySummary[[#This Row],[Fecha]],SummaryDaily[day],SummaryDaily[Corporativo no tienda_average_order_value],0)</f>
        <v>0</v>
      </c>
      <c r="X507" s="11">
        <f>_xlfn.XLOOKUP(TableDailySummary[[#This Row],[Fecha]],SummaryDaily[day],SummaryDaily[GoogleAdsOperation.Cost],0)</f>
        <v>0</v>
      </c>
      <c r="Y507" s="11">
        <f>SUMIFS(SalesByUTMDaily[google],SalesByUTMDaily[day],TableDailySummary[[#This Row],[Fecha]])</f>
        <v>0</v>
      </c>
      <c r="Z507" s="11">
        <f>_xlfn.XLOOKUP(TableDailySummary[[#This Row],[Fecha]],SummaryDaily[day],SummaryDaily[MetaAdsOperation.spend],0)</f>
        <v>0</v>
      </c>
      <c r="AA507" s="11">
        <f>SUMIFS(SalesByUTMDaily[facebook],SalesByUTMDaily[day],TableDailySummary[[#This Row],[Fecha]])</f>
        <v>0</v>
      </c>
      <c r="AB507" s="11">
        <f>TableDailySummary[[#This Row],[Inversión google ads]]+TableDailySummary[[#This Row],[Inversión meta ads]]</f>
        <v>0</v>
      </c>
      <c r="AC507" s="11">
        <f>TableDailySummary[[#This Row],[Ventas google ads]]+TableDailySummary[[#This Row],[Ventas meta ads]]</f>
        <v>0</v>
      </c>
      <c r="AD507" s="14">
        <f>IFERROR(TableDailySummary[[#This Row],[Ventas publicidad]]/TableDailySummary[[#This Row],[Inversión publicidad]],0)</f>
        <v>0</v>
      </c>
      <c r="AE507" s="14">
        <f>IFERROR(TableDailySummary[[#This Row],[Ventas primer cliente]]/TableDailySummary[[#This Row],[Inversión publicidad]],0)</f>
        <v>0</v>
      </c>
      <c r="AF507" s="14"/>
      <c r="AG507" s="11"/>
      <c r="AM507" s="11">
        <f>_xlfn.XLOOKUP(TableDailySummary[[#This Row],[Fecha]],SummaryDaily[day],SummaryDaily[net_sales_with_cost_recorded],0)</f>
        <v>0</v>
      </c>
      <c r="AN507" s="11">
        <f>_xlfn.XLOOKUP(TableDailySummary[[#This Row],[Fecha]],SummaryDaily[day],SummaryDaily[cost_of_goods_sold],0)</f>
        <v>0</v>
      </c>
      <c r="AO507" s="11">
        <f>_xlfn.XLOOKUP(TableDailySummary[[#This Row],[Fecha]],SummaryDaily[day],SummaryDaily[gross_profit],0)</f>
        <v>0</v>
      </c>
      <c r="AP507" s="18">
        <f>IFERROR(TableDailySummary[[#This Row],[Utilidad bruta]]/TableDailySummary[[#This Row],[Ventas netas con costo registrado]],0)</f>
        <v>0</v>
      </c>
    </row>
    <row r="508" spans="2:42" x14ac:dyDescent="0.2">
      <c r="B508" s="15" cm="1">
        <f t="array" ref="B508">ParamFechaInicioReporte + (ROW(TableDailySummary[#This Row]) - ROW(TableDailySummary[[#Headers],[Dia]]) - 1)</f>
        <v>45035</v>
      </c>
      <c r="C508" s="6">
        <f>TableDailySummary[[#This Row],[Dia]]</f>
        <v>45035</v>
      </c>
      <c r="D508" s="11">
        <f>_xlfn.XLOOKUP(TableDailySummary[[#This Row],[Fecha]],SummaryDaily[day],SummaryDaily[net_sales],0)</f>
        <v>0</v>
      </c>
      <c r="E508" s="11">
        <f>_xlfn.XLOOKUP(TableDailySummary[[#This Row],[Fecha]],SummaryDaily[day],SummaryDaily[orders],0)</f>
        <v>0</v>
      </c>
      <c r="F508" s="11">
        <f>_xlfn.XLOOKUP(TableDailySummary[[#This Row],[Fecha]],SummaryDaily[day],SummaryDaily[average_order_value],0)</f>
        <v>0</v>
      </c>
      <c r="G508" s="24" cm="1">
        <f t="array" ref="G508">_xlfn.XLOOKUP(TableDailySummary[[#This Row],[Fecha]]&amp;"Total site",ConversionRateByReferral[day]&amp;ConversionRateByReferral[referrer_source],ConversionRateByReferral[conversion_rate],0)</f>
        <v>0</v>
      </c>
      <c r="H508" s="11">
        <f>TableDailySummary[[#This Row],[Órden promedio totales]]*TableDailySummary[[#This Row],[CR totales]]</f>
        <v>0</v>
      </c>
      <c r="I508" s="11">
        <f>_xlfn.XLOOKUP(TableDailySummary[[#This Row],[Fecha]],SummaryDaily[day],SummaryDaily[new_net_sales],0)</f>
        <v>0</v>
      </c>
      <c r="J508" s="11">
        <f>_xlfn.XLOOKUP(TableDailySummary[[#This Row],[Fecha]],SummaryDaily[day],SummaryDaily[new_orders],0)</f>
        <v>0</v>
      </c>
      <c r="K508" s="11">
        <f>_xlfn.XLOOKUP(TableDailySummary[[#This Row],[Fecha]],SummaryDaily[day],SummaryDaily[new_average_order_value],0)</f>
        <v>0</v>
      </c>
      <c r="L508" s="11">
        <f>_xlfn.XLOOKUP(TableDailySummary[[#This Row],[Fecha]],SummaryDaily[day],SummaryDaily[Online Store_net_sales],0)</f>
        <v>0</v>
      </c>
      <c r="M508" s="11">
        <f>_xlfn.XLOOKUP(TableDailySummary[[#This Row],[Fecha]],SummaryDaily[day],SummaryDaily[Online Store_orders],0)</f>
        <v>0</v>
      </c>
      <c r="N508" s="11">
        <f>_xlfn.XLOOKUP(TableDailySummary[[#This Row],[Fecha]],SummaryDaily[day],SummaryDaily[Online Store_average_order_value],0)</f>
        <v>0</v>
      </c>
      <c r="O508" s="11">
        <f>_xlfn.XLOOKUP(TableDailySummary[[#This Row],[Fecha]],SummaryDaily[day],SummaryDaily[Tienda 81_net_sales],0)</f>
        <v>0</v>
      </c>
      <c r="P508" s="11">
        <f>_xlfn.XLOOKUP(TableDailySummary[[#This Row],[Fecha]],SummaryDaily[day],SummaryDaily[Tienda 81_orders],0)</f>
        <v>0</v>
      </c>
      <c r="Q508" s="11">
        <f>_xlfn.XLOOKUP(TableDailySummary[[#This Row],[Fecha]],SummaryDaily[day],SummaryDaily[Tienda 81_average_order_value],0)</f>
        <v>0</v>
      </c>
      <c r="R508" s="11">
        <f>_xlfn.XLOOKUP(TableDailySummary[[#This Row],[Fecha]],SummaryDaily[day],SummaryDaily[Rappi_net_sales],0)</f>
        <v>0</v>
      </c>
      <c r="S508" s="11">
        <f>_xlfn.XLOOKUP(TableDailySummary[[#This Row],[Fecha]],SummaryDaily[day],SummaryDaily[Rappi_orders],0)</f>
        <v>0</v>
      </c>
      <c r="T508" s="11">
        <f>_xlfn.XLOOKUP(TableDailySummary[[#This Row],[Fecha]],SummaryDaily[day],SummaryDaily[Rappi_average_order_value],0)</f>
        <v>0</v>
      </c>
      <c r="U508" s="11">
        <f>_xlfn.XLOOKUP(TableDailySummary[[#This Row],[Fecha]],SummaryDaily[day],SummaryDaily[Corporativo no tienda_net_sales],0)</f>
        <v>0</v>
      </c>
      <c r="V508" s="11">
        <f>_xlfn.XLOOKUP(TableDailySummary[[#This Row],[Fecha]],SummaryDaily[day],SummaryDaily[Corporativo no tienda_orders],0)</f>
        <v>0</v>
      </c>
      <c r="W508" s="11">
        <f>_xlfn.XLOOKUP(TableDailySummary[[#This Row],[Fecha]],SummaryDaily[day],SummaryDaily[Corporativo no tienda_average_order_value],0)</f>
        <v>0</v>
      </c>
      <c r="X508" s="11">
        <f>_xlfn.XLOOKUP(TableDailySummary[[#This Row],[Fecha]],SummaryDaily[day],SummaryDaily[GoogleAdsOperation.Cost],0)</f>
        <v>0</v>
      </c>
      <c r="Y508" s="11">
        <f>SUMIFS(SalesByUTMDaily[google],SalesByUTMDaily[day],TableDailySummary[[#This Row],[Fecha]])</f>
        <v>0</v>
      </c>
      <c r="Z508" s="11">
        <f>_xlfn.XLOOKUP(TableDailySummary[[#This Row],[Fecha]],SummaryDaily[day],SummaryDaily[MetaAdsOperation.spend],0)</f>
        <v>0</v>
      </c>
      <c r="AA508" s="11">
        <f>SUMIFS(SalesByUTMDaily[facebook],SalesByUTMDaily[day],TableDailySummary[[#This Row],[Fecha]])</f>
        <v>0</v>
      </c>
      <c r="AB508" s="11">
        <f>TableDailySummary[[#This Row],[Inversión google ads]]+TableDailySummary[[#This Row],[Inversión meta ads]]</f>
        <v>0</v>
      </c>
      <c r="AC508" s="11">
        <f>TableDailySummary[[#This Row],[Ventas google ads]]+TableDailySummary[[#This Row],[Ventas meta ads]]</f>
        <v>0</v>
      </c>
      <c r="AD508" s="14">
        <f>IFERROR(TableDailySummary[[#This Row],[Ventas publicidad]]/TableDailySummary[[#This Row],[Inversión publicidad]],0)</f>
        <v>0</v>
      </c>
      <c r="AE508" s="14">
        <f>IFERROR(TableDailySummary[[#This Row],[Ventas primer cliente]]/TableDailySummary[[#This Row],[Inversión publicidad]],0)</f>
        <v>0</v>
      </c>
      <c r="AF508" s="14"/>
      <c r="AG508" s="11"/>
      <c r="AM508" s="11">
        <f>_xlfn.XLOOKUP(TableDailySummary[[#This Row],[Fecha]],SummaryDaily[day],SummaryDaily[net_sales_with_cost_recorded],0)</f>
        <v>0</v>
      </c>
      <c r="AN508" s="11">
        <f>_xlfn.XLOOKUP(TableDailySummary[[#This Row],[Fecha]],SummaryDaily[day],SummaryDaily[cost_of_goods_sold],0)</f>
        <v>0</v>
      </c>
      <c r="AO508" s="11">
        <f>_xlfn.XLOOKUP(TableDailySummary[[#This Row],[Fecha]],SummaryDaily[day],SummaryDaily[gross_profit],0)</f>
        <v>0</v>
      </c>
      <c r="AP508" s="18">
        <f>IFERROR(TableDailySummary[[#This Row],[Utilidad bruta]]/TableDailySummary[[#This Row],[Ventas netas con costo registrado]],0)</f>
        <v>0</v>
      </c>
    </row>
    <row r="509" spans="2:42" x14ac:dyDescent="0.2">
      <c r="B509" s="15" cm="1">
        <f t="array" ref="B509">ParamFechaInicioReporte + (ROW(TableDailySummary[#This Row]) - ROW(TableDailySummary[[#Headers],[Dia]]) - 1)</f>
        <v>45036</v>
      </c>
      <c r="C509" s="6">
        <f>TableDailySummary[[#This Row],[Dia]]</f>
        <v>45036</v>
      </c>
      <c r="D509" s="11">
        <f>_xlfn.XLOOKUP(TableDailySummary[[#This Row],[Fecha]],SummaryDaily[day],SummaryDaily[net_sales],0)</f>
        <v>0</v>
      </c>
      <c r="E509" s="11">
        <f>_xlfn.XLOOKUP(TableDailySummary[[#This Row],[Fecha]],SummaryDaily[day],SummaryDaily[orders],0)</f>
        <v>0</v>
      </c>
      <c r="F509" s="11">
        <f>_xlfn.XLOOKUP(TableDailySummary[[#This Row],[Fecha]],SummaryDaily[day],SummaryDaily[average_order_value],0)</f>
        <v>0</v>
      </c>
      <c r="G509" s="24" cm="1">
        <f t="array" ref="G509">_xlfn.XLOOKUP(TableDailySummary[[#This Row],[Fecha]]&amp;"Total site",ConversionRateByReferral[day]&amp;ConversionRateByReferral[referrer_source],ConversionRateByReferral[conversion_rate],0)</f>
        <v>0</v>
      </c>
      <c r="H509" s="11">
        <f>TableDailySummary[[#This Row],[Órden promedio totales]]*TableDailySummary[[#This Row],[CR totales]]</f>
        <v>0</v>
      </c>
      <c r="I509" s="11">
        <f>_xlfn.XLOOKUP(TableDailySummary[[#This Row],[Fecha]],SummaryDaily[day],SummaryDaily[new_net_sales],0)</f>
        <v>0</v>
      </c>
      <c r="J509" s="11">
        <f>_xlfn.XLOOKUP(TableDailySummary[[#This Row],[Fecha]],SummaryDaily[day],SummaryDaily[new_orders],0)</f>
        <v>0</v>
      </c>
      <c r="K509" s="11">
        <f>_xlfn.XLOOKUP(TableDailySummary[[#This Row],[Fecha]],SummaryDaily[day],SummaryDaily[new_average_order_value],0)</f>
        <v>0</v>
      </c>
      <c r="L509" s="11">
        <f>_xlfn.XLOOKUP(TableDailySummary[[#This Row],[Fecha]],SummaryDaily[day],SummaryDaily[Online Store_net_sales],0)</f>
        <v>0</v>
      </c>
      <c r="M509" s="11">
        <f>_xlfn.XLOOKUP(TableDailySummary[[#This Row],[Fecha]],SummaryDaily[day],SummaryDaily[Online Store_orders],0)</f>
        <v>0</v>
      </c>
      <c r="N509" s="11">
        <f>_xlfn.XLOOKUP(TableDailySummary[[#This Row],[Fecha]],SummaryDaily[day],SummaryDaily[Online Store_average_order_value],0)</f>
        <v>0</v>
      </c>
      <c r="O509" s="11">
        <f>_xlfn.XLOOKUP(TableDailySummary[[#This Row],[Fecha]],SummaryDaily[day],SummaryDaily[Tienda 81_net_sales],0)</f>
        <v>0</v>
      </c>
      <c r="P509" s="11">
        <f>_xlfn.XLOOKUP(TableDailySummary[[#This Row],[Fecha]],SummaryDaily[day],SummaryDaily[Tienda 81_orders],0)</f>
        <v>0</v>
      </c>
      <c r="Q509" s="11">
        <f>_xlfn.XLOOKUP(TableDailySummary[[#This Row],[Fecha]],SummaryDaily[day],SummaryDaily[Tienda 81_average_order_value],0)</f>
        <v>0</v>
      </c>
      <c r="R509" s="11">
        <f>_xlfn.XLOOKUP(TableDailySummary[[#This Row],[Fecha]],SummaryDaily[day],SummaryDaily[Rappi_net_sales],0)</f>
        <v>0</v>
      </c>
      <c r="S509" s="11">
        <f>_xlfn.XLOOKUP(TableDailySummary[[#This Row],[Fecha]],SummaryDaily[day],SummaryDaily[Rappi_orders],0)</f>
        <v>0</v>
      </c>
      <c r="T509" s="11">
        <f>_xlfn.XLOOKUP(TableDailySummary[[#This Row],[Fecha]],SummaryDaily[day],SummaryDaily[Rappi_average_order_value],0)</f>
        <v>0</v>
      </c>
      <c r="U509" s="11">
        <f>_xlfn.XLOOKUP(TableDailySummary[[#This Row],[Fecha]],SummaryDaily[day],SummaryDaily[Corporativo no tienda_net_sales],0)</f>
        <v>0</v>
      </c>
      <c r="V509" s="11">
        <f>_xlfn.XLOOKUP(TableDailySummary[[#This Row],[Fecha]],SummaryDaily[day],SummaryDaily[Corporativo no tienda_orders],0)</f>
        <v>0</v>
      </c>
      <c r="W509" s="11">
        <f>_xlfn.XLOOKUP(TableDailySummary[[#This Row],[Fecha]],SummaryDaily[day],SummaryDaily[Corporativo no tienda_average_order_value],0)</f>
        <v>0</v>
      </c>
      <c r="X509" s="11">
        <f>_xlfn.XLOOKUP(TableDailySummary[[#This Row],[Fecha]],SummaryDaily[day],SummaryDaily[GoogleAdsOperation.Cost],0)</f>
        <v>0</v>
      </c>
      <c r="Y509" s="11">
        <f>SUMIFS(SalesByUTMDaily[google],SalesByUTMDaily[day],TableDailySummary[[#This Row],[Fecha]])</f>
        <v>0</v>
      </c>
      <c r="Z509" s="11">
        <f>_xlfn.XLOOKUP(TableDailySummary[[#This Row],[Fecha]],SummaryDaily[day],SummaryDaily[MetaAdsOperation.spend],0)</f>
        <v>0</v>
      </c>
      <c r="AA509" s="11">
        <f>SUMIFS(SalesByUTMDaily[facebook],SalesByUTMDaily[day],TableDailySummary[[#This Row],[Fecha]])</f>
        <v>0</v>
      </c>
      <c r="AB509" s="11">
        <f>TableDailySummary[[#This Row],[Inversión google ads]]+TableDailySummary[[#This Row],[Inversión meta ads]]</f>
        <v>0</v>
      </c>
      <c r="AC509" s="11">
        <f>TableDailySummary[[#This Row],[Ventas google ads]]+TableDailySummary[[#This Row],[Ventas meta ads]]</f>
        <v>0</v>
      </c>
      <c r="AD509" s="14">
        <f>IFERROR(TableDailySummary[[#This Row],[Ventas publicidad]]/TableDailySummary[[#This Row],[Inversión publicidad]],0)</f>
        <v>0</v>
      </c>
      <c r="AE509" s="14">
        <f>IFERROR(TableDailySummary[[#This Row],[Ventas primer cliente]]/TableDailySummary[[#This Row],[Inversión publicidad]],0)</f>
        <v>0</v>
      </c>
      <c r="AF509" s="14"/>
      <c r="AG509" s="11"/>
      <c r="AM509" s="11">
        <f>_xlfn.XLOOKUP(TableDailySummary[[#This Row],[Fecha]],SummaryDaily[day],SummaryDaily[net_sales_with_cost_recorded],0)</f>
        <v>0</v>
      </c>
      <c r="AN509" s="11">
        <f>_xlfn.XLOOKUP(TableDailySummary[[#This Row],[Fecha]],SummaryDaily[day],SummaryDaily[cost_of_goods_sold],0)</f>
        <v>0</v>
      </c>
      <c r="AO509" s="11">
        <f>_xlfn.XLOOKUP(TableDailySummary[[#This Row],[Fecha]],SummaryDaily[day],SummaryDaily[gross_profit],0)</f>
        <v>0</v>
      </c>
      <c r="AP509" s="18">
        <f>IFERROR(TableDailySummary[[#This Row],[Utilidad bruta]]/TableDailySummary[[#This Row],[Ventas netas con costo registrado]],0)</f>
        <v>0</v>
      </c>
    </row>
    <row r="510" spans="2:42" x14ac:dyDescent="0.2">
      <c r="B510" s="15" cm="1">
        <f t="array" ref="B510">ParamFechaInicioReporte + (ROW(TableDailySummary[#This Row]) - ROW(TableDailySummary[[#Headers],[Dia]]) - 1)</f>
        <v>45037</v>
      </c>
      <c r="C510" s="6">
        <f>TableDailySummary[[#This Row],[Dia]]</f>
        <v>45037</v>
      </c>
      <c r="D510" s="11">
        <f>_xlfn.XLOOKUP(TableDailySummary[[#This Row],[Fecha]],SummaryDaily[day],SummaryDaily[net_sales],0)</f>
        <v>0</v>
      </c>
      <c r="E510" s="11">
        <f>_xlfn.XLOOKUP(TableDailySummary[[#This Row],[Fecha]],SummaryDaily[day],SummaryDaily[orders],0)</f>
        <v>0</v>
      </c>
      <c r="F510" s="11">
        <f>_xlfn.XLOOKUP(TableDailySummary[[#This Row],[Fecha]],SummaryDaily[day],SummaryDaily[average_order_value],0)</f>
        <v>0</v>
      </c>
      <c r="G510" s="24" cm="1">
        <f t="array" ref="G510">_xlfn.XLOOKUP(TableDailySummary[[#This Row],[Fecha]]&amp;"Total site",ConversionRateByReferral[day]&amp;ConversionRateByReferral[referrer_source],ConversionRateByReferral[conversion_rate],0)</f>
        <v>0</v>
      </c>
      <c r="H510" s="11">
        <f>TableDailySummary[[#This Row],[Órden promedio totales]]*TableDailySummary[[#This Row],[CR totales]]</f>
        <v>0</v>
      </c>
      <c r="I510" s="11">
        <f>_xlfn.XLOOKUP(TableDailySummary[[#This Row],[Fecha]],SummaryDaily[day],SummaryDaily[new_net_sales],0)</f>
        <v>0</v>
      </c>
      <c r="J510" s="11">
        <f>_xlfn.XLOOKUP(TableDailySummary[[#This Row],[Fecha]],SummaryDaily[day],SummaryDaily[new_orders],0)</f>
        <v>0</v>
      </c>
      <c r="K510" s="11">
        <f>_xlfn.XLOOKUP(TableDailySummary[[#This Row],[Fecha]],SummaryDaily[day],SummaryDaily[new_average_order_value],0)</f>
        <v>0</v>
      </c>
      <c r="L510" s="11">
        <f>_xlfn.XLOOKUP(TableDailySummary[[#This Row],[Fecha]],SummaryDaily[day],SummaryDaily[Online Store_net_sales],0)</f>
        <v>0</v>
      </c>
      <c r="M510" s="11">
        <f>_xlfn.XLOOKUP(TableDailySummary[[#This Row],[Fecha]],SummaryDaily[day],SummaryDaily[Online Store_orders],0)</f>
        <v>0</v>
      </c>
      <c r="N510" s="11">
        <f>_xlfn.XLOOKUP(TableDailySummary[[#This Row],[Fecha]],SummaryDaily[day],SummaryDaily[Online Store_average_order_value],0)</f>
        <v>0</v>
      </c>
      <c r="O510" s="11">
        <f>_xlfn.XLOOKUP(TableDailySummary[[#This Row],[Fecha]],SummaryDaily[day],SummaryDaily[Tienda 81_net_sales],0)</f>
        <v>0</v>
      </c>
      <c r="P510" s="11">
        <f>_xlfn.XLOOKUP(TableDailySummary[[#This Row],[Fecha]],SummaryDaily[day],SummaryDaily[Tienda 81_orders],0)</f>
        <v>0</v>
      </c>
      <c r="Q510" s="11">
        <f>_xlfn.XLOOKUP(TableDailySummary[[#This Row],[Fecha]],SummaryDaily[day],SummaryDaily[Tienda 81_average_order_value],0)</f>
        <v>0</v>
      </c>
      <c r="R510" s="11">
        <f>_xlfn.XLOOKUP(TableDailySummary[[#This Row],[Fecha]],SummaryDaily[day],SummaryDaily[Rappi_net_sales],0)</f>
        <v>0</v>
      </c>
      <c r="S510" s="11">
        <f>_xlfn.XLOOKUP(TableDailySummary[[#This Row],[Fecha]],SummaryDaily[day],SummaryDaily[Rappi_orders],0)</f>
        <v>0</v>
      </c>
      <c r="T510" s="11">
        <f>_xlfn.XLOOKUP(TableDailySummary[[#This Row],[Fecha]],SummaryDaily[day],SummaryDaily[Rappi_average_order_value],0)</f>
        <v>0</v>
      </c>
      <c r="U510" s="11">
        <f>_xlfn.XLOOKUP(TableDailySummary[[#This Row],[Fecha]],SummaryDaily[day],SummaryDaily[Corporativo no tienda_net_sales],0)</f>
        <v>0</v>
      </c>
      <c r="V510" s="11">
        <f>_xlfn.XLOOKUP(TableDailySummary[[#This Row],[Fecha]],SummaryDaily[day],SummaryDaily[Corporativo no tienda_orders],0)</f>
        <v>0</v>
      </c>
      <c r="W510" s="11">
        <f>_xlfn.XLOOKUP(TableDailySummary[[#This Row],[Fecha]],SummaryDaily[day],SummaryDaily[Corporativo no tienda_average_order_value],0)</f>
        <v>0</v>
      </c>
      <c r="X510" s="11">
        <f>_xlfn.XLOOKUP(TableDailySummary[[#This Row],[Fecha]],SummaryDaily[day],SummaryDaily[GoogleAdsOperation.Cost],0)</f>
        <v>0</v>
      </c>
      <c r="Y510" s="11">
        <f>SUMIFS(SalesByUTMDaily[google],SalesByUTMDaily[day],TableDailySummary[[#This Row],[Fecha]])</f>
        <v>0</v>
      </c>
      <c r="Z510" s="11">
        <f>_xlfn.XLOOKUP(TableDailySummary[[#This Row],[Fecha]],SummaryDaily[day],SummaryDaily[MetaAdsOperation.spend],0)</f>
        <v>0</v>
      </c>
      <c r="AA510" s="11">
        <f>SUMIFS(SalesByUTMDaily[facebook],SalesByUTMDaily[day],TableDailySummary[[#This Row],[Fecha]])</f>
        <v>0</v>
      </c>
      <c r="AB510" s="11">
        <f>TableDailySummary[[#This Row],[Inversión google ads]]+TableDailySummary[[#This Row],[Inversión meta ads]]</f>
        <v>0</v>
      </c>
      <c r="AC510" s="11">
        <f>TableDailySummary[[#This Row],[Ventas google ads]]+TableDailySummary[[#This Row],[Ventas meta ads]]</f>
        <v>0</v>
      </c>
      <c r="AD510" s="14">
        <f>IFERROR(TableDailySummary[[#This Row],[Ventas publicidad]]/TableDailySummary[[#This Row],[Inversión publicidad]],0)</f>
        <v>0</v>
      </c>
      <c r="AE510" s="14">
        <f>IFERROR(TableDailySummary[[#This Row],[Ventas primer cliente]]/TableDailySummary[[#This Row],[Inversión publicidad]],0)</f>
        <v>0</v>
      </c>
      <c r="AF510" s="14"/>
      <c r="AG510" s="11"/>
      <c r="AM510" s="11">
        <f>_xlfn.XLOOKUP(TableDailySummary[[#This Row],[Fecha]],SummaryDaily[day],SummaryDaily[net_sales_with_cost_recorded],0)</f>
        <v>0</v>
      </c>
      <c r="AN510" s="11">
        <f>_xlfn.XLOOKUP(TableDailySummary[[#This Row],[Fecha]],SummaryDaily[day],SummaryDaily[cost_of_goods_sold],0)</f>
        <v>0</v>
      </c>
      <c r="AO510" s="11">
        <f>_xlfn.XLOOKUP(TableDailySummary[[#This Row],[Fecha]],SummaryDaily[day],SummaryDaily[gross_profit],0)</f>
        <v>0</v>
      </c>
      <c r="AP510" s="18">
        <f>IFERROR(TableDailySummary[[#This Row],[Utilidad bruta]]/TableDailySummary[[#This Row],[Ventas netas con costo registrado]],0)</f>
        <v>0</v>
      </c>
    </row>
    <row r="511" spans="2:42" x14ac:dyDescent="0.2">
      <c r="B511" s="15" cm="1">
        <f t="array" ref="B511">ParamFechaInicioReporte + (ROW(TableDailySummary[#This Row]) - ROW(TableDailySummary[[#Headers],[Dia]]) - 1)</f>
        <v>45038</v>
      </c>
      <c r="C511" s="6">
        <f>TableDailySummary[[#This Row],[Dia]]</f>
        <v>45038</v>
      </c>
      <c r="D511" s="11">
        <f>_xlfn.XLOOKUP(TableDailySummary[[#This Row],[Fecha]],SummaryDaily[day],SummaryDaily[net_sales],0)</f>
        <v>0</v>
      </c>
      <c r="E511" s="11">
        <f>_xlfn.XLOOKUP(TableDailySummary[[#This Row],[Fecha]],SummaryDaily[day],SummaryDaily[orders],0)</f>
        <v>0</v>
      </c>
      <c r="F511" s="11">
        <f>_xlfn.XLOOKUP(TableDailySummary[[#This Row],[Fecha]],SummaryDaily[day],SummaryDaily[average_order_value],0)</f>
        <v>0</v>
      </c>
      <c r="G511" s="24" cm="1">
        <f t="array" ref="G511">_xlfn.XLOOKUP(TableDailySummary[[#This Row],[Fecha]]&amp;"Total site",ConversionRateByReferral[day]&amp;ConversionRateByReferral[referrer_source],ConversionRateByReferral[conversion_rate],0)</f>
        <v>0</v>
      </c>
      <c r="H511" s="11">
        <f>TableDailySummary[[#This Row],[Órden promedio totales]]*TableDailySummary[[#This Row],[CR totales]]</f>
        <v>0</v>
      </c>
      <c r="I511" s="11">
        <f>_xlfn.XLOOKUP(TableDailySummary[[#This Row],[Fecha]],SummaryDaily[day],SummaryDaily[new_net_sales],0)</f>
        <v>0</v>
      </c>
      <c r="J511" s="11">
        <f>_xlfn.XLOOKUP(TableDailySummary[[#This Row],[Fecha]],SummaryDaily[day],SummaryDaily[new_orders],0)</f>
        <v>0</v>
      </c>
      <c r="K511" s="11">
        <f>_xlfn.XLOOKUP(TableDailySummary[[#This Row],[Fecha]],SummaryDaily[day],SummaryDaily[new_average_order_value],0)</f>
        <v>0</v>
      </c>
      <c r="L511" s="11">
        <f>_xlfn.XLOOKUP(TableDailySummary[[#This Row],[Fecha]],SummaryDaily[day],SummaryDaily[Online Store_net_sales],0)</f>
        <v>0</v>
      </c>
      <c r="M511" s="11">
        <f>_xlfn.XLOOKUP(TableDailySummary[[#This Row],[Fecha]],SummaryDaily[day],SummaryDaily[Online Store_orders],0)</f>
        <v>0</v>
      </c>
      <c r="N511" s="11">
        <f>_xlfn.XLOOKUP(TableDailySummary[[#This Row],[Fecha]],SummaryDaily[day],SummaryDaily[Online Store_average_order_value],0)</f>
        <v>0</v>
      </c>
      <c r="O511" s="11">
        <f>_xlfn.XLOOKUP(TableDailySummary[[#This Row],[Fecha]],SummaryDaily[day],SummaryDaily[Tienda 81_net_sales],0)</f>
        <v>0</v>
      </c>
      <c r="P511" s="11">
        <f>_xlfn.XLOOKUP(TableDailySummary[[#This Row],[Fecha]],SummaryDaily[day],SummaryDaily[Tienda 81_orders],0)</f>
        <v>0</v>
      </c>
      <c r="Q511" s="11">
        <f>_xlfn.XLOOKUP(TableDailySummary[[#This Row],[Fecha]],SummaryDaily[day],SummaryDaily[Tienda 81_average_order_value],0)</f>
        <v>0</v>
      </c>
      <c r="R511" s="11">
        <f>_xlfn.XLOOKUP(TableDailySummary[[#This Row],[Fecha]],SummaryDaily[day],SummaryDaily[Rappi_net_sales],0)</f>
        <v>0</v>
      </c>
      <c r="S511" s="11">
        <f>_xlfn.XLOOKUP(TableDailySummary[[#This Row],[Fecha]],SummaryDaily[day],SummaryDaily[Rappi_orders],0)</f>
        <v>0</v>
      </c>
      <c r="T511" s="11">
        <f>_xlfn.XLOOKUP(TableDailySummary[[#This Row],[Fecha]],SummaryDaily[day],SummaryDaily[Rappi_average_order_value],0)</f>
        <v>0</v>
      </c>
      <c r="U511" s="11">
        <f>_xlfn.XLOOKUP(TableDailySummary[[#This Row],[Fecha]],SummaryDaily[day],SummaryDaily[Corporativo no tienda_net_sales],0)</f>
        <v>0</v>
      </c>
      <c r="V511" s="11">
        <f>_xlfn.XLOOKUP(TableDailySummary[[#This Row],[Fecha]],SummaryDaily[day],SummaryDaily[Corporativo no tienda_orders],0)</f>
        <v>0</v>
      </c>
      <c r="W511" s="11">
        <f>_xlfn.XLOOKUP(TableDailySummary[[#This Row],[Fecha]],SummaryDaily[day],SummaryDaily[Corporativo no tienda_average_order_value],0)</f>
        <v>0</v>
      </c>
      <c r="X511" s="11">
        <f>_xlfn.XLOOKUP(TableDailySummary[[#This Row],[Fecha]],SummaryDaily[day],SummaryDaily[GoogleAdsOperation.Cost],0)</f>
        <v>0</v>
      </c>
      <c r="Y511" s="11">
        <f>SUMIFS(SalesByUTMDaily[google],SalesByUTMDaily[day],TableDailySummary[[#This Row],[Fecha]])</f>
        <v>0</v>
      </c>
      <c r="Z511" s="11">
        <f>_xlfn.XLOOKUP(TableDailySummary[[#This Row],[Fecha]],SummaryDaily[day],SummaryDaily[MetaAdsOperation.spend],0)</f>
        <v>0</v>
      </c>
      <c r="AA511" s="11">
        <f>SUMIFS(SalesByUTMDaily[facebook],SalesByUTMDaily[day],TableDailySummary[[#This Row],[Fecha]])</f>
        <v>0</v>
      </c>
      <c r="AB511" s="11">
        <f>TableDailySummary[[#This Row],[Inversión google ads]]+TableDailySummary[[#This Row],[Inversión meta ads]]</f>
        <v>0</v>
      </c>
      <c r="AC511" s="11">
        <f>TableDailySummary[[#This Row],[Ventas google ads]]+TableDailySummary[[#This Row],[Ventas meta ads]]</f>
        <v>0</v>
      </c>
      <c r="AD511" s="14">
        <f>IFERROR(TableDailySummary[[#This Row],[Ventas publicidad]]/TableDailySummary[[#This Row],[Inversión publicidad]],0)</f>
        <v>0</v>
      </c>
      <c r="AE511" s="14">
        <f>IFERROR(TableDailySummary[[#This Row],[Ventas primer cliente]]/TableDailySummary[[#This Row],[Inversión publicidad]],0)</f>
        <v>0</v>
      </c>
      <c r="AF511" s="14"/>
      <c r="AG511" s="11"/>
      <c r="AM511" s="11">
        <f>_xlfn.XLOOKUP(TableDailySummary[[#This Row],[Fecha]],SummaryDaily[day],SummaryDaily[net_sales_with_cost_recorded],0)</f>
        <v>0</v>
      </c>
      <c r="AN511" s="11">
        <f>_xlfn.XLOOKUP(TableDailySummary[[#This Row],[Fecha]],SummaryDaily[day],SummaryDaily[cost_of_goods_sold],0)</f>
        <v>0</v>
      </c>
      <c r="AO511" s="11">
        <f>_xlfn.XLOOKUP(TableDailySummary[[#This Row],[Fecha]],SummaryDaily[day],SummaryDaily[gross_profit],0)</f>
        <v>0</v>
      </c>
      <c r="AP511" s="18">
        <f>IFERROR(TableDailySummary[[#This Row],[Utilidad bruta]]/TableDailySummary[[#This Row],[Ventas netas con costo registrado]],0)</f>
        <v>0</v>
      </c>
    </row>
    <row r="512" spans="2:42" x14ac:dyDescent="0.2">
      <c r="B512" s="15" cm="1">
        <f t="array" ref="B512">ParamFechaInicioReporte + (ROW(TableDailySummary[#This Row]) - ROW(TableDailySummary[[#Headers],[Dia]]) - 1)</f>
        <v>45039</v>
      </c>
      <c r="C512" s="6">
        <f>TableDailySummary[[#This Row],[Dia]]</f>
        <v>45039</v>
      </c>
      <c r="D512" s="11">
        <f>_xlfn.XLOOKUP(TableDailySummary[[#This Row],[Fecha]],SummaryDaily[day],SummaryDaily[net_sales],0)</f>
        <v>0</v>
      </c>
      <c r="E512" s="11">
        <f>_xlfn.XLOOKUP(TableDailySummary[[#This Row],[Fecha]],SummaryDaily[day],SummaryDaily[orders],0)</f>
        <v>0</v>
      </c>
      <c r="F512" s="11">
        <f>_xlfn.XLOOKUP(TableDailySummary[[#This Row],[Fecha]],SummaryDaily[day],SummaryDaily[average_order_value],0)</f>
        <v>0</v>
      </c>
      <c r="G512" s="24" cm="1">
        <f t="array" ref="G512">_xlfn.XLOOKUP(TableDailySummary[[#This Row],[Fecha]]&amp;"Total site",ConversionRateByReferral[day]&amp;ConversionRateByReferral[referrer_source],ConversionRateByReferral[conversion_rate],0)</f>
        <v>0</v>
      </c>
      <c r="H512" s="11">
        <f>TableDailySummary[[#This Row],[Órden promedio totales]]*TableDailySummary[[#This Row],[CR totales]]</f>
        <v>0</v>
      </c>
      <c r="I512" s="11">
        <f>_xlfn.XLOOKUP(TableDailySummary[[#This Row],[Fecha]],SummaryDaily[day],SummaryDaily[new_net_sales],0)</f>
        <v>0</v>
      </c>
      <c r="J512" s="11">
        <f>_xlfn.XLOOKUP(TableDailySummary[[#This Row],[Fecha]],SummaryDaily[day],SummaryDaily[new_orders],0)</f>
        <v>0</v>
      </c>
      <c r="K512" s="11">
        <f>_xlfn.XLOOKUP(TableDailySummary[[#This Row],[Fecha]],SummaryDaily[day],SummaryDaily[new_average_order_value],0)</f>
        <v>0</v>
      </c>
      <c r="L512" s="11">
        <f>_xlfn.XLOOKUP(TableDailySummary[[#This Row],[Fecha]],SummaryDaily[day],SummaryDaily[Online Store_net_sales],0)</f>
        <v>0</v>
      </c>
      <c r="M512" s="11">
        <f>_xlfn.XLOOKUP(TableDailySummary[[#This Row],[Fecha]],SummaryDaily[day],SummaryDaily[Online Store_orders],0)</f>
        <v>0</v>
      </c>
      <c r="N512" s="11">
        <f>_xlfn.XLOOKUP(TableDailySummary[[#This Row],[Fecha]],SummaryDaily[day],SummaryDaily[Online Store_average_order_value],0)</f>
        <v>0</v>
      </c>
      <c r="O512" s="11">
        <f>_xlfn.XLOOKUP(TableDailySummary[[#This Row],[Fecha]],SummaryDaily[day],SummaryDaily[Tienda 81_net_sales],0)</f>
        <v>0</v>
      </c>
      <c r="P512" s="11">
        <f>_xlfn.XLOOKUP(TableDailySummary[[#This Row],[Fecha]],SummaryDaily[day],SummaryDaily[Tienda 81_orders],0)</f>
        <v>0</v>
      </c>
      <c r="Q512" s="11">
        <f>_xlfn.XLOOKUP(TableDailySummary[[#This Row],[Fecha]],SummaryDaily[day],SummaryDaily[Tienda 81_average_order_value],0)</f>
        <v>0</v>
      </c>
      <c r="R512" s="11">
        <f>_xlfn.XLOOKUP(TableDailySummary[[#This Row],[Fecha]],SummaryDaily[day],SummaryDaily[Rappi_net_sales],0)</f>
        <v>0</v>
      </c>
      <c r="S512" s="11">
        <f>_xlfn.XLOOKUP(TableDailySummary[[#This Row],[Fecha]],SummaryDaily[day],SummaryDaily[Rappi_orders],0)</f>
        <v>0</v>
      </c>
      <c r="T512" s="11">
        <f>_xlfn.XLOOKUP(TableDailySummary[[#This Row],[Fecha]],SummaryDaily[day],SummaryDaily[Rappi_average_order_value],0)</f>
        <v>0</v>
      </c>
      <c r="U512" s="11">
        <f>_xlfn.XLOOKUP(TableDailySummary[[#This Row],[Fecha]],SummaryDaily[day],SummaryDaily[Corporativo no tienda_net_sales],0)</f>
        <v>0</v>
      </c>
      <c r="V512" s="11">
        <f>_xlfn.XLOOKUP(TableDailySummary[[#This Row],[Fecha]],SummaryDaily[day],SummaryDaily[Corporativo no tienda_orders],0)</f>
        <v>0</v>
      </c>
      <c r="W512" s="11">
        <f>_xlfn.XLOOKUP(TableDailySummary[[#This Row],[Fecha]],SummaryDaily[day],SummaryDaily[Corporativo no tienda_average_order_value],0)</f>
        <v>0</v>
      </c>
      <c r="X512" s="11">
        <f>_xlfn.XLOOKUP(TableDailySummary[[#This Row],[Fecha]],SummaryDaily[day],SummaryDaily[GoogleAdsOperation.Cost],0)</f>
        <v>0</v>
      </c>
      <c r="Y512" s="11">
        <f>SUMIFS(SalesByUTMDaily[google],SalesByUTMDaily[day],TableDailySummary[[#This Row],[Fecha]])</f>
        <v>0</v>
      </c>
      <c r="Z512" s="11">
        <f>_xlfn.XLOOKUP(TableDailySummary[[#This Row],[Fecha]],SummaryDaily[day],SummaryDaily[MetaAdsOperation.spend],0)</f>
        <v>0</v>
      </c>
      <c r="AA512" s="11">
        <f>SUMIFS(SalesByUTMDaily[facebook],SalesByUTMDaily[day],TableDailySummary[[#This Row],[Fecha]])</f>
        <v>0</v>
      </c>
      <c r="AB512" s="11">
        <f>TableDailySummary[[#This Row],[Inversión google ads]]+TableDailySummary[[#This Row],[Inversión meta ads]]</f>
        <v>0</v>
      </c>
      <c r="AC512" s="11">
        <f>TableDailySummary[[#This Row],[Ventas google ads]]+TableDailySummary[[#This Row],[Ventas meta ads]]</f>
        <v>0</v>
      </c>
      <c r="AD512" s="14">
        <f>IFERROR(TableDailySummary[[#This Row],[Ventas publicidad]]/TableDailySummary[[#This Row],[Inversión publicidad]],0)</f>
        <v>0</v>
      </c>
      <c r="AE512" s="14">
        <f>IFERROR(TableDailySummary[[#This Row],[Ventas primer cliente]]/TableDailySummary[[#This Row],[Inversión publicidad]],0)</f>
        <v>0</v>
      </c>
      <c r="AF512" s="14"/>
      <c r="AG512" s="11"/>
      <c r="AM512" s="11">
        <f>_xlfn.XLOOKUP(TableDailySummary[[#This Row],[Fecha]],SummaryDaily[day],SummaryDaily[net_sales_with_cost_recorded],0)</f>
        <v>0</v>
      </c>
      <c r="AN512" s="11">
        <f>_xlfn.XLOOKUP(TableDailySummary[[#This Row],[Fecha]],SummaryDaily[day],SummaryDaily[cost_of_goods_sold],0)</f>
        <v>0</v>
      </c>
      <c r="AO512" s="11">
        <f>_xlfn.XLOOKUP(TableDailySummary[[#This Row],[Fecha]],SummaryDaily[day],SummaryDaily[gross_profit],0)</f>
        <v>0</v>
      </c>
      <c r="AP512" s="18">
        <f>IFERROR(TableDailySummary[[#This Row],[Utilidad bruta]]/TableDailySummary[[#This Row],[Ventas netas con costo registrado]],0)</f>
        <v>0</v>
      </c>
    </row>
    <row r="513" spans="2:42" x14ac:dyDescent="0.2">
      <c r="B513" s="15" cm="1">
        <f t="array" ref="B513">ParamFechaInicioReporte + (ROW(TableDailySummary[#This Row]) - ROW(TableDailySummary[[#Headers],[Dia]]) - 1)</f>
        <v>45040</v>
      </c>
      <c r="C513" s="6">
        <f>TableDailySummary[[#This Row],[Dia]]</f>
        <v>45040</v>
      </c>
      <c r="D513" s="11">
        <f>_xlfn.XLOOKUP(TableDailySummary[[#This Row],[Fecha]],SummaryDaily[day],SummaryDaily[net_sales],0)</f>
        <v>0</v>
      </c>
      <c r="E513" s="11">
        <f>_xlfn.XLOOKUP(TableDailySummary[[#This Row],[Fecha]],SummaryDaily[day],SummaryDaily[orders],0)</f>
        <v>0</v>
      </c>
      <c r="F513" s="11">
        <f>_xlfn.XLOOKUP(TableDailySummary[[#This Row],[Fecha]],SummaryDaily[day],SummaryDaily[average_order_value],0)</f>
        <v>0</v>
      </c>
      <c r="G513" s="24" cm="1">
        <f t="array" ref="G513">_xlfn.XLOOKUP(TableDailySummary[[#This Row],[Fecha]]&amp;"Total site",ConversionRateByReferral[day]&amp;ConversionRateByReferral[referrer_source],ConversionRateByReferral[conversion_rate],0)</f>
        <v>0</v>
      </c>
      <c r="H513" s="11">
        <f>TableDailySummary[[#This Row],[Órden promedio totales]]*TableDailySummary[[#This Row],[CR totales]]</f>
        <v>0</v>
      </c>
      <c r="I513" s="11">
        <f>_xlfn.XLOOKUP(TableDailySummary[[#This Row],[Fecha]],SummaryDaily[day],SummaryDaily[new_net_sales],0)</f>
        <v>0</v>
      </c>
      <c r="J513" s="11">
        <f>_xlfn.XLOOKUP(TableDailySummary[[#This Row],[Fecha]],SummaryDaily[day],SummaryDaily[new_orders],0)</f>
        <v>0</v>
      </c>
      <c r="K513" s="11">
        <f>_xlfn.XLOOKUP(TableDailySummary[[#This Row],[Fecha]],SummaryDaily[day],SummaryDaily[new_average_order_value],0)</f>
        <v>0</v>
      </c>
      <c r="L513" s="11">
        <f>_xlfn.XLOOKUP(TableDailySummary[[#This Row],[Fecha]],SummaryDaily[day],SummaryDaily[Online Store_net_sales],0)</f>
        <v>0</v>
      </c>
      <c r="M513" s="11">
        <f>_xlfn.XLOOKUP(TableDailySummary[[#This Row],[Fecha]],SummaryDaily[day],SummaryDaily[Online Store_orders],0)</f>
        <v>0</v>
      </c>
      <c r="N513" s="11">
        <f>_xlfn.XLOOKUP(TableDailySummary[[#This Row],[Fecha]],SummaryDaily[day],SummaryDaily[Online Store_average_order_value],0)</f>
        <v>0</v>
      </c>
      <c r="O513" s="11">
        <f>_xlfn.XLOOKUP(TableDailySummary[[#This Row],[Fecha]],SummaryDaily[day],SummaryDaily[Tienda 81_net_sales],0)</f>
        <v>0</v>
      </c>
      <c r="P513" s="11">
        <f>_xlfn.XLOOKUP(TableDailySummary[[#This Row],[Fecha]],SummaryDaily[day],SummaryDaily[Tienda 81_orders],0)</f>
        <v>0</v>
      </c>
      <c r="Q513" s="11">
        <f>_xlfn.XLOOKUP(TableDailySummary[[#This Row],[Fecha]],SummaryDaily[day],SummaryDaily[Tienda 81_average_order_value],0)</f>
        <v>0</v>
      </c>
      <c r="R513" s="11">
        <f>_xlfn.XLOOKUP(TableDailySummary[[#This Row],[Fecha]],SummaryDaily[day],SummaryDaily[Rappi_net_sales],0)</f>
        <v>0</v>
      </c>
      <c r="S513" s="11">
        <f>_xlfn.XLOOKUP(TableDailySummary[[#This Row],[Fecha]],SummaryDaily[day],SummaryDaily[Rappi_orders],0)</f>
        <v>0</v>
      </c>
      <c r="T513" s="11">
        <f>_xlfn.XLOOKUP(TableDailySummary[[#This Row],[Fecha]],SummaryDaily[day],SummaryDaily[Rappi_average_order_value],0)</f>
        <v>0</v>
      </c>
      <c r="U513" s="11">
        <f>_xlfn.XLOOKUP(TableDailySummary[[#This Row],[Fecha]],SummaryDaily[day],SummaryDaily[Corporativo no tienda_net_sales],0)</f>
        <v>0</v>
      </c>
      <c r="V513" s="11">
        <f>_xlfn.XLOOKUP(TableDailySummary[[#This Row],[Fecha]],SummaryDaily[day],SummaryDaily[Corporativo no tienda_orders],0)</f>
        <v>0</v>
      </c>
      <c r="W513" s="11">
        <f>_xlfn.XLOOKUP(TableDailySummary[[#This Row],[Fecha]],SummaryDaily[day],SummaryDaily[Corporativo no tienda_average_order_value],0)</f>
        <v>0</v>
      </c>
      <c r="X513" s="11">
        <f>_xlfn.XLOOKUP(TableDailySummary[[#This Row],[Fecha]],SummaryDaily[day],SummaryDaily[GoogleAdsOperation.Cost],0)</f>
        <v>0</v>
      </c>
      <c r="Y513" s="11">
        <f>SUMIFS(SalesByUTMDaily[google],SalesByUTMDaily[day],TableDailySummary[[#This Row],[Fecha]])</f>
        <v>0</v>
      </c>
      <c r="Z513" s="11">
        <f>_xlfn.XLOOKUP(TableDailySummary[[#This Row],[Fecha]],SummaryDaily[day],SummaryDaily[MetaAdsOperation.spend],0)</f>
        <v>0</v>
      </c>
      <c r="AA513" s="11">
        <f>SUMIFS(SalesByUTMDaily[facebook],SalesByUTMDaily[day],TableDailySummary[[#This Row],[Fecha]])</f>
        <v>0</v>
      </c>
      <c r="AB513" s="11">
        <f>TableDailySummary[[#This Row],[Inversión google ads]]+TableDailySummary[[#This Row],[Inversión meta ads]]</f>
        <v>0</v>
      </c>
      <c r="AC513" s="11">
        <f>TableDailySummary[[#This Row],[Ventas google ads]]+TableDailySummary[[#This Row],[Ventas meta ads]]</f>
        <v>0</v>
      </c>
      <c r="AD513" s="14">
        <f>IFERROR(TableDailySummary[[#This Row],[Ventas publicidad]]/TableDailySummary[[#This Row],[Inversión publicidad]],0)</f>
        <v>0</v>
      </c>
      <c r="AE513" s="14">
        <f>IFERROR(TableDailySummary[[#This Row],[Ventas primer cliente]]/TableDailySummary[[#This Row],[Inversión publicidad]],0)</f>
        <v>0</v>
      </c>
      <c r="AF513" s="14"/>
      <c r="AG513" s="11"/>
      <c r="AM513" s="11">
        <f>_xlfn.XLOOKUP(TableDailySummary[[#This Row],[Fecha]],SummaryDaily[day],SummaryDaily[net_sales_with_cost_recorded],0)</f>
        <v>0</v>
      </c>
      <c r="AN513" s="11">
        <f>_xlfn.XLOOKUP(TableDailySummary[[#This Row],[Fecha]],SummaryDaily[day],SummaryDaily[cost_of_goods_sold],0)</f>
        <v>0</v>
      </c>
      <c r="AO513" s="11">
        <f>_xlfn.XLOOKUP(TableDailySummary[[#This Row],[Fecha]],SummaryDaily[day],SummaryDaily[gross_profit],0)</f>
        <v>0</v>
      </c>
      <c r="AP513" s="18">
        <f>IFERROR(TableDailySummary[[#This Row],[Utilidad bruta]]/TableDailySummary[[#This Row],[Ventas netas con costo registrado]],0)</f>
        <v>0</v>
      </c>
    </row>
    <row r="514" spans="2:42" x14ac:dyDescent="0.2">
      <c r="B514" s="15" cm="1">
        <f t="array" ref="B514">ParamFechaInicioReporte + (ROW(TableDailySummary[#This Row]) - ROW(TableDailySummary[[#Headers],[Dia]]) - 1)</f>
        <v>45041</v>
      </c>
      <c r="C514" s="6">
        <f>TableDailySummary[[#This Row],[Dia]]</f>
        <v>45041</v>
      </c>
      <c r="D514" s="11">
        <f>_xlfn.XLOOKUP(TableDailySummary[[#This Row],[Fecha]],SummaryDaily[day],SummaryDaily[net_sales],0)</f>
        <v>0</v>
      </c>
      <c r="E514" s="11">
        <f>_xlfn.XLOOKUP(TableDailySummary[[#This Row],[Fecha]],SummaryDaily[day],SummaryDaily[orders],0)</f>
        <v>0</v>
      </c>
      <c r="F514" s="11">
        <f>_xlfn.XLOOKUP(TableDailySummary[[#This Row],[Fecha]],SummaryDaily[day],SummaryDaily[average_order_value],0)</f>
        <v>0</v>
      </c>
      <c r="G514" s="24" cm="1">
        <f t="array" ref="G514">_xlfn.XLOOKUP(TableDailySummary[[#This Row],[Fecha]]&amp;"Total site",ConversionRateByReferral[day]&amp;ConversionRateByReferral[referrer_source],ConversionRateByReferral[conversion_rate],0)</f>
        <v>0</v>
      </c>
      <c r="H514" s="11">
        <f>TableDailySummary[[#This Row],[Órden promedio totales]]*TableDailySummary[[#This Row],[CR totales]]</f>
        <v>0</v>
      </c>
      <c r="I514" s="11">
        <f>_xlfn.XLOOKUP(TableDailySummary[[#This Row],[Fecha]],SummaryDaily[day],SummaryDaily[new_net_sales],0)</f>
        <v>0</v>
      </c>
      <c r="J514" s="11">
        <f>_xlfn.XLOOKUP(TableDailySummary[[#This Row],[Fecha]],SummaryDaily[day],SummaryDaily[new_orders],0)</f>
        <v>0</v>
      </c>
      <c r="K514" s="11">
        <f>_xlfn.XLOOKUP(TableDailySummary[[#This Row],[Fecha]],SummaryDaily[day],SummaryDaily[new_average_order_value],0)</f>
        <v>0</v>
      </c>
      <c r="L514" s="11">
        <f>_xlfn.XLOOKUP(TableDailySummary[[#This Row],[Fecha]],SummaryDaily[day],SummaryDaily[Online Store_net_sales],0)</f>
        <v>0</v>
      </c>
      <c r="M514" s="11">
        <f>_xlfn.XLOOKUP(TableDailySummary[[#This Row],[Fecha]],SummaryDaily[day],SummaryDaily[Online Store_orders],0)</f>
        <v>0</v>
      </c>
      <c r="N514" s="11">
        <f>_xlfn.XLOOKUP(TableDailySummary[[#This Row],[Fecha]],SummaryDaily[day],SummaryDaily[Online Store_average_order_value],0)</f>
        <v>0</v>
      </c>
      <c r="O514" s="11">
        <f>_xlfn.XLOOKUP(TableDailySummary[[#This Row],[Fecha]],SummaryDaily[day],SummaryDaily[Tienda 81_net_sales],0)</f>
        <v>0</v>
      </c>
      <c r="P514" s="11">
        <f>_xlfn.XLOOKUP(TableDailySummary[[#This Row],[Fecha]],SummaryDaily[day],SummaryDaily[Tienda 81_orders],0)</f>
        <v>0</v>
      </c>
      <c r="Q514" s="11">
        <f>_xlfn.XLOOKUP(TableDailySummary[[#This Row],[Fecha]],SummaryDaily[day],SummaryDaily[Tienda 81_average_order_value],0)</f>
        <v>0</v>
      </c>
      <c r="R514" s="11">
        <f>_xlfn.XLOOKUP(TableDailySummary[[#This Row],[Fecha]],SummaryDaily[day],SummaryDaily[Rappi_net_sales],0)</f>
        <v>0</v>
      </c>
      <c r="S514" s="11">
        <f>_xlfn.XLOOKUP(TableDailySummary[[#This Row],[Fecha]],SummaryDaily[day],SummaryDaily[Rappi_orders],0)</f>
        <v>0</v>
      </c>
      <c r="T514" s="11">
        <f>_xlfn.XLOOKUP(TableDailySummary[[#This Row],[Fecha]],SummaryDaily[day],SummaryDaily[Rappi_average_order_value],0)</f>
        <v>0</v>
      </c>
      <c r="U514" s="11">
        <f>_xlfn.XLOOKUP(TableDailySummary[[#This Row],[Fecha]],SummaryDaily[day],SummaryDaily[Corporativo no tienda_net_sales],0)</f>
        <v>0</v>
      </c>
      <c r="V514" s="11">
        <f>_xlfn.XLOOKUP(TableDailySummary[[#This Row],[Fecha]],SummaryDaily[day],SummaryDaily[Corporativo no tienda_orders],0)</f>
        <v>0</v>
      </c>
      <c r="W514" s="11">
        <f>_xlfn.XLOOKUP(TableDailySummary[[#This Row],[Fecha]],SummaryDaily[day],SummaryDaily[Corporativo no tienda_average_order_value],0)</f>
        <v>0</v>
      </c>
      <c r="X514" s="11">
        <f>_xlfn.XLOOKUP(TableDailySummary[[#This Row],[Fecha]],SummaryDaily[day],SummaryDaily[GoogleAdsOperation.Cost],0)</f>
        <v>0</v>
      </c>
      <c r="Y514" s="11">
        <f>SUMIFS(SalesByUTMDaily[google],SalesByUTMDaily[day],TableDailySummary[[#This Row],[Fecha]])</f>
        <v>0</v>
      </c>
      <c r="Z514" s="11">
        <f>_xlfn.XLOOKUP(TableDailySummary[[#This Row],[Fecha]],SummaryDaily[day],SummaryDaily[MetaAdsOperation.spend],0)</f>
        <v>0</v>
      </c>
      <c r="AA514" s="11">
        <f>SUMIFS(SalesByUTMDaily[facebook],SalesByUTMDaily[day],TableDailySummary[[#This Row],[Fecha]])</f>
        <v>0</v>
      </c>
      <c r="AB514" s="11">
        <f>TableDailySummary[[#This Row],[Inversión google ads]]+TableDailySummary[[#This Row],[Inversión meta ads]]</f>
        <v>0</v>
      </c>
      <c r="AC514" s="11">
        <f>TableDailySummary[[#This Row],[Ventas google ads]]+TableDailySummary[[#This Row],[Ventas meta ads]]</f>
        <v>0</v>
      </c>
      <c r="AD514" s="14">
        <f>IFERROR(TableDailySummary[[#This Row],[Ventas publicidad]]/TableDailySummary[[#This Row],[Inversión publicidad]],0)</f>
        <v>0</v>
      </c>
      <c r="AE514" s="14">
        <f>IFERROR(TableDailySummary[[#This Row],[Ventas primer cliente]]/TableDailySummary[[#This Row],[Inversión publicidad]],0)</f>
        <v>0</v>
      </c>
      <c r="AF514" s="14"/>
      <c r="AG514" s="11"/>
      <c r="AM514" s="11">
        <f>_xlfn.XLOOKUP(TableDailySummary[[#This Row],[Fecha]],SummaryDaily[day],SummaryDaily[net_sales_with_cost_recorded],0)</f>
        <v>0</v>
      </c>
      <c r="AN514" s="11">
        <f>_xlfn.XLOOKUP(TableDailySummary[[#This Row],[Fecha]],SummaryDaily[day],SummaryDaily[cost_of_goods_sold],0)</f>
        <v>0</v>
      </c>
      <c r="AO514" s="11">
        <f>_xlfn.XLOOKUP(TableDailySummary[[#This Row],[Fecha]],SummaryDaily[day],SummaryDaily[gross_profit],0)</f>
        <v>0</v>
      </c>
      <c r="AP514" s="18">
        <f>IFERROR(TableDailySummary[[#This Row],[Utilidad bruta]]/TableDailySummary[[#This Row],[Ventas netas con costo registrado]],0)</f>
        <v>0</v>
      </c>
    </row>
    <row r="515" spans="2:42" x14ac:dyDescent="0.2">
      <c r="B515" s="15" cm="1">
        <f t="array" ref="B515">ParamFechaInicioReporte + (ROW(TableDailySummary[#This Row]) - ROW(TableDailySummary[[#Headers],[Dia]]) - 1)</f>
        <v>45042</v>
      </c>
      <c r="C515" s="6">
        <f>TableDailySummary[[#This Row],[Dia]]</f>
        <v>45042</v>
      </c>
      <c r="D515" s="11">
        <f>_xlfn.XLOOKUP(TableDailySummary[[#This Row],[Fecha]],SummaryDaily[day],SummaryDaily[net_sales],0)</f>
        <v>0</v>
      </c>
      <c r="E515" s="11">
        <f>_xlfn.XLOOKUP(TableDailySummary[[#This Row],[Fecha]],SummaryDaily[day],SummaryDaily[orders],0)</f>
        <v>0</v>
      </c>
      <c r="F515" s="11">
        <f>_xlfn.XLOOKUP(TableDailySummary[[#This Row],[Fecha]],SummaryDaily[day],SummaryDaily[average_order_value],0)</f>
        <v>0</v>
      </c>
      <c r="G515" s="24" cm="1">
        <f t="array" ref="G515">_xlfn.XLOOKUP(TableDailySummary[[#This Row],[Fecha]]&amp;"Total site",ConversionRateByReferral[day]&amp;ConversionRateByReferral[referrer_source],ConversionRateByReferral[conversion_rate],0)</f>
        <v>0</v>
      </c>
      <c r="H515" s="11">
        <f>TableDailySummary[[#This Row],[Órden promedio totales]]*TableDailySummary[[#This Row],[CR totales]]</f>
        <v>0</v>
      </c>
      <c r="I515" s="11">
        <f>_xlfn.XLOOKUP(TableDailySummary[[#This Row],[Fecha]],SummaryDaily[day],SummaryDaily[new_net_sales],0)</f>
        <v>0</v>
      </c>
      <c r="J515" s="11">
        <f>_xlfn.XLOOKUP(TableDailySummary[[#This Row],[Fecha]],SummaryDaily[day],SummaryDaily[new_orders],0)</f>
        <v>0</v>
      </c>
      <c r="K515" s="11">
        <f>_xlfn.XLOOKUP(TableDailySummary[[#This Row],[Fecha]],SummaryDaily[day],SummaryDaily[new_average_order_value],0)</f>
        <v>0</v>
      </c>
      <c r="L515" s="11">
        <f>_xlfn.XLOOKUP(TableDailySummary[[#This Row],[Fecha]],SummaryDaily[day],SummaryDaily[Online Store_net_sales],0)</f>
        <v>0</v>
      </c>
      <c r="M515" s="11">
        <f>_xlfn.XLOOKUP(TableDailySummary[[#This Row],[Fecha]],SummaryDaily[day],SummaryDaily[Online Store_orders],0)</f>
        <v>0</v>
      </c>
      <c r="N515" s="11">
        <f>_xlfn.XLOOKUP(TableDailySummary[[#This Row],[Fecha]],SummaryDaily[day],SummaryDaily[Online Store_average_order_value],0)</f>
        <v>0</v>
      </c>
      <c r="O515" s="11">
        <f>_xlfn.XLOOKUP(TableDailySummary[[#This Row],[Fecha]],SummaryDaily[day],SummaryDaily[Tienda 81_net_sales],0)</f>
        <v>0</v>
      </c>
      <c r="P515" s="11">
        <f>_xlfn.XLOOKUP(TableDailySummary[[#This Row],[Fecha]],SummaryDaily[day],SummaryDaily[Tienda 81_orders],0)</f>
        <v>0</v>
      </c>
      <c r="Q515" s="11">
        <f>_xlfn.XLOOKUP(TableDailySummary[[#This Row],[Fecha]],SummaryDaily[day],SummaryDaily[Tienda 81_average_order_value],0)</f>
        <v>0</v>
      </c>
      <c r="R515" s="11">
        <f>_xlfn.XLOOKUP(TableDailySummary[[#This Row],[Fecha]],SummaryDaily[day],SummaryDaily[Rappi_net_sales],0)</f>
        <v>0</v>
      </c>
      <c r="S515" s="11">
        <f>_xlfn.XLOOKUP(TableDailySummary[[#This Row],[Fecha]],SummaryDaily[day],SummaryDaily[Rappi_orders],0)</f>
        <v>0</v>
      </c>
      <c r="T515" s="11">
        <f>_xlfn.XLOOKUP(TableDailySummary[[#This Row],[Fecha]],SummaryDaily[day],SummaryDaily[Rappi_average_order_value],0)</f>
        <v>0</v>
      </c>
      <c r="U515" s="11">
        <f>_xlfn.XLOOKUP(TableDailySummary[[#This Row],[Fecha]],SummaryDaily[day],SummaryDaily[Corporativo no tienda_net_sales],0)</f>
        <v>0</v>
      </c>
      <c r="V515" s="11">
        <f>_xlfn.XLOOKUP(TableDailySummary[[#This Row],[Fecha]],SummaryDaily[day],SummaryDaily[Corporativo no tienda_orders],0)</f>
        <v>0</v>
      </c>
      <c r="W515" s="11">
        <f>_xlfn.XLOOKUP(TableDailySummary[[#This Row],[Fecha]],SummaryDaily[day],SummaryDaily[Corporativo no tienda_average_order_value],0)</f>
        <v>0</v>
      </c>
      <c r="X515" s="11">
        <f>_xlfn.XLOOKUP(TableDailySummary[[#This Row],[Fecha]],SummaryDaily[day],SummaryDaily[GoogleAdsOperation.Cost],0)</f>
        <v>0</v>
      </c>
      <c r="Y515" s="11">
        <f>SUMIFS(SalesByUTMDaily[google],SalesByUTMDaily[day],TableDailySummary[[#This Row],[Fecha]])</f>
        <v>0</v>
      </c>
      <c r="Z515" s="11">
        <f>_xlfn.XLOOKUP(TableDailySummary[[#This Row],[Fecha]],SummaryDaily[day],SummaryDaily[MetaAdsOperation.spend],0)</f>
        <v>0</v>
      </c>
      <c r="AA515" s="11">
        <f>SUMIFS(SalesByUTMDaily[facebook],SalesByUTMDaily[day],TableDailySummary[[#This Row],[Fecha]])</f>
        <v>0</v>
      </c>
      <c r="AB515" s="11">
        <f>TableDailySummary[[#This Row],[Inversión google ads]]+TableDailySummary[[#This Row],[Inversión meta ads]]</f>
        <v>0</v>
      </c>
      <c r="AC515" s="11">
        <f>TableDailySummary[[#This Row],[Ventas google ads]]+TableDailySummary[[#This Row],[Ventas meta ads]]</f>
        <v>0</v>
      </c>
      <c r="AD515" s="14">
        <f>IFERROR(TableDailySummary[[#This Row],[Ventas publicidad]]/TableDailySummary[[#This Row],[Inversión publicidad]],0)</f>
        <v>0</v>
      </c>
      <c r="AE515" s="14">
        <f>IFERROR(TableDailySummary[[#This Row],[Ventas primer cliente]]/TableDailySummary[[#This Row],[Inversión publicidad]],0)</f>
        <v>0</v>
      </c>
      <c r="AF515" s="14"/>
      <c r="AG515" s="11"/>
      <c r="AM515" s="11">
        <f>_xlfn.XLOOKUP(TableDailySummary[[#This Row],[Fecha]],SummaryDaily[day],SummaryDaily[net_sales_with_cost_recorded],0)</f>
        <v>0</v>
      </c>
      <c r="AN515" s="11">
        <f>_xlfn.XLOOKUP(TableDailySummary[[#This Row],[Fecha]],SummaryDaily[day],SummaryDaily[cost_of_goods_sold],0)</f>
        <v>0</v>
      </c>
      <c r="AO515" s="11">
        <f>_xlfn.XLOOKUP(TableDailySummary[[#This Row],[Fecha]],SummaryDaily[day],SummaryDaily[gross_profit],0)</f>
        <v>0</v>
      </c>
      <c r="AP515" s="18">
        <f>IFERROR(TableDailySummary[[#This Row],[Utilidad bruta]]/TableDailySummary[[#This Row],[Ventas netas con costo registrado]],0)</f>
        <v>0</v>
      </c>
    </row>
    <row r="516" spans="2:42" x14ac:dyDescent="0.2">
      <c r="B516" s="15" cm="1">
        <f t="array" ref="B516">ParamFechaInicioReporte + (ROW(TableDailySummary[#This Row]) - ROW(TableDailySummary[[#Headers],[Dia]]) - 1)</f>
        <v>45043</v>
      </c>
      <c r="C516" s="6">
        <f>TableDailySummary[[#This Row],[Dia]]</f>
        <v>45043</v>
      </c>
      <c r="D516" s="11">
        <f>_xlfn.XLOOKUP(TableDailySummary[[#This Row],[Fecha]],SummaryDaily[day],SummaryDaily[net_sales],0)</f>
        <v>0</v>
      </c>
      <c r="E516" s="11">
        <f>_xlfn.XLOOKUP(TableDailySummary[[#This Row],[Fecha]],SummaryDaily[day],SummaryDaily[orders],0)</f>
        <v>0</v>
      </c>
      <c r="F516" s="11">
        <f>_xlfn.XLOOKUP(TableDailySummary[[#This Row],[Fecha]],SummaryDaily[day],SummaryDaily[average_order_value],0)</f>
        <v>0</v>
      </c>
      <c r="G516" s="24" cm="1">
        <f t="array" ref="G516">_xlfn.XLOOKUP(TableDailySummary[[#This Row],[Fecha]]&amp;"Total site",ConversionRateByReferral[day]&amp;ConversionRateByReferral[referrer_source],ConversionRateByReferral[conversion_rate],0)</f>
        <v>0</v>
      </c>
      <c r="H516" s="11">
        <f>TableDailySummary[[#This Row],[Órden promedio totales]]*TableDailySummary[[#This Row],[CR totales]]</f>
        <v>0</v>
      </c>
      <c r="I516" s="11">
        <f>_xlfn.XLOOKUP(TableDailySummary[[#This Row],[Fecha]],SummaryDaily[day],SummaryDaily[new_net_sales],0)</f>
        <v>0</v>
      </c>
      <c r="J516" s="11">
        <f>_xlfn.XLOOKUP(TableDailySummary[[#This Row],[Fecha]],SummaryDaily[day],SummaryDaily[new_orders],0)</f>
        <v>0</v>
      </c>
      <c r="K516" s="11">
        <f>_xlfn.XLOOKUP(TableDailySummary[[#This Row],[Fecha]],SummaryDaily[day],SummaryDaily[new_average_order_value],0)</f>
        <v>0</v>
      </c>
      <c r="L516" s="11">
        <f>_xlfn.XLOOKUP(TableDailySummary[[#This Row],[Fecha]],SummaryDaily[day],SummaryDaily[Online Store_net_sales],0)</f>
        <v>0</v>
      </c>
      <c r="M516" s="11">
        <f>_xlfn.XLOOKUP(TableDailySummary[[#This Row],[Fecha]],SummaryDaily[day],SummaryDaily[Online Store_orders],0)</f>
        <v>0</v>
      </c>
      <c r="N516" s="11">
        <f>_xlfn.XLOOKUP(TableDailySummary[[#This Row],[Fecha]],SummaryDaily[day],SummaryDaily[Online Store_average_order_value],0)</f>
        <v>0</v>
      </c>
      <c r="O516" s="11">
        <f>_xlfn.XLOOKUP(TableDailySummary[[#This Row],[Fecha]],SummaryDaily[day],SummaryDaily[Tienda 81_net_sales],0)</f>
        <v>0</v>
      </c>
      <c r="P516" s="11">
        <f>_xlfn.XLOOKUP(TableDailySummary[[#This Row],[Fecha]],SummaryDaily[day],SummaryDaily[Tienda 81_orders],0)</f>
        <v>0</v>
      </c>
      <c r="Q516" s="11">
        <f>_xlfn.XLOOKUP(TableDailySummary[[#This Row],[Fecha]],SummaryDaily[day],SummaryDaily[Tienda 81_average_order_value],0)</f>
        <v>0</v>
      </c>
      <c r="R516" s="11">
        <f>_xlfn.XLOOKUP(TableDailySummary[[#This Row],[Fecha]],SummaryDaily[day],SummaryDaily[Rappi_net_sales],0)</f>
        <v>0</v>
      </c>
      <c r="S516" s="11">
        <f>_xlfn.XLOOKUP(TableDailySummary[[#This Row],[Fecha]],SummaryDaily[day],SummaryDaily[Rappi_orders],0)</f>
        <v>0</v>
      </c>
      <c r="T516" s="11">
        <f>_xlfn.XLOOKUP(TableDailySummary[[#This Row],[Fecha]],SummaryDaily[day],SummaryDaily[Rappi_average_order_value],0)</f>
        <v>0</v>
      </c>
      <c r="U516" s="11">
        <f>_xlfn.XLOOKUP(TableDailySummary[[#This Row],[Fecha]],SummaryDaily[day],SummaryDaily[Corporativo no tienda_net_sales],0)</f>
        <v>0</v>
      </c>
      <c r="V516" s="11">
        <f>_xlfn.XLOOKUP(TableDailySummary[[#This Row],[Fecha]],SummaryDaily[day],SummaryDaily[Corporativo no tienda_orders],0)</f>
        <v>0</v>
      </c>
      <c r="W516" s="11">
        <f>_xlfn.XLOOKUP(TableDailySummary[[#This Row],[Fecha]],SummaryDaily[day],SummaryDaily[Corporativo no tienda_average_order_value],0)</f>
        <v>0</v>
      </c>
      <c r="X516" s="11">
        <f>_xlfn.XLOOKUP(TableDailySummary[[#This Row],[Fecha]],SummaryDaily[day],SummaryDaily[GoogleAdsOperation.Cost],0)</f>
        <v>0</v>
      </c>
      <c r="Y516" s="11">
        <f>SUMIFS(SalesByUTMDaily[google],SalesByUTMDaily[day],TableDailySummary[[#This Row],[Fecha]])</f>
        <v>0</v>
      </c>
      <c r="Z516" s="11">
        <f>_xlfn.XLOOKUP(TableDailySummary[[#This Row],[Fecha]],SummaryDaily[day],SummaryDaily[MetaAdsOperation.spend],0)</f>
        <v>0</v>
      </c>
      <c r="AA516" s="11">
        <f>SUMIFS(SalesByUTMDaily[facebook],SalesByUTMDaily[day],TableDailySummary[[#This Row],[Fecha]])</f>
        <v>0</v>
      </c>
      <c r="AB516" s="11">
        <f>TableDailySummary[[#This Row],[Inversión google ads]]+TableDailySummary[[#This Row],[Inversión meta ads]]</f>
        <v>0</v>
      </c>
      <c r="AC516" s="11">
        <f>TableDailySummary[[#This Row],[Ventas google ads]]+TableDailySummary[[#This Row],[Ventas meta ads]]</f>
        <v>0</v>
      </c>
      <c r="AD516" s="14">
        <f>IFERROR(TableDailySummary[[#This Row],[Ventas publicidad]]/TableDailySummary[[#This Row],[Inversión publicidad]],0)</f>
        <v>0</v>
      </c>
      <c r="AE516" s="14">
        <f>IFERROR(TableDailySummary[[#This Row],[Ventas primer cliente]]/TableDailySummary[[#This Row],[Inversión publicidad]],0)</f>
        <v>0</v>
      </c>
      <c r="AF516" s="14"/>
      <c r="AG516" s="11"/>
      <c r="AM516" s="11">
        <f>_xlfn.XLOOKUP(TableDailySummary[[#This Row],[Fecha]],SummaryDaily[day],SummaryDaily[net_sales_with_cost_recorded],0)</f>
        <v>0</v>
      </c>
      <c r="AN516" s="11">
        <f>_xlfn.XLOOKUP(TableDailySummary[[#This Row],[Fecha]],SummaryDaily[day],SummaryDaily[cost_of_goods_sold],0)</f>
        <v>0</v>
      </c>
      <c r="AO516" s="11">
        <f>_xlfn.XLOOKUP(TableDailySummary[[#This Row],[Fecha]],SummaryDaily[day],SummaryDaily[gross_profit],0)</f>
        <v>0</v>
      </c>
      <c r="AP516" s="18">
        <f>IFERROR(TableDailySummary[[#This Row],[Utilidad bruta]]/TableDailySummary[[#This Row],[Ventas netas con costo registrado]],0)</f>
        <v>0</v>
      </c>
    </row>
    <row r="517" spans="2:42" x14ac:dyDescent="0.2">
      <c r="B517" s="15" cm="1">
        <f t="array" ref="B517">ParamFechaInicioReporte + (ROW(TableDailySummary[#This Row]) - ROW(TableDailySummary[[#Headers],[Dia]]) - 1)</f>
        <v>45044</v>
      </c>
      <c r="C517" s="6">
        <f>TableDailySummary[[#This Row],[Dia]]</f>
        <v>45044</v>
      </c>
      <c r="D517" s="11">
        <f>_xlfn.XLOOKUP(TableDailySummary[[#This Row],[Fecha]],SummaryDaily[day],SummaryDaily[net_sales],0)</f>
        <v>0</v>
      </c>
      <c r="E517" s="11">
        <f>_xlfn.XLOOKUP(TableDailySummary[[#This Row],[Fecha]],SummaryDaily[day],SummaryDaily[orders],0)</f>
        <v>0</v>
      </c>
      <c r="F517" s="11">
        <f>_xlfn.XLOOKUP(TableDailySummary[[#This Row],[Fecha]],SummaryDaily[day],SummaryDaily[average_order_value],0)</f>
        <v>0</v>
      </c>
      <c r="G517" s="24" cm="1">
        <f t="array" ref="G517">_xlfn.XLOOKUP(TableDailySummary[[#This Row],[Fecha]]&amp;"Total site",ConversionRateByReferral[day]&amp;ConversionRateByReferral[referrer_source],ConversionRateByReferral[conversion_rate],0)</f>
        <v>0</v>
      </c>
      <c r="H517" s="11">
        <f>TableDailySummary[[#This Row],[Órden promedio totales]]*TableDailySummary[[#This Row],[CR totales]]</f>
        <v>0</v>
      </c>
      <c r="I517" s="11">
        <f>_xlfn.XLOOKUP(TableDailySummary[[#This Row],[Fecha]],SummaryDaily[day],SummaryDaily[new_net_sales],0)</f>
        <v>0</v>
      </c>
      <c r="J517" s="11">
        <f>_xlfn.XLOOKUP(TableDailySummary[[#This Row],[Fecha]],SummaryDaily[day],SummaryDaily[new_orders],0)</f>
        <v>0</v>
      </c>
      <c r="K517" s="11">
        <f>_xlfn.XLOOKUP(TableDailySummary[[#This Row],[Fecha]],SummaryDaily[day],SummaryDaily[new_average_order_value],0)</f>
        <v>0</v>
      </c>
      <c r="L517" s="11">
        <f>_xlfn.XLOOKUP(TableDailySummary[[#This Row],[Fecha]],SummaryDaily[day],SummaryDaily[Online Store_net_sales],0)</f>
        <v>0</v>
      </c>
      <c r="M517" s="11">
        <f>_xlfn.XLOOKUP(TableDailySummary[[#This Row],[Fecha]],SummaryDaily[day],SummaryDaily[Online Store_orders],0)</f>
        <v>0</v>
      </c>
      <c r="N517" s="11">
        <f>_xlfn.XLOOKUP(TableDailySummary[[#This Row],[Fecha]],SummaryDaily[day],SummaryDaily[Online Store_average_order_value],0)</f>
        <v>0</v>
      </c>
      <c r="O517" s="11">
        <f>_xlfn.XLOOKUP(TableDailySummary[[#This Row],[Fecha]],SummaryDaily[day],SummaryDaily[Tienda 81_net_sales],0)</f>
        <v>0</v>
      </c>
      <c r="P517" s="11">
        <f>_xlfn.XLOOKUP(TableDailySummary[[#This Row],[Fecha]],SummaryDaily[day],SummaryDaily[Tienda 81_orders],0)</f>
        <v>0</v>
      </c>
      <c r="Q517" s="11">
        <f>_xlfn.XLOOKUP(TableDailySummary[[#This Row],[Fecha]],SummaryDaily[day],SummaryDaily[Tienda 81_average_order_value],0)</f>
        <v>0</v>
      </c>
      <c r="R517" s="11">
        <f>_xlfn.XLOOKUP(TableDailySummary[[#This Row],[Fecha]],SummaryDaily[day],SummaryDaily[Rappi_net_sales],0)</f>
        <v>0</v>
      </c>
      <c r="S517" s="11">
        <f>_xlfn.XLOOKUP(TableDailySummary[[#This Row],[Fecha]],SummaryDaily[day],SummaryDaily[Rappi_orders],0)</f>
        <v>0</v>
      </c>
      <c r="T517" s="11">
        <f>_xlfn.XLOOKUP(TableDailySummary[[#This Row],[Fecha]],SummaryDaily[day],SummaryDaily[Rappi_average_order_value],0)</f>
        <v>0</v>
      </c>
      <c r="U517" s="11">
        <f>_xlfn.XLOOKUP(TableDailySummary[[#This Row],[Fecha]],SummaryDaily[day],SummaryDaily[Corporativo no tienda_net_sales],0)</f>
        <v>0</v>
      </c>
      <c r="V517" s="11">
        <f>_xlfn.XLOOKUP(TableDailySummary[[#This Row],[Fecha]],SummaryDaily[day],SummaryDaily[Corporativo no tienda_orders],0)</f>
        <v>0</v>
      </c>
      <c r="W517" s="11">
        <f>_xlfn.XLOOKUP(TableDailySummary[[#This Row],[Fecha]],SummaryDaily[day],SummaryDaily[Corporativo no tienda_average_order_value],0)</f>
        <v>0</v>
      </c>
      <c r="X517" s="11">
        <f>_xlfn.XLOOKUP(TableDailySummary[[#This Row],[Fecha]],SummaryDaily[day],SummaryDaily[GoogleAdsOperation.Cost],0)</f>
        <v>0</v>
      </c>
      <c r="Y517" s="11">
        <f>SUMIFS(SalesByUTMDaily[google],SalesByUTMDaily[day],TableDailySummary[[#This Row],[Fecha]])</f>
        <v>0</v>
      </c>
      <c r="Z517" s="11">
        <f>_xlfn.XLOOKUP(TableDailySummary[[#This Row],[Fecha]],SummaryDaily[day],SummaryDaily[MetaAdsOperation.spend],0)</f>
        <v>0</v>
      </c>
      <c r="AA517" s="11">
        <f>SUMIFS(SalesByUTMDaily[facebook],SalesByUTMDaily[day],TableDailySummary[[#This Row],[Fecha]])</f>
        <v>0</v>
      </c>
      <c r="AB517" s="11">
        <f>TableDailySummary[[#This Row],[Inversión google ads]]+TableDailySummary[[#This Row],[Inversión meta ads]]</f>
        <v>0</v>
      </c>
      <c r="AC517" s="11">
        <f>TableDailySummary[[#This Row],[Ventas google ads]]+TableDailySummary[[#This Row],[Ventas meta ads]]</f>
        <v>0</v>
      </c>
      <c r="AD517" s="14">
        <f>IFERROR(TableDailySummary[[#This Row],[Ventas publicidad]]/TableDailySummary[[#This Row],[Inversión publicidad]],0)</f>
        <v>0</v>
      </c>
      <c r="AE517" s="14">
        <f>IFERROR(TableDailySummary[[#This Row],[Ventas primer cliente]]/TableDailySummary[[#This Row],[Inversión publicidad]],0)</f>
        <v>0</v>
      </c>
      <c r="AF517" s="14"/>
      <c r="AG517" s="11"/>
      <c r="AM517" s="11">
        <f>_xlfn.XLOOKUP(TableDailySummary[[#This Row],[Fecha]],SummaryDaily[day],SummaryDaily[net_sales_with_cost_recorded],0)</f>
        <v>0</v>
      </c>
      <c r="AN517" s="11">
        <f>_xlfn.XLOOKUP(TableDailySummary[[#This Row],[Fecha]],SummaryDaily[day],SummaryDaily[cost_of_goods_sold],0)</f>
        <v>0</v>
      </c>
      <c r="AO517" s="11">
        <f>_xlfn.XLOOKUP(TableDailySummary[[#This Row],[Fecha]],SummaryDaily[day],SummaryDaily[gross_profit],0)</f>
        <v>0</v>
      </c>
      <c r="AP517" s="18">
        <f>IFERROR(TableDailySummary[[#This Row],[Utilidad bruta]]/TableDailySummary[[#This Row],[Ventas netas con costo registrado]],0)</f>
        <v>0</v>
      </c>
    </row>
    <row r="518" spans="2:42" x14ac:dyDescent="0.2">
      <c r="B518" s="15" cm="1">
        <f t="array" ref="B518">ParamFechaInicioReporte + (ROW(TableDailySummary[#This Row]) - ROW(TableDailySummary[[#Headers],[Dia]]) - 1)</f>
        <v>45045</v>
      </c>
      <c r="C518" s="6">
        <f>TableDailySummary[[#This Row],[Dia]]</f>
        <v>45045</v>
      </c>
      <c r="D518" s="11">
        <f>_xlfn.XLOOKUP(TableDailySummary[[#This Row],[Fecha]],SummaryDaily[day],SummaryDaily[net_sales],0)</f>
        <v>0</v>
      </c>
      <c r="E518" s="11">
        <f>_xlfn.XLOOKUP(TableDailySummary[[#This Row],[Fecha]],SummaryDaily[day],SummaryDaily[orders],0)</f>
        <v>0</v>
      </c>
      <c r="F518" s="11">
        <f>_xlfn.XLOOKUP(TableDailySummary[[#This Row],[Fecha]],SummaryDaily[day],SummaryDaily[average_order_value],0)</f>
        <v>0</v>
      </c>
      <c r="G518" s="24" cm="1">
        <f t="array" ref="G518">_xlfn.XLOOKUP(TableDailySummary[[#This Row],[Fecha]]&amp;"Total site",ConversionRateByReferral[day]&amp;ConversionRateByReferral[referrer_source],ConversionRateByReferral[conversion_rate],0)</f>
        <v>0</v>
      </c>
      <c r="H518" s="11">
        <f>TableDailySummary[[#This Row],[Órden promedio totales]]*TableDailySummary[[#This Row],[CR totales]]</f>
        <v>0</v>
      </c>
      <c r="I518" s="11">
        <f>_xlfn.XLOOKUP(TableDailySummary[[#This Row],[Fecha]],SummaryDaily[day],SummaryDaily[new_net_sales],0)</f>
        <v>0</v>
      </c>
      <c r="J518" s="11">
        <f>_xlfn.XLOOKUP(TableDailySummary[[#This Row],[Fecha]],SummaryDaily[day],SummaryDaily[new_orders],0)</f>
        <v>0</v>
      </c>
      <c r="K518" s="11">
        <f>_xlfn.XLOOKUP(TableDailySummary[[#This Row],[Fecha]],SummaryDaily[day],SummaryDaily[new_average_order_value],0)</f>
        <v>0</v>
      </c>
      <c r="L518" s="11">
        <f>_xlfn.XLOOKUP(TableDailySummary[[#This Row],[Fecha]],SummaryDaily[day],SummaryDaily[Online Store_net_sales],0)</f>
        <v>0</v>
      </c>
      <c r="M518" s="11">
        <f>_xlfn.XLOOKUP(TableDailySummary[[#This Row],[Fecha]],SummaryDaily[day],SummaryDaily[Online Store_orders],0)</f>
        <v>0</v>
      </c>
      <c r="N518" s="11">
        <f>_xlfn.XLOOKUP(TableDailySummary[[#This Row],[Fecha]],SummaryDaily[day],SummaryDaily[Online Store_average_order_value],0)</f>
        <v>0</v>
      </c>
      <c r="O518" s="11">
        <f>_xlfn.XLOOKUP(TableDailySummary[[#This Row],[Fecha]],SummaryDaily[day],SummaryDaily[Tienda 81_net_sales],0)</f>
        <v>0</v>
      </c>
      <c r="P518" s="11">
        <f>_xlfn.XLOOKUP(TableDailySummary[[#This Row],[Fecha]],SummaryDaily[day],SummaryDaily[Tienda 81_orders],0)</f>
        <v>0</v>
      </c>
      <c r="Q518" s="11">
        <f>_xlfn.XLOOKUP(TableDailySummary[[#This Row],[Fecha]],SummaryDaily[day],SummaryDaily[Tienda 81_average_order_value],0)</f>
        <v>0</v>
      </c>
      <c r="R518" s="11">
        <f>_xlfn.XLOOKUP(TableDailySummary[[#This Row],[Fecha]],SummaryDaily[day],SummaryDaily[Rappi_net_sales],0)</f>
        <v>0</v>
      </c>
      <c r="S518" s="11">
        <f>_xlfn.XLOOKUP(TableDailySummary[[#This Row],[Fecha]],SummaryDaily[day],SummaryDaily[Rappi_orders],0)</f>
        <v>0</v>
      </c>
      <c r="T518" s="11">
        <f>_xlfn.XLOOKUP(TableDailySummary[[#This Row],[Fecha]],SummaryDaily[day],SummaryDaily[Rappi_average_order_value],0)</f>
        <v>0</v>
      </c>
      <c r="U518" s="11">
        <f>_xlfn.XLOOKUP(TableDailySummary[[#This Row],[Fecha]],SummaryDaily[day],SummaryDaily[Corporativo no tienda_net_sales],0)</f>
        <v>0</v>
      </c>
      <c r="V518" s="11">
        <f>_xlfn.XLOOKUP(TableDailySummary[[#This Row],[Fecha]],SummaryDaily[day],SummaryDaily[Corporativo no tienda_orders],0)</f>
        <v>0</v>
      </c>
      <c r="W518" s="11">
        <f>_xlfn.XLOOKUP(TableDailySummary[[#This Row],[Fecha]],SummaryDaily[day],SummaryDaily[Corporativo no tienda_average_order_value],0)</f>
        <v>0</v>
      </c>
      <c r="X518" s="11">
        <f>_xlfn.XLOOKUP(TableDailySummary[[#This Row],[Fecha]],SummaryDaily[day],SummaryDaily[GoogleAdsOperation.Cost],0)</f>
        <v>0</v>
      </c>
      <c r="Y518" s="11">
        <f>SUMIFS(SalesByUTMDaily[google],SalesByUTMDaily[day],TableDailySummary[[#This Row],[Fecha]])</f>
        <v>0</v>
      </c>
      <c r="Z518" s="11">
        <f>_xlfn.XLOOKUP(TableDailySummary[[#This Row],[Fecha]],SummaryDaily[day],SummaryDaily[MetaAdsOperation.spend],0)</f>
        <v>0</v>
      </c>
      <c r="AA518" s="11">
        <f>SUMIFS(SalesByUTMDaily[facebook],SalesByUTMDaily[day],TableDailySummary[[#This Row],[Fecha]])</f>
        <v>0</v>
      </c>
      <c r="AB518" s="11">
        <f>TableDailySummary[[#This Row],[Inversión google ads]]+TableDailySummary[[#This Row],[Inversión meta ads]]</f>
        <v>0</v>
      </c>
      <c r="AC518" s="11">
        <f>TableDailySummary[[#This Row],[Ventas google ads]]+TableDailySummary[[#This Row],[Ventas meta ads]]</f>
        <v>0</v>
      </c>
      <c r="AD518" s="14">
        <f>IFERROR(TableDailySummary[[#This Row],[Ventas publicidad]]/TableDailySummary[[#This Row],[Inversión publicidad]],0)</f>
        <v>0</v>
      </c>
      <c r="AE518" s="14">
        <f>IFERROR(TableDailySummary[[#This Row],[Ventas primer cliente]]/TableDailySummary[[#This Row],[Inversión publicidad]],0)</f>
        <v>0</v>
      </c>
      <c r="AF518" s="14"/>
      <c r="AG518" s="11"/>
      <c r="AM518" s="11">
        <f>_xlfn.XLOOKUP(TableDailySummary[[#This Row],[Fecha]],SummaryDaily[day],SummaryDaily[net_sales_with_cost_recorded],0)</f>
        <v>0</v>
      </c>
      <c r="AN518" s="11">
        <f>_xlfn.XLOOKUP(TableDailySummary[[#This Row],[Fecha]],SummaryDaily[day],SummaryDaily[cost_of_goods_sold],0)</f>
        <v>0</v>
      </c>
      <c r="AO518" s="11">
        <f>_xlfn.XLOOKUP(TableDailySummary[[#This Row],[Fecha]],SummaryDaily[day],SummaryDaily[gross_profit],0)</f>
        <v>0</v>
      </c>
      <c r="AP518" s="18">
        <f>IFERROR(TableDailySummary[[#This Row],[Utilidad bruta]]/TableDailySummary[[#This Row],[Ventas netas con costo registrado]],0)</f>
        <v>0</v>
      </c>
    </row>
    <row r="519" spans="2:42" x14ac:dyDescent="0.2">
      <c r="B519" s="15" cm="1">
        <f t="array" ref="B519">ParamFechaInicioReporte + (ROW(TableDailySummary[#This Row]) - ROW(TableDailySummary[[#Headers],[Dia]]) - 1)</f>
        <v>45046</v>
      </c>
      <c r="C519" s="6">
        <f>TableDailySummary[[#This Row],[Dia]]</f>
        <v>45046</v>
      </c>
      <c r="D519" s="11">
        <f>_xlfn.XLOOKUP(TableDailySummary[[#This Row],[Fecha]],SummaryDaily[day],SummaryDaily[net_sales],0)</f>
        <v>0</v>
      </c>
      <c r="E519" s="11">
        <f>_xlfn.XLOOKUP(TableDailySummary[[#This Row],[Fecha]],SummaryDaily[day],SummaryDaily[orders],0)</f>
        <v>0</v>
      </c>
      <c r="F519" s="11">
        <f>_xlfn.XLOOKUP(TableDailySummary[[#This Row],[Fecha]],SummaryDaily[day],SummaryDaily[average_order_value],0)</f>
        <v>0</v>
      </c>
      <c r="G519" s="24" cm="1">
        <f t="array" ref="G519">_xlfn.XLOOKUP(TableDailySummary[[#This Row],[Fecha]]&amp;"Total site",ConversionRateByReferral[day]&amp;ConversionRateByReferral[referrer_source],ConversionRateByReferral[conversion_rate],0)</f>
        <v>0</v>
      </c>
      <c r="H519" s="11">
        <f>TableDailySummary[[#This Row],[Órden promedio totales]]*TableDailySummary[[#This Row],[CR totales]]</f>
        <v>0</v>
      </c>
      <c r="I519" s="11">
        <f>_xlfn.XLOOKUP(TableDailySummary[[#This Row],[Fecha]],SummaryDaily[day],SummaryDaily[new_net_sales],0)</f>
        <v>0</v>
      </c>
      <c r="J519" s="11">
        <f>_xlfn.XLOOKUP(TableDailySummary[[#This Row],[Fecha]],SummaryDaily[day],SummaryDaily[new_orders],0)</f>
        <v>0</v>
      </c>
      <c r="K519" s="11">
        <f>_xlfn.XLOOKUP(TableDailySummary[[#This Row],[Fecha]],SummaryDaily[day],SummaryDaily[new_average_order_value],0)</f>
        <v>0</v>
      </c>
      <c r="L519" s="11">
        <f>_xlfn.XLOOKUP(TableDailySummary[[#This Row],[Fecha]],SummaryDaily[day],SummaryDaily[Online Store_net_sales],0)</f>
        <v>0</v>
      </c>
      <c r="M519" s="11">
        <f>_xlfn.XLOOKUP(TableDailySummary[[#This Row],[Fecha]],SummaryDaily[day],SummaryDaily[Online Store_orders],0)</f>
        <v>0</v>
      </c>
      <c r="N519" s="11">
        <f>_xlfn.XLOOKUP(TableDailySummary[[#This Row],[Fecha]],SummaryDaily[day],SummaryDaily[Online Store_average_order_value],0)</f>
        <v>0</v>
      </c>
      <c r="O519" s="11">
        <f>_xlfn.XLOOKUP(TableDailySummary[[#This Row],[Fecha]],SummaryDaily[day],SummaryDaily[Tienda 81_net_sales],0)</f>
        <v>0</v>
      </c>
      <c r="P519" s="11">
        <f>_xlfn.XLOOKUP(TableDailySummary[[#This Row],[Fecha]],SummaryDaily[day],SummaryDaily[Tienda 81_orders],0)</f>
        <v>0</v>
      </c>
      <c r="Q519" s="11">
        <f>_xlfn.XLOOKUP(TableDailySummary[[#This Row],[Fecha]],SummaryDaily[day],SummaryDaily[Tienda 81_average_order_value],0)</f>
        <v>0</v>
      </c>
      <c r="R519" s="11">
        <f>_xlfn.XLOOKUP(TableDailySummary[[#This Row],[Fecha]],SummaryDaily[day],SummaryDaily[Rappi_net_sales],0)</f>
        <v>0</v>
      </c>
      <c r="S519" s="11">
        <f>_xlfn.XLOOKUP(TableDailySummary[[#This Row],[Fecha]],SummaryDaily[day],SummaryDaily[Rappi_orders],0)</f>
        <v>0</v>
      </c>
      <c r="T519" s="11">
        <f>_xlfn.XLOOKUP(TableDailySummary[[#This Row],[Fecha]],SummaryDaily[day],SummaryDaily[Rappi_average_order_value],0)</f>
        <v>0</v>
      </c>
      <c r="U519" s="11">
        <f>_xlfn.XLOOKUP(TableDailySummary[[#This Row],[Fecha]],SummaryDaily[day],SummaryDaily[Corporativo no tienda_net_sales],0)</f>
        <v>0</v>
      </c>
      <c r="V519" s="11">
        <f>_xlfn.XLOOKUP(TableDailySummary[[#This Row],[Fecha]],SummaryDaily[day],SummaryDaily[Corporativo no tienda_orders],0)</f>
        <v>0</v>
      </c>
      <c r="W519" s="11">
        <f>_xlfn.XLOOKUP(TableDailySummary[[#This Row],[Fecha]],SummaryDaily[day],SummaryDaily[Corporativo no tienda_average_order_value],0)</f>
        <v>0</v>
      </c>
      <c r="X519" s="11">
        <f>_xlfn.XLOOKUP(TableDailySummary[[#This Row],[Fecha]],SummaryDaily[day],SummaryDaily[GoogleAdsOperation.Cost],0)</f>
        <v>0</v>
      </c>
      <c r="Y519" s="11">
        <f>SUMIFS(SalesByUTMDaily[google],SalesByUTMDaily[day],TableDailySummary[[#This Row],[Fecha]])</f>
        <v>0</v>
      </c>
      <c r="Z519" s="11">
        <f>_xlfn.XLOOKUP(TableDailySummary[[#This Row],[Fecha]],SummaryDaily[day],SummaryDaily[MetaAdsOperation.spend],0)</f>
        <v>0</v>
      </c>
      <c r="AA519" s="11">
        <f>SUMIFS(SalesByUTMDaily[facebook],SalesByUTMDaily[day],TableDailySummary[[#This Row],[Fecha]])</f>
        <v>0</v>
      </c>
      <c r="AB519" s="11">
        <f>TableDailySummary[[#This Row],[Inversión google ads]]+TableDailySummary[[#This Row],[Inversión meta ads]]</f>
        <v>0</v>
      </c>
      <c r="AC519" s="11">
        <f>TableDailySummary[[#This Row],[Ventas google ads]]+TableDailySummary[[#This Row],[Ventas meta ads]]</f>
        <v>0</v>
      </c>
      <c r="AD519" s="14">
        <f>IFERROR(TableDailySummary[[#This Row],[Ventas publicidad]]/TableDailySummary[[#This Row],[Inversión publicidad]],0)</f>
        <v>0</v>
      </c>
      <c r="AE519" s="14">
        <f>IFERROR(TableDailySummary[[#This Row],[Ventas primer cliente]]/TableDailySummary[[#This Row],[Inversión publicidad]],0)</f>
        <v>0</v>
      </c>
      <c r="AF519" s="14"/>
      <c r="AG519" s="11"/>
      <c r="AM519" s="11">
        <f>_xlfn.XLOOKUP(TableDailySummary[[#This Row],[Fecha]],SummaryDaily[day],SummaryDaily[net_sales_with_cost_recorded],0)</f>
        <v>0</v>
      </c>
      <c r="AN519" s="11">
        <f>_xlfn.XLOOKUP(TableDailySummary[[#This Row],[Fecha]],SummaryDaily[day],SummaryDaily[cost_of_goods_sold],0)</f>
        <v>0</v>
      </c>
      <c r="AO519" s="11">
        <f>_xlfn.XLOOKUP(TableDailySummary[[#This Row],[Fecha]],SummaryDaily[day],SummaryDaily[gross_profit],0)</f>
        <v>0</v>
      </c>
      <c r="AP519" s="18">
        <f>IFERROR(TableDailySummary[[#This Row],[Utilidad bruta]]/TableDailySummary[[#This Row],[Ventas netas con costo registrado]],0)</f>
        <v>0</v>
      </c>
    </row>
    <row r="520" spans="2:42" x14ac:dyDescent="0.2">
      <c r="B520" s="15" cm="1">
        <f t="array" ref="B520">ParamFechaInicioReporte + (ROW(TableDailySummary[#This Row]) - ROW(TableDailySummary[[#Headers],[Dia]]) - 1)</f>
        <v>45047</v>
      </c>
      <c r="C520" s="6">
        <f>TableDailySummary[[#This Row],[Dia]]</f>
        <v>45047</v>
      </c>
      <c r="D520" s="11">
        <f>_xlfn.XLOOKUP(TableDailySummary[[#This Row],[Fecha]],SummaryDaily[day],SummaryDaily[net_sales],0)</f>
        <v>0</v>
      </c>
      <c r="E520" s="11">
        <f>_xlfn.XLOOKUP(TableDailySummary[[#This Row],[Fecha]],SummaryDaily[day],SummaryDaily[orders],0)</f>
        <v>0</v>
      </c>
      <c r="F520" s="11">
        <f>_xlfn.XLOOKUP(TableDailySummary[[#This Row],[Fecha]],SummaryDaily[day],SummaryDaily[average_order_value],0)</f>
        <v>0</v>
      </c>
      <c r="G520" s="24" cm="1">
        <f t="array" ref="G520">_xlfn.XLOOKUP(TableDailySummary[[#This Row],[Fecha]]&amp;"Total site",ConversionRateByReferral[day]&amp;ConversionRateByReferral[referrer_source],ConversionRateByReferral[conversion_rate],0)</f>
        <v>0</v>
      </c>
      <c r="H520" s="11">
        <f>TableDailySummary[[#This Row],[Órden promedio totales]]*TableDailySummary[[#This Row],[CR totales]]</f>
        <v>0</v>
      </c>
      <c r="I520" s="11">
        <f>_xlfn.XLOOKUP(TableDailySummary[[#This Row],[Fecha]],SummaryDaily[day],SummaryDaily[new_net_sales],0)</f>
        <v>0</v>
      </c>
      <c r="J520" s="11">
        <f>_xlfn.XLOOKUP(TableDailySummary[[#This Row],[Fecha]],SummaryDaily[day],SummaryDaily[new_orders],0)</f>
        <v>0</v>
      </c>
      <c r="K520" s="11">
        <f>_xlfn.XLOOKUP(TableDailySummary[[#This Row],[Fecha]],SummaryDaily[day],SummaryDaily[new_average_order_value],0)</f>
        <v>0</v>
      </c>
      <c r="L520" s="11">
        <f>_xlfn.XLOOKUP(TableDailySummary[[#This Row],[Fecha]],SummaryDaily[day],SummaryDaily[Online Store_net_sales],0)</f>
        <v>0</v>
      </c>
      <c r="M520" s="11">
        <f>_xlfn.XLOOKUP(TableDailySummary[[#This Row],[Fecha]],SummaryDaily[day],SummaryDaily[Online Store_orders],0)</f>
        <v>0</v>
      </c>
      <c r="N520" s="11">
        <f>_xlfn.XLOOKUP(TableDailySummary[[#This Row],[Fecha]],SummaryDaily[day],SummaryDaily[Online Store_average_order_value],0)</f>
        <v>0</v>
      </c>
      <c r="O520" s="11">
        <f>_xlfn.XLOOKUP(TableDailySummary[[#This Row],[Fecha]],SummaryDaily[day],SummaryDaily[Tienda 81_net_sales],0)</f>
        <v>0</v>
      </c>
      <c r="P520" s="11">
        <f>_xlfn.XLOOKUP(TableDailySummary[[#This Row],[Fecha]],SummaryDaily[day],SummaryDaily[Tienda 81_orders],0)</f>
        <v>0</v>
      </c>
      <c r="Q520" s="11">
        <f>_xlfn.XLOOKUP(TableDailySummary[[#This Row],[Fecha]],SummaryDaily[day],SummaryDaily[Tienda 81_average_order_value],0)</f>
        <v>0</v>
      </c>
      <c r="R520" s="11">
        <f>_xlfn.XLOOKUP(TableDailySummary[[#This Row],[Fecha]],SummaryDaily[day],SummaryDaily[Rappi_net_sales],0)</f>
        <v>0</v>
      </c>
      <c r="S520" s="11">
        <f>_xlfn.XLOOKUP(TableDailySummary[[#This Row],[Fecha]],SummaryDaily[day],SummaryDaily[Rappi_orders],0)</f>
        <v>0</v>
      </c>
      <c r="T520" s="11">
        <f>_xlfn.XLOOKUP(TableDailySummary[[#This Row],[Fecha]],SummaryDaily[day],SummaryDaily[Rappi_average_order_value],0)</f>
        <v>0</v>
      </c>
      <c r="U520" s="11">
        <f>_xlfn.XLOOKUP(TableDailySummary[[#This Row],[Fecha]],SummaryDaily[day],SummaryDaily[Corporativo no tienda_net_sales],0)</f>
        <v>0</v>
      </c>
      <c r="V520" s="11">
        <f>_xlfn.XLOOKUP(TableDailySummary[[#This Row],[Fecha]],SummaryDaily[day],SummaryDaily[Corporativo no tienda_orders],0)</f>
        <v>0</v>
      </c>
      <c r="W520" s="11">
        <f>_xlfn.XLOOKUP(TableDailySummary[[#This Row],[Fecha]],SummaryDaily[day],SummaryDaily[Corporativo no tienda_average_order_value],0)</f>
        <v>0</v>
      </c>
      <c r="X520" s="11">
        <f>_xlfn.XLOOKUP(TableDailySummary[[#This Row],[Fecha]],SummaryDaily[day],SummaryDaily[GoogleAdsOperation.Cost],0)</f>
        <v>0</v>
      </c>
      <c r="Y520" s="11">
        <f>SUMIFS(SalesByUTMDaily[google],SalesByUTMDaily[day],TableDailySummary[[#This Row],[Fecha]])</f>
        <v>0</v>
      </c>
      <c r="Z520" s="11">
        <f>_xlfn.XLOOKUP(TableDailySummary[[#This Row],[Fecha]],SummaryDaily[day],SummaryDaily[MetaAdsOperation.spend],0)</f>
        <v>0</v>
      </c>
      <c r="AA520" s="11">
        <f>SUMIFS(SalesByUTMDaily[facebook],SalesByUTMDaily[day],TableDailySummary[[#This Row],[Fecha]])</f>
        <v>0</v>
      </c>
      <c r="AB520" s="11">
        <f>TableDailySummary[[#This Row],[Inversión google ads]]+TableDailySummary[[#This Row],[Inversión meta ads]]</f>
        <v>0</v>
      </c>
      <c r="AC520" s="11">
        <f>TableDailySummary[[#This Row],[Ventas google ads]]+TableDailySummary[[#This Row],[Ventas meta ads]]</f>
        <v>0</v>
      </c>
      <c r="AD520" s="14">
        <f>IFERROR(TableDailySummary[[#This Row],[Ventas publicidad]]/TableDailySummary[[#This Row],[Inversión publicidad]],0)</f>
        <v>0</v>
      </c>
      <c r="AE520" s="14">
        <f>IFERROR(TableDailySummary[[#This Row],[Ventas primer cliente]]/TableDailySummary[[#This Row],[Inversión publicidad]],0)</f>
        <v>0</v>
      </c>
      <c r="AF520" s="14"/>
      <c r="AG520" s="11"/>
      <c r="AM520" s="11">
        <f>_xlfn.XLOOKUP(TableDailySummary[[#This Row],[Fecha]],SummaryDaily[day],SummaryDaily[net_sales_with_cost_recorded],0)</f>
        <v>0</v>
      </c>
      <c r="AN520" s="11">
        <f>_xlfn.XLOOKUP(TableDailySummary[[#This Row],[Fecha]],SummaryDaily[day],SummaryDaily[cost_of_goods_sold],0)</f>
        <v>0</v>
      </c>
      <c r="AO520" s="11">
        <f>_xlfn.XLOOKUP(TableDailySummary[[#This Row],[Fecha]],SummaryDaily[day],SummaryDaily[gross_profit],0)</f>
        <v>0</v>
      </c>
      <c r="AP520" s="18">
        <f>IFERROR(TableDailySummary[[#This Row],[Utilidad bruta]]/TableDailySummary[[#This Row],[Ventas netas con costo registrado]],0)</f>
        <v>0</v>
      </c>
    </row>
    <row r="521" spans="2:42" x14ac:dyDescent="0.2">
      <c r="B521" s="15" cm="1">
        <f t="array" ref="B521">ParamFechaInicioReporte + (ROW(TableDailySummary[#This Row]) - ROW(TableDailySummary[[#Headers],[Dia]]) - 1)</f>
        <v>45048</v>
      </c>
      <c r="C521" s="6">
        <f>TableDailySummary[[#This Row],[Dia]]</f>
        <v>45048</v>
      </c>
      <c r="D521" s="11">
        <f>_xlfn.XLOOKUP(TableDailySummary[[#This Row],[Fecha]],SummaryDaily[day],SummaryDaily[net_sales],0)</f>
        <v>0</v>
      </c>
      <c r="E521" s="11">
        <f>_xlfn.XLOOKUP(TableDailySummary[[#This Row],[Fecha]],SummaryDaily[day],SummaryDaily[orders],0)</f>
        <v>0</v>
      </c>
      <c r="F521" s="11">
        <f>_xlfn.XLOOKUP(TableDailySummary[[#This Row],[Fecha]],SummaryDaily[day],SummaryDaily[average_order_value],0)</f>
        <v>0</v>
      </c>
      <c r="G521" s="24" cm="1">
        <f t="array" ref="G521">_xlfn.XLOOKUP(TableDailySummary[[#This Row],[Fecha]]&amp;"Total site",ConversionRateByReferral[day]&amp;ConversionRateByReferral[referrer_source],ConversionRateByReferral[conversion_rate],0)</f>
        <v>0</v>
      </c>
      <c r="H521" s="11">
        <f>TableDailySummary[[#This Row],[Órden promedio totales]]*TableDailySummary[[#This Row],[CR totales]]</f>
        <v>0</v>
      </c>
      <c r="I521" s="11">
        <f>_xlfn.XLOOKUP(TableDailySummary[[#This Row],[Fecha]],SummaryDaily[day],SummaryDaily[new_net_sales],0)</f>
        <v>0</v>
      </c>
      <c r="J521" s="11">
        <f>_xlfn.XLOOKUP(TableDailySummary[[#This Row],[Fecha]],SummaryDaily[day],SummaryDaily[new_orders],0)</f>
        <v>0</v>
      </c>
      <c r="K521" s="11">
        <f>_xlfn.XLOOKUP(TableDailySummary[[#This Row],[Fecha]],SummaryDaily[day],SummaryDaily[new_average_order_value],0)</f>
        <v>0</v>
      </c>
      <c r="L521" s="11">
        <f>_xlfn.XLOOKUP(TableDailySummary[[#This Row],[Fecha]],SummaryDaily[day],SummaryDaily[Online Store_net_sales],0)</f>
        <v>0</v>
      </c>
      <c r="M521" s="11">
        <f>_xlfn.XLOOKUP(TableDailySummary[[#This Row],[Fecha]],SummaryDaily[day],SummaryDaily[Online Store_orders],0)</f>
        <v>0</v>
      </c>
      <c r="N521" s="11">
        <f>_xlfn.XLOOKUP(TableDailySummary[[#This Row],[Fecha]],SummaryDaily[day],SummaryDaily[Online Store_average_order_value],0)</f>
        <v>0</v>
      </c>
      <c r="O521" s="11">
        <f>_xlfn.XLOOKUP(TableDailySummary[[#This Row],[Fecha]],SummaryDaily[day],SummaryDaily[Tienda 81_net_sales],0)</f>
        <v>0</v>
      </c>
      <c r="P521" s="11">
        <f>_xlfn.XLOOKUP(TableDailySummary[[#This Row],[Fecha]],SummaryDaily[day],SummaryDaily[Tienda 81_orders],0)</f>
        <v>0</v>
      </c>
      <c r="Q521" s="11">
        <f>_xlfn.XLOOKUP(TableDailySummary[[#This Row],[Fecha]],SummaryDaily[day],SummaryDaily[Tienda 81_average_order_value],0)</f>
        <v>0</v>
      </c>
      <c r="R521" s="11">
        <f>_xlfn.XLOOKUP(TableDailySummary[[#This Row],[Fecha]],SummaryDaily[day],SummaryDaily[Rappi_net_sales],0)</f>
        <v>0</v>
      </c>
      <c r="S521" s="11">
        <f>_xlfn.XLOOKUP(TableDailySummary[[#This Row],[Fecha]],SummaryDaily[day],SummaryDaily[Rappi_orders],0)</f>
        <v>0</v>
      </c>
      <c r="T521" s="11">
        <f>_xlfn.XLOOKUP(TableDailySummary[[#This Row],[Fecha]],SummaryDaily[day],SummaryDaily[Rappi_average_order_value],0)</f>
        <v>0</v>
      </c>
      <c r="U521" s="11">
        <f>_xlfn.XLOOKUP(TableDailySummary[[#This Row],[Fecha]],SummaryDaily[day],SummaryDaily[Corporativo no tienda_net_sales],0)</f>
        <v>0</v>
      </c>
      <c r="V521" s="11">
        <f>_xlfn.XLOOKUP(TableDailySummary[[#This Row],[Fecha]],SummaryDaily[day],SummaryDaily[Corporativo no tienda_orders],0)</f>
        <v>0</v>
      </c>
      <c r="W521" s="11">
        <f>_xlfn.XLOOKUP(TableDailySummary[[#This Row],[Fecha]],SummaryDaily[day],SummaryDaily[Corporativo no tienda_average_order_value],0)</f>
        <v>0</v>
      </c>
      <c r="X521" s="11">
        <f>_xlfn.XLOOKUP(TableDailySummary[[#This Row],[Fecha]],SummaryDaily[day],SummaryDaily[GoogleAdsOperation.Cost],0)</f>
        <v>0</v>
      </c>
      <c r="Y521" s="11">
        <f>SUMIFS(SalesByUTMDaily[google],SalesByUTMDaily[day],TableDailySummary[[#This Row],[Fecha]])</f>
        <v>0</v>
      </c>
      <c r="Z521" s="11">
        <f>_xlfn.XLOOKUP(TableDailySummary[[#This Row],[Fecha]],SummaryDaily[day],SummaryDaily[MetaAdsOperation.spend],0)</f>
        <v>0</v>
      </c>
      <c r="AA521" s="11">
        <f>SUMIFS(SalesByUTMDaily[facebook],SalesByUTMDaily[day],TableDailySummary[[#This Row],[Fecha]])</f>
        <v>0</v>
      </c>
      <c r="AB521" s="11">
        <f>TableDailySummary[[#This Row],[Inversión google ads]]+TableDailySummary[[#This Row],[Inversión meta ads]]</f>
        <v>0</v>
      </c>
      <c r="AC521" s="11">
        <f>TableDailySummary[[#This Row],[Ventas google ads]]+TableDailySummary[[#This Row],[Ventas meta ads]]</f>
        <v>0</v>
      </c>
      <c r="AD521" s="14">
        <f>IFERROR(TableDailySummary[[#This Row],[Ventas publicidad]]/TableDailySummary[[#This Row],[Inversión publicidad]],0)</f>
        <v>0</v>
      </c>
      <c r="AE521" s="14">
        <f>IFERROR(TableDailySummary[[#This Row],[Ventas primer cliente]]/TableDailySummary[[#This Row],[Inversión publicidad]],0)</f>
        <v>0</v>
      </c>
      <c r="AF521" s="14"/>
      <c r="AG521" s="11"/>
      <c r="AM521" s="11">
        <f>_xlfn.XLOOKUP(TableDailySummary[[#This Row],[Fecha]],SummaryDaily[day],SummaryDaily[net_sales_with_cost_recorded],0)</f>
        <v>0</v>
      </c>
      <c r="AN521" s="11">
        <f>_xlfn.XLOOKUP(TableDailySummary[[#This Row],[Fecha]],SummaryDaily[day],SummaryDaily[cost_of_goods_sold],0)</f>
        <v>0</v>
      </c>
      <c r="AO521" s="11">
        <f>_xlfn.XLOOKUP(TableDailySummary[[#This Row],[Fecha]],SummaryDaily[day],SummaryDaily[gross_profit],0)</f>
        <v>0</v>
      </c>
      <c r="AP521" s="18">
        <f>IFERROR(TableDailySummary[[#This Row],[Utilidad bruta]]/TableDailySummary[[#This Row],[Ventas netas con costo registrado]],0)</f>
        <v>0</v>
      </c>
    </row>
    <row r="522" spans="2:42" x14ac:dyDescent="0.2">
      <c r="B522" s="15" cm="1">
        <f t="array" ref="B522">ParamFechaInicioReporte + (ROW(TableDailySummary[#This Row]) - ROW(TableDailySummary[[#Headers],[Dia]]) - 1)</f>
        <v>45049</v>
      </c>
      <c r="C522" s="6">
        <f>TableDailySummary[[#This Row],[Dia]]</f>
        <v>45049</v>
      </c>
      <c r="D522" s="11">
        <f>_xlfn.XLOOKUP(TableDailySummary[[#This Row],[Fecha]],SummaryDaily[day],SummaryDaily[net_sales],0)</f>
        <v>0</v>
      </c>
      <c r="E522" s="11">
        <f>_xlfn.XLOOKUP(TableDailySummary[[#This Row],[Fecha]],SummaryDaily[day],SummaryDaily[orders],0)</f>
        <v>0</v>
      </c>
      <c r="F522" s="11">
        <f>_xlfn.XLOOKUP(TableDailySummary[[#This Row],[Fecha]],SummaryDaily[day],SummaryDaily[average_order_value],0)</f>
        <v>0</v>
      </c>
      <c r="G522" s="24" cm="1">
        <f t="array" ref="G522">_xlfn.XLOOKUP(TableDailySummary[[#This Row],[Fecha]]&amp;"Total site",ConversionRateByReferral[day]&amp;ConversionRateByReferral[referrer_source],ConversionRateByReferral[conversion_rate],0)</f>
        <v>0</v>
      </c>
      <c r="H522" s="11">
        <f>TableDailySummary[[#This Row],[Órden promedio totales]]*TableDailySummary[[#This Row],[CR totales]]</f>
        <v>0</v>
      </c>
      <c r="I522" s="11">
        <f>_xlfn.XLOOKUP(TableDailySummary[[#This Row],[Fecha]],SummaryDaily[day],SummaryDaily[new_net_sales],0)</f>
        <v>0</v>
      </c>
      <c r="J522" s="11">
        <f>_xlfn.XLOOKUP(TableDailySummary[[#This Row],[Fecha]],SummaryDaily[day],SummaryDaily[new_orders],0)</f>
        <v>0</v>
      </c>
      <c r="K522" s="11">
        <f>_xlfn.XLOOKUP(TableDailySummary[[#This Row],[Fecha]],SummaryDaily[day],SummaryDaily[new_average_order_value],0)</f>
        <v>0</v>
      </c>
      <c r="L522" s="11">
        <f>_xlfn.XLOOKUP(TableDailySummary[[#This Row],[Fecha]],SummaryDaily[day],SummaryDaily[Online Store_net_sales],0)</f>
        <v>0</v>
      </c>
      <c r="M522" s="11">
        <f>_xlfn.XLOOKUP(TableDailySummary[[#This Row],[Fecha]],SummaryDaily[day],SummaryDaily[Online Store_orders],0)</f>
        <v>0</v>
      </c>
      <c r="N522" s="11">
        <f>_xlfn.XLOOKUP(TableDailySummary[[#This Row],[Fecha]],SummaryDaily[day],SummaryDaily[Online Store_average_order_value],0)</f>
        <v>0</v>
      </c>
      <c r="O522" s="11">
        <f>_xlfn.XLOOKUP(TableDailySummary[[#This Row],[Fecha]],SummaryDaily[day],SummaryDaily[Tienda 81_net_sales],0)</f>
        <v>0</v>
      </c>
      <c r="P522" s="11">
        <f>_xlfn.XLOOKUP(TableDailySummary[[#This Row],[Fecha]],SummaryDaily[day],SummaryDaily[Tienda 81_orders],0)</f>
        <v>0</v>
      </c>
      <c r="Q522" s="11">
        <f>_xlfn.XLOOKUP(TableDailySummary[[#This Row],[Fecha]],SummaryDaily[day],SummaryDaily[Tienda 81_average_order_value],0)</f>
        <v>0</v>
      </c>
      <c r="R522" s="11">
        <f>_xlfn.XLOOKUP(TableDailySummary[[#This Row],[Fecha]],SummaryDaily[day],SummaryDaily[Rappi_net_sales],0)</f>
        <v>0</v>
      </c>
      <c r="S522" s="11">
        <f>_xlfn.XLOOKUP(TableDailySummary[[#This Row],[Fecha]],SummaryDaily[day],SummaryDaily[Rappi_orders],0)</f>
        <v>0</v>
      </c>
      <c r="T522" s="11">
        <f>_xlfn.XLOOKUP(TableDailySummary[[#This Row],[Fecha]],SummaryDaily[day],SummaryDaily[Rappi_average_order_value],0)</f>
        <v>0</v>
      </c>
      <c r="U522" s="11">
        <f>_xlfn.XLOOKUP(TableDailySummary[[#This Row],[Fecha]],SummaryDaily[day],SummaryDaily[Corporativo no tienda_net_sales],0)</f>
        <v>0</v>
      </c>
      <c r="V522" s="11">
        <f>_xlfn.XLOOKUP(TableDailySummary[[#This Row],[Fecha]],SummaryDaily[day],SummaryDaily[Corporativo no tienda_orders],0)</f>
        <v>0</v>
      </c>
      <c r="W522" s="11">
        <f>_xlfn.XLOOKUP(TableDailySummary[[#This Row],[Fecha]],SummaryDaily[day],SummaryDaily[Corporativo no tienda_average_order_value],0)</f>
        <v>0</v>
      </c>
      <c r="X522" s="11">
        <f>_xlfn.XLOOKUP(TableDailySummary[[#This Row],[Fecha]],SummaryDaily[day],SummaryDaily[GoogleAdsOperation.Cost],0)</f>
        <v>0</v>
      </c>
      <c r="Y522" s="11">
        <f>SUMIFS(SalesByUTMDaily[google],SalesByUTMDaily[day],TableDailySummary[[#This Row],[Fecha]])</f>
        <v>0</v>
      </c>
      <c r="Z522" s="11">
        <f>_xlfn.XLOOKUP(TableDailySummary[[#This Row],[Fecha]],SummaryDaily[day],SummaryDaily[MetaAdsOperation.spend],0)</f>
        <v>0</v>
      </c>
      <c r="AA522" s="11">
        <f>SUMIFS(SalesByUTMDaily[facebook],SalesByUTMDaily[day],TableDailySummary[[#This Row],[Fecha]])</f>
        <v>0</v>
      </c>
      <c r="AB522" s="11">
        <f>TableDailySummary[[#This Row],[Inversión google ads]]+TableDailySummary[[#This Row],[Inversión meta ads]]</f>
        <v>0</v>
      </c>
      <c r="AC522" s="11">
        <f>TableDailySummary[[#This Row],[Ventas google ads]]+TableDailySummary[[#This Row],[Ventas meta ads]]</f>
        <v>0</v>
      </c>
      <c r="AD522" s="14">
        <f>IFERROR(TableDailySummary[[#This Row],[Ventas publicidad]]/TableDailySummary[[#This Row],[Inversión publicidad]],0)</f>
        <v>0</v>
      </c>
      <c r="AE522" s="14">
        <f>IFERROR(TableDailySummary[[#This Row],[Ventas primer cliente]]/TableDailySummary[[#This Row],[Inversión publicidad]],0)</f>
        <v>0</v>
      </c>
      <c r="AF522" s="14"/>
      <c r="AG522" s="11"/>
      <c r="AM522" s="11">
        <f>_xlfn.XLOOKUP(TableDailySummary[[#This Row],[Fecha]],SummaryDaily[day],SummaryDaily[net_sales_with_cost_recorded],0)</f>
        <v>0</v>
      </c>
      <c r="AN522" s="11">
        <f>_xlfn.XLOOKUP(TableDailySummary[[#This Row],[Fecha]],SummaryDaily[day],SummaryDaily[cost_of_goods_sold],0)</f>
        <v>0</v>
      </c>
      <c r="AO522" s="11">
        <f>_xlfn.XLOOKUP(TableDailySummary[[#This Row],[Fecha]],SummaryDaily[day],SummaryDaily[gross_profit],0)</f>
        <v>0</v>
      </c>
      <c r="AP522" s="18">
        <f>IFERROR(TableDailySummary[[#This Row],[Utilidad bruta]]/TableDailySummary[[#This Row],[Ventas netas con costo registrado]],0)</f>
        <v>0</v>
      </c>
    </row>
    <row r="523" spans="2:42" x14ac:dyDescent="0.2">
      <c r="B523" s="15" cm="1">
        <f t="array" ref="B523">ParamFechaInicioReporte + (ROW(TableDailySummary[#This Row]) - ROW(TableDailySummary[[#Headers],[Dia]]) - 1)</f>
        <v>45050</v>
      </c>
      <c r="C523" s="6">
        <f>TableDailySummary[[#This Row],[Dia]]</f>
        <v>45050</v>
      </c>
      <c r="D523" s="11">
        <f>_xlfn.XLOOKUP(TableDailySummary[[#This Row],[Fecha]],SummaryDaily[day],SummaryDaily[net_sales],0)</f>
        <v>0</v>
      </c>
      <c r="E523" s="11">
        <f>_xlfn.XLOOKUP(TableDailySummary[[#This Row],[Fecha]],SummaryDaily[day],SummaryDaily[orders],0)</f>
        <v>0</v>
      </c>
      <c r="F523" s="11">
        <f>_xlfn.XLOOKUP(TableDailySummary[[#This Row],[Fecha]],SummaryDaily[day],SummaryDaily[average_order_value],0)</f>
        <v>0</v>
      </c>
      <c r="G523" s="24" cm="1">
        <f t="array" ref="G523">_xlfn.XLOOKUP(TableDailySummary[[#This Row],[Fecha]]&amp;"Total site",ConversionRateByReferral[day]&amp;ConversionRateByReferral[referrer_source],ConversionRateByReferral[conversion_rate],0)</f>
        <v>0</v>
      </c>
      <c r="H523" s="11">
        <f>TableDailySummary[[#This Row],[Órden promedio totales]]*TableDailySummary[[#This Row],[CR totales]]</f>
        <v>0</v>
      </c>
      <c r="I523" s="11">
        <f>_xlfn.XLOOKUP(TableDailySummary[[#This Row],[Fecha]],SummaryDaily[day],SummaryDaily[new_net_sales],0)</f>
        <v>0</v>
      </c>
      <c r="J523" s="11">
        <f>_xlfn.XLOOKUP(TableDailySummary[[#This Row],[Fecha]],SummaryDaily[day],SummaryDaily[new_orders],0)</f>
        <v>0</v>
      </c>
      <c r="K523" s="11">
        <f>_xlfn.XLOOKUP(TableDailySummary[[#This Row],[Fecha]],SummaryDaily[day],SummaryDaily[new_average_order_value],0)</f>
        <v>0</v>
      </c>
      <c r="L523" s="11">
        <f>_xlfn.XLOOKUP(TableDailySummary[[#This Row],[Fecha]],SummaryDaily[day],SummaryDaily[Online Store_net_sales],0)</f>
        <v>0</v>
      </c>
      <c r="M523" s="11">
        <f>_xlfn.XLOOKUP(TableDailySummary[[#This Row],[Fecha]],SummaryDaily[day],SummaryDaily[Online Store_orders],0)</f>
        <v>0</v>
      </c>
      <c r="N523" s="11">
        <f>_xlfn.XLOOKUP(TableDailySummary[[#This Row],[Fecha]],SummaryDaily[day],SummaryDaily[Online Store_average_order_value],0)</f>
        <v>0</v>
      </c>
      <c r="O523" s="11">
        <f>_xlfn.XLOOKUP(TableDailySummary[[#This Row],[Fecha]],SummaryDaily[day],SummaryDaily[Tienda 81_net_sales],0)</f>
        <v>0</v>
      </c>
      <c r="P523" s="11">
        <f>_xlfn.XLOOKUP(TableDailySummary[[#This Row],[Fecha]],SummaryDaily[day],SummaryDaily[Tienda 81_orders],0)</f>
        <v>0</v>
      </c>
      <c r="Q523" s="11">
        <f>_xlfn.XLOOKUP(TableDailySummary[[#This Row],[Fecha]],SummaryDaily[day],SummaryDaily[Tienda 81_average_order_value],0)</f>
        <v>0</v>
      </c>
      <c r="R523" s="11">
        <f>_xlfn.XLOOKUP(TableDailySummary[[#This Row],[Fecha]],SummaryDaily[day],SummaryDaily[Rappi_net_sales],0)</f>
        <v>0</v>
      </c>
      <c r="S523" s="11">
        <f>_xlfn.XLOOKUP(TableDailySummary[[#This Row],[Fecha]],SummaryDaily[day],SummaryDaily[Rappi_orders],0)</f>
        <v>0</v>
      </c>
      <c r="T523" s="11">
        <f>_xlfn.XLOOKUP(TableDailySummary[[#This Row],[Fecha]],SummaryDaily[day],SummaryDaily[Rappi_average_order_value],0)</f>
        <v>0</v>
      </c>
      <c r="U523" s="11">
        <f>_xlfn.XLOOKUP(TableDailySummary[[#This Row],[Fecha]],SummaryDaily[day],SummaryDaily[Corporativo no tienda_net_sales],0)</f>
        <v>0</v>
      </c>
      <c r="V523" s="11">
        <f>_xlfn.XLOOKUP(TableDailySummary[[#This Row],[Fecha]],SummaryDaily[day],SummaryDaily[Corporativo no tienda_orders],0)</f>
        <v>0</v>
      </c>
      <c r="W523" s="11">
        <f>_xlfn.XLOOKUP(TableDailySummary[[#This Row],[Fecha]],SummaryDaily[day],SummaryDaily[Corporativo no tienda_average_order_value],0)</f>
        <v>0</v>
      </c>
      <c r="X523" s="11">
        <f>_xlfn.XLOOKUP(TableDailySummary[[#This Row],[Fecha]],SummaryDaily[day],SummaryDaily[GoogleAdsOperation.Cost],0)</f>
        <v>0</v>
      </c>
      <c r="Y523" s="11">
        <f>SUMIFS(SalesByUTMDaily[google],SalesByUTMDaily[day],TableDailySummary[[#This Row],[Fecha]])</f>
        <v>0</v>
      </c>
      <c r="Z523" s="11">
        <f>_xlfn.XLOOKUP(TableDailySummary[[#This Row],[Fecha]],SummaryDaily[day],SummaryDaily[MetaAdsOperation.spend],0)</f>
        <v>0</v>
      </c>
      <c r="AA523" s="11">
        <f>SUMIFS(SalesByUTMDaily[facebook],SalesByUTMDaily[day],TableDailySummary[[#This Row],[Fecha]])</f>
        <v>0</v>
      </c>
      <c r="AB523" s="11">
        <f>TableDailySummary[[#This Row],[Inversión google ads]]+TableDailySummary[[#This Row],[Inversión meta ads]]</f>
        <v>0</v>
      </c>
      <c r="AC523" s="11">
        <f>TableDailySummary[[#This Row],[Ventas google ads]]+TableDailySummary[[#This Row],[Ventas meta ads]]</f>
        <v>0</v>
      </c>
      <c r="AD523" s="14">
        <f>IFERROR(TableDailySummary[[#This Row],[Ventas publicidad]]/TableDailySummary[[#This Row],[Inversión publicidad]],0)</f>
        <v>0</v>
      </c>
      <c r="AE523" s="14">
        <f>IFERROR(TableDailySummary[[#This Row],[Ventas primer cliente]]/TableDailySummary[[#This Row],[Inversión publicidad]],0)</f>
        <v>0</v>
      </c>
      <c r="AF523" s="14"/>
      <c r="AG523" s="11"/>
      <c r="AM523" s="11">
        <f>_xlfn.XLOOKUP(TableDailySummary[[#This Row],[Fecha]],SummaryDaily[day],SummaryDaily[net_sales_with_cost_recorded],0)</f>
        <v>0</v>
      </c>
      <c r="AN523" s="11">
        <f>_xlfn.XLOOKUP(TableDailySummary[[#This Row],[Fecha]],SummaryDaily[day],SummaryDaily[cost_of_goods_sold],0)</f>
        <v>0</v>
      </c>
      <c r="AO523" s="11">
        <f>_xlfn.XLOOKUP(TableDailySummary[[#This Row],[Fecha]],SummaryDaily[day],SummaryDaily[gross_profit],0)</f>
        <v>0</v>
      </c>
      <c r="AP523" s="18">
        <f>IFERROR(TableDailySummary[[#This Row],[Utilidad bruta]]/TableDailySummary[[#This Row],[Ventas netas con costo registrado]],0)</f>
        <v>0</v>
      </c>
    </row>
    <row r="524" spans="2:42" x14ac:dyDescent="0.2">
      <c r="B524" s="15" cm="1">
        <f t="array" ref="B524">ParamFechaInicioReporte + (ROW(TableDailySummary[#This Row]) - ROW(TableDailySummary[[#Headers],[Dia]]) - 1)</f>
        <v>45051</v>
      </c>
      <c r="C524" s="6">
        <f>TableDailySummary[[#This Row],[Dia]]</f>
        <v>45051</v>
      </c>
      <c r="D524" s="11">
        <f>_xlfn.XLOOKUP(TableDailySummary[[#This Row],[Fecha]],SummaryDaily[day],SummaryDaily[net_sales],0)</f>
        <v>0</v>
      </c>
      <c r="E524" s="11">
        <f>_xlfn.XLOOKUP(TableDailySummary[[#This Row],[Fecha]],SummaryDaily[day],SummaryDaily[orders],0)</f>
        <v>0</v>
      </c>
      <c r="F524" s="11">
        <f>_xlfn.XLOOKUP(TableDailySummary[[#This Row],[Fecha]],SummaryDaily[day],SummaryDaily[average_order_value],0)</f>
        <v>0</v>
      </c>
      <c r="G524" s="24" cm="1">
        <f t="array" ref="G524">_xlfn.XLOOKUP(TableDailySummary[[#This Row],[Fecha]]&amp;"Total site",ConversionRateByReferral[day]&amp;ConversionRateByReferral[referrer_source],ConversionRateByReferral[conversion_rate],0)</f>
        <v>0</v>
      </c>
      <c r="H524" s="11">
        <f>TableDailySummary[[#This Row],[Órden promedio totales]]*TableDailySummary[[#This Row],[CR totales]]</f>
        <v>0</v>
      </c>
      <c r="I524" s="11">
        <f>_xlfn.XLOOKUP(TableDailySummary[[#This Row],[Fecha]],SummaryDaily[day],SummaryDaily[new_net_sales],0)</f>
        <v>0</v>
      </c>
      <c r="J524" s="11">
        <f>_xlfn.XLOOKUP(TableDailySummary[[#This Row],[Fecha]],SummaryDaily[day],SummaryDaily[new_orders],0)</f>
        <v>0</v>
      </c>
      <c r="K524" s="11">
        <f>_xlfn.XLOOKUP(TableDailySummary[[#This Row],[Fecha]],SummaryDaily[day],SummaryDaily[new_average_order_value],0)</f>
        <v>0</v>
      </c>
      <c r="L524" s="11">
        <f>_xlfn.XLOOKUP(TableDailySummary[[#This Row],[Fecha]],SummaryDaily[day],SummaryDaily[Online Store_net_sales],0)</f>
        <v>0</v>
      </c>
      <c r="M524" s="11">
        <f>_xlfn.XLOOKUP(TableDailySummary[[#This Row],[Fecha]],SummaryDaily[day],SummaryDaily[Online Store_orders],0)</f>
        <v>0</v>
      </c>
      <c r="N524" s="11">
        <f>_xlfn.XLOOKUP(TableDailySummary[[#This Row],[Fecha]],SummaryDaily[day],SummaryDaily[Online Store_average_order_value],0)</f>
        <v>0</v>
      </c>
      <c r="O524" s="11">
        <f>_xlfn.XLOOKUP(TableDailySummary[[#This Row],[Fecha]],SummaryDaily[day],SummaryDaily[Tienda 81_net_sales],0)</f>
        <v>0</v>
      </c>
      <c r="P524" s="11">
        <f>_xlfn.XLOOKUP(TableDailySummary[[#This Row],[Fecha]],SummaryDaily[day],SummaryDaily[Tienda 81_orders],0)</f>
        <v>0</v>
      </c>
      <c r="Q524" s="11">
        <f>_xlfn.XLOOKUP(TableDailySummary[[#This Row],[Fecha]],SummaryDaily[day],SummaryDaily[Tienda 81_average_order_value],0)</f>
        <v>0</v>
      </c>
      <c r="R524" s="11">
        <f>_xlfn.XLOOKUP(TableDailySummary[[#This Row],[Fecha]],SummaryDaily[day],SummaryDaily[Rappi_net_sales],0)</f>
        <v>0</v>
      </c>
      <c r="S524" s="11">
        <f>_xlfn.XLOOKUP(TableDailySummary[[#This Row],[Fecha]],SummaryDaily[day],SummaryDaily[Rappi_orders],0)</f>
        <v>0</v>
      </c>
      <c r="T524" s="11">
        <f>_xlfn.XLOOKUP(TableDailySummary[[#This Row],[Fecha]],SummaryDaily[day],SummaryDaily[Rappi_average_order_value],0)</f>
        <v>0</v>
      </c>
      <c r="U524" s="11">
        <f>_xlfn.XLOOKUP(TableDailySummary[[#This Row],[Fecha]],SummaryDaily[day],SummaryDaily[Corporativo no tienda_net_sales],0)</f>
        <v>0</v>
      </c>
      <c r="V524" s="11">
        <f>_xlfn.XLOOKUP(TableDailySummary[[#This Row],[Fecha]],SummaryDaily[day],SummaryDaily[Corporativo no tienda_orders],0)</f>
        <v>0</v>
      </c>
      <c r="W524" s="11">
        <f>_xlfn.XLOOKUP(TableDailySummary[[#This Row],[Fecha]],SummaryDaily[day],SummaryDaily[Corporativo no tienda_average_order_value],0)</f>
        <v>0</v>
      </c>
      <c r="X524" s="11">
        <f>_xlfn.XLOOKUP(TableDailySummary[[#This Row],[Fecha]],SummaryDaily[day],SummaryDaily[GoogleAdsOperation.Cost],0)</f>
        <v>0</v>
      </c>
      <c r="Y524" s="11">
        <f>SUMIFS(SalesByUTMDaily[google],SalesByUTMDaily[day],TableDailySummary[[#This Row],[Fecha]])</f>
        <v>0</v>
      </c>
      <c r="Z524" s="11">
        <f>_xlfn.XLOOKUP(TableDailySummary[[#This Row],[Fecha]],SummaryDaily[day],SummaryDaily[MetaAdsOperation.spend],0)</f>
        <v>0</v>
      </c>
      <c r="AA524" s="11">
        <f>SUMIFS(SalesByUTMDaily[facebook],SalesByUTMDaily[day],TableDailySummary[[#This Row],[Fecha]])</f>
        <v>0</v>
      </c>
      <c r="AB524" s="11">
        <f>TableDailySummary[[#This Row],[Inversión google ads]]+TableDailySummary[[#This Row],[Inversión meta ads]]</f>
        <v>0</v>
      </c>
      <c r="AC524" s="11">
        <f>TableDailySummary[[#This Row],[Ventas google ads]]+TableDailySummary[[#This Row],[Ventas meta ads]]</f>
        <v>0</v>
      </c>
      <c r="AD524" s="14">
        <f>IFERROR(TableDailySummary[[#This Row],[Ventas publicidad]]/TableDailySummary[[#This Row],[Inversión publicidad]],0)</f>
        <v>0</v>
      </c>
      <c r="AE524" s="14">
        <f>IFERROR(TableDailySummary[[#This Row],[Ventas primer cliente]]/TableDailySummary[[#This Row],[Inversión publicidad]],0)</f>
        <v>0</v>
      </c>
      <c r="AF524" s="14"/>
      <c r="AG524" s="11"/>
      <c r="AM524" s="11">
        <f>_xlfn.XLOOKUP(TableDailySummary[[#This Row],[Fecha]],SummaryDaily[day],SummaryDaily[net_sales_with_cost_recorded],0)</f>
        <v>0</v>
      </c>
      <c r="AN524" s="11">
        <f>_xlfn.XLOOKUP(TableDailySummary[[#This Row],[Fecha]],SummaryDaily[day],SummaryDaily[cost_of_goods_sold],0)</f>
        <v>0</v>
      </c>
      <c r="AO524" s="11">
        <f>_xlfn.XLOOKUP(TableDailySummary[[#This Row],[Fecha]],SummaryDaily[day],SummaryDaily[gross_profit],0)</f>
        <v>0</v>
      </c>
      <c r="AP524" s="18">
        <f>IFERROR(TableDailySummary[[#This Row],[Utilidad bruta]]/TableDailySummary[[#This Row],[Ventas netas con costo registrado]],0)</f>
        <v>0</v>
      </c>
    </row>
    <row r="525" spans="2:42" x14ac:dyDescent="0.2">
      <c r="B525" s="15" cm="1">
        <f t="array" ref="B525">ParamFechaInicioReporte + (ROW(TableDailySummary[#This Row]) - ROW(TableDailySummary[[#Headers],[Dia]]) - 1)</f>
        <v>45052</v>
      </c>
      <c r="C525" s="6">
        <f>TableDailySummary[[#This Row],[Dia]]</f>
        <v>45052</v>
      </c>
      <c r="D525" s="11">
        <f>_xlfn.XLOOKUP(TableDailySummary[[#This Row],[Fecha]],SummaryDaily[day],SummaryDaily[net_sales],0)</f>
        <v>0</v>
      </c>
      <c r="E525" s="11">
        <f>_xlfn.XLOOKUP(TableDailySummary[[#This Row],[Fecha]],SummaryDaily[day],SummaryDaily[orders],0)</f>
        <v>0</v>
      </c>
      <c r="F525" s="11">
        <f>_xlfn.XLOOKUP(TableDailySummary[[#This Row],[Fecha]],SummaryDaily[day],SummaryDaily[average_order_value],0)</f>
        <v>0</v>
      </c>
      <c r="G525" s="24" cm="1">
        <f t="array" ref="G525">_xlfn.XLOOKUP(TableDailySummary[[#This Row],[Fecha]]&amp;"Total site",ConversionRateByReferral[day]&amp;ConversionRateByReferral[referrer_source],ConversionRateByReferral[conversion_rate],0)</f>
        <v>0</v>
      </c>
      <c r="H525" s="11">
        <f>TableDailySummary[[#This Row],[Órden promedio totales]]*TableDailySummary[[#This Row],[CR totales]]</f>
        <v>0</v>
      </c>
      <c r="I525" s="11">
        <f>_xlfn.XLOOKUP(TableDailySummary[[#This Row],[Fecha]],SummaryDaily[day],SummaryDaily[new_net_sales],0)</f>
        <v>0</v>
      </c>
      <c r="J525" s="11">
        <f>_xlfn.XLOOKUP(TableDailySummary[[#This Row],[Fecha]],SummaryDaily[day],SummaryDaily[new_orders],0)</f>
        <v>0</v>
      </c>
      <c r="K525" s="11">
        <f>_xlfn.XLOOKUP(TableDailySummary[[#This Row],[Fecha]],SummaryDaily[day],SummaryDaily[new_average_order_value],0)</f>
        <v>0</v>
      </c>
      <c r="L525" s="11">
        <f>_xlfn.XLOOKUP(TableDailySummary[[#This Row],[Fecha]],SummaryDaily[day],SummaryDaily[Online Store_net_sales],0)</f>
        <v>0</v>
      </c>
      <c r="M525" s="11">
        <f>_xlfn.XLOOKUP(TableDailySummary[[#This Row],[Fecha]],SummaryDaily[day],SummaryDaily[Online Store_orders],0)</f>
        <v>0</v>
      </c>
      <c r="N525" s="11">
        <f>_xlfn.XLOOKUP(TableDailySummary[[#This Row],[Fecha]],SummaryDaily[day],SummaryDaily[Online Store_average_order_value],0)</f>
        <v>0</v>
      </c>
      <c r="O525" s="11">
        <f>_xlfn.XLOOKUP(TableDailySummary[[#This Row],[Fecha]],SummaryDaily[day],SummaryDaily[Tienda 81_net_sales],0)</f>
        <v>0</v>
      </c>
      <c r="P525" s="11">
        <f>_xlfn.XLOOKUP(TableDailySummary[[#This Row],[Fecha]],SummaryDaily[day],SummaryDaily[Tienda 81_orders],0)</f>
        <v>0</v>
      </c>
      <c r="Q525" s="11">
        <f>_xlfn.XLOOKUP(TableDailySummary[[#This Row],[Fecha]],SummaryDaily[day],SummaryDaily[Tienda 81_average_order_value],0)</f>
        <v>0</v>
      </c>
      <c r="R525" s="11">
        <f>_xlfn.XLOOKUP(TableDailySummary[[#This Row],[Fecha]],SummaryDaily[day],SummaryDaily[Rappi_net_sales],0)</f>
        <v>0</v>
      </c>
      <c r="S525" s="11">
        <f>_xlfn.XLOOKUP(TableDailySummary[[#This Row],[Fecha]],SummaryDaily[day],SummaryDaily[Rappi_orders],0)</f>
        <v>0</v>
      </c>
      <c r="T525" s="11">
        <f>_xlfn.XLOOKUP(TableDailySummary[[#This Row],[Fecha]],SummaryDaily[day],SummaryDaily[Rappi_average_order_value],0)</f>
        <v>0</v>
      </c>
      <c r="U525" s="11">
        <f>_xlfn.XLOOKUP(TableDailySummary[[#This Row],[Fecha]],SummaryDaily[day],SummaryDaily[Corporativo no tienda_net_sales],0)</f>
        <v>0</v>
      </c>
      <c r="V525" s="11">
        <f>_xlfn.XLOOKUP(TableDailySummary[[#This Row],[Fecha]],SummaryDaily[day],SummaryDaily[Corporativo no tienda_orders],0)</f>
        <v>0</v>
      </c>
      <c r="W525" s="11">
        <f>_xlfn.XLOOKUP(TableDailySummary[[#This Row],[Fecha]],SummaryDaily[day],SummaryDaily[Corporativo no tienda_average_order_value],0)</f>
        <v>0</v>
      </c>
      <c r="X525" s="11">
        <f>_xlfn.XLOOKUP(TableDailySummary[[#This Row],[Fecha]],SummaryDaily[day],SummaryDaily[GoogleAdsOperation.Cost],0)</f>
        <v>0</v>
      </c>
      <c r="Y525" s="11">
        <f>SUMIFS(SalesByUTMDaily[google],SalesByUTMDaily[day],TableDailySummary[[#This Row],[Fecha]])</f>
        <v>0</v>
      </c>
      <c r="Z525" s="11">
        <f>_xlfn.XLOOKUP(TableDailySummary[[#This Row],[Fecha]],SummaryDaily[day],SummaryDaily[MetaAdsOperation.spend],0)</f>
        <v>0</v>
      </c>
      <c r="AA525" s="11">
        <f>SUMIFS(SalesByUTMDaily[facebook],SalesByUTMDaily[day],TableDailySummary[[#This Row],[Fecha]])</f>
        <v>0</v>
      </c>
      <c r="AB525" s="11">
        <f>TableDailySummary[[#This Row],[Inversión google ads]]+TableDailySummary[[#This Row],[Inversión meta ads]]</f>
        <v>0</v>
      </c>
      <c r="AC525" s="11">
        <f>TableDailySummary[[#This Row],[Ventas google ads]]+TableDailySummary[[#This Row],[Ventas meta ads]]</f>
        <v>0</v>
      </c>
      <c r="AD525" s="14">
        <f>IFERROR(TableDailySummary[[#This Row],[Ventas publicidad]]/TableDailySummary[[#This Row],[Inversión publicidad]],0)</f>
        <v>0</v>
      </c>
      <c r="AE525" s="14">
        <f>IFERROR(TableDailySummary[[#This Row],[Ventas primer cliente]]/TableDailySummary[[#This Row],[Inversión publicidad]],0)</f>
        <v>0</v>
      </c>
      <c r="AF525" s="14"/>
      <c r="AG525" s="11"/>
      <c r="AM525" s="11">
        <f>_xlfn.XLOOKUP(TableDailySummary[[#This Row],[Fecha]],SummaryDaily[day],SummaryDaily[net_sales_with_cost_recorded],0)</f>
        <v>0</v>
      </c>
      <c r="AN525" s="11">
        <f>_xlfn.XLOOKUP(TableDailySummary[[#This Row],[Fecha]],SummaryDaily[day],SummaryDaily[cost_of_goods_sold],0)</f>
        <v>0</v>
      </c>
      <c r="AO525" s="11">
        <f>_xlfn.XLOOKUP(TableDailySummary[[#This Row],[Fecha]],SummaryDaily[day],SummaryDaily[gross_profit],0)</f>
        <v>0</v>
      </c>
      <c r="AP525" s="18">
        <f>IFERROR(TableDailySummary[[#This Row],[Utilidad bruta]]/TableDailySummary[[#This Row],[Ventas netas con costo registrado]],0)</f>
        <v>0</v>
      </c>
    </row>
    <row r="526" spans="2:42" x14ac:dyDescent="0.2">
      <c r="B526" s="15" cm="1">
        <f t="array" ref="B526">ParamFechaInicioReporte + (ROW(TableDailySummary[#This Row]) - ROW(TableDailySummary[[#Headers],[Dia]]) - 1)</f>
        <v>45053</v>
      </c>
      <c r="C526" s="6">
        <f>TableDailySummary[[#This Row],[Dia]]</f>
        <v>45053</v>
      </c>
      <c r="D526" s="11">
        <f>_xlfn.XLOOKUP(TableDailySummary[[#This Row],[Fecha]],SummaryDaily[day],SummaryDaily[net_sales],0)</f>
        <v>0</v>
      </c>
      <c r="E526" s="11">
        <f>_xlfn.XLOOKUP(TableDailySummary[[#This Row],[Fecha]],SummaryDaily[day],SummaryDaily[orders],0)</f>
        <v>0</v>
      </c>
      <c r="F526" s="11">
        <f>_xlfn.XLOOKUP(TableDailySummary[[#This Row],[Fecha]],SummaryDaily[day],SummaryDaily[average_order_value],0)</f>
        <v>0</v>
      </c>
      <c r="G526" s="24" cm="1">
        <f t="array" ref="G526">_xlfn.XLOOKUP(TableDailySummary[[#This Row],[Fecha]]&amp;"Total site",ConversionRateByReferral[day]&amp;ConversionRateByReferral[referrer_source],ConversionRateByReferral[conversion_rate],0)</f>
        <v>0</v>
      </c>
      <c r="H526" s="11">
        <f>TableDailySummary[[#This Row],[Órden promedio totales]]*TableDailySummary[[#This Row],[CR totales]]</f>
        <v>0</v>
      </c>
      <c r="I526" s="11">
        <f>_xlfn.XLOOKUP(TableDailySummary[[#This Row],[Fecha]],SummaryDaily[day],SummaryDaily[new_net_sales],0)</f>
        <v>0</v>
      </c>
      <c r="J526" s="11">
        <f>_xlfn.XLOOKUP(TableDailySummary[[#This Row],[Fecha]],SummaryDaily[day],SummaryDaily[new_orders],0)</f>
        <v>0</v>
      </c>
      <c r="K526" s="11">
        <f>_xlfn.XLOOKUP(TableDailySummary[[#This Row],[Fecha]],SummaryDaily[day],SummaryDaily[new_average_order_value],0)</f>
        <v>0</v>
      </c>
      <c r="L526" s="11">
        <f>_xlfn.XLOOKUP(TableDailySummary[[#This Row],[Fecha]],SummaryDaily[day],SummaryDaily[Online Store_net_sales],0)</f>
        <v>0</v>
      </c>
      <c r="M526" s="11">
        <f>_xlfn.XLOOKUP(TableDailySummary[[#This Row],[Fecha]],SummaryDaily[day],SummaryDaily[Online Store_orders],0)</f>
        <v>0</v>
      </c>
      <c r="N526" s="11">
        <f>_xlfn.XLOOKUP(TableDailySummary[[#This Row],[Fecha]],SummaryDaily[day],SummaryDaily[Online Store_average_order_value],0)</f>
        <v>0</v>
      </c>
      <c r="O526" s="11">
        <f>_xlfn.XLOOKUP(TableDailySummary[[#This Row],[Fecha]],SummaryDaily[day],SummaryDaily[Tienda 81_net_sales],0)</f>
        <v>0</v>
      </c>
      <c r="P526" s="11">
        <f>_xlfn.XLOOKUP(TableDailySummary[[#This Row],[Fecha]],SummaryDaily[day],SummaryDaily[Tienda 81_orders],0)</f>
        <v>0</v>
      </c>
      <c r="Q526" s="11">
        <f>_xlfn.XLOOKUP(TableDailySummary[[#This Row],[Fecha]],SummaryDaily[day],SummaryDaily[Tienda 81_average_order_value],0)</f>
        <v>0</v>
      </c>
      <c r="R526" s="11">
        <f>_xlfn.XLOOKUP(TableDailySummary[[#This Row],[Fecha]],SummaryDaily[day],SummaryDaily[Rappi_net_sales],0)</f>
        <v>0</v>
      </c>
      <c r="S526" s="11">
        <f>_xlfn.XLOOKUP(TableDailySummary[[#This Row],[Fecha]],SummaryDaily[day],SummaryDaily[Rappi_orders],0)</f>
        <v>0</v>
      </c>
      <c r="T526" s="11">
        <f>_xlfn.XLOOKUP(TableDailySummary[[#This Row],[Fecha]],SummaryDaily[day],SummaryDaily[Rappi_average_order_value],0)</f>
        <v>0</v>
      </c>
      <c r="U526" s="11">
        <f>_xlfn.XLOOKUP(TableDailySummary[[#This Row],[Fecha]],SummaryDaily[day],SummaryDaily[Corporativo no tienda_net_sales],0)</f>
        <v>0</v>
      </c>
      <c r="V526" s="11">
        <f>_xlfn.XLOOKUP(TableDailySummary[[#This Row],[Fecha]],SummaryDaily[day],SummaryDaily[Corporativo no tienda_orders],0)</f>
        <v>0</v>
      </c>
      <c r="W526" s="11">
        <f>_xlfn.XLOOKUP(TableDailySummary[[#This Row],[Fecha]],SummaryDaily[day],SummaryDaily[Corporativo no tienda_average_order_value],0)</f>
        <v>0</v>
      </c>
      <c r="X526" s="11">
        <f>_xlfn.XLOOKUP(TableDailySummary[[#This Row],[Fecha]],SummaryDaily[day],SummaryDaily[GoogleAdsOperation.Cost],0)</f>
        <v>0</v>
      </c>
      <c r="Y526" s="11">
        <f>SUMIFS(SalesByUTMDaily[google],SalesByUTMDaily[day],TableDailySummary[[#This Row],[Fecha]])</f>
        <v>0</v>
      </c>
      <c r="Z526" s="11">
        <f>_xlfn.XLOOKUP(TableDailySummary[[#This Row],[Fecha]],SummaryDaily[day],SummaryDaily[MetaAdsOperation.spend],0)</f>
        <v>0</v>
      </c>
      <c r="AA526" s="11">
        <f>SUMIFS(SalesByUTMDaily[facebook],SalesByUTMDaily[day],TableDailySummary[[#This Row],[Fecha]])</f>
        <v>0</v>
      </c>
      <c r="AB526" s="11">
        <f>TableDailySummary[[#This Row],[Inversión google ads]]+TableDailySummary[[#This Row],[Inversión meta ads]]</f>
        <v>0</v>
      </c>
      <c r="AC526" s="11">
        <f>TableDailySummary[[#This Row],[Ventas google ads]]+TableDailySummary[[#This Row],[Ventas meta ads]]</f>
        <v>0</v>
      </c>
      <c r="AD526" s="14">
        <f>IFERROR(TableDailySummary[[#This Row],[Ventas publicidad]]/TableDailySummary[[#This Row],[Inversión publicidad]],0)</f>
        <v>0</v>
      </c>
      <c r="AE526" s="14">
        <f>IFERROR(TableDailySummary[[#This Row],[Ventas primer cliente]]/TableDailySummary[[#This Row],[Inversión publicidad]],0)</f>
        <v>0</v>
      </c>
      <c r="AF526" s="14"/>
      <c r="AG526" s="11"/>
      <c r="AM526" s="11">
        <f>_xlfn.XLOOKUP(TableDailySummary[[#This Row],[Fecha]],SummaryDaily[day],SummaryDaily[net_sales_with_cost_recorded],0)</f>
        <v>0</v>
      </c>
      <c r="AN526" s="11">
        <f>_xlfn.XLOOKUP(TableDailySummary[[#This Row],[Fecha]],SummaryDaily[day],SummaryDaily[cost_of_goods_sold],0)</f>
        <v>0</v>
      </c>
      <c r="AO526" s="11">
        <f>_xlfn.XLOOKUP(TableDailySummary[[#This Row],[Fecha]],SummaryDaily[day],SummaryDaily[gross_profit],0)</f>
        <v>0</v>
      </c>
      <c r="AP526" s="18">
        <f>IFERROR(TableDailySummary[[#This Row],[Utilidad bruta]]/TableDailySummary[[#This Row],[Ventas netas con costo registrado]],0)</f>
        <v>0</v>
      </c>
    </row>
    <row r="527" spans="2:42" x14ac:dyDescent="0.2">
      <c r="B527" s="15" cm="1">
        <f t="array" ref="B527">ParamFechaInicioReporte + (ROW(TableDailySummary[#This Row]) - ROW(TableDailySummary[[#Headers],[Dia]]) - 1)</f>
        <v>45054</v>
      </c>
      <c r="C527" s="6">
        <f>TableDailySummary[[#This Row],[Dia]]</f>
        <v>45054</v>
      </c>
      <c r="D527" s="11">
        <f>_xlfn.XLOOKUP(TableDailySummary[[#This Row],[Fecha]],SummaryDaily[day],SummaryDaily[net_sales],0)</f>
        <v>0</v>
      </c>
      <c r="E527" s="11">
        <f>_xlfn.XLOOKUP(TableDailySummary[[#This Row],[Fecha]],SummaryDaily[day],SummaryDaily[orders],0)</f>
        <v>0</v>
      </c>
      <c r="F527" s="11">
        <f>_xlfn.XLOOKUP(TableDailySummary[[#This Row],[Fecha]],SummaryDaily[day],SummaryDaily[average_order_value],0)</f>
        <v>0</v>
      </c>
      <c r="G527" s="24" cm="1">
        <f t="array" ref="G527">_xlfn.XLOOKUP(TableDailySummary[[#This Row],[Fecha]]&amp;"Total site",ConversionRateByReferral[day]&amp;ConversionRateByReferral[referrer_source],ConversionRateByReferral[conversion_rate],0)</f>
        <v>0</v>
      </c>
      <c r="H527" s="11">
        <f>TableDailySummary[[#This Row],[Órden promedio totales]]*TableDailySummary[[#This Row],[CR totales]]</f>
        <v>0</v>
      </c>
      <c r="I527" s="11">
        <f>_xlfn.XLOOKUP(TableDailySummary[[#This Row],[Fecha]],SummaryDaily[day],SummaryDaily[new_net_sales],0)</f>
        <v>0</v>
      </c>
      <c r="J527" s="11">
        <f>_xlfn.XLOOKUP(TableDailySummary[[#This Row],[Fecha]],SummaryDaily[day],SummaryDaily[new_orders],0)</f>
        <v>0</v>
      </c>
      <c r="K527" s="11">
        <f>_xlfn.XLOOKUP(TableDailySummary[[#This Row],[Fecha]],SummaryDaily[day],SummaryDaily[new_average_order_value],0)</f>
        <v>0</v>
      </c>
      <c r="L527" s="11">
        <f>_xlfn.XLOOKUP(TableDailySummary[[#This Row],[Fecha]],SummaryDaily[day],SummaryDaily[Online Store_net_sales],0)</f>
        <v>0</v>
      </c>
      <c r="M527" s="11">
        <f>_xlfn.XLOOKUP(TableDailySummary[[#This Row],[Fecha]],SummaryDaily[day],SummaryDaily[Online Store_orders],0)</f>
        <v>0</v>
      </c>
      <c r="N527" s="11">
        <f>_xlfn.XLOOKUP(TableDailySummary[[#This Row],[Fecha]],SummaryDaily[day],SummaryDaily[Online Store_average_order_value],0)</f>
        <v>0</v>
      </c>
      <c r="O527" s="11">
        <f>_xlfn.XLOOKUP(TableDailySummary[[#This Row],[Fecha]],SummaryDaily[day],SummaryDaily[Tienda 81_net_sales],0)</f>
        <v>0</v>
      </c>
      <c r="P527" s="11">
        <f>_xlfn.XLOOKUP(TableDailySummary[[#This Row],[Fecha]],SummaryDaily[day],SummaryDaily[Tienda 81_orders],0)</f>
        <v>0</v>
      </c>
      <c r="Q527" s="11">
        <f>_xlfn.XLOOKUP(TableDailySummary[[#This Row],[Fecha]],SummaryDaily[day],SummaryDaily[Tienda 81_average_order_value],0)</f>
        <v>0</v>
      </c>
      <c r="R527" s="11">
        <f>_xlfn.XLOOKUP(TableDailySummary[[#This Row],[Fecha]],SummaryDaily[day],SummaryDaily[Rappi_net_sales],0)</f>
        <v>0</v>
      </c>
      <c r="S527" s="11">
        <f>_xlfn.XLOOKUP(TableDailySummary[[#This Row],[Fecha]],SummaryDaily[day],SummaryDaily[Rappi_orders],0)</f>
        <v>0</v>
      </c>
      <c r="T527" s="11">
        <f>_xlfn.XLOOKUP(TableDailySummary[[#This Row],[Fecha]],SummaryDaily[day],SummaryDaily[Rappi_average_order_value],0)</f>
        <v>0</v>
      </c>
      <c r="U527" s="11">
        <f>_xlfn.XLOOKUP(TableDailySummary[[#This Row],[Fecha]],SummaryDaily[day],SummaryDaily[Corporativo no tienda_net_sales],0)</f>
        <v>0</v>
      </c>
      <c r="V527" s="11">
        <f>_xlfn.XLOOKUP(TableDailySummary[[#This Row],[Fecha]],SummaryDaily[day],SummaryDaily[Corporativo no tienda_orders],0)</f>
        <v>0</v>
      </c>
      <c r="W527" s="11">
        <f>_xlfn.XLOOKUP(TableDailySummary[[#This Row],[Fecha]],SummaryDaily[day],SummaryDaily[Corporativo no tienda_average_order_value],0)</f>
        <v>0</v>
      </c>
      <c r="X527" s="11">
        <f>_xlfn.XLOOKUP(TableDailySummary[[#This Row],[Fecha]],SummaryDaily[day],SummaryDaily[GoogleAdsOperation.Cost],0)</f>
        <v>0</v>
      </c>
      <c r="Y527" s="11">
        <f>SUMIFS(SalesByUTMDaily[google],SalesByUTMDaily[day],TableDailySummary[[#This Row],[Fecha]])</f>
        <v>0</v>
      </c>
      <c r="Z527" s="11">
        <f>_xlfn.XLOOKUP(TableDailySummary[[#This Row],[Fecha]],SummaryDaily[day],SummaryDaily[MetaAdsOperation.spend],0)</f>
        <v>0</v>
      </c>
      <c r="AA527" s="11">
        <f>SUMIFS(SalesByUTMDaily[facebook],SalesByUTMDaily[day],TableDailySummary[[#This Row],[Fecha]])</f>
        <v>0</v>
      </c>
      <c r="AB527" s="11">
        <f>TableDailySummary[[#This Row],[Inversión google ads]]+TableDailySummary[[#This Row],[Inversión meta ads]]</f>
        <v>0</v>
      </c>
      <c r="AC527" s="11">
        <f>TableDailySummary[[#This Row],[Ventas google ads]]+TableDailySummary[[#This Row],[Ventas meta ads]]</f>
        <v>0</v>
      </c>
      <c r="AD527" s="14">
        <f>IFERROR(TableDailySummary[[#This Row],[Ventas publicidad]]/TableDailySummary[[#This Row],[Inversión publicidad]],0)</f>
        <v>0</v>
      </c>
      <c r="AE527" s="14">
        <f>IFERROR(TableDailySummary[[#This Row],[Ventas primer cliente]]/TableDailySummary[[#This Row],[Inversión publicidad]],0)</f>
        <v>0</v>
      </c>
      <c r="AF527" s="14"/>
      <c r="AG527" s="11"/>
      <c r="AM527" s="11">
        <f>_xlfn.XLOOKUP(TableDailySummary[[#This Row],[Fecha]],SummaryDaily[day],SummaryDaily[net_sales_with_cost_recorded],0)</f>
        <v>0</v>
      </c>
      <c r="AN527" s="11">
        <f>_xlfn.XLOOKUP(TableDailySummary[[#This Row],[Fecha]],SummaryDaily[day],SummaryDaily[cost_of_goods_sold],0)</f>
        <v>0</v>
      </c>
      <c r="AO527" s="11">
        <f>_xlfn.XLOOKUP(TableDailySummary[[#This Row],[Fecha]],SummaryDaily[day],SummaryDaily[gross_profit],0)</f>
        <v>0</v>
      </c>
      <c r="AP527" s="18">
        <f>IFERROR(TableDailySummary[[#This Row],[Utilidad bruta]]/TableDailySummary[[#This Row],[Ventas netas con costo registrado]],0)</f>
        <v>0</v>
      </c>
    </row>
    <row r="528" spans="2:42" x14ac:dyDescent="0.2">
      <c r="B528" s="15" cm="1">
        <f t="array" ref="B528">ParamFechaInicioReporte + (ROW(TableDailySummary[#This Row]) - ROW(TableDailySummary[[#Headers],[Dia]]) - 1)</f>
        <v>45055</v>
      </c>
      <c r="C528" s="6">
        <f>TableDailySummary[[#This Row],[Dia]]</f>
        <v>45055</v>
      </c>
      <c r="D528" s="11">
        <f>_xlfn.XLOOKUP(TableDailySummary[[#This Row],[Fecha]],SummaryDaily[day],SummaryDaily[net_sales],0)</f>
        <v>0</v>
      </c>
      <c r="E528" s="11">
        <f>_xlfn.XLOOKUP(TableDailySummary[[#This Row],[Fecha]],SummaryDaily[day],SummaryDaily[orders],0)</f>
        <v>0</v>
      </c>
      <c r="F528" s="11">
        <f>_xlfn.XLOOKUP(TableDailySummary[[#This Row],[Fecha]],SummaryDaily[day],SummaryDaily[average_order_value],0)</f>
        <v>0</v>
      </c>
      <c r="G528" s="24" cm="1">
        <f t="array" ref="G528">_xlfn.XLOOKUP(TableDailySummary[[#This Row],[Fecha]]&amp;"Total site",ConversionRateByReferral[day]&amp;ConversionRateByReferral[referrer_source],ConversionRateByReferral[conversion_rate],0)</f>
        <v>0</v>
      </c>
      <c r="H528" s="11">
        <f>TableDailySummary[[#This Row],[Órden promedio totales]]*TableDailySummary[[#This Row],[CR totales]]</f>
        <v>0</v>
      </c>
      <c r="I528" s="11">
        <f>_xlfn.XLOOKUP(TableDailySummary[[#This Row],[Fecha]],SummaryDaily[day],SummaryDaily[new_net_sales],0)</f>
        <v>0</v>
      </c>
      <c r="J528" s="11">
        <f>_xlfn.XLOOKUP(TableDailySummary[[#This Row],[Fecha]],SummaryDaily[day],SummaryDaily[new_orders],0)</f>
        <v>0</v>
      </c>
      <c r="K528" s="11">
        <f>_xlfn.XLOOKUP(TableDailySummary[[#This Row],[Fecha]],SummaryDaily[day],SummaryDaily[new_average_order_value],0)</f>
        <v>0</v>
      </c>
      <c r="L528" s="11">
        <f>_xlfn.XLOOKUP(TableDailySummary[[#This Row],[Fecha]],SummaryDaily[day],SummaryDaily[Online Store_net_sales],0)</f>
        <v>0</v>
      </c>
      <c r="M528" s="11">
        <f>_xlfn.XLOOKUP(TableDailySummary[[#This Row],[Fecha]],SummaryDaily[day],SummaryDaily[Online Store_orders],0)</f>
        <v>0</v>
      </c>
      <c r="N528" s="11">
        <f>_xlfn.XLOOKUP(TableDailySummary[[#This Row],[Fecha]],SummaryDaily[day],SummaryDaily[Online Store_average_order_value],0)</f>
        <v>0</v>
      </c>
      <c r="O528" s="11">
        <f>_xlfn.XLOOKUP(TableDailySummary[[#This Row],[Fecha]],SummaryDaily[day],SummaryDaily[Tienda 81_net_sales],0)</f>
        <v>0</v>
      </c>
      <c r="P528" s="11">
        <f>_xlfn.XLOOKUP(TableDailySummary[[#This Row],[Fecha]],SummaryDaily[day],SummaryDaily[Tienda 81_orders],0)</f>
        <v>0</v>
      </c>
      <c r="Q528" s="11">
        <f>_xlfn.XLOOKUP(TableDailySummary[[#This Row],[Fecha]],SummaryDaily[day],SummaryDaily[Tienda 81_average_order_value],0)</f>
        <v>0</v>
      </c>
      <c r="R528" s="11">
        <f>_xlfn.XLOOKUP(TableDailySummary[[#This Row],[Fecha]],SummaryDaily[day],SummaryDaily[Rappi_net_sales],0)</f>
        <v>0</v>
      </c>
      <c r="S528" s="11">
        <f>_xlfn.XLOOKUP(TableDailySummary[[#This Row],[Fecha]],SummaryDaily[day],SummaryDaily[Rappi_orders],0)</f>
        <v>0</v>
      </c>
      <c r="T528" s="11">
        <f>_xlfn.XLOOKUP(TableDailySummary[[#This Row],[Fecha]],SummaryDaily[day],SummaryDaily[Rappi_average_order_value],0)</f>
        <v>0</v>
      </c>
      <c r="U528" s="11">
        <f>_xlfn.XLOOKUP(TableDailySummary[[#This Row],[Fecha]],SummaryDaily[day],SummaryDaily[Corporativo no tienda_net_sales],0)</f>
        <v>0</v>
      </c>
      <c r="V528" s="11">
        <f>_xlfn.XLOOKUP(TableDailySummary[[#This Row],[Fecha]],SummaryDaily[day],SummaryDaily[Corporativo no tienda_orders],0)</f>
        <v>0</v>
      </c>
      <c r="W528" s="11">
        <f>_xlfn.XLOOKUP(TableDailySummary[[#This Row],[Fecha]],SummaryDaily[day],SummaryDaily[Corporativo no tienda_average_order_value],0)</f>
        <v>0</v>
      </c>
      <c r="X528" s="11">
        <f>_xlfn.XLOOKUP(TableDailySummary[[#This Row],[Fecha]],SummaryDaily[day],SummaryDaily[GoogleAdsOperation.Cost],0)</f>
        <v>0</v>
      </c>
      <c r="Y528" s="11">
        <f>SUMIFS(SalesByUTMDaily[google],SalesByUTMDaily[day],TableDailySummary[[#This Row],[Fecha]])</f>
        <v>0</v>
      </c>
      <c r="Z528" s="11">
        <f>_xlfn.XLOOKUP(TableDailySummary[[#This Row],[Fecha]],SummaryDaily[day],SummaryDaily[MetaAdsOperation.spend],0)</f>
        <v>0</v>
      </c>
      <c r="AA528" s="11">
        <f>SUMIFS(SalesByUTMDaily[facebook],SalesByUTMDaily[day],TableDailySummary[[#This Row],[Fecha]])</f>
        <v>0</v>
      </c>
      <c r="AB528" s="11">
        <f>TableDailySummary[[#This Row],[Inversión google ads]]+TableDailySummary[[#This Row],[Inversión meta ads]]</f>
        <v>0</v>
      </c>
      <c r="AC528" s="11">
        <f>TableDailySummary[[#This Row],[Ventas google ads]]+TableDailySummary[[#This Row],[Ventas meta ads]]</f>
        <v>0</v>
      </c>
      <c r="AD528" s="14">
        <f>IFERROR(TableDailySummary[[#This Row],[Ventas publicidad]]/TableDailySummary[[#This Row],[Inversión publicidad]],0)</f>
        <v>0</v>
      </c>
      <c r="AE528" s="14">
        <f>IFERROR(TableDailySummary[[#This Row],[Ventas primer cliente]]/TableDailySummary[[#This Row],[Inversión publicidad]],0)</f>
        <v>0</v>
      </c>
      <c r="AF528" s="14"/>
      <c r="AG528" s="11"/>
      <c r="AM528" s="11">
        <f>_xlfn.XLOOKUP(TableDailySummary[[#This Row],[Fecha]],SummaryDaily[day],SummaryDaily[net_sales_with_cost_recorded],0)</f>
        <v>0</v>
      </c>
      <c r="AN528" s="11">
        <f>_xlfn.XLOOKUP(TableDailySummary[[#This Row],[Fecha]],SummaryDaily[day],SummaryDaily[cost_of_goods_sold],0)</f>
        <v>0</v>
      </c>
      <c r="AO528" s="11">
        <f>_xlfn.XLOOKUP(TableDailySummary[[#This Row],[Fecha]],SummaryDaily[day],SummaryDaily[gross_profit],0)</f>
        <v>0</v>
      </c>
      <c r="AP528" s="18">
        <f>IFERROR(TableDailySummary[[#This Row],[Utilidad bruta]]/TableDailySummary[[#This Row],[Ventas netas con costo registrado]],0)</f>
        <v>0</v>
      </c>
    </row>
    <row r="529" spans="2:42" x14ac:dyDescent="0.2">
      <c r="B529" s="15" cm="1">
        <f t="array" ref="B529">ParamFechaInicioReporte + (ROW(TableDailySummary[#This Row]) - ROW(TableDailySummary[[#Headers],[Dia]]) - 1)</f>
        <v>45056</v>
      </c>
      <c r="C529" s="6">
        <f>TableDailySummary[[#This Row],[Dia]]</f>
        <v>45056</v>
      </c>
      <c r="D529" s="11">
        <f>_xlfn.XLOOKUP(TableDailySummary[[#This Row],[Fecha]],SummaryDaily[day],SummaryDaily[net_sales],0)</f>
        <v>0</v>
      </c>
      <c r="E529" s="11">
        <f>_xlfn.XLOOKUP(TableDailySummary[[#This Row],[Fecha]],SummaryDaily[day],SummaryDaily[orders],0)</f>
        <v>0</v>
      </c>
      <c r="F529" s="11">
        <f>_xlfn.XLOOKUP(TableDailySummary[[#This Row],[Fecha]],SummaryDaily[day],SummaryDaily[average_order_value],0)</f>
        <v>0</v>
      </c>
      <c r="G529" s="24" cm="1">
        <f t="array" ref="G529">_xlfn.XLOOKUP(TableDailySummary[[#This Row],[Fecha]]&amp;"Total site",ConversionRateByReferral[day]&amp;ConversionRateByReferral[referrer_source],ConversionRateByReferral[conversion_rate],0)</f>
        <v>0</v>
      </c>
      <c r="H529" s="11">
        <f>TableDailySummary[[#This Row],[Órden promedio totales]]*TableDailySummary[[#This Row],[CR totales]]</f>
        <v>0</v>
      </c>
      <c r="I529" s="11">
        <f>_xlfn.XLOOKUP(TableDailySummary[[#This Row],[Fecha]],SummaryDaily[day],SummaryDaily[new_net_sales],0)</f>
        <v>0</v>
      </c>
      <c r="J529" s="11">
        <f>_xlfn.XLOOKUP(TableDailySummary[[#This Row],[Fecha]],SummaryDaily[day],SummaryDaily[new_orders],0)</f>
        <v>0</v>
      </c>
      <c r="K529" s="11">
        <f>_xlfn.XLOOKUP(TableDailySummary[[#This Row],[Fecha]],SummaryDaily[day],SummaryDaily[new_average_order_value],0)</f>
        <v>0</v>
      </c>
      <c r="L529" s="11">
        <f>_xlfn.XLOOKUP(TableDailySummary[[#This Row],[Fecha]],SummaryDaily[day],SummaryDaily[Online Store_net_sales],0)</f>
        <v>0</v>
      </c>
      <c r="M529" s="11">
        <f>_xlfn.XLOOKUP(TableDailySummary[[#This Row],[Fecha]],SummaryDaily[day],SummaryDaily[Online Store_orders],0)</f>
        <v>0</v>
      </c>
      <c r="N529" s="11">
        <f>_xlfn.XLOOKUP(TableDailySummary[[#This Row],[Fecha]],SummaryDaily[day],SummaryDaily[Online Store_average_order_value],0)</f>
        <v>0</v>
      </c>
      <c r="O529" s="11">
        <f>_xlfn.XLOOKUP(TableDailySummary[[#This Row],[Fecha]],SummaryDaily[day],SummaryDaily[Tienda 81_net_sales],0)</f>
        <v>0</v>
      </c>
      <c r="P529" s="11">
        <f>_xlfn.XLOOKUP(TableDailySummary[[#This Row],[Fecha]],SummaryDaily[day],SummaryDaily[Tienda 81_orders],0)</f>
        <v>0</v>
      </c>
      <c r="Q529" s="11">
        <f>_xlfn.XLOOKUP(TableDailySummary[[#This Row],[Fecha]],SummaryDaily[day],SummaryDaily[Tienda 81_average_order_value],0)</f>
        <v>0</v>
      </c>
      <c r="R529" s="11">
        <f>_xlfn.XLOOKUP(TableDailySummary[[#This Row],[Fecha]],SummaryDaily[day],SummaryDaily[Rappi_net_sales],0)</f>
        <v>0</v>
      </c>
      <c r="S529" s="11">
        <f>_xlfn.XLOOKUP(TableDailySummary[[#This Row],[Fecha]],SummaryDaily[day],SummaryDaily[Rappi_orders],0)</f>
        <v>0</v>
      </c>
      <c r="T529" s="11">
        <f>_xlfn.XLOOKUP(TableDailySummary[[#This Row],[Fecha]],SummaryDaily[day],SummaryDaily[Rappi_average_order_value],0)</f>
        <v>0</v>
      </c>
      <c r="U529" s="11">
        <f>_xlfn.XLOOKUP(TableDailySummary[[#This Row],[Fecha]],SummaryDaily[day],SummaryDaily[Corporativo no tienda_net_sales],0)</f>
        <v>0</v>
      </c>
      <c r="V529" s="11">
        <f>_xlfn.XLOOKUP(TableDailySummary[[#This Row],[Fecha]],SummaryDaily[day],SummaryDaily[Corporativo no tienda_orders],0)</f>
        <v>0</v>
      </c>
      <c r="W529" s="11">
        <f>_xlfn.XLOOKUP(TableDailySummary[[#This Row],[Fecha]],SummaryDaily[day],SummaryDaily[Corporativo no tienda_average_order_value],0)</f>
        <v>0</v>
      </c>
      <c r="X529" s="11">
        <f>_xlfn.XLOOKUP(TableDailySummary[[#This Row],[Fecha]],SummaryDaily[day],SummaryDaily[GoogleAdsOperation.Cost],0)</f>
        <v>0</v>
      </c>
      <c r="Y529" s="11">
        <f>SUMIFS(SalesByUTMDaily[google],SalesByUTMDaily[day],TableDailySummary[[#This Row],[Fecha]])</f>
        <v>0</v>
      </c>
      <c r="Z529" s="11">
        <f>_xlfn.XLOOKUP(TableDailySummary[[#This Row],[Fecha]],SummaryDaily[day],SummaryDaily[MetaAdsOperation.spend],0)</f>
        <v>0</v>
      </c>
      <c r="AA529" s="11">
        <f>SUMIFS(SalesByUTMDaily[facebook],SalesByUTMDaily[day],TableDailySummary[[#This Row],[Fecha]])</f>
        <v>0</v>
      </c>
      <c r="AB529" s="11">
        <f>TableDailySummary[[#This Row],[Inversión google ads]]+TableDailySummary[[#This Row],[Inversión meta ads]]</f>
        <v>0</v>
      </c>
      <c r="AC529" s="11">
        <f>TableDailySummary[[#This Row],[Ventas google ads]]+TableDailySummary[[#This Row],[Ventas meta ads]]</f>
        <v>0</v>
      </c>
      <c r="AD529" s="14">
        <f>IFERROR(TableDailySummary[[#This Row],[Ventas publicidad]]/TableDailySummary[[#This Row],[Inversión publicidad]],0)</f>
        <v>0</v>
      </c>
      <c r="AE529" s="14">
        <f>IFERROR(TableDailySummary[[#This Row],[Ventas primer cliente]]/TableDailySummary[[#This Row],[Inversión publicidad]],0)</f>
        <v>0</v>
      </c>
      <c r="AF529" s="14"/>
      <c r="AG529" s="11"/>
      <c r="AM529" s="11">
        <f>_xlfn.XLOOKUP(TableDailySummary[[#This Row],[Fecha]],SummaryDaily[day],SummaryDaily[net_sales_with_cost_recorded],0)</f>
        <v>0</v>
      </c>
      <c r="AN529" s="11">
        <f>_xlfn.XLOOKUP(TableDailySummary[[#This Row],[Fecha]],SummaryDaily[day],SummaryDaily[cost_of_goods_sold],0)</f>
        <v>0</v>
      </c>
      <c r="AO529" s="11">
        <f>_xlfn.XLOOKUP(TableDailySummary[[#This Row],[Fecha]],SummaryDaily[day],SummaryDaily[gross_profit],0)</f>
        <v>0</v>
      </c>
      <c r="AP529" s="18">
        <f>IFERROR(TableDailySummary[[#This Row],[Utilidad bruta]]/TableDailySummary[[#This Row],[Ventas netas con costo registrado]],0)</f>
        <v>0</v>
      </c>
    </row>
    <row r="530" spans="2:42" x14ac:dyDescent="0.2">
      <c r="B530" s="15" cm="1">
        <f t="array" ref="B530">ParamFechaInicioReporte + (ROW(TableDailySummary[#This Row]) - ROW(TableDailySummary[[#Headers],[Dia]]) - 1)</f>
        <v>45057</v>
      </c>
      <c r="C530" s="6">
        <f>TableDailySummary[[#This Row],[Dia]]</f>
        <v>45057</v>
      </c>
      <c r="D530" s="11">
        <f>_xlfn.XLOOKUP(TableDailySummary[[#This Row],[Fecha]],SummaryDaily[day],SummaryDaily[net_sales],0)</f>
        <v>0</v>
      </c>
      <c r="E530" s="11">
        <f>_xlfn.XLOOKUP(TableDailySummary[[#This Row],[Fecha]],SummaryDaily[day],SummaryDaily[orders],0)</f>
        <v>0</v>
      </c>
      <c r="F530" s="11">
        <f>_xlfn.XLOOKUP(TableDailySummary[[#This Row],[Fecha]],SummaryDaily[day],SummaryDaily[average_order_value],0)</f>
        <v>0</v>
      </c>
      <c r="G530" s="24" cm="1">
        <f t="array" ref="G530">_xlfn.XLOOKUP(TableDailySummary[[#This Row],[Fecha]]&amp;"Total site",ConversionRateByReferral[day]&amp;ConversionRateByReferral[referrer_source],ConversionRateByReferral[conversion_rate],0)</f>
        <v>0</v>
      </c>
      <c r="H530" s="11">
        <f>TableDailySummary[[#This Row],[Órden promedio totales]]*TableDailySummary[[#This Row],[CR totales]]</f>
        <v>0</v>
      </c>
      <c r="I530" s="11">
        <f>_xlfn.XLOOKUP(TableDailySummary[[#This Row],[Fecha]],SummaryDaily[day],SummaryDaily[new_net_sales],0)</f>
        <v>0</v>
      </c>
      <c r="J530" s="11">
        <f>_xlfn.XLOOKUP(TableDailySummary[[#This Row],[Fecha]],SummaryDaily[day],SummaryDaily[new_orders],0)</f>
        <v>0</v>
      </c>
      <c r="K530" s="11">
        <f>_xlfn.XLOOKUP(TableDailySummary[[#This Row],[Fecha]],SummaryDaily[day],SummaryDaily[new_average_order_value],0)</f>
        <v>0</v>
      </c>
      <c r="L530" s="11">
        <f>_xlfn.XLOOKUP(TableDailySummary[[#This Row],[Fecha]],SummaryDaily[day],SummaryDaily[Online Store_net_sales],0)</f>
        <v>0</v>
      </c>
      <c r="M530" s="11">
        <f>_xlfn.XLOOKUP(TableDailySummary[[#This Row],[Fecha]],SummaryDaily[day],SummaryDaily[Online Store_orders],0)</f>
        <v>0</v>
      </c>
      <c r="N530" s="11">
        <f>_xlfn.XLOOKUP(TableDailySummary[[#This Row],[Fecha]],SummaryDaily[day],SummaryDaily[Online Store_average_order_value],0)</f>
        <v>0</v>
      </c>
      <c r="O530" s="11">
        <f>_xlfn.XLOOKUP(TableDailySummary[[#This Row],[Fecha]],SummaryDaily[day],SummaryDaily[Tienda 81_net_sales],0)</f>
        <v>0</v>
      </c>
      <c r="P530" s="11">
        <f>_xlfn.XLOOKUP(TableDailySummary[[#This Row],[Fecha]],SummaryDaily[day],SummaryDaily[Tienda 81_orders],0)</f>
        <v>0</v>
      </c>
      <c r="Q530" s="11">
        <f>_xlfn.XLOOKUP(TableDailySummary[[#This Row],[Fecha]],SummaryDaily[day],SummaryDaily[Tienda 81_average_order_value],0)</f>
        <v>0</v>
      </c>
      <c r="R530" s="11">
        <f>_xlfn.XLOOKUP(TableDailySummary[[#This Row],[Fecha]],SummaryDaily[day],SummaryDaily[Rappi_net_sales],0)</f>
        <v>0</v>
      </c>
      <c r="S530" s="11">
        <f>_xlfn.XLOOKUP(TableDailySummary[[#This Row],[Fecha]],SummaryDaily[day],SummaryDaily[Rappi_orders],0)</f>
        <v>0</v>
      </c>
      <c r="T530" s="11">
        <f>_xlfn.XLOOKUP(TableDailySummary[[#This Row],[Fecha]],SummaryDaily[day],SummaryDaily[Rappi_average_order_value],0)</f>
        <v>0</v>
      </c>
      <c r="U530" s="11">
        <f>_xlfn.XLOOKUP(TableDailySummary[[#This Row],[Fecha]],SummaryDaily[day],SummaryDaily[Corporativo no tienda_net_sales],0)</f>
        <v>0</v>
      </c>
      <c r="V530" s="11">
        <f>_xlfn.XLOOKUP(TableDailySummary[[#This Row],[Fecha]],SummaryDaily[day],SummaryDaily[Corporativo no tienda_orders],0)</f>
        <v>0</v>
      </c>
      <c r="W530" s="11">
        <f>_xlfn.XLOOKUP(TableDailySummary[[#This Row],[Fecha]],SummaryDaily[day],SummaryDaily[Corporativo no tienda_average_order_value],0)</f>
        <v>0</v>
      </c>
      <c r="X530" s="11">
        <f>_xlfn.XLOOKUP(TableDailySummary[[#This Row],[Fecha]],SummaryDaily[day],SummaryDaily[GoogleAdsOperation.Cost],0)</f>
        <v>0</v>
      </c>
      <c r="Y530" s="11">
        <f>SUMIFS(SalesByUTMDaily[google],SalesByUTMDaily[day],TableDailySummary[[#This Row],[Fecha]])</f>
        <v>0</v>
      </c>
      <c r="Z530" s="11">
        <f>_xlfn.XLOOKUP(TableDailySummary[[#This Row],[Fecha]],SummaryDaily[day],SummaryDaily[MetaAdsOperation.spend],0)</f>
        <v>0</v>
      </c>
      <c r="AA530" s="11">
        <f>SUMIFS(SalesByUTMDaily[facebook],SalesByUTMDaily[day],TableDailySummary[[#This Row],[Fecha]])</f>
        <v>0</v>
      </c>
      <c r="AB530" s="11">
        <f>TableDailySummary[[#This Row],[Inversión google ads]]+TableDailySummary[[#This Row],[Inversión meta ads]]</f>
        <v>0</v>
      </c>
      <c r="AC530" s="11">
        <f>TableDailySummary[[#This Row],[Ventas google ads]]+TableDailySummary[[#This Row],[Ventas meta ads]]</f>
        <v>0</v>
      </c>
      <c r="AD530" s="14">
        <f>IFERROR(TableDailySummary[[#This Row],[Ventas publicidad]]/TableDailySummary[[#This Row],[Inversión publicidad]],0)</f>
        <v>0</v>
      </c>
      <c r="AE530" s="14">
        <f>IFERROR(TableDailySummary[[#This Row],[Ventas primer cliente]]/TableDailySummary[[#This Row],[Inversión publicidad]],0)</f>
        <v>0</v>
      </c>
      <c r="AF530" s="14"/>
      <c r="AG530" s="11"/>
      <c r="AM530" s="11">
        <f>_xlfn.XLOOKUP(TableDailySummary[[#This Row],[Fecha]],SummaryDaily[day],SummaryDaily[net_sales_with_cost_recorded],0)</f>
        <v>0</v>
      </c>
      <c r="AN530" s="11">
        <f>_xlfn.XLOOKUP(TableDailySummary[[#This Row],[Fecha]],SummaryDaily[day],SummaryDaily[cost_of_goods_sold],0)</f>
        <v>0</v>
      </c>
      <c r="AO530" s="11">
        <f>_xlfn.XLOOKUP(TableDailySummary[[#This Row],[Fecha]],SummaryDaily[day],SummaryDaily[gross_profit],0)</f>
        <v>0</v>
      </c>
      <c r="AP530" s="18">
        <f>IFERROR(TableDailySummary[[#This Row],[Utilidad bruta]]/TableDailySummary[[#This Row],[Ventas netas con costo registrado]],0)</f>
        <v>0</v>
      </c>
    </row>
    <row r="531" spans="2:42" x14ac:dyDescent="0.2">
      <c r="B531" s="15" cm="1">
        <f t="array" ref="B531">ParamFechaInicioReporte + (ROW(TableDailySummary[#This Row]) - ROW(TableDailySummary[[#Headers],[Dia]]) - 1)</f>
        <v>45058</v>
      </c>
      <c r="C531" s="6">
        <f>TableDailySummary[[#This Row],[Dia]]</f>
        <v>45058</v>
      </c>
      <c r="D531" s="11">
        <f>_xlfn.XLOOKUP(TableDailySummary[[#This Row],[Fecha]],SummaryDaily[day],SummaryDaily[net_sales],0)</f>
        <v>0</v>
      </c>
      <c r="E531" s="11">
        <f>_xlfn.XLOOKUP(TableDailySummary[[#This Row],[Fecha]],SummaryDaily[day],SummaryDaily[orders],0)</f>
        <v>0</v>
      </c>
      <c r="F531" s="11">
        <f>_xlfn.XLOOKUP(TableDailySummary[[#This Row],[Fecha]],SummaryDaily[day],SummaryDaily[average_order_value],0)</f>
        <v>0</v>
      </c>
      <c r="G531" s="24" cm="1">
        <f t="array" ref="G531">_xlfn.XLOOKUP(TableDailySummary[[#This Row],[Fecha]]&amp;"Total site",ConversionRateByReferral[day]&amp;ConversionRateByReferral[referrer_source],ConversionRateByReferral[conversion_rate],0)</f>
        <v>0</v>
      </c>
      <c r="H531" s="11">
        <f>TableDailySummary[[#This Row],[Órden promedio totales]]*TableDailySummary[[#This Row],[CR totales]]</f>
        <v>0</v>
      </c>
      <c r="I531" s="11">
        <f>_xlfn.XLOOKUP(TableDailySummary[[#This Row],[Fecha]],SummaryDaily[day],SummaryDaily[new_net_sales],0)</f>
        <v>0</v>
      </c>
      <c r="J531" s="11">
        <f>_xlfn.XLOOKUP(TableDailySummary[[#This Row],[Fecha]],SummaryDaily[day],SummaryDaily[new_orders],0)</f>
        <v>0</v>
      </c>
      <c r="K531" s="11">
        <f>_xlfn.XLOOKUP(TableDailySummary[[#This Row],[Fecha]],SummaryDaily[day],SummaryDaily[new_average_order_value],0)</f>
        <v>0</v>
      </c>
      <c r="L531" s="11">
        <f>_xlfn.XLOOKUP(TableDailySummary[[#This Row],[Fecha]],SummaryDaily[day],SummaryDaily[Online Store_net_sales],0)</f>
        <v>0</v>
      </c>
      <c r="M531" s="11">
        <f>_xlfn.XLOOKUP(TableDailySummary[[#This Row],[Fecha]],SummaryDaily[day],SummaryDaily[Online Store_orders],0)</f>
        <v>0</v>
      </c>
      <c r="N531" s="11">
        <f>_xlfn.XLOOKUP(TableDailySummary[[#This Row],[Fecha]],SummaryDaily[day],SummaryDaily[Online Store_average_order_value],0)</f>
        <v>0</v>
      </c>
      <c r="O531" s="11">
        <f>_xlfn.XLOOKUP(TableDailySummary[[#This Row],[Fecha]],SummaryDaily[day],SummaryDaily[Tienda 81_net_sales],0)</f>
        <v>0</v>
      </c>
      <c r="P531" s="11">
        <f>_xlfn.XLOOKUP(TableDailySummary[[#This Row],[Fecha]],SummaryDaily[day],SummaryDaily[Tienda 81_orders],0)</f>
        <v>0</v>
      </c>
      <c r="Q531" s="11">
        <f>_xlfn.XLOOKUP(TableDailySummary[[#This Row],[Fecha]],SummaryDaily[day],SummaryDaily[Tienda 81_average_order_value],0)</f>
        <v>0</v>
      </c>
      <c r="R531" s="11">
        <f>_xlfn.XLOOKUP(TableDailySummary[[#This Row],[Fecha]],SummaryDaily[day],SummaryDaily[Rappi_net_sales],0)</f>
        <v>0</v>
      </c>
      <c r="S531" s="11">
        <f>_xlfn.XLOOKUP(TableDailySummary[[#This Row],[Fecha]],SummaryDaily[day],SummaryDaily[Rappi_orders],0)</f>
        <v>0</v>
      </c>
      <c r="T531" s="11">
        <f>_xlfn.XLOOKUP(TableDailySummary[[#This Row],[Fecha]],SummaryDaily[day],SummaryDaily[Rappi_average_order_value],0)</f>
        <v>0</v>
      </c>
      <c r="U531" s="11">
        <f>_xlfn.XLOOKUP(TableDailySummary[[#This Row],[Fecha]],SummaryDaily[day],SummaryDaily[Corporativo no tienda_net_sales],0)</f>
        <v>0</v>
      </c>
      <c r="V531" s="11">
        <f>_xlfn.XLOOKUP(TableDailySummary[[#This Row],[Fecha]],SummaryDaily[day],SummaryDaily[Corporativo no tienda_orders],0)</f>
        <v>0</v>
      </c>
      <c r="W531" s="11">
        <f>_xlfn.XLOOKUP(TableDailySummary[[#This Row],[Fecha]],SummaryDaily[day],SummaryDaily[Corporativo no tienda_average_order_value],0)</f>
        <v>0</v>
      </c>
      <c r="X531" s="11">
        <f>_xlfn.XLOOKUP(TableDailySummary[[#This Row],[Fecha]],SummaryDaily[day],SummaryDaily[GoogleAdsOperation.Cost],0)</f>
        <v>0</v>
      </c>
      <c r="Y531" s="11">
        <f>SUMIFS(SalesByUTMDaily[google],SalesByUTMDaily[day],TableDailySummary[[#This Row],[Fecha]])</f>
        <v>0</v>
      </c>
      <c r="Z531" s="11">
        <f>_xlfn.XLOOKUP(TableDailySummary[[#This Row],[Fecha]],SummaryDaily[day],SummaryDaily[MetaAdsOperation.spend],0)</f>
        <v>0</v>
      </c>
      <c r="AA531" s="11">
        <f>SUMIFS(SalesByUTMDaily[facebook],SalesByUTMDaily[day],TableDailySummary[[#This Row],[Fecha]])</f>
        <v>0</v>
      </c>
      <c r="AB531" s="11">
        <f>TableDailySummary[[#This Row],[Inversión google ads]]+TableDailySummary[[#This Row],[Inversión meta ads]]</f>
        <v>0</v>
      </c>
      <c r="AC531" s="11">
        <f>TableDailySummary[[#This Row],[Ventas google ads]]+TableDailySummary[[#This Row],[Ventas meta ads]]</f>
        <v>0</v>
      </c>
      <c r="AD531" s="14">
        <f>IFERROR(TableDailySummary[[#This Row],[Ventas publicidad]]/TableDailySummary[[#This Row],[Inversión publicidad]],0)</f>
        <v>0</v>
      </c>
      <c r="AE531" s="14">
        <f>IFERROR(TableDailySummary[[#This Row],[Ventas primer cliente]]/TableDailySummary[[#This Row],[Inversión publicidad]],0)</f>
        <v>0</v>
      </c>
      <c r="AF531" s="14"/>
      <c r="AG531" s="11"/>
      <c r="AM531" s="11">
        <f>_xlfn.XLOOKUP(TableDailySummary[[#This Row],[Fecha]],SummaryDaily[day],SummaryDaily[net_sales_with_cost_recorded],0)</f>
        <v>0</v>
      </c>
      <c r="AN531" s="11">
        <f>_xlfn.XLOOKUP(TableDailySummary[[#This Row],[Fecha]],SummaryDaily[day],SummaryDaily[cost_of_goods_sold],0)</f>
        <v>0</v>
      </c>
      <c r="AO531" s="11">
        <f>_xlfn.XLOOKUP(TableDailySummary[[#This Row],[Fecha]],SummaryDaily[day],SummaryDaily[gross_profit],0)</f>
        <v>0</v>
      </c>
      <c r="AP531" s="18">
        <f>IFERROR(TableDailySummary[[#This Row],[Utilidad bruta]]/TableDailySummary[[#This Row],[Ventas netas con costo registrado]],0)</f>
        <v>0</v>
      </c>
    </row>
    <row r="532" spans="2:42" x14ac:dyDescent="0.2">
      <c r="B532" s="15" cm="1">
        <f t="array" ref="B532">ParamFechaInicioReporte + (ROW(TableDailySummary[#This Row]) - ROW(TableDailySummary[[#Headers],[Dia]]) - 1)</f>
        <v>45059</v>
      </c>
      <c r="C532" s="6">
        <f>TableDailySummary[[#This Row],[Dia]]</f>
        <v>45059</v>
      </c>
      <c r="D532" s="11">
        <f>_xlfn.XLOOKUP(TableDailySummary[[#This Row],[Fecha]],SummaryDaily[day],SummaryDaily[net_sales],0)</f>
        <v>0</v>
      </c>
      <c r="E532" s="11">
        <f>_xlfn.XLOOKUP(TableDailySummary[[#This Row],[Fecha]],SummaryDaily[day],SummaryDaily[orders],0)</f>
        <v>0</v>
      </c>
      <c r="F532" s="11">
        <f>_xlfn.XLOOKUP(TableDailySummary[[#This Row],[Fecha]],SummaryDaily[day],SummaryDaily[average_order_value],0)</f>
        <v>0</v>
      </c>
      <c r="G532" s="24" cm="1">
        <f t="array" ref="G532">_xlfn.XLOOKUP(TableDailySummary[[#This Row],[Fecha]]&amp;"Total site",ConversionRateByReferral[day]&amp;ConversionRateByReferral[referrer_source],ConversionRateByReferral[conversion_rate],0)</f>
        <v>0</v>
      </c>
      <c r="H532" s="11">
        <f>TableDailySummary[[#This Row],[Órden promedio totales]]*TableDailySummary[[#This Row],[CR totales]]</f>
        <v>0</v>
      </c>
      <c r="I532" s="11">
        <f>_xlfn.XLOOKUP(TableDailySummary[[#This Row],[Fecha]],SummaryDaily[day],SummaryDaily[new_net_sales],0)</f>
        <v>0</v>
      </c>
      <c r="J532" s="11">
        <f>_xlfn.XLOOKUP(TableDailySummary[[#This Row],[Fecha]],SummaryDaily[day],SummaryDaily[new_orders],0)</f>
        <v>0</v>
      </c>
      <c r="K532" s="11">
        <f>_xlfn.XLOOKUP(TableDailySummary[[#This Row],[Fecha]],SummaryDaily[day],SummaryDaily[new_average_order_value],0)</f>
        <v>0</v>
      </c>
      <c r="L532" s="11">
        <f>_xlfn.XLOOKUP(TableDailySummary[[#This Row],[Fecha]],SummaryDaily[day],SummaryDaily[Online Store_net_sales],0)</f>
        <v>0</v>
      </c>
      <c r="M532" s="11">
        <f>_xlfn.XLOOKUP(TableDailySummary[[#This Row],[Fecha]],SummaryDaily[day],SummaryDaily[Online Store_orders],0)</f>
        <v>0</v>
      </c>
      <c r="N532" s="11">
        <f>_xlfn.XLOOKUP(TableDailySummary[[#This Row],[Fecha]],SummaryDaily[day],SummaryDaily[Online Store_average_order_value],0)</f>
        <v>0</v>
      </c>
      <c r="O532" s="11">
        <f>_xlfn.XLOOKUP(TableDailySummary[[#This Row],[Fecha]],SummaryDaily[day],SummaryDaily[Tienda 81_net_sales],0)</f>
        <v>0</v>
      </c>
      <c r="P532" s="11">
        <f>_xlfn.XLOOKUP(TableDailySummary[[#This Row],[Fecha]],SummaryDaily[day],SummaryDaily[Tienda 81_orders],0)</f>
        <v>0</v>
      </c>
      <c r="Q532" s="11">
        <f>_xlfn.XLOOKUP(TableDailySummary[[#This Row],[Fecha]],SummaryDaily[day],SummaryDaily[Tienda 81_average_order_value],0)</f>
        <v>0</v>
      </c>
      <c r="R532" s="11">
        <f>_xlfn.XLOOKUP(TableDailySummary[[#This Row],[Fecha]],SummaryDaily[day],SummaryDaily[Rappi_net_sales],0)</f>
        <v>0</v>
      </c>
      <c r="S532" s="11">
        <f>_xlfn.XLOOKUP(TableDailySummary[[#This Row],[Fecha]],SummaryDaily[day],SummaryDaily[Rappi_orders],0)</f>
        <v>0</v>
      </c>
      <c r="T532" s="11">
        <f>_xlfn.XLOOKUP(TableDailySummary[[#This Row],[Fecha]],SummaryDaily[day],SummaryDaily[Rappi_average_order_value],0)</f>
        <v>0</v>
      </c>
      <c r="U532" s="11">
        <f>_xlfn.XLOOKUP(TableDailySummary[[#This Row],[Fecha]],SummaryDaily[day],SummaryDaily[Corporativo no tienda_net_sales],0)</f>
        <v>0</v>
      </c>
      <c r="V532" s="11">
        <f>_xlfn.XLOOKUP(TableDailySummary[[#This Row],[Fecha]],SummaryDaily[day],SummaryDaily[Corporativo no tienda_orders],0)</f>
        <v>0</v>
      </c>
      <c r="W532" s="11">
        <f>_xlfn.XLOOKUP(TableDailySummary[[#This Row],[Fecha]],SummaryDaily[day],SummaryDaily[Corporativo no tienda_average_order_value],0)</f>
        <v>0</v>
      </c>
      <c r="X532" s="11">
        <f>_xlfn.XLOOKUP(TableDailySummary[[#This Row],[Fecha]],SummaryDaily[day],SummaryDaily[GoogleAdsOperation.Cost],0)</f>
        <v>0</v>
      </c>
      <c r="Y532" s="11">
        <f>SUMIFS(SalesByUTMDaily[google],SalesByUTMDaily[day],TableDailySummary[[#This Row],[Fecha]])</f>
        <v>0</v>
      </c>
      <c r="Z532" s="11">
        <f>_xlfn.XLOOKUP(TableDailySummary[[#This Row],[Fecha]],SummaryDaily[day],SummaryDaily[MetaAdsOperation.spend],0)</f>
        <v>0</v>
      </c>
      <c r="AA532" s="11">
        <f>SUMIFS(SalesByUTMDaily[facebook],SalesByUTMDaily[day],TableDailySummary[[#This Row],[Fecha]])</f>
        <v>0</v>
      </c>
      <c r="AB532" s="11">
        <f>TableDailySummary[[#This Row],[Inversión google ads]]+TableDailySummary[[#This Row],[Inversión meta ads]]</f>
        <v>0</v>
      </c>
      <c r="AC532" s="11">
        <f>TableDailySummary[[#This Row],[Ventas google ads]]+TableDailySummary[[#This Row],[Ventas meta ads]]</f>
        <v>0</v>
      </c>
      <c r="AD532" s="14">
        <f>IFERROR(TableDailySummary[[#This Row],[Ventas publicidad]]/TableDailySummary[[#This Row],[Inversión publicidad]],0)</f>
        <v>0</v>
      </c>
      <c r="AE532" s="14">
        <f>IFERROR(TableDailySummary[[#This Row],[Ventas primer cliente]]/TableDailySummary[[#This Row],[Inversión publicidad]],0)</f>
        <v>0</v>
      </c>
      <c r="AF532" s="14"/>
      <c r="AG532" s="11"/>
      <c r="AM532" s="11">
        <f>_xlfn.XLOOKUP(TableDailySummary[[#This Row],[Fecha]],SummaryDaily[day],SummaryDaily[net_sales_with_cost_recorded],0)</f>
        <v>0</v>
      </c>
      <c r="AN532" s="11">
        <f>_xlfn.XLOOKUP(TableDailySummary[[#This Row],[Fecha]],SummaryDaily[day],SummaryDaily[cost_of_goods_sold],0)</f>
        <v>0</v>
      </c>
      <c r="AO532" s="11">
        <f>_xlfn.XLOOKUP(TableDailySummary[[#This Row],[Fecha]],SummaryDaily[day],SummaryDaily[gross_profit],0)</f>
        <v>0</v>
      </c>
      <c r="AP532" s="18">
        <f>IFERROR(TableDailySummary[[#This Row],[Utilidad bruta]]/TableDailySummary[[#This Row],[Ventas netas con costo registrado]],0)</f>
        <v>0</v>
      </c>
    </row>
    <row r="533" spans="2:42" x14ac:dyDescent="0.2">
      <c r="B533" s="15" cm="1">
        <f t="array" ref="B533">ParamFechaInicioReporte + (ROW(TableDailySummary[#This Row]) - ROW(TableDailySummary[[#Headers],[Dia]]) - 1)</f>
        <v>45060</v>
      </c>
      <c r="C533" s="6">
        <f>TableDailySummary[[#This Row],[Dia]]</f>
        <v>45060</v>
      </c>
      <c r="D533" s="11">
        <f>_xlfn.XLOOKUP(TableDailySummary[[#This Row],[Fecha]],SummaryDaily[day],SummaryDaily[net_sales],0)</f>
        <v>0</v>
      </c>
      <c r="E533" s="11">
        <f>_xlfn.XLOOKUP(TableDailySummary[[#This Row],[Fecha]],SummaryDaily[day],SummaryDaily[orders],0)</f>
        <v>0</v>
      </c>
      <c r="F533" s="11">
        <f>_xlfn.XLOOKUP(TableDailySummary[[#This Row],[Fecha]],SummaryDaily[day],SummaryDaily[average_order_value],0)</f>
        <v>0</v>
      </c>
      <c r="G533" s="24" cm="1">
        <f t="array" ref="G533">_xlfn.XLOOKUP(TableDailySummary[[#This Row],[Fecha]]&amp;"Total site",ConversionRateByReferral[day]&amp;ConversionRateByReferral[referrer_source],ConversionRateByReferral[conversion_rate],0)</f>
        <v>0</v>
      </c>
      <c r="H533" s="11">
        <f>TableDailySummary[[#This Row],[Órden promedio totales]]*TableDailySummary[[#This Row],[CR totales]]</f>
        <v>0</v>
      </c>
      <c r="I533" s="11">
        <f>_xlfn.XLOOKUP(TableDailySummary[[#This Row],[Fecha]],SummaryDaily[day],SummaryDaily[new_net_sales],0)</f>
        <v>0</v>
      </c>
      <c r="J533" s="11">
        <f>_xlfn.XLOOKUP(TableDailySummary[[#This Row],[Fecha]],SummaryDaily[day],SummaryDaily[new_orders],0)</f>
        <v>0</v>
      </c>
      <c r="K533" s="11">
        <f>_xlfn.XLOOKUP(TableDailySummary[[#This Row],[Fecha]],SummaryDaily[day],SummaryDaily[new_average_order_value],0)</f>
        <v>0</v>
      </c>
      <c r="L533" s="11">
        <f>_xlfn.XLOOKUP(TableDailySummary[[#This Row],[Fecha]],SummaryDaily[day],SummaryDaily[Online Store_net_sales],0)</f>
        <v>0</v>
      </c>
      <c r="M533" s="11">
        <f>_xlfn.XLOOKUP(TableDailySummary[[#This Row],[Fecha]],SummaryDaily[day],SummaryDaily[Online Store_orders],0)</f>
        <v>0</v>
      </c>
      <c r="N533" s="11">
        <f>_xlfn.XLOOKUP(TableDailySummary[[#This Row],[Fecha]],SummaryDaily[day],SummaryDaily[Online Store_average_order_value],0)</f>
        <v>0</v>
      </c>
      <c r="O533" s="11">
        <f>_xlfn.XLOOKUP(TableDailySummary[[#This Row],[Fecha]],SummaryDaily[day],SummaryDaily[Tienda 81_net_sales],0)</f>
        <v>0</v>
      </c>
      <c r="P533" s="11">
        <f>_xlfn.XLOOKUP(TableDailySummary[[#This Row],[Fecha]],SummaryDaily[day],SummaryDaily[Tienda 81_orders],0)</f>
        <v>0</v>
      </c>
      <c r="Q533" s="11">
        <f>_xlfn.XLOOKUP(TableDailySummary[[#This Row],[Fecha]],SummaryDaily[day],SummaryDaily[Tienda 81_average_order_value],0)</f>
        <v>0</v>
      </c>
      <c r="R533" s="11">
        <f>_xlfn.XLOOKUP(TableDailySummary[[#This Row],[Fecha]],SummaryDaily[day],SummaryDaily[Rappi_net_sales],0)</f>
        <v>0</v>
      </c>
      <c r="S533" s="11">
        <f>_xlfn.XLOOKUP(TableDailySummary[[#This Row],[Fecha]],SummaryDaily[day],SummaryDaily[Rappi_orders],0)</f>
        <v>0</v>
      </c>
      <c r="T533" s="11">
        <f>_xlfn.XLOOKUP(TableDailySummary[[#This Row],[Fecha]],SummaryDaily[day],SummaryDaily[Rappi_average_order_value],0)</f>
        <v>0</v>
      </c>
      <c r="U533" s="11">
        <f>_xlfn.XLOOKUP(TableDailySummary[[#This Row],[Fecha]],SummaryDaily[day],SummaryDaily[Corporativo no tienda_net_sales],0)</f>
        <v>0</v>
      </c>
      <c r="V533" s="11">
        <f>_xlfn.XLOOKUP(TableDailySummary[[#This Row],[Fecha]],SummaryDaily[day],SummaryDaily[Corporativo no tienda_orders],0)</f>
        <v>0</v>
      </c>
      <c r="W533" s="11">
        <f>_xlfn.XLOOKUP(TableDailySummary[[#This Row],[Fecha]],SummaryDaily[day],SummaryDaily[Corporativo no tienda_average_order_value],0)</f>
        <v>0</v>
      </c>
      <c r="X533" s="11">
        <f>_xlfn.XLOOKUP(TableDailySummary[[#This Row],[Fecha]],SummaryDaily[day],SummaryDaily[GoogleAdsOperation.Cost],0)</f>
        <v>0</v>
      </c>
      <c r="Y533" s="11">
        <f>SUMIFS(SalesByUTMDaily[google],SalesByUTMDaily[day],TableDailySummary[[#This Row],[Fecha]])</f>
        <v>0</v>
      </c>
      <c r="Z533" s="11">
        <f>_xlfn.XLOOKUP(TableDailySummary[[#This Row],[Fecha]],SummaryDaily[day],SummaryDaily[MetaAdsOperation.spend],0)</f>
        <v>0</v>
      </c>
      <c r="AA533" s="11">
        <f>SUMIFS(SalesByUTMDaily[facebook],SalesByUTMDaily[day],TableDailySummary[[#This Row],[Fecha]])</f>
        <v>0</v>
      </c>
      <c r="AB533" s="11">
        <f>TableDailySummary[[#This Row],[Inversión google ads]]+TableDailySummary[[#This Row],[Inversión meta ads]]</f>
        <v>0</v>
      </c>
      <c r="AC533" s="11">
        <f>TableDailySummary[[#This Row],[Ventas google ads]]+TableDailySummary[[#This Row],[Ventas meta ads]]</f>
        <v>0</v>
      </c>
      <c r="AD533" s="14">
        <f>IFERROR(TableDailySummary[[#This Row],[Ventas publicidad]]/TableDailySummary[[#This Row],[Inversión publicidad]],0)</f>
        <v>0</v>
      </c>
      <c r="AE533" s="14">
        <f>IFERROR(TableDailySummary[[#This Row],[Ventas primer cliente]]/TableDailySummary[[#This Row],[Inversión publicidad]],0)</f>
        <v>0</v>
      </c>
      <c r="AF533" s="14"/>
      <c r="AG533" s="11"/>
      <c r="AM533" s="11">
        <f>_xlfn.XLOOKUP(TableDailySummary[[#This Row],[Fecha]],SummaryDaily[day],SummaryDaily[net_sales_with_cost_recorded],0)</f>
        <v>0</v>
      </c>
      <c r="AN533" s="11">
        <f>_xlfn.XLOOKUP(TableDailySummary[[#This Row],[Fecha]],SummaryDaily[day],SummaryDaily[cost_of_goods_sold],0)</f>
        <v>0</v>
      </c>
      <c r="AO533" s="11">
        <f>_xlfn.XLOOKUP(TableDailySummary[[#This Row],[Fecha]],SummaryDaily[day],SummaryDaily[gross_profit],0)</f>
        <v>0</v>
      </c>
      <c r="AP533" s="18">
        <f>IFERROR(TableDailySummary[[#This Row],[Utilidad bruta]]/TableDailySummary[[#This Row],[Ventas netas con costo registrado]],0)</f>
        <v>0</v>
      </c>
    </row>
    <row r="534" spans="2:42" x14ac:dyDescent="0.2">
      <c r="B534" s="15" cm="1">
        <f t="array" ref="B534">ParamFechaInicioReporte + (ROW(TableDailySummary[#This Row]) - ROW(TableDailySummary[[#Headers],[Dia]]) - 1)</f>
        <v>45061</v>
      </c>
      <c r="C534" s="6">
        <f>TableDailySummary[[#This Row],[Dia]]</f>
        <v>45061</v>
      </c>
      <c r="D534" s="11">
        <f>_xlfn.XLOOKUP(TableDailySummary[[#This Row],[Fecha]],SummaryDaily[day],SummaryDaily[net_sales],0)</f>
        <v>0</v>
      </c>
      <c r="E534" s="11">
        <f>_xlfn.XLOOKUP(TableDailySummary[[#This Row],[Fecha]],SummaryDaily[day],SummaryDaily[orders],0)</f>
        <v>0</v>
      </c>
      <c r="F534" s="11">
        <f>_xlfn.XLOOKUP(TableDailySummary[[#This Row],[Fecha]],SummaryDaily[day],SummaryDaily[average_order_value],0)</f>
        <v>0</v>
      </c>
      <c r="G534" s="24" cm="1">
        <f t="array" ref="G534">_xlfn.XLOOKUP(TableDailySummary[[#This Row],[Fecha]]&amp;"Total site",ConversionRateByReferral[day]&amp;ConversionRateByReferral[referrer_source],ConversionRateByReferral[conversion_rate],0)</f>
        <v>0</v>
      </c>
      <c r="H534" s="11">
        <f>TableDailySummary[[#This Row],[Órden promedio totales]]*TableDailySummary[[#This Row],[CR totales]]</f>
        <v>0</v>
      </c>
      <c r="I534" s="11">
        <f>_xlfn.XLOOKUP(TableDailySummary[[#This Row],[Fecha]],SummaryDaily[day],SummaryDaily[new_net_sales],0)</f>
        <v>0</v>
      </c>
      <c r="J534" s="11">
        <f>_xlfn.XLOOKUP(TableDailySummary[[#This Row],[Fecha]],SummaryDaily[day],SummaryDaily[new_orders],0)</f>
        <v>0</v>
      </c>
      <c r="K534" s="11">
        <f>_xlfn.XLOOKUP(TableDailySummary[[#This Row],[Fecha]],SummaryDaily[day],SummaryDaily[new_average_order_value],0)</f>
        <v>0</v>
      </c>
      <c r="L534" s="11">
        <f>_xlfn.XLOOKUP(TableDailySummary[[#This Row],[Fecha]],SummaryDaily[day],SummaryDaily[Online Store_net_sales],0)</f>
        <v>0</v>
      </c>
      <c r="M534" s="11">
        <f>_xlfn.XLOOKUP(TableDailySummary[[#This Row],[Fecha]],SummaryDaily[day],SummaryDaily[Online Store_orders],0)</f>
        <v>0</v>
      </c>
      <c r="N534" s="11">
        <f>_xlfn.XLOOKUP(TableDailySummary[[#This Row],[Fecha]],SummaryDaily[day],SummaryDaily[Online Store_average_order_value],0)</f>
        <v>0</v>
      </c>
      <c r="O534" s="11">
        <f>_xlfn.XLOOKUP(TableDailySummary[[#This Row],[Fecha]],SummaryDaily[day],SummaryDaily[Tienda 81_net_sales],0)</f>
        <v>0</v>
      </c>
      <c r="P534" s="11">
        <f>_xlfn.XLOOKUP(TableDailySummary[[#This Row],[Fecha]],SummaryDaily[day],SummaryDaily[Tienda 81_orders],0)</f>
        <v>0</v>
      </c>
      <c r="Q534" s="11">
        <f>_xlfn.XLOOKUP(TableDailySummary[[#This Row],[Fecha]],SummaryDaily[day],SummaryDaily[Tienda 81_average_order_value],0)</f>
        <v>0</v>
      </c>
      <c r="R534" s="11">
        <f>_xlfn.XLOOKUP(TableDailySummary[[#This Row],[Fecha]],SummaryDaily[day],SummaryDaily[Rappi_net_sales],0)</f>
        <v>0</v>
      </c>
      <c r="S534" s="11">
        <f>_xlfn.XLOOKUP(TableDailySummary[[#This Row],[Fecha]],SummaryDaily[day],SummaryDaily[Rappi_orders],0)</f>
        <v>0</v>
      </c>
      <c r="T534" s="11">
        <f>_xlfn.XLOOKUP(TableDailySummary[[#This Row],[Fecha]],SummaryDaily[day],SummaryDaily[Rappi_average_order_value],0)</f>
        <v>0</v>
      </c>
      <c r="U534" s="11">
        <f>_xlfn.XLOOKUP(TableDailySummary[[#This Row],[Fecha]],SummaryDaily[day],SummaryDaily[Corporativo no tienda_net_sales],0)</f>
        <v>0</v>
      </c>
      <c r="V534" s="11">
        <f>_xlfn.XLOOKUP(TableDailySummary[[#This Row],[Fecha]],SummaryDaily[day],SummaryDaily[Corporativo no tienda_orders],0)</f>
        <v>0</v>
      </c>
      <c r="W534" s="11">
        <f>_xlfn.XLOOKUP(TableDailySummary[[#This Row],[Fecha]],SummaryDaily[day],SummaryDaily[Corporativo no tienda_average_order_value],0)</f>
        <v>0</v>
      </c>
      <c r="X534" s="11">
        <f>_xlfn.XLOOKUP(TableDailySummary[[#This Row],[Fecha]],SummaryDaily[day],SummaryDaily[GoogleAdsOperation.Cost],0)</f>
        <v>0</v>
      </c>
      <c r="Y534" s="11">
        <f>SUMIFS(SalesByUTMDaily[google],SalesByUTMDaily[day],TableDailySummary[[#This Row],[Fecha]])</f>
        <v>0</v>
      </c>
      <c r="Z534" s="11">
        <f>_xlfn.XLOOKUP(TableDailySummary[[#This Row],[Fecha]],SummaryDaily[day],SummaryDaily[MetaAdsOperation.spend],0)</f>
        <v>0</v>
      </c>
      <c r="AA534" s="11">
        <f>SUMIFS(SalesByUTMDaily[facebook],SalesByUTMDaily[day],TableDailySummary[[#This Row],[Fecha]])</f>
        <v>0</v>
      </c>
      <c r="AB534" s="11">
        <f>TableDailySummary[[#This Row],[Inversión google ads]]+TableDailySummary[[#This Row],[Inversión meta ads]]</f>
        <v>0</v>
      </c>
      <c r="AC534" s="11">
        <f>TableDailySummary[[#This Row],[Ventas google ads]]+TableDailySummary[[#This Row],[Ventas meta ads]]</f>
        <v>0</v>
      </c>
      <c r="AD534" s="14">
        <f>IFERROR(TableDailySummary[[#This Row],[Ventas publicidad]]/TableDailySummary[[#This Row],[Inversión publicidad]],0)</f>
        <v>0</v>
      </c>
      <c r="AE534" s="14">
        <f>IFERROR(TableDailySummary[[#This Row],[Ventas primer cliente]]/TableDailySummary[[#This Row],[Inversión publicidad]],0)</f>
        <v>0</v>
      </c>
      <c r="AF534" s="14"/>
      <c r="AG534" s="11"/>
      <c r="AM534" s="11">
        <f>_xlfn.XLOOKUP(TableDailySummary[[#This Row],[Fecha]],SummaryDaily[day],SummaryDaily[net_sales_with_cost_recorded],0)</f>
        <v>0</v>
      </c>
      <c r="AN534" s="11">
        <f>_xlfn.XLOOKUP(TableDailySummary[[#This Row],[Fecha]],SummaryDaily[day],SummaryDaily[cost_of_goods_sold],0)</f>
        <v>0</v>
      </c>
      <c r="AO534" s="11">
        <f>_xlfn.XLOOKUP(TableDailySummary[[#This Row],[Fecha]],SummaryDaily[day],SummaryDaily[gross_profit],0)</f>
        <v>0</v>
      </c>
      <c r="AP534" s="18">
        <f>IFERROR(TableDailySummary[[#This Row],[Utilidad bruta]]/TableDailySummary[[#This Row],[Ventas netas con costo registrado]],0)</f>
        <v>0</v>
      </c>
    </row>
    <row r="535" spans="2:42" x14ac:dyDescent="0.2">
      <c r="B535" s="15" cm="1">
        <f t="array" ref="B535">ParamFechaInicioReporte + (ROW(TableDailySummary[#This Row]) - ROW(TableDailySummary[[#Headers],[Dia]]) - 1)</f>
        <v>45062</v>
      </c>
      <c r="C535" s="6">
        <f>TableDailySummary[[#This Row],[Dia]]</f>
        <v>45062</v>
      </c>
      <c r="D535" s="11">
        <f>_xlfn.XLOOKUP(TableDailySummary[[#This Row],[Fecha]],SummaryDaily[day],SummaryDaily[net_sales],0)</f>
        <v>0</v>
      </c>
      <c r="E535" s="11">
        <f>_xlfn.XLOOKUP(TableDailySummary[[#This Row],[Fecha]],SummaryDaily[day],SummaryDaily[orders],0)</f>
        <v>0</v>
      </c>
      <c r="F535" s="11">
        <f>_xlfn.XLOOKUP(TableDailySummary[[#This Row],[Fecha]],SummaryDaily[day],SummaryDaily[average_order_value],0)</f>
        <v>0</v>
      </c>
      <c r="G535" s="24" cm="1">
        <f t="array" ref="G535">_xlfn.XLOOKUP(TableDailySummary[[#This Row],[Fecha]]&amp;"Total site",ConversionRateByReferral[day]&amp;ConversionRateByReferral[referrer_source],ConversionRateByReferral[conversion_rate],0)</f>
        <v>0</v>
      </c>
      <c r="H535" s="11">
        <f>TableDailySummary[[#This Row],[Órden promedio totales]]*TableDailySummary[[#This Row],[CR totales]]</f>
        <v>0</v>
      </c>
      <c r="I535" s="11">
        <f>_xlfn.XLOOKUP(TableDailySummary[[#This Row],[Fecha]],SummaryDaily[day],SummaryDaily[new_net_sales],0)</f>
        <v>0</v>
      </c>
      <c r="J535" s="11">
        <f>_xlfn.XLOOKUP(TableDailySummary[[#This Row],[Fecha]],SummaryDaily[day],SummaryDaily[new_orders],0)</f>
        <v>0</v>
      </c>
      <c r="K535" s="11">
        <f>_xlfn.XLOOKUP(TableDailySummary[[#This Row],[Fecha]],SummaryDaily[day],SummaryDaily[new_average_order_value],0)</f>
        <v>0</v>
      </c>
      <c r="L535" s="11">
        <f>_xlfn.XLOOKUP(TableDailySummary[[#This Row],[Fecha]],SummaryDaily[day],SummaryDaily[Online Store_net_sales],0)</f>
        <v>0</v>
      </c>
      <c r="M535" s="11">
        <f>_xlfn.XLOOKUP(TableDailySummary[[#This Row],[Fecha]],SummaryDaily[day],SummaryDaily[Online Store_orders],0)</f>
        <v>0</v>
      </c>
      <c r="N535" s="11">
        <f>_xlfn.XLOOKUP(TableDailySummary[[#This Row],[Fecha]],SummaryDaily[day],SummaryDaily[Online Store_average_order_value],0)</f>
        <v>0</v>
      </c>
      <c r="O535" s="11">
        <f>_xlfn.XLOOKUP(TableDailySummary[[#This Row],[Fecha]],SummaryDaily[day],SummaryDaily[Tienda 81_net_sales],0)</f>
        <v>0</v>
      </c>
      <c r="P535" s="11">
        <f>_xlfn.XLOOKUP(TableDailySummary[[#This Row],[Fecha]],SummaryDaily[day],SummaryDaily[Tienda 81_orders],0)</f>
        <v>0</v>
      </c>
      <c r="Q535" s="11">
        <f>_xlfn.XLOOKUP(TableDailySummary[[#This Row],[Fecha]],SummaryDaily[day],SummaryDaily[Tienda 81_average_order_value],0)</f>
        <v>0</v>
      </c>
      <c r="R535" s="11">
        <f>_xlfn.XLOOKUP(TableDailySummary[[#This Row],[Fecha]],SummaryDaily[day],SummaryDaily[Rappi_net_sales],0)</f>
        <v>0</v>
      </c>
      <c r="S535" s="11">
        <f>_xlfn.XLOOKUP(TableDailySummary[[#This Row],[Fecha]],SummaryDaily[day],SummaryDaily[Rappi_orders],0)</f>
        <v>0</v>
      </c>
      <c r="T535" s="11">
        <f>_xlfn.XLOOKUP(TableDailySummary[[#This Row],[Fecha]],SummaryDaily[day],SummaryDaily[Rappi_average_order_value],0)</f>
        <v>0</v>
      </c>
      <c r="U535" s="11">
        <f>_xlfn.XLOOKUP(TableDailySummary[[#This Row],[Fecha]],SummaryDaily[day],SummaryDaily[Corporativo no tienda_net_sales],0)</f>
        <v>0</v>
      </c>
      <c r="V535" s="11">
        <f>_xlfn.XLOOKUP(TableDailySummary[[#This Row],[Fecha]],SummaryDaily[day],SummaryDaily[Corporativo no tienda_orders],0)</f>
        <v>0</v>
      </c>
      <c r="W535" s="11">
        <f>_xlfn.XLOOKUP(TableDailySummary[[#This Row],[Fecha]],SummaryDaily[day],SummaryDaily[Corporativo no tienda_average_order_value],0)</f>
        <v>0</v>
      </c>
      <c r="X535" s="11">
        <f>_xlfn.XLOOKUP(TableDailySummary[[#This Row],[Fecha]],SummaryDaily[day],SummaryDaily[GoogleAdsOperation.Cost],0)</f>
        <v>0</v>
      </c>
      <c r="Y535" s="11">
        <f>SUMIFS(SalesByUTMDaily[google],SalesByUTMDaily[day],TableDailySummary[[#This Row],[Fecha]])</f>
        <v>0</v>
      </c>
      <c r="Z535" s="11">
        <f>_xlfn.XLOOKUP(TableDailySummary[[#This Row],[Fecha]],SummaryDaily[day],SummaryDaily[MetaAdsOperation.spend],0)</f>
        <v>0</v>
      </c>
      <c r="AA535" s="11">
        <f>SUMIFS(SalesByUTMDaily[facebook],SalesByUTMDaily[day],TableDailySummary[[#This Row],[Fecha]])</f>
        <v>0</v>
      </c>
      <c r="AB535" s="11">
        <f>TableDailySummary[[#This Row],[Inversión google ads]]+TableDailySummary[[#This Row],[Inversión meta ads]]</f>
        <v>0</v>
      </c>
      <c r="AC535" s="11">
        <f>TableDailySummary[[#This Row],[Ventas google ads]]+TableDailySummary[[#This Row],[Ventas meta ads]]</f>
        <v>0</v>
      </c>
      <c r="AD535" s="14">
        <f>IFERROR(TableDailySummary[[#This Row],[Ventas publicidad]]/TableDailySummary[[#This Row],[Inversión publicidad]],0)</f>
        <v>0</v>
      </c>
      <c r="AE535" s="14">
        <f>IFERROR(TableDailySummary[[#This Row],[Ventas primer cliente]]/TableDailySummary[[#This Row],[Inversión publicidad]],0)</f>
        <v>0</v>
      </c>
      <c r="AF535" s="14"/>
      <c r="AG535" s="11"/>
      <c r="AM535" s="11">
        <f>_xlfn.XLOOKUP(TableDailySummary[[#This Row],[Fecha]],SummaryDaily[day],SummaryDaily[net_sales_with_cost_recorded],0)</f>
        <v>0</v>
      </c>
      <c r="AN535" s="11">
        <f>_xlfn.XLOOKUP(TableDailySummary[[#This Row],[Fecha]],SummaryDaily[day],SummaryDaily[cost_of_goods_sold],0)</f>
        <v>0</v>
      </c>
      <c r="AO535" s="11">
        <f>_xlfn.XLOOKUP(TableDailySummary[[#This Row],[Fecha]],SummaryDaily[day],SummaryDaily[gross_profit],0)</f>
        <v>0</v>
      </c>
      <c r="AP535" s="18">
        <f>IFERROR(TableDailySummary[[#This Row],[Utilidad bruta]]/TableDailySummary[[#This Row],[Ventas netas con costo registrado]],0)</f>
        <v>0</v>
      </c>
    </row>
    <row r="536" spans="2:42" x14ac:dyDescent="0.2">
      <c r="B536" s="15" cm="1">
        <f t="array" ref="B536">ParamFechaInicioReporte + (ROW(TableDailySummary[#This Row]) - ROW(TableDailySummary[[#Headers],[Dia]]) - 1)</f>
        <v>45063</v>
      </c>
      <c r="C536" s="6">
        <f>TableDailySummary[[#This Row],[Dia]]</f>
        <v>45063</v>
      </c>
      <c r="D536" s="11">
        <f>_xlfn.XLOOKUP(TableDailySummary[[#This Row],[Fecha]],SummaryDaily[day],SummaryDaily[net_sales],0)</f>
        <v>0</v>
      </c>
      <c r="E536" s="11">
        <f>_xlfn.XLOOKUP(TableDailySummary[[#This Row],[Fecha]],SummaryDaily[day],SummaryDaily[orders],0)</f>
        <v>0</v>
      </c>
      <c r="F536" s="11">
        <f>_xlfn.XLOOKUP(TableDailySummary[[#This Row],[Fecha]],SummaryDaily[day],SummaryDaily[average_order_value],0)</f>
        <v>0</v>
      </c>
      <c r="G536" s="24" cm="1">
        <f t="array" ref="G536">_xlfn.XLOOKUP(TableDailySummary[[#This Row],[Fecha]]&amp;"Total site",ConversionRateByReferral[day]&amp;ConversionRateByReferral[referrer_source],ConversionRateByReferral[conversion_rate],0)</f>
        <v>0</v>
      </c>
      <c r="H536" s="11">
        <f>TableDailySummary[[#This Row],[Órden promedio totales]]*TableDailySummary[[#This Row],[CR totales]]</f>
        <v>0</v>
      </c>
      <c r="I536" s="11">
        <f>_xlfn.XLOOKUP(TableDailySummary[[#This Row],[Fecha]],SummaryDaily[day],SummaryDaily[new_net_sales],0)</f>
        <v>0</v>
      </c>
      <c r="J536" s="11">
        <f>_xlfn.XLOOKUP(TableDailySummary[[#This Row],[Fecha]],SummaryDaily[day],SummaryDaily[new_orders],0)</f>
        <v>0</v>
      </c>
      <c r="K536" s="11">
        <f>_xlfn.XLOOKUP(TableDailySummary[[#This Row],[Fecha]],SummaryDaily[day],SummaryDaily[new_average_order_value],0)</f>
        <v>0</v>
      </c>
      <c r="L536" s="11">
        <f>_xlfn.XLOOKUP(TableDailySummary[[#This Row],[Fecha]],SummaryDaily[day],SummaryDaily[Online Store_net_sales],0)</f>
        <v>0</v>
      </c>
      <c r="M536" s="11">
        <f>_xlfn.XLOOKUP(TableDailySummary[[#This Row],[Fecha]],SummaryDaily[day],SummaryDaily[Online Store_orders],0)</f>
        <v>0</v>
      </c>
      <c r="N536" s="11">
        <f>_xlfn.XLOOKUP(TableDailySummary[[#This Row],[Fecha]],SummaryDaily[day],SummaryDaily[Online Store_average_order_value],0)</f>
        <v>0</v>
      </c>
      <c r="O536" s="11">
        <f>_xlfn.XLOOKUP(TableDailySummary[[#This Row],[Fecha]],SummaryDaily[day],SummaryDaily[Tienda 81_net_sales],0)</f>
        <v>0</v>
      </c>
      <c r="P536" s="11">
        <f>_xlfn.XLOOKUP(TableDailySummary[[#This Row],[Fecha]],SummaryDaily[day],SummaryDaily[Tienda 81_orders],0)</f>
        <v>0</v>
      </c>
      <c r="Q536" s="11">
        <f>_xlfn.XLOOKUP(TableDailySummary[[#This Row],[Fecha]],SummaryDaily[day],SummaryDaily[Tienda 81_average_order_value],0)</f>
        <v>0</v>
      </c>
      <c r="R536" s="11">
        <f>_xlfn.XLOOKUP(TableDailySummary[[#This Row],[Fecha]],SummaryDaily[day],SummaryDaily[Rappi_net_sales],0)</f>
        <v>0</v>
      </c>
      <c r="S536" s="11">
        <f>_xlfn.XLOOKUP(TableDailySummary[[#This Row],[Fecha]],SummaryDaily[day],SummaryDaily[Rappi_orders],0)</f>
        <v>0</v>
      </c>
      <c r="T536" s="11">
        <f>_xlfn.XLOOKUP(TableDailySummary[[#This Row],[Fecha]],SummaryDaily[day],SummaryDaily[Rappi_average_order_value],0)</f>
        <v>0</v>
      </c>
      <c r="U536" s="11">
        <f>_xlfn.XLOOKUP(TableDailySummary[[#This Row],[Fecha]],SummaryDaily[day],SummaryDaily[Corporativo no tienda_net_sales],0)</f>
        <v>0</v>
      </c>
      <c r="V536" s="11">
        <f>_xlfn.XLOOKUP(TableDailySummary[[#This Row],[Fecha]],SummaryDaily[day],SummaryDaily[Corporativo no tienda_orders],0)</f>
        <v>0</v>
      </c>
      <c r="W536" s="11">
        <f>_xlfn.XLOOKUP(TableDailySummary[[#This Row],[Fecha]],SummaryDaily[day],SummaryDaily[Corporativo no tienda_average_order_value],0)</f>
        <v>0</v>
      </c>
      <c r="X536" s="11">
        <f>_xlfn.XLOOKUP(TableDailySummary[[#This Row],[Fecha]],SummaryDaily[day],SummaryDaily[GoogleAdsOperation.Cost],0)</f>
        <v>0</v>
      </c>
      <c r="Y536" s="11">
        <f>SUMIFS(SalesByUTMDaily[google],SalesByUTMDaily[day],TableDailySummary[[#This Row],[Fecha]])</f>
        <v>0</v>
      </c>
      <c r="Z536" s="11">
        <f>_xlfn.XLOOKUP(TableDailySummary[[#This Row],[Fecha]],SummaryDaily[day],SummaryDaily[MetaAdsOperation.spend],0)</f>
        <v>0</v>
      </c>
      <c r="AA536" s="11">
        <f>SUMIFS(SalesByUTMDaily[facebook],SalesByUTMDaily[day],TableDailySummary[[#This Row],[Fecha]])</f>
        <v>0</v>
      </c>
      <c r="AB536" s="11">
        <f>TableDailySummary[[#This Row],[Inversión google ads]]+TableDailySummary[[#This Row],[Inversión meta ads]]</f>
        <v>0</v>
      </c>
      <c r="AC536" s="11">
        <f>TableDailySummary[[#This Row],[Ventas google ads]]+TableDailySummary[[#This Row],[Ventas meta ads]]</f>
        <v>0</v>
      </c>
      <c r="AD536" s="14">
        <f>IFERROR(TableDailySummary[[#This Row],[Ventas publicidad]]/TableDailySummary[[#This Row],[Inversión publicidad]],0)</f>
        <v>0</v>
      </c>
      <c r="AE536" s="14">
        <f>IFERROR(TableDailySummary[[#This Row],[Ventas primer cliente]]/TableDailySummary[[#This Row],[Inversión publicidad]],0)</f>
        <v>0</v>
      </c>
      <c r="AF536" s="14"/>
      <c r="AG536" s="11"/>
      <c r="AM536" s="11">
        <f>_xlfn.XLOOKUP(TableDailySummary[[#This Row],[Fecha]],SummaryDaily[day],SummaryDaily[net_sales_with_cost_recorded],0)</f>
        <v>0</v>
      </c>
      <c r="AN536" s="11">
        <f>_xlfn.XLOOKUP(TableDailySummary[[#This Row],[Fecha]],SummaryDaily[day],SummaryDaily[cost_of_goods_sold],0)</f>
        <v>0</v>
      </c>
      <c r="AO536" s="11">
        <f>_xlfn.XLOOKUP(TableDailySummary[[#This Row],[Fecha]],SummaryDaily[day],SummaryDaily[gross_profit],0)</f>
        <v>0</v>
      </c>
      <c r="AP536" s="18">
        <f>IFERROR(TableDailySummary[[#This Row],[Utilidad bruta]]/TableDailySummary[[#This Row],[Ventas netas con costo registrado]],0)</f>
        <v>0</v>
      </c>
    </row>
    <row r="537" spans="2:42" x14ac:dyDescent="0.2">
      <c r="B537" s="15" cm="1">
        <f t="array" ref="B537">ParamFechaInicioReporte + (ROW(TableDailySummary[#This Row]) - ROW(TableDailySummary[[#Headers],[Dia]]) - 1)</f>
        <v>45064</v>
      </c>
      <c r="C537" s="6">
        <f>TableDailySummary[[#This Row],[Dia]]</f>
        <v>45064</v>
      </c>
      <c r="D537" s="11">
        <f>_xlfn.XLOOKUP(TableDailySummary[[#This Row],[Fecha]],SummaryDaily[day],SummaryDaily[net_sales],0)</f>
        <v>0</v>
      </c>
      <c r="E537" s="11">
        <f>_xlfn.XLOOKUP(TableDailySummary[[#This Row],[Fecha]],SummaryDaily[day],SummaryDaily[orders],0)</f>
        <v>0</v>
      </c>
      <c r="F537" s="11">
        <f>_xlfn.XLOOKUP(TableDailySummary[[#This Row],[Fecha]],SummaryDaily[day],SummaryDaily[average_order_value],0)</f>
        <v>0</v>
      </c>
      <c r="G537" s="24" cm="1">
        <f t="array" ref="G537">_xlfn.XLOOKUP(TableDailySummary[[#This Row],[Fecha]]&amp;"Total site",ConversionRateByReferral[day]&amp;ConversionRateByReferral[referrer_source],ConversionRateByReferral[conversion_rate],0)</f>
        <v>0</v>
      </c>
      <c r="H537" s="11">
        <f>TableDailySummary[[#This Row],[Órden promedio totales]]*TableDailySummary[[#This Row],[CR totales]]</f>
        <v>0</v>
      </c>
      <c r="I537" s="11">
        <f>_xlfn.XLOOKUP(TableDailySummary[[#This Row],[Fecha]],SummaryDaily[day],SummaryDaily[new_net_sales],0)</f>
        <v>0</v>
      </c>
      <c r="J537" s="11">
        <f>_xlfn.XLOOKUP(TableDailySummary[[#This Row],[Fecha]],SummaryDaily[day],SummaryDaily[new_orders],0)</f>
        <v>0</v>
      </c>
      <c r="K537" s="11">
        <f>_xlfn.XLOOKUP(TableDailySummary[[#This Row],[Fecha]],SummaryDaily[day],SummaryDaily[new_average_order_value],0)</f>
        <v>0</v>
      </c>
      <c r="L537" s="11">
        <f>_xlfn.XLOOKUP(TableDailySummary[[#This Row],[Fecha]],SummaryDaily[day],SummaryDaily[Online Store_net_sales],0)</f>
        <v>0</v>
      </c>
      <c r="M537" s="11">
        <f>_xlfn.XLOOKUP(TableDailySummary[[#This Row],[Fecha]],SummaryDaily[day],SummaryDaily[Online Store_orders],0)</f>
        <v>0</v>
      </c>
      <c r="N537" s="11">
        <f>_xlfn.XLOOKUP(TableDailySummary[[#This Row],[Fecha]],SummaryDaily[day],SummaryDaily[Online Store_average_order_value],0)</f>
        <v>0</v>
      </c>
      <c r="O537" s="11">
        <f>_xlfn.XLOOKUP(TableDailySummary[[#This Row],[Fecha]],SummaryDaily[day],SummaryDaily[Tienda 81_net_sales],0)</f>
        <v>0</v>
      </c>
      <c r="P537" s="11">
        <f>_xlfn.XLOOKUP(TableDailySummary[[#This Row],[Fecha]],SummaryDaily[day],SummaryDaily[Tienda 81_orders],0)</f>
        <v>0</v>
      </c>
      <c r="Q537" s="11">
        <f>_xlfn.XLOOKUP(TableDailySummary[[#This Row],[Fecha]],SummaryDaily[day],SummaryDaily[Tienda 81_average_order_value],0)</f>
        <v>0</v>
      </c>
      <c r="R537" s="11">
        <f>_xlfn.XLOOKUP(TableDailySummary[[#This Row],[Fecha]],SummaryDaily[day],SummaryDaily[Rappi_net_sales],0)</f>
        <v>0</v>
      </c>
      <c r="S537" s="11">
        <f>_xlfn.XLOOKUP(TableDailySummary[[#This Row],[Fecha]],SummaryDaily[day],SummaryDaily[Rappi_orders],0)</f>
        <v>0</v>
      </c>
      <c r="T537" s="11">
        <f>_xlfn.XLOOKUP(TableDailySummary[[#This Row],[Fecha]],SummaryDaily[day],SummaryDaily[Rappi_average_order_value],0)</f>
        <v>0</v>
      </c>
      <c r="U537" s="11">
        <f>_xlfn.XLOOKUP(TableDailySummary[[#This Row],[Fecha]],SummaryDaily[day],SummaryDaily[Corporativo no tienda_net_sales],0)</f>
        <v>0</v>
      </c>
      <c r="V537" s="11">
        <f>_xlfn.XLOOKUP(TableDailySummary[[#This Row],[Fecha]],SummaryDaily[day],SummaryDaily[Corporativo no tienda_orders],0)</f>
        <v>0</v>
      </c>
      <c r="W537" s="11">
        <f>_xlfn.XLOOKUP(TableDailySummary[[#This Row],[Fecha]],SummaryDaily[day],SummaryDaily[Corporativo no tienda_average_order_value],0)</f>
        <v>0</v>
      </c>
      <c r="X537" s="11">
        <f>_xlfn.XLOOKUP(TableDailySummary[[#This Row],[Fecha]],SummaryDaily[day],SummaryDaily[GoogleAdsOperation.Cost],0)</f>
        <v>0</v>
      </c>
      <c r="Y537" s="11">
        <f>SUMIFS(SalesByUTMDaily[google],SalesByUTMDaily[day],TableDailySummary[[#This Row],[Fecha]])</f>
        <v>0</v>
      </c>
      <c r="Z537" s="11">
        <f>_xlfn.XLOOKUP(TableDailySummary[[#This Row],[Fecha]],SummaryDaily[day],SummaryDaily[MetaAdsOperation.spend],0)</f>
        <v>0</v>
      </c>
      <c r="AA537" s="11">
        <f>SUMIFS(SalesByUTMDaily[facebook],SalesByUTMDaily[day],TableDailySummary[[#This Row],[Fecha]])</f>
        <v>0</v>
      </c>
      <c r="AB537" s="11">
        <f>TableDailySummary[[#This Row],[Inversión google ads]]+TableDailySummary[[#This Row],[Inversión meta ads]]</f>
        <v>0</v>
      </c>
      <c r="AC537" s="11">
        <f>TableDailySummary[[#This Row],[Ventas google ads]]+TableDailySummary[[#This Row],[Ventas meta ads]]</f>
        <v>0</v>
      </c>
      <c r="AD537" s="14">
        <f>IFERROR(TableDailySummary[[#This Row],[Ventas publicidad]]/TableDailySummary[[#This Row],[Inversión publicidad]],0)</f>
        <v>0</v>
      </c>
      <c r="AE537" s="14">
        <f>IFERROR(TableDailySummary[[#This Row],[Ventas primer cliente]]/TableDailySummary[[#This Row],[Inversión publicidad]],0)</f>
        <v>0</v>
      </c>
      <c r="AF537" s="14"/>
      <c r="AG537" s="11"/>
      <c r="AM537" s="11">
        <f>_xlfn.XLOOKUP(TableDailySummary[[#This Row],[Fecha]],SummaryDaily[day],SummaryDaily[net_sales_with_cost_recorded],0)</f>
        <v>0</v>
      </c>
      <c r="AN537" s="11">
        <f>_xlfn.XLOOKUP(TableDailySummary[[#This Row],[Fecha]],SummaryDaily[day],SummaryDaily[cost_of_goods_sold],0)</f>
        <v>0</v>
      </c>
      <c r="AO537" s="11">
        <f>_xlfn.XLOOKUP(TableDailySummary[[#This Row],[Fecha]],SummaryDaily[day],SummaryDaily[gross_profit],0)</f>
        <v>0</v>
      </c>
      <c r="AP537" s="18">
        <f>IFERROR(TableDailySummary[[#This Row],[Utilidad bruta]]/TableDailySummary[[#This Row],[Ventas netas con costo registrado]],0)</f>
        <v>0</v>
      </c>
    </row>
    <row r="538" spans="2:42" x14ac:dyDescent="0.2">
      <c r="B538" s="15" cm="1">
        <f t="array" ref="B538">ParamFechaInicioReporte + (ROW(TableDailySummary[#This Row]) - ROW(TableDailySummary[[#Headers],[Dia]]) - 1)</f>
        <v>45065</v>
      </c>
      <c r="C538" s="6">
        <f>TableDailySummary[[#This Row],[Dia]]</f>
        <v>45065</v>
      </c>
      <c r="D538" s="11">
        <f>_xlfn.XLOOKUP(TableDailySummary[[#This Row],[Fecha]],SummaryDaily[day],SummaryDaily[net_sales],0)</f>
        <v>0</v>
      </c>
      <c r="E538" s="11">
        <f>_xlfn.XLOOKUP(TableDailySummary[[#This Row],[Fecha]],SummaryDaily[day],SummaryDaily[orders],0)</f>
        <v>0</v>
      </c>
      <c r="F538" s="11">
        <f>_xlfn.XLOOKUP(TableDailySummary[[#This Row],[Fecha]],SummaryDaily[day],SummaryDaily[average_order_value],0)</f>
        <v>0</v>
      </c>
      <c r="G538" s="24" cm="1">
        <f t="array" ref="G538">_xlfn.XLOOKUP(TableDailySummary[[#This Row],[Fecha]]&amp;"Total site",ConversionRateByReferral[day]&amp;ConversionRateByReferral[referrer_source],ConversionRateByReferral[conversion_rate],0)</f>
        <v>0</v>
      </c>
      <c r="H538" s="11">
        <f>TableDailySummary[[#This Row],[Órden promedio totales]]*TableDailySummary[[#This Row],[CR totales]]</f>
        <v>0</v>
      </c>
      <c r="I538" s="11">
        <f>_xlfn.XLOOKUP(TableDailySummary[[#This Row],[Fecha]],SummaryDaily[day],SummaryDaily[new_net_sales],0)</f>
        <v>0</v>
      </c>
      <c r="J538" s="11">
        <f>_xlfn.XLOOKUP(TableDailySummary[[#This Row],[Fecha]],SummaryDaily[day],SummaryDaily[new_orders],0)</f>
        <v>0</v>
      </c>
      <c r="K538" s="11">
        <f>_xlfn.XLOOKUP(TableDailySummary[[#This Row],[Fecha]],SummaryDaily[day],SummaryDaily[new_average_order_value],0)</f>
        <v>0</v>
      </c>
      <c r="L538" s="11">
        <f>_xlfn.XLOOKUP(TableDailySummary[[#This Row],[Fecha]],SummaryDaily[day],SummaryDaily[Online Store_net_sales],0)</f>
        <v>0</v>
      </c>
      <c r="M538" s="11">
        <f>_xlfn.XLOOKUP(TableDailySummary[[#This Row],[Fecha]],SummaryDaily[day],SummaryDaily[Online Store_orders],0)</f>
        <v>0</v>
      </c>
      <c r="N538" s="11">
        <f>_xlfn.XLOOKUP(TableDailySummary[[#This Row],[Fecha]],SummaryDaily[day],SummaryDaily[Online Store_average_order_value],0)</f>
        <v>0</v>
      </c>
      <c r="O538" s="11">
        <f>_xlfn.XLOOKUP(TableDailySummary[[#This Row],[Fecha]],SummaryDaily[day],SummaryDaily[Tienda 81_net_sales],0)</f>
        <v>0</v>
      </c>
      <c r="P538" s="11">
        <f>_xlfn.XLOOKUP(TableDailySummary[[#This Row],[Fecha]],SummaryDaily[day],SummaryDaily[Tienda 81_orders],0)</f>
        <v>0</v>
      </c>
      <c r="Q538" s="11">
        <f>_xlfn.XLOOKUP(TableDailySummary[[#This Row],[Fecha]],SummaryDaily[day],SummaryDaily[Tienda 81_average_order_value],0)</f>
        <v>0</v>
      </c>
      <c r="R538" s="11">
        <f>_xlfn.XLOOKUP(TableDailySummary[[#This Row],[Fecha]],SummaryDaily[day],SummaryDaily[Rappi_net_sales],0)</f>
        <v>0</v>
      </c>
      <c r="S538" s="11">
        <f>_xlfn.XLOOKUP(TableDailySummary[[#This Row],[Fecha]],SummaryDaily[day],SummaryDaily[Rappi_orders],0)</f>
        <v>0</v>
      </c>
      <c r="T538" s="11">
        <f>_xlfn.XLOOKUP(TableDailySummary[[#This Row],[Fecha]],SummaryDaily[day],SummaryDaily[Rappi_average_order_value],0)</f>
        <v>0</v>
      </c>
      <c r="U538" s="11">
        <f>_xlfn.XLOOKUP(TableDailySummary[[#This Row],[Fecha]],SummaryDaily[day],SummaryDaily[Corporativo no tienda_net_sales],0)</f>
        <v>0</v>
      </c>
      <c r="V538" s="11">
        <f>_xlfn.XLOOKUP(TableDailySummary[[#This Row],[Fecha]],SummaryDaily[day],SummaryDaily[Corporativo no tienda_orders],0)</f>
        <v>0</v>
      </c>
      <c r="W538" s="11">
        <f>_xlfn.XLOOKUP(TableDailySummary[[#This Row],[Fecha]],SummaryDaily[day],SummaryDaily[Corporativo no tienda_average_order_value],0)</f>
        <v>0</v>
      </c>
      <c r="X538" s="11">
        <f>_xlfn.XLOOKUP(TableDailySummary[[#This Row],[Fecha]],SummaryDaily[day],SummaryDaily[GoogleAdsOperation.Cost],0)</f>
        <v>0</v>
      </c>
      <c r="Y538" s="11">
        <f>SUMIFS(SalesByUTMDaily[google],SalesByUTMDaily[day],TableDailySummary[[#This Row],[Fecha]])</f>
        <v>0</v>
      </c>
      <c r="Z538" s="11">
        <f>_xlfn.XLOOKUP(TableDailySummary[[#This Row],[Fecha]],SummaryDaily[day],SummaryDaily[MetaAdsOperation.spend],0)</f>
        <v>0</v>
      </c>
      <c r="AA538" s="11">
        <f>SUMIFS(SalesByUTMDaily[facebook],SalesByUTMDaily[day],TableDailySummary[[#This Row],[Fecha]])</f>
        <v>0</v>
      </c>
      <c r="AB538" s="11">
        <f>TableDailySummary[[#This Row],[Inversión google ads]]+TableDailySummary[[#This Row],[Inversión meta ads]]</f>
        <v>0</v>
      </c>
      <c r="AC538" s="11">
        <f>TableDailySummary[[#This Row],[Ventas google ads]]+TableDailySummary[[#This Row],[Ventas meta ads]]</f>
        <v>0</v>
      </c>
      <c r="AD538" s="14">
        <f>IFERROR(TableDailySummary[[#This Row],[Ventas publicidad]]/TableDailySummary[[#This Row],[Inversión publicidad]],0)</f>
        <v>0</v>
      </c>
      <c r="AE538" s="14">
        <f>IFERROR(TableDailySummary[[#This Row],[Ventas primer cliente]]/TableDailySummary[[#This Row],[Inversión publicidad]],0)</f>
        <v>0</v>
      </c>
      <c r="AF538" s="14"/>
      <c r="AG538" s="11"/>
      <c r="AM538" s="11">
        <f>_xlfn.XLOOKUP(TableDailySummary[[#This Row],[Fecha]],SummaryDaily[day],SummaryDaily[net_sales_with_cost_recorded],0)</f>
        <v>0</v>
      </c>
      <c r="AN538" s="11">
        <f>_xlfn.XLOOKUP(TableDailySummary[[#This Row],[Fecha]],SummaryDaily[day],SummaryDaily[cost_of_goods_sold],0)</f>
        <v>0</v>
      </c>
      <c r="AO538" s="11">
        <f>_xlfn.XLOOKUP(TableDailySummary[[#This Row],[Fecha]],SummaryDaily[day],SummaryDaily[gross_profit],0)</f>
        <v>0</v>
      </c>
      <c r="AP538" s="18">
        <f>IFERROR(TableDailySummary[[#This Row],[Utilidad bruta]]/TableDailySummary[[#This Row],[Ventas netas con costo registrado]],0)</f>
        <v>0</v>
      </c>
    </row>
    <row r="539" spans="2:42" x14ac:dyDescent="0.2">
      <c r="B539" s="15" cm="1">
        <f t="array" ref="B539">ParamFechaInicioReporte + (ROW(TableDailySummary[#This Row]) - ROW(TableDailySummary[[#Headers],[Dia]]) - 1)</f>
        <v>45066</v>
      </c>
      <c r="C539" s="6">
        <f>TableDailySummary[[#This Row],[Dia]]</f>
        <v>45066</v>
      </c>
      <c r="D539" s="11">
        <f>_xlfn.XLOOKUP(TableDailySummary[[#This Row],[Fecha]],SummaryDaily[day],SummaryDaily[net_sales],0)</f>
        <v>0</v>
      </c>
      <c r="E539" s="11">
        <f>_xlfn.XLOOKUP(TableDailySummary[[#This Row],[Fecha]],SummaryDaily[day],SummaryDaily[orders],0)</f>
        <v>0</v>
      </c>
      <c r="F539" s="11">
        <f>_xlfn.XLOOKUP(TableDailySummary[[#This Row],[Fecha]],SummaryDaily[day],SummaryDaily[average_order_value],0)</f>
        <v>0</v>
      </c>
      <c r="G539" s="24" cm="1">
        <f t="array" ref="G539">_xlfn.XLOOKUP(TableDailySummary[[#This Row],[Fecha]]&amp;"Total site",ConversionRateByReferral[day]&amp;ConversionRateByReferral[referrer_source],ConversionRateByReferral[conversion_rate],0)</f>
        <v>0</v>
      </c>
      <c r="H539" s="11">
        <f>TableDailySummary[[#This Row],[Órden promedio totales]]*TableDailySummary[[#This Row],[CR totales]]</f>
        <v>0</v>
      </c>
      <c r="I539" s="11">
        <f>_xlfn.XLOOKUP(TableDailySummary[[#This Row],[Fecha]],SummaryDaily[day],SummaryDaily[new_net_sales],0)</f>
        <v>0</v>
      </c>
      <c r="J539" s="11">
        <f>_xlfn.XLOOKUP(TableDailySummary[[#This Row],[Fecha]],SummaryDaily[day],SummaryDaily[new_orders],0)</f>
        <v>0</v>
      </c>
      <c r="K539" s="11">
        <f>_xlfn.XLOOKUP(TableDailySummary[[#This Row],[Fecha]],SummaryDaily[day],SummaryDaily[new_average_order_value],0)</f>
        <v>0</v>
      </c>
      <c r="L539" s="11">
        <f>_xlfn.XLOOKUP(TableDailySummary[[#This Row],[Fecha]],SummaryDaily[day],SummaryDaily[Online Store_net_sales],0)</f>
        <v>0</v>
      </c>
      <c r="M539" s="11">
        <f>_xlfn.XLOOKUP(TableDailySummary[[#This Row],[Fecha]],SummaryDaily[day],SummaryDaily[Online Store_orders],0)</f>
        <v>0</v>
      </c>
      <c r="N539" s="11">
        <f>_xlfn.XLOOKUP(TableDailySummary[[#This Row],[Fecha]],SummaryDaily[day],SummaryDaily[Online Store_average_order_value],0)</f>
        <v>0</v>
      </c>
      <c r="O539" s="11">
        <f>_xlfn.XLOOKUP(TableDailySummary[[#This Row],[Fecha]],SummaryDaily[day],SummaryDaily[Tienda 81_net_sales],0)</f>
        <v>0</v>
      </c>
      <c r="P539" s="11">
        <f>_xlfn.XLOOKUP(TableDailySummary[[#This Row],[Fecha]],SummaryDaily[day],SummaryDaily[Tienda 81_orders],0)</f>
        <v>0</v>
      </c>
      <c r="Q539" s="11">
        <f>_xlfn.XLOOKUP(TableDailySummary[[#This Row],[Fecha]],SummaryDaily[day],SummaryDaily[Tienda 81_average_order_value],0)</f>
        <v>0</v>
      </c>
      <c r="R539" s="11">
        <f>_xlfn.XLOOKUP(TableDailySummary[[#This Row],[Fecha]],SummaryDaily[day],SummaryDaily[Rappi_net_sales],0)</f>
        <v>0</v>
      </c>
      <c r="S539" s="11">
        <f>_xlfn.XLOOKUP(TableDailySummary[[#This Row],[Fecha]],SummaryDaily[day],SummaryDaily[Rappi_orders],0)</f>
        <v>0</v>
      </c>
      <c r="T539" s="11">
        <f>_xlfn.XLOOKUP(TableDailySummary[[#This Row],[Fecha]],SummaryDaily[day],SummaryDaily[Rappi_average_order_value],0)</f>
        <v>0</v>
      </c>
      <c r="U539" s="11">
        <f>_xlfn.XLOOKUP(TableDailySummary[[#This Row],[Fecha]],SummaryDaily[day],SummaryDaily[Corporativo no tienda_net_sales],0)</f>
        <v>0</v>
      </c>
      <c r="V539" s="11">
        <f>_xlfn.XLOOKUP(TableDailySummary[[#This Row],[Fecha]],SummaryDaily[day],SummaryDaily[Corporativo no tienda_orders],0)</f>
        <v>0</v>
      </c>
      <c r="W539" s="11">
        <f>_xlfn.XLOOKUP(TableDailySummary[[#This Row],[Fecha]],SummaryDaily[day],SummaryDaily[Corporativo no tienda_average_order_value],0)</f>
        <v>0</v>
      </c>
      <c r="X539" s="11">
        <f>_xlfn.XLOOKUP(TableDailySummary[[#This Row],[Fecha]],SummaryDaily[day],SummaryDaily[GoogleAdsOperation.Cost],0)</f>
        <v>0</v>
      </c>
      <c r="Y539" s="11">
        <f>SUMIFS(SalesByUTMDaily[google],SalesByUTMDaily[day],TableDailySummary[[#This Row],[Fecha]])</f>
        <v>0</v>
      </c>
      <c r="Z539" s="11">
        <f>_xlfn.XLOOKUP(TableDailySummary[[#This Row],[Fecha]],SummaryDaily[day],SummaryDaily[MetaAdsOperation.spend],0)</f>
        <v>0</v>
      </c>
      <c r="AA539" s="11">
        <f>SUMIFS(SalesByUTMDaily[facebook],SalesByUTMDaily[day],TableDailySummary[[#This Row],[Fecha]])</f>
        <v>0</v>
      </c>
      <c r="AB539" s="11">
        <f>TableDailySummary[[#This Row],[Inversión google ads]]+TableDailySummary[[#This Row],[Inversión meta ads]]</f>
        <v>0</v>
      </c>
      <c r="AC539" s="11">
        <f>TableDailySummary[[#This Row],[Ventas google ads]]+TableDailySummary[[#This Row],[Ventas meta ads]]</f>
        <v>0</v>
      </c>
      <c r="AD539" s="14">
        <f>IFERROR(TableDailySummary[[#This Row],[Ventas publicidad]]/TableDailySummary[[#This Row],[Inversión publicidad]],0)</f>
        <v>0</v>
      </c>
      <c r="AE539" s="14">
        <f>IFERROR(TableDailySummary[[#This Row],[Ventas primer cliente]]/TableDailySummary[[#This Row],[Inversión publicidad]],0)</f>
        <v>0</v>
      </c>
      <c r="AF539" s="14"/>
      <c r="AG539" s="11"/>
      <c r="AM539" s="11">
        <f>_xlfn.XLOOKUP(TableDailySummary[[#This Row],[Fecha]],SummaryDaily[day],SummaryDaily[net_sales_with_cost_recorded],0)</f>
        <v>0</v>
      </c>
      <c r="AN539" s="11">
        <f>_xlfn.XLOOKUP(TableDailySummary[[#This Row],[Fecha]],SummaryDaily[day],SummaryDaily[cost_of_goods_sold],0)</f>
        <v>0</v>
      </c>
      <c r="AO539" s="11">
        <f>_xlfn.XLOOKUP(TableDailySummary[[#This Row],[Fecha]],SummaryDaily[day],SummaryDaily[gross_profit],0)</f>
        <v>0</v>
      </c>
      <c r="AP539" s="18">
        <f>IFERROR(TableDailySummary[[#This Row],[Utilidad bruta]]/TableDailySummary[[#This Row],[Ventas netas con costo registrado]],0)</f>
        <v>0</v>
      </c>
    </row>
    <row r="540" spans="2:42" x14ac:dyDescent="0.2">
      <c r="B540" s="15" cm="1">
        <f t="array" ref="B540">ParamFechaInicioReporte + (ROW(TableDailySummary[#This Row]) - ROW(TableDailySummary[[#Headers],[Dia]]) - 1)</f>
        <v>45067</v>
      </c>
      <c r="C540" s="6">
        <f>TableDailySummary[[#This Row],[Dia]]</f>
        <v>45067</v>
      </c>
      <c r="D540" s="11">
        <f>_xlfn.XLOOKUP(TableDailySummary[[#This Row],[Fecha]],SummaryDaily[day],SummaryDaily[net_sales],0)</f>
        <v>0</v>
      </c>
      <c r="E540" s="11">
        <f>_xlfn.XLOOKUP(TableDailySummary[[#This Row],[Fecha]],SummaryDaily[day],SummaryDaily[orders],0)</f>
        <v>0</v>
      </c>
      <c r="F540" s="11">
        <f>_xlfn.XLOOKUP(TableDailySummary[[#This Row],[Fecha]],SummaryDaily[day],SummaryDaily[average_order_value],0)</f>
        <v>0</v>
      </c>
      <c r="G540" s="24" cm="1">
        <f t="array" ref="G540">_xlfn.XLOOKUP(TableDailySummary[[#This Row],[Fecha]]&amp;"Total site",ConversionRateByReferral[day]&amp;ConversionRateByReferral[referrer_source],ConversionRateByReferral[conversion_rate],0)</f>
        <v>0</v>
      </c>
      <c r="H540" s="11">
        <f>TableDailySummary[[#This Row],[Órden promedio totales]]*TableDailySummary[[#This Row],[CR totales]]</f>
        <v>0</v>
      </c>
      <c r="I540" s="11">
        <f>_xlfn.XLOOKUP(TableDailySummary[[#This Row],[Fecha]],SummaryDaily[day],SummaryDaily[new_net_sales],0)</f>
        <v>0</v>
      </c>
      <c r="J540" s="11">
        <f>_xlfn.XLOOKUP(TableDailySummary[[#This Row],[Fecha]],SummaryDaily[day],SummaryDaily[new_orders],0)</f>
        <v>0</v>
      </c>
      <c r="K540" s="11">
        <f>_xlfn.XLOOKUP(TableDailySummary[[#This Row],[Fecha]],SummaryDaily[day],SummaryDaily[new_average_order_value],0)</f>
        <v>0</v>
      </c>
      <c r="L540" s="11">
        <f>_xlfn.XLOOKUP(TableDailySummary[[#This Row],[Fecha]],SummaryDaily[day],SummaryDaily[Online Store_net_sales],0)</f>
        <v>0</v>
      </c>
      <c r="M540" s="11">
        <f>_xlfn.XLOOKUP(TableDailySummary[[#This Row],[Fecha]],SummaryDaily[day],SummaryDaily[Online Store_orders],0)</f>
        <v>0</v>
      </c>
      <c r="N540" s="11">
        <f>_xlfn.XLOOKUP(TableDailySummary[[#This Row],[Fecha]],SummaryDaily[day],SummaryDaily[Online Store_average_order_value],0)</f>
        <v>0</v>
      </c>
      <c r="O540" s="11">
        <f>_xlfn.XLOOKUP(TableDailySummary[[#This Row],[Fecha]],SummaryDaily[day],SummaryDaily[Tienda 81_net_sales],0)</f>
        <v>0</v>
      </c>
      <c r="P540" s="11">
        <f>_xlfn.XLOOKUP(TableDailySummary[[#This Row],[Fecha]],SummaryDaily[day],SummaryDaily[Tienda 81_orders],0)</f>
        <v>0</v>
      </c>
      <c r="Q540" s="11">
        <f>_xlfn.XLOOKUP(TableDailySummary[[#This Row],[Fecha]],SummaryDaily[day],SummaryDaily[Tienda 81_average_order_value],0)</f>
        <v>0</v>
      </c>
      <c r="R540" s="11">
        <f>_xlfn.XLOOKUP(TableDailySummary[[#This Row],[Fecha]],SummaryDaily[day],SummaryDaily[Rappi_net_sales],0)</f>
        <v>0</v>
      </c>
      <c r="S540" s="11">
        <f>_xlfn.XLOOKUP(TableDailySummary[[#This Row],[Fecha]],SummaryDaily[day],SummaryDaily[Rappi_orders],0)</f>
        <v>0</v>
      </c>
      <c r="T540" s="11">
        <f>_xlfn.XLOOKUP(TableDailySummary[[#This Row],[Fecha]],SummaryDaily[day],SummaryDaily[Rappi_average_order_value],0)</f>
        <v>0</v>
      </c>
      <c r="U540" s="11">
        <f>_xlfn.XLOOKUP(TableDailySummary[[#This Row],[Fecha]],SummaryDaily[day],SummaryDaily[Corporativo no tienda_net_sales],0)</f>
        <v>0</v>
      </c>
      <c r="V540" s="11">
        <f>_xlfn.XLOOKUP(TableDailySummary[[#This Row],[Fecha]],SummaryDaily[day],SummaryDaily[Corporativo no tienda_orders],0)</f>
        <v>0</v>
      </c>
      <c r="W540" s="11">
        <f>_xlfn.XLOOKUP(TableDailySummary[[#This Row],[Fecha]],SummaryDaily[day],SummaryDaily[Corporativo no tienda_average_order_value],0)</f>
        <v>0</v>
      </c>
      <c r="X540" s="11">
        <f>_xlfn.XLOOKUP(TableDailySummary[[#This Row],[Fecha]],SummaryDaily[day],SummaryDaily[GoogleAdsOperation.Cost],0)</f>
        <v>0</v>
      </c>
      <c r="Y540" s="11">
        <f>SUMIFS(SalesByUTMDaily[google],SalesByUTMDaily[day],TableDailySummary[[#This Row],[Fecha]])</f>
        <v>0</v>
      </c>
      <c r="Z540" s="11">
        <f>_xlfn.XLOOKUP(TableDailySummary[[#This Row],[Fecha]],SummaryDaily[day],SummaryDaily[MetaAdsOperation.spend],0)</f>
        <v>0</v>
      </c>
      <c r="AA540" s="11">
        <f>SUMIFS(SalesByUTMDaily[facebook],SalesByUTMDaily[day],TableDailySummary[[#This Row],[Fecha]])</f>
        <v>0</v>
      </c>
      <c r="AB540" s="11">
        <f>TableDailySummary[[#This Row],[Inversión google ads]]+TableDailySummary[[#This Row],[Inversión meta ads]]</f>
        <v>0</v>
      </c>
      <c r="AC540" s="11">
        <f>TableDailySummary[[#This Row],[Ventas google ads]]+TableDailySummary[[#This Row],[Ventas meta ads]]</f>
        <v>0</v>
      </c>
      <c r="AD540" s="14">
        <f>IFERROR(TableDailySummary[[#This Row],[Ventas publicidad]]/TableDailySummary[[#This Row],[Inversión publicidad]],0)</f>
        <v>0</v>
      </c>
      <c r="AE540" s="14">
        <f>IFERROR(TableDailySummary[[#This Row],[Ventas primer cliente]]/TableDailySummary[[#This Row],[Inversión publicidad]],0)</f>
        <v>0</v>
      </c>
      <c r="AF540" s="14"/>
      <c r="AG540" s="11"/>
      <c r="AM540" s="11">
        <f>_xlfn.XLOOKUP(TableDailySummary[[#This Row],[Fecha]],SummaryDaily[day],SummaryDaily[net_sales_with_cost_recorded],0)</f>
        <v>0</v>
      </c>
      <c r="AN540" s="11">
        <f>_xlfn.XLOOKUP(TableDailySummary[[#This Row],[Fecha]],SummaryDaily[day],SummaryDaily[cost_of_goods_sold],0)</f>
        <v>0</v>
      </c>
      <c r="AO540" s="11">
        <f>_xlfn.XLOOKUP(TableDailySummary[[#This Row],[Fecha]],SummaryDaily[day],SummaryDaily[gross_profit],0)</f>
        <v>0</v>
      </c>
      <c r="AP540" s="18">
        <f>IFERROR(TableDailySummary[[#This Row],[Utilidad bruta]]/TableDailySummary[[#This Row],[Ventas netas con costo registrado]],0)</f>
        <v>0</v>
      </c>
    </row>
    <row r="541" spans="2:42" x14ac:dyDescent="0.2">
      <c r="B541" s="15" cm="1">
        <f t="array" ref="B541">ParamFechaInicioReporte + (ROW(TableDailySummary[#This Row]) - ROW(TableDailySummary[[#Headers],[Dia]]) - 1)</f>
        <v>45068</v>
      </c>
      <c r="C541" s="6">
        <f>TableDailySummary[[#This Row],[Dia]]</f>
        <v>45068</v>
      </c>
      <c r="D541" s="11">
        <f>_xlfn.XLOOKUP(TableDailySummary[[#This Row],[Fecha]],SummaryDaily[day],SummaryDaily[net_sales],0)</f>
        <v>0</v>
      </c>
      <c r="E541" s="11">
        <f>_xlfn.XLOOKUP(TableDailySummary[[#This Row],[Fecha]],SummaryDaily[day],SummaryDaily[orders],0)</f>
        <v>0</v>
      </c>
      <c r="F541" s="11">
        <f>_xlfn.XLOOKUP(TableDailySummary[[#This Row],[Fecha]],SummaryDaily[day],SummaryDaily[average_order_value],0)</f>
        <v>0</v>
      </c>
      <c r="G541" s="24" cm="1">
        <f t="array" ref="G541">_xlfn.XLOOKUP(TableDailySummary[[#This Row],[Fecha]]&amp;"Total site",ConversionRateByReferral[day]&amp;ConversionRateByReferral[referrer_source],ConversionRateByReferral[conversion_rate],0)</f>
        <v>0</v>
      </c>
      <c r="H541" s="11">
        <f>TableDailySummary[[#This Row],[Órden promedio totales]]*TableDailySummary[[#This Row],[CR totales]]</f>
        <v>0</v>
      </c>
      <c r="I541" s="11">
        <f>_xlfn.XLOOKUP(TableDailySummary[[#This Row],[Fecha]],SummaryDaily[day],SummaryDaily[new_net_sales],0)</f>
        <v>0</v>
      </c>
      <c r="J541" s="11">
        <f>_xlfn.XLOOKUP(TableDailySummary[[#This Row],[Fecha]],SummaryDaily[day],SummaryDaily[new_orders],0)</f>
        <v>0</v>
      </c>
      <c r="K541" s="11">
        <f>_xlfn.XLOOKUP(TableDailySummary[[#This Row],[Fecha]],SummaryDaily[day],SummaryDaily[new_average_order_value],0)</f>
        <v>0</v>
      </c>
      <c r="L541" s="11">
        <f>_xlfn.XLOOKUP(TableDailySummary[[#This Row],[Fecha]],SummaryDaily[day],SummaryDaily[Online Store_net_sales],0)</f>
        <v>0</v>
      </c>
      <c r="M541" s="11">
        <f>_xlfn.XLOOKUP(TableDailySummary[[#This Row],[Fecha]],SummaryDaily[day],SummaryDaily[Online Store_orders],0)</f>
        <v>0</v>
      </c>
      <c r="N541" s="11">
        <f>_xlfn.XLOOKUP(TableDailySummary[[#This Row],[Fecha]],SummaryDaily[day],SummaryDaily[Online Store_average_order_value],0)</f>
        <v>0</v>
      </c>
      <c r="O541" s="11">
        <f>_xlfn.XLOOKUP(TableDailySummary[[#This Row],[Fecha]],SummaryDaily[day],SummaryDaily[Tienda 81_net_sales],0)</f>
        <v>0</v>
      </c>
      <c r="P541" s="11">
        <f>_xlfn.XLOOKUP(TableDailySummary[[#This Row],[Fecha]],SummaryDaily[day],SummaryDaily[Tienda 81_orders],0)</f>
        <v>0</v>
      </c>
      <c r="Q541" s="11">
        <f>_xlfn.XLOOKUP(TableDailySummary[[#This Row],[Fecha]],SummaryDaily[day],SummaryDaily[Tienda 81_average_order_value],0)</f>
        <v>0</v>
      </c>
      <c r="R541" s="11">
        <f>_xlfn.XLOOKUP(TableDailySummary[[#This Row],[Fecha]],SummaryDaily[day],SummaryDaily[Rappi_net_sales],0)</f>
        <v>0</v>
      </c>
      <c r="S541" s="11">
        <f>_xlfn.XLOOKUP(TableDailySummary[[#This Row],[Fecha]],SummaryDaily[day],SummaryDaily[Rappi_orders],0)</f>
        <v>0</v>
      </c>
      <c r="T541" s="11">
        <f>_xlfn.XLOOKUP(TableDailySummary[[#This Row],[Fecha]],SummaryDaily[day],SummaryDaily[Rappi_average_order_value],0)</f>
        <v>0</v>
      </c>
      <c r="U541" s="11">
        <f>_xlfn.XLOOKUP(TableDailySummary[[#This Row],[Fecha]],SummaryDaily[day],SummaryDaily[Corporativo no tienda_net_sales],0)</f>
        <v>0</v>
      </c>
      <c r="V541" s="11">
        <f>_xlfn.XLOOKUP(TableDailySummary[[#This Row],[Fecha]],SummaryDaily[day],SummaryDaily[Corporativo no tienda_orders],0)</f>
        <v>0</v>
      </c>
      <c r="W541" s="11">
        <f>_xlfn.XLOOKUP(TableDailySummary[[#This Row],[Fecha]],SummaryDaily[day],SummaryDaily[Corporativo no tienda_average_order_value],0)</f>
        <v>0</v>
      </c>
      <c r="X541" s="11">
        <f>_xlfn.XLOOKUP(TableDailySummary[[#This Row],[Fecha]],SummaryDaily[day],SummaryDaily[GoogleAdsOperation.Cost],0)</f>
        <v>0</v>
      </c>
      <c r="Y541" s="11">
        <f>SUMIFS(SalesByUTMDaily[google],SalesByUTMDaily[day],TableDailySummary[[#This Row],[Fecha]])</f>
        <v>0</v>
      </c>
      <c r="Z541" s="11">
        <f>_xlfn.XLOOKUP(TableDailySummary[[#This Row],[Fecha]],SummaryDaily[day],SummaryDaily[MetaAdsOperation.spend],0)</f>
        <v>0</v>
      </c>
      <c r="AA541" s="11">
        <f>SUMIFS(SalesByUTMDaily[facebook],SalesByUTMDaily[day],TableDailySummary[[#This Row],[Fecha]])</f>
        <v>0</v>
      </c>
      <c r="AB541" s="11">
        <f>TableDailySummary[[#This Row],[Inversión google ads]]+TableDailySummary[[#This Row],[Inversión meta ads]]</f>
        <v>0</v>
      </c>
      <c r="AC541" s="11">
        <f>TableDailySummary[[#This Row],[Ventas google ads]]+TableDailySummary[[#This Row],[Ventas meta ads]]</f>
        <v>0</v>
      </c>
      <c r="AD541" s="14">
        <f>IFERROR(TableDailySummary[[#This Row],[Ventas publicidad]]/TableDailySummary[[#This Row],[Inversión publicidad]],0)</f>
        <v>0</v>
      </c>
      <c r="AE541" s="14">
        <f>IFERROR(TableDailySummary[[#This Row],[Ventas primer cliente]]/TableDailySummary[[#This Row],[Inversión publicidad]],0)</f>
        <v>0</v>
      </c>
      <c r="AF541" s="14"/>
      <c r="AG541" s="11"/>
      <c r="AM541" s="11">
        <f>_xlfn.XLOOKUP(TableDailySummary[[#This Row],[Fecha]],SummaryDaily[day],SummaryDaily[net_sales_with_cost_recorded],0)</f>
        <v>0</v>
      </c>
      <c r="AN541" s="11">
        <f>_xlfn.XLOOKUP(TableDailySummary[[#This Row],[Fecha]],SummaryDaily[day],SummaryDaily[cost_of_goods_sold],0)</f>
        <v>0</v>
      </c>
      <c r="AO541" s="11">
        <f>_xlfn.XLOOKUP(TableDailySummary[[#This Row],[Fecha]],SummaryDaily[day],SummaryDaily[gross_profit],0)</f>
        <v>0</v>
      </c>
      <c r="AP541" s="18">
        <f>IFERROR(TableDailySummary[[#This Row],[Utilidad bruta]]/TableDailySummary[[#This Row],[Ventas netas con costo registrado]],0)</f>
        <v>0</v>
      </c>
    </row>
    <row r="542" spans="2:42" x14ac:dyDescent="0.2">
      <c r="B542" s="15" cm="1">
        <f t="array" ref="B542">ParamFechaInicioReporte + (ROW(TableDailySummary[#This Row]) - ROW(TableDailySummary[[#Headers],[Dia]]) - 1)</f>
        <v>45069</v>
      </c>
      <c r="C542" s="6">
        <f>TableDailySummary[[#This Row],[Dia]]</f>
        <v>45069</v>
      </c>
      <c r="D542" s="11">
        <f>_xlfn.XLOOKUP(TableDailySummary[[#This Row],[Fecha]],SummaryDaily[day],SummaryDaily[net_sales],0)</f>
        <v>0</v>
      </c>
      <c r="E542" s="11">
        <f>_xlfn.XLOOKUP(TableDailySummary[[#This Row],[Fecha]],SummaryDaily[day],SummaryDaily[orders],0)</f>
        <v>0</v>
      </c>
      <c r="F542" s="11">
        <f>_xlfn.XLOOKUP(TableDailySummary[[#This Row],[Fecha]],SummaryDaily[day],SummaryDaily[average_order_value],0)</f>
        <v>0</v>
      </c>
      <c r="G542" s="24" cm="1">
        <f t="array" ref="G542">_xlfn.XLOOKUP(TableDailySummary[[#This Row],[Fecha]]&amp;"Total site",ConversionRateByReferral[day]&amp;ConversionRateByReferral[referrer_source],ConversionRateByReferral[conversion_rate],0)</f>
        <v>0</v>
      </c>
      <c r="H542" s="11">
        <f>TableDailySummary[[#This Row],[Órden promedio totales]]*TableDailySummary[[#This Row],[CR totales]]</f>
        <v>0</v>
      </c>
      <c r="I542" s="11">
        <f>_xlfn.XLOOKUP(TableDailySummary[[#This Row],[Fecha]],SummaryDaily[day],SummaryDaily[new_net_sales],0)</f>
        <v>0</v>
      </c>
      <c r="J542" s="11">
        <f>_xlfn.XLOOKUP(TableDailySummary[[#This Row],[Fecha]],SummaryDaily[day],SummaryDaily[new_orders],0)</f>
        <v>0</v>
      </c>
      <c r="K542" s="11">
        <f>_xlfn.XLOOKUP(TableDailySummary[[#This Row],[Fecha]],SummaryDaily[day],SummaryDaily[new_average_order_value],0)</f>
        <v>0</v>
      </c>
      <c r="L542" s="11">
        <f>_xlfn.XLOOKUP(TableDailySummary[[#This Row],[Fecha]],SummaryDaily[day],SummaryDaily[Online Store_net_sales],0)</f>
        <v>0</v>
      </c>
      <c r="M542" s="11">
        <f>_xlfn.XLOOKUP(TableDailySummary[[#This Row],[Fecha]],SummaryDaily[day],SummaryDaily[Online Store_orders],0)</f>
        <v>0</v>
      </c>
      <c r="N542" s="11">
        <f>_xlfn.XLOOKUP(TableDailySummary[[#This Row],[Fecha]],SummaryDaily[day],SummaryDaily[Online Store_average_order_value],0)</f>
        <v>0</v>
      </c>
      <c r="O542" s="11">
        <f>_xlfn.XLOOKUP(TableDailySummary[[#This Row],[Fecha]],SummaryDaily[day],SummaryDaily[Tienda 81_net_sales],0)</f>
        <v>0</v>
      </c>
      <c r="P542" s="11">
        <f>_xlfn.XLOOKUP(TableDailySummary[[#This Row],[Fecha]],SummaryDaily[day],SummaryDaily[Tienda 81_orders],0)</f>
        <v>0</v>
      </c>
      <c r="Q542" s="11">
        <f>_xlfn.XLOOKUP(TableDailySummary[[#This Row],[Fecha]],SummaryDaily[day],SummaryDaily[Tienda 81_average_order_value],0)</f>
        <v>0</v>
      </c>
      <c r="R542" s="11">
        <f>_xlfn.XLOOKUP(TableDailySummary[[#This Row],[Fecha]],SummaryDaily[day],SummaryDaily[Rappi_net_sales],0)</f>
        <v>0</v>
      </c>
      <c r="S542" s="11">
        <f>_xlfn.XLOOKUP(TableDailySummary[[#This Row],[Fecha]],SummaryDaily[day],SummaryDaily[Rappi_orders],0)</f>
        <v>0</v>
      </c>
      <c r="T542" s="11">
        <f>_xlfn.XLOOKUP(TableDailySummary[[#This Row],[Fecha]],SummaryDaily[day],SummaryDaily[Rappi_average_order_value],0)</f>
        <v>0</v>
      </c>
      <c r="U542" s="11">
        <f>_xlfn.XLOOKUP(TableDailySummary[[#This Row],[Fecha]],SummaryDaily[day],SummaryDaily[Corporativo no tienda_net_sales],0)</f>
        <v>0</v>
      </c>
      <c r="V542" s="11">
        <f>_xlfn.XLOOKUP(TableDailySummary[[#This Row],[Fecha]],SummaryDaily[day],SummaryDaily[Corporativo no tienda_orders],0)</f>
        <v>0</v>
      </c>
      <c r="W542" s="11">
        <f>_xlfn.XLOOKUP(TableDailySummary[[#This Row],[Fecha]],SummaryDaily[day],SummaryDaily[Corporativo no tienda_average_order_value],0)</f>
        <v>0</v>
      </c>
      <c r="X542" s="11">
        <f>_xlfn.XLOOKUP(TableDailySummary[[#This Row],[Fecha]],SummaryDaily[day],SummaryDaily[GoogleAdsOperation.Cost],0)</f>
        <v>0</v>
      </c>
      <c r="Y542" s="11">
        <f>SUMIFS(SalesByUTMDaily[google],SalesByUTMDaily[day],TableDailySummary[[#This Row],[Fecha]])</f>
        <v>0</v>
      </c>
      <c r="Z542" s="11">
        <f>_xlfn.XLOOKUP(TableDailySummary[[#This Row],[Fecha]],SummaryDaily[day],SummaryDaily[MetaAdsOperation.spend],0)</f>
        <v>0</v>
      </c>
      <c r="AA542" s="11">
        <f>SUMIFS(SalesByUTMDaily[facebook],SalesByUTMDaily[day],TableDailySummary[[#This Row],[Fecha]])</f>
        <v>0</v>
      </c>
      <c r="AB542" s="11">
        <f>TableDailySummary[[#This Row],[Inversión google ads]]+TableDailySummary[[#This Row],[Inversión meta ads]]</f>
        <v>0</v>
      </c>
      <c r="AC542" s="11">
        <f>TableDailySummary[[#This Row],[Ventas google ads]]+TableDailySummary[[#This Row],[Ventas meta ads]]</f>
        <v>0</v>
      </c>
      <c r="AD542" s="14">
        <f>IFERROR(TableDailySummary[[#This Row],[Ventas publicidad]]/TableDailySummary[[#This Row],[Inversión publicidad]],0)</f>
        <v>0</v>
      </c>
      <c r="AE542" s="14">
        <f>IFERROR(TableDailySummary[[#This Row],[Ventas primer cliente]]/TableDailySummary[[#This Row],[Inversión publicidad]],0)</f>
        <v>0</v>
      </c>
      <c r="AF542" s="14"/>
      <c r="AG542" s="11"/>
      <c r="AM542" s="11">
        <f>_xlfn.XLOOKUP(TableDailySummary[[#This Row],[Fecha]],SummaryDaily[day],SummaryDaily[net_sales_with_cost_recorded],0)</f>
        <v>0</v>
      </c>
      <c r="AN542" s="11">
        <f>_xlfn.XLOOKUP(TableDailySummary[[#This Row],[Fecha]],SummaryDaily[day],SummaryDaily[cost_of_goods_sold],0)</f>
        <v>0</v>
      </c>
      <c r="AO542" s="11">
        <f>_xlfn.XLOOKUP(TableDailySummary[[#This Row],[Fecha]],SummaryDaily[day],SummaryDaily[gross_profit],0)</f>
        <v>0</v>
      </c>
      <c r="AP542" s="18">
        <f>IFERROR(TableDailySummary[[#This Row],[Utilidad bruta]]/TableDailySummary[[#This Row],[Ventas netas con costo registrado]],0)</f>
        <v>0</v>
      </c>
    </row>
    <row r="543" spans="2:42" x14ac:dyDescent="0.2">
      <c r="B543" s="15" cm="1">
        <f t="array" ref="B543">ParamFechaInicioReporte + (ROW(TableDailySummary[#This Row]) - ROW(TableDailySummary[[#Headers],[Dia]]) - 1)</f>
        <v>45070</v>
      </c>
      <c r="C543" s="6">
        <f>TableDailySummary[[#This Row],[Dia]]</f>
        <v>45070</v>
      </c>
      <c r="D543" s="11">
        <f>_xlfn.XLOOKUP(TableDailySummary[[#This Row],[Fecha]],SummaryDaily[day],SummaryDaily[net_sales],0)</f>
        <v>0</v>
      </c>
      <c r="E543" s="11">
        <f>_xlfn.XLOOKUP(TableDailySummary[[#This Row],[Fecha]],SummaryDaily[day],SummaryDaily[orders],0)</f>
        <v>0</v>
      </c>
      <c r="F543" s="11">
        <f>_xlfn.XLOOKUP(TableDailySummary[[#This Row],[Fecha]],SummaryDaily[day],SummaryDaily[average_order_value],0)</f>
        <v>0</v>
      </c>
      <c r="G543" s="24" cm="1">
        <f t="array" ref="G543">_xlfn.XLOOKUP(TableDailySummary[[#This Row],[Fecha]]&amp;"Total site",ConversionRateByReferral[day]&amp;ConversionRateByReferral[referrer_source],ConversionRateByReferral[conversion_rate],0)</f>
        <v>0</v>
      </c>
      <c r="H543" s="11">
        <f>TableDailySummary[[#This Row],[Órden promedio totales]]*TableDailySummary[[#This Row],[CR totales]]</f>
        <v>0</v>
      </c>
      <c r="I543" s="11">
        <f>_xlfn.XLOOKUP(TableDailySummary[[#This Row],[Fecha]],SummaryDaily[day],SummaryDaily[new_net_sales],0)</f>
        <v>0</v>
      </c>
      <c r="J543" s="11">
        <f>_xlfn.XLOOKUP(TableDailySummary[[#This Row],[Fecha]],SummaryDaily[day],SummaryDaily[new_orders],0)</f>
        <v>0</v>
      </c>
      <c r="K543" s="11">
        <f>_xlfn.XLOOKUP(TableDailySummary[[#This Row],[Fecha]],SummaryDaily[day],SummaryDaily[new_average_order_value],0)</f>
        <v>0</v>
      </c>
      <c r="L543" s="11">
        <f>_xlfn.XLOOKUP(TableDailySummary[[#This Row],[Fecha]],SummaryDaily[day],SummaryDaily[Online Store_net_sales],0)</f>
        <v>0</v>
      </c>
      <c r="M543" s="11">
        <f>_xlfn.XLOOKUP(TableDailySummary[[#This Row],[Fecha]],SummaryDaily[day],SummaryDaily[Online Store_orders],0)</f>
        <v>0</v>
      </c>
      <c r="N543" s="11">
        <f>_xlfn.XLOOKUP(TableDailySummary[[#This Row],[Fecha]],SummaryDaily[day],SummaryDaily[Online Store_average_order_value],0)</f>
        <v>0</v>
      </c>
      <c r="O543" s="11">
        <f>_xlfn.XLOOKUP(TableDailySummary[[#This Row],[Fecha]],SummaryDaily[day],SummaryDaily[Tienda 81_net_sales],0)</f>
        <v>0</v>
      </c>
      <c r="P543" s="11">
        <f>_xlfn.XLOOKUP(TableDailySummary[[#This Row],[Fecha]],SummaryDaily[day],SummaryDaily[Tienda 81_orders],0)</f>
        <v>0</v>
      </c>
      <c r="Q543" s="11">
        <f>_xlfn.XLOOKUP(TableDailySummary[[#This Row],[Fecha]],SummaryDaily[day],SummaryDaily[Tienda 81_average_order_value],0)</f>
        <v>0</v>
      </c>
      <c r="R543" s="11">
        <f>_xlfn.XLOOKUP(TableDailySummary[[#This Row],[Fecha]],SummaryDaily[day],SummaryDaily[Rappi_net_sales],0)</f>
        <v>0</v>
      </c>
      <c r="S543" s="11">
        <f>_xlfn.XLOOKUP(TableDailySummary[[#This Row],[Fecha]],SummaryDaily[day],SummaryDaily[Rappi_orders],0)</f>
        <v>0</v>
      </c>
      <c r="T543" s="11">
        <f>_xlfn.XLOOKUP(TableDailySummary[[#This Row],[Fecha]],SummaryDaily[day],SummaryDaily[Rappi_average_order_value],0)</f>
        <v>0</v>
      </c>
      <c r="U543" s="11">
        <f>_xlfn.XLOOKUP(TableDailySummary[[#This Row],[Fecha]],SummaryDaily[day],SummaryDaily[Corporativo no tienda_net_sales],0)</f>
        <v>0</v>
      </c>
      <c r="V543" s="11">
        <f>_xlfn.XLOOKUP(TableDailySummary[[#This Row],[Fecha]],SummaryDaily[day],SummaryDaily[Corporativo no tienda_orders],0)</f>
        <v>0</v>
      </c>
      <c r="W543" s="11">
        <f>_xlfn.XLOOKUP(TableDailySummary[[#This Row],[Fecha]],SummaryDaily[day],SummaryDaily[Corporativo no tienda_average_order_value],0)</f>
        <v>0</v>
      </c>
      <c r="X543" s="11">
        <f>_xlfn.XLOOKUP(TableDailySummary[[#This Row],[Fecha]],SummaryDaily[day],SummaryDaily[GoogleAdsOperation.Cost],0)</f>
        <v>0</v>
      </c>
      <c r="Y543" s="11">
        <f>SUMIFS(SalesByUTMDaily[google],SalesByUTMDaily[day],TableDailySummary[[#This Row],[Fecha]])</f>
        <v>0</v>
      </c>
      <c r="Z543" s="11">
        <f>_xlfn.XLOOKUP(TableDailySummary[[#This Row],[Fecha]],SummaryDaily[day],SummaryDaily[MetaAdsOperation.spend],0)</f>
        <v>0</v>
      </c>
      <c r="AA543" s="11">
        <f>SUMIFS(SalesByUTMDaily[facebook],SalesByUTMDaily[day],TableDailySummary[[#This Row],[Fecha]])</f>
        <v>0</v>
      </c>
      <c r="AB543" s="11">
        <f>TableDailySummary[[#This Row],[Inversión google ads]]+TableDailySummary[[#This Row],[Inversión meta ads]]</f>
        <v>0</v>
      </c>
      <c r="AC543" s="11">
        <f>TableDailySummary[[#This Row],[Ventas google ads]]+TableDailySummary[[#This Row],[Ventas meta ads]]</f>
        <v>0</v>
      </c>
      <c r="AD543" s="14">
        <f>IFERROR(TableDailySummary[[#This Row],[Ventas publicidad]]/TableDailySummary[[#This Row],[Inversión publicidad]],0)</f>
        <v>0</v>
      </c>
      <c r="AE543" s="14">
        <f>IFERROR(TableDailySummary[[#This Row],[Ventas primer cliente]]/TableDailySummary[[#This Row],[Inversión publicidad]],0)</f>
        <v>0</v>
      </c>
      <c r="AF543" s="14"/>
      <c r="AG543" s="11"/>
      <c r="AM543" s="11">
        <f>_xlfn.XLOOKUP(TableDailySummary[[#This Row],[Fecha]],SummaryDaily[day],SummaryDaily[net_sales_with_cost_recorded],0)</f>
        <v>0</v>
      </c>
      <c r="AN543" s="11">
        <f>_xlfn.XLOOKUP(TableDailySummary[[#This Row],[Fecha]],SummaryDaily[day],SummaryDaily[cost_of_goods_sold],0)</f>
        <v>0</v>
      </c>
      <c r="AO543" s="11">
        <f>_xlfn.XLOOKUP(TableDailySummary[[#This Row],[Fecha]],SummaryDaily[day],SummaryDaily[gross_profit],0)</f>
        <v>0</v>
      </c>
      <c r="AP543" s="18">
        <f>IFERROR(TableDailySummary[[#This Row],[Utilidad bruta]]/TableDailySummary[[#This Row],[Ventas netas con costo registrado]],0)</f>
        <v>0</v>
      </c>
    </row>
    <row r="544" spans="2:42" x14ac:dyDescent="0.2">
      <c r="B544" s="15" cm="1">
        <f t="array" ref="B544">ParamFechaInicioReporte + (ROW(TableDailySummary[#This Row]) - ROW(TableDailySummary[[#Headers],[Dia]]) - 1)</f>
        <v>45071</v>
      </c>
      <c r="C544" s="6">
        <f>TableDailySummary[[#This Row],[Dia]]</f>
        <v>45071</v>
      </c>
      <c r="D544" s="11">
        <f>_xlfn.XLOOKUP(TableDailySummary[[#This Row],[Fecha]],SummaryDaily[day],SummaryDaily[net_sales],0)</f>
        <v>0</v>
      </c>
      <c r="E544" s="11">
        <f>_xlfn.XLOOKUP(TableDailySummary[[#This Row],[Fecha]],SummaryDaily[day],SummaryDaily[orders],0)</f>
        <v>0</v>
      </c>
      <c r="F544" s="11">
        <f>_xlfn.XLOOKUP(TableDailySummary[[#This Row],[Fecha]],SummaryDaily[day],SummaryDaily[average_order_value],0)</f>
        <v>0</v>
      </c>
      <c r="G544" s="24" cm="1">
        <f t="array" ref="G544">_xlfn.XLOOKUP(TableDailySummary[[#This Row],[Fecha]]&amp;"Total site",ConversionRateByReferral[day]&amp;ConversionRateByReferral[referrer_source],ConversionRateByReferral[conversion_rate],0)</f>
        <v>0</v>
      </c>
      <c r="H544" s="11">
        <f>TableDailySummary[[#This Row],[Órden promedio totales]]*TableDailySummary[[#This Row],[CR totales]]</f>
        <v>0</v>
      </c>
      <c r="I544" s="11">
        <f>_xlfn.XLOOKUP(TableDailySummary[[#This Row],[Fecha]],SummaryDaily[day],SummaryDaily[new_net_sales],0)</f>
        <v>0</v>
      </c>
      <c r="J544" s="11">
        <f>_xlfn.XLOOKUP(TableDailySummary[[#This Row],[Fecha]],SummaryDaily[day],SummaryDaily[new_orders],0)</f>
        <v>0</v>
      </c>
      <c r="K544" s="11">
        <f>_xlfn.XLOOKUP(TableDailySummary[[#This Row],[Fecha]],SummaryDaily[day],SummaryDaily[new_average_order_value],0)</f>
        <v>0</v>
      </c>
      <c r="L544" s="11">
        <f>_xlfn.XLOOKUP(TableDailySummary[[#This Row],[Fecha]],SummaryDaily[day],SummaryDaily[Online Store_net_sales],0)</f>
        <v>0</v>
      </c>
      <c r="M544" s="11">
        <f>_xlfn.XLOOKUP(TableDailySummary[[#This Row],[Fecha]],SummaryDaily[day],SummaryDaily[Online Store_orders],0)</f>
        <v>0</v>
      </c>
      <c r="N544" s="11">
        <f>_xlfn.XLOOKUP(TableDailySummary[[#This Row],[Fecha]],SummaryDaily[day],SummaryDaily[Online Store_average_order_value],0)</f>
        <v>0</v>
      </c>
      <c r="O544" s="11">
        <f>_xlfn.XLOOKUP(TableDailySummary[[#This Row],[Fecha]],SummaryDaily[day],SummaryDaily[Tienda 81_net_sales],0)</f>
        <v>0</v>
      </c>
      <c r="P544" s="11">
        <f>_xlfn.XLOOKUP(TableDailySummary[[#This Row],[Fecha]],SummaryDaily[day],SummaryDaily[Tienda 81_orders],0)</f>
        <v>0</v>
      </c>
      <c r="Q544" s="11">
        <f>_xlfn.XLOOKUP(TableDailySummary[[#This Row],[Fecha]],SummaryDaily[day],SummaryDaily[Tienda 81_average_order_value],0)</f>
        <v>0</v>
      </c>
      <c r="R544" s="11">
        <f>_xlfn.XLOOKUP(TableDailySummary[[#This Row],[Fecha]],SummaryDaily[day],SummaryDaily[Rappi_net_sales],0)</f>
        <v>0</v>
      </c>
      <c r="S544" s="11">
        <f>_xlfn.XLOOKUP(TableDailySummary[[#This Row],[Fecha]],SummaryDaily[day],SummaryDaily[Rappi_orders],0)</f>
        <v>0</v>
      </c>
      <c r="T544" s="11">
        <f>_xlfn.XLOOKUP(TableDailySummary[[#This Row],[Fecha]],SummaryDaily[day],SummaryDaily[Rappi_average_order_value],0)</f>
        <v>0</v>
      </c>
      <c r="U544" s="11">
        <f>_xlfn.XLOOKUP(TableDailySummary[[#This Row],[Fecha]],SummaryDaily[day],SummaryDaily[Corporativo no tienda_net_sales],0)</f>
        <v>0</v>
      </c>
      <c r="V544" s="11">
        <f>_xlfn.XLOOKUP(TableDailySummary[[#This Row],[Fecha]],SummaryDaily[day],SummaryDaily[Corporativo no tienda_orders],0)</f>
        <v>0</v>
      </c>
      <c r="W544" s="11">
        <f>_xlfn.XLOOKUP(TableDailySummary[[#This Row],[Fecha]],SummaryDaily[day],SummaryDaily[Corporativo no tienda_average_order_value],0)</f>
        <v>0</v>
      </c>
      <c r="X544" s="11">
        <f>_xlfn.XLOOKUP(TableDailySummary[[#This Row],[Fecha]],SummaryDaily[day],SummaryDaily[GoogleAdsOperation.Cost],0)</f>
        <v>0</v>
      </c>
      <c r="Y544" s="11">
        <f>SUMIFS(SalesByUTMDaily[google],SalesByUTMDaily[day],TableDailySummary[[#This Row],[Fecha]])</f>
        <v>0</v>
      </c>
      <c r="Z544" s="11">
        <f>_xlfn.XLOOKUP(TableDailySummary[[#This Row],[Fecha]],SummaryDaily[day],SummaryDaily[MetaAdsOperation.spend],0)</f>
        <v>0</v>
      </c>
      <c r="AA544" s="11">
        <f>SUMIFS(SalesByUTMDaily[facebook],SalesByUTMDaily[day],TableDailySummary[[#This Row],[Fecha]])</f>
        <v>0</v>
      </c>
      <c r="AB544" s="11">
        <f>TableDailySummary[[#This Row],[Inversión google ads]]+TableDailySummary[[#This Row],[Inversión meta ads]]</f>
        <v>0</v>
      </c>
      <c r="AC544" s="11">
        <f>TableDailySummary[[#This Row],[Ventas google ads]]+TableDailySummary[[#This Row],[Ventas meta ads]]</f>
        <v>0</v>
      </c>
      <c r="AD544" s="14">
        <f>IFERROR(TableDailySummary[[#This Row],[Ventas publicidad]]/TableDailySummary[[#This Row],[Inversión publicidad]],0)</f>
        <v>0</v>
      </c>
      <c r="AE544" s="14">
        <f>IFERROR(TableDailySummary[[#This Row],[Ventas primer cliente]]/TableDailySummary[[#This Row],[Inversión publicidad]],0)</f>
        <v>0</v>
      </c>
      <c r="AF544" s="14"/>
      <c r="AG544" s="11"/>
      <c r="AM544" s="11">
        <f>_xlfn.XLOOKUP(TableDailySummary[[#This Row],[Fecha]],SummaryDaily[day],SummaryDaily[net_sales_with_cost_recorded],0)</f>
        <v>0</v>
      </c>
      <c r="AN544" s="11">
        <f>_xlfn.XLOOKUP(TableDailySummary[[#This Row],[Fecha]],SummaryDaily[day],SummaryDaily[cost_of_goods_sold],0)</f>
        <v>0</v>
      </c>
      <c r="AO544" s="11">
        <f>_xlfn.XLOOKUP(TableDailySummary[[#This Row],[Fecha]],SummaryDaily[day],SummaryDaily[gross_profit],0)</f>
        <v>0</v>
      </c>
      <c r="AP544" s="18">
        <f>IFERROR(TableDailySummary[[#This Row],[Utilidad bruta]]/TableDailySummary[[#This Row],[Ventas netas con costo registrado]],0)</f>
        <v>0</v>
      </c>
    </row>
    <row r="545" spans="2:42" x14ac:dyDescent="0.2">
      <c r="B545" s="15" cm="1">
        <f t="array" ref="B545">ParamFechaInicioReporte + (ROW(TableDailySummary[#This Row]) - ROW(TableDailySummary[[#Headers],[Dia]]) - 1)</f>
        <v>45072</v>
      </c>
      <c r="C545" s="6">
        <f>TableDailySummary[[#This Row],[Dia]]</f>
        <v>45072</v>
      </c>
      <c r="D545" s="11">
        <f>_xlfn.XLOOKUP(TableDailySummary[[#This Row],[Fecha]],SummaryDaily[day],SummaryDaily[net_sales],0)</f>
        <v>0</v>
      </c>
      <c r="E545" s="11">
        <f>_xlfn.XLOOKUP(TableDailySummary[[#This Row],[Fecha]],SummaryDaily[day],SummaryDaily[orders],0)</f>
        <v>0</v>
      </c>
      <c r="F545" s="11">
        <f>_xlfn.XLOOKUP(TableDailySummary[[#This Row],[Fecha]],SummaryDaily[day],SummaryDaily[average_order_value],0)</f>
        <v>0</v>
      </c>
      <c r="G545" s="24" cm="1">
        <f t="array" ref="G545">_xlfn.XLOOKUP(TableDailySummary[[#This Row],[Fecha]]&amp;"Total site",ConversionRateByReferral[day]&amp;ConversionRateByReferral[referrer_source],ConversionRateByReferral[conversion_rate],0)</f>
        <v>0</v>
      </c>
      <c r="H545" s="11">
        <f>TableDailySummary[[#This Row],[Órden promedio totales]]*TableDailySummary[[#This Row],[CR totales]]</f>
        <v>0</v>
      </c>
      <c r="I545" s="11">
        <f>_xlfn.XLOOKUP(TableDailySummary[[#This Row],[Fecha]],SummaryDaily[day],SummaryDaily[new_net_sales],0)</f>
        <v>0</v>
      </c>
      <c r="J545" s="11">
        <f>_xlfn.XLOOKUP(TableDailySummary[[#This Row],[Fecha]],SummaryDaily[day],SummaryDaily[new_orders],0)</f>
        <v>0</v>
      </c>
      <c r="K545" s="11">
        <f>_xlfn.XLOOKUP(TableDailySummary[[#This Row],[Fecha]],SummaryDaily[day],SummaryDaily[new_average_order_value],0)</f>
        <v>0</v>
      </c>
      <c r="L545" s="11">
        <f>_xlfn.XLOOKUP(TableDailySummary[[#This Row],[Fecha]],SummaryDaily[day],SummaryDaily[Online Store_net_sales],0)</f>
        <v>0</v>
      </c>
      <c r="M545" s="11">
        <f>_xlfn.XLOOKUP(TableDailySummary[[#This Row],[Fecha]],SummaryDaily[day],SummaryDaily[Online Store_orders],0)</f>
        <v>0</v>
      </c>
      <c r="N545" s="11">
        <f>_xlfn.XLOOKUP(TableDailySummary[[#This Row],[Fecha]],SummaryDaily[day],SummaryDaily[Online Store_average_order_value],0)</f>
        <v>0</v>
      </c>
      <c r="O545" s="11">
        <f>_xlfn.XLOOKUP(TableDailySummary[[#This Row],[Fecha]],SummaryDaily[day],SummaryDaily[Tienda 81_net_sales],0)</f>
        <v>0</v>
      </c>
      <c r="P545" s="11">
        <f>_xlfn.XLOOKUP(TableDailySummary[[#This Row],[Fecha]],SummaryDaily[day],SummaryDaily[Tienda 81_orders],0)</f>
        <v>0</v>
      </c>
      <c r="Q545" s="11">
        <f>_xlfn.XLOOKUP(TableDailySummary[[#This Row],[Fecha]],SummaryDaily[day],SummaryDaily[Tienda 81_average_order_value],0)</f>
        <v>0</v>
      </c>
      <c r="R545" s="11">
        <f>_xlfn.XLOOKUP(TableDailySummary[[#This Row],[Fecha]],SummaryDaily[day],SummaryDaily[Rappi_net_sales],0)</f>
        <v>0</v>
      </c>
      <c r="S545" s="11">
        <f>_xlfn.XLOOKUP(TableDailySummary[[#This Row],[Fecha]],SummaryDaily[day],SummaryDaily[Rappi_orders],0)</f>
        <v>0</v>
      </c>
      <c r="T545" s="11">
        <f>_xlfn.XLOOKUP(TableDailySummary[[#This Row],[Fecha]],SummaryDaily[day],SummaryDaily[Rappi_average_order_value],0)</f>
        <v>0</v>
      </c>
      <c r="U545" s="11">
        <f>_xlfn.XLOOKUP(TableDailySummary[[#This Row],[Fecha]],SummaryDaily[day],SummaryDaily[Corporativo no tienda_net_sales],0)</f>
        <v>0</v>
      </c>
      <c r="V545" s="11">
        <f>_xlfn.XLOOKUP(TableDailySummary[[#This Row],[Fecha]],SummaryDaily[day],SummaryDaily[Corporativo no tienda_orders],0)</f>
        <v>0</v>
      </c>
      <c r="W545" s="11">
        <f>_xlfn.XLOOKUP(TableDailySummary[[#This Row],[Fecha]],SummaryDaily[day],SummaryDaily[Corporativo no tienda_average_order_value],0)</f>
        <v>0</v>
      </c>
      <c r="X545" s="11">
        <f>_xlfn.XLOOKUP(TableDailySummary[[#This Row],[Fecha]],SummaryDaily[day],SummaryDaily[GoogleAdsOperation.Cost],0)</f>
        <v>0</v>
      </c>
      <c r="Y545" s="11">
        <f>SUMIFS(SalesByUTMDaily[google],SalesByUTMDaily[day],TableDailySummary[[#This Row],[Fecha]])</f>
        <v>0</v>
      </c>
      <c r="Z545" s="11">
        <f>_xlfn.XLOOKUP(TableDailySummary[[#This Row],[Fecha]],SummaryDaily[day],SummaryDaily[MetaAdsOperation.spend],0)</f>
        <v>0</v>
      </c>
      <c r="AA545" s="11">
        <f>SUMIFS(SalesByUTMDaily[facebook],SalesByUTMDaily[day],TableDailySummary[[#This Row],[Fecha]])</f>
        <v>0</v>
      </c>
      <c r="AB545" s="11">
        <f>TableDailySummary[[#This Row],[Inversión google ads]]+TableDailySummary[[#This Row],[Inversión meta ads]]</f>
        <v>0</v>
      </c>
      <c r="AC545" s="11">
        <f>TableDailySummary[[#This Row],[Ventas google ads]]+TableDailySummary[[#This Row],[Ventas meta ads]]</f>
        <v>0</v>
      </c>
      <c r="AD545" s="14">
        <f>IFERROR(TableDailySummary[[#This Row],[Ventas publicidad]]/TableDailySummary[[#This Row],[Inversión publicidad]],0)</f>
        <v>0</v>
      </c>
      <c r="AE545" s="14">
        <f>IFERROR(TableDailySummary[[#This Row],[Ventas primer cliente]]/TableDailySummary[[#This Row],[Inversión publicidad]],0)</f>
        <v>0</v>
      </c>
      <c r="AF545" s="14"/>
      <c r="AG545" s="11"/>
      <c r="AM545" s="11">
        <f>_xlfn.XLOOKUP(TableDailySummary[[#This Row],[Fecha]],SummaryDaily[day],SummaryDaily[net_sales_with_cost_recorded],0)</f>
        <v>0</v>
      </c>
      <c r="AN545" s="11">
        <f>_xlfn.XLOOKUP(TableDailySummary[[#This Row],[Fecha]],SummaryDaily[day],SummaryDaily[cost_of_goods_sold],0)</f>
        <v>0</v>
      </c>
      <c r="AO545" s="11">
        <f>_xlfn.XLOOKUP(TableDailySummary[[#This Row],[Fecha]],SummaryDaily[day],SummaryDaily[gross_profit],0)</f>
        <v>0</v>
      </c>
      <c r="AP545" s="18">
        <f>IFERROR(TableDailySummary[[#This Row],[Utilidad bruta]]/TableDailySummary[[#This Row],[Ventas netas con costo registrado]],0)</f>
        <v>0</v>
      </c>
    </row>
    <row r="546" spans="2:42" x14ac:dyDescent="0.2">
      <c r="B546" s="15" cm="1">
        <f t="array" ref="B546">ParamFechaInicioReporte + (ROW(TableDailySummary[#This Row]) - ROW(TableDailySummary[[#Headers],[Dia]]) - 1)</f>
        <v>45073</v>
      </c>
      <c r="C546" s="6">
        <f>TableDailySummary[[#This Row],[Dia]]</f>
        <v>45073</v>
      </c>
      <c r="D546" s="11">
        <f>_xlfn.XLOOKUP(TableDailySummary[[#This Row],[Fecha]],SummaryDaily[day],SummaryDaily[net_sales],0)</f>
        <v>0</v>
      </c>
      <c r="E546" s="11">
        <f>_xlfn.XLOOKUP(TableDailySummary[[#This Row],[Fecha]],SummaryDaily[day],SummaryDaily[orders],0)</f>
        <v>0</v>
      </c>
      <c r="F546" s="11">
        <f>_xlfn.XLOOKUP(TableDailySummary[[#This Row],[Fecha]],SummaryDaily[day],SummaryDaily[average_order_value],0)</f>
        <v>0</v>
      </c>
      <c r="G546" s="24" cm="1">
        <f t="array" ref="G546">_xlfn.XLOOKUP(TableDailySummary[[#This Row],[Fecha]]&amp;"Total site",ConversionRateByReferral[day]&amp;ConversionRateByReferral[referrer_source],ConversionRateByReferral[conversion_rate],0)</f>
        <v>0</v>
      </c>
      <c r="H546" s="11">
        <f>TableDailySummary[[#This Row],[Órden promedio totales]]*TableDailySummary[[#This Row],[CR totales]]</f>
        <v>0</v>
      </c>
      <c r="I546" s="11">
        <f>_xlfn.XLOOKUP(TableDailySummary[[#This Row],[Fecha]],SummaryDaily[day],SummaryDaily[new_net_sales],0)</f>
        <v>0</v>
      </c>
      <c r="J546" s="11">
        <f>_xlfn.XLOOKUP(TableDailySummary[[#This Row],[Fecha]],SummaryDaily[day],SummaryDaily[new_orders],0)</f>
        <v>0</v>
      </c>
      <c r="K546" s="11">
        <f>_xlfn.XLOOKUP(TableDailySummary[[#This Row],[Fecha]],SummaryDaily[day],SummaryDaily[new_average_order_value],0)</f>
        <v>0</v>
      </c>
      <c r="L546" s="11">
        <f>_xlfn.XLOOKUP(TableDailySummary[[#This Row],[Fecha]],SummaryDaily[day],SummaryDaily[Online Store_net_sales],0)</f>
        <v>0</v>
      </c>
      <c r="M546" s="11">
        <f>_xlfn.XLOOKUP(TableDailySummary[[#This Row],[Fecha]],SummaryDaily[day],SummaryDaily[Online Store_orders],0)</f>
        <v>0</v>
      </c>
      <c r="N546" s="11">
        <f>_xlfn.XLOOKUP(TableDailySummary[[#This Row],[Fecha]],SummaryDaily[day],SummaryDaily[Online Store_average_order_value],0)</f>
        <v>0</v>
      </c>
      <c r="O546" s="11">
        <f>_xlfn.XLOOKUP(TableDailySummary[[#This Row],[Fecha]],SummaryDaily[day],SummaryDaily[Tienda 81_net_sales],0)</f>
        <v>0</v>
      </c>
      <c r="P546" s="11">
        <f>_xlfn.XLOOKUP(TableDailySummary[[#This Row],[Fecha]],SummaryDaily[day],SummaryDaily[Tienda 81_orders],0)</f>
        <v>0</v>
      </c>
      <c r="Q546" s="11">
        <f>_xlfn.XLOOKUP(TableDailySummary[[#This Row],[Fecha]],SummaryDaily[day],SummaryDaily[Tienda 81_average_order_value],0)</f>
        <v>0</v>
      </c>
      <c r="R546" s="11">
        <f>_xlfn.XLOOKUP(TableDailySummary[[#This Row],[Fecha]],SummaryDaily[day],SummaryDaily[Rappi_net_sales],0)</f>
        <v>0</v>
      </c>
      <c r="S546" s="11">
        <f>_xlfn.XLOOKUP(TableDailySummary[[#This Row],[Fecha]],SummaryDaily[day],SummaryDaily[Rappi_orders],0)</f>
        <v>0</v>
      </c>
      <c r="T546" s="11">
        <f>_xlfn.XLOOKUP(TableDailySummary[[#This Row],[Fecha]],SummaryDaily[day],SummaryDaily[Rappi_average_order_value],0)</f>
        <v>0</v>
      </c>
      <c r="U546" s="11">
        <f>_xlfn.XLOOKUP(TableDailySummary[[#This Row],[Fecha]],SummaryDaily[day],SummaryDaily[Corporativo no tienda_net_sales],0)</f>
        <v>0</v>
      </c>
      <c r="V546" s="11">
        <f>_xlfn.XLOOKUP(TableDailySummary[[#This Row],[Fecha]],SummaryDaily[day],SummaryDaily[Corporativo no tienda_orders],0)</f>
        <v>0</v>
      </c>
      <c r="W546" s="11">
        <f>_xlfn.XLOOKUP(TableDailySummary[[#This Row],[Fecha]],SummaryDaily[day],SummaryDaily[Corporativo no tienda_average_order_value],0)</f>
        <v>0</v>
      </c>
      <c r="X546" s="11">
        <f>_xlfn.XLOOKUP(TableDailySummary[[#This Row],[Fecha]],SummaryDaily[day],SummaryDaily[GoogleAdsOperation.Cost],0)</f>
        <v>0</v>
      </c>
      <c r="Y546" s="11">
        <f>SUMIFS(SalesByUTMDaily[google],SalesByUTMDaily[day],TableDailySummary[[#This Row],[Fecha]])</f>
        <v>0</v>
      </c>
      <c r="Z546" s="11">
        <f>_xlfn.XLOOKUP(TableDailySummary[[#This Row],[Fecha]],SummaryDaily[day],SummaryDaily[MetaAdsOperation.spend],0)</f>
        <v>0</v>
      </c>
      <c r="AA546" s="11">
        <f>SUMIFS(SalesByUTMDaily[facebook],SalesByUTMDaily[day],TableDailySummary[[#This Row],[Fecha]])</f>
        <v>0</v>
      </c>
      <c r="AB546" s="11">
        <f>TableDailySummary[[#This Row],[Inversión google ads]]+TableDailySummary[[#This Row],[Inversión meta ads]]</f>
        <v>0</v>
      </c>
      <c r="AC546" s="11">
        <f>TableDailySummary[[#This Row],[Ventas google ads]]+TableDailySummary[[#This Row],[Ventas meta ads]]</f>
        <v>0</v>
      </c>
      <c r="AD546" s="14">
        <f>IFERROR(TableDailySummary[[#This Row],[Ventas publicidad]]/TableDailySummary[[#This Row],[Inversión publicidad]],0)</f>
        <v>0</v>
      </c>
      <c r="AE546" s="14">
        <f>IFERROR(TableDailySummary[[#This Row],[Ventas primer cliente]]/TableDailySummary[[#This Row],[Inversión publicidad]],0)</f>
        <v>0</v>
      </c>
      <c r="AF546" s="14"/>
      <c r="AG546" s="11"/>
      <c r="AM546" s="11">
        <f>_xlfn.XLOOKUP(TableDailySummary[[#This Row],[Fecha]],SummaryDaily[day],SummaryDaily[net_sales_with_cost_recorded],0)</f>
        <v>0</v>
      </c>
      <c r="AN546" s="11">
        <f>_xlfn.XLOOKUP(TableDailySummary[[#This Row],[Fecha]],SummaryDaily[day],SummaryDaily[cost_of_goods_sold],0)</f>
        <v>0</v>
      </c>
      <c r="AO546" s="11">
        <f>_xlfn.XLOOKUP(TableDailySummary[[#This Row],[Fecha]],SummaryDaily[day],SummaryDaily[gross_profit],0)</f>
        <v>0</v>
      </c>
      <c r="AP546" s="18">
        <f>IFERROR(TableDailySummary[[#This Row],[Utilidad bruta]]/TableDailySummary[[#This Row],[Ventas netas con costo registrado]],0)</f>
        <v>0</v>
      </c>
    </row>
    <row r="547" spans="2:42" x14ac:dyDescent="0.2">
      <c r="B547" s="15" cm="1">
        <f t="array" ref="B547">ParamFechaInicioReporte + (ROW(TableDailySummary[#This Row]) - ROW(TableDailySummary[[#Headers],[Dia]]) - 1)</f>
        <v>45074</v>
      </c>
      <c r="C547" s="6">
        <f>TableDailySummary[[#This Row],[Dia]]</f>
        <v>45074</v>
      </c>
      <c r="D547" s="11">
        <f>_xlfn.XLOOKUP(TableDailySummary[[#This Row],[Fecha]],SummaryDaily[day],SummaryDaily[net_sales],0)</f>
        <v>0</v>
      </c>
      <c r="E547" s="11">
        <f>_xlfn.XLOOKUP(TableDailySummary[[#This Row],[Fecha]],SummaryDaily[day],SummaryDaily[orders],0)</f>
        <v>0</v>
      </c>
      <c r="F547" s="11">
        <f>_xlfn.XLOOKUP(TableDailySummary[[#This Row],[Fecha]],SummaryDaily[day],SummaryDaily[average_order_value],0)</f>
        <v>0</v>
      </c>
      <c r="G547" s="24" cm="1">
        <f t="array" ref="G547">_xlfn.XLOOKUP(TableDailySummary[[#This Row],[Fecha]]&amp;"Total site",ConversionRateByReferral[day]&amp;ConversionRateByReferral[referrer_source],ConversionRateByReferral[conversion_rate],0)</f>
        <v>0</v>
      </c>
      <c r="H547" s="11">
        <f>TableDailySummary[[#This Row],[Órden promedio totales]]*TableDailySummary[[#This Row],[CR totales]]</f>
        <v>0</v>
      </c>
      <c r="I547" s="11">
        <f>_xlfn.XLOOKUP(TableDailySummary[[#This Row],[Fecha]],SummaryDaily[day],SummaryDaily[new_net_sales],0)</f>
        <v>0</v>
      </c>
      <c r="J547" s="11">
        <f>_xlfn.XLOOKUP(TableDailySummary[[#This Row],[Fecha]],SummaryDaily[day],SummaryDaily[new_orders],0)</f>
        <v>0</v>
      </c>
      <c r="K547" s="11">
        <f>_xlfn.XLOOKUP(TableDailySummary[[#This Row],[Fecha]],SummaryDaily[day],SummaryDaily[new_average_order_value],0)</f>
        <v>0</v>
      </c>
      <c r="L547" s="11">
        <f>_xlfn.XLOOKUP(TableDailySummary[[#This Row],[Fecha]],SummaryDaily[day],SummaryDaily[Online Store_net_sales],0)</f>
        <v>0</v>
      </c>
      <c r="M547" s="11">
        <f>_xlfn.XLOOKUP(TableDailySummary[[#This Row],[Fecha]],SummaryDaily[day],SummaryDaily[Online Store_orders],0)</f>
        <v>0</v>
      </c>
      <c r="N547" s="11">
        <f>_xlfn.XLOOKUP(TableDailySummary[[#This Row],[Fecha]],SummaryDaily[day],SummaryDaily[Online Store_average_order_value],0)</f>
        <v>0</v>
      </c>
      <c r="O547" s="11">
        <f>_xlfn.XLOOKUP(TableDailySummary[[#This Row],[Fecha]],SummaryDaily[day],SummaryDaily[Tienda 81_net_sales],0)</f>
        <v>0</v>
      </c>
      <c r="P547" s="11">
        <f>_xlfn.XLOOKUP(TableDailySummary[[#This Row],[Fecha]],SummaryDaily[day],SummaryDaily[Tienda 81_orders],0)</f>
        <v>0</v>
      </c>
      <c r="Q547" s="11">
        <f>_xlfn.XLOOKUP(TableDailySummary[[#This Row],[Fecha]],SummaryDaily[day],SummaryDaily[Tienda 81_average_order_value],0)</f>
        <v>0</v>
      </c>
      <c r="R547" s="11">
        <f>_xlfn.XLOOKUP(TableDailySummary[[#This Row],[Fecha]],SummaryDaily[day],SummaryDaily[Rappi_net_sales],0)</f>
        <v>0</v>
      </c>
      <c r="S547" s="11">
        <f>_xlfn.XLOOKUP(TableDailySummary[[#This Row],[Fecha]],SummaryDaily[day],SummaryDaily[Rappi_orders],0)</f>
        <v>0</v>
      </c>
      <c r="T547" s="11">
        <f>_xlfn.XLOOKUP(TableDailySummary[[#This Row],[Fecha]],SummaryDaily[day],SummaryDaily[Rappi_average_order_value],0)</f>
        <v>0</v>
      </c>
      <c r="U547" s="11">
        <f>_xlfn.XLOOKUP(TableDailySummary[[#This Row],[Fecha]],SummaryDaily[day],SummaryDaily[Corporativo no tienda_net_sales],0)</f>
        <v>0</v>
      </c>
      <c r="V547" s="11">
        <f>_xlfn.XLOOKUP(TableDailySummary[[#This Row],[Fecha]],SummaryDaily[day],SummaryDaily[Corporativo no tienda_orders],0)</f>
        <v>0</v>
      </c>
      <c r="W547" s="11">
        <f>_xlfn.XLOOKUP(TableDailySummary[[#This Row],[Fecha]],SummaryDaily[day],SummaryDaily[Corporativo no tienda_average_order_value],0)</f>
        <v>0</v>
      </c>
      <c r="X547" s="11">
        <f>_xlfn.XLOOKUP(TableDailySummary[[#This Row],[Fecha]],SummaryDaily[day],SummaryDaily[GoogleAdsOperation.Cost],0)</f>
        <v>0</v>
      </c>
      <c r="Y547" s="11">
        <f>SUMIFS(SalesByUTMDaily[google],SalesByUTMDaily[day],TableDailySummary[[#This Row],[Fecha]])</f>
        <v>0</v>
      </c>
      <c r="Z547" s="11">
        <f>_xlfn.XLOOKUP(TableDailySummary[[#This Row],[Fecha]],SummaryDaily[day],SummaryDaily[MetaAdsOperation.spend],0)</f>
        <v>0</v>
      </c>
      <c r="AA547" s="11">
        <f>SUMIFS(SalesByUTMDaily[facebook],SalesByUTMDaily[day],TableDailySummary[[#This Row],[Fecha]])</f>
        <v>0</v>
      </c>
      <c r="AB547" s="11">
        <f>TableDailySummary[[#This Row],[Inversión google ads]]+TableDailySummary[[#This Row],[Inversión meta ads]]</f>
        <v>0</v>
      </c>
      <c r="AC547" s="11">
        <f>TableDailySummary[[#This Row],[Ventas google ads]]+TableDailySummary[[#This Row],[Ventas meta ads]]</f>
        <v>0</v>
      </c>
      <c r="AD547" s="14">
        <f>IFERROR(TableDailySummary[[#This Row],[Ventas publicidad]]/TableDailySummary[[#This Row],[Inversión publicidad]],0)</f>
        <v>0</v>
      </c>
      <c r="AE547" s="14">
        <f>IFERROR(TableDailySummary[[#This Row],[Ventas primer cliente]]/TableDailySummary[[#This Row],[Inversión publicidad]],0)</f>
        <v>0</v>
      </c>
      <c r="AF547" s="14"/>
      <c r="AG547" s="11"/>
      <c r="AM547" s="11">
        <f>_xlfn.XLOOKUP(TableDailySummary[[#This Row],[Fecha]],SummaryDaily[day],SummaryDaily[net_sales_with_cost_recorded],0)</f>
        <v>0</v>
      </c>
      <c r="AN547" s="11">
        <f>_xlfn.XLOOKUP(TableDailySummary[[#This Row],[Fecha]],SummaryDaily[day],SummaryDaily[cost_of_goods_sold],0)</f>
        <v>0</v>
      </c>
      <c r="AO547" s="11">
        <f>_xlfn.XLOOKUP(TableDailySummary[[#This Row],[Fecha]],SummaryDaily[day],SummaryDaily[gross_profit],0)</f>
        <v>0</v>
      </c>
      <c r="AP547" s="18">
        <f>IFERROR(TableDailySummary[[#This Row],[Utilidad bruta]]/TableDailySummary[[#This Row],[Ventas netas con costo registrado]],0)</f>
        <v>0</v>
      </c>
    </row>
    <row r="548" spans="2:42" x14ac:dyDescent="0.2">
      <c r="B548" s="15" cm="1">
        <f t="array" ref="B548">ParamFechaInicioReporte + (ROW(TableDailySummary[#This Row]) - ROW(TableDailySummary[[#Headers],[Dia]]) - 1)</f>
        <v>45075</v>
      </c>
      <c r="C548" s="6">
        <f>TableDailySummary[[#This Row],[Dia]]</f>
        <v>45075</v>
      </c>
      <c r="D548" s="11">
        <f>_xlfn.XLOOKUP(TableDailySummary[[#This Row],[Fecha]],SummaryDaily[day],SummaryDaily[net_sales],0)</f>
        <v>0</v>
      </c>
      <c r="E548" s="11">
        <f>_xlfn.XLOOKUP(TableDailySummary[[#This Row],[Fecha]],SummaryDaily[day],SummaryDaily[orders],0)</f>
        <v>0</v>
      </c>
      <c r="F548" s="11">
        <f>_xlfn.XLOOKUP(TableDailySummary[[#This Row],[Fecha]],SummaryDaily[day],SummaryDaily[average_order_value],0)</f>
        <v>0</v>
      </c>
      <c r="G548" s="24" cm="1">
        <f t="array" ref="G548">_xlfn.XLOOKUP(TableDailySummary[[#This Row],[Fecha]]&amp;"Total site",ConversionRateByReferral[day]&amp;ConversionRateByReferral[referrer_source],ConversionRateByReferral[conversion_rate],0)</f>
        <v>0</v>
      </c>
      <c r="H548" s="11">
        <f>TableDailySummary[[#This Row],[Órden promedio totales]]*TableDailySummary[[#This Row],[CR totales]]</f>
        <v>0</v>
      </c>
      <c r="I548" s="11">
        <f>_xlfn.XLOOKUP(TableDailySummary[[#This Row],[Fecha]],SummaryDaily[day],SummaryDaily[new_net_sales],0)</f>
        <v>0</v>
      </c>
      <c r="J548" s="11">
        <f>_xlfn.XLOOKUP(TableDailySummary[[#This Row],[Fecha]],SummaryDaily[day],SummaryDaily[new_orders],0)</f>
        <v>0</v>
      </c>
      <c r="K548" s="11">
        <f>_xlfn.XLOOKUP(TableDailySummary[[#This Row],[Fecha]],SummaryDaily[day],SummaryDaily[new_average_order_value],0)</f>
        <v>0</v>
      </c>
      <c r="L548" s="11">
        <f>_xlfn.XLOOKUP(TableDailySummary[[#This Row],[Fecha]],SummaryDaily[day],SummaryDaily[Online Store_net_sales],0)</f>
        <v>0</v>
      </c>
      <c r="M548" s="11">
        <f>_xlfn.XLOOKUP(TableDailySummary[[#This Row],[Fecha]],SummaryDaily[day],SummaryDaily[Online Store_orders],0)</f>
        <v>0</v>
      </c>
      <c r="N548" s="11">
        <f>_xlfn.XLOOKUP(TableDailySummary[[#This Row],[Fecha]],SummaryDaily[day],SummaryDaily[Online Store_average_order_value],0)</f>
        <v>0</v>
      </c>
      <c r="O548" s="11">
        <f>_xlfn.XLOOKUP(TableDailySummary[[#This Row],[Fecha]],SummaryDaily[day],SummaryDaily[Tienda 81_net_sales],0)</f>
        <v>0</v>
      </c>
      <c r="P548" s="11">
        <f>_xlfn.XLOOKUP(TableDailySummary[[#This Row],[Fecha]],SummaryDaily[day],SummaryDaily[Tienda 81_orders],0)</f>
        <v>0</v>
      </c>
      <c r="Q548" s="11">
        <f>_xlfn.XLOOKUP(TableDailySummary[[#This Row],[Fecha]],SummaryDaily[day],SummaryDaily[Tienda 81_average_order_value],0)</f>
        <v>0</v>
      </c>
      <c r="R548" s="11">
        <f>_xlfn.XLOOKUP(TableDailySummary[[#This Row],[Fecha]],SummaryDaily[day],SummaryDaily[Rappi_net_sales],0)</f>
        <v>0</v>
      </c>
      <c r="S548" s="11">
        <f>_xlfn.XLOOKUP(TableDailySummary[[#This Row],[Fecha]],SummaryDaily[day],SummaryDaily[Rappi_orders],0)</f>
        <v>0</v>
      </c>
      <c r="T548" s="11">
        <f>_xlfn.XLOOKUP(TableDailySummary[[#This Row],[Fecha]],SummaryDaily[day],SummaryDaily[Rappi_average_order_value],0)</f>
        <v>0</v>
      </c>
      <c r="U548" s="11">
        <f>_xlfn.XLOOKUP(TableDailySummary[[#This Row],[Fecha]],SummaryDaily[day],SummaryDaily[Corporativo no tienda_net_sales],0)</f>
        <v>0</v>
      </c>
      <c r="V548" s="11">
        <f>_xlfn.XLOOKUP(TableDailySummary[[#This Row],[Fecha]],SummaryDaily[day],SummaryDaily[Corporativo no tienda_orders],0)</f>
        <v>0</v>
      </c>
      <c r="W548" s="11">
        <f>_xlfn.XLOOKUP(TableDailySummary[[#This Row],[Fecha]],SummaryDaily[day],SummaryDaily[Corporativo no tienda_average_order_value],0)</f>
        <v>0</v>
      </c>
      <c r="X548" s="11">
        <f>_xlfn.XLOOKUP(TableDailySummary[[#This Row],[Fecha]],SummaryDaily[day],SummaryDaily[GoogleAdsOperation.Cost],0)</f>
        <v>0</v>
      </c>
      <c r="Y548" s="11">
        <f>SUMIFS(SalesByUTMDaily[google],SalesByUTMDaily[day],TableDailySummary[[#This Row],[Fecha]])</f>
        <v>0</v>
      </c>
      <c r="Z548" s="11">
        <f>_xlfn.XLOOKUP(TableDailySummary[[#This Row],[Fecha]],SummaryDaily[day],SummaryDaily[MetaAdsOperation.spend],0)</f>
        <v>0</v>
      </c>
      <c r="AA548" s="11">
        <f>SUMIFS(SalesByUTMDaily[facebook],SalesByUTMDaily[day],TableDailySummary[[#This Row],[Fecha]])</f>
        <v>0</v>
      </c>
      <c r="AB548" s="11">
        <f>TableDailySummary[[#This Row],[Inversión google ads]]+TableDailySummary[[#This Row],[Inversión meta ads]]</f>
        <v>0</v>
      </c>
      <c r="AC548" s="11">
        <f>TableDailySummary[[#This Row],[Ventas google ads]]+TableDailySummary[[#This Row],[Ventas meta ads]]</f>
        <v>0</v>
      </c>
      <c r="AD548" s="14">
        <f>IFERROR(TableDailySummary[[#This Row],[Ventas publicidad]]/TableDailySummary[[#This Row],[Inversión publicidad]],0)</f>
        <v>0</v>
      </c>
      <c r="AE548" s="14">
        <f>IFERROR(TableDailySummary[[#This Row],[Ventas primer cliente]]/TableDailySummary[[#This Row],[Inversión publicidad]],0)</f>
        <v>0</v>
      </c>
      <c r="AF548" s="14"/>
      <c r="AG548" s="11"/>
      <c r="AM548" s="11">
        <f>_xlfn.XLOOKUP(TableDailySummary[[#This Row],[Fecha]],SummaryDaily[day],SummaryDaily[net_sales_with_cost_recorded],0)</f>
        <v>0</v>
      </c>
      <c r="AN548" s="11">
        <f>_xlfn.XLOOKUP(TableDailySummary[[#This Row],[Fecha]],SummaryDaily[day],SummaryDaily[cost_of_goods_sold],0)</f>
        <v>0</v>
      </c>
      <c r="AO548" s="11">
        <f>_xlfn.XLOOKUP(TableDailySummary[[#This Row],[Fecha]],SummaryDaily[day],SummaryDaily[gross_profit],0)</f>
        <v>0</v>
      </c>
      <c r="AP548" s="18">
        <f>IFERROR(TableDailySummary[[#This Row],[Utilidad bruta]]/TableDailySummary[[#This Row],[Ventas netas con costo registrado]],0)</f>
        <v>0</v>
      </c>
    </row>
    <row r="549" spans="2:42" x14ac:dyDescent="0.2">
      <c r="B549" s="15" cm="1">
        <f t="array" ref="B549">ParamFechaInicioReporte + (ROW(TableDailySummary[#This Row]) - ROW(TableDailySummary[[#Headers],[Dia]]) - 1)</f>
        <v>45076</v>
      </c>
      <c r="C549" s="6">
        <f>TableDailySummary[[#This Row],[Dia]]</f>
        <v>45076</v>
      </c>
      <c r="D549" s="11">
        <f>_xlfn.XLOOKUP(TableDailySummary[[#This Row],[Fecha]],SummaryDaily[day],SummaryDaily[net_sales],0)</f>
        <v>0</v>
      </c>
      <c r="E549" s="11">
        <f>_xlfn.XLOOKUP(TableDailySummary[[#This Row],[Fecha]],SummaryDaily[day],SummaryDaily[orders],0)</f>
        <v>0</v>
      </c>
      <c r="F549" s="11">
        <f>_xlfn.XLOOKUP(TableDailySummary[[#This Row],[Fecha]],SummaryDaily[day],SummaryDaily[average_order_value],0)</f>
        <v>0</v>
      </c>
      <c r="G549" s="24" cm="1">
        <f t="array" ref="G549">_xlfn.XLOOKUP(TableDailySummary[[#This Row],[Fecha]]&amp;"Total site",ConversionRateByReferral[day]&amp;ConversionRateByReferral[referrer_source],ConversionRateByReferral[conversion_rate],0)</f>
        <v>0</v>
      </c>
      <c r="H549" s="11">
        <f>TableDailySummary[[#This Row],[Órden promedio totales]]*TableDailySummary[[#This Row],[CR totales]]</f>
        <v>0</v>
      </c>
      <c r="I549" s="11">
        <f>_xlfn.XLOOKUP(TableDailySummary[[#This Row],[Fecha]],SummaryDaily[day],SummaryDaily[new_net_sales],0)</f>
        <v>0</v>
      </c>
      <c r="J549" s="11">
        <f>_xlfn.XLOOKUP(TableDailySummary[[#This Row],[Fecha]],SummaryDaily[day],SummaryDaily[new_orders],0)</f>
        <v>0</v>
      </c>
      <c r="K549" s="11">
        <f>_xlfn.XLOOKUP(TableDailySummary[[#This Row],[Fecha]],SummaryDaily[day],SummaryDaily[new_average_order_value],0)</f>
        <v>0</v>
      </c>
      <c r="L549" s="11">
        <f>_xlfn.XLOOKUP(TableDailySummary[[#This Row],[Fecha]],SummaryDaily[day],SummaryDaily[Online Store_net_sales],0)</f>
        <v>0</v>
      </c>
      <c r="M549" s="11">
        <f>_xlfn.XLOOKUP(TableDailySummary[[#This Row],[Fecha]],SummaryDaily[day],SummaryDaily[Online Store_orders],0)</f>
        <v>0</v>
      </c>
      <c r="N549" s="11">
        <f>_xlfn.XLOOKUP(TableDailySummary[[#This Row],[Fecha]],SummaryDaily[day],SummaryDaily[Online Store_average_order_value],0)</f>
        <v>0</v>
      </c>
      <c r="O549" s="11">
        <f>_xlfn.XLOOKUP(TableDailySummary[[#This Row],[Fecha]],SummaryDaily[day],SummaryDaily[Tienda 81_net_sales],0)</f>
        <v>0</v>
      </c>
      <c r="P549" s="11">
        <f>_xlfn.XLOOKUP(TableDailySummary[[#This Row],[Fecha]],SummaryDaily[day],SummaryDaily[Tienda 81_orders],0)</f>
        <v>0</v>
      </c>
      <c r="Q549" s="11">
        <f>_xlfn.XLOOKUP(TableDailySummary[[#This Row],[Fecha]],SummaryDaily[day],SummaryDaily[Tienda 81_average_order_value],0)</f>
        <v>0</v>
      </c>
      <c r="R549" s="11">
        <f>_xlfn.XLOOKUP(TableDailySummary[[#This Row],[Fecha]],SummaryDaily[day],SummaryDaily[Rappi_net_sales],0)</f>
        <v>0</v>
      </c>
      <c r="S549" s="11">
        <f>_xlfn.XLOOKUP(TableDailySummary[[#This Row],[Fecha]],SummaryDaily[day],SummaryDaily[Rappi_orders],0)</f>
        <v>0</v>
      </c>
      <c r="T549" s="11">
        <f>_xlfn.XLOOKUP(TableDailySummary[[#This Row],[Fecha]],SummaryDaily[day],SummaryDaily[Rappi_average_order_value],0)</f>
        <v>0</v>
      </c>
      <c r="U549" s="11">
        <f>_xlfn.XLOOKUP(TableDailySummary[[#This Row],[Fecha]],SummaryDaily[day],SummaryDaily[Corporativo no tienda_net_sales],0)</f>
        <v>0</v>
      </c>
      <c r="V549" s="11">
        <f>_xlfn.XLOOKUP(TableDailySummary[[#This Row],[Fecha]],SummaryDaily[day],SummaryDaily[Corporativo no tienda_orders],0)</f>
        <v>0</v>
      </c>
      <c r="W549" s="11">
        <f>_xlfn.XLOOKUP(TableDailySummary[[#This Row],[Fecha]],SummaryDaily[day],SummaryDaily[Corporativo no tienda_average_order_value],0)</f>
        <v>0</v>
      </c>
      <c r="X549" s="11">
        <f>_xlfn.XLOOKUP(TableDailySummary[[#This Row],[Fecha]],SummaryDaily[day],SummaryDaily[GoogleAdsOperation.Cost],0)</f>
        <v>0</v>
      </c>
      <c r="Y549" s="11">
        <f>SUMIFS(SalesByUTMDaily[google],SalesByUTMDaily[day],TableDailySummary[[#This Row],[Fecha]])</f>
        <v>0</v>
      </c>
      <c r="Z549" s="11">
        <f>_xlfn.XLOOKUP(TableDailySummary[[#This Row],[Fecha]],SummaryDaily[day],SummaryDaily[MetaAdsOperation.spend],0)</f>
        <v>0</v>
      </c>
      <c r="AA549" s="11">
        <f>SUMIFS(SalesByUTMDaily[facebook],SalesByUTMDaily[day],TableDailySummary[[#This Row],[Fecha]])</f>
        <v>0</v>
      </c>
      <c r="AB549" s="11">
        <f>TableDailySummary[[#This Row],[Inversión google ads]]+TableDailySummary[[#This Row],[Inversión meta ads]]</f>
        <v>0</v>
      </c>
      <c r="AC549" s="11">
        <f>TableDailySummary[[#This Row],[Ventas google ads]]+TableDailySummary[[#This Row],[Ventas meta ads]]</f>
        <v>0</v>
      </c>
      <c r="AD549" s="14">
        <f>IFERROR(TableDailySummary[[#This Row],[Ventas publicidad]]/TableDailySummary[[#This Row],[Inversión publicidad]],0)</f>
        <v>0</v>
      </c>
      <c r="AE549" s="14">
        <f>IFERROR(TableDailySummary[[#This Row],[Ventas primer cliente]]/TableDailySummary[[#This Row],[Inversión publicidad]],0)</f>
        <v>0</v>
      </c>
      <c r="AF549" s="14"/>
      <c r="AG549" s="11"/>
      <c r="AM549" s="11">
        <f>_xlfn.XLOOKUP(TableDailySummary[[#This Row],[Fecha]],SummaryDaily[day],SummaryDaily[net_sales_with_cost_recorded],0)</f>
        <v>0</v>
      </c>
      <c r="AN549" s="11">
        <f>_xlfn.XLOOKUP(TableDailySummary[[#This Row],[Fecha]],SummaryDaily[day],SummaryDaily[cost_of_goods_sold],0)</f>
        <v>0</v>
      </c>
      <c r="AO549" s="11">
        <f>_xlfn.XLOOKUP(TableDailySummary[[#This Row],[Fecha]],SummaryDaily[day],SummaryDaily[gross_profit],0)</f>
        <v>0</v>
      </c>
      <c r="AP549" s="18">
        <f>IFERROR(TableDailySummary[[#This Row],[Utilidad bruta]]/TableDailySummary[[#This Row],[Ventas netas con costo registrado]],0)</f>
        <v>0</v>
      </c>
    </row>
    <row r="550" spans="2:42" x14ac:dyDescent="0.2">
      <c r="B550" s="15" cm="1">
        <f t="array" ref="B550">ParamFechaInicioReporte + (ROW(TableDailySummary[#This Row]) - ROW(TableDailySummary[[#Headers],[Dia]]) - 1)</f>
        <v>45077</v>
      </c>
      <c r="C550" s="6">
        <f>TableDailySummary[[#This Row],[Dia]]</f>
        <v>45077</v>
      </c>
      <c r="D550" s="11">
        <f>_xlfn.XLOOKUP(TableDailySummary[[#This Row],[Fecha]],SummaryDaily[day],SummaryDaily[net_sales],0)</f>
        <v>0</v>
      </c>
      <c r="E550" s="11">
        <f>_xlfn.XLOOKUP(TableDailySummary[[#This Row],[Fecha]],SummaryDaily[day],SummaryDaily[orders],0)</f>
        <v>0</v>
      </c>
      <c r="F550" s="11">
        <f>_xlfn.XLOOKUP(TableDailySummary[[#This Row],[Fecha]],SummaryDaily[day],SummaryDaily[average_order_value],0)</f>
        <v>0</v>
      </c>
      <c r="G550" s="24" cm="1">
        <f t="array" ref="G550">_xlfn.XLOOKUP(TableDailySummary[[#This Row],[Fecha]]&amp;"Total site",ConversionRateByReferral[day]&amp;ConversionRateByReferral[referrer_source],ConversionRateByReferral[conversion_rate],0)</f>
        <v>0</v>
      </c>
      <c r="H550" s="11">
        <f>TableDailySummary[[#This Row],[Órden promedio totales]]*TableDailySummary[[#This Row],[CR totales]]</f>
        <v>0</v>
      </c>
      <c r="I550" s="11">
        <f>_xlfn.XLOOKUP(TableDailySummary[[#This Row],[Fecha]],SummaryDaily[day],SummaryDaily[new_net_sales],0)</f>
        <v>0</v>
      </c>
      <c r="J550" s="11">
        <f>_xlfn.XLOOKUP(TableDailySummary[[#This Row],[Fecha]],SummaryDaily[day],SummaryDaily[new_orders],0)</f>
        <v>0</v>
      </c>
      <c r="K550" s="11">
        <f>_xlfn.XLOOKUP(TableDailySummary[[#This Row],[Fecha]],SummaryDaily[day],SummaryDaily[new_average_order_value],0)</f>
        <v>0</v>
      </c>
      <c r="L550" s="11">
        <f>_xlfn.XLOOKUP(TableDailySummary[[#This Row],[Fecha]],SummaryDaily[day],SummaryDaily[Online Store_net_sales],0)</f>
        <v>0</v>
      </c>
      <c r="M550" s="11">
        <f>_xlfn.XLOOKUP(TableDailySummary[[#This Row],[Fecha]],SummaryDaily[day],SummaryDaily[Online Store_orders],0)</f>
        <v>0</v>
      </c>
      <c r="N550" s="11">
        <f>_xlfn.XLOOKUP(TableDailySummary[[#This Row],[Fecha]],SummaryDaily[day],SummaryDaily[Online Store_average_order_value],0)</f>
        <v>0</v>
      </c>
      <c r="O550" s="11">
        <f>_xlfn.XLOOKUP(TableDailySummary[[#This Row],[Fecha]],SummaryDaily[day],SummaryDaily[Tienda 81_net_sales],0)</f>
        <v>0</v>
      </c>
      <c r="P550" s="11">
        <f>_xlfn.XLOOKUP(TableDailySummary[[#This Row],[Fecha]],SummaryDaily[day],SummaryDaily[Tienda 81_orders],0)</f>
        <v>0</v>
      </c>
      <c r="Q550" s="11">
        <f>_xlfn.XLOOKUP(TableDailySummary[[#This Row],[Fecha]],SummaryDaily[day],SummaryDaily[Tienda 81_average_order_value],0)</f>
        <v>0</v>
      </c>
      <c r="R550" s="11">
        <f>_xlfn.XLOOKUP(TableDailySummary[[#This Row],[Fecha]],SummaryDaily[day],SummaryDaily[Rappi_net_sales],0)</f>
        <v>0</v>
      </c>
      <c r="S550" s="11">
        <f>_xlfn.XLOOKUP(TableDailySummary[[#This Row],[Fecha]],SummaryDaily[day],SummaryDaily[Rappi_orders],0)</f>
        <v>0</v>
      </c>
      <c r="T550" s="11">
        <f>_xlfn.XLOOKUP(TableDailySummary[[#This Row],[Fecha]],SummaryDaily[day],SummaryDaily[Rappi_average_order_value],0)</f>
        <v>0</v>
      </c>
      <c r="U550" s="11">
        <f>_xlfn.XLOOKUP(TableDailySummary[[#This Row],[Fecha]],SummaryDaily[day],SummaryDaily[Corporativo no tienda_net_sales],0)</f>
        <v>0</v>
      </c>
      <c r="V550" s="11">
        <f>_xlfn.XLOOKUP(TableDailySummary[[#This Row],[Fecha]],SummaryDaily[day],SummaryDaily[Corporativo no tienda_orders],0)</f>
        <v>0</v>
      </c>
      <c r="W550" s="11">
        <f>_xlfn.XLOOKUP(TableDailySummary[[#This Row],[Fecha]],SummaryDaily[day],SummaryDaily[Corporativo no tienda_average_order_value],0)</f>
        <v>0</v>
      </c>
      <c r="X550" s="11">
        <f>_xlfn.XLOOKUP(TableDailySummary[[#This Row],[Fecha]],SummaryDaily[day],SummaryDaily[GoogleAdsOperation.Cost],0)</f>
        <v>0</v>
      </c>
      <c r="Y550" s="11">
        <f>SUMIFS(SalesByUTMDaily[google],SalesByUTMDaily[day],TableDailySummary[[#This Row],[Fecha]])</f>
        <v>0</v>
      </c>
      <c r="Z550" s="11">
        <f>_xlfn.XLOOKUP(TableDailySummary[[#This Row],[Fecha]],SummaryDaily[day],SummaryDaily[MetaAdsOperation.spend],0)</f>
        <v>0</v>
      </c>
      <c r="AA550" s="11">
        <f>SUMIFS(SalesByUTMDaily[facebook],SalesByUTMDaily[day],TableDailySummary[[#This Row],[Fecha]])</f>
        <v>0</v>
      </c>
      <c r="AB550" s="11">
        <f>TableDailySummary[[#This Row],[Inversión google ads]]+TableDailySummary[[#This Row],[Inversión meta ads]]</f>
        <v>0</v>
      </c>
      <c r="AC550" s="11">
        <f>TableDailySummary[[#This Row],[Ventas google ads]]+TableDailySummary[[#This Row],[Ventas meta ads]]</f>
        <v>0</v>
      </c>
      <c r="AD550" s="14">
        <f>IFERROR(TableDailySummary[[#This Row],[Ventas publicidad]]/TableDailySummary[[#This Row],[Inversión publicidad]],0)</f>
        <v>0</v>
      </c>
      <c r="AE550" s="14">
        <f>IFERROR(TableDailySummary[[#This Row],[Ventas primer cliente]]/TableDailySummary[[#This Row],[Inversión publicidad]],0)</f>
        <v>0</v>
      </c>
      <c r="AF550" s="14"/>
      <c r="AG550" s="11"/>
      <c r="AM550" s="11">
        <f>_xlfn.XLOOKUP(TableDailySummary[[#This Row],[Fecha]],SummaryDaily[day],SummaryDaily[net_sales_with_cost_recorded],0)</f>
        <v>0</v>
      </c>
      <c r="AN550" s="11">
        <f>_xlfn.XLOOKUP(TableDailySummary[[#This Row],[Fecha]],SummaryDaily[day],SummaryDaily[cost_of_goods_sold],0)</f>
        <v>0</v>
      </c>
      <c r="AO550" s="11">
        <f>_xlfn.XLOOKUP(TableDailySummary[[#This Row],[Fecha]],SummaryDaily[day],SummaryDaily[gross_profit],0)</f>
        <v>0</v>
      </c>
      <c r="AP550" s="18">
        <f>IFERROR(TableDailySummary[[#This Row],[Utilidad bruta]]/TableDailySummary[[#This Row],[Ventas netas con costo registrado]],0)</f>
        <v>0</v>
      </c>
    </row>
    <row r="551" spans="2:42" x14ac:dyDescent="0.2">
      <c r="B551" s="15" cm="1">
        <f t="array" ref="B551">ParamFechaInicioReporte + (ROW(TableDailySummary[#This Row]) - ROW(TableDailySummary[[#Headers],[Dia]]) - 1)</f>
        <v>45078</v>
      </c>
      <c r="C551" s="6">
        <f>TableDailySummary[[#This Row],[Dia]]</f>
        <v>45078</v>
      </c>
      <c r="D551" s="11">
        <f>_xlfn.XLOOKUP(TableDailySummary[[#This Row],[Fecha]],SummaryDaily[day],SummaryDaily[net_sales],0)</f>
        <v>0</v>
      </c>
      <c r="E551" s="11">
        <f>_xlfn.XLOOKUP(TableDailySummary[[#This Row],[Fecha]],SummaryDaily[day],SummaryDaily[orders],0)</f>
        <v>0</v>
      </c>
      <c r="F551" s="11">
        <f>_xlfn.XLOOKUP(TableDailySummary[[#This Row],[Fecha]],SummaryDaily[day],SummaryDaily[average_order_value],0)</f>
        <v>0</v>
      </c>
      <c r="G551" s="24" cm="1">
        <f t="array" ref="G551">_xlfn.XLOOKUP(TableDailySummary[[#This Row],[Fecha]]&amp;"Total site",ConversionRateByReferral[day]&amp;ConversionRateByReferral[referrer_source],ConversionRateByReferral[conversion_rate],0)</f>
        <v>0</v>
      </c>
      <c r="H551" s="11">
        <f>TableDailySummary[[#This Row],[Órden promedio totales]]*TableDailySummary[[#This Row],[CR totales]]</f>
        <v>0</v>
      </c>
      <c r="I551" s="11">
        <f>_xlfn.XLOOKUP(TableDailySummary[[#This Row],[Fecha]],SummaryDaily[day],SummaryDaily[new_net_sales],0)</f>
        <v>0</v>
      </c>
      <c r="J551" s="11">
        <f>_xlfn.XLOOKUP(TableDailySummary[[#This Row],[Fecha]],SummaryDaily[day],SummaryDaily[new_orders],0)</f>
        <v>0</v>
      </c>
      <c r="K551" s="11">
        <f>_xlfn.XLOOKUP(TableDailySummary[[#This Row],[Fecha]],SummaryDaily[day],SummaryDaily[new_average_order_value],0)</f>
        <v>0</v>
      </c>
      <c r="L551" s="11">
        <f>_xlfn.XLOOKUP(TableDailySummary[[#This Row],[Fecha]],SummaryDaily[day],SummaryDaily[Online Store_net_sales],0)</f>
        <v>0</v>
      </c>
      <c r="M551" s="11">
        <f>_xlfn.XLOOKUP(TableDailySummary[[#This Row],[Fecha]],SummaryDaily[day],SummaryDaily[Online Store_orders],0)</f>
        <v>0</v>
      </c>
      <c r="N551" s="11">
        <f>_xlfn.XLOOKUP(TableDailySummary[[#This Row],[Fecha]],SummaryDaily[day],SummaryDaily[Online Store_average_order_value],0)</f>
        <v>0</v>
      </c>
      <c r="O551" s="11">
        <f>_xlfn.XLOOKUP(TableDailySummary[[#This Row],[Fecha]],SummaryDaily[day],SummaryDaily[Tienda 81_net_sales],0)</f>
        <v>0</v>
      </c>
      <c r="P551" s="11">
        <f>_xlfn.XLOOKUP(TableDailySummary[[#This Row],[Fecha]],SummaryDaily[day],SummaryDaily[Tienda 81_orders],0)</f>
        <v>0</v>
      </c>
      <c r="Q551" s="11">
        <f>_xlfn.XLOOKUP(TableDailySummary[[#This Row],[Fecha]],SummaryDaily[day],SummaryDaily[Tienda 81_average_order_value],0)</f>
        <v>0</v>
      </c>
      <c r="R551" s="11">
        <f>_xlfn.XLOOKUP(TableDailySummary[[#This Row],[Fecha]],SummaryDaily[day],SummaryDaily[Rappi_net_sales],0)</f>
        <v>0</v>
      </c>
      <c r="S551" s="11">
        <f>_xlfn.XLOOKUP(TableDailySummary[[#This Row],[Fecha]],SummaryDaily[day],SummaryDaily[Rappi_orders],0)</f>
        <v>0</v>
      </c>
      <c r="T551" s="11">
        <f>_xlfn.XLOOKUP(TableDailySummary[[#This Row],[Fecha]],SummaryDaily[day],SummaryDaily[Rappi_average_order_value],0)</f>
        <v>0</v>
      </c>
      <c r="U551" s="11">
        <f>_xlfn.XLOOKUP(TableDailySummary[[#This Row],[Fecha]],SummaryDaily[day],SummaryDaily[Corporativo no tienda_net_sales],0)</f>
        <v>0</v>
      </c>
      <c r="V551" s="11">
        <f>_xlfn.XLOOKUP(TableDailySummary[[#This Row],[Fecha]],SummaryDaily[day],SummaryDaily[Corporativo no tienda_orders],0)</f>
        <v>0</v>
      </c>
      <c r="W551" s="11">
        <f>_xlfn.XLOOKUP(TableDailySummary[[#This Row],[Fecha]],SummaryDaily[day],SummaryDaily[Corporativo no tienda_average_order_value],0)</f>
        <v>0</v>
      </c>
      <c r="X551" s="11">
        <f>_xlfn.XLOOKUP(TableDailySummary[[#This Row],[Fecha]],SummaryDaily[day],SummaryDaily[GoogleAdsOperation.Cost],0)</f>
        <v>0</v>
      </c>
      <c r="Y551" s="11">
        <f>SUMIFS(SalesByUTMDaily[google],SalesByUTMDaily[day],TableDailySummary[[#This Row],[Fecha]])</f>
        <v>0</v>
      </c>
      <c r="Z551" s="11">
        <f>_xlfn.XLOOKUP(TableDailySummary[[#This Row],[Fecha]],SummaryDaily[day],SummaryDaily[MetaAdsOperation.spend],0)</f>
        <v>0</v>
      </c>
      <c r="AA551" s="11">
        <f>SUMIFS(SalesByUTMDaily[facebook],SalesByUTMDaily[day],TableDailySummary[[#This Row],[Fecha]])</f>
        <v>0</v>
      </c>
      <c r="AB551" s="11">
        <f>TableDailySummary[[#This Row],[Inversión google ads]]+TableDailySummary[[#This Row],[Inversión meta ads]]</f>
        <v>0</v>
      </c>
      <c r="AC551" s="11">
        <f>TableDailySummary[[#This Row],[Ventas google ads]]+TableDailySummary[[#This Row],[Ventas meta ads]]</f>
        <v>0</v>
      </c>
      <c r="AD551" s="14">
        <f>IFERROR(TableDailySummary[[#This Row],[Ventas publicidad]]/TableDailySummary[[#This Row],[Inversión publicidad]],0)</f>
        <v>0</v>
      </c>
      <c r="AE551" s="14">
        <f>IFERROR(TableDailySummary[[#This Row],[Ventas primer cliente]]/TableDailySummary[[#This Row],[Inversión publicidad]],0)</f>
        <v>0</v>
      </c>
      <c r="AF551" s="14"/>
      <c r="AG551" s="11"/>
      <c r="AM551" s="11">
        <f>_xlfn.XLOOKUP(TableDailySummary[[#This Row],[Fecha]],SummaryDaily[day],SummaryDaily[net_sales_with_cost_recorded],0)</f>
        <v>0</v>
      </c>
      <c r="AN551" s="11">
        <f>_xlfn.XLOOKUP(TableDailySummary[[#This Row],[Fecha]],SummaryDaily[day],SummaryDaily[cost_of_goods_sold],0)</f>
        <v>0</v>
      </c>
      <c r="AO551" s="11">
        <f>_xlfn.XLOOKUP(TableDailySummary[[#This Row],[Fecha]],SummaryDaily[day],SummaryDaily[gross_profit],0)</f>
        <v>0</v>
      </c>
      <c r="AP551" s="18">
        <f>IFERROR(TableDailySummary[[#This Row],[Utilidad bruta]]/TableDailySummary[[#This Row],[Ventas netas con costo registrado]],0)</f>
        <v>0</v>
      </c>
    </row>
    <row r="552" spans="2:42" x14ac:dyDescent="0.2">
      <c r="B552" s="15" cm="1">
        <f t="array" ref="B552">ParamFechaInicioReporte + (ROW(TableDailySummary[#This Row]) - ROW(TableDailySummary[[#Headers],[Dia]]) - 1)</f>
        <v>45079</v>
      </c>
      <c r="C552" s="6">
        <f>TableDailySummary[[#This Row],[Dia]]</f>
        <v>45079</v>
      </c>
      <c r="D552" s="11">
        <f>_xlfn.XLOOKUP(TableDailySummary[[#This Row],[Fecha]],SummaryDaily[day],SummaryDaily[net_sales],0)</f>
        <v>0</v>
      </c>
      <c r="E552" s="11">
        <f>_xlfn.XLOOKUP(TableDailySummary[[#This Row],[Fecha]],SummaryDaily[day],SummaryDaily[orders],0)</f>
        <v>0</v>
      </c>
      <c r="F552" s="11">
        <f>_xlfn.XLOOKUP(TableDailySummary[[#This Row],[Fecha]],SummaryDaily[day],SummaryDaily[average_order_value],0)</f>
        <v>0</v>
      </c>
      <c r="G552" s="24" cm="1">
        <f t="array" ref="G552">_xlfn.XLOOKUP(TableDailySummary[[#This Row],[Fecha]]&amp;"Total site",ConversionRateByReferral[day]&amp;ConversionRateByReferral[referrer_source],ConversionRateByReferral[conversion_rate],0)</f>
        <v>0</v>
      </c>
      <c r="H552" s="11">
        <f>TableDailySummary[[#This Row],[Órden promedio totales]]*TableDailySummary[[#This Row],[CR totales]]</f>
        <v>0</v>
      </c>
      <c r="I552" s="11">
        <f>_xlfn.XLOOKUP(TableDailySummary[[#This Row],[Fecha]],SummaryDaily[day],SummaryDaily[new_net_sales],0)</f>
        <v>0</v>
      </c>
      <c r="J552" s="11">
        <f>_xlfn.XLOOKUP(TableDailySummary[[#This Row],[Fecha]],SummaryDaily[day],SummaryDaily[new_orders],0)</f>
        <v>0</v>
      </c>
      <c r="K552" s="11">
        <f>_xlfn.XLOOKUP(TableDailySummary[[#This Row],[Fecha]],SummaryDaily[day],SummaryDaily[new_average_order_value],0)</f>
        <v>0</v>
      </c>
      <c r="L552" s="11">
        <f>_xlfn.XLOOKUP(TableDailySummary[[#This Row],[Fecha]],SummaryDaily[day],SummaryDaily[Online Store_net_sales],0)</f>
        <v>0</v>
      </c>
      <c r="M552" s="11">
        <f>_xlfn.XLOOKUP(TableDailySummary[[#This Row],[Fecha]],SummaryDaily[day],SummaryDaily[Online Store_orders],0)</f>
        <v>0</v>
      </c>
      <c r="N552" s="11">
        <f>_xlfn.XLOOKUP(TableDailySummary[[#This Row],[Fecha]],SummaryDaily[day],SummaryDaily[Online Store_average_order_value],0)</f>
        <v>0</v>
      </c>
      <c r="O552" s="11">
        <f>_xlfn.XLOOKUP(TableDailySummary[[#This Row],[Fecha]],SummaryDaily[day],SummaryDaily[Tienda 81_net_sales],0)</f>
        <v>0</v>
      </c>
      <c r="P552" s="11">
        <f>_xlfn.XLOOKUP(TableDailySummary[[#This Row],[Fecha]],SummaryDaily[day],SummaryDaily[Tienda 81_orders],0)</f>
        <v>0</v>
      </c>
      <c r="Q552" s="11">
        <f>_xlfn.XLOOKUP(TableDailySummary[[#This Row],[Fecha]],SummaryDaily[day],SummaryDaily[Tienda 81_average_order_value],0)</f>
        <v>0</v>
      </c>
      <c r="R552" s="11">
        <f>_xlfn.XLOOKUP(TableDailySummary[[#This Row],[Fecha]],SummaryDaily[day],SummaryDaily[Rappi_net_sales],0)</f>
        <v>0</v>
      </c>
      <c r="S552" s="11">
        <f>_xlfn.XLOOKUP(TableDailySummary[[#This Row],[Fecha]],SummaryDaily[day],SummaryDaily[Rappi_orders],0)</f>
        <v>0</v>
      </c>
      <c r="T552" s="11">
        <f>_xlfn.XLOOKUP(TableDailySummary[[#This Row],[Fecha]],SummaryDaily[day],SummaryDaily[Rappi_average_order_value],0)</f>
        <v>0</v>
      </c>
      <c r="U552" s="11">
        <f>_xlfn.XLOOKUP(TableDailySummary[[#This Row],[Fecha]],SummaryDaily[day],SummaryDaily[Corporativo no tienda_net_sales],0)</f>
        <v>0</v>
      </c>
      <c r="V552" s="11">
        <f>_xlfn.XLOOKUP(TableDailySummary[[#This Row],[Fecha]],SummaryDaily[day],SummaryDaily[Corporativo no tienda_orders],0)</f>
        <v>0</v>
      </c>
      <c r="W552" s="11">
        <f>_xlfn.XLOOKUP(TableDailySummary[[#This Row],[Fecha]],SummaryDaily[day],SummaryDaily[Corporativo no tienda_average_order_value],0)</f>
        <v>0</v>
      </c>
      <c r="X552" s="11">
        <f>_xlfn.XLOOKUP(TableDailySummary[[#This Row],[Fecha]],SummaryDaily[day],SummaryDaily[GoogleAdsOperation.Cost],0)</f>
        <v>0</v>
      </c>
      <c r="Y552" s="11">
        <f>SUMIFS(SalesByUTMDaily[google],SalesByUTMDaily[day],TableDailySummary[[#This Row],[Fecha]])</f>
        <v>0</v>
      </c>
      <c r="Z552" s="11">
        <f>_xlfn.XLOOKUP(TableDailySummary[[#This Row],[Fecha]],SummaryDaily[day],SummaryDaily[MetaAdsOperation.spend],0)</f>
        <v>0</v>
      </c>
      <c r="AA552" s="11">
        <f>SUMIFS(SalesByUTMDaily[facebook],SalesByUTMDaily[day],TableDailySummary[[#This Row],[Fecha]])</f>
        <v>0</v>
      </c>
      <c r="AB552" s="11">
        <f>TableDailySummary[[#This Row],[Inversión google ads]]+TableDailySummary[[#This Row],[Inversión meta ads]]</f>
        <v>0</v>
      </c>
      <c r="AC552" s="11">
        <f>TableDailySummary[[#This Row],[Ventas google ads]]+TableDailySummary[[#This Row],[Ventas meta ads]]</f>
        <v>0</v>
      </c>
      <c r="AD552" s="14">
        <f>IFERROR(TableDailySummary[[#This Row],[Ventas publicidad]]/TableDailySummary[[#This Row],[Inversión publicidad]],0)</f>
        <v>0</v>
      </c>
      <c r="AE552" s="14">
        <f>IFERROR(TableDailySummary[[#This Row],[Ventas primer cliente]]/TableDailySummary[[#This Row],[Inversión publicidad]],0)</f>
        <v>0</v>
      </c>
      <c r="AF552" s="14"/>
      <c r="AG552" s="11"/>
      <c r="AM552" s="11">
        <f>_xlfn.XLOOKUP(TableDailySummary[[#This Row],[Fecha]],SummaryDaily[day],SummaryDaily[net_sales_with_cost_recorded],0)</f>
        <v>0</v>
      </c>
      <c r="AN552" s="11">
        <f>_xlfn.XLOOKUP(TableDailySummary[[#This Row],[Fecha]],SummaryDaily[day],SummaryDaily[cost_of_goods_sold],0)</f>
        <v>0</v>
      </c>
      <c r="AO552" s="11">
        <f>_xlfn.XLOOKUP(TableDailySummary[[#This Row],[Fecha]],SummaryDaily[day],SummaryDaily[gross_profit],0)</f>
        <v>0</v>
      </c>
      <c r="AP552" s="18">
        <f>IFERROR(TableDailySummary[[#This Row],[Utilidad bruta]]/TableDailySummary[[#This Row],[Ventas netas con costo registrado]],0)</f>
        <v>0</v>
      </c>
    </row>
    <row r="553" spans="2:42" x14ac:dyDescent="0.2">
      <c r="B553" s="15" cm="1">
        <f t="array" ref="B553">ParamFechaInicioReporte + (ROW(TableDailySummary[#This Row]) - ROW(TableDailySummary[[#Headers],[Dia]]) - 1)</f>
        <v>45080</v>
      </c>
      <c r="C553" s="6">
        <f>TableDailySummary[[#This Row],[Dia]]</f>
        <v>45080</v>
      </c>
      <c r="D553" s="11">
        <f>_xlfn.XLOOKUP(TableDailySummary[[#This Row],[Fecha]],SummaryDaily[day],SummaryDaily[net_sales],0)</f>
        <v>0</v>
      </c>
      <c r="E553" s="11">
        <f>_xlfn.XLOOKUP(TableDailySummary[[#This Row],[Fecha]],SummaryDaily[day],SummaryDaily[orders],0)</f>
        <v>0</v>
      </c>
      <c r="F553" s="11">
        <f>_xlfn.XLOOKUP(TableDailySummary[[#This Row],[Fecha]],SummaryDaily[day],SummaryDaily[average_order_value],0)</f>
        <v>0</v>
      </c>
      <c r="G553" s="24" cm="1">
        <f t="array" ref="G553">_xlfn.XLOOKUP(TableDailySummary[[#This Row],[Fecha]]&amp;"Total site",ConversionRateByReferral[day]&amp;ConversionRateByReferral[referrer_source],ConversionRateByReferral[conversion_rate],0)</f>
        <v>0</v>
      </c>
      <c r="H553" s="11">
        <f>TableDailySummary[[#This Row],[Órden promedio totales]]*TableDailySummary[[#This Row],[CR totales]]</f>
        <v>0</v>
      </c>
      <c r="I553" s="11">
        <f>_xlfn.XLOOKUP(TableDailySummary[[#This Row],[Fecha]],SummaryDaily[day],SummaryDaily[new_net_sales],0)</f>
        <v>0</v>
      </c>
      <c r="J553" s="11">
        <f>_xlfn.XLOOKUP(TableDailySummary[[#This Row],[Fecha]],SummaryDaily[day],SummaryDaily[new_orders],0)</f>
        <v>0</v>
      </c>
      <c r="K553" s="11">
        <f>_xlfn.XLOOKUP(TableDailySummary[[#This Row],[Fecha]],SummaryDaily[day],SummaryDaily[new_average_order_value],0)</f>
        <v>0</v>
      </c>
      <c r="L553" s="11">
        <f>_xlfn.XLOOKUP(TableDailySummary[[#This Row],[Fecha]],SummaryDaily[day],SummaryDaily[Online Store_net_sales],0)</f>
        <v>0</v>
      </c>
      <c r="M553" s="11">
        <f>_xlfn.XLOOKUP(TableDailySummary[[#This Row],[Fecha]],SummaryDaily[day],SummaryDaily[Online Store_orders],0)</f>
        <v>0</v>
      </c>
      <c r="N553" s="11">
        <f>_xlfn.XLOOKUP(TableDailySummary[[#This Row],[Fecha]],SummaryDaily[day],SummaryDaily[Online Store_average_order_value],0)</f>
        <v>0</v>
      </c>
      <c r="O553" s="11">
        <f>_xlfn.XLOOKUP(TableDailySummary[[#This Row],[Fecha]],SummaryDaily[day],SummaryDaily[Tienda 81_net_sales],0)</f>
        <v>0</v>
      </c>
      <c r="P553" s="11">
        <f>_xlfn.XLOOKUP(TableDailySummary[[#This Row],[Fecha]],SummaryDaily[day],SummaryDaily[Tienda 81_orders],0)</f>
        <v>0</v>
      </c>
      <c r="Q553" s="11">
        <f>_xlfn.XLOOKUP(TableDailySummary[[#This Row],[Fecha]],SummaryDaily[day],SummaryDaily[Tienda 81_average_order_value],0)</f>
        <v>0</v>
      </c>
      <c r="R553" s="11">
        <f>_xlfn.XLOOKUP(TableDailySummary[[#This Row],[Fecha]],SummaryDaily[day],SummaryDaily[Rappi_net_sales],0)</f>
        <v>0</v>
      </c>
      <c r="S553" s="11">
        <f>_xlfn.XLOOKUP(TableDailySummary[[#This Row],[Fecha]],SummaryDaily[day],SummaryDaily[Rappi_orders],0)</f>
        <v>0</v>
      </c>
      <c r="T553" s="11">
        <f>_xlfn.XLOOKUP(TableDailySummary[[#This Row],[Fecha]],SummaryDaily[day],SummaryDaily[Rappi_average_order_value],0)</f>
        <v>0</v>
      </c>
      <c r="U553" s="11">
        <f>_xlfn.XLOOKUP(TableDailySummary[[#This Row],[Fecha]],SummaryDaily[day],SummaryDaily[Corporativo no tienda_net_sales],0)</f>
        <v>0</v>
      </c>
      <c r="V553" s="11">
        <f>_xlfn.XLOOKUP(TableDailySummary[[#This Row],[Fecha]],SummaryDaily[day],SummaryDaily[Corporativo no tienda_orders],0)</f>
        <v>0</v>
      </c>
      <c r="W553" s="11">
        <f>_xlfn.XLOOKUP(TableDailySummary[[#This Row],[Fecha]],SummaryDaily[day],SummaryDaily[Corporativo no tienda_average_order_value],0)</f>
        <v>0</v>
      </c>
      <c r="X553" s="11">
        <f>_xlfn.XLOOKUP(TableDailySummary[[#This Row],[Fecha]],SummaryDaily[day],SummaryDaily[GoogleAdsOperation.Cost],0)</f>
        <v>0</v>
      </c>
      <c r="Y553" s="11">
        <f>SUMIFS(SalesByUTMDaily[google],SalesByUTMDaily[day],TableDailySummary[[#This Row],[Fecha]])</f>
        <v>0</v>
      </c>
      <c r="Z553" s="11">
        <f>_xlfn.XLOOKUP(TableDailySummary[[#This Row],[Fecha]],SummaryDaily[day],SummaryDaily[MetaAdsOperation.spend],0)</f>
        <v>0</v>
      </c>
      <c r="AA553" s="11">
        <f>SUMIFS(SalesByUTMDaily[facebook],SalesByUTMDaily[day],TableDailySummary[[#This Row],[Fecha]])</f>
        <v>0</v>
      </c>
      <c r="AB553" s="11">
        <f>TableDailySummary[[#This Row],[Inversión google ads]]+TableDailySummary[[#This Row],[Inversión meta ads]]</f>
        <v>0</v>
      </c>
      <c r="AC553" s="11">
        <f>TableDailySummary[[#This Row],[Ventas google ads]]+TableDailySummary[[#This Row],[Ventas meta ads]]</f>
        <v>0</v>
      </c>
      <c r="AD553" s="14">
        <f>IFERROR(TableDailySummary[[#This Row],[Ventas publicidad]]/TableDailySummary[[#This Row],[Inversión publicidad]],0)</f>
        <v>0</v>
      </c>
      <c r="AE553" s="14">
        <f>IFERROR(TableDailySummary[[#This Row],[Ventas primer cliente]]/TableDailySummary[[#This Row],[Inversión publicidad]],0)</f>
        <v>0</v>
      </c>
      <c r="AF553" s="14"/>
      <c r="AG553" s="11"/>
      <c r="AM553" s="11">
        <f>_xlfn.XLOOKUP(TableDailySummary[[#This Row],[Fecha]],SummaryDaily[day],SummaryDaily[net_sales_with_cost_recorded],0)</f>
        <v>0</v>
      </c>
      <c r="AN553" s="11">
        <f>_xlfn.XLOOKUP(TableDailySummary[[#This Row],[Fecha]],SummaryDaily[day],SummaryDaily[cost_of_goods_sold],0)</f>
        <v>0</v>
      </c>
      <c r="AO553" s="11">
        <f>_xlfn.XLOOKUP(TableDailySummary[[#This Row],[Fecha]],SummaryDaily[day],SummaryDaily[gross_profit],0)</f>
        <v>0</v>
      </c>
      <c r="AP553" s="18">
        <f>IFERROR(TableDailySummary[[#This Row],[Utilidad bruta]]/TableDailySummary[[#This Row],[Ventas netas con costo registrado]],0)</f>
        <v>0</v>
      </c>
    </row>
    <row r="554" spans="2:42" x14ac:dyDescent="0.2">
      <c r="B554" s="15" cm="1">
        <f t="array" ref="B554">ParamFechaInicioReporte + (ROW(TableDailySummary[#This Row]) - ROW(TableDailySummary[[#Headers],[Dia]]) - 1)</f>
        <v>45081</v>
      </c>
      <c r="C554" s="6">
        <f>TableDailySummary[[#This Row],[Dia]]</f>
        <v>45081</v>
      </c>
      <c r="D554" s="11">
        <f>_xlfn.XLOOKUP(TableDailySummary[[#This Row],[Fecha]],SummaryDaily[day],SummaryDaily[net_sales],0)</f>
        <v>0</v>
      </c>
      <c r="E554" s="11">
        <f>_xlfn.XLOOKUP(TableDailySummary[[#This Row],[Fecha]],SummaryDaily[day],SummaryDaily[orders],0)</f>
        <v>0</v>
      </c>
      <c r="F554" s="11">
        <f>_xlfn.XLOOKUP(TableDailySummary[[#This Row],[Fecha]],SummaryDaily[day],SummaryDaily[average_order_value],0)</f>
        <v>0</v>
      </c>
      <c r="G554" s="24" cm="1">
        <f t="array" ref="G554">_xlfn.XLOOKUP(TableDailySummary[[#This Row],[Fecha]]&amp;"Total site",ConversionRateByReferral[day]&amp;ConversionRateByReferral[referrer_source],ConversionRateByReferral[conversion_rate],0)</f>
        <v>0</v>
      </c>
      <c r="H554" s="11">
        <f>TableDailySummary[[#This Row],[Órden promedio totales]]*TableDailySummary[[#This Row],[CR totales]]</f>
        <v>0</v>
      </c>
      <c r="I554" s="11">
        <f>_xlfn.XLOOKUP(TableDailySummary[[#This Row],[Fecha]],SummaryDaily[day],SummaryDaily[new_net_sales],0)</f>
        <v>0</v>
      </c>
      <c r="J554" s="11">
        <f>_xlfn.XLOOKUP(TableDailySummary[[#This Row],[Fecha]],SummaryDaily[day],SummaryDaily[new_orders],0)</f>
        <v>0</v>
      </c>
      <c r="K554" s="11">
        <f>_xlfn.XLOOKUP(TableDailySummary[[#This Row],[Fecha]],SummaryDaily[day],SummaryDaily[new_average_order_value],0)</f>
        <v>0</v>
      </c>
      <c r="L554" s="11">
        <f>_xlfn.XLOOKUP(TableDailySummary[[#This Row],[Fecha]],SummaryDaily[day],SummaryDaily[Online Store_net_sales],0)</f>
        <v>0</v>
      </c>
      <c r="M554" s="11">
        <f>_xlfn.XLOOKUP(TableDailySummary[[#This Row],[Fecha]],SummaryDaily[day],SummaryDaily[Online Store_orders],0)</f>
        <v>0</v>
      </c>
      <c r="N554" s="11">
        <f>_xlfn.XLOOKUP(TableDailySummary[[#This Row],[Fecha]],SummaryDaily[day],SummaryDaily[Online Store_average_order_value],0)</f>
        <v>0</v>
      </c>
      <c r="O554" s="11">
        <f>_xlfn.XLOOKUP(TableDailySummary[[#This Row],[Fecha]],SummaryDaily[day],SummaryDaily[Tienda 81_net_sales],0)</f>
        <v>0</v>
      </c>
      <c r="P554" s="11">
        <f>_xlfn.XLOOKUP(TableDailySummary[[#This Row],[Fecha]],SummaryDaily[day],SummaryDaily[Tienda 81_orders],0)</f>
        <v>0</v>
      </c>
      <c r="Q554" s="11">
        <f>_xlfn.XLOOKUP(TableDailySummary[[#This Row],[Fecha]],SummaryDaily[day],SummaryDaily[Tienda 81_average_order_value],0)</f>
        <v>0</v>
      </c>
      <c r="R554" s="11">
        <f>_xlfn.XLOOKUP(TableDailySummary[[#This Row],[Fecha]],SummaryDaily[day],SummaryDaily[Rappi_net_sales],0)</f>
        <v>0</v>
      </c>
      <c r="S554" s="11">
        <f>_xlfn.XLOOKUP(TableDailySummary[[#This Row],[Fecha]],SummaryDaily[day],SummaryDaily[Rappi_orders],0)</f>
        <v>0</v>
      </c>
      <c r="T554" s="11">
        <f>_xlfn.XLOOKUP(TableDailySummary[[#This Row],[Fecha]],SummaryDaily[day],SummaryDaily[Rappi_average_order_value],0)</f>
        <v>0</v>
      </c>
      <c r="U554" s="11">
        <f>_xlfn.XLOOKUP(TableDailySummary[[#This Row],[Fecha]],SummaryDaily[day],SummaryDaily[Corporativo no tienda_net_sales],0)</f>
        <v>0</v>
      </c>
      <c r="V554" s="11">
        <f>_xlfn.XLOOKUP(TableDailySummary[[#This Row],[Fecha]],SummaryDaily[day],SummaryDaily[Corporativo no tienda_orders],0)</f>
        <v>0</v>
      </c>
      <c r="W554" s="11">
        <f>_xlfn.XLOOKUP(TableDailySummary[[#This Row],[Fecha]],SummaryDaily[day],SummaryDaily[Corporativo no tienda_average_order_value],0)</f>
        <v>0</v>
      </c>
      <c r="X554" s="11">
        <f>_xlfn.XLOOKUP(TableDailySummary[[#This Row],[Fecha]],SummaryDaily[day],SummaryDaily[GoogleAdsOperation.Cost],0)</f>
        <v>0</v>
      </c>
      <c r="Y554" s="11">
        <f>SUMIFS(SalesByUTMDaily[google],SalesByUTMDaily[day],TableDailySummary[[#This Row],[Fecha]])</f>
        <v>0</v>
      </c>
      <c r="Z554" s="11">
        <f>_xlfn.XLOOKUP(TableDailySummary[[#This Row],[Fecha]],SummaryDaily[day],SummaryDaily[MetaAdsOperation.spend],0)</f>
        <v>0</v>
      </c>
      <c r="AA554" s="11">
        <f>SUMIFS(SalesByUTMDaily[facebook],SalesByUTMDaily[day],TableDailySummary[[#This Row],[Fecha]])</f>
        <v>0</v>
      </c>
      <c r="AB554" s="11">
        <f>TableDailySummary[[#This Row],[Inversión google ads]]+TableDailySummary[[#This Row],[Inversión meta ads]]</f>
        <v>0</v>
      </c>
      <c r="AC554" s="11">
        <f>TableDailySummary[[#This Row],[Ventas google ads]]+TableDailySummary[[#This Row],[Ventas meta ads]]</f>
        <v>0</v>
      </c>
      <c r="AD554" s="14">
        <f>IFERROR(TableDailySummary[[#This Row],[Ventas publicidad]]/TableDailySummary[[#This Row],[Inversión publicidad]],0)</f>
        <v>0</v>
      </c>
      <c r="AE554" s="14">
        <f>IFERROR(TableDailySummary[[#This Row],[Ventas primer cliente]]/TableDailySummary[[#This Row],[Inversión publicidad]],0)</f>
        <v>0</v>
      </c>
      <c r="AF554" s="14"/>
      <c r="AG554" s="11"/>
      <c r="AM554" s="11">
        <f>_xlfn.XLOOKUP(TableDailySummary[[#This Row],[Fecha]],SummaryDaily[day],SummaryDaily[net_sales_with_cost_recorded],0)</f>
        <v>0</v>
      </c>
      <c r="AN554" s="11">
        <f>_xlfn.XLOOKUP(TableDailySummary[[#This Row],[Fecha]],SummaryDaily[day],SummaryDaily[cost_of_goods_sold],0)</f>
        <v>0</v>
      </c>
      <c r="AO554" s="11">
        <f>_xlfn.XLOOKUP(TableDailySummary[[#This Row],[Fecha]],SummaryDaily[day],SummaryDaily[gross_profit],0)</f>
        <v>0</v>
      </c>
      <c r="AP554" s="18">
        <f>IFERROR(TableDailySummary[[#This Row],[Utilidad bruta]]/TableDailySummary[[#This Row],[Ventas netas con costo registrado]],0)</f>
        <v>0</v>
      </c>
    </row>
    <row r="555" spans="2:42" x14ac:dyDescent="0.2">
      <c r="B555" s="15" cm="1">
        <f t="array" ref="B555">ParamFechaInicioReporte + (ROW(TableDailySummary[#This Row]) - ROW(TableDailySummary[[#Headers],[Dia]]) - 1)</f>
        <v>45082</v>
      </c>
      <c r="C555" s="6">
        <f>TableDailySummary[[#This Row],[Dia]]</f>
        <v>45082</v>
      </c>
      <c r="D555" s="11">
        <f>_xlfn.XLOOKUP(TableDailySummary[[#This Row],[Fecha]],SummaryDaily[day],SummaryDaily[net_sales],0)</f>
        <v>0</v>
      </c>
      <c r="E555" s="11">
        <f>_xlfn.XLOOKUP(TableDailySummary[[#This Row],[Fecha]],SummaryDaily[day],SummaryDaily[orders],0)</f>
        <v>0</v>
      </c>
      <c r="F555" s="11">
        <f>_xlfn.XLOOKUP(TableDailySummary[[#This Row],[Fecha]],SummaryDaily[day],SummaryDaily[average_order_value],0)</f>
        <v>0</v>
      </c>
      <c r="G555" s="24" cm="1">
        <f t="array" ref="G555">_xlfn.XLOOKUP(TableDailySummary[[#This Row],[Fecha]]&amp;"Total site",ConversionRateByReferral[day]&amp;ConversionRateByReferral[referrer_source],ConversionRateByReferral[conversion_rate],0)</f>
        <v>0</v>
      </c>
      <c r="H555" s="11">
        <f>TableDailySummary[[#This Row],[Órden promedio totales]]*TableDailySummary[[#This Row],[CR totales]]</f>
        <v>0</v>
      </c>
      <c r="I555" s="11">
        <f>_xlfn.XLOOKUP(TableDailySummary[[#This Row],[Fecha]],SummaryDaily[day],SummaryDaily[new_net_sales],0)</f>
        <v>0</v>
      </c>
      <c r="J555" s="11">
        <f>_xlfn.XLOOKUP(TableDailySummary[[#This Row],[Fecha]],SummaryDaily[day],SummaryDaily[new_orders],0)</f>
        <v>0</v>
      </c>
      <c r="K555" s="11">
        <f>_xlfn.XLOOKUP(TableDailySummary[[#This Row],[Fecha]],SummaryDaily[day],SummaryDaily[new_average_order_value],0)</f>
        <v>0</v>
      </c>
      <c r="L555" s="11">
        <f>_xlfn.XLOOKUP(TableDailySummary[[#This Row],[Fecha]],SummaryDaily[day],SummaryDaily[Online Store_net_sales],0)</f>
        <v>0</v>
      </c>
      <c r="M555" s="11">
        <f>_xlfn.XLOOKUP(TableDailySummary[[#This Row],[Fecha]],SummaryDaily[day],SummaryDaily[Online Store_orders],0)</f>
        <v>0</v>
      </c>
      <c r="N555" s="11">
        <f>_xlfn.XLOOKUP(TableDailySummary[[#This Row],[Fecha]],SummaryDaily[day],SummaryDaily[Online Store_average_order_value],0)</f>
        <v>0</v>
      </c>
      <c r="O555" s="11">
        <f>_xlfn.XLOOKUP(TableDailySummary[[#This Row],[Fecha]],SummaryDaily[day],SummaryDaily[Tienda 81_net_sales],0)</f>
        <v>0</v>
      </c>
      <c r="P555" s="11">
        <f>_xlfn.XLOOKUP(TableDailySummary[[#This Row],[Fecha]],SummaryDaily[day],SummaryDaily[Tienda 81_orders],0)</f>
        <v>0</v>
      </c>
      <c r="Q555" s="11">
        <f>_xlfn.XLOOKUP(TableDailySummary[[#This Row],[Fecha]],SummaryDaily[day],SummaryDaily[Tienda 81_average_order_value],0)</f>
        <v>0</v>
      </c>
      <c r="R555" s="11">
        <f>_xlfn.XLOOKUP(TableDailySummary[[#This Row],[Fecha]],SummaryDaily[day],SummaryDaily[Rappi_net_sales],0)</f>
        <v>0</v>
      </c>
      <c r="S555" s="11">
        <f>_xlfn.XLOOKUP(TableDailySummary[[#This Row],[Fecha]],SummaryDaily[day],SummaryDaily[Rappi_orders],0)</f>
        <v>0</v>
      </c>
      <c r="T555" s="11">
        <f>_xlfn.XLOOKUP(TableDailySummary[[#This Row],[Fecha]],SummaryDaily[day],SummaryDaily[Rappi_average_order_value],0)</f>
        <v>0</v>
      </c>
      <c r="U555" s="11">
        <f>_xlfn.XLOOKUP(TableDailySummary[[#This Row],[Fecha]],SummaryDaily[day],SummaryDaily[Corporativo no tienda_net_sales],0)</f>
        <v>0</v>
      </c>
      <c r="V555" s="11">
        <f>_xlfn.XLOOKUP(TableDailySummary[[#This Row],[Fecha]],SummaryDaily[day],SummaryDaily[Corporativo no tienda_orders],0)</f>
        <v>0</v>
      </c>
      <c r="W555" s="11">
        <f>_xlfn.XLOOKUP(TableDailySummary[[#This Row],[Fecha]],SummaryDaily[day],SummaryDaily[Corporativo no tienda_average_order_value],0)</f>
        <v>0</v>
      </c>
      <c r="X555" s="11">
        <f>_xlfn.XLOOKUP(TableDailySummary[[#This Row],[Fecha]],SummaryDaily[day],SummaryDaily[GoogleAdsOperation.Cost],0)</f>
        <v>0</v>
      </c>
      <c r="Y555" s="11">
        <f>SUMIFS(SalesByUTMDaily[google],SalesByUTMDaily[day],TableDailySummary[[#This Row],[Fecha]])</f>
        <v>0</v>
      </c>
      <c r="Z555" s="11">
        <f>_xlfn.XLOOKUP(TableDailySummary[[#This Row],[Fecha]],SummaryDaily[day],SummaryDaily[MetaAdsOperation.spend],0)</f>
        <v>0</v>
      </c>
      <c r="AA555" s="11">
        <f>SUMIFS(SalesByUTMDaily[facebook],SalesByUTMDaily[day],TableDailySummary[[#This Row],[Fecha]])</f>
        <v>0</v>
      </c>
      <c r="AB555" s="11">
        <f>TableDailySummary[[#This Row],[Inversión google ads]]+TableDailySummary[[#This Row],[Inversión meta ads]]</f>
        <v>0</v>
      </c>
      <c r="AC555" s="11">
        <f>TableDailySummary[[#This Row],[Ventas google ads]]+TableDailySummary[[#This Row],[Ventas meta ads]]</f>
        <v>0</v>
      </c>
      <c r="AD555" s="14">
        <f>IFERROR(TableDailySummary[[#This Row],[Ventas publicidad]]/TableDailySummary[[#This Row],[Inversión publicidad]],0)</f>
        <v>0</v>
      </c>
      <c r="AE555" s="14">
        <f>IFERROR(TableDailySummary[[#This Row],[Ventas primer cliente]]/TableDailySummary[[#This Row],[Inversión publicidad]],0)</f>
        <v>0</v>
      </c>
      <c r="AF555" s="14"/>
      <c r="AG555" s="11"/>
      <c r="AM555" s="11">
        <f>_xlfn.XLOOKUP(TableDailySummary[[#This Row],[Fecha]],SummaryDaily[day],SummaryDaily[net_sales_with_cost_recorded],0)</f>
        <v>0</v>
      </c>
      <c r="AN555" s="11">
        <f>_xlfn.XLOOKUP(TableDailySummary[[#This Row],[Fecha]],SummaryDaily[day],SummaryDaily[cost_of_goods_sold],0)</f>
        <v>0</v>
      </c>
      <c r="AO555" s="11">
        <f>_xlfn.XLOOKUP(TableDailySummary[[#This Row],[Fecha]],SummaryDaily[day],SummaryDaily[gross_profit],0)</f>
        <v>0</v>
      </c>
      <c r="AP555" s="18">
        <f>IFERROR(TableDailySummary[[#This Row],[Utilidad bruta]]/TableDailySummary[[#This Row],[Ventas netas con costo registrado]],0)</f>
        <v>0</v>
      </c>
    </row>
    <row r="556" spans="2:42" x14ac:dyDescent="0.2">
      <c r="B556" s="15" cm="1">
        <f t="array" ref="B556">ParamFechaInicioReporte + (ROW(TableDailySummary[#This Row]) - ROW(TableDailySummary[[#Headers],[Dia]]) - 1)</f>
        <v>45083</v>
      </c>
      <c r="C556" s="6">
        <f>TableDailySummary[[#This Row],[Dia]]</f>
        <v>45083</v>
      </c>
      <c r="D556" s="11">
        <f>_xlfn.XLOOKUP(TableDailySummary[[#This Row],[Fecha]],SummaryDaily[day],SummaryDaily[net_sales],0)</f>
        <v>0</v>
      </c>
      <c r="E556" s="11">
        <f>_xlfn.XLOOKUP(TableDailySummary[[#This Row],[Fecha]],SummaryDaily[day],SummaryDaily[orders],0)</f>
        <v>0</v>
      </c>
      <c r="F556" s="11">
        <f>_xlfn.XLOOKUP(TableDailySummary[[#This Row],[Fecha]],SummaryDaily[day],SummaryDaily[average_order_value],0)</f>
        <v>0</v>
      </c>
      <c r="G556" s="24" cm="1">
        <f t="array" ref="G556">_xlfn.XLOOKUP(TableDailySummary[[#This Row],[Fecha]]&amp;"Total site",ConversionRateByReferral[day]&amp;ConversionRateByReferral[referrer_source],ConversionRateByReferral[conversion_rate],0)</f>
        <v>0</v>
      </c>
      <c r="H556" s="11">
        <f>TableDailySummary[[#This Row],[Órden promedio totales]]*TableDailySummary[[#This Row],[CR totales]]</f>
        <v>0</v>
      </c>
      <c r="I556" s="11">
        <f>_xlfn.XLOOKUP(TableDailySummary[[#This Row],[Fecha]],SummaryDaily[day],SummaryDaily[new_net_sales],0)</f>
        <v>0</v>
      </c>
      <c r="J556" s="11">
        <f>_xlfn.XLOOKUP(TableDailySummary[[#This Row],[Fecha]],SummaryDaily[day],SummaryDaily[new_orders],0)</f>
        <v>0</v>
      </c>
      <c r="K556" s="11">
        <f>_xlfn.XLOOKUP(TableDailySummary[[#This Row],[Fecha]],SummaryDaily[day],SummaryDaily[new_average_order_value],0)</f>
        <v>0</v>
      </c>
      <c r="L556" s="11">
        <f>_xlfn.XLOOKUP(TableDailySummary[[#This Row],[Fecha]],SummaryDaily[day],SummaryDaily[Online Store_net_sales],0)</f>
        <v>0</v>
      </c>
      <c r="M556" s="11">
        <f>_xlfn.XLOOKUP(TableDailySummary[[#This Row],[Fecha]],SummaryDaily[day],SummaryDaily[Online Store_orders],0)</f>
        <v>0</v>
      </c>
      <c r="N556" s="11">
        <f>_xlfn.XLOOKUP(TableDailySummary[[#This Row],[Fecha]],SummaryDaily[day],SummaryDaily[Online Store_average_order_value],0)</f>
        <v>0</v>
      </c>
      <c r="O556" s="11">
        <f>_xlfn.XLOOKUP(TableDailySummary[[#This Row],[Fecha]],SummaryDaily[day],SummaryDaily[Tienda 81_net_sales],0)</f>
        <v>0</v>
      </c>
      <c r="P556" s="11">
        <f>_xlfn.XLOOKUP(TableDailySummary[[#This Row],[Fecha]],SummaryDaily[day],SummaryDaily[Tienda 81_orders],0)</f>
        <v>0</v>
      </c>
      <c r="Q556" s="11">
        <f>_xlfn.XLOOKUP(TableDailySummary[[#This Row],[Fecha]],SummaryDaily[day],SummaryDaily[Tienda 81_average_order_value],0)</f>
        <v>0</v>
      </c>
      <c r="R556" s="11">
        <f>_xlfn.XLOOKUP(TableDailySummary[[#This Row],[Fecha]],SummaryDaily[day],SummaryDaily[Rappi_net_sales],0)</f>
        <v>0</v>
      </c>
      <c r="S556" s="11">
        <f>_xlfn.XLOOKUP(TableDailySummary[[#This Row],[Fecha]],SummaryDaily[day],SummaryDaily[Rappi_orders],0)</f>
        <v>0</v>
      </c>
      <c r="T556" s="11">
        <f>_xlfn.XLOOKUP(TableDailySummary[[#This Row],[Fecha]],SummaryDaily[day],SummaryDaily[Rappi_average_order_value],0)</f>
        <v>0</v>
      </c>
      <c r="U556" s="11">
        <f>_xlfn.XLOOKUP(TableDailySummary[[#This Row],[Fecha]],SummaryDaily[day],SummaryDaily[Corporativo no tienda_net_sales],0)</f>
        <v>0</v>
      </c>
      <c r="V556" s="11">
        <f>_xlfn.XLOOKUP(TableDailySummary[[#This Row],[Fecha]],SummaryDaily[day],SummaryDaily[Corporativo no tienda_orders],0)</f>
        <v>0</v>
      </c>
      <c r="W556" s="11">
        <f>_xlfn.XLOOKUP(TableDailySummary[[#This Row],[Fecha]],SummaryDaily[day],SummaryDaily[Corporativo no tienda_average_order_value],0)</f>
        <v>0</v>
      </c>
      <c r="X556" s="11">
        <f>_xlfn.XLOOKUP(TableDailySummary[[#This Row],[Fecha]],SummaryDaily[day],SummaryDaily[GoogleAdsOperation.Cost],0)</f>
        <v>0</v>
      </c>
      <c r="Y556" s="11">
        <f>SUMIFS(SalesByUTMDaily[google],SalesByUTMDaily[day],TableDailySummary[[#This Row],[Fecha]])</f>
        <v>0</v>
      </c>
      <c r="Z556" s="11">
        <f>_xlfn.XLOOKUP(TableDailySummary[[#This Row],[Fecha]],SummaryDaily[day],SummaryDaily[MetaAdsOperation.spend],0)</f>
        <v>0</v>
      </c>
      <c r="AA556" s="11">
        <f>SUMIFS(SalesByUTMDaily[facebook],SalesByUTMDaily[day],TableDailySummary[[#This Row],[Fecha]])</f>
        <v>0</v>
      </c>
      <c r="AB556" s="11">
        <f>TableDailySummary[[#This Row],[Inversión google ads]]+TableDailySummary[[#This Row],[Inversión meta ads]]</f>
        <v>0</v>
      </c>
      <c r="AC556" s="11">
        <f>TableDailySummary[[#This Row],[Ventas google ads]]+TableDailySummary[[#This Row],[Ventas meta ads]]</f>
        <v>0</v>
      </c>
      <c r="AD556" s="14">
        <f>IFERROR(TableDailySummary[[#This Row],[Ventas publicidad]]/TableDailySummary[[#This Row],[Inversión publicidad]],0)</f>
        <v>0</v>
      </c>
      <c r="AE556" s="14">
        <f>IFERROR(TableDailySummary[[#This Row],[Ventas primer cliente]]/TableDailySummary[[#This Row],[Inversión publicidad]],0)</f>
        <v>0</v>
      </c>
      <c r="AF556" s="14"/>
      <c r="AG556" s="11"/>
      <c r="AM556" s="11">
        <f>_xlfn.XLOOKUP(TableDailySummary[[#This Row],[Fecha]],SummaryDaily[day],SummaryDaily[net_sales_with_cost_recorded],0)</f>
        <v>0</v>
      </c>
      <c r="AN556" s="11">
        <f>_xlfn.XLOOKUP(TableDailySummary[[#This Row],[Fecha]],SummaryDaily[day],SummaryDaily[cost_of_goods_sold],0)</f>
        <v>0</v>
      </c>
      <c r="AO556" s="11">
        <f>_xlfn.XLOOKUP(TableDailySummary[[#This Row],[Fecha]],SummaryDaily[day],SummaryDaily[gross_profit],0)</f>
        <v>0</v>
      </c>
      <c r="AP556" s="18">
        <f>IFERROR(TableDailySummary[[#This Row],[Utilidad bruta]]/TableDailySummary[[#This Row],[Ventas netas con costo registrado]],0)</f>
        <v>0</v>
      </c>
    </row>
    <row r="557" spans="2:42" x14ac:dyDescent="0.2">
      <c r="B557" s="15" cm="1">
        <f t="array" ref="B557">ParamFechaInicioReporte + (ROW(TableDailySummary[#This Row]) - ROW(TableDailySummary[[#Headers],[Dia]]) - 1)</f>
        <v>45084</v>
      </c>
      <c r="C557" s="6">
        <f>TableDailySummary[[#This Row],[Dia]]</f>
        <v>45084</v>
      </c>
      <c r="D557" s="11">
        <f>_xlfn.XLOOKUP(TableDailySummary[[#This Row],[Fecha]],SummaryDaily[day],SummaryDaily[net_sales],0)</f>
        <v>0</v>
      </c>
      <c r="E557" s="11">
        <f>_xlfn.XLOOKUP(TableDailySummary[[#This Row],[Fecha]],SummaryDaily[day],SummaryDaily[orders],0)</f>
        <v>0</v>
      </c>
      <c r="F557" s="11">
        <f>_xlfn.XLOOKUP(TableDailySummary[[#This Row],[Fecha]],SummaryDaily[day],SummaryDaily[average_order_value],0)</f>
        <v>0</v>
      </c>
      <c r="G557" s="24" cm="1">
        <f t="array" ref="G557">_xlfn.XLOOKUP(TableDailySummary[[#This Row],[Fecha]]&amp;"Total site",ConversionRateByReferral[day]&amp;ConversionRateByReferral[referrer_source],ConversionRateByReferral[conversion_rate],0)</f>
        <v>0</v>
      </c>
      <c r="H557" s="11">
        <f>TableDailySummary[[#This Row],[Órden promedio totales]]*TableDailySummary[[#This Row],[CR totales]]</f>
        <v>0</v>
      </c>
      <c r="I557" s="11">
        <f>_xlfn.XLOOKUP(TableDailySummary[[#This Row],[Fecha]],SummaryDaily[day],SummaryDaily[new_net_sales],0)</f>
        <v>0</v>
      </c>
      <c r="J557" s="11">
        <f>_xlfn.XLOOKUP(TableDailySummary[[#This Row],[Fecha]],SummaryDaily[day],SummaryDaily[new_orders],0)</f>
        <v>0</v>
      </c>
      <c r="K557" s="11">
        <f>_xlfn.XLOOKUP(TableDailySummary[[#This Row],[Fecha]],SummaryDaily[day],SummaryDaily[new_average_order_value],0)</f>
        <v>0</v>
      </c>
      <c r="L557" s="11">
        <f>_xlfn.XLOOKUP(TableDailySummary[[#This Row],[Fecha]],SummaryDaily[day],SummaryDaily[Online Store_net_sales],0)</f>
        <v>0</v>
      </c>
      <c r="M557" s="11">
        <f>_xlfn.XLOOKUP(TableDailySummary[[#This Row],[Fecha]],SummaryDaily[day],SummaryDaily[Online Store_orders],0)</f>
        <v>0</v>
      </c>
      <c r="N557" s="11">
        <f>_xlfn.XLOOKUP(TableDailySummary[[#This Row],[Fecha]],SummaryDaily[day],SummaryDaily[Online Store_average_order_value],0)</f>
        <v>0</v>
      </c>
      <c r="O557" s="11">
        <f>_xlfn.XLOOKUP(TableDailySummary[[#This Row],[Fecha]],SummaryDaily[day],SummaryDaily[Tienda 81_net_sales],0)</f>
        <v>0</v>
      </c>
      <c r="P557" s="11">
        <f>_xlfn.XLOOKUP(TableDailySummary[[#This Row],[Fecha]],SummaryDaily[day],SummaryDaily[Tienda 81_orders],0)</f>
        <v>0</v>
      </c>
      <c r="Q557" s="11">
        <f>_xlfn.XLOOKUP(TableDailySummary[[#This Row],[Fecha]],SummaryDaily[day],SummaryDaily[Tienda 81_average_order_value],0)</f>
        <v>0</v>
      </c>
      <c r="R557" s="11">
        <f>_xlfn.XLOOKUP(TableDailySummary[[#This Row],[Fecha]],SummaryDaily[day],SummaryDaily[Rappi_net_sales],0)</f>
        <v>0</v>
      </c>
      <c r="S557" s="11">
        <f>_xlfn.XLOOKUP(TableDailySummary[[#This Row],[Fecha]],SummaryDaily[day],SummaryDaily[Rappi_orders],0)</f>
        <v>0</v>
      </c>
      <c r="T557" s="11">
        <f>_xlfn.XLOOKUP(TableDailySummary[[#This Row],[Fecha]],SummaryDaily[day],SummaryDaily[Rappi_average_order_value],0)</f>
        <v>0</v>
      </c>
      <c r="U557" s="11">
        <f>_xlfn.XLOOKUP(TableDailySummary[[#This Row],[Fecha]],SummaryDaily[day],SummaryDaily[Corporativo no tienda_net_sales],0)</f>
        <v>0</v>
      </c>
      <c r="V557" s="11">
        <f>_xlfn.XLOOKUP(TableDailySummary[[#This Row],[Fecha]],SummaryDaily[day],SummaryDaily[Corporativo no tienda_orders],0)</f>
        <v>0</v>
      </c>
      <c r="W557" s="11">
        <f>_xlfn.XLOOKUP(TableDailySummary[[#This Row],[Fecha]],SummaryDaily[day],SummaryDaily[Corporativo no tienda_average_order_value],0)</f>
        <v>0</v>
      </c>
      <c r="X557" s="11">
        <f>_xlfn.XLOOKUP(TableDailySummary[[#This Row],[Fecha]],SummaryDaily[day],SummaryDaily[GoogleAdsOperation.Cost],0)</f>
        <v>0</v>
      </c>
      <c r="Y557" s="11">
        <f>SUMIFS(SalesByUTMDaily[google],SalesByUTMDaily[day],TableDailySummary[[#This Row],[Fecha]])</f>
        <v>0</v>
      </c>
      <c r="Z557" s="11">
        <f>_xlfn.XLOOKUP(TableDailySummary[[#This Row],[Fecha]],SummaryDaily[day],SummaryDaily[MetaAdsOperation.spend],0)</f>
        <v>0</v>
      </c>
      <c r="AA557" s="11">
        <f>SUMIFS(SalesByUTMDaily[facebook],SalesByUTMDaily[day],TableDailySummary[[#This Row],[Fecha]])</f>
        <v>0</v>
      </c>
      <c r="AB557" s="11">
        <f>TableDailySummary[[#This Row],[Inversión google ads]]+TableDailySummary[[#This Row],[Inversión meta ads]]</f>
        <v>0</v>
      </c>
      <c r="AC557" s="11">
        <f>TableDailySummary[[#This Row],[Ventas google ads]]+TableDailySummary[[#This Row],[Ventas meta ads]]</f>
        <v>0</v>
      </c>
      <c r="AD557" s="14">
        <f>IFERROR(TableDailySummary[[#This Row],[Ventas publicidad]]/TableDailySummary[[#This Row],[Inversión publicidad]],0)</f>
        <v>0</v>
      </c>
      <c r="AE557" s="14">
        <f>IFERROR(TableDailySummary[[#This Row],[Ventas primer cliente]]/TableDailySummary[[#This Row],[Inversión publicidad]],0)</f>
        <v>0</v>
      </c>
      <c r="AF557" s="14"/>
      <c r="AG557" s="11"/>
      <c r="AM557" s="11">
        <f>_xlfn.XLOOKUP(TableDailySummary[[#This Row],[Fecha]],SummaryDaily[day],SummaryDaily[net_sales_with_cost_recorded],0)</f>
        <v>0</v>
      </c>
      <c r="AN557" s="11">
        <f>_xlfn.XLOOKUP(TableDailySummary[[#This Row],[Fecha]],SummaryDaily[day],SummaryDaily[cost_of_goods_sold],0)</f>
        <v>0</v>
      </c>
      <c r="AO557" s="11">
        <f>_xlfn.XLOOKUP(TableDailySummary[[#This Row],[Fecha]],SummaryDaily[day],SummaryDaily[gross_profit],0)</f>
        <v>0</v>
      </c>
      <c r="AP557" s="18">
        <f>IFERROR(TableDailySummary[[#This Row],[Utilidad bruta]]/TableDailySummary[[#This Row],[Ventas netas con costo registrado]],0)</f>
        <v>0</v>
      </c>
    </row>
    <row r="558" spans="2:42" x14ac:dyDescent="0.2">
      <c r="B558" s="15" cm="1">
        <f t="array" ref="B558">ParamFechaInicioReporte + (ROW(TableDailySummary[#This Row]) - ROW(TableDailySummary[[#Headers],[Dia]]) - 1)</f>
        <v>45085</v>
      </c>
      <c r="C558" s="6">
        <f>TableDailySummary[[#This Row],[Dia]]</f>
        <v>45085</v>
      </c>
      <c r="D558" s="11">
        <f>_xlfn.XLOOKUP(TableDailySummary[[#This Row],[Fecha]],SummaryDaily[day],SummaryDaily[net_sales],0)</f>
        <v>0</v>
      </c>
      <c r="E558" s="11">
        <f>_xlfn.XLOOKUP(TableDailySummary[[#This Row],[Fecha]],SummaryDaily[day],SummaryDaily[orders],0)</f>
        <v>0</v>
      </c>
      <c r="F558" s="11">
        <f>_xlfn.XLOOKUP(TableDailySummary[[#This Row],[Fecha]],SummaryDaily[day],SummaryDaily[average_order_value],0)</f>
        <v>0</v>
      </c>
      <c r="G558" s="24" cm="1">
        <f t="array" ref="G558">_xlfn.XLOOKUP(TableDailySummary[[#This Row],[Fecha]]&amp;"Total site",ConversionRateByReferral[day]&amp;ConversionRateByReferral[referrer_source],ConversionRateByReferral[conversion_rate],0)</f>
        <v>0</v>
      </c>
      <c r="H558" s="11">
        <f>TableDailySummary[[#This Row],[Órden promedio totales]]*TableDailySummary[[#This Row],[CR totales]]</f>
        <v>0</v>
      </c>
      <c r="I558" s="11">
        <f>_xlfn.XLOOKUP(TableDailySummary[[#This Row],[Fecha]],SummaryDaily[day],SummaryDaily[new_net_sales],0)</f>
        <v>0</v>
      </c>
      <c r="J558" s="11">
        <f>_xlfn.XLOOKUP(TableDailySummary[[#This Row],[Fecha]],SummaryDaily[day],SummaryDaily[new_orders],0)</f>
        <v>0</v>
      </c>
      <c r="K558" s="11">
        <f>_xlfn.XLOOKUP(TableDailySummary[[#This Row],[Fecha]],SummaryDaily[day],SummaryDaily[new_average_order_value],0)</f>
        <v>0</v>
      </c>
      <c r="L558" s="11">
        <f>_xlfn.XLOOKUP(TableDailySummary[[#This Row],[Fecha]],SummaryDaily[day],SummaryDaily[Online Store_net_sales],0)</f>
        <v>0</v>
      </c>
      <c r="M558" s="11">
        <f>_xlfn.XLOOKUP(TableDailySummary[[#This Row],[Fecha]],SummaryDaily[day],SummaryDaily[Online Store_orders],0)</f>
        <v>0</v>
      </c>
      <c r="N558" s="11">
        <f>_xlfn.XLOOKUP(TableDailySummary[[#This Row],[Fecha]],SummaryDaily[day],SummaryDaily[Online Store_average_order_value],0)</f>
        <v>0</v>
      </c>
      <c r="O558" s="11">
        <f>_xlfn.XLOOKUP(TableDailySummary[[#This Row],[Fecha]],SummaryDaily[day],SummaryDaily[Tienda 81_net_sales],0)</f>
        <v>0</v>
      </c>
      <c r="P558" s="11">
        <f>_xlfn.XLOOKUP(TableDailySummary[[#This Row],[Fecha]],SummaryDaily[day],SummaryDaily[Tienda 81_orders],0)</f>
        <v>0</v>
      </c>
      <c r="Q558" s="11">
        <f>_xlfn.XLOOKUP(TableDailySummary[[#This Row],[Fecha]],SummaryDaily[day],SummaryDaily[Tienda 81_average_order_value],0)</f>
        <v>0</v>
      </c>
      <c r="R558" s="11">
        <f>_xlfn.XLOOKUP(TableDailySummary[[#This Row],[Fecha]],SummaryDaily[day],SummaryDaily[Rappi_net_sales],0)</f>
        <v>0</v>
      </c>
      <c r="S558" s="11">
        <f>_xlfn.XLOOKUP(TableDailySummary[[#This Row],[Fecha]],SummaryDaily[day],SummaryDaily[Rappi_orders],0)</f>
        <v>0</v>
      </c>
      <c r="T558" s="11">
        <f>_xlfn.XLOOKUP(TableDailySummary[[#This Row],[Fecha]],SummaryDaily[day],SummaryDaily[Rappi_average_order_value],0)</f>
        <v>0</v>
      </c>
      <c r="U558" s="11">
        <f>_xlfn.XLOOKUP(TableDailySummary[[#This Row],[Fecha]],SummaryDaily[day],SummaryDaily[Corporativo no tienda_net_sales],0)</f>
        <v>0</v>
      </c>
      <c r="V558" s="11">
        <f>_xlfn.XLOOKUP(TableDailySummary[[#This Row],[Fecha]],SummaryDaily[day],SummaryDaily[Corporativo no tienda_orders],0)</f>
        <v>0</v>
      </c>
      <c r="W558" s="11">
        <f>_xlfn.XLOOKUP(TableDailySummary[[#This Row],[Fecha]],SummaryDaily[day],SummaryDaily[Corporativo no tienda_average_order_value],0)</f>
        <v>0</v>
      </c>
      <c r="X558" s="11">
        <f>_xlfn.XLOOKUP(TableDailySummary[[#This Row],[Fecha]],SummaryDaily[day],SummaryDaily[GoogleAdsOperation.Cost],0)</f>
        <v>0</v>
      </c>
      <c r="Y558" s="11">
        <f>SUMIFS(SalesByUTMDaily[google],SalesByUTMDaily[day],TableDailySummary[[#This Row],[Fecha]])</f>
        <v>0</v>
      </c>
      <c r="Z558" s="11">
        <f>_xlfn.XLOOKUP(TableDailySummary[[#This Row],[Fecha]],SummaryDaily[day],SummaryDaily[MetaAdsOperation.spend],0)</f>
        <v>0</v>
      </c>
      <c r="AA558" s="11">
        <f>SUMIFS(SalesByUTMDaily[facebook],SalesByUTMDaily[day],TableDailySummary[[#This Row],[Fecha]])</f>
        <v>0</v>
      </c>
      <c r="AB558" s="11">
        <f>TableDailySummary[[#This Row],[Inversión google ads]]+TableDailySummary[[#This Row],[Inversión meta ads]]</f>
        <v>0</v>
      </c>
      <c r="AC558" s="11">
        <f>TableDailySummary[[#This Row],[Ventas google ads]]+TableDailySummary[[#This Row],[Ventas meta ads]]</f>
        <v>0</v>
      </c>
      <c r="AD558" s="14">
        <f>IFERROR(TableDailySummary[[#This Row],[Ventas publicidad]]/TableDailySummary[[#This Row],[Inversión publicidad]],0)</f>
        <v>0</v>
      </c>
      <c r="AE558" s="14">
        <f>IFERROR(TableDailySummary[[#This Row],[Ventas primer cliente]]/TableDailySummary[[#This Row],[Inversión publicidad]],0)</f>
        <v>0</v>
      </c>
      <c r="AF558" s="14"/>
      <c r="AG558" s="11"/>
      <c r="AM558" s="11">
        <f>_xlfn.XLOOKUP(TableDailySummary[[#This Row],[Fecha]],SummaryDaily[day],SummaryDaily[net_sales_with_cost_recorded],0)</f>
        <v>0</v>
      </c>
      <c r="AN558" s="11">
        <f>_xlfn.XLOOKUP(TableDailySummary[[#This Row],[Fecha]],SummaryDaily[day],SummaryDaily[cost_of_goods_sold],0)</f>
        <v>0</v>
      </c>
      <c r="AO558" s="11">
        <f>_xlfn.XLOOKUP(TableDailySummary[[#This Row],[Fecha]],SummaryDaily[day],SummaryDaily[gross_profit],0)</f>
        <v>0</v>
      </c>
      <c r="AP558" s="18">
        <f>IFERROR(TableDailySummary[[#This Row],[Utilidad bruta]]/TableDailySummary[[#This Row],[Ventas netas con costo registrado]],0)</f>
        <v>0</v>
      </c>
    </row>
    <row r="559" spans="2:42" x14ac:dyDescent="0.2">
      <c r="B559" s="15" cm="1">
        <f t="array" ref="B559">ParamFechaInicioReporte + (ROW(TableDailySummary[#This Row]) - ROW(TableDailySummary[[#Headers],[Dia]]) - 1)</f>
        <v>45086</v>
      </c>
      <c r="C559" s="6">
        <f>TableDailySummary[[#This Row],[Dia]]</f>
        <v>45086</v>
      </c>
      <c r="D559" s="11">
        <f>_xlfn.XLOOKUP(TableDailySummary[[#This Row],[Fecha]],SummaryDaily[day],SummaryDaily[net_sales],0)</f>
        <v>0</v>
      </c>
      <c r="E559" s="11">
        <f>_xlfn.XLOOKUP(TableDailySummary[[#This Row],[Fecha]],SummaryDaily[day],SummaryDaily[orders],0)</f>
        <v>0</v>
      </c>
      <c r="F559" s="11">
        <f>_xlfn.XLOOKUP(TableDailySummary[[#This Row],[Fecha]],SummaryDaily[day],SummaryDaily[average_order_value],0)</f>
        <v>0</v>
      </c>
      <c r="G559" s="24" cm="1">
        <f t="array" ref="G559">_xlfn.XLOOKUP(TableDailySummary[[#This Row],[Fecha]]&amp;"Total site",ConversionRateByReferral[day]&amp;ConversionRateByReferral[referrer_source],ConversionRateByReferral[conversion_rate],0)</f>
        <v>0</v>
      </c>
      <c r="H559" s="11">
        <f>TableDailySummary[[#This Row],[Órden promedio totales]]*TableDailySummary[[#This Row],[CR totales]]</f>
        <v>0</v>
      </c>
      <c r="I559" s="11">
        <f>_xlfn.XLOOKUP(TableDailySummary[[#This Row],[Fecha]],SummaryDaily[day],SummaryDaily[new_net_sales],0)</f>
        <v>0</v>
      </c>
      <c r="J559" s="11">
        <f>_xlfn.XLOOKUP(TableDailySummary[[#This Row],[Fecha]],SummaryDaily[day],SummaryDaily[new_orders],0)</f>
        <v>0</v>
      </c>
      <c r="K559" s="11">
        <f>_xlfn.XLOOKUP(TableDailySummary[[#This Row],[Fecha]],SummaryDaily[day],SummaryDaily[new_average_order_value],0)</f>
        <v>0</v>
      </c>
      <c r="L559" s="11">
        <f>_xlfn.XLOOKUP(TableDailySummary[[#This Row],[Fecha]],SummaryDaily[day],SummaryDaily[Online Store_net_sales],0)</f>
        <v>0</v>
      </c>
      <c r="M559" s="11">
        <f>_xlfn.XLOOKUP(TableDailySummary[[#This Row],[Fecha]],SummaryDaily[day],SummaryDaily[Online Store_orders],0)</f>
        <v>0</v>
      </c>
      <c r="N559" s="11">
        <f>_xlfn.XLOOKUP(TableDailySummary[[#This Row],[Fecha]],SummaryDaily[day],SummaryDaily[Online Store_average_order_value],0)</f>
        <v>0</v>
      </c>
      <c r="O559" s="11">
        <f>_xlfn.XLOOKUP(TableDailySummary[[#This Row],[Fecha]],SummaryDaily[day],SummaryDaily[Tienda 81_net_sales],0)</f>
        <v>0</v>
      </c>
      <c r="P559" s="11">
        <f>_xlfn.XLOOKUP(TableDailySummary[[#This Row],[Fecha]],SummaryDaily[day],SummaryDaily[Tienda 81_orders],0)</f>
        <v>0</v>
      </c>
      <c r="Q559" s="11">
        <f>_xlfn.XLOOKUP(TableDailySummary[[#This Row],[Fecha]],SummaryDaily[day],SummaryDaily[Tienda 81_average_order_value],0)</f>
        <v>0</v>
      </c>
      <c r="R559" s="11">
        <f>_xlfn.XLOOKUP(TableDailySummary[[#This Row],[Fecha]],SummaryDaily[day],SummaryDaily[Rappi_net_sales],0)</f>
        <v>0</v>
      </c>
      <c r="S559" s="11">
        <f>_xlfn.XLOOKUP(TableDailySummary[[#This Row],[Fecha]],SummaryDaily[day],SummaryDaily[Rappi_orders],0)</f>
        <v>0</v>
      </c>
      <c r="T559" s="11">
        <f>_xlfn.XLOOKUP(TableDailySummary[[#This Row],[Fecha]],SummaryDaily[day],SummaryDaily[Rappi_average_order_value],0)</f>
        <v>0</v>
      </c>
      <c r="U559" s="11">
        <f>_xlfn.XLOOKUP(TableDailySummary[[#This Row],[Fecha]],SummaryDaily[day],SummaryDaily[Corporativo no tienda_net_sales],0)</f>
        <v>0</v>
      </c>
      <c r="V559" s="11">
        <f>_xlfn.XLOOKUP(TableDailySummary[[#This Row],[Fecha]],SummaryDaily[day],SummaryDaily[Corporativo no tienda_orders],0)</f>
        <v>0</v>
      </c>
      <c r="W559" s="11">
        <f>_xlfn.XLOOKUP(TableDailySummary[[#This Row],[Fecha]],SummaryDaily[day],SummaryDaily[Corporativo no tienda_average_order_value],0)</f>
        <v>0</v>
      </c>
      <c r="X559" s="11">
        <f>_xlfn.XLOOKUP(TableDailySummary[[#This Row],[Fecha]],SummaryDaily[day],SummaryDaily[GoogleAdsOperation.Cost],0)</f>
        <v>0</v>
      </c>
      <c r="Y559" s="11">
        <f>SUMIFS(SalesByUTMDaily[google],SalesByUTMDaily[day],TableDailySummary[[#This Row],[Fecha]])</f>
        <v>0</v>
      </c>
      <c r="Z559" s="11">
        <f>_xlfn.XLOOKUP(TableDailySummary[[#This Row],[Fecha]],SummaryDaily[day],SummaryDaily[MetaAdsOperation.spend],0)</f>
        <v>0</v>
      </c>
      <c r="AA559" s="11">
        <f>SUMIFS(SalesByUTMDaily[facebook],SalesByUTMDaily[day],TableDailySummary[[#This Row],[Fecha]])</f>
        <v>0</v>
      </c>
      <c r="AB559" s="11">
        <f>TableDailySummary[[#This Row],[Inversión google ads]]+TableDailySummary[[#This Row],[Inversión meta ads]]</f>
        <v>0</v>
      </c>
      <c r="AC559" s="11">
        <f>TableDailySummary[[#This Row],[Ventas google ads]]+TableDailySummary[[#This Row],[Ventas meta ads]]</f>
        <v>0</v>
      </c>
      <c r="AD559" s="14">
        <f>IFERROR(TableDailySummary[[#This Row],[Ventas publicidad]]/TableDailySummary[[#This Row],[Inversión publicidad]],0)</f>
        <v>0</v>
      </c>
      <c r="AE559" s="14">
        <f>IFERROR(TableDailySummary[[#This Row],[Ventas primer cliente]]/TableDailySummary[[#This Row],[Inversión publicidad]],0)</f>
        <v>0</v>
      </c>
      <c r="AF559" s="14"/>
      <c r="AG559" s="11"/>
      <c r="AM559" s="11">
        <f>_xlfn.XLOOKUP(TableDailySummary[[#This Row],[Fecha]],SummaryDaily[day],SummaryDaily[net_sales_with_cost_recorded],0)</f>
        <v>0</v>
      </c>
      <c r="AN559" s="11">
        <f>_xlfn.XLOOKUP(TableDailySummary[[#This Row],[Fecha]],SummaryDaily[day],SummaryDaily[cost_of_goods_sold],0)</f>
        <v>0</v>
      </c>
      <c r="AO559" s="11">
        <f>_xlfn.XLOOKUP(TableDailySummary[[#This Row],[Fecha]],SummaryDaily[day],SummaryDaily[gross_profit],0)</f>
        <v>0</v>
      </c>
      <c r="AP559" s="18">
        <f>IFERROR(TableDailySummary[[#This Row],[Utilidad bruta]]/TableDailySummary[[#This Row],[Ventas netas con costo registrado]],0)</f>
        <v>0</v>
      </c>
    </row>
    <row r="560" spans="2:42" x14ac:dyDescent="0.2">
      <c r="B560" s="15" cm="1">
        <f t="array" ref="B560">ParamFechaInicioReporte + (ROW(TableDailySummary[#This Row]) - ROW(TableDailySummary[[#Headers],[Dia]]) - 1)</f>
        <v>45087</v>
      </c>
      <c r="C560" s="6">
        <f>TableDailySummary[[#This Row],[Dia]]</f>
        <v>45087</v>
      </c>
      <c r="D560" s="11">
        <f>_xlfn.XLOOKUP(TableDailySummary[[#This Row],[Fecha]],SummaryDaily[day],SummaryDaily[net_sales],0)</f>
        <v>0</v>
      </c>
      <c r="E560" s="11">
        <f>_xlfn.XLOOKUP(TableDailySummary[[#This Row],[Fecha]],SummaryDaily[day],SummaryDaily[orders],0)</f>
        <v>0</v>
      </c>
      <c r="F560" s="11">
        <f>_xlfn.XLOOKUP(TableDailySummary[[#This Row],[Fecha]],SummaryDaily[day],SummaryDaily[average_order_value],0)</f>
        <v>0</v>
      </c>
      <c r="G560" s="24" cm="1">
        <f t="array" ref="G560">_xlfn.XLOOKUP(TableDailySummary[[#This Row],[Fecha]]&amp;"Total site",ConversionRateByReferral[day]&amp;ConversionRateByReferral[referrer_source],ConversionRateByReferral[conversion_rate],0)</f>
        <v>0</v>
      </c>
      <c r="H560" s="11">
        <f>TableDailySummary[[#This Row],[Órden promedio totales]]*TableDailySummary[[#This Row],[CR totales]]</f>
        <v>0</v>
      </c>
      <c r="I560" s="11">
        <f>_xlfn.XLOOKUP(TableDailySummary[[#This Row],[Fecha]],SummaryDaily[day],SummaryDaily[new_net_sales],0)</f>
        <v>0</v>
      </c>
      <c r="J560" s="11">
        <f>_xlfn.XLOOKUP(TableDailySummary[[#This Row],[Fecha]],SummaryDaily[day],SummaryDaily[new_orders],0)</f>
        <v>0</v>
      </c>
      <c r="K560" s="11">
        <f>_xlfn.XLOOKUP(TableDailySummary[[#This Row],[Fecha]],SummaryDaily[day],SummaryDaily[new_average_order_value],0)</f>
        <v>0</v>
      </c>
      <c r="L560" s="11">
        <f>_xlfn.XLOOKUP(TableDailySummary[[#This Row],[Fecha]],SummaryDaily[day],SummaryDaily[Online Store_net_sales],0)</f>
        <v>0</v>
      </c>
      <c r="M560" s="11">
        <f>_xlfn.XLOOKUP(TableDailySummary[[#This Row],[Fecha]],SummaryDaily[day],SummaryDaily[Online Store_orders],0)</f>
        <v>0</v>
      </c>
      <c r="N560" s="11">
        <f>_xlfn.XLOOKUP(TableDailySummary[[#This Row],[Fecha]],SummaryDaily[day],SummaryDaily[Online Store_average_order_value],0)</f>
        <v>0</v>
      </c>
      <c r="O560" s="11">
        <f>_xlfn.XLOOKUP(TableDailySummary[[#This Row],[Fecha]],SummaryDaily[day],SummaryDaily[Tienda 81_net_sales],0)</f>
        <v>0</v>
      </c>
      <c r="P560" s="11">
        <f>_xlfn.XLOOKUP(TableDailySummary[[#This Row],[Fecha]],SummaryDaily[day],SummaryDaily[Tienda 81_orders],0)</f>
        <v>0</v>
      </c>
      <c r="Q560" s="11">
        <f>_xlfn.XLOOKUP(TableDailySummary[[#This Row],[Fecha]],SummaryDaily[day],SummaryDaily[Tienda 81_average_order_value],0)</f>
        <v>0</v>
      </c>
      <c r="R560" s="11">
        <f>_xlfn.XLOOKUP(TableDailySummary[[#This Row],[Fecha]],SummaryDaily[day],SummaryDaily[Rappi_net_sales],0)</f>
        <v>0</v>
      </c>
      <c r="S560" s="11">
        <f>_xlfn.XLOOKUP(TableDailySummary[[#This Row],[Fecha]],SummaryDaily[day],SummaryDaily[Rappi_orders],0)</f>
        <v>0</v>
      </c>
      <c r="T560" s="11">
        <f>_xlfn.XLOOKUP(TableDailySummary[[#This Row],[Fecha]],SummaryDaily[day],SummaryDaily[Rappi_average_order_value],0)</f>
        <v>0</v>
      </c>
      <c r="U560" s="11">
        <f>_xlfn.XLOOKUP(TableDailySummary[[#This Row],[Fecha]],SummaryDaily[day],SummaryDaily[Corporativo no tienda_net_sales],0)</f>
        <v>0</v>
      </c>
      <c r="V560" s="11">
        <f>_xlfn.XLOOKUP(TableDailySummary[[#This Row],[Fecha]],SummaryDaily[day],SummaryDaily[Corporativo no tienda_orders],0)</f>
        <v>0</v>
      </c>
      <c r="W560" s="11">
        <f>_xlfn.XLOOKUP(TableDailySummary[[#This Row],[Fecha]],SummaryDaily[day],SummaryDaily[Corporativo no tienda_average_order_value],0)</f>
        <v>0</v>
      </c>
      <c r="X560" s="11">
        <f>_xlfn.XLOOKUP(TableDailySummary[[#This Row],[Fecha]],SummaryDaily[day],SummaryDaily[GoogleAdsOperation.Cost],0)</f>
        <v>0</v>
      </c>
      <c r="Y560" s="11">
        <f>SUMIFS(SalesByUTMDaily[google],SalesByUTMDaily[day],TableDailySummary[[#This Row],[Fecha]])</f>
        <v>0</v>
      </c>
      <c r="Z560" s="11">
        <f>_xlfn.XLOOKUP(TableDailySummary[[#This Row],[Fecha]],SummaryDaily[day],SummaryDaily[MetaAdsOperation.spend],0)</f>
        <v>0</v>
      </c>
      <c r="AA560" s="11">
        <f>SUMIFS(SalesByUTMDaily[facebook],SalesByUTMDaily[day],TableDailySummary[[#This Row],[Fecha]])</f>
        <v>0</v>
      </c>
      <c r="AB560" s="11">
        <f>TableDailySummary[[#This Row],[Inversión google ads]]+TableDailySummary[[#This Row],[Inversión meta ads]]</f>
        <v>0</v>
      </c>
      <c r="AC560" s="11">
        <f>TableDailySummary[[#This Row],[Ventas google ads]]+TableDailySummary[[#This Row],[Ventas meta ads]]</f>
        <v>0</v>
      </c>
      <c r="AD560" s="14">
        <f>IFERROR(TableDailySummary[[#This Row],[Ventas publicidad]]/TableDailySummary[[#This Row],[Inversión publicidad]],0)</f>
        <v>0</v>
      </c>
      <c r="AE560" s="14">
        <f>IFERROR(TableDailySummary[[#This Row],[Ventas primer cliente]]/TableDailySummary[[#This Row],[Inversión publicidad]],0)</f>
        <v>0</v>
      </c>
      <c r="AF560" s="14"/>
      <c r="AG560" s="11"/>
      <c r="AM560" s="11">
        <f>_xlfn.XLOOKUP(TableDailySummary[[#This Row],[Fecha]],SummaryDaily[day],SummaryDaily[net_sales_with_cost_recorded],0)</f>
        <v>0</v>
      </c>
      <c r="AN560" s="11">
        <f>_xlfn.XLOOKUP(TableDailySummary[[#This Row],[Fecha]],SummaryDaily[day],SummaryDaily[cost_of_goods_sold],0)</f>
        <v>0</v>
      </c>
      <c r="AO560" s="11">
        <f>_xlfn.XLOOKUP(TableDailySummary[[#This Row],[Fecha]],SummaryDaily[day],SummaryDaily[gross_profit],0)</f>
        <v>0</v>
      </c>
      <c r="AP560" s="18">
        <f>IFERROR(TableDailySummary[[#This Row],[Utilidad bruta]]/TableDailySummary[[#This Row],[Ventas netas con costo registrado]],0)</f>
        <v>0</v>
      </c>
    </row>
    <row r="561" spans="2:42" x14ac:dyDescent="0.2">
      <c r="B561" s="15" cm="1">
        <f t="array" ref="B561">ParamFechaInicioReporte + (ROW(TableDailySummary[#This Row]) - ROW(TableDailySummary[[#Headers],[Dia]]) - 1)</f>
        <v>45088</v>
      </c>
      <c r="C561" s="6">
        <f>TableDailySummary[[#This Row],[Dia]]</f>
        <v>45088</v>
      </c>
      <c r="D561" s="11">
        <f>_xlfn.XLOOKUP(TableDailySummary[[#This Row],[Fecha]],SummaryDaily[day],SummaryDaily[net_sales],0)</f>
        <v>0</v>
      </c>
      <c r="E561" s="11">
        <f>_xlfn.XLOOKUP(TableDailySummary[[#This Row],[Fecha]],SummaryDaily[day],SummaryDaily[orders],0)</f>
        <v>0</v>
      </c>
      <c r="F561" s="11">
        <f>_xlfn.XLOOKUP(TableDailySummary[[#This Row],[Fecha]],SummaryDaily[day],SummaryDaily[average_order_value],0)</f>
        <v>0</v>
      </c>
      <c r="G561" s="24" cm="1">
        <f t="array" ref="G561">_xlfn.XLOOKUP(TableDailySummary[[#This Row],[Fecha]]&amp;"Total site",ConversionRateByReferral[day]&amp;ConversionRateByReferral[referrer_source],ConversionRateByReferral[conversion_rate],0)</f>
        <v>0</v>
      </c>
      <c r="H561" s="11">
        <f>TableDailySummary[[#This Row],[Órden promedio totales]]*TableDailySummary[[#This Row],[CR totales]]</f>
        <v>0</v>
      </c>
      <c r="I561" s="11">
        <f>_xlfn.XLOOKUP(TableDailySummary[[#This Row],[Fecha]],SummaryDaily[day],SummaryDaily[new_net_sales],0)</f>
        <v>0</v>
      </c>
      <c r="J561" s="11">
        <f>_xlfn.XLOOKUP(TableDailySummary[[#This Row],[Fecha]],SummaryDaily[day],SummaryDaily[new_orders],0)</f>
        <v>0</v>
      </c>
      <c r="K561" s="11">
        <f>_xlfn.XLOOKUP(TableDailySummary[[#This Row],[Fecha]],SummaryDaily[day],SummaryDaily[new_average_order_value],0)</f>
        <v>0</v>
      </c>
      <c r="L561" s="11">
        <f>_xlfn.XLOOKUP(TableDailySummary[[#This Row],[Fecha]],SummaryDaily[day],SummaryDaily[Online Store_net_sales],0)</f>
        <v>0</v>
      </c>
      <c r="M561" s="11">
        <f>_xlfn.XLOOKUP(TableDailySummary[[#This Row],[Fecha]],SummaryDaily[day],SummaryDaily[Online Store_orders],0)</f>
        <v>0</v>
      </c>
      <c r="N561" s="11">
        <f>_xlfn.XLOOKUP(TableDailySummary[[#This Row],[Fecha]],SummaryDaily[day],SummaryDaily[Online Store_average_order_value],0)</f>
        <v>0</v>
      </c>
      <c r="O561" s="11">
        <f>_xlfn.XLOOKUP(TableDailySummary[[#This Row],[Fecha]],SummaryDaily[day],SummaryDaily[Tienda 81_net_sales],0)</f>
        <v>0</v>
      </c>
      <c r="P561" s="11">
        <f>_xlfn.XLOOKUP(TableDailySummary[[#This Row],[Fecha]],SummaryDaily[day],SummaryDaily[Tienda 81_orders],0)</f>
        <v>0</v>
      </c>
      <c r="Q561" s="11">
        <f>_xlfn.XLOOKUP(TableDailySummary[[#This Row],[Fecha]],SummaryDaily[day],SummaryDaily[Tienda 81_average_order_value],0)</f>
        <v>0</v>
      </c>
      <c r="R561" s="11">
        <f>_xlfn.XLOOKUP(TableDailySummary[[#This Row],[Fecha]],SummaryDaily[day],SummaryDaily[Rappi_net_sales],0)</f>
        <v>0</v>
      </c>
      <c r="S561" s="11">
        <f>_xlfn.XLOOKUP(TableDailySummary[[#This Row],[Fecha]],SummaryDaily[day],SummaryDaily[Rappi_orders],0)</f>
        <v>0</v>
      </c>
      <c r="T561" s="11">
        <f>_xlfn.XLOOKUP(TableDailySummary[[#This Row],[Fecha]],SummaryDaily[day],SummaryDaily[Rappi_average_order_value],0)</f>
        <v>0</v>
      </c>
      <c r="U561" s="11">
        <f>_xlfn.XLOOKUP(TableDailySummary[[#This Row],[Fecha]],SummaryDaily[day],SummaryDaily[Corporativo no tienda_net_sales],0)</f>
        <v>0</v>
      </c>
      <c r="V561" s="11">
        <f>_xlfn.XLOOKUP(TableDailySummary[[#This Row],[Fecha]],SummaryDaily[day],SummaryDaily[Corporativo no tienda_orders],0)</f>
        <v>0</v>
      </c>
      <c r="W561" s="11">
        <f>_xlfn.XLOOKUP(TableDailySummary[[#This Row],[Fecha]],SummaryDaily[day],SummaryDaily[Corporativo no tienda_average_order_value],0)</f>
        <v>0</v>
      </c>
      <c r="X561" s="11">
        <f>_xlfn.XLOOKUP(TableDailySummary[[#This Row],[Fecha]],SummaryDaily[day],SummaryDaily[GoogleAdsOperation.Cost],0)</f>
        <v>0</v>
      </c>
      <c r="Y561" s="11">
        <f>SUMIFS(SalesByUTMDaily[google],SalesByUTMDaily[day],TableDailySummary[[#This Row],[Fecha]])</f>
        <v>0</v>
      </c>
      <c r="Z561" s="11">
        <f>_xlfn.XLOOKUP(TableDailySummary[[#This Row],[Fecha]],SummaryDaily[day],SummaryDaily[MetaAdsOperation.spend],0)</f>
        <v>0</v>
      </c>
      <c r="AA561" s="11">
        <f>SUMIFS(SalesByUTMDaily[facebook],SalesByUTMDaily[day],TableDailySummary[[#This Row],[Fecha]])</f>
        <v>0</v>
      </c>
      <c r="AB561" s="11">
        <f>TableDailySummary[[#This Row],[Inversión google ads]]+TableDailySummary[[#This Row],[Inversión meta ads]]</f>
        <v>0</v>
      </c>
      <c r="AC561" s="11">
        <f>TableDailySummary[[#This Row],[Ventas google ads]]+TableDailySummary[[#This Row],[Ventas meta ads]]</f>
        <v>0</v>
      </c>
      <c r="AD561" s="14">
        <f>IFERROR(TableDailySummary[[#This Row],[Ventas publicidad]]/TableDailySummary[[#This Row],[Inversión publicidad]],0)</f>
        <v>0</v>
      </c>
      <c r="AE561" s="14">
        <f>IFERROR(TableDailySummary[[#This Row],[Ventas primer cliente]]/TableDailySummary[[#This Row],[Inversión publicidad]],0)</f>
        <v>0</v>
      </c>
      <c r="AF561" s="14"/>
      <c r="AG561" s="11"/>
      <c r="AM561" s="11">
        <f>_xlfn.XLOOKUP(TableDailySummary[[#This Row],[Fecha]],SummaryDaily[day],SummaryDaily[net_sales_with_cost_recorded],0)</f>
        <v>0</v>
      </c>
      <c r="AN561" s="11">
        <f>_xlfn.XLOOKUP(TableDailySummary[[#This Row],[Fecha]],SummaryDaily[day],SummaryDaily[cost_of_goods_sold],0)</f>
        <v>0</v>
      </c>
      <c r="AO561" s="11">
        <f>_xlfn.XLOOKUP(TableDailySummary[[#This Row],[Fecha]],SummaryDaily[day],SummaryDaily[gross_profit],0)</f>
        <v>0</v>
      </c>
      <c r="AP561" s="18">
        <f>IFERROR(TableDailySummary[[#This Row],[Utilidad bruta]]/TableDailySummary[[#This Row],[Ventas netas con costo registrado]],0)</f>
        <v>0</v>
      </c>
    </row>
    <row r="562" spans="2:42" x14ac:dyDescent="0.2">
      <c r="B562" s="15" cm="1">
        <f t="array" ref="B562">ParamFechaInicioReporte + (ROW(TableDailySummary[#This Row]) - ROW(TableDailySummary[[#Headers],[Dia]]) - 1)</f>
        <v>45089</v>
      </c>
      <c r="C562" s="6">
        <f>TableDailySummary[[#This Row],[Dia]]</f>
        <v>45089</v>
      </c>
      <c r="D562" s="11">
        <f>_xlfn.XLOOKUP(TableDailySummary[[#This Row],[Fecha]],SummaryDaily[day],SummaryDaily[net_sales],0)</f>
        <v>0</v>
      </c>
      <c r="E562" s="11">
        <f>_xlfn.XLOOKUP(TableDailySummary[[#This Row],[Fecha]],SummaryDaily[day],SummaryDaily[orders],0)</f>
        <v>0</v>
      </c>
      <c r="F562" s="11">
        <f>_xlfn.XLOOKUP(TableDailySummary[[#This Row],[Fecha]],SummaryDaily[day],SummaryDaily[average_order_value],0)</f>
        <v>0</v>
      </c>
      <c r="G562" s="24" cm="1">
        <f t="array" ref="G562">_xlfn.XLOOKUP(TableDailySummary[[#This Row],[Fecha]]&amp;"Total site",ConversionRateByReferral[day]&amp;ConversionRateByReferral[referrer_source],ConversionRateByReferral[conversion_rate],0)</f>
        <v>0</v>
      </c>
      <c r="H562" s="11">
        <f>TableDailySummary[[#This Row],[Órden promedio totales]]*TableDailySummary[[#This Row],[CR totales]]</f>
        <v>0</v>
      </c>
      <c r="I562" s="11">
        <f>_xlfn.XLOOKUP(TableDailySummary[[#This Row],[Fecha]],SummaryDaily[day],SummaryDaily[new_net_sales],0)</f>
        <v>0</v>
      </c>
      <c r="J562" s="11">
        <f>_xlfn.XLOOKUP(TableDailySummary[[#This Row],[Fecha]],SummaryDaily[day],SummaryDaily[new_orders],0)</f>
        <v>0</v>
      </c>
      <c r="K562" s="11">
        <f>_xlfn.XLOOKUP(TableDailySummary[[#This Row],[Fecha]],SummaryDaily[day],SummaryDaily[new_average_order_value],0)</f>
        <v>0</v>
      </c>
      <c r="L562" s="11">
        <f>_xlfn.XLOOKUP(TableDailySummary[[#This Row],[Fecha]],SummaryDaily[day],SummaryDaily[Online Store_net_sales],0)</f>
        <v>0</v>
      </c>
      <c r="M562" s="11">
        <f>_xlfn.XLOOKUP(TableDailySummary[[#This Row],[Fecha]],SummaryDaily[day],SummaryDaily[Online Store_orders],0)</f>
        <v>0</v>
      </c>
      <c r="N562" s="11">
        <f>_xlfn.XLOOKUP(TableDailySummary[[#This Row],[Fecha]],SummaryDaily[day],SummaryDaily[Online Store_average_order_value],0)</f>
        <v>0</v>
      </c>
      <c r="O562" s="11">
        <f>_xlfn.XLOOKUP(TableDailySummary[[#This Row],[Fecha]],SummaryDaily[day],SummaryDaily[Tienda 81_net_sales],0)</f>
        <v>0</v>
      </c>
      <c r="P562" s="11">
        <f>_xlfn.XLOOKUP(TableDailySummary[[#This Row],[Fecha]],SummaryDaily[day],SummaryDaily[Tienda 81_orders],0)</f>
        <v>0</v>
      </c>
      <c r="Q562" s="11">
        <f>_xlfn.XLOOKUP(TableDailySummary[[#This Row],[Fecha]],SummaryDaily[day],SummaryDaily[Tienda 81_average_order_value],0)</f>
        <v>0</v>
      </c>
      <c r="R562" s="11">
        <f>_xlfn.XLOOKUP(TableDailySummary[[#This Row],[Fecha]],SummaryDaily[day],SummaryDaily[Rappi_net_sales],0)</f>
        <v>0</v>
      </c>
      <c r="S562" s="11">
        <f>_xlfn.XLOOKUP(TableDailySummary[[#This Row],[Fecha]],SummaryDaily[day],SummaryDaily[Rappi_orders],0)</f>
        <v>0</v>
      </c>
      <c r="T562" s="11">
        <f>_xlfn.XLOOKUP(TableDailySummary[[#This Row],[Fecha]],SummaryDaily[day],SummaryDaily[Rappi_average_order_value],0)</f>
        <v>0</v>
      </c>
      <c r="U562" s="11">
        <f>_xlfn.XLOOKUP(TableDailySummary[[#This Row],[Fecha]],SummaryDaily[day],SummaryDaily[Corporativo no tienda_net_sales],0)</f>
        <v>0</v>
      </c>
      <c r="V562" s="11">
        <f>_xlfn.XLOOKUP(TableDailySummary[[#This Row],[Fecha]],SummaryDaily[day],SummaryDaily[Corporativo no tienda_orders],0)</f>
        <v>0</v>
      </c>
      <c r="W562" s="11">
        <f>_xlfn.XLOOKUP(TableDailySummary[[#This Row],[Fecha]],SummaryDaily[day],SummaryDaily[Corporativo no tienda_average_order_value],0)</f>
        <v>0</v>
      </c>
      <c r="X562" s="11">
        <f>_xlfn.XLOOKUP(TableDailySummary[[#This Row],[Fecha]],SummaryDaily[day],SummaryDaily[GoogleAdsOperation.Cost],0)</f>
        <v>0</v>
      </c>
      <c r="Y562" s="11">
        <f>SUMIFS(SalesByUTMDaily[google],SalesByUTMDaily[day],TableDailySummary[[#This Row],[Fecha]])</f>
        <v>0</v>
      </c>
      <c r="Z562" s="11">
        <f>_xlfn.XLOOKUP(TableDailySummary[[#This Row],[Fecha]],SummaryDaily[day],SummaryDaily[MetaAdsOperation.spend],0)</f>
        <v>0</v>
      </c>
      <c r="AA562" s="11">
        <f>SUMIFS(SalesByUTMDaily[facebook],SalesByUTMDaily[day],TableDailySummary[[#This Row],[Fecha]])</f>
        <v>0</v>
      </c>
      <c r="AB562" s="11">
        <f>TableDailySummary[[#This Row],[Inversión google ads]]+TableDailySummary[[#This Row],[Inversión meta ads]]</f>
        <v>0</v>
      </c>
      <c r="AC562" s="11">
        <f>TableDailySummary[[#This Row],[Ventas google ads]]+TableDailySummary[[#This Row],[Ventas meta ads]]</f>
        <v>0</v>
      </c>
      <c r="AD562" s="14">
        <f>IFERROR(TableDailySummary[[#This Row],[Ventas publicidad]]/TableDailySummary[[#This Row],[Inversión publicidad]],0)</f>
        <v>0</v>
      </c>
      <c r="AE562" s="14">
        <f>IFERROR(TableDailySummary[[#This Row],[Ventas primer cliente]]/TableDailySummary[[#This Row],[Inversión publicidad]],0)</f>
        <v>0</v>
      </c>
      <c r="AF562" s="14"/>
      <c r="AG562" s="11"/>
      <c r="AM562" s="11">
        <f>_xlfn.XLOOKUP(TableDailySummary[[#This Row],[Fecha]],SummaryDaily[day],SummaryDaily[net_sales_with_cost_recorded],0)</f>
        <v>0</v>
      </c>
      <c r="AN562" s="11">
        <f>_xlfn.XLOOKUP(TableDailySummary[[#This Row],[Fecha]],SummaryDaily[day],SummaryDaily[cost_of_goods_sold],0)</f>
        <v>0</v>
      </c>
      <c r="AO562" s="11">
        <f>_xlfn.XLOOKUP(TableDailySummary[[#This Row],[Fecha]],SummaryDaily[day],SummaryDaily[gross_profit],0)</f>
        <v>0</v>
      </c>
      <c r="AP562" s="18">
        <f>IFERROR(TableDailySummary[[#This Row],[Utilidad bruta]]/TableDailySummary[[#This Row],[Ventas netas con costo registrado]],0)</f>
        <v>0</v>
      </c>
    </row>
    <row r="563" spans="2:42" x14ac:dyDescent="0.2">
      <c r="B563" s="15" cm="1">
        <f t="array" ref="B563">ParamFechaInicioReporte + (ROW(TableDailySummary[#This Row]) - ROW(TableDailySummary[[#Headers],[Dia]]) - 1)</f>
        <v>45090</v>
      </c>
      <c r="C563" s="6">
        <f>TableDailySummary[[#This Row],[Dia]]</f>
        <v>45090</v>
      </c>
      <c r="D563" s="11">
        <f>_xlfn.XLOOKUP(TableDailySummary[[#This Row],[Fecha]],SummaryDaily[day],SummaryDaily[net_sales],0)</f>
        <v>0</v>
      </c>
      <c r="E563" s="11">
        <f>_xlfn.XLOOKUP(TableDailySummary[[#This Row],[Fecha]],SummaryDaily[day],SummaryDaily[orders],0)</f>
        <v>0</v>
      </c>
      <c r="F563" s="11">
        <f>_xlfn.XLOOKUP(TableDailySummary[[#This Row],[Fecha]],SummaryDaily[day],SummaryDaily[average_order_value],0)</f>
        <v>0</v>
      </c>
      <c r="G563" s="24" cm="1">
        <f t="array" ref="G563">_xlfn.XLOOKUP(TableDailySummary[[#This Row],[Fecha]]&amp;"Total site",ConversionRateByReferral[day]&amp;ConversionRateByReferral[referrer_source],ConversionRateByReferral[conversion_rate],0)</f>
        <v>0</v>
      </c>
      <c r="H563" s="11">
        <f>TableDailySummary[[#This Row],[Órden promedio totales]]*TableDailySummary[[#This Row],[CR totales]]</f>
        <v>0</v>
      </c>
      <c r="I563" s="11">
        <f>_xlfn.XLOOKUP(TableDailySummary[[#This Row],[Fecha]],SummaryDaily[day],SummaryDaily[new_net_sales],0)</f>
        <v>0</v>
      </c>
      <c r="J563" s="11">
        <f>_xlfn.XLOOKUP(TableDailySummary[[#This Row],[Fecha]],SummaryDaily[day],SummaryDaily[new_orders],0)</f>
        <v>0</v>
      </c>
      <c r="K563" s="11">
        <f>_xlfn.XLOOKUP(TableDailySummary[[#This Row],[Fecha]],SummaryDaily[day],SummaryDaily[new_average_order_value],0)</f>
        <v>0</v>
      </c>
      <c r="L563" s="11">
        <f>_xlfn.XLOOKUP(TableDailySummary[[#This Row],[Fecha]],SummaryDaily[day],SummaryDaily[Online Store_net_sales],0)</f>
        <v>0</v>
      </c>
      <c r="M563" s="11">
        <f>_xlfn.XLOOKUP(TableDailySummary[[#This Row],[Fecha]],SummaryDaily[day],SummaryDaily[Online Store_orders],0)</f>
        <v>0</v>
      </c>
      <c r="N563" s="11">
        <f>_xlfn.XLOOKUP(TableDailySummary[[#This Row],[Fecha]],SummaryDaily[day],SummaryDaily[Online Store_average_order_value],0)</f>
        <v>0</v>
      </c>
      <c r="O563" s="11">
        <f>_xlfn.XLOOKUP(TableDailySummary[[#This Row],[Fecha]],SummaryDaily[day],SummaryDaily[Tienda 81_net_sales],0)</f>
        <v>0</v>
      </c>
      <c r="P563" s="11">
        <f>_xlfn.XLOOKUP(TableDailySummary[[#This Row],[Fecha]],SummaryDaily[day],SummaryDaily[Tienda 81_orders],0)</f>
        <v>0</v>
      </c>
      <c r="Q563" s="11">
        <f>_xlfn.XLOOKUP(TableDailySummary[[#This Row],[Fecha]],SummaryDaily[day],SummaryDaily[Tienda 81_average_order_value],0)</f>
        <v>0</v>
      </c>
      <c r="R563" s="11">
        <f>_xlfn.XLOOKUP(TableDailySummary[[#This Row],[Fecha]],SummaryDaily[day],SummaryDaily[Rappi_net_sales],0)</f>
        <v>0</v>
      </c>
      <c r="S563" s="11">
        <f>_xlfn.XLOOKUP(TableDailySummary[[#This Row],[Fecha]],SummaryDaily[day],SummaryDaily[Rappi_orders],0)</f>
        <v>0</v>
      </c>
      <c r="T563" s="11">
        <f>_xlfn.XLOOKUP(TableDailySummary[[#This Row],[Fecha]],SummaryDaily[day],SummaryDaily[Rappi_average_order_value],0)</f>
        <v>0</v>
      </c>
      <c r="U563" s="11">
        <f>_xlfn.XLOOKUP(TableDailySummary[[#This Row],[Fecha]],SummaryDaily[day],SummaryDaily[Corporativo no tienda_net_sales],0)</f>
        <v>0</v>
      </c>
      <c r="V563" s="11">
        <f>_xlfn.XLOOKUP(TableDailySummary[[#This Row],[Fecha]],SummaryDaily[day],SummaryDaily[Corporativo no tienda_orders],0)</f>
        <v>0</v>
      </c>
      <c r="W563" s="11">
        <f>_xlfn.XLOOKUP(TableDailySummary[[#This Row],[Fecha]],SummaryDaily[day],SummaryDaily[Corporativo no tienda_average_order_value],0)</f>
        <v>0</v>
      </c>
      <c r="X563" s="11">
        <f>_xlfn.XLOOKUP(TableDailySummary[[#This Row],[Fecha]],SummaryDaily[day],SummaryDaily[GoogleAdsOperation.Cost],0)</f>
        <v>0</v>
      </c>
      <c r="Y563" s="11">
        <f>SUMIFS(SalesByUTMDaily[google],SalesByUTMDaily[day],TableDailySummary[[#This Row],[Fecha]])</f>
        <v>0</v>
      </c>
      <c r="Z563" s="11">
        <f>_xlfn.XLOOKUP(TableDailySummary[[#This Row],[Fecha]],SummaryDaily[day],SummaryDaily[MetaAdsOperation.spend],0)</f>
        <v>0</v>
      </c>
      <c r="AA563" s="11">
        <f>SUMIFS(SalesByUTMDaily[facebook],SalesByUTMDaily[day],TableDailySummary[[#This Row],[Fecha]])</f>
        <v>0</v>
      </c>
      <c r="AB563" s="11">
        <f>TableDailySummary[[#This Row],[Inversión google ads]]+TableDailySummary[[#This Row],[Inversión meta ads]]</f>
        <v>0</v>
      </c>
      <c r="AC563" s="11">
        <f>TableDailySummary[[#This Row],[Ventas google ads]]+TableDailySummary[[#This Row],[Ventas meta ads]]</f>
        <v>0</v>
      </c>
      <c r="AD563" s="14">
        <f>IFERROR(TableDailySummary[[#This Row],[Ventas publicidad]]/TableDailySummary[[#This Row],[Inversión publicidad]],0)</f>
        <v>0</v>
      </c>
      <c r="AE563" s="14">
        <f>IFERROR(TableDailySummary[[#This Row],[Ventas primer cliente]]/TableDailySummary[[#This Row],[Inversión publicidad]],0)</f>
        <v>0</v>
      </c>
      <c r="AF563" s="14"/>
      <c r="AG563" s="11"/>
      <c r="AM563" s="11">
        <f>_xlfn.XLOOKUP(TableDailySummary[[#This Row],[Fecha]],SummaryDaily[day],SummaryDaily[net_sales_with_cost_recorded],0)</f>
        <v>0</v>
      </c>
      <c r="AN563" s="11">
        <f>_xlfn.XLOOKUP(TableDailySummary[[#This Row],[Fecha]],SummaryDaily[day],SummaryDaily[cost_of_goods_sold],0)</f>
        <v>0</v>
      </c>
      <c r="AO563" s="11">
        <f>_xlfn.XLOOKUP(TableDailySummary[[#This Row],[Fecha]],SummaryDaily[day],SummaryDaily[gross_profit],0)</f>
        <v>0</v>
      </c>
      <c r="AP563" s="18">
        <f>IFERROR(TableDailySummary[[#This Row],[Utilidad bruta]]/TableDailySummary[[#This Row],[Ventas netas con costo registrado]],0)</f>
        <v>0</v>
      </c>
    </row>
    <row r="564" spans="2:42" x14ac:dyDescent="0.2">
      <c r="B564" s="15" cm="1">
        <f t="array" ref="B564">ParamFechaInicioReporte + (ROW(TableDailySummary[#This Row]) - ROW(TableDailySummary[[#Headers],[Dia]]) - 1)</f>
        <v>45091</v>
      </c>
      <c r="C564" s="6">
        <f>TableDailySummary[[#This Row],[Dia]]</f>
        <v>45091</v>
      </c>
      <c r="D564" s="11">
        <f>_xlfn.XLOOKUP(TableDailySummary[[#This Row],[Fecha]],SummaryDaily[day],SummaryDaily[net_sales],0)</f>
        <v>0</v>
      </c>
      <c r="E564" s="11">
        <f>_xlfn.XLOOKUP(TableDailySummary[[#This Row],[Fecha]],SummaryDaily[day],SummaryDaily[orders],0)</f>
        <v>0</v>
      </c>
      <c r="F564" s="11">
        <f>_xlfn.XLOOKUP(TableDailySummary[[#This Row],[Fecha]],SummaryDaily[day],SummaryDaily[average_order_value],0)</f>
        <v>0</v>
      </c>
      <c r="G564" s="24" cm="1">
        <f t="array" ref="G564">_xlfn.XLOOKUP(TableDailySummary[[#This Row],[Fecha]]&amp;"Total site",ConversionRateByReferral[day]&amp;ConversionRateByReferral[referrer_source],ConversionRateByReferral[conversion_rate],0)</f>
        <v>0</v>
      </c>
      <c r="H564" s="11">
        <f>TableDailySummary[[#This Row],[Órden promedio totales]]*TableDailySummary[[#This Row],[CR totales]]</f>
        <v>0</v>
      </c>
      <c r="I564" s="11">
        <f>_xlfn.XLOOKUP(TableDailySummary[[#This Row],[Fecha]],SummaryDaily[day],SummaryDaily[new_net_sales],0)</f>
        <v>0</v>
      </c>
      <c r="J564" s="11">
        <f>_xlfn.XLOOKUP(TableDailySummary[[#This Row],[Fecha]],SummaryDaily[day],SummaryDaily[new_orders],0)</f>
        <v>0</v>
      </c>
      <c r="K564" s="11">
        <f>_xlfn.XLOOKUP(TableDailySummary[[#This Row],[Fecha]],SummaryDaily[day],SummaryDaily[new_average_order_value],0)</f>
        <v>0</v>
      </c>
      <c r="L564" s="11">
        <f>_xlfn.XLOOKUP(TableDailySummary[[#This Row],[Fecha]],SummaryDaily[day],SummaryDaily[Online Store_net_sales],0)</f>
        <v>0</v>
      </c>
      <c r="M564" s="11">
        <f>_xlfn.XLOOKUP(TableDailySummary[[#This Row],[Fecha]],SummaryDaily[day],SummaryDaily[Online Store_orders],0)</f>
        <v>0</v>
      </c>
      <c r="N564" s="11">
        <f>_xlfn.XLOOKUP(TableDailySummary[[#This Row],[Fecha]],SummaryDaily[day],SummaryDaily[Online Store_average_order_value],0)</f>
        <v>0</v>
      </c>
      <c r="O564" s="11">
        <f>_xlfn.XLOOKUP(TableDailySummary[[#This Row],[Fecha]],SummaryDaily[day],SummaryDaily[Tienda 81_net_sales],0)</f>
        <v>0</v>
      </c>
      <c r="P564" s="11">
        <f>_xlfn.XLOOKUP(TableDailySummary[[#This Row],[Fecha]],SummaryDaily[day],SummaryDaily[Tienda 81_orders],0)</f>
        <v>0</v>
      </c>
      <c r="Q564" s="11">
        <f>_xlfn.XLOOKUP(TableDailySummary[[#This Row],[Fecha]],SummaryDaily[day],SummaryDaily[Tienda 81_average_order_value],0)</f>
        <v>0</v>
      </c>
      <c r="R564" s="11">
        <f>_xlfn.XLOOKUP(TableDailySummary[[#This Row],[Fecha]],SummaryDaily[day],SummaryDaily[Rappi_net_sales],0)</f>
        <v>0</v>
      </c>
      <c r="S564" s="11">
        <f>_xlfn.XLOOKUP(TableDailySummary[[#This Row],[Fecha]],SummaryDaily[day],SummaryDaily[Rappi_orders],0)</f>
        <v>0</v>
      </c>
      <c r="T564" s="11">
        <f>_xlfn.XLOOKUP(TableDailySummary[[#This Row],[Fecha]],SummaryDaily[day],SummaryDaily[Rappi_average_order_value],0)</f>
        <v>0</v>
      </c>
      <c r="U564" s="11">
        <f>_xlfn.XLOOKUP(TableDailySummary[[#This Row],[Fecha]],SummaryDaily[day],SummaryDaily[Corporativo no tienda_net_sales],0)</f>
        <v>0</v>
      </c>
      <c r="V564" s="11">
        <f>_xlfn.XLOOKUP(TableDailySummary[[#This Row],[Fecha]],SummaryDaily[day],SummaryDaily[Corporativo no tienda_orders],0)</f>
        <v>0</v>
      </c>
      <c r="W564" s="11">
        <f>_xlfn.XLOOKUP(TableDailySummary[[#This Row],[Fecha]],SummaryDaily[day],SummaryDaily[Corporativo no tienda_average_order_value],0)</f>
        <v>0</v>
      </c>
      <c r="X564" s="11">
        <f>_xlfn.XLOOKUP(TableDailySummary[[#This Row],[Fecha]],SummaryDaily[day],SummaryDaily[GoogleAdsOperation.Cost],0)</f>
        <v>0</v>
      </c>
      <c r="Y564" s="11">
        <f>SUMIFS(SalesByUTMDaily[google],SalesByUTMDaily[day],TableDailySummary[[#This Row],[Fecha]])</f>
        <v>0</v>
      </c>
      <c r="Z564" s="11">
        <f>_xlfn.XLOOKUP(TableDailySummary[[#This Row],[Fecha]],SummaryDaily[day],SummaryDaily[MetaAdsOperation.spend],0)</f>
        <v>0</v>
      </c>
      <c r="AA564" s="11">
        <f>SUMIFS(SalesByUTMDaily[facebook],SalesByUTMDaily[day],TableDailySummary[[#This Row],[Fecha]])</f>
        <v>0</v>
      </c>
      <c r="AB564" s="11">
        <f>TableDailySummary[[#This Row],[Inversión google ads]]+TableDailySummary[[#This Row],[Inversión meta ads]]</f>
        <v>0</v>
      </c>
      <c r="AC564" s="11">
        <f>TableDailySummary[[#This Row],[Ventas google ads]]+TableDailySummary[[#This Row],[Ventas meta ads]]</f>
        <v>0</v>
      </c>
      <c r="AD564" s="14">
        <f>IFERROR(TableDailySummary[[#This Row],[Ventas publicidad]]/TableDailySummary[[#This Row],[Inversión publicidad]],0)</f>
        <v>0</v>
      </c>
      <c r="AE564" s="14">
        <f>IFERROR(TableDailySummary[[#This Row],[Ventas primer cliente]]/TableDailySummary[[#This Row],[Inversión publicidad]],0)</f>
        <v>0</v>
      </c>
      <c r="AF564" s="14"/>
      <c r="AG564" s="11"/>
      <c r="AM564" s="11">
        <f>_xlfn.XLOOKUP(TableDailySummary[[#This Row],[Fecha]],SummaryDaily[day],SummaryDaily[net_sales_with_cost_recorded],0)</f>
        <v>0</v>
      </c>
      <c r="AN564" s="11">
        <f>_xlfn.XLOOKUP(TableDailySummary[[#This Row],[Fecha]],SummaryDaily[day],SummaryDaily[cost_of_goods_sold],0)</f>
        <v>0</v>
      </c>
      <c r="AO564" s="11">
        <f>_xlfn.XLOOKUP(TableDailySummary[[#This Row],[Fecha]],SummaryDaily[day],SummaryDaily[gross_profit],0)</f>
        <v>0</v>
      </c>
      <c r="AP564" s="18">
        <f>IFERROR(TableDailySummary[[#This Row],[Utilidad bruta]]/TableDailySummary[[#This Row],[Ventas netas con costo registrado]],0)</f>
        <v>0</v>
      </c>
    </row>
    <row r="565" spans="2:42" x14ac:dyDescent="0.2">
      <c r="B565" s="15" cm="1">
        <f t="array" ref="B565">ParamFechaInicioReporte + (ROW(TableDailySummary[#This Row]) - ROW(TableDailySummary[[#Headers],[Dia]]) - 1)</f>
        <v>45092</v>
      </c>
      <c r="C565" s="6">
        <f>TableDailySummary[[#This Row],[Dia]]</f>
        <v>45092</v>
      </c>
      <c r="D565" s="11">
        <f>_xlfn.XLOOKUP(TableDailySummary[[#This Row],[Fecha]],SummaryDaily[day],SummaryDaily[net_sales],0)</f>
        <v>0</v>
      </c>
      <c r="E565" s="11">
        <f>_xlfn.XLOOKUP(TableDailySummary[[#This Row],[Fecha]],SummaryDaily[day],SummaryDaily[orders],0)</f>
        <v>0</v>
      </c>
      <c r="F565" s="11">
        <f>_xlfn.XLOOKUP(TableDailySummary[[#This Row],[Fecha]],SummaryDaily[day],SummaryDaily[average_order_value],0)</f>
        <v>0</v>
      </c>
      <c r="G565" s="24" cm="1">
        <f t="array" ref="G565">_xlfn.XLOOKUP(TableDailySummary[[#This Row],[Fecha]]&amp;"Total site",ConversionRateByReferral[day]&amp;ConversionRateByReferral[referrer_source],ConversionRateByReferral[conversion_rate],0)</f>
        <v>0</v>
      </c>
      <c r="H565" s="11">
        <f>TableDailySummary[[#This Row],[Órden promedio totales]]*TableDailySummary[[#This Row],[CR totales]]</f>
        <v>0</v>
      </c>
      <c r="I565" s="11">
        <f>_xlfn.XLOOKUP(TableDailySummary[[#This Row],[Fecha]],SummaryDaily[day],SummaryDaily[new_net_sales],0)</f>
        <v>0</v>
      </c>
      <c r="J565" s="11">
        <f>_xlfn.XLOOKUP(TableDailySummary[[#This Row],[Fecha]],SummaryDaily[day],SummaryDaily[new_orders],0)</f>
        <v>0</v>
      </c>
      <c r="K565" s="11">
        <f>_xlfn.XLOOKUP(TableDailySummary[[#This Row],[Fecha]],SummaryDaily[day],SummaryDaily[new_average_order_value],0)</f>
        <v>0</v>
      </c>
      <c r="L565" s="11">
        <f>_xlfn.XLOOKUP(TableDailySummary[[#This Row],[Fecha]],SummaryDaily[day],SummaryDaily[Online Store_net_sales],0)</f>
        <v>0</v>
      </c>
      <c r="M565" s="11">
        <f>_xlfn.XLOOKUP(TableDailySummary[[#This Row],[Fecha]],SummaryDaily[day],SummaryDaily[Online Store_orders],0)</f>
        <v>0</v>
      </c>
      <c r="N565" s="11">
        <f>_xlfn.XLOOKUP(TableDailySummary[[#This Row],[Fecha]],SummaryDaily[day],SummaryDaily[Online Store_average_order_value],0)</f>
        <v>0</v>
      </c>
      <c r="O565" s="11">
        <f>_xlfn.XLOOKUP(TableDailySummary[[#This Row],[Fecha]],SummaryDaily[day],SummaryDaily[Tienda 81_net_sales],0)</f>
        <v>0</v>
      </c>
      <c r="P565" s="11">
        <f>_xlfn.XLOOKUP(TableDailySummary[[#This Row],[Fecha]],SummaryDaily[day],SummaryDaily[Tienda 81_orders],0)</f>
        <v>0</v>
      </c>
      <c r="Q565" s="11">
        <f>_xlfn.XLOOKUP(TableDailySummary[[#This Row],[Fecha]],SummaryDaily[day],SummaryDaily[Tienda 81_average_order_value],0)</f>
        <v>0</v>
      </c>
      <c r="R565" s="11">
        <f>_xlfn.XLOOKUP(TableDailySummary[[#This Row],[Fecha]],SummaryDaily[day],SummaryDaily[Rappi_net_sales],0)</f>
        <v>0</v>
      </c>
      <c r="S565" s="11">
        <f>_xlfn.XLOOKUP(TableDailySummary[[#This Row],[Fecha]],SummaryDaily[day],SummaryDaily[Rappi_orders],0)</f>
        <v>0</v>
      </c>
      <c r="T565" s="11">
        <f>_xlfn.XLOOKUP(TableDailySummary[[#This Row],[Fecha]],SummaryDaily[day],SummaryDaily[Rappi_average_order_value],0)</f>
        <v>0</v>
      </c>
      <c r="U565" s="11">
        <f>_xlfn.XLOOKUP(TableDailySummary[[#This Row],[Fecha]],SummaryDaily[day],SummaryDaily[Corporativo no tienda_net_sales],0)</f>
        <v>0</v>
      </c>
      <c r="V565" s="11">
        <f>_xlfn.XLOOKUP(TableDailySummary[[#This Row],[Fecha]],SummaryDaily[day],SummaryDaily[Corporativo no tienda_orders],0)</f>
        <v>0</v>
      </c>
      <c r="W565" s="11">
        <f>_xlfn.XLOOKUP(TableDailySummary[[#This Row],[Fecha]],SummaryDaily[day],SummaryDaily[Corporativo no tienda_average_order_value],0)</f>
        <v>0</v>
      </c>
      <c r="X565" s="11">
        <f>_xlfn.XLOOKUP(TableDailySummary[[#This Row],[Fecha]],SummaryDaily[day],SummaryDaily[GoogleAdsOperation.Cost],0)</f>
        <v>0</v>
      </c>
      <c r="Y565" s="11">
        <f>SUMIFS(SalesByUTMDaily[google],SalesByUTMDaily[day],TableDailySummary[[#This Row],[Fecha]])</f>
        <v>0</v>
      </c>
      <c r="Z565" s="11">
        <f>_xlfn.XLOOKUP(TableDailySummary[[#This Row],[Fecha]],SummaryDaily[day],SummaryDaily[MetaAdsOperation.spend],0)</f>
        <v>0</v>
      </c>
      <c r="AA565" s="11">
        <f>SUMIFS(SalesByUTMDaily[facebook],SalesByUTMDaily[day],TableDailySummary[[#This Row],[Fecha]])</f>
        <v>0</v>
      </c>
      <c r="AB565" s="11">
        <f>TableDailySummary[[#This Row],[Inversión google ads]]+TableDailySummary[[#This Row],[Inversión meta ads]]</f>
        <v>0</v>
      </c>
      <c r="AC565" s="11">
        <f>TableDailySummary[[#This Row],[Ventas google ads]]+TableDailySummary[[#This Row],[Ventas meta ads]]</f>
        <v>0</v>
      </c>
      <c r="AD565" s="14">
        <f>IFERROR(TableDailySummary[[#This Row],[Ventas publicidad]]/TableDailySummary[[#This Row],[Inversión publicidad]],0)</f>
        <v>0</v>
      </c>
      <c r="AE565" s="14">
        <f>IFERROR(TableDailySummary[[#This Row],[Ventas primer cliente]]/TableDailySummary[[#This Row],[Inversión publicidad]],0)</f>
        <v>0</v>
      </c>
      <c r="AF565" s="14"/>
      <c r="AG565" s="11"/>
      <c r="AM565" s="11">
        <f>_xlfn.XLOOKUP(TableDailySummary[[#This Row],[Fecha]],SummaryDaily[day],SummaryDaily[net_sales_with_cost_recorded],0)</f>
        <v>0</v>
      </c>
      <c r="AN565" s="11">
        <f>_xlfn.XLOOKUP(TableDailySummary[[#This Row],[Fecha]],SummaryDaily[day],SummaryDaily[cost_of_goods_sold],0)</f>
        <v>0</v>
      </c>
      <c r="AO565" s="11">
        <f>_xlfn.XLOOKUP(TableDailySummary[[#This Row],[Fecha]],SummaryDaily[day],SummaryDaily[gross_profit],0)</f>
        <v>0</v>
      </c>
      <c r="AP565" s="18">
        <f>IFERROR(TableDailySummary[[#This Row],[Utilidad bruta]]/TableDailySummary[[#This Row],[Ventas netas con costo registrado]],0)</f>
        <v>0</v>
      </c>
    </row>
    <row r="566" spans="2:42" x14ac:dyDescent="0.2">
      <c r="B566" s="15" cm="1">
        <f t="array" ref="B566">ParamFechaInicioReporte + (ROW(TableDailySummary[#This Row]) - ROW(TableDailySummary[[#Headers],[Dia]]) - 1)</f>
        <v>45093</v>
      </c>
      <c r="C566" s="6">
        <f>TableDailySummary[[#This Row],[Dia]]</f>
        <v>45093</v>
      </c>
      <c r="D566" s="11">
        <f>_xlfn.XLOOKUP(TableDailySummary[[#This Row],[Fecha]],SummaryDaily[day],SummaryDaily[net_sales],0)</f>
        <v>0</v>
      </c>
      <c r="E566" s="11">
        <f>_xlfn.XLOOKUP(TableDailySummary[[#This Row],[Fecha]],SummaryDaily[day],SummaryDaily[orders],0)</f>
        <v>0</v>
      </c>
      <c r="F566" s="11">
        <f>_xlfn.XLOOKUP(TableDailySummary[[#This Row],[Fecha]],SummaryDaily[day],SummaryDaily[average_order_value],0)</f>
        <v>0</v>
      </c>
      <c r="G566" s="24" cm="1">
        <f t="array" ref="G566">_xlfn.XLOOKUP(TableDailySummary[[#This Row],[Fecha]]&amp;"Total site",ConversionRateByReferral[day]&amp;ConversionRateByReferral[referrer_source],ConversionRateByReferral[conversion_rate],0)</f>
        <v>0</v>
      </c>
      <c r="H566" s="11">
        <f>TableDailySummary[[#This Row],[Órden promedio totales]]*TableDailySummary[[#This Row],[CR totales]]</f>
        <v>0</v>
      </c>
      <c r="I566" s="11">
        <f>_xlfn.XLOOKUP(TableDailySummary[[#This Row],[Fecha]],SummaryDaily[day],SummaryDaily[new_net_sales],0)</f>
        <v>0</v>
      </c>
      <c r="J566" s="11">
        <f>_xlfn.XLOOKUP(TableDailySummary[[#This Row],[Fecha]],SummaryDaily[day],SummaryDaily[new_orders],0)</f>
        <v>0</v>
      </c>
      <c r="K566" s="11">
        <f>_xlfn.XLOOKUP(TableDailySummary[[#This Row],[Fecha]],SummaryDaily[day],SummaryDaily[new_average_order_value],0)</f>
        <v>0</v>
      </c>
      <c r="L566" s="11">
        <f>_xlfn.XLOOKUP(TableDailySummary[[#This Row],[Fecha]],SummaryDaily[day],SummaryDaily[Online Store_net_sales],0)</f>
        <v>0</v>
      </c>
      <c r="M566" s="11">
        <f>_xlfn.XLOOKUP(TableDailySummary[[#This Row],[Fecha]],SummaryDaily[day],SummaryDaily[Online Store_orders],0)</f>
        <v>0</v>
      </c>
      <c r="N566" s="11">
        <f>_xlfn.XLOOKUP(TableDailySummary[[#This Row],[Fecha]],SummaryDaily[day],SummaryDaily[Online Store_average_order_value],0)</f>
        <v>0</v>
      </c>
      <c r="O566" s="11">
        <f>_xlfn.XLOOKUP(TableDailySummary[[#This Row],[Fecha]],SummaryDaily[day],SummaryDaily[Tienda 81_net_sales],0)</f>
        <v>0</v>
      </c>
      <c r="P566" s="11">
        <f>_xlfn.XLOOKUP(TableDailySummary[[#This Row],[Fecha]],SummaryDaily[day],SummaryDaily[Tienda 81_orders],0)</f>
        <v>0</v>
      </c>
      <c r="Q566" s="11">
        <f>_xlfn.XLOOKUP(TableDailySummary[[#This Row],[Fecha]],SummaryDaily[day],SummaryDaily[Tienda 81_average_order_value],0)</f>
        <v>0</v>
      </c>
      <c r="R566" s="11">
        <f>_xlfn.XLOOKUP(TableDailySummary[[#This Row],[Fecha]],SummaryDaily[day],SummaryDaily[Rappi_net_sales],0)</f>
        <v>0</v>
      </c>
      <c r="S566" s="11">
        <f>_xlfn.XLOOKUP(TableDailySummary[[#This Row],[Fecha]],SummaryDaily[day],SummaryDaily[Rappi_orders],0)</f>
        <v>0</v>
      </c>
      <c r="T566" s="11">
        <f>_xlfn.XLOOKUP(TableDailySummary[[#This Row],[Fecha]],SummaryDaily[day],SummaryDaily[Rappi_average_order_value],0)</f>
        <v>0</v>
      </c>
      <c r="U566" s="11">
        <f>_xlfn.XLOOKUP(TableDailySummary[[#This Row],[Fecha]],SummaryDaily[day],SummaryDaily[Corporativo no tienda_net_sales],0)</f>
        <v>0</v>
      </c>
      <c r="V566" s="11">
        <f>_xlfn.XLOOKUP(TableDailySummary[[#This Row],[Fecha]],SummaryDaily[day],SummaryDaily[Corporativo no tienda_orders],0)</f>
        <v>0</v>
      </c>
      <c r="W566" s="11">
        <f>_xlfn.XLOOKUP(TableDailySummary[[#This Row],[Fecha]],SummaryDaily[day],SummaryDaily[Corporativo no tienda_average_order_value],0)</f>
        <v>0</v>
      </c>
      <c r="X566" s="11">
        <f>_xlfn.XLOOKUP(TableDailySummary[[#This Row],[Fecha]],SummaryDaily[day],SummaryDaily[GoogleAdsOperation.Cost],0)</f>
        <v>0</v>
      </c>
      <c r="Y566" s="11">
        <f>SUMIFS(SalesByUTMDaily[google],SalesByUTMDaily[day],TableDailySummary[[#This Row],[Fecha]])</f>
        <v>0</v>
      </c>
      <c r="Z566" s="11">
        <f>_xlfn.XLOOKUP(TableDailySummary[[#This Row],[Fecha]],SummaryDaily[day],SummaryDaily[MetaAdsOperation.spend],0)</f>
        <v>0</v>
      </c>
      <c r="AA566" s="11">
        <f>SUMIFS(SalesByUTMDaily[facebook],SalesByUTMDaily[day],TableDailySummary[[#This Row],[Fecha]])</f>
        <v>0</v>
      </c>
      <c r="AB566" s="11">
        <f>TableDailySummary[[#This Row],[Inversión google ads]]+TableDailySummary[[#This Row],[Inversión meta ads]]</f>
        <v>0</v>
      </c>
      <c r="AC566" s="11">
        <f>TableDailySummary[[#This Row],[Ventas google ads]]+TableDailySummary[[#This Row],[Ventas meta ads]]</f>
        <v>0</v>
      </c>
      <c r="AD566" s="14">
        <f>IFERROR(TableDailySummary[[#This Row],[Ventas publicidad]]/TableDailySummary[[#This Row],[Inversión publicidad]],0)</f>
        <v>0</v>
      </c>
      <c r="AE566" s="14">
        <f>IFERROR(TableDailySummary[[#This Row],[Ventas primer cliente]]/TableDailySummary[[#This Row],[Inversión publicidad]],0)</f>
        <v>0</v>
      </c>
      <c r="AF566" s="14"/>
      <c r="AG566" s="11"/>
      <c r="AM566" s="11">
        <f>_xlfn.XLOOKUP(TableDailySummary[[#This Row],[Fecha]],SummaryDaily[day],SummaryDaily[net_sales_with_cost_recorded],0)</f>
        <v>0</v>
      </c>
      <c r="AN566" s="11">
        <f>_xlfn.XLOOKUP(TableDailySummary[[#This Row],[Fecha]],SummaryDaily[day],SummaryDaily[cost_of_goods_sold],0)</f>
        <v>0</v>
      </c>
      <c r="AO566" s="11">
        <f>_xlfn.XLOOKUP(TableDailySummary[[#This Row],[Fecha]],SummaryDaily[day],SummaryDaily[gross_profit],0)</f>
        <v>0</v>
      </c>
      <c r="AP566" s="18">
        <f>IFERROR(TableDailySummary[[#This Row],[Utilidad bruta]]/TableDailySummary[[#This Row],[Ventas netas con costo registrado]],0)</f>
        <v>0</v>
      </c>
    </row>
    <row r="567" spans="2:42" x14ac:dyDescent="0.2">
      <c r="B567" s="15" cm="1">
        <f t="array" ref="B567">ParamFechaInicioReporte + (ROW(TableDailySummary[#This Row]) - ROW(TableDailySummary[[#Headers],[Dia]]) - 1)</f>
        <v>45094</v>
      </c>
      <c r="C567" s="6">
        <f>TableDailySummary[[#This Row],[Dia]]</f>
        <v>45094</v>
      </c>
      <c r="D567" s="11">
        <f>_xlfn.XLOOKUP(TableDailySummary[[#This Row],[Fecha]],SummaryDaily[day],SummaryDaily[net_sales],0)</f>
        <v>0</v>
      </c>
      <c r="E567" s="11">
        <f>_xlfn.XLOOKUP(TableDailySummary[[#This Row],[Fecha]],SummaryDaily[day],SummaryDaily[orders],0)</f>
        <v>0</v>
      </c>
      <c r="F567" s="11">
        <f>_xlfn.XLOOKUP(TableDailySummary[[#This Row],[Fecha]],SummaryDaily[day],SummaryDaily[average_order_value],0)</f>
        <v>0</v>
      </c>
      <c r="G567" s="24" cm="1">
        <f t="array" ref="G567">_xlfn.XLOOKUP(TableDailySummary[[#This Row],[Fecha]]&amp;"Total site",ConversionRateByReferral[day]&amp;ConversionRateByReferral[referrer_source],ConversionRateByReferral[conversion_rate],0)</f>
        <v>0</v>
      </c>
      <c r="H567" s="11">
        <f>TableDailySummary[[#This Row],[Órden promedio totales]]*TableDailySummary[[#This Row],[CR totales]]</f>
        <v>0</v>
      </c>
      <c r="I567" s="11">
        <f>_xlfn.XLOOKUP(TableDailySummary[[#This Row],[Fecha]],SummaryDaily[day],SummaryDaily[new_net_sales],0)</f>
        <v>0</v>
      </c>
      <c r="J567" s="11">
        <f>_xlfn.XLOOKUP(TableDailySummary[[#This Row],[Fecha]],SummaryDaily[day],SummaryDaily[new_orders],0)</f>
        <v>0</v>
      </c>
      <c r="K567" s="11">
        <f>_xlfn.XLOOKUP(TableDailySummary[[#This Row],[Fecha]],SummaryDaily[day],SummaryDaily[new_average_order_value],0)</f>
        <v>0</v>
      </c>
      <c r="L567" s="11">
        <f>_xlfn.XLOOKUP(TableDailySummary[[#This Row],[Fecha]],SummaryDaily[day],SummaryDaily[Online Store_net_sales],0)</f>
        <v>0</v>
      </c>
      <c r="M567" s="11">
        <f>_xlfn.XLOOKUP(TableDailySummary[[#This Row],[Fecha]],SummaryDaily[day],SummaryDaily[Online Store_orders],0)</f>
        <v>0</v>
      </c>
      <c r="N567" s="11">
        <f>_xlfn.XLOOKUP(TableDailySummary[[#This Row],[Fecha]],SummaryDaily[day],SummaryDaily[Online Store_average_order_value],0)</f>
        <v>0</v>
      </c>
      <c r="O567" s="11">
        <f>_xlfn.XLOOKUP(TableDailySummary[[#This Row],[Fecha]],SummaryDaily[day],SummaryDaily[Tienda 81_net_sales],0)</f>
        <v>0</v>
      </c>
      <c r="P567" s="11">
        <f>_xlfn.XLOOKUP(TableDailySummary[[#This Row],[Fecha]],SummaryDaily[day],SummaryDaily[Tienda 81_orders],0)</f>
        <v>0</v>
      </c>
      <c r="Q567" s="11">
        <f>_xlfn.XLOOKUP(TableDailySummary[[#This Row],[Fecha]],SummaryDaily[day],SummaryDaily[Tienda 81_average_order_value],0)</f>
        <v>0</v>
      </c>
      <c r="R567" s="11">
        <f>_xlfn.XLOOKUP(TableDailySummary[[#This Row],[Fecha]],SummaryDaily[day],SummaryDaily[Rappi_net_sales],0)</f>
        <v>0</v>
      </c>
      <c r="S567" s="11">
        <f>_xlfn.XLOOKUP(TableDailySummary[[#This Row],[Fecha]],SummaryDaily[day],SummaryDaily[Rappi_orders],0)</f>
        <v>0</v>
      </c>
      <c r="T567" s="11">
        <f>_xlfn.XLOOKUP(TableDailySummary[[#This Row],[Fecha]],SummaryDaily[day],SummaryDaily[Rappi_average_order_value],0)</f>
        <v>0</v>
      </c>
      <c r="U567" s="11">
        <f>_xlfn.XLOOKUP(TableDailySummary[[#This Row],[Fecha]],SummaryDaily[day],SummaryDaily[Corporativo no tienda_net_sales],0)</f>
        <v>0</v>
      </c>
      <c r="V567" s="11">
        <f>_xlfn.XLOOKUP(TableDailySummary[[#This Row],[Fecha]],SummaryDaily[day],SummaryDaily[Corporativo no tienda_orders],0)</f>
        <v>0</v>
      </c>
      <c r="W567" s="11">
        <f>_xlfn.XLOOKUP(TableDailySummary[[#This Row],[Fecha]],SummaryDaily[day],SummaryDaily[Corporativo no tienda_average_order_value],0)</f>
        <v>0</v>
      </c>
      <c r="X567" s="11">
        <f>_xlfn.XLOOKUP(TableDailySummary[[#This Row],[Fecha]],SummaryDaily[day],SummaryDaily[GoogleAdsOperation.Cost],0)</f>
        <v>0</v>
      </c>
      <c r="Y567" s="11">
        <f>SUMIFS(SalesByUTMDaily[google],SalesByUTMDaily[day],TableDailySummary[[#This Row],[Fecha]])</f>
        <v>0</v>
      </c>
      <c r="Z567" s="11">
        <f>_xlfn.XLOOKUP(TableDailySummary[[#This Row],[Fecha]],SummaryDaily[day],SummaryDaily[MetaAdsOperation.spend],0)</f>
        <v>0</v>
      </c>
      <c r="AA567" s="11">
        <f>SUMIFS(SalesByUTMDaily[facebook],SalesByUTMDaily[day],TableDailySummary[[#This Row],[Fecha]])</f>
        <v>0</v>
      </c>
      <c r="AB567" s="11">
        <f>TableDailySummary[[#This Row],[Inversión google ads]]+TableDailySummary[[#This Row],[Inversión meta ads]]</f>
        <v>0</v>
      </c>
      <c r="AC567" s="11">
        <f>TableDailySummary[[#This Row],[Ventas google ads]]+TableDailySummary[[#This Row],[Ventas meta ads]]</f>
        <v>0</v>
      </c>
      <c r="AD567" s="14">
        <f>IFERROR(TableDailySummary[[#This Row],[Ventas publicidad]]/TableDailySummary[[#This Row],[Inversión publicidad]],0)</f>
        <v>0</v>
      </c>
      <c r="AE567" s="14">
        <f>IFERROR(TableDailySummary[[#This Row],[Ventas primer cliente]]/TableDailySummary[[#This Row],[Inversión publicidad]],0)</f>
        <v>0</v>
      </c>
      <c r="AF567" s="14"/>
      <c r="AG567" s="11"/>
      <c r="AM567" s="11">
        <f>_xlfn.XLOOKUP(TableDailySummary[[#This Row],[Fecha]],SummaryDaily[day],SummaryDaily[net_sales_with_cost_recorded],0)</f>
        <v>0</v>
      </c>
      <c r="AN567" s="11">
        <f>_xlfn.XLOOKUP(TableDailySummary[[#This Row],[Fecha]],SummaryDaily[day],SummaryDaily[cost_of_goods_sold],0)</f>
        <v>0</v>
      </c>
      <c r="AO567" s="11">
        <f>_xlfn.XLOOKUP(TableDailySummary[[#This Row],[Fecha]],SummaryDaily[day],SummaryDaily[gross_profit],0)</f>
        <v>0</v>
      </c>
      <c r="AP567" s="18">
        <f>IFERROR(TableDailySummary[[#This Row],[Utilidad bruta]]/TableDailySummary[[#This Row],[Ventas netas con costo registrado]],0)</f>
        <v>0</v>
      </c>
    </row>
    <row r="568" spans="2:42" x14ac:dyDescent="0.2">
      <c r="B568" s="15" cm="1">
        <f t="array" ref="B568">ParamFechaInicioReporte + (ROW(TableDailySummary[#This Row]) - ROW(TableDailySummary[[#Headers],[Dia]]) - 1)</f>
        <v>45095</v>
      </c>
      <c r="C568" s="6">
        <f>TableDailySummary[[#This Row],[Dia]]</f>
        <v>45095</v>
      </c>
      <c r="D568" s="11">
        <f>_xlfn.XLOOKUP(TableDailySummary[[#This Row],[Fecha]],SummaryDaily[day],SummaryDaily[net_sales],0)</f>
        <v>0</v>
      </c>
      <c r="E568" s="11">
        <f>_xlfn.XLOOKUP(TableDailySummary[[#This Row],[Fecha]],SummaryDaily[day],SummaryDaily[orders],0)</f>
        <v>0</v>
      </c>
      <c r="F568" s="11">
        <f>_xlfn.XLOOKUP(TableDailySummary[[#This Row],[Fecha]],SummaryDaily[day],SummaryDaily[average_order_value],0)</f>
        <v>0</v>
      </c>
      <c r="G568" s="24" cm="1">
        <f t="array" ref="G568">_xlfn.XLOOKUP(TableDailySummary[[#This Row],[Fecha]]&amp;"Total site",ConversionRateByReferral[day]&amp;ConversionRateByReferral[referrer_source],ConversionRateByReferral[conversion_rate],0)</f>
        <v>0</v>
      </c>
      <c r="H568" s="11">
        <f>TableDailySummary[[#This Row],[Órden promedio totales]]*TableDailySummary[[#This Row],[CR totales]]</f>
        <v>0</v>
      </c>
      <c r="I568" s="11">
        <f>_xlfn.XLOOKUP(TableDailySummary[[#This Row],[Fecha]],SummaryDaily[day],SummaryDaily[new_net_sales],0)</f>
        <v>0</v>
      </c>
      <c r="J568" s="11">
        <f>_xlfn.XLOOKUP(TableDailySummary[[#This Row],[Fecha]],SummaryDaily[day],SummaryDaily[new_orders],0)</f>
        <v>0</v>
      </c>
      <c r="K568" s="11">
        <f>_xlfn.XLOOKUP(TableDailySummary[[#This Row],[Fecha]],SummaryDaily[day],SummaryDaily[new_average_order_value],0)</f>
        <v>0</v>
      </c>
      <c r="L568" s="11">
        <f>_xlfn.XLOOKUP(TableDailySummary[[#This Row],[Fecha]],SummaryDaily[day],SummaryDaily[Online Store_net_sales],0)</f>
        <v>0</v>
      </c>
      <c r="M568" s="11">
        <f>_xlfn.XLOOKUP(TableDailySummary[[#This Row],[Fecha]],SummaryDaily[day],SummaryDaily[Online Store_orders],0)</f>
        <v>0</v>
      </c>
      <c r="N568" s="11">
        <f>_xlfn.XLOOKUP(TableDailySummary[[#This Row],[Fecha]],SummaryDaily[day],SummaryDaily[Online Store_average_order_value],0)</f>
        <v>0</v>
      </c>
      <c r="O568" s="11">
        <f>_xlfn.XLOOKUP(TableDailySummary[[#This Row],[Fecha]],SummaryDaily[day],SummaryDaily[Tienda 81_net_sales],0)</f>
        <v>0</v>
      </c>
      <c r="P568" s="11">
        <f>_xlfn.XLOOKUP(TableDailySummary[[#This Row],[Fecha]],SummaryDaily[day],SummaryDaily[Tienda 81_orders],0)</f>
        <v>0</v>
      </c>
      <c r="Q568" s="11">
        <f>_xlfn.XLOOKUP(TableDailySummary[[#This Row],[Fecha]],SummaryDaily[day],SummaryDaily[Tienda 81_average_order_value],0)</f>
        <v>0</v>
      </c>
      <c r="R568" s="11">
        <f>_xlfn.XLOOKUP(TableDailySummary[[#This Row],[Fecha]],SummaryDaily[day],SummaryDaily[Rappi_net_sales],0)</f>
        <v>0</v>
      </c>
      <c r="S568" s="11">
        <f>_xlfn.XLOOKUP(TableDailySummary[[#This Row],[Fecha]],SummaryDaily[day],SummaryDaily[Rappi_orders],0)</f>
        <v>0</v>
      </c>
      <c r="T568" s="11">
        <f>_xlfn.XLOOKUP(TableDailySummary[[#This Row],[Fecha]],SummaryDaily[day],SummaryDaily[Rappi_average_order_value],0)</f>
        <v>0</v>
      </c>
      <c r="U568" s="11">
        <f>_xlfn.XLOOKUP(TableDailySummary[[#This Row],[Fecha]],SummaryDaily[day],SummaryDaily[Corporativo no tienda_net_sales],0)</f>
        <v>0</v>
      </c>
      <c r="V568" s="11">
        <f>_xlfn.XLOOKUP(TableDailySummary[[#This Row],[Fecha]],SummaryDaily[day],SummaryDaily[Corporativo no tienda_orders],0)</f>
        <v>0</v>
      </c>
      <c r="W568" s="11">
        <f>_xlfn.XLOOKUP(TableDailySummary[[#This Row],[Fecha]],SummaryDaily[day],SummaryDaily[Corporativo no tienda_average_order_value],0)</f>
        <v>0</v>
      </c>
      <c r="X568" s="11">
        <f>_xlfn.XLOOKUP(TableDailySummary[[#This Row],[Fecha]],SummaryDaily[day],SummaryDaily[GoogleAdsOperation.Cost],0)</f>
        <v>0</v>
      </c>
      <c r="Y568" s="11">
        <f>SUMIFS(SalesByUTMDaily[google],SalesByUTMDaily[day],TableDailySummary[[#This Row],[Fecha]])</f>
        <v>0</v>
      </c>
      <c r="Z568" s="11">
        <f>_xlfn.XLOOKUP(TableDailySummary[[#This Row],[Fecha]],SummaryDaily[day],SummaryDaily[MetaAdsOperation.spend],0)</f>
        <v>0</v>
      </c>
      <c r="AA568" s="11">
        <f>SUMIFS(SalesByUTMDaily[facebook],SalesByUTMDaily[day],TableDailySummary[[#This Row],[Fecha]])</f>
        <v>0</v>
      </c>
      <c r="AB568" s="11">
        <f>TableDailySummary[[#This Row],[Inversión google ads]]+TableDailySummary[[#This Row],[Inversión meta ads]]</f>
        <v>0</v>
      </c>
      <c r="AC568" s="11">
        <f>TableDailySummary[[#This Row],[Ventas google ads]]+TableDailySummary[[#This Row],[Ventas meta ads]]</f>
        <v>0</v>
      </c>
      <c r="AD568" s="14">
        <f>IFERROR(TableDailySummary[[#This Row],[Ventas publicidad]]/TableDailySummary[[#This Row],[Inversión publicidad]],0)</f>
        <v>0</v>
      </c>
      <c r="AE568" s="14">
        <f>IFERROR(TableDailySummary[[#This Row],[Ventas primer cliente]]/TableDailySummary[[#This Row],[Inversión publicidad]],0)</f>
        <v>0</v>
      </c>
      <c r="AF568" s="14"/>
      <c r="AG568" s="11"/>
      <c r="AM568" s="11">
        <f>_xlfn.XLOOKUP(TableDailySummary[[#This Row],[Fecha]],SummaryDaily[day],SummaryDaily[net_sales_with_cost_recorded],0)</f>
        <v>0</v>
      </c>
      <c r="AN568" s="11">
        <f>_xlfn.XLOOKUP(TableDailySummary[[#This Row],[Fecha]],SummaryDaily[day],SummaryDaily[cost_of_goods_sold],0)</f>
        <v>0</v>
      </c>
      <c r="AO568" s="11">
        <f>_xlfn.XLOOKUP(TableDailySummary[[#This Row],[Fecha]],SummaryDaily[day],SummaryDaily[gross_profit],0)</f>
        <v>0</v>
      </c>
      <c r="AP568" s="18">
        <f>IFERROR(TableDailySummary[[#This Row],[Utilidad bruta]]/TableDailySummary[[#This Row],[Ventas netas con costo registrado]],0)</f>
        <v>0</v>
      </c>
    </row>
    <row r="569" spans="2:42" x14ac:dyDescent="0.2">
      <c r="B569" s="15" cm="1">
        <f t="array" ref="B569">ParamFechaInicioReporte + (ROW(TableDailySummary[#This Row]) - ROW(TableDailySummary[[#Headers],[Dia]]) - 1)</f>
        <v>45096</v>
      </c>
      <c r="C569" s="6">
        <f>TableDailySummary[[#This Row],[Dia]]</f>
        <v>45096</v>
      </c>
      <c r="D569" s="11">
        <f>_xlfn.XLOOKUP(TableDailySummary[[#This Row],[Fecha]],SummaryDaily[day],SummaryDaily[net_sales],0)</f>
        <v>0</v>
      </c>
      <c r="E569" s="11">
        <f>_xlfn.XLOOKUP(TableDailySummary[[#This Row],[Fecha]],SummaryDaily[day],SummaryDaily[orders],0)</f>
        <v>0</v>
      </c>
      <c r="F569" s="11">
        <f>_xlfn.XLOOKUP(TableDailySummary[[#This Row],[Fecha]],SummaryDaily[day],SummaryDaily[average_order_value],0)</f>
        <v>0</v>
      </c>
      <c r="G569" s="24" cm="1">
        <f t="array" ref="G569">_xlfn.XLOOKUP(TableDailySummary[[#This Row],[Fecha]]&amp;"Total site",ConversionRateByReferral[day]&amp;ConversionRateByReferral[referrer_source],ConversionRateByReferral[conversion_rate],0)</f>
        <v>0</v>
      </c>
      <c r="H569" s="11">
        <f>TableDailySummary[[#This Row],[Órden promedio totales]]*TableDailySummary[[#This Row],[CR totales]]</f>
        <v>0</v>
      </c>
      <c r="I569" s="11">
        <f>_xlfn.XLOOKUP(TableDailySummary[[#This Row],[Fecha]],SummaryDaily[day],SummaryDaily[new_net_sales],0)</f>
        <v>0</v>
      </c>
      <c r="J569" s="11">
        <f>_xlfn.XLOOKUP(TableDailySummary[[#This Row],[Fecha]],SummaryDaily[day],SummaryDaily[new_orders],0)</f>
        <v>0</v>
      </c>
      <c r="K569" s="11">
        <f>_xlfn.XLOOKUP(TableDailySummary[[#This Row],[Fecha]],SummaryDaily[day],SummaryDaily[new_average_order_value],0)</f>
        <v>0</v>
      </c>
      <c r="L569" s="11">
        <f>_xlfn.XLOOKUP(TableDailySummary[[#This Row],[Fecha]],SummaryDaily[day],SummaryDaily[Online Store_net_sales],0)</f>
        <v>0</v>
      </c>
      <c r="M569" s="11">
        <f>_xlfn.XLOOKUP(TableDailySummary[[#This Row],[Fecha]],SummaryDaily[day],SummaryDaily[Online Store_orders],0)</f>
        <v>0</v>
      </c>
      <c r="N569" s="11">
        <f>_xlfn.XLOOKUP(TableDailySummary[[#This Row],[Fecha]],SummaryDaily[day],SummaryDaily[Online Store_average_order_value],0)</f>
        <v>0</v>
      </c>
      <c r="O569" s="11">
        <f>_xlfn.XLOOKUP(TableDailySummary[[#This Row],[Fecha]],SummaryDaily[day],SummaryDaily[Tienda 81_net_sales],0)</f>
        <v>0</v>
      </c>
      <c r="P569" s="11">
        <f>_xlfn.XLOOKUP(TableDailySummary[[#This Row],[Fecha]],SummaryDaily[day],SummaryDaily[Tienda 81_orders],0)</f>
        <v>0</v>
      </c>
      <c r="Q569" s="11">
        <f>_xlfn.XLOOKUP(TableDailySummary[[#This Row],[Fecha]],SummaryDaily[day],SummaryDaily[Tienda 81_average_order_value],0)</f>
        <v>0</v>
      </c>
      <c r="R569" s="11">
        <f>_xlfn.XLOOKUP(TableDailySummary[[#This Row],[Fecha]],SummaryDaily[day],SummaryDaily[Rappi_net_sales],0)</f>
        <v>0</v>
      </c>
      <c r="S569" s="11">
        <f>_xlfn.XLOOKUP(TableDailySummary[[#This Row],[Fecha]],SummaryDaily[day],SummaryDaily[Rappi_orders],0)</f>
        <v>0</v>
      </c>
      <c r="T569" s="11">
        <f>_xlfn.XLOOKUP(TableDailySummary[[#This Row],[Fecha]],SummaryDaily[day],SummaryDaily[Rappi_average_order_value],0)</f>
        <v>0</v>
      </c>
      <c r="U569" s="11">
        <f>_xlfn.XLOOKUP(TableDailySummary[[#This Row],[Fecha]],SummaryDaily[day],SummaryDaily[Corporativo no tienda_net_sales],0)</f>
        <v>0</v>
      </c>
      <c r="V569" s="11">
        <f>_xlfn.XLOOKUP(TableDailySummary[[#This Row],[Fecha]],SummaryDaily[day],SummaryDaily[Corporativo no tienda_orders],0)</f>
        <v>0</v>
      </c>
      <c r="W569" s="11">
        <f>_xlfn.XLOOKUP(TableDailySummary[[#This Row],[Fecha]],SummaryDaily[day],SummaryDaily[Corporativo no tienda_average_order_value],0)</f>
        <v>0</v>
      </c>
      <c r="X569" s="11">
        <f>_xlfn.XLOOKUP(TableDailySummary[[#This Row],[Fecha]],SummaryDaily[day],SummaryDaily[GoogleAdsOperation.Cost],0)</f>
        <v>0</v>
      </c>
      <c r="Y569" s="11">
        <f>SUMIFS(SalesByUTMDaily[google],SalesByUTMDaily[day],TableDailySummary[[#This Row],[Fecha]])</f>
        <v>0</v>
      </c>
      <c r="Z569" s="11">
        <f>_xlfn.XLOOKUP(TableDailySummary[[#This Row],[Fecha]],SummaryDaily[day],SummaryDaily[MetaAdsOperation.spend],0)</f>
        <v>0</v>
      </c>
      <c r="AA569" s="11">
        <f>SUMIFS(SalesByUTMDaily[facebook],SalesByUTMDaily[day],TableDailySummary[[#This Row],[Fecha]])</f>
        <v>0</v>
      </c>
      <c r="AB569" s="11">
        <f>TableDailySummary[[#This Row],[Inversión google ads]]+TableDailySummary[[#This Row],[Inversión meta ads]]</f>
        <v>0</v>
      </c>
      <c r="AC569" s="11">
        <f>TableDailySummary[[#This Row],[Ventas google ads]]+TableDailySummary[[#This Row],[Ventas meta ads]]</f>
        <v>0</v>
      </c>
      <c r="AD569" s="14">
        <f>IFERROR(TableDailySummary[[#This Row],[Ventas publicidad]]/TableDailySummary[[#This Row],[Inversión publicidad]],0)</f>
        <v>0</v>
      </c>
      <c r="AE569" s="14">
        <f>IFERROR(TableDailySummary[[#This Row],[Ventas primer cliente]]/TableDailySummary[[#This Row],[Inversión publicidad]],0)</f>
        <v>0</v>
      </c>
      <c r="AF569" s="14"/>
      <c r="AG569" s="11"/>
      <c r="AM569" s="11">
        <f>_xlfn.XLOOKUP(TableDailySummary[[#This Row],[Fecha]],SummaryDaily[day],SummaryDaily[net_sales_with_cost_recorded],0)</f>
        <v>0</v>
      </c>
      <c r="AN569" s="11">
        <f>_xlfn.XLOOKUP(TableDailySummary[[#This Row],[Fecha]],SummaryDaily[day],SummaryDaily[cost_of_goods_sold],0)</f>
        <v>0</v>
      </c>
      <c r="AO569" s="11">
        <f>_xlfn.XLOOKUP(TableDailySummary[[#This Row],[Fecha]],SummaryDaily[day],SummaryDaily[gross_profit],0)</f>
        <v>0</v>
      </c>
      <c r="AP569" s="18">
        <f>IFERROR(TableDailySummary[[#This Row],[Utilidad bruta]]/TableDailySummary[[#This Row],[Ventas netas con costo registrado]],0)</f>
        <v>0</v>
      </c>
    </row>
    <row r="570" spans="2:42" x14ac:dyDescent="0.2">
      <c r="B570" s="15" cm="1">
        <f t="array" ref="B570">ParamFechaInicioReporte + (ROW(TableDailySummary[#This Row]) - ROW(TableDailySummary[[#Headers],[Dia]]) - 1)</f>
        <v>45097</v>
      </c>
      <c r="C570" s="6">
        <f>TableDailySummary[[#This Row],[Dia]]</f>
        <v>45097</v>
      </c>
      <c r="D570" s="11">
        <f>_xlfn.XLOOKUP(TableDailySummary[[#This Row],[Fecha]],SummaryDaily[day],SummaryDaily[net_sales],0)</f>
        <v>0</v>
      </c>
      <c r="E570" s="11">
        <f>_xlfn.XLOOKUP(TableDailySummary[[#This Row],[Fecha]],SummaryDaily[day],SummaryDaily[orders],0)</f>
        <v>0</v>
      </c>
      <c r="F570" s="11">
        <f>_xlfn.XLOOKUP(TableDailySummary[[#This Row],[Fecha]],SummaryDaily[day],SummaryDaily[average_order_value],0)</f>
        <v>0</v>
      </c>
      <c r="G570" s="24" cm="1">
        <f t="array" ref="G570">_xlfn.XLOOKUP(TableDailySummary[[#This Row],[Fecha]]&amp;"Total site",ConversionRateByReferral[day]&amp;ConversionRateByReferral[referrer_source],ConversionRateByReferral[conversion_rate],0)</f>
        <v>0</v>
      </c>
      <c r="H570" s="11">
        <f>TableDailySummary[[#This Row],[Órden promedio totales]]*TableDailySummary[[#This Row],[CR totales]]</f>
        <v>0</v>
      </c>
      <c r="I570" s="11">
        <f>_xlfn.XLOOKUP(TableDailySummary[[#This Row],[Fecha]],SummaryDaily[day],SummaryDaily[new_net_sales],0)</f>
        <v>0</v>
      </c>
      <c r="J570" s="11">
        <f>_xlfn.XLOOKUP(TableDailySummary[[#This Row],[Fecha]],SummaryDaily[day],SummaryDaily[new_orders],0)</f>
        <v>0</v>
      </c>
      <c r="K570" s="11">
        <f>_xlfn.XLOOKUP(TableDailySummary[[#This Row],[Fecha]],SummaryDaily[day],SummaryDaily[new_average_order_value],0)</f>
        <v>0</v>
      </c>
      <c r="L570" s="11">
        <f>_xlfn.XLOOKUP(TableDailySummary[[#This Row],[Fecha]],SummaryDaily[day],SummaryDaily[Online Store_net_sales],0)</f>
        <v>0</v>
      </c>
      <c r="M570" s="11">
        <f>_xlfn.XLOOKUP(TableDailySummary[[#This Row],[Fecha]],SummaryDaily[day],SummaryDaily[Online Store_orders],0)</f>
        <v>0</v>
      </c>
      <c r="N570" s="11">
        <f>_xlfn.XLOOKUP(TableDailySummary[[#This Row],[Fecha]],SummaryDaily[day],SummaryDaily[Online Store_average_order_value],0)</f>
        <v>0</v>
      </c>
      <c r="O570" s="11">
        <f>_xlfn.XLOOKUP(TableDailySummary[[#This Row],[Fecha]],SummaryDaily[day],SummaryDaily[Tienda 81_net_sales],0)</f>
        <v>0</v>
      </c>
      <c r="P570" s="11">
        <f>_xlfn.XLOOKUP(TableDailySummary[[#This Row],[Fecha]],SummaryDaily[day],SummaryDaily[Tienda 81_orders],0)</f>
        <v>0</v>
      </c>
      <c r="Q570" s="11">
        <f>_xlfn.XLOOKUP(TableDailySummary[[#This Row],[Fecha]],SummaryDaily[day],SummaryDaily[Tienda 81_average_order_value],0)</f>
        <v>0</v>
      </c>
      <c r="R570" s="11">
        <f>_xlfn.XLOOKUP(TableDailySummary[[#This Row],[Fecha]],SummaryDaily[day],SummaryDaily[Rappi_net_sales],0)</f>
        <v>0</v>
      </c>
      <c r="S570" s="11">
        <f>_xlfn.XLOOKUP(TableDailySummary[[#This Row],[Fecha]],SummaryDaily[day],SummaryDaily[Rappi_orders],0)</f>
        <v>0</v>
      </c>
      <c r="T570" s="11">
        <f>_xlfn.XLOOKUP(TableDailySummary[[#This Row],[Fecha]],SummaryDaily[day],SummaryDaily[Rappi_average_order_value],0)</f>
        <v>0</v>
      </c>
      <c r="U570" s="11">
        <f>_xlfn.XLOOKUP(TableDailySummary[[#This Row],[Fecha]],SummaryDaily[day],SummaryDaily[Corporativo no tienda_net_sales],0)</f>
        <v>0</v>
      </c>
      <c r="V570" s="11">
        <f>_xlfn.XLOOKUP(TableDailySummary[[#This Row],[Fecha]],SummaryDaily[day],SummaryDaily[Corporativo no tienda_orders],0)</f>
        <v>0</v>
      </c>
      <c r="W570" s="11">
        <f>_xlfn.XLOOKUP(TableDailySummary[[#This Row],[Fecha]],SummaryDaily[day],SummaryDaily[Corporativo no tienda_average_order_value],0)</f>
        <v>0</v>
      </c>
      <c r="X570" s="11">
        <f>_xlfn.XLOOKUP(TableDailySummary[[#This Row],[Fecha]],SummaryDaily[day],SummaryDaily[GoogleAdsOperation.Cost],0)</f>
        <v>0</v>
      </c>
      <c r="Y570" s="11">
        <f>SUMIFS(SalesByUTMDaily[google],SalesByUTMDaily[day],TableDailySummary[[#This Row],[Fecha]])</f>
        <v>0</v>
      </c>
      <c r="Z570" s="11">
        <f>_xlfn.XLOOKUP(TableDailySummary[[#This Row],[Fecha]],SummaryDaily[day],SummaryDaily[MetaAdsOperation.spend],0)</f>
        <v>0</v>
      </c>
      <c r="AA570" s="11">
        <f>SUMIFS(SalesByUTMDaily[facebook],SalesByUTMDaily[day],TableDailySummary[[#This Row],[Fecha]])</f>
        <v>0</v>
      </c>
      <c r="AB570" s="11">
        <f>TableDailySummary[[#This Row],[Inversión google ads]]+TableDailySummary[[#This Row],[Inversión meta ads]]</f>
        <v>0</v>
      </c>
      <c r="AC570" s="11">
        <f>TableDailySummary[[#This Row],[Ventas google ads]]+TableDailySummary[[#This Row],[Ventas meta ads]]</f>
        <v>0</v>
      </c>
      <c r="AD570" s="14">
        <f>IFERROR(TableDailySummary[[#This Row],[Ventas publicidad]]/TableDailySummary[[#This Row],[Inversión publicidad]],0)</f>
        <v>0</v>
      </c>
      <c r="AE570" s="14">
        <f>IFERROR(TableDailySummary[[#This Row],[Ventas primer cliente]]/TableDailySummary[[#This Row],[Inversión publicidad]],0)</f>
        <v>0</v>
      </c>
      <c r="AF570" s="14"/>
      <c r="AG570" s="11"/>
      <c r="AM570" s="11">
        <f>_xlfn.XLOOKUP(TableDailySummary[[#This Row],[Fecha]],SummaryDaily[day],SummaryDaily[net_sales_with_cost_recorded],0)</f>
        <v>0</v>
      </c>
      <c r="AN570" s="11">
        <f>_xlfn.XLOOKUP(TableDailySummary[[#This Row],[Fecha]],SummaryDaily[day],SummaryDaily[cost_of_goods_sold],0)</f>
        <v>0</v>
      </c>
      <c r="AO570" s="11">
        <f>_xlfn.XLOOKUP(TableDailySummary[[#This Row],[Fecha]],SummaryDaily[day],SummaryDaily[gross_profit],0)</f>
        <v>0</v>
      </c>
      <c r="AP570" s="18">
        <f>IFERROR(TableDailySummary[[#This Row],[Utilidad bruta]]/TableDailySummary[[#This Row],[Ventas netas con costo registrado]],0)</f>
        <v>0</v>
      </c>
    </row>
    <row r="571" spans="2:42" x14ac:dyDescent="0.2">
      <c r="B571" s="15" cm="1">
        <f t="array" ref="B571">ParamFechaInicioReporte + (ROW(TableDailySummary[#This Row]) - ROW(TableDailySummary[[#Headers],[Dia]]) - 1)</f>
        <v>45098</v>
      </c>
      <c r="C571" s="6">
        <f>TableDailySummary[[#This Row],[Dia]]</f>
        <v>45098</v>
      </c>
      <c r="D571" s="11">
        <f>_xlfn.XLOOKUP(TableDailySummary[[#This Row],[Fecha]],SummaryDaily[day],SummaryDaily[net_sales],0)</f>
        <v>0</v>
      </c>
      <c r="E571" s="11">
        <f>_xlfn.XLOOKUP(TableDailySummary[[#This Row],[Fecha]],SummaryDaily[day],SummaryDaily[orders],0)</f>
        <v>0</v>
      </c>
      <c r="F571" s="11">
        <f>_xlfn.XLOOKUP(TableDailySummary[[#This Row],[Fecha]],SummaryDaily[day],SummaryDaily[average_order_value],0)</f>
        <v>0</v>
      </c>
      <c r="G571" s="24" cm="1">
        <f t="array" ref="G571">_xlfn.XLOOKUP(TableDailySummary[[#This Row],[Fecha]]&amp;"Total site",ConversionRateByReferral[day]&amp;ConversionRateByReferral[referrer_source],ConversionRateByReferral[conversion_rate],0)</f>
        <v>0</v>
      </c>
      <c r="H571" s="11">
        <f>TableDailySummary[[#This Row],[Órden promedio totales]]*TableDailySummary[[#This Row],[CR totales]]</f>
        <v>0</v>
      </c>
      <c r="I571" s="11">
        <f>_xlfn.XLOOKUP(TableDailySummary[[#This Row],[Fecha]],SummaryDaily[day],SummaryDaily[new_net_sales],0)</f>
        <v>0</v>
      </c>
      <c r="J571" s="11">
        <f>_xlfn.XLOOKUP(TableDailySummary[[#This Row],[Fecha]],SummaryDaily[day],SummaryDaily[new_orders],0)</f>
        <v>0</v>
      </c>
      <c r="K571" s="11">
        <f>_xlfn.XLOOKUP(TableDailySummary[[#This Row],[Fecha]],SummaryDaily[day],SummaryDaily[new_average_order_value],0)</f>
        <v>0</v>
      </c>
      <c r="L571" s="11">
        <f>_xlfn.XLOOKUP(TableDailySummary[[#This Row],[Fecha]],SummaryDaily[day],SummaryDaily[Online Store_net_sales],0)</f>
        <v>0</v>
      </c>
      <c r="M571" s="11">
        <f>_xlfn.XLOOKUP(TableDailySummary[[#This Row],[Fecha]],SummaryDaily[day],SummaryDaily[Online Store_orders],0)</f>
        <v>0</v>
      </c>
      <c r="N571" s="11">
        <f>_xlfn.XLOOKUP(TableDailySummary[[#This Row],[Fecha]],SummaryDaily[day],SummaryDaily[Online Store_average_order_value],0)</f>
        <v>0</v>
      </c>
      <c r="O571" s="11">
        <f>_xlfn.XLOOKUP(TableDailySummary[[#This Row],[Fecha]],SummaryDaily[day],SummaryDaily[Tienda 81_net_sales],0)</f>
        <v>0</v>
      </c>
      <c r="P571" s="11">
        <f>_xlfn.XLOOKUP(TableDailySummary[[#This Row],[Fecha]],SummaryDaily[day],SummaryDaily[Tienda 81_orders],0)</f>
        <v>0</v>
      </c>
      <c r="Q571" s="11">
        <f>_xlfn.XLOOKUP(TableDailySummary[[#This Row],[Fecha]],SummaryDaily[day],SummaryDaily[Tienda 81_average_order_value],0)</f>
        <v>0</v>
      </c>
      <c r="R571" s="11">
        <f>_xlfn.XLOOKUP(TableDailySummary[[#This Row],[Fecha]],SummaryDaily[day],SummaryDaily[Rappi_net_sales],0)</f>
        <v>0</v>
      </c>
      <c r="S571" s="11">
        <f>_xlfn.XLOOKUP(TableDailySummary[[#This Row],[Fecha]],SummaryDaily[day],SummaryDaily[Rappi_orders],0)</f>
        <v>0</v>
      </c>
      <c r="T571" s="11">
        <f>_xlfn.XLOOKUP(TableDailySummary[[#This Row],[Fecha]],SummaryDaily[day],SummaryDaily[Rappi_average_order_value],0)</f>
        <v>0</v>
      </c>
      <c r="U571" s="11">
        <f>_xlfn.XLOOKUP(TableDailySummary[[#This Row],[Fecha]],SummaryDaily[day],SummaryDaily[Corporativo no tienda_net_sales],0)</f>
        <v>0</v>
      </c>
      <c r="V571" s="11">
        <f>_xlfn.XLOOKUP(TableDailySummary[[#This Row],[Fecha]],SummaryDaily[day],SummaryDaily[Corporativo no tienda_orders],0)</f>
        <v>0</v>
      </c>
      <c r="W571" s="11">
        <f>_xlfn.XLOOKUP(TableDailySummary[[#This Row],[Fecha]],SummaryDaily[day],SummaryDaily[Corporativo no tienda_average_order_value],0)</f>
        <v>0</v>
      </c>
      <c r="X571" s="11">
        <f>_xlfn.XLOOKUP(TableDailySummary[[#This Row],[Fecha]],SummaryDaily[day],SummaryDaily[GoogleAdsOperation.Cost],0)</f>
        <v>0</v>
      </c>
      <c r="Y571" s="11">
        <f>SUMIFS(SalesByUTMDaily[google],SalesByUTMDaily[day],TableDailySummary[[#This Row],[Fecha]])</f>
        <v>0</v>
      </c>
      <c r="Z571" s="11">
        <f>_xlfn.XLOOKUP(TableDailySummary[[#This Row],[Fecha]],SummaryDaily[day],SummaryDaily[MetaAdsOperation.spend],0)</f>
        <v>0</v>
      </c>
      <c r="AA571" s="11">
        <f>SUMIFS(SalesByUTMDaily[facebook],SalesByUTMDaily[day],TableDailySummary[[#This Row],[Fecha]])</f>
        <v>0</v>
      </c>
      <c r="AB571" s="11">
        <f>TableDailySummary[[#This Row],[Inversión google ads]]+TableDailySummary[[#This Row],[Inversión meta ads]]</f>
        <v>0</v>
      </c>
      <c r="AC571" s="11">
        <f>TableDailySummary[[#This Row],[Ventas google ads]]+TableDailySummary[[#This Row],[Ventas meta ads]]</f>
        <v>0</v>
      </c>
      <c r="AD571" s="14">
        <f>IFERROR(TableDailySummary[[#This Row],[Ventas publicidad]]/TableDailySummary[[#This Row],[Inversión publicidad]],0)</f>
        <v>0</v>
      </c>
      <c r="AE571" s="14">
        <f>IFERROR(TableDailySummary[[#This Row],[Ventas primer cliente]]/TableDailySummary[[#This Row],[Inversión publicidad]],0)</f>
        <v>0</v>
      </c>
      <c r="AF571" s="14"/>
      <c r="AG571" s="11"/>
      <c r="AM571" s="11">
        <f>_xlfn.XLOOKUP(TableDailySummary[[#This Row],[Fecha]],SummaryDaily[day],SummaryDaily[net_sales_with_cost_recorded],0)</f>
        <v>0</v>
      </c>
      <c r="AN571" s="11">
        <f>_xlfn.XLOOKUP(TableDailySummary[[#This Row],[Fecha]],SummaryDaily[day],SummaryDaily[cost_of_goods_sold],0)</f>
        <v>0</v>
      </c>
      <c r="AO571" s="11">
        <f>_xlfn.XLOOKUP(TableDailySummary[[#This Row],[Fecha]],SummaryDaily[day],SummaryDaily[gross_profit],0)</f>
        <v>0</v>
      </c>
      <c r="AP571" s="18">
        <f>IFERROR(TableDailySummary[[#This Row],[Utilidad bruta]]/TableDailySummary[[#This Row],[Ventas netas con costo registrado]],0)</f>
        <v>0</v>
      </c>
    </row>
    <row r="572" spans="2:42" x14ac:dyDescent="0.2">
      <c r="B572" s="15" cm="1">
        <f t="array" ref="B572">ParamFechaInicioReporte + (ROW(TableDailySummary[#This Row]) - ROW(TableDailySummary[[#Headers],[Dia]]) - 1)</f>
        <v>45099</v>
      </c>
      <c r="C572" s="6">
        <f>TableDailySummary[[#This Row],[Dia]]</f>
        <v>45099</v>
      </c>
      <c r="D572" s="11">
        <f>_xlfn.XLOOKUP(TableDailySummary[[#This Row],[Fecha]],SummaryDaily[day],SummaryDaily[net_sales],0)</f>
        <v>0</v>
      </c>
      <c r="E572" s="11">
        <f>_xlfn.XLOOKUP(TableDailySummary[[#This Row],[Fecha]],SummaryDaily[day],SummaryDaily[orders],0)</f>
        <v>0</v>
      </c>
      <c r="F572" s="11">
        <f>_xlfn.XLOOKUP(TableDailySummary[[#This Row],[Fecha]],SummaryDaily[day],SummaryDaily[average_order_value],0)</f>
        <v>0</v>
      </c>
      <c r="G572" s="24" cm="1">
        <f t="array" ref="G572">_xlfn.XLOOKUP(TableDailySummary[[#This Row],[Fecha]]&amp;"Total site",ConversionRateByReferral[day]&amp;ConversionRateByReferral[referrer_source],ConversionRateByReferral[conversion_rate],0)</f>
        <v>0</v>
      </c>
      <c r="H572" s="11">
        <f>TableDailySummary[[#This Row],[Órden promedio totales]]*TableDailySummary[[#This Row],[CR totales]]</f>
        <v>0</v>
      </c>
      <c r="I572" s="11">
        <f>_xlfn.XLOOKUP(TableDailySummary[[#This Row],[Fecha]],SummaryDaily[day],SummaryDaily[new_net_sales],0)</f>
        <v>0</v>
      </c>
      <c r="J572" s="11">
        <f>_xlfn.XLOOKUP(TableDailySummary[[#This Row],[Fecha]],SummaryDaily[day],SummaryDaily[new_orders],0)</f>
        <v>0</v>
      </c>
      <c r="K572" s="11">
        <f>_xlfn.XLOOKUP(TableDailySummary[[#This Row],[Fecha]],SummaryDaily[day],SummaryDaily[new_average_order_value],0)</f>
        <v>0</v>
      </c>
      <c r="L572" s="11">
        <f>_xlfn.XLOOKUP(TableDailySummary[[#This Row],[Fecha]],SummaryDaily[day],SummaryDaily[Online Store_net_sales],0)</f>
        <v>0</v>
      </c>
      <c r="M572" s="11">
        <f>_xlfn.XLOOKUP(TableDailySummary[[#This Row],[Fecha]],SummaryDaily[day],SummaryDaily[Online Store_orders],0)</f>
        <v>0</v>
      </c>
      <c r="N572" s="11">
        <f>_xlfn.XLOOKUP(TableDailySummary[[#This Row],[Fecha]],SummaryDaily[day],SummaryDaily[Online Store_average_order_value],0)</f>
        <v>0</v>
      </c>
      <c r="O572" s="11">
        <f>_xlfn.XLOOKUP(TableDailySummary[[#This Row],[Fecha]],SummaryDaily[day],SummaryDaily[Tienda 81_net_sales],0)</f>
        <v>0</v>
      </c>
      <c r="P572" s="11">
        <f>_xlfn.XLOOKUP(TableDailySummary[[#This Row],[Fecha]],SummaryDaily[day],SummaryDaily[Tienda 81_orders],0)</f>
        <v>0</v>
      </c>
      <c r="Q572" s="11">
        <f>_xlfn.XLOOKUP(TableDailySummary[[#This Row],[Fecha]],SummaryDaily[day],SummaryDaily[Tienda 81_average_order_value],0)</f>
        <v>0</v>
      </c>
      <c r="R572" s="11">
        <f>_xlfn.XLOOKUP(TableDailySummary[[#This Row],[Fecha]],SummaryDaily[day],SummaryDaily[Rappi_net_sales],0)</f>
        <v>0</v>
      </c>
      <c r="S572" s="11">
        <f>_xlfn.XLOOKUP(TableDailySummary[[#This Row],[Fecha]],SummaryDaily[day],SummaryDaily[Rappi_orders],0)</f>
        <v>0</v>
      </c>
      <c r="T572" s="11">
        <f>_xlfn.XLOOKUP(TableDailySummary[[#This Row],[Fecha]],SummaryDaily[day],SummaryDaily[Rappi_average_order_value],0)</f>
        <v>0</v>
      </c>
      <c r="U572" s="11">
        <f>_xlfn.XLOOKUP(TableDailySummary[[#This Row],[Fecha]],SummaryDaily[day],SummaryDaily[Corporativo no tienda_net_sales],0)</f>
        <v>0</v>
      </c>
      <c r="V572" s="11">
        <f>_xlfn.XLOOKUP(TableDailySummary[[#This Row],[Fecha]],SummaryDaily[day],SummaryDaily[Corporativo no tienda_orders],0)</f>
        <v>0</v>
      </c>
      <c r="W572" s="11">
        <f>_xlfn.XLOOKUP(TableDailySummary[[#This Row],[Fecha]],SummaryDaily[day],SummaryDaily[Corporativo no tienda_average_order_value],0)</f>
        <v>0</v>
      </c>
      <c r="X572" s="11">
        <f>_xlfn.XLOOKUP(TableDailySummary[[#This Row],[Fecha]],SummaryDaily[day],SummaryDaily[GoogleAdsOperation.Cost],0)</f>
        <v>0</v>
      </c>
      <c r="Y572" s="11">
        <f>SUMIFS(SalesByUTMDaily[google],SalesByUTMDaily[day],TableDailySummary[[#This Row],[Fecha]])</f>
        <v>0</v>
      </c>
      <c r="Z572" s="11">
        <f>_xlfn.XLOOKUP(TableDailySummary[[#This Row],[Fecha]],SummaryDaily[day],SummaryDaily[MetaAdsOperation.spend],0)</f>
        <v>0</v>
      </c>
      <c r="AA572" s="11">
        <f>SUMIFS(SalesByUTMDaily[facebook],SalesByUTMDaily[day],TableDailySummary[[#This Row],[Fecha]])</f>
        <v>0</v>
      </c>
      <c r="AB572" s="11">
        <f>TableDailySummary[[#This Row],[Inversión google ads]]+TableDailySummary[[#This Row],[Inversión meta ads]]</f>
        <v>0</v>
      </c>
      <c r="AC572" s="11">
        <f>TableDailySummary[[#This Row],[Ventas google ads]]+TableDailySummary[[#This Row],[Ventas meta ads]]</f>
        <v>0</v>
      </c>
      <c r="AD572" s="14">
        <f>IFERROR(TableDailySummary[[#This Row],[Ventas publicidad]]/TableDailySummary[[#This Row],[Inversión publicidad]],0)</f>
        <v>0</v>
      </c>
      <c r="AE572" s="14">
        <f>IFERROR(TableDailySummary[[#This Row],[Ventas primer cliente]]/TableDailySummary[[#This Row],[Inversión publicidad]],0)</f>
        <v>0</v>
      </c>
      <c r="AF572" s="14"/>
      <c r="AG572" s="11"/>
      <c r="AM572" s="11">
        <f>_xlfn.XLOOKUP(TableDailySummary[[#This Row],[Fecha]],SummaryDaily[day],SummaryDaily[net_sales_with_cost_recorded],0)</f>
        <v>0</v>
      </c>
      <c r="AN572" s="11">
        <f>_xlfn.XLOOKUP(TableDailySummary[[#This Row],[Fecha]],SummaryDaily[day],SummaryDaily[cost_of_goods_sold],0)</f>
        <v>0</v>
      </c>
      <c r="AO572" s="11">
        <f>_xlfn.XLOOKUP(TableDailySummary[[#This Row],[Fecha]],SummaryDaily[day],SummaryDaily[gross_profit],0)</f>
        <v>0</v>
      </c>
      <c r="AP572" s="18">
        <f>IFERROR(TableDailySummary[[#This Row],[Utilidad bruta]]/TableDailySummary[[#This Row],[Ventas netas con costo registrado]],0)</f>
        <v>0</v>
      </c>
    </row>
    <row r="573" spans="2:42" x14ac:dyDescent="0.2">
      <c r="B573" s="15" cm="1">
        <f t="array" ref="B573">ParamFechaInicioReporte + (ROW(TableDailySummary[#This Row]) - ROW(TableDailySummary[[#Headers],[Dia]]) - 1)</f>
        <v>45100</v>
      </c>
      <c r="C573" s="6">
        <f>TableDailySummary[[#This Row],[Dia]]</f>
        <v>45100</v>
      </c>
      <c r="D573" s="11">
        <f>_xlfn.XLOOKUP(TableDailySummary[[#This Row],[Fecha]],SummaryDaily[day],SummaryDaily[net_sales],0)</f>
        <v>0</v>
      </c>
      <c r="E573" s="11">
        <f>_xlfn.XLOOKUP(TableDailySummary[[#This Row],[Fecha]],SummaryDaily[day],SummaryDaily[orders],0)</f>
        <v>0</v>
      </c>
      <c r="F573" s="11">
        <f>_xlfn.XLOOKUP(TableDailySummary[[#This Row],[Fecha]],SummaryDaily[day],SummaryDaily[average_order_value],0)</f>
        <v>0</v>
      </c>
      <c r="G573" s="24" cm="1">
        <f t="array" ref="G573">_xlfn.XLOOKUP(TableDailySummary[[#This Row],[Fecha]]&amp;"Total site",ConversionRateByReferral[day]&amp;ConversionRateByReferral[referrer_source],ConversionRateByReferral[conversion_rate],0)</f>
        <v>0</v>
      </c>
      <c r="H573" s="11">
        <f>TableDailySummary[[#This Row],[Órden promedio totales]]*TableDailySummary[[#This Row],[CR totales]]</f>
        <v>0</v>
      </c>
      <c r="I573" s="11">
        <f>_xlfn.XLOOKUP(TableDailySummary[[#This Row],[Fecha]],SummaryDaily[day],SummaryDaily[new_net_sales],0)</f>
        <v>0</v>
      </c>
      <c r="J573" s="11">
        <f>_xlfn.XLOOKUP(TableDailySummary[[#This Row],[Fecha]],SummaryDaily[day],SummaryDaily[new_orders],0)</f>
        <v>0</v>
      </c>
      <c r="K573" s="11">
        <f>_xlfn.XLOOKUP(TableDailySummary[[#This Row],[Fecha]],SummaryDaily[day],SummaryDaily[new_average_order_value],0)</f>
        <v>0</v>
      </c>
      <c r="L573" s="11">
        <f>_xlfn.XLOOKUP(TableDailySummary[[#This Row],[Fecha]],SummaryDaily[day],SummaryDaily[Online Store_net_sales],0)</f>
        <v>0</v>
      </c>
      <c r="M573" s="11">
        <f>_xlfn.XLOOKUP(TableDailySummary[[#This Row],[Fecha]],SummaryDaily[day],SummaryDaily[Online Store_orders],0)</f>
        <v>0</v>
      </c>
      <c r="N573" s="11">
        <f>_xlfn.XLOOKUP(TableDailySummary[[#This Row],[Fecha]],SummaryDaily[day],SummaryDaily[Online Store_average_order_value],0)</f>
        <v>0</v>
      </c>
      <c r="O573" s="11">
        <f>_xlfn.XLOOKUP(TableDailySummary[[#This Row],[Fecha]],SummaryDaily[day],SummaryDaily[Tienda 81_net_sales],0)</f>
        <v>0</v>
      </c>
      <c r="P573" s="11">
        <f>_xlfn.XLOOKUP(TableDailySummary[[#This Row],[Fecha]],SummaryDaily[day],SummaryDaily[Tienda 81_orders],0)</f>
        <v>0</v>
      </c>
      <c r="Q573" s="11">
        <f>_xlfn.XLOOKUP(TableDailySummary[[#This Row],[Fecha]],SummaryDaily[day],SummaryDaily[Tienda 81_average_order_value],0)</f>
        <v>0</v>
      </c>
      <c r="R573" s="11">
        <f>_xlfn.XLOOKUP(TableDailySummary[[#This Row],[Fecha]],SummaryDaily[day],SummaryDaily[Rappi_net_sales],0)</f>
        <v>0</v>
      </c>
      <c r="S573" s="11">
        <f>_xlfn.XLOOKUP(TableDailySummary[[#This Row],[Fecha]],SummaryDaily[day],SummaryDaily[Rappi_orders],0)</f>
        <v>0</v>
      </c>
      <c r="T573" s="11">
        <f>_xlfn.XLOOKUP(TableDailySummary[[#This Row],[Fecha]],SummaryDaily[day],SummaryDaily[Rappi_average_order_value],0)</f>
        <v>0</v>
      </c>
      <c r="U573" s="11">
        <f>_xlfn.XLOOKUP(TableDailySummary[[#This Row],[Fecha]],SummaryDaily[day],SummaryDaily[Corporativo no tienda_net_sales],0)</f>
        <v>0</v>
      </c>
      <c r="V573" s="11">
        <f>_xlfn.XLOOKUP(TableDailySummary[[#This Row],[Fecha]],SummaryDaily[day],SummaryDaily[Corporativo no tienda_orders],0)</f>
        <v>0</v>
      </c>
      <c r="W573" s="11">
        <f>_xlfn.XLOOKUP(TableDailySummary[[#This Row],[Fecha]],SummaryDaily[day],SummaryDaily[Corporativo no tienda_average_order_value],0)</f>
        <v>0</v>
      </c>
      <c r="X573" s="11">
        <f>_xlfn.XLOOKUP(TableDailySummary[[#This Row],[Fecha]],SummaryDaily[day],SummaryDaily[GoogleAdsOperation.Cost],0)</f>
        <v>0</v>
      </c>
      <c r="Y573" s="11">
        <f>SUMIFS(SalesByUTMDaily[google],SalesByUTMDaily[day],TableDailySummary[[#This Row],[Fecha]])</f>
        <v>0</v>
      </c>
      <c r="Z573" s="11">
        <f>_xlfn.XLOOKUP(TableDailySummary[[#This Row],[Fecha]],SummaryDaily[day],SummaryDaily[MetaAdsOperation.spend],0)</f>
        <v>0</v>
      </c>
      <c r="AA573" s="11">
        <f>SUMIFS(SalesByUTMDaily[facebook],SalesByUTMDaily[day],TableDailySummary[[#This Row],[Fecha]])</f>
        <v>0</v>
      </c>
      <c r="AB573" s="11">
        <f>TableDailySummary[[#This Row],[Inversión google ads]]+TableDailySummary[[#This Row],[Inversión meta ads]]</f>
        <v>0</v>
      </c>
      <c r="AC573" s="11">
        <f>TableDailySummary[[#This Row],[Ventas google ads]]+TableDailySummary[[#This Row],[Ventas meta ads]]</f>
        <v>0</v>
      </c>
      <c r="AD573" s="14">
        <f>IFERROR(TableDailySummary[[#This Row],[Ventas publicidad]]/TableDailySummary[[#This Row],[Inversión publicidad]],0)</f>
        <v>0</v>
      </c>
      <c r="AE573" s="14">
        <f>IFERROR(TableDailySummary[[#This Row],[Ventas primer cliente]]/TableDailySummary[[#This Row],[Inversión publicidad]],0)</f>
        <v>0</v>
      </c>
      <c r="AF573" s="14"/>
      <c r="AG573" s="11"/>
      <c r="AM573" s="11">
        <f>_xlfn.XLOOKUP(TableDailySummary[[#This Row],[Fecha]],SummaryDaily[day],SummaryDaily[net_sales_with_cost_recorded],0)</f>
        <v>0</v>
      </c>
      <c r="AN573" s="11">
        <f>_xlfn.XLOOKUP(TableDailySummary[[#This Row],[Fecha]],SummaryDaily[day],SummaryDaily[cost_of_goods_sold],0)</f>
        <v>0</v>
      </c>
      <c r="AO573" s="11">
        <f>_xlfn.XLOOKUP(TableDailySummary[[#This Row],[Fecha]],SummaryDaily[day],SummaryDaily[gross_profit],0)</f>
        <v>0</v>
      </c>
      <c r="AP573" s="18">
        <f>IFERROR(TableDailySummary[[#This Row],[Utilidad bruta]]/TableDailySummary[[#This Row],[Ventas netas con costo registrado]],0)</f>
        <v>0</v>
      </c>
    </row>
    <row r="574" spans="2:42" x14ac:dyDescent="0.2">
      <c r="B574" s="15" cm="1">
        <f t="array" ref="B574">ParamFechaInicioReporte + (ROW(TableDailySummary[#This Row]) - ROW(TableDailySummary[[#Headers],[Dia]]) - 1)</f>
        <v>45101</v>
      </c>
      <c r="C574" s="6">
        <f>TableDailySummary[[#This Row],[Dia]]</f>
        <v>45101</v>
      </c>
      <c r="D574" s="11">
        <f>_xlfn.XLOOKUP(TableDailySummary[[#This Row],[Fecha]],SummaryDaily[day],SummaryDaily[net_sales],0)</f>
        <v>0</v>
      </c>
      <c r="E574" s="11">
        <f>_xlfn.XLOOKUP(TableDailySummary[[#This Row],[Fecha]],SummaryDaily[day],SummaryDaily[orders],0)</f>
        <v>0</v>
      </c>
      <c r="F574" s="11">
        <f>_xlfn.XLOOKUP(TableDailySummary[[#This Row],[Fecha]],SummaryDaily[day],SummaryDaily[average_order_value],0)</f>
        <v>0</v>
      </c>
      <c r="G574" s="24" cm="1">
        <f t="array" ref="G574">_xlfn.XLOOKUP(TableDailySummary[[#This Row],[Fecha]]&amp;"Total site",ConversionRateByReferral[day]&amp;ConversionRateByReferral[referrer_source],ConversionRateByReferral[conversion_rate],0)</f>
        <v>0</v>
      </c>
      <c r="H574" s="11">
        <f>TableDailySummary[[#This Row],[Órden promedio totales]]*TableDailySummary[[#This Row],[CR totales]]</f>
        <v>0</v>
      </c>
      <c r="I574" s="11">
        <f>_xlfn.XLOOKUP(TableDailySummary[[#This Row],[Fecha]],SummaryDaily[day],SummaryDaily[new_net_sales],0)</f>
        <v>0</v>
      </c>
      <c r="J574" s="11">
        <f>_xlfn.XLOOKUP(TableDailySummary[[#This Row],[Fecha]],SummaryDaily[day],SummaryDaily[new_orders],0)</f>
        <v>0</v>
      </c>
      <c r="K574" s="11">
        <f>_xlfn.XLOOKUP(TableDailySummary[[#This Row],[Fecha]],SummaryDaily[day],SummaryDaily[new_average_order_value],0)</f>
        <v>0</v>
      </c>
      <c r="L574" s="11">
        <f>_xlfn.XLOOKUP(TableDailySummary[[#This Row],[Fecha]],SummaryDaily[day],SummaryDaily[Online Store_net_sales],0)</f>
        <v>0</v>
      </c>
      <c r="M574" s="11">
        <f>_xlfn.XLOOKUP(TableDailySummary[[#This Row],[Fecha]],SummaryDaily[day],SummaryDaily[Online Store_orders],0)</f>
        <v>0</v>
      </c>
      <c r="N574" s="11">
        <f>_xlfn.XLOOKUP(TableDailySummary[[#This Row],[Fecha]],SummaryDaily[day],SummaryDaily[Online Store_average_order_value],0)</f>
        <v>0</v>
      </c>
      <c r="O574" s="11">
        <f>_xlfn.XLOOKUP(TableDailySummary[[#This Row],[Fecha]],SummaryDaily[day],SummaryDaily[Tienda 81_net_sales],0)</f>
        <v>0</v>
      </c>
      <c r="P574" s="11">
        <f>_xlfn.XLOOKUP(TableDailySummary[[#This Row],[Fecha]],SummaryDaily[day],SummaryDaily[Tienda 81_orders],0)</f>
        <v>0</v>
      </c>
      <c r="Q574" s="11">
        <f>_xlfn.XLOOKUP(TableDailySummary[[#This Row],[Fecha]],SummaryDaily[day],SummaryDaily[Tienda 81_average_order_value],0)</f>
        <v>0</v>
      </c>
      <c r="R574" s="11">
        <f>_xlfn.XLOOKUP(TableDailySummary[[#This Row],[Fecha]],SummaryDaily[day],SummaryDaily[Rappi_net_sales],0)</f>
        <v>0</v>
      </c>
      <c r="S574" s="11">
        <f>_xlfn.XLOOKUP(TableDailySummary[[#This Row],[Fecha]],SummaryDaily[day],SummaryDaily[Rappi_orders],0)</f>
        <v>0</v>
      </c>
      <c r="T574" s="11">
        <f>_xlfn.XLOOKUP(TableDailySummary[[#This Row],[Fecha]],SummaryDaily[day],SummaryDaily[Rappi_average_order_value],0)</f>
        <v>0</v>
      </c>
      <c r="U574" s="11">
        <f>_xlfn.XLOOKUP(TableDailySummary[[#This Row],[Fecha]],SummaryDaily[day],SummaryDaily[Corporativo no tienda_net_sales],0)</f>
        <v>0</v>
      </c>
      <c r="V574" s="11">
        <f>_xlfn.XLOOKUP(TableDailySummary[[#This Row],[Fecha]],SummaryDaily[day],SummaryDaily[Corporativo no tienda_orders],0)</f>
        <v>0</v>
      </c>
      <c r="W574" s="11">
        <f>_xlfn.XLOOKUP(TableDailySummary[[#This Row],[Fecha]],SummaryDaily[day],SummaryDaily[Corporativo no tienda_average_order_value],0)</f>
        <v>0</v>
      </c>
      <c r="X574" s="11">
        <f>_xlfn.XLOOKUP(TableDailySummary[[#This Row],[Fecha]],SummaryDaily[day],SummaryDaily[GoogleAdsOperation.Cost],0)</f>
        <v>0</v>
      </c>
      <c r="Y574" s="11">
        <f>SUMIFS(SalesByUTMDaily[google],SalesByUTMDaily[day],TableDailySummary[[#This Row],[Fecha]])</f>
        <v>0</v>
      </c>
      <c r="Z574" s="11">
        <f>_xlfn.XLOOKUP(TableDailySummary[[#This Row],[Fecha]],SummaryDaily[day],SummaryDaily[MetaAdsOperation.spend],0)</f>
        <v>0</v>
      </c>
      <c r="AA574" s="11">
        <f>SUMIFS(SalesByUTMDaily[facebook],SalesByUTMDaily[day],TableDailySummary[[#This Row],[Fecha]])</f>
        <v>0</v>
      </c>
      <c r="AB574" s="11">
        <f>TableDailySummary[[#This Row],[Inversión google ads]]+TableDailySummary[[#This Row],[Inversión meta ads]]</f>
        <v>0</v>
      </c>
      <c r="AC574" s="11">
        <f>TableDailySummary[[#This Row],[Ventas google ads]]+TableDailySummary[[#This Row],[Ventas meta ads]]</f>
        <v>0</v>
      </c>
      <c r="AD574" s="14">
        <f>IFERROR(TableDailySummary[[#This Row],[Ventas publicidad]]/TableDailySummary[[#This Row],[Inversión publicidad]],0)</f>
        <v>0</v>
      </c>
      <c r="AE574" s="14">
        <f>IFERROR(TableDailySummary[[#This Row],[Ventas primer cliente]]/TableDailySummary[[#This Row],[Inversión publicidad]],0)</f>
        <v>0</v>
      </c>
      <c r="AF574" s="14"/>
      <c r="AG574" s="11"/>
      <c r="AM574" s="11">
        <f>_xlfn.XLOOKUP(TableDailySummary[[#This Row],[Fecha]],SummaryDaily[day],SummaryDaily[net_sales_with_cost_recorded],0)</f>
        <v>0</v>
      </c>
      <c r="AN574" s="11">
        <f>_xlfn.XLOOKUP(TableDailySummary[[#This Row],[Fecha]],SummaryDaily[day],SummaryDaily[cost_of_goods_sold],0)</f>
        <v>0</v>
      </c>
      <c r="AO574" s="11">
        <f>_xlfn.XLOOKUP(TableDailySummary[[#This Row],[Fecha]],SummaryDaily[day],SummaryDaily[gross_profit],0)</f>
        <v>0</v>
      </c>
      <c r="AP574" s="18">
        <f>IFERROR(TableDailySummary[[#This Row],[Utilidad bruta]]/TableDailySummary[[#This Row],[Ventas netas con costo registrado]],0)</f>
        <v>0</v>
      </c>
    </row>
    <row r="575" spans="2:42" x14ac:dyDescent="0.2">
      <c r="B575" s="15" cm="1">
        <f t="array" ref="B575">ParamFechaInicioReporte + (ROW(TableDailySummary[#This Row]) - ROW(TableDailySummary[[#Headers],[Dia]]) - 1)</f>
        <v>45102</v>
      </c>
      <c r="C575" s="6">
        <f>TableDailySummary[[#This Row],[Dia]]</f>
        <v>45102</v>
      </c>
      <c r="D575" s="11">
        <f>_xlfn.XLOOKUP(TableDailySummary[[#This Row],[Fecha]],SummaryDaily[day],SummaryDaily[net_sales],0)</f>
        <v>0</v>
      </c>
      <c r="E575" s="11">
        <f>_xlfn.XLOOKUP(TableDailySummary[[#This Row],[Fecha]],SummaryDaily[day],SummaryDaily[orders],0)</f>
        <v>0</v>
      </c>
      <c r="F575" s="11">
        <f>_xlfn.XLOOKUP(TableDailySummary[[#This Row],[Fecha]],SummaryDaily[day],SummaryDaily[average_order_value],0)</f>
        <v>0</v>
      </c>
      <c r="G575" s="24" cm="1">
        <f t="array" ref="G575">_xlfn.XLOOKUP(TableDailySummary[[#This Row],[Fecha]]&amp;"Total site",ConversionRateByReferral[day]&amp;ConversionRateByReferral[referrer_source],ConversionRateByReferral[conversion_rate],0)</f>
        <v>0</v>
      </c>
      <c r="H575" s="11">
        <f>TableDailySummary[[#This Row],[Órden promedio totales]]*TableDailySummary[[#This Row],[CR totales]]</f>
        <v>0</v>
      </c>
      <c r="I575" s="11">
        <f>_xlfn.XLOOKUP(TableDailySummary[[#This Row],[Fecha]],SummaryDaily[day],SummaryDaily[new_net_sales],0)</f>
        <v>0</v>
      </c>
      <c r="J575" s="11">
        <f>_xlfn.XLOOKUP(TableDailySummary[[#This Row],[Fecha]],SummaryDaily[day],SummaryDaily[new_orders],0)</f>
        <v>0</v>
      </c>
      <c r="K575" s="11">
        <f>_xlfn.XLOOKUP(TableDailySummary[[#This Row],[Fecha]],SummaryDaily[day],SummaryDaily[new_average_order_value],0)</f>
        <v>0</v>
      </c>
      <c r="L575" s="11">
        <f>_xlfn.XLOOKUP(TableDailySummary[[#This Row],[Fecha]],SummaryDaily[day],SummaryDaily[Online Store_net_sales],0)</f>
        <v>0</v>
      </c>
      <c r="M575" s="11">
        <f>_xlfn.XLOOKUP(TableDailySummary[[#This Row],[Fecha]],SummaryDaily[day],SummaryDaily[Online Store_orders],0)</f>
        <v>0</v>
      </c>
      <c r="N575" s="11">
        <f>_xlfn.XLOOKUP(TableDailySummary[[#This Row],[Fecha]],SummaryDaily[day],SummaryDaily[Online Store_average_order_value],0)</f>
        <v>0</v>
      </c>
      <c r="O575" s="11">
        <f>_xlfn.XLOOKUP(TableDailySummary[[#This Row],[Fecha]],SummaryDaily[day],SummaryDaily[Tienda 81_net_sales],0)</f>
        <v>0</v>
      </c>
      <c r="P575" s="11">
        <f>_xlfn.XLOOKUP(TableDailySummary[[#This Row],[Fecha]],SummaryDaily[day],SummaryDaily[Tienda 81_orders],0)</f>
        <v>0</v>
      </c>
      <c r="Q575" s="11">
        <f>_xlfn.XLOOKUP(TableDailySummary[[#This Row],[Fecha]],SummaryDaily[day],SummaryDaily[Tienda 81_average_order_value],0)</f>
        <v>0</v>
      </c>
      <c r="R575" s="11">
        <f>_xlfn.XLOOKUP(TableDailySummary[[#This Row],[Fecha]],SummaryDaily[day],SummaryDaily[Rappi_net_sales],0)</f>
        <v>0</v>
      </c>
      <c r="S575" s="11">
        <f>_xlfn.XLOOKUP(TableDailySummary[[#This Row],[Fecha]],SummaryDaily[day],SummaryDaily[Rappi_orders],0)</f>
        <v>0</v>
      </c>
      <c r="T575" s="11">
        <f>_xlfn.XLOOKUP(TableDailySummary[[#This Row],[Fecha]],SummaryDaily[day],SummaryDaily[Rappi_average_order_value],0)</f>
        <v>0</v>
      </c>
      <c r="U575" s="11">
        <f>_xlfn.XLOOKUP(TableDailySummary[[#This Row],[Fecha]],SummaryDaily[day],SummaryDaily[Corporativo no tienda_net_sales],0)</f>
        <v>0</v>
      </c>
      <c r="V575" s="11">
        <f>_xlfn.XLOOKUP(TableDailySummary[[#This Row],[Fecha]],SummaryDaily[day],SummaryDaily[Corporativo no tienda_orders],0)</f>
        <v>0</v>
      </c>
      <c r="W575" s="11">
        <f>_xlfn.XLOOKUP(TableDailySummary[[#This Row],[Fecha]],SummaryDaily[day],SummaryDaily[Corporativo no tienda_average_order_value],0)</f>
        <v>0</v>
      </c>
      <c r="X575" s="11">
        <f>_xlfn.XLOOKUP(TableDailySummary[[#This Row],[Fecha]],SummaryDaily[day],SummaryDaily[GoogleAdsOperation.Cost],0)</f>
        <v>0</v>
      </c>
      <c r="Y575" s="11">
        <f>SUMIFS(SalesByUTMDaily[google],SalesByUTMDaily[day],TableDailySummary[[#This Row],[Fecha]])</f>
        <v>0</v>
      </c>
      <c r="Z575" s="11">
        <f>_xlfn.XLOOKUP(TableDailySummary[[#This Row],[Fecha]],SummaryDaily[day],SummaryDaily[MetaAdsOperation.spend],0)</f>
        <v>0</v>
      </c>
      <c r="AA575" s="11">
        <f>SUMIFS(SalesByUTMDaily[facebook],SalesByUTMDaily[day],TableDailySummary[[#This Row],[Fecha]])</f>
        <v>0</v>
      </c>
      <c r="AB575" s="11">
        <f>TableDailySummary[[#This Row],[Inversión google ads]]+TableDailySummary[[#This Row],[Inversión meta ads]]</f>
        <v>0</v>
      </c>
      <c r="AC575" s="11">
        <f>TableDailySummary[[#This Row],[Ventas google ads]]+TableDailySummary[[#This Row],[Ventas meta ads]]</f>
        <v>0</v>
      </c>
      <c r="AD575" s="14">
        <f>IFERROR(TableDailySummary[[#This Row],[Ventas publicidad]]/TableDailySummary[[#This Row],[Inversión publicidad]],0)</f>
        <v>0</v>
      </c>
      <c r="AE575" s="14">
        <f>IFERROR(TableDailySummary[[#This Row],[Ventas primer cliente]]/TableDailySummary[[#This Row],[Inversión publicidad]],0)</f>
        <v>0</v>
      </c>
      <c r="AF575" s="14"/>
      <c r="AG575" s="11"/>
      <c r="AM575" s="11">
        <f>_xlfn.XLOOKUP(TableDailySummary[[#This Row],[Fecha]],SummaryDaily[day],SummaryDaily[net_sales_with_cost_recorded],0)</f>
        <v>0</v>
      </c>
      <c r="AN575" s="11">
        <f>_xlfn.XLOOKUP(TableDailySummary[[#This Row],[Fecha]],SummaryDaily[day],SummaryDaily[cost_of_goods_sold],0)</f>
        <v>0</v>
      </c>
      <c r="AO575" s="11">
        <f>_xlfn.XLOOKUP(TableDailySummary[[#This Row],[Fecha]],SummaryDaily[day],SummaryDaily[gross_profit],0)</f>
        <v>0</v>
      </c>
      <c r="AP575" s="18">
        <f>IFERROR(TableDailySummary[[#This Row],[Utilidad bruta]]/TableDailySummary[[#This Row],[Ventas netas con costo registrado]],0)</f>
        <v>0</v>
      </c>
    </row>
    <row r="576" spans="2:42" x14ac:dyDescent="0.2">
      <c r="B576" s="15" cm="1">
        <f t="array" ref="B576">ParamFechaInicioReporte + (ROW(TableDailySummary[#This Row]) - ROW(TableDailySummary[[#Headers],[Dia]]) - 1)</f>
        <v>45103</v>
      </c>
      <c r="C576" s="6">
        <f>TableDailySummary[[#This Row],[Dia]]</f>
        <v>45103</v>
      </c>
      <c r="D576" s="11">
        <f>_xlfn.XLOOKUP(TableDailySummary[[#This Row],[Fecha]],SummaryDaily[day],SummaryDaily[net_sales],0)</f>
        <v>0</v>
      </c>
      <c r="E576" s="11">
        <f>_xlfn.XLOOKUP(TableDailySummary[[#This Row],[Fecha]],SummaryDaily[day],SummaryDaily[orders],0)</f>
        <v>0</v>
      </c>
      <c r="F576" s="11">
        <f>_xlfn.XLOOKUP(TableDailySummary[[#This Row],[Fecha]],SummaryDaily[day],SummaryDaily[average_order_value],0)</f>
        <v>0</v>
      </c>
      <c r="G576" s="24" cm="1">
        <f t="array" ref="G576">_xlfn.XLOOKUP(TableDailySummary[[#This Row],[Fecha]]&amp;"Total site",ConversionRateByReferral[day]&amp;ConversionRateByReferral[referrer_source],ConversionRateByReferral[conversion_rate],0)</f>
        <v>0</v>
      </c>
      <c r="H576" s="11">
        <f>TableDailySummary[[#This Row],[Órden promedio totales]]*TableDailySummary[[#This Row],[CR totales]]</f>
        <v>0</v>
      </c>
      <c r="I576" s="11">
        <f>_xlfn.XLOOKUP(TableDailySummary[[#This Row],[Fecha]],SummaryDaily[day],SummaryDaily[new_net_sales],0)</f>
        <v>0</v>
      </c>
      <c r="J576" s="11">
        <f>_xlfn.XLOOKUP(TableDailySummary[[#This Row],[Fecha]],SummaryDaily[day],SummaryDaily[new_orders],0)</f>
        <v>0</v>
      </c>
      <c r="K576" s="11">
        <f>_xlfn.XLOOKUP(TableDailySummary[[#This Row],[Fecha]],SummaryDaily[day],SummaryDaily[new_average_order_value],0)</f>
        <v>0</v>
      </c>
      <c r="L576" s="11">
        <f>_xlfn.XLOOKUP(TableDailySummary[[#This Row],[Fecha]],SummaryDaily[day],SummaryDaily[Online Store_net_sales],0)</f>
        <v>0</v>
      </c>
      <c r="M576" s="11">
        <f>_xlfn.XLOOKUP(TableDailySummary[[#This Row],[Fecha]],SummaryDaily[day],SummaryDaily[Online Store_orders],0)</f>
        <v>0</v>
      </c>
      <c r="N576" s="11">
        <f>_xlfn.XLOOKUP(TableDailySummary[[#This Row],[Fecha]],SummaryDaily[day],SummaryDaily[Online Store_average_order_value],0)</f>
        <v>0</v>
      </c>
      <c r="O576" s="11">
        <f>_xlfn.XLOOKUP(TableDailySummary[[#This Row],[Fecha]],SummaryDaily[day],SummaryDaily[Tienda 81_net_sales],0)</f>
        <v>0</v>
      </c>
      <c r="P576" s="11">
        <f>_xlfn.XLOOKUP(TableDailySummary[[#This Row],[Fecha]],SummaryDaily[day],SummaryDaily[Tienda 81_orders],0)</f>
        <v>0</v>
      </c>
      <c r="Q576" s="11">
        <f>_xlfn.XLOOKUP(TableDailySummary[[#This Row],[Fecha]],SummaryDaily[day],SummaryDaily[Tienda 81_average_order_value],0)</f>
        <v>0</v>
      </c>
      <c r="R576" s="11">
        <f>_xlfn.XLOOKUP(TableDailySummary[[#This Row],[Fecha]],SummaryDaily[day],SummaryDaily[Rappi_net_sales],0)</f>
        <v>0</v>
      </c>
      <c r="S576" s="11">
        <f>_xlfn.XLOOKUP(TableDailySummary[[#This Row],[Fecha]],SummaryDaily[day],SummaryDaily[Rappi_orders],0)</f>
        <v>0</v>
      </c>
      <c r="T576" s="11">
        <f>_xlfn.XLOOKUP(TableDailySummary[[#This Row],[Fecha]],SummaryDaily[day],SummaryDaily[Rappi_average_order_value],0)</f>
        <v>0</v>
      </c>
      <c r="U576" s="11">
        <f>_xlfn.XLOOKUP(TableDailySummary[[#This Row],[Fecha]],SummaryDaily[day],SummaryDaily[Corporativo no tienda_net_sales],0)</f>
        <v>0</v>
      </c>
      <c r="V576" s="11">
        <f>_xlfn.XLOOKUP(TableDailySummary[[#This Row],[Fecha]],SummaryDaily[day],SummaryDaily[Corporativo no tienda_orders],0)</f>
        <v>0</v>
      </c>
      <c r="W576" s="11">
        <f>_xlfn.XLOOKUP(TableDailySummary[[#This Row],[Fecha]],SummaryDaily[day],SummaryDaily[Corporativo no tienda_average_order_value],0)</f>
        <v>0</v>
      </c>
      <c r="X576" s="11">
        <f>_xlfn.XLOOKUP(TableDailySummary[[#This Row],[Fecha]],SummaryDaily[day],SummaryDaily[GoogleAdsOperation.Cost],0)</f>
        <v>0</v>
      </c>
      <c r="Y576" s="11">
        <f>SUMIFS(SalesByUTMDaily[google],SalesByUTMDaily[day],TableDailySummary[[#This Row],[Fecha]])</f>
        <v>0</v>
      </c>
      <c r="Z576" s="11">
        <f>_xlfn.XLOOKUP(TableDailySummary[[#This Row],[Fecha]],SummaryDaily[day],SummaryDaily[MetaAdsOperation.spend],0)</f>
        <v>0</v>
      </c>
      <c r="AA576" s="11">
        <f>SUMIFS(SalesByUTMDaily[facebook],SalesByUTMDaily[day],TableDailySummary[[#This Row],[Fecha]])</f>
        <v>0</v>
      </c>
      <c r="AB576" s="11">
        <f>TableDailySummary[[#This Row],[Inversión google ads]]+TableDailySummary[[#This Row],[Inversión meta ads]]</f>
        <v>0</v>
      </c>
      <c r="AC576" s="11">
        <f>TableDailySummary[[#This Row],[Ventas google ads]]+TableDailySummary[[#This Row],[Ventas meta ads]]</f>
        <v>0</v>
      </c>
      <c r="AD576" s="14">
        <f>IFERROR(TableDailySummary[[#This Row],[Ventas publicidad]]/TableDailySummary[[#This Row],[Inversión publicidad]],0)</f>
        <v>0</v>
      </c>
      <c r="AE576" s="14">
        <f>IFERROR(TableDailySummary[[#This Row],[Ventas primer cliente]]/TableDailySummary[[#This Row],[Inversión publicidad]],0)</f>
        <v>0</v>
      </c>
      <c r="AF576" s="14"/>
      <c r="AG576" s="11"/>
      <c r="AM576" s="11">
        <f>_xlfn.XLOOKUP(TableDailySummary[[#This Row],[Fecha]],SummaryDaily[day],SummaryDaily[net_sales_with_cost_recorded],0)</f>
        <v>0</v>
      </c>
      <c r="AN576" s="11">
        <f>_xlfn.XLOOKUP(TableDailySummary[[#This Row],[Fecha]],SummaryDaily[day],SummaryDaily[cost_of_goods_sold],0)</f>
        <v>0</v>
      </c>
      <c r="AO576" s="11">
        <f>_xlfn.XLOOKUP(TableDailySummary[[#This Row],[Fecha]],SummaryDaily[day],SummaryDaily[gross_profit],0)</f>
        <v>0</v>
      </c>
      <c r="AP576" s="18">
        <f>IFERROR(TableDailySummary[[#This Row],[Utilidad bruta]]/TableDailySummary[[#This Row],[Ventas netas con costo registrado]],0)</f>
        <v>0</v>
      </c>
    </row>
    <row r="577" spans="2:42" x14ac:dyDescent="0.2">
      <c r="B577" s="15" cm="1">
        <f t="array" ref="B577">ParamFechaInicioReporte + (ROW(TableDailySummary[#This Row]) - ROW(TableDailySummary[[#Headers],[Dia]]) - 1)</f>
        <v>45104</v>
      </c>
      <c r="C577" s="6">
        <f>TableDailySummary[[#This Row],[Dia]]</f>
        <v>45104</v>
      </c>
      <c r="D577" s="11">
        <f>_xlfn.XLOOKUP(TableDailySummary[[#This Row],[Fecha]],SummaryDaily[day],SummaryDaily[net_sales],0)</f>
        <v>0</v>
      </c>
      <c r="E577" s="11">
        <f>_xlfn.XLOOKUP(TableDailySummary[[#This Row],[Fecha]],SummaryDaily[day],SummaryDaily[orders],0)</f>
        <v>0</v>
      </c>
      <c r="F577" s="11">
        <f>_xlfn.XLOOKUP(TableDailySummary[[#This Row],[Fecha]],SummaryDaily[day],SummaryDaily[average_order_value],0)</f>
        <v>0</v>
      </c>
      <c r="G577" s="24" cm="1">
        <f t="array" ref="G577">_xlfn.XLOOKUP(TableDailySummary[[#This Row],[Fecha]]&amp;"Total site",ConversionRateByReferral[day]&amp;ConversionRateByReferral[referrer_source],ConversionRateByReferral[conversion_rate],0)</f>
        <v>0</v>
      </c>
      <c r="H577" s="11">
        <f>TableDailySummary[[#This Row],[Órden promedio totales]]*TableDailySummary[[#This Row],[CR totales]]</f>
        <v>0</v>
      </c>
      <c r="I577" s="11">
        <f>_xlfn.XLOOKUP(TableDailySummary[[#This Row],[Fecha]],SummaryDaily[day],SummaryDaily[new_net_sales],0)</f>
        <v>0</v>
      </c>
      <c r="J577" s="11">
        <f>_xlfn.XLOOKUP(TableDailySummary[[#This Row],[Fecha]],SummaryDaily[day],SummaryDaily[new_orders],0)</f>
        <v>0</v>
      </c>
      <c r="K577" s="11">
        <f>_xlfn.XLOOKUP(TableDailySummary[[#This Row],[Fecha]],SummaryDaily[day],SummaryDaily[new_average_order_value],0)</f>
        <v>0</v>
      </c>
      <c r="L577" s="11">
        <f>_xlfn.XLOOKUP(TableDailySummary[[#This Row],[Fecha]],SummaryDaily[day],SummaryDaily[Online Store_net_sales],0)</f>
        <v>0</v>
      </c>
      <c r="M577" s="11">
        <f>_xlfn.XLOOKUP(TableDailySummary[[#This Row],[Fecha]],SummaryDaily[day],SummaryDaily[Online Store_orders],0)</f>
        <v>0</v>
      </c>
      <c r="N577" s="11">
        <f>_xlfn.XLOOKUP(TableDailySummary[[#This Row],[Fecha]],SummaryDaily[day],SummaryDaily[Online Store_average_order_value],0)</f>
        <v>0</v>
      </c>
      <c r="O577" s="11">
        <f>_xlfn.XLOOKUP(TableDailySummary[[#This Row],[Fecha]],SummaryDaily[day],SummaryDaily[Tienda 81_net_sales],0)</f>
        <v>0</v>
      </c>
      <c r="P577" s="11">
        <f>_xlfn.XLOOKUP(TableDailySummary[[#This Row],[Fecha]],SummaryDaily[day],SummaryDaily[Tienda 81_orders],0)</f>
        <v>0</v>
      </c>
      <c r="Q577" s="11">
        <f>_xlfn.XLOOKUP(TableDailySummary[[#This Row],[Fecha]],SummaryDaily[day],SummaryDaily[Tienda 81_average_order_value],0)</f>
        <v>0</v>
      </c>
      <c r="R577" s="11">
        <f>_xlfn.XLOOKUP(TableDailySummary[[#This Row],[Fecha]],SummaryDaily[day],SummaryDaily[Rappi_net_sales],0)</f>
        <v>0</v>
      </c>
      <c r="S577" s="11">
        <f>_xlfn.XLOOKUP(TableDailySummary[[#This Row],[Fecha]],SummaryDaily[day],SummaryDaily[Rappi_orders],0)</f>
        <v>0</v>
      </c>
      <c r="T577" s="11">
        <f>_xlfn.XLOOKUP(TableDailySummary[[#This Row],[Fecha]],SummaryDaily[day],SummaryDaily[Rappi_average_order_value],0)</f>
        <v>0</v>
      </c>
      <c r="U577" s="11">
        <f>_xlfn.XLOOKUP(TableDailySummary[[#This Row],[Fecha]],SummaryDaily[day],SummaryDaily[Corporativo no tienda_net_sales],0)</f>
        <v>0</v>
      </c>
      <c r="V577" s="11">
        <f>_xlfn.XLOOKUP(TableDailySummary[[#This Row],[Fecha]],SummaryDaily[day],SummaryDaily[Corporativo no tienda_orders],0)</f>
        <v>0</v>
      </c>
      <c r="W577" s="11">
        <f>_xlfn.XLOOKUP(TableDailySummary[[#This Row],[Fecha]],SummaryDaily[day],SummaryDaily[Corporativo no tienda_average_order_value],0)</f>
        <v>0</v>
      </c>
      <c r="X577" s="11">
        <f>_xlfn.XLOOKUP(TableDailySummary[[#This Row],[Fecha]],SummaryDaily[day],SummaryDaily[GoogleAdsOperation.Cost],0)</f>
        <v>0</v>
      </c>
      <c r="Y577" s="11">
        <f>SUMIFS(SalesByUTMDaily[google],SalesByUTMDaily[day],TableDailySummary[[#This Row],[Fecha]])</f>
        <v>0</v>
      </c>
      <c r="Z577" s="11">
        <f>_xlfn.XLOOKUP(TableDailySummary[[#This Row],[Fecha]],SummaryDaily[day],SummaryDaily[MetaAdsOperation.spend],0)</f>
        <v>0</v>
      </c>
      <c r="AA577" s="11">
        <f>SUMIFS(SalesByUTMDaily[facebook],SalesByUTMDaily[day],TableDailySummary[[#This Row],[Fecha]])</f>
        <v>0</v>
      </c>
      <c r="AB577" s="11">
        <f>TableDailySummary[[#This Row],[Inversión google ads]]+TableDailySummary[[#This Row],[Inversión meta ads]]</f>
        <v>0</v>
      </c>
      <c r="AC577" s="11">
        <f>TableDailySummary[[#This Row],[Ventas google ads]]+TableDailySummary[[#This Row],[Ventas meta ads]]</f>
        <v>0</v>
      </c>
      <c r="AD577" s="14">
        <f>IFERROR(TableDailySummary[[#This Row],[Ventas publicidad]]/TableDailySummary[[#This Row],[Inversión publicidad]],0)</f>
        <v>0</v>
      </c>
      <c r="AE577" s="14">
        <f>IFERROR(TableDailySummary[[#This Row],[Ventas primer cliente]]/TableDailySummary[[#This Row],[Inversión publicidad]],0)</f>
        <v>0</v>
      </c>
      <c r="AF577" s="14"/>
      <c r="AG577" s="11"/>
      <c r="AM577" s="11">
        <f>_xlfn.XLOOKUP(TableDailySummary[[#This Row],[Fecha]],SummaryDaily[day],SummaryDaily[net_sales_with_cost_recorded],0)</f>
        <v>0</v>
      </c>
      <c r="AN577" s="11">
        <f>_xlfn.XLOOKUP(TableDailySummary[[#This Row],[Fecha]],SummaryDaily[day],SummaryDaily[cost_of_goods_sold],0)</f>
        <v>0</v>
      </c>
      <c r="AO577" s="11">
        <f>_xlfn.XLOOKUP(TableDailySummary[[#This Row],[Fecha]],SummaryDaily[day],SummaryDaily[gross_profit],0)</f>
        <v>0</v>
      </c>
      <c r="AP577" s="18">
        <f>IFERROR(TableDailySummary[[#This Row],[Utilidad bruta]]/TableDailySummary[[#This Row],[Ventas netas con costo registrado]],0)</f>
        <v>0</v>
      </c>
    </row>
    <row r="578" spans="2:42" x14ac:dyDescent="0.2">
      <c r="B578" s="15" cm="1">
        <f t="array" ref="B578">ParamFechaInicioReporte + (ROW(TableDailySummary[#This Row]) - ROW(TableDailySummary[[#Headers],[Dia]]) - 1)</f>
        <v>45105</v>
      </c>
      <c r="C578" s="6">
        <f>TableDailySummary[[#This Row],[Dia]]</f>
        <v>45105</v>
      </c>
      <c r="D578" s="11">
        <f>_xlfn.XLOOKUP(TableDailySummary[[#This Row],[Fecha]],SummaryDaily[day],SummaryDaily[net_sales],0)</f>
        <v>0</v>
      </c>
      <c r="E578" s="11">
        <f>_xlfn.XLOOKUP(TableDailySummary[[#This Row],[Fecha]],SummaryDaily[day],SummaryDaily[orders],0)</f>
        <v>0</v>
      </c>
      <c r="F578" s="11">
        <f>_xlfn.XLOOKUP(TableDailySummary[[#This Row],[Fecha]],SummaryDaily[day],SummaryDaily[average_order_value],0)</f>
        <v>0</v>
      </c>
      <c r="G578" s="24" cm="1">
        <f t="array" ref="G578">_xlfn.XLOOKUP(TableDailySummary[[#This Row],[Fecha]]&amp;"Total site",ConversionRateByReferral[day]&amp;ConversionRateByReferral[referrer_source],ConversionRateByReferral[conversion_rate],0)</f>
        <v>0</v>
      </c>
      <c r="H578" s="11">
        <f>TableDailySummary[[#This Row],[Órden promedio totales]]*TableDailySummary[[#This Row],[CR totales]]</f>
        <v>0</v>
      </c>
      <c r="I578" s="11">
        <f>_xlfn.XLOOKUP(TableDailySummary[[#This Row],[Fecha]],SummaryDaily[day],SummaryDaily[new_net_sales],0)</f>
        <v>0</v>
      </c>
      <c r="J578" s="11">
        <f>_xlfn.XLOOKUP(TableDailySummary[[#This Row],[Fecha]],SummaryDaily[day],SummaryDaily[new_orders],0)</f>
        <v>0</v>
      </c>
      <c r="K578" s="11">
        <f>_xlfn.XLOOKUP(TableDailySummary[[#This Row],[Fecha]],SummaryDaily[day],SummaryDaily[new_average_order_value],0)</f>
        <v>0</v>
      </c>
      <c r="L578" s="11">
        <f>_xlfn.XLOOKUP(TableDailySummary[[#This Row],[Fecha]],SummaryDaily[day],SummaryDaily[Online Store_net_sales],0)</f>
        <v>0</v>
      </c>
      <c r="M578" s="11">
        <f>_xlfn.XLOOKUP(TableDailySummary[[#This Row],[Fecha]],SummaryDaily[day],SummaryDaily[Online Store_orders],0)</f>
        <v>0</v>
      </c>
      <c r="N578" s="11">
        <f>_xlfn.XLOOKUP(TableDailySummary[[#This Row],[Fecha]],SummaryDaily[day],SummaryDaily[Online Store_average_order_value],0)</f>
        <v>0</v>
      </c>
      <c r="O578" s="11">
        <f>_xlfn.XLOOKUP(TableDailySummary[[#This Row],[Fecha]],SummaryDaily[day],SummaryDaily[Tienda 81_net_sales],0)</f>
        <v>0</v>
      </c>
      <c r="P578" s="11">
        <f>_xlfn.XLOOKUP(TableDailySummary[[#This Row],[Fecha]],SummaryDaily[day],SummaryDaily[Tienda 81_orders],0)</f>
        <v>0</v>
      </c>
      <c r="Q578" s="11">
        <f>_xlfn.XLOOKUP(TableDailySummary[[#This Row],[Fecha]],SummaryDaily[day],SummaryDaily[Tienda 81_average_order_value],0)</f>
        <v>0</v>
      </c>
      <c r="R578" s="11">
        <f>_xlfn.XLOOKUP(TableDailySummary[[#This Row],[Fecha]],SummaryDaily[day],SummaryDaily[Rappi_net_sales],0)</f>
        <v>0</v>
      </c>
      <c r="S578" s="11">
        <f>_xlfn.XLOOKUP(TableDailySummary[[#This Row],[Fecha]],SummaryDaily[day],SummaryDaily[Rappi_orders],0)</f>
        <v>0</v>
      </c>
      <c r="T578" s="11">
        <f>_xlfn.XLOOKUP(TableDailySummary[[#This Row],[Fecha]],SummaryDaily[day],SummaryDaily[Rappi_average_order_value],0)</f>
        <v>0</v>
      </c>
      <c r="U578" s="11">
        <f>_xlfn.XLOOKUP(TableDailySummary[[#This Row],[Fecha]],SummaryDaily[day],SummaryDaily[Corporativo no tienda_net_sales],0)</f>
        <v>0</v>
      </c>
      <c r="V578" s="11">
        <f>_xlfn.XLOOKUP(TableDailySummary[[#This Row],[Fecha]],SummaryDaily[day],SummaryDaily[Corporativo no tienda_orders],0)</f>
        <v>0</v>
      </c>
      <c r="W578" s="11">
        <f>_xlfn.XLOOKUP(TableDailySummary[[#This Row],[Fecha]],SummaryDaily[day],SummaryDaily[Corporativo no tienda_average_order_value],0)</f>
        <v>0</v>
      </c>
      <c r="X578" s="11">
        <f>_xlfn.XLOOKUP(TableDailySummary[[#This Row],[Fecha]],SummaryDaily[day],SummaryDaily[GoogleAdsOperation.Cost],0)</f>
        <v>0</v>
      </c>
      <c r="Y578" s="11">
        <f>SUMIFS(SalesByUTMDaily[google],SalesByUTMDaily[day],TableDailySummary[[#This Row],[Fecha]])</f>
        <v>0</v>
      </c>
      <c r="Z578" s="11">
        <f>_xlfn.XLOOKUP(TableDailySummary[[#This Row],[Fecha]],SummaryDaily[day],SummaryDaily[MetaAdsOperation.spend],0)</f>
        <v>0</v>
      </c>
      <c r="AA578" s="11">
        <f>SUMIFS(SalesByUTMDaily[facebook],SalesByUTMDaily[day],TableDailySummary[[#This Row],[Fecha]])</f>
        <v>0</v>
      </c>
      <c r="AB578" s="11">
        <f>TableDailySummary[[#This Row],[Inversión google ads]]+TableDailySummary[[#This Row],[Inversión meta ads]]</f>
        <v>0</v>
      </c>
      <c r="AC578" s="11">
        <f>TableDailySummary[[#This Row],[Ventas google ads]]+TableDailySummary[[#This Row],[Ventas meta ads]]</f>
        <v>0</v>
      </c>
      <c r="AD578" s="14">
        <f>IFERROR(TableDailySummary[[#This Row],[Ventas publicidad]]/TableDailySummary[[#This Row],[Inversión publicidad]],0)</f>
        <v>0</v>
      </c>
      <c r="AE578" s="14">
        <f>IFERROR(TableDailySummary[[#This Row],[Ventas primer cliente]]/TableDailySummary[[#This Row],[Inversión publicidad]],0)</f>
        <v>0</v>
      </c>
      <c r="AF578" s="14"/>
      <c r="AG578" s="11"/>
      <c r="AM578" s="11">
        <f>_xlfn.XLOOKUP(TableDailySummary[[#This Row],[Fecha]],SummaryDaily[day],SummaryDaily[net_sales_with_cost_recorded],0)</f>
        <v>0</v>
      </c>
      <c r="AN578" s="11">
        <f>_xlfn.XLOOKUP(TableDailySummary[[#This Row],[Fecha]],SummaryDaily[day],SummaryDaily[cost_of_goods_sold],0)</f>
        <v>0</v>
      </c>
      <c r="AO578" s="11">
        <f>_xlfn.XLOOKUP(TableDailySummary[[#This Row],[Fecha]],SummaryDaily[day],SummaryDaily[gross_profit],0)</f>
        <v>0</v>
      </c>
      <c r="AP578" s="18">
        <f>IFERROR(TableDailySummary[[#This Row],[Utilidad bruta]]/TableDailySummary[[#This Row],[Ventas netas con costo registrado]],0)</f>
        <v>0</v>
      </c>
    </row>
    <row r="579" spans="2:42" x14ac:dyDescent="0.2">
      <c r="B579" s="15" cm="1">
        <f t="array" ref="B579">ParamFechaInicioReporte + (ROW(TableDailySummary[#This Row]) - ROW(TableDailySummary[[#Headers],[Dia]]) - 1)</f>
        <v>45106</v>
      </c>
      <c r="C579" s="6">
        <f>TableDailySummary[[#This Row],[Dia]]</f>
        <v>45106</v>
      </c>
      <c r="D579" s="11">
        <f>_xlfn.XLOOKUP(TableDailySummary[[#This Row],[Fecha]],SummaryDaily[day],SummaryDaily[net_sales],0)</f>
        <v>0</v>
      </c>
      <c r="E579" s="11">
        <f>_xlfn.XLOOKUP(TableDailySummary[[#This Row],[Fecha]],SummaryDaily[day],SummaryDaily[orders],0)</f>
        <v>0</v>
      </c>
      <c r="F579" s="11">
        <f>_xlfn.XLOOKUP(TableDailySummary[[#This Row],[Fecha]],SummaryDaily[day],SummaryDaily[average_order_value],0)</f>
        <v>0</v>
      </c>
      <c r="G579" s="24" cm="1">
        <f t="array" ref="G579">_xlfn.XLOOKUP(TableDailySummary[[#This Row],[Fecha]]&amp;"Total site",ConversionRateByReferral[day]&amp;ConversionRateByReferral[referrer_source],ConversionRateByReferral[conversion_rate],0)</f>
        <v>0</v>
      </c>
      <c r="H579" s="11">
        <f>TableDailySummary[[#This Row],[Órden promedio totales]]*TableDailySummary[[#This Row],[CR totales]]</f>
        <v>0</v>
      </c>
      <c r="I579" s="11">
        <f>_xlfn.XLOOKUP(TableDailySummary[[#This Row],[Fecha]],SummaryDaily[day],SummaryDaily[new_net_sales],0)</f>
        <v>0</v>
      </c>
      <c r="J579" s="11">
        <f>_xlfn.XLOOKUP(TableDailySummary[[#This Row],[Fecha]],SummaryDaily[day],SummaryDaily[new_orders],0)</f>
        <v>0</v>
      </c>
      <c r="K579" s="11">
        <f>_xlfn.XLOOKUP(TableDailySummary[[#This Row],[Fecha]],SummaryDaily[day],SummaryDaily[new_average_order_value],0)</f>
        <v>0</v>
      </c>
      <c r="L579" s="11">
        <f>_xlfn.XLOOKUP(TableDailySummary[[#This Row],[Fecha]],SummaryDaily[day],SummaryDaily[Online Store_net_sales],0)</f>
        <v>0</v>
      </c>
      <c r="M579" s="11">
        <f>_xlfn.XLOOKUP(TableDailySummary[[#This Row],[Fecha]],SummaryDaily[day],SummaryDaily[Online Store_orders],0)</f>
        <v>0</v>
      </c>
      <c r="N579" s="11">
        <f>_xlfn.XLOOKUP(TableDailySummary[[#This Row],[Fecha]],SummaryDaily[day],SummaryDaily[Online Store_average_order_value],0)</f>
        <v>0</v>
      </c>
      <c r="O579" s="11">
        <f>_xlfn.XLOOKUP(TableDailySummary[[#This Row],[Fecha]],SummaryDaily[day],SummaryDaily[Tienda 81_net_sales],0)</f>
        <v>0</v>
      </c>
      <c r="P579" s="11">
        <f>_xlfn.XLOOKUP(TableDailySummary[[#This Row],[Fecha]],SummaryDaily[day],SummaryDaily[Tienda 81_orders],0)</f>
        <v>0</v>
      </c>
      <c r="Q579" s="11">
        <f>_xlfn.XLOOKUP(TableDailySummary[[#This Row],[Fecha]],SummaryDaily[day],SummaryDaily[Tienda 81_average_order_value],0)</f>
        <v>0</v>
      </c>
      <c r="R579" s="11">
        <f>_xlfn.XLOOKUP(TableDailySummary[[#This Row],[Fecha]],SummaryDaily[day],SummaryDaily[Rappi_net_sales],0)</f>
        <v>0</v>
      </c>
      <c r="S579" s="11">
        <f>_xlfn.XLOOKUP(TableDailySummary[[#This Row],[Fecha]],SummaryDaily[day],SummaryDaily[Rappi_orders],0)</f>
        <v>0</v>
      </c>
      <c r="T579" s="11">
        <f>_xlfn.XLOOKUP(TableDailySummary[[#This Row],[Fecha]],SummaryDaily[day],SummaryDaily[Rappi_average_order_value],0)</f>
        <v>0</v>
      </c>
      <c r="U579" s="11">
        <f>_xlfn.XLOOKUP(TableDailySummary[[#This Row],[Fecha]],SummaryDaily[day],SummaryDaily[Corporativo no tienda_net_sales],0)</f>
        <v>0</v>
      </c>
      <c r="V579" s="11">
        <f>_xlfn.XLOOKUP(TableDailySummary[[#This Row],[Fecha]],SummaryDaily[day],SummaryDaily[Corporativo no tienda_orders],0)</f>
        <v>0</v>
      </c>
      <c r="W579" s="11">
        <f>_xlfn.XLOOKUP(TableDailySummary[[#This Row],[Fecha]],SummaryDaily[day],SummaryDaily[Corporativo no tienda_average_order_value],0)</f>
        <v>0</v>
      </c>
      <c r="X579" s="11">
        <f>_xlfn.XLOOKUP(TableDailySummary[[#This Row],[Fecha]],SummaryDaily[day],SummaryDaily[GoogleAdsOperation.Cost],0)</f>
        <v>0</v>
      </c>
      <c r="Y579" s="11">
        <f>SUMIFS(SalesByUTMDaily[google],SalesByUTMDaily[day],TableDailySummary[[#This Row],[Fecha]])</f>
        <v>0</v>
      </c>
      <c r="Z579" s="11">
        <f>_xlfn.XLOOKUP(TableDailySummary[[#This Row],[Fecha]],SummaryDaily[day],SummaryDaily[MetaAdsOperation.spend],0)</f>
        <v>0</v>
      </c>
      <c r="AA579" s="11">
        <f>SUMIFS(SalesByUTMDaily[facebook],SalesByUTMDaily[day],TableDailySummary[[#This Row],[Fecha]])</f>
        <v>0</v>
      </c>
      <c r="AB579" s="11">
        <f>TableDailySummary[[#This Row],[Inversión google ads]]+TableDailySummary[[#This Row],[Inversión meta ads]]</f>
        <v>0</v>
      </c>
      <c r="AC579" s="11">
        <f>TableDailySummary[[#This Row],[Ventas google ads]]+TableDailySummary[[#This Row],[Ventas meta ads]]</f>
        <v>0</v>
      </c>
      <c r="AD579" s="14">
        <f>IFERROR(TableDailySummary[[#This Row],[Ventas publicidad]]/TableDailySummary[[#This Row],[Inversión publicidad]],0)</f>
        <v>0</v>
      </c>
      <c r="AE579" s="14">
        <f>IFERROR(TableDailySummary[[#This Row],[Ventas primer cliente]]/TableDailySummary[[#This Row],[Inversión publicidad]],0)</f>
        <v>0</v>
      </c>
      <c r="AF579" s="14"/>
      <c r="AG579" s="11"/>
      <c r="AM579" s="11">
        <f>_xlfn.XLOOKUP(TableDailySummary[[#This Row],[Fecha]],SummaryDaily[day],SummaryDaily[net_sales_with_cost_recorded],0)</f>
        <v>0</v>
      </c>
      <c r="AN579" s="11">
        <f>_xlfn.XLOOKUP(TableDailySummary[[#This Row],[Fecha]],SummaryDaily[day],SummaryDaily[cost_of_goods_sold],0)</f>
        <v>0</v>
      </c>
      <c r="AO579" s="11">
        <f>_xlfn.XLOOKUP(TableDailySummary[[#This Row],[Fecha]],SummaryDaily[day],SummaryDaily[gross_profit],0)</f>
        <v>0</v>
      </c>
      <c r="AP579" s="18">
        <f>IFERROR(TableDailySummary[[#This Row],[Utilidad bruta]]/TableDailySummary[[#This Row],[Ventas netas con costo registrado]],0)</f>
        <v>0</v>
      </c>
    </row>
    <row r="580" spans="2:42" x14ac:dyDescent="0.2">
      <c r="B580" s="15" cm="1">
        <f t="array" ref="B580">ParamFechaInicioReporte + (ROW(TableDailySummary[#This Row]) - ROW(TableDailySummary[[#Headers],[Dia]]) - 1)</f>
        <v>45107</v>
      </c>
      <c r="C580" s="6">
        <f>TableDailySummary[[#This Row],[Dia]]</f>
        <v>45107</v>
      </c>
      <c r="D580" s="11">
        <f>_xlfn.XLOOKUP(TableDailySummary[[#This Row],[Fecha]],SummaryDaily[day],SummaryDaily[net_sales],0)</f>
        <v>0</v>
      </c>
      <c r="E580" s="11">
        <f>_xlfn.XLOOKUP(TableDailySummary[[#This Row],[Fecha]],SummaryDaily[day],SummaryDaily[orders],0)</f>
        <v>0</v>
      </c>
      <c r="F580" s="11">
        <f>_xlfn.XLOOKUP(TableDailySummary[[#This Row],[Fecha]],SummaryDaily[day],SummaryDaily[average_order_value],0)</f>
        <v>0</v>
      </c>
      <c r="G580" s="24" cm="1">
        <f t="array" ref="G580">_xlfn.XLOOKUP(TableDailySummary[[#This Row],[Fecha]]&amp;"Total site",ConversionRateByReferral[day]&amp;ConversionRateByReferral[referrer_source],ConversionRateByReferral[conversion_rate],0)</f>
        <v>0</v>
      </c>
      <c r="H580" s="11">
        <f>TableDailySummary[[#This Row],[Órden promedio totales]]*TableDailySummary[[#This Row],[CR totales]]</f>
        <v>0</v>
      </c>
      <c r="I580" s="11">
        <f>_xlfn.XLOOKUP(TableDailySummary[[#This Row],[Fecha]],SummaryDaily[day],SummaryDaily[new_net_sales],0)</f>
        <v>0</v>
      </c>
      <c r="J580" s="11">
        <f>_xlfn.XLOOKUP(TableDailySummary[[#This Row],[Fecha]],SummaryDaily[day],SummaryDaily[new_orders],0)</f>
        <v>0</v>
      </c>
      <c r="K580" s="11">
        <f>_xlfn.XLOOKUP(TableDailySummary[[#This Row],[Fecha]],SummaryDaily[day],SummaryDaily[new_average_order_value],0)</f>
        <v>0</v>
      </c>
      <c r="L580" s="11">
        <f>_xlfn.XLOOKUP(TableDailySummary[[#This Row],[Fecha]],SummaryDaily[day],SummaryDaily[Online Store_net_sales],0)</f>
        <v>0</v>
      </c>
      <c r="M580" s="11">
        <f>_xlfn.XLOOKUP(TableDailySummary[[#This Row],[Fecha]],SummaryDaily[day],SummaryDaily[Online Store_orders],0)</f>
        <v>0</v>
      </c>
      <c r="N580" s="11">
        <f>_xlfn.XLOOKUP(TableDailySummary[[#This Row],[Fecha]],SummaryDaily[day],SummaryDaily[Online Store_average_order_value],0)</f>
        <v>0</v>
      </c>
      <c r="O580" s="11">
        <f>_xlfn.XLOOKUP(TableDailySummary[[#This Row],[Fecha]],SummaryDaily[day],SummaryDaily[Tienda 81_net_sales],0)</f>
        <v>0</v>
      </c>
      <c r="P580" s="11">
        <f>_xlfn.XLOOKUP(TableDailySummary[[#This Row],[Fecha]],SummaryDaily[day],SummaryDaily[Tienda 81_orders],0)</f>
        <v>0</v>
      </c>
      <c r="Q580" s="11">
        <f>_xlfn.XLOOKUP(TableDailySummary[[#This Row],[Fecha]],SummaryDaily[day],SummaryDaily[Tienda 81_average_order_value],0)</f>
        <v>0</v>
      </c>
      <c r="R580" s="11">
        <f>_xlfn.XLOOKUP(TableDailySummary[[#This Row],[Fecha]],SummaryDaily[day],SummaryDaily[Rappi_net_sales],0)</f>
        <v>0</v>
      </c>
      <c r="S580" s="11">
        <f>_xlfn.XLOOKUP(TableDailySummary[[#This Row],[Fecha]],SummaryDaily[day],SummaryDaily[Rappi_orders],0)</f>
        <v>0</v>
      </c>
      <c r="T580" s="11">
        <f>_xlfn.XLOOKUP(TableDailySummary[[#This Row],[Fecha]],SummaryDaily[day],SummaryDaily[Rappi_average_order_value],0)</f>
        <v>0</v>
      </c>
      <c r="U580" s="11">
        <f>_xlfn.XLOOKUP(TableDailySummary[[#This Row],[Fecha]],SummaryDaily[day],SummaryDaily[Corporativo no tienda_net_sales],0)</f>
        <v>0</v>
      </c>
      <c r="V580" s="11">
        <f>_xlfn.XLOOKUP(TableDailySummary[[#This Row],[Fecha]],SummaryDaily[day],SummaryDaily[Corporativo no tienda_orders],0)</f>
        <v>0</v>
      </c>
      <c r="W580" s="11">
        <f>_xlfn.XLOOKUP(TableDailySummary[[#This Row],[Fecha]],SummaryDaily[day],SummaryDaily[Corporativo no tienda_average_order_value],0)</f>
        <v>0</v>
      </c>
      <c r="X580" s="11">
        <f>_xlfn.XLOOKUP(TableDailySummary[[#This Row],[Fecha]],SummaryDaily[day],SummaryDaily[GoogleAdsOperation.Cost],0)</f>
        <v>0</v>
      </c>
      <c r="Y580" s="11">
        <f>SUMIFS(SalesByUTMDaily[google],SalesByUTMDaily[day],TableDailySummary[[#This Row],[Fecha]])</f>
        <v>0</v>
      </c>
      <c r="Z580" s="11">
        <f>_xlfn.XLOOKUP(TableDailySummary[[#This Row],[Fecha]],SummaryDaily[day],SummaryDaily[MetaAdsOperation.spend],0)</f>
        <v>0</v>
      </c>
      <c r="AA580" s="11">
        <f>SUMIFS(SalesByUTMDaily[facebook],SalesByUTMDaily[day],TableDailySummary[[#This Row],[Fecha]])</f>
        <v>0</v>
      </c>
      <c r="AB580" s="11">
        <f>TableDailySummary[[#This Row],[Inversión google ads]]+TableDailySummary[[#This Row],[Inversión meta ads]]</f>
        <v>0</v>
      </c>
      <c r="AC580" s="11">
        <f>TableDailySummary[[#This Row],[Ventas google ads]]+TableDailySummary[[#This Row],[Ventas meta ads]]</f>
        <v>0</v>
      </c>
      <c r="AD580" s="14">
        <f>IFERROR(TableDailySummary[[#This Row],[Ventas publicidad]]/TableDailySummary[[#This Row],[Inversión publicidad]],0)</f>
        <v>0</v>
      </c>
      <c r="AE580" s="14">
        <f>IFERROR(TableDailySummary[[#This Row],[Ventas primer cliente]]/TableDailySummary[[#This Row],[Inversión publicidad]],0)</f>
        <v>0</v>
      </c>
      <c r="AF580" s="14"/>
      <c r="AG580" s="11"/>
      <c r="AM580" s="11">
        <f>_xlfn.XLOOKUP(TableDailySummary[[#This Row],[Fecha]],SummaryDaily[day],SummaryDaily[net_sales_with_cost_recorded],0)</f>
        <v>0</v>
      </c>
      <c r="AN580" s="11">
        <f>_xlfn.XLOOKUP(TableDailySummary[[#This Row],[Fecha]],SummaryDaily[day],SummaryDaily[cost_of_goods_sold],0)</f>
        <v>0</v>
      </c>
      <c r="AO580" s="11">
        <f>_xlfn.XLOOKUP(TableDailySummary[[#This Row],[Fecha]],SummaryDaily[day],SummaryDaily[gross_profit],0)</f>
        <v>0</v>
      </c>
      <c r="AP580" s="18">
        <f>IFERROR(TableDailySummary[[#This Row],[Utilidad bruta]]/TableDailySummary[[#This Row],[Ventas netas con costo registrado]],0)</f>
        <v>0</v>
      </c>
    </row>
    <row r="581" spans="2:42" x14ac:dyDescent="0.2">
      <c r="B581" s="15" cm="1">
        <f t="array" ref="B581">ParamFechaInicioReporte + (ROW(TableDailySummary[#This Row]) - ROW(TableDailySummary[[#Headers],[Dia]]) - 1)</f>
        <v>45108</v>
      </c>
      <c r="C581" s="6">
        <f>TableDailySummary[[#This Row],[Dia]]</f>
        <v>45108</v>
      </c>
      <c r="D581" s="11">
        <f>_xlfn.XLOOKUP(TableDailySummary[[#This Row],[Fecha]],SummaryDaily[day],SummaryDaily[net_sales],0)</f>
        <v>0</v>
      </c>
      <c r="E581" s="11">
        <f>_xlfn.XLOOKUP(TableDailySummary[[#This Row],[Fecha]],SummaryDaily[day],SummaryDaily[orders],0)</f>
        <v>0</v>
      </c>
      <c r="F581" s="11">
        <f>_xlfn.XLOOKUP(TableDailySummary[[#This Row],[Fecha]],SummaryDaily[day],SummaryDaily[average_order_value],0)</f>
        <v>0</v>
      </c>
      <c r="G581" s="24" cm="1">
        <f t="array" ref="G581">_xlfn.XLOOKUP(TableDailySummary[[#This Row],[Fecha]]&amp;"Total site",ConversionRateByReferral[day]&amp;ConversionRateByReferral[referrer_source],ConversionRateByReferral[conversion_rate],0)</f>
        <v>0</v>
      </c>
      <c r="H581" s="11">
        <f>TableDailySummary[[#This Row],[Órden promedio totales]]*TableDailySummary[[#This Row],[CR totales]]</f>
        <v>0</v>
      </c>
      <c r="I581" s="11">
        <f>_xlfn.XLOOKUP(TableDailySummary[[#This Row],[Fecha]],SummaryDaily[day],SummaryDaily[new_net_sales],0)</f>
        <v>0</v>
      </c>
      <c r="J581" s="11">
        <f>_xlfn.XLOOKUP(TableDailySummary[[#This Row],[Fecha]],SummaryDaily[day],SummaryDaily[new_orders],0)</f>
        <v>0</v>
      </c>
      <c r="K581" s="11">
        <f>_xlfn.XLOOKUP(TableDailySummary[[#This Row],[Fecha]],SummaryDaily[day],SummaryDaily[new_average_order_value],0)</f>
        <v>0</v>
      </c>
      <c r="L581" s="11">
        <f>_xlfn.XLOOKUP(TableDailySummary[[#This Row],[Fecha]],SummaryDaily[day],SummaryDaily[Online Store_net_sales],0)</f>
        <v>0</v>
      </c>
      <c r="M581" s="11">
        <f>_xlfn.XLOOKUP(TableDailySummary[[#This Row],[Fecha]],SummaryDaily[day],SummaryDaily[Online Store_orders],0)</f>
        <v>0</v>
      </c>
      <c r="N581" s="11">
        <f>_xlfn.XLOOKUP(TableDailySummary[[#This Row],[Fecha]],SummaryDaily[day],SummaryDaily[Online Store_average_order_value],0)</f>
        <v>0</v>
      </c>
      <c r="O581" s="11">
        <f>_xlfn.XLOOKUP(TableDailySummary[[#This Row],[Fecha]],SummaryDaily[day],SummaryDaily[Tienda 81_net_sales],0)</f>
        <v>0</v>
      </c>
      <c r="P581" s="11">
        <f>_xlfn.XLOOKUP(TableDailySummary[[#This Row],[Fecha]],SummaryDaily[day],SummaryDaily[Tienda 81_orders],0)</f>
        <v>0</v>
      </c>
      <c r="Q581" s="11">
        <f>_xlfn.XLOOKUP(TableDailySummary[[#This Row],[Fecha]],SummaryDaily[day],SummaryDaily[Tienda 81_average_order_value],0)</f>
        <v>0</v>
      </c>
      <c r="R581" s="11">
        <f>_xlfn.XLOOKUP(TableDailySummary[[#This Row],[Fecha]],SummaryDaily[day],SummaryDaily[Rappi_net_sales],0)</f>
        <v>0</v>
      </c>
      <c r="S581" s="11">
        <f>_xlfn.XLOOKUP(TableDailySummary[[#This Row],[Fecha]],SummaryDaily[day],SummaryDaily[Rappi_orders],0)</f>
        <v>0</v>
      </c>
      <c r="T581" s="11">
        <f>_xlfn.XLOOKUP(TableDailySummary[[#This Row],[Fecha]],SummaryDaily[day],SummaryDaily[Rappi_average_order_value],0)</f>
        <v>0</v>
      </c>
      <c r="U581" s="11">
        <f>_xlfn.XLOOKUP(TableDailySummary[[#This Row],[Fecha]],SummaryDaily[day],SummaryDaily[Corporativo no tienda_net_sales],0)</f>
        <v>0</v>
      </c>
      <c r="V581" s="11">
        <f>_xlfn.XLOOKUP(TableDailySummary[[#This Row],[Fecha]],SummaryDaily[day],SummaryDaily[Corporativo no tienda_orders],0)</f>
        <v>0</v>
      </c>
      <c r="W581" s="11">
        <f>_xlfn.XLOOKUP(TableDailySummary[[#This Row],[Fecha]],SummaryDaily[day],SummaryDaily[Corporativo no tienda_average_order_value],0)</f>
        <v>0</v>
      </c>
      <c r="X581" s="11">
        <f>_xlfn.XLOOKUP(TableDailySummary[[#This Row],[Fecha]],SummaryDaily[day],SummaryDaily[GoogleAdsOperation.Cost],0)</f>
        <v>0</v>
      </c>
      <c r="Y581" s="11">
        <f>SUMIFS(SalesByUTMDaily[google],SalesByUTMDaily[day],TableDailySummary[[#This Row],[Fecha]])</f>
        <v>0</v>
      </c>
      <c r="Z581" s="11">
        <f>_xlfn.XLOOKUP(TableDailySummary[[#This Row],[Fecha]],SummaryDaily[day],SummaryDaily[MetaAdsOperation.spend],0)</f>
        <v>0</v>
      </c>
      <c r="AA581" s="11">
        <f>SUMIFS(SalesByUTMDaily[facebook],SalesByUTMDaily[day],TableDailySummary[[#This Row],[Fecha]])</f>
        <v>0</v>
      </c>
      <c r="AB581" s="11">
        <f>TableDailySummary[[#This Row],[Inversión google ads]]+TableDailySummary[[#This Row],[Inversión meta ads]]</f>
        <v>0</v>
      </c>
      <c r="AC581" s="11">
        <f>TableDailySummary[[#This Row],[Ventas google ads]]+TableDailySummary[[#This Row],[Ventas meta ads]]</f>
        <v>0</v>
      </c>
      <c r="AD581" s="14">
        <f>IFERROR(TableDailySummary[[#This Row],[Ventas publicidad]]/TableDailySummary[[#This Row],[Inversión publicidad]],0)</f>
        <v>0</v>
      </c>
      <c r="AE581" s="14">
        <f>IFERROR(TableDailySummary[[#This Row],[Ventas primer cliente]]/TableDailySummary[[#This Row],[Inversión publicidad]],0)</f>
        <v>0</v>
      </c>
      <c r="AF581" s="14"/>
      <c r="AG581" s="11"/>
      <c r="AM581" s="11">
        <f>_xlfn.XLOOKUP(TableDailySummary[[#This Row],[Fecha]],SummaryDaily[day],SummaryDaily[net_sales_with_cost_recorded],0)</f>
        <v>0</v>
      </c>
      <c r="AN581" s="11">
        <f>_xlfn.XLOOKUP(TableDailySummary[[#This Row],[Fecha]],SummaryDaily[day],SummaryDaily[cost_of_goods_sold],0)</f>
        <v>0</v>
      </c>
      <c r="AO581" s="11">
        <f>_xlfn.XLOOKUP(TableDailySummary[[#This Row],[Fecha]],SummaryDaily[day],SummaryDaily[gross_profit],0)</f>
        <v>0</v>
      </c>
      <c r="AP581" s="18">
        <f>IFERROR(TableDailySummary[[#This Row],[Utilidad bruta]]/TableDailySummary[[#This Row],[Ventas netas con costo registrado]],0)</f>
        <v>0</v>
      </c>
    </row>
    <row r="582" spans="2:42" x14ac:dyDescent="0.2">
      <c r="B582" s="15" cm="1">
        <f t="array" ref="B582">ParamFechaInicioReporte + (ROW(TableDailySummary[#This Row]) - ROW(TableDailySummary[[#Headers],[Dia]]) - 1)</f>
        <v>45109</v>
      </c>
      <c r="C582" s="6">
        <f>TableDailySummary[[#This Row],[Dia]]</f>
        <v>45109</v>
      </c>
      <c r="D582" s="11">
        <f>_xlfn.XLOOKUP(TableDailySummary[[#This Row],[Fecha]],SummaryDaily[day],SummaryDaily[net_sales],0)</f>
        <v>0</v>
      </c>
      <c r="E582" s="11">
        <f>_xlfn.XLOOKUP(TableDailySummary[[#This Row],[Fecha]],SummaryDaily[day],SummaryDaily[orders],0)</f>
        <v>0</v>
      </c>
      <c r="F582" s="11">
        <f>_xlfn.XLOOKUP(TableDailySummary[[#This Row],[Fecha]],SummaryDaily[day],SummaryDaily[average_order_value],0)</f>
        <v>0</v>
      </c>
      <c r="G582" s="24" cm="1">
        <f t="array" ref="G582">_xlfn.XLOOKUP(TableDailySummary[[#This Row],[Fecha]]&amp;"Total site",ConversionRateByReferral[day]&amp;ConversionRateByReferral[referrer_source],ConversionRateByReferral[conversion_rate],0)</f>
        <v>0</v>
      </c>
      <c r="H582" s="11">
        <f>TableDailySummary[[#This Row],[Órden promedio totales]]*TableDailySummary[[#This Row],[CR totales]]</f>
        <v>0</v>
      </c>
      <c r="I582" s="11">
        <f>_xlfn.XLOOKUP(TableDailySummary[[#This Row],[Fecha]],SummaryDaily[day],SummaryDaily[new_net_sales],0)</f>
        <v>0</v>
      </c>
      <c r="J582" s="11">
        <f>_xlfn.XLOOKUP(TableDailySummary[[#This Row],[Fecha]],SummaryDaily[day],SummaryDaily[new_orders],0)</f>
        <v>0</v>
      </c>
      <c r="K582" s="11">
        <f>_xlfn.XLOOKUP(TableDailySummary[[#This Row],[Fecha]],SummaryDaily[day],SummaryDaily[new_average_order_value],0)</f>
        <v>0</v>
      </c>
      <c r="L582" s="11">
        <f>_xlfn.XLOOKUP(TableDailySummary[[#This Row],[Fecha]],SummaryDaily[day],SummaryDaily[Online Store_net_sales],0)</f>
        <v>0</v>
      </c>
      <c r="M582" s="11">
        <f>_xlfn.XLOOKUP(TableDailySummary[[#This Row],[Fecha]],SummaryDaily[day],SummaryDaily[Online Store_orders],0)</f>
        <v>0</v>
      </c>
      <c r="N582" s="11">
        <f>_xlfn.XLOOKUP(TableDailySummary[[#This Row],[Fecha]],SummaryDaily[day],SummaryDaily[Online Store_average_order_value],0)</f>
        <v>0</v>
      </c>
      <c r="O582" s="11">
        <f>_xlfn.XLOOKUP(TableDailySummary[[#This Row],[Fecha]],SummaryDaily[day],SummaryDaily[Tienda 81_net_sales],0)</f>
        <v>0</v>
      </c>
      <c r="P582" s="11">
        <f>_xlfn.XLOOKUP(TableDailySummary[[#This Row],[Fecha]],SummaryDaily[day],SummaryDaily[Tienda 81_orders],0)</f>
        <v>0</v>
      </c>
      <c r="Q582" s="11">
        <f>_xlfn.XLOOKUP(TableDailySummary[[#This Row],[Fecha]],SummaryDaily[day],SummaryDaily[Tienda 81_average_order_value],0)</f>
        <v>0</v>
      </c>
      <c r="R582" s="11">
        <f>_xlfn.XLOOKUP(TableDailySummary[[#This Row],[Fecha]],SummaryDaily[day],SummaryDaily[Rappi_net_sales],0)</f>
        <v>0</v>
      </c>
      <c r="S582" s="11">
        <f>_xlfn.XLOOKUP(TableDailySummary[[#This Row],[Fecha]],SummaryDaily[day],SummaryDaily[Rappi_orders],0)</f>
        <v>0</v>
      </c>
      <c r="T582" s="11">
        <f>_xlfn.XLOOKUP(TableDailySummary[[#This Row],[Fecha]],SummaryDaily[day],SummaryDaily[Rappi_average_order_value],0)</f>
        <v>0</v>
      </c>
      <c r="U582" s="11">
        <f>_xlfn.XLOOKUP(TableDailySummary[[#This Row],[Fecha]],SummaryDaily[day],SummaryDaily[Corporativo no tienda_net_sales],0)</f>
        <v>0</v>
      </c>
      <c r="V582" s="11">
        <f>_xlfn.XLOOKUP(TableDailySummary[[#This Row],[Fecha]],SummaryDaily[day],SummaryDaily[Corporativo no tienda_orders],0)</f>
        <v>0</v>
      </c>
      <c r="W582" s="11">
        <f>_xlfn.XLOOKUP(TableDailySummary[[#This Row],[Fecha]],SummaryDaily[day],SummaryDaily[Corporativo no tienda_average_order_value],0)</f>
        <v>0</v>
      </c>
      <c r="X582" s="11">
        <f>_xlfn.XLOOKUP(TableDailySummary[[#This Row],[Fecha]],SummaryDaily[day],SummaryDaily[GoogleAdsOperation.Cost],0)</f>
        <v>0</v>
      </c>
      <c r="Y582" s="11">
        <f>SUMIFS(SalesByUTMDaily[google],SalesByUTMDaily[day],TableDailySummary[[#This Row],[Fecha]])</f>
        <v>0</v>
      </c>
      <c r="Z582" s="11">
        <f>_xlfn.XLOOKUP(TableDailySummary[[#This Row],[Fecha]],SummaryDaily[day],SummaryDaily[MetaAdsOperation.spend],0)</f>
        <v>0</v>
      </c>
      <c r="AA582" s="11">
        <f>SUMIFS(SalesByUTMDaily[facebook],SalesByUTMDaily[day],TableDailySummary[[#This Row],[Fecha]])</f>
        <v>0</v>
      </c>
      <c r="AB582" s="11">
        <f>TableDailySummary[[#This Row],[Inversión google ads]]+TableDailySummary[[#This Row],[Inversión meta ads]]</f>
        <v>0</v>
      </c>
      <c r="AC582" s="11">
        <f>TableDailySummary[[#This Row],[Ventas google ads]]+TableDailySummary[[#This Row],[Ventas meta ads]]</f>
        <v>0</v>
      </c>
      <c r="AD582" s="14">
        <f>IFERROR(TableDailySummary[[#This Row],[Ventas publicidad]]/TableDailySummary[[#This Row],[Inversión publicidad]],0)</f>
        <v>0</v>
      </c>
      <c r="AE582" s="14">
        <f>IFERROR(TableDailySummary[[#This Row],[Ventas primer cliente]]/TableDailySummary[[#This Row],[Inversión publicidad]],0)</f>
        <v>0</v>
      </c>
      <c r="AF582" s="14"/>
      <c r="AG582" s="11"/>
      <c r="AM582" s="11">
        <f>_xlfn.XLOOKUP(TableDailySummary[[#This Row],[Fecha]],SummaryDaily[day],SummaryDaily[net_sales_with_cost_recorded],0)</f>
        <v>0</v>
      </c>
      <c r="AN582" s="11">
        <f>_xlfn.XLOOKUP(TableDailySummary[[#This Row],[Fecha]],SummaryDaily[day],SummaryDaily[cost_of_goods_sold],0)</f>
        <v>0</v>
      </c>
      <c r="AO582" s="11">
        <f>_xlfn.XLOOKUP(TableDailySummary[[#This Row],[Fecha]],SummaryDaily[day],SummaryDaily[gross_profit],0)</f>
        <v>0</v>
      </c>
      <c r="AP582" s="18">
        <f>IFERROR(TableDailySummary[[#This Row],[Utilidad bruta]]/TableDailySummary[[#This Row],[Ventas netas con costo registrado]],0)</f>
        <v>0</v>
      </c>
    </row>
    <row r="583" spans="2:42" x14ac:dyDescent="0.2">
      <c r="B583" s="15" cm="1">
        <f t="array" ref="B583">ParamFechaInicioReporte + (ROW(TableDailySummary[#This Row]) - ROW(TableDailySummary[[#Headers],[Dia]]) - 1)</f>
        <v>45110</v>
      </c>
      <c r="C583" s="6">
        <f>TableDailySummary[[#This Row],[Dia]]</f>
        <v>45110</v>
      </c>
      <c r="D583" s="11">
        <f>_xlfn.XLOOKUP(TableDailySummary[[#This Row],[Fecha]],SummaryDaily[day],SummaryDaily[net_sales],0)</f>
        <v>0</v>
      </c>
      <c r="E583" s="11">
        <f>_xlfn.XLOOKUP(TableDailySummary[[#This Row],[Fecha]],SummaryDaily[day],SummaryDaily[orders],0)</f>
        <v>0</v>
      </c>
      <c r="F583" s="11">
        <f>_xlfn.XLOOKUP(TableDailySummary[[#This Row],[Fecha]],SummaryDaily[day],SummaryDaily[average_order_value],0)</f>
        <v>0</v>
      </c>
      <c r="G583" s="24" cm="1">
        <f t="array" ref="G583">_xlfn.XLOOKUP(TableDailySummary[[#This Row],[Fecha]]&amp;"Total site",ConversionRateByReferral[day]&amp;ConversionRateByReferral[referrer_source],ConversionRateByReferral[conversion_rate],0)</f>
        <v>0</v>
      </c>
      <c r="H583" s="11">
        <f>TableDailySummary[[#This Row],[Órden promedio totales]]*TableDailySummary[[#This Row],[CR totales]]</f>
        <v>0</v>
      </c>
      <c r="I583" s="11">
        <f>_xlfn.XLOOKUP(TableDailySummary[[#This Row],[Fecha]],SummaryDaily[day],SummaryDaily[new_net_sales],0)</f>
        <v>0</v>
      </c>
      <c r="J583" s="11">
        <f>_xlfn.XLOOKUP(TableDailySummary[[#This Row],[Fecha]],SummaryDaily[day],SummaryDaily[new_orders],0)</f>
        <v>0</v>
      </c>
      <c r="K583" s="11">
        <f>_xlfn.XLOOKUP(TableDailySummary[[#This Row],[Fecha]],SummaryDaily[day],SummaryDaily[new_average_order_value],0)</f>
        <v>0</v>
      </c>
      <c r="L583" s="11">
        <f>_xlfn.XLOOKUP(TableDailySummary[[#This Row],[Fecha]],SummaryDaily[day],SummaryDaily[Online Store_net_sales],0)</f>
        <v>0</v>
      </c>
      <c r="M583" s="11">
        <f>_xlfn.XLOOKUP(TableDailySummary[[#This Row],[Fecha]],SummaryDaily[day],SummaryDaily[Online Store_orders],0)</f>
        <v>0</v>
      </c>
      <c r="N583" s="11">
        <f>_xlfn.XLOOKUP(TableDailySummary[[#This Row],[Fecha]],SummaryDaily[day],SummaryDaily[Online Store_average_order_value],0)</f>
        <v>0</v>
      </c>
      <c r="O583" s="11">
        <f>_xlfn.XLOOKUP(TableDailySummary[[#This Row],[Fecha]],SummaryDaily[day],SummaryDaily[Tienda 81_net_sales],0)</f>
        <v>0</v>
      </c>
      <c r="P583" s="11">
        <f>_xlfn.XLOOKUP(TableDailySummary[[#This Row],[Fecha]],SummaryDaily[day],SummaryDaily[Tienda 81_orders],0)</f>
        <v>0</v>
      </c>
      <c r="Q583" s="11">
        <f>_xlfn.XLOOKUP(TableDailySummary[[#This Row],[Fecha]],SummaryDaily[day],SummaryDaily[Tienda 81_average_order_value],0)</f>
        <v>0</v>
      </c>
      <c r="R583" s="11">
        <f>_xlfn.XLOOKUP(TableDailySummary[[#This Row],[Fecha]],SummaryDaily[day],SummaryDaily[Rappi_net_sales],0)</f>
        <v>0</v>
      </c>
      <c r="S583" s="11">
        <f>_xlfn.XLOOKUP(TableDailySummary[[#This Row],[Fecha]],SummaryDaily[day],SummaryDaily[Rappi_orders],0)</f>
        <v>0</v>
      </c>
      <c r="T583" s="11">
        <f>_xlfn.XLOOKUP(TableDailySummary[[#This Row],[Fecha]],SummaryDaily[day],SummaryDaily[Rappi_average_order_value],0)</f>
        <v>0</v>
      </c>
      <c r="U583" s="11">
        <f>_xlfn.XLOOKUP(TableDailySummary[[#This Row],[Fecha]],SummaryDaily[day],SummaryDaily[Corporativo no tienda_net_sales],0)</f>
        <v>0</v>
      </c>
      <c r="V583" s="11">
        <f>_xlfn.XLOOKUP(TableDailySummary[[#This Row],[Fecha]],SummaryDaily[day],SummaryDaily[Corporativo no tienda_orders],0)</f>
        <v>0</v>
      </c>
      <c r="W583" s="11">
        <f>_xlfn.XLOOKUP(TableDailySummary[[#This Row],[Fecha]],SummaryDaily[day],SummaryDaily[Corporativo no tienda_average_order_value],0)</f>
        <v>0</v>
      </c>
      <c r="X583" s="11">
        <f>_xlfn.XLOOKUP(TableDailySummary[[#This Row],[Fecha]],SummaryDaily[day],SummaryDaily[GoogleAdsOperation.Cost],0)</f>
        <v>0</v>
      </c>
      <c r="Y583" s="11">
        <f>SUMIFS(SalesByUTMDaily[google],SalesByUTMDaily[day],TableDailySummary[[#This Row],[Fecha]])</f>
        <v>0</v>
      </c>
      <c r="Z583" s="11">
        <f>_xlfn.XLOOKUP(TableDailySummary[[#This Row],[Fecha]],SummaryDaily[day],SummaryDaily[MetaAdsOperation.spend],0)</f>
        <v>0</v>
      </c>
      <c r="AA583" s="11">
        <f>SUMIFS(SalesByUTMDaily[facebook],SalesByUTMDaily[day],TableDailySummary[[#This Row],[Fecha]])</f>
        <v>0</v>
      </c>
      <c r="AB583" s="11">
        <f>TableDailySummary[[#This Row],[Inversión google ads]]+TableDailySummary[[#This Row],[Inversión meta ads]]</f>
        <v>0</v>
      </c>
      <c r="AC583" s="11">
        <f>TableDailySummary[[#This Row],[Ventas google ads]]+TableDailySummary[[#This Row],[Ventas meta ads]]</f>
        <v>0</v>
      </c>
      <c r="AD583" s="14">
        <f>IFERROR(TableDailySummary[[#This Row],[Ventas publicidad]]/TableDailySummary[[#This Row],[Inversión publicidad]],0)</f>
        <v>0</v>
      </c>
      <c r="AE583" s="14">
        <f>IFERROR(TableDailySummary[[#This Row],[Ventas primer cliente]]/TableDailySummary[[#This Row],[Inversión publicidad]],0)</f>
        <v>0</v>
      </c>
      <c r="AF583" s="14"/>
      <c r="AG583" s="11"/>
      <c r="AM583" s="11">
        <f>_xlfn.XLOOKUP(TableDailySummary[[#This Row],[Fecha]],SummaryDaily[day],SummaryDaily[net_sales_with_cost_recorded],0)</f>
        <v>0</v>
      </c>
      <c r="AN583" s="11">
        <f>_xlfn.XLOOKUP(TableDailySummary[[#This Row],[Fecha]],SummaryDaily[day],SummaryDaily[cost_of_goods_sold],0)</f>
        <v>0</v>
      </c>
      <c r="AO583" s="11">
        <f>_xlfn.XLOOKUP(TableDailySummary[[#This Row],[Fecha]],SummaryDaily[day],SummaryDaily[gross_profit],0)</f>
        <v>0</v>
      </c>
      <c r="AP583" s="18">
        <f>IFERROR(TableDailySummary[[#This Row],[Utilidad bruta]]/TableDailySummary[[#This Row],[Ventas netas con costo registrado]],0)</f>
        <v>0</v>
      </c>
    </row>
    <row r="584" spans="2:42" x14ac:dyDescent="0.2">
      <c r="B584" s="15" cm="1">
        <f t="array" ref="B584">ParamFechaInicioReporte + (ROW(TableDailySummary[#This Row]) - ROW(TableDailySummary[[#Headers],[Dia]]) - 1)</f>
        <v>45111</v>
      </c>
      <c r="C584" s="6">
        <f>TableDailySummary[[#This Row],[Dia]]</f>
        <v>45111</v>
      </c>
      <c r="D584" s="11">
        <f>_xlfn.XLOOKUP(TableDailySummary[[#This Row],[Fecha]],SummaryDaily[day],SummaryDaily[net_sales],0)</f>
        <v>0</v>
      </c>
      <c r="E584" s="11">
        <f>_xlfn.XLOOKUP(TableDailySummary[[#This Row],[Fecha]],SummaryDaily[day],SummaryDaily[orders],0)</f>
        <v>0</v>
      </c>
      <c r="F584" s="11">
        <f>_xlfn.XLOOKUP(TableDailySummary[[#This Row],[Fecha]],SummaryDaily[day],SummaryDaily[average_order_value],0)</f>
        <v>0</v>
      </c>
      <c r="G584" s="24" cm="1">
        <f t="array" ref="G584">_xlfn.XLOOKUP(TableDailySummary[[#This Row],[Fecha]]&amp;"Total site",ConversionRateByReferral[day]&amp;ConversionRateByReferral[referrer_source],ConversionRateByReferral[conversion_rate],0)</f>
        <v>0</v>
      </c>
      <c r="H584" s="11">
        <f>TableDailySummary[[#This Row],[Órden promedio totales]]*TableDailySummary[[#This Row],[CR totales]]</f>
        <v>0</v>
      </c>
      <c r="I584" s="11">
        <f>_xlfn.XLOOKUP(TableDailySummary[[#This Row],[Fecha]],SummaryDaily[day],SummaryDaily[new_net_sales],0)</f>
        <v>0</v>
      </c>
      <c r="J584" s="11">
        <f>_xlfn.XLOOKUP(TableDailySummary[[#This Row],[Fecha]],SummaryDaily[day],SummaryDaily[new_orders],0)</f>
        <v>0</v>
      </c>
      <c r="K584" s="11">
        <f>_xlfn.XLOOKUP(TableDailySummary[[#This Row],[Fecha]],SummaryDaily[day],SummaryDaily[new_average_order_value],0)</f>
        <v>0</v>
      </c>
      <c r="L584" s="11">
        <f>_xlfn.XLOOKUP(TableDailySummary[[#This Row],[Fecha]],SummaryDaily[day],SummaryDaily[Online Store_net_sales],0)</f>
        <v>0</v>
      </c>
      <c r="M584" s="11">
        <f>_xlfn.XLOOKUP(TableDailySummary[[#This Row],[Fecha]],SummaryDaily[day],SummaryDaily[Online Store_orders],0)</f>
        <v>0</v>
      </c>
      <c r="N584" s="11">
        <f>_xlfn.XLOOKUP(TableDailySummary[[#This Row],[Fecha]],SummaryDaily[day],SummaryDaily[Online Store_average_order_value],0)</f>
        <v>0</v>
      </c>
      <c r="O584" s="11">
        <f>_xlfn.XLOOKUP(TableDailySummary[[#This Row],[Fecha]],SummaryDaily[day],SummaryDaily[Tienda 81_net_sales],0)</f>
        <v>0</v>
      </c>
      <c r="P584" s="11">
        <f>_xlfn.XLOOKUP(TableDailySummary[[#This Row],[Fecha]],SummaryDaily[day],SummaryDaily[Tienda 81_orders],0)</f>
        <v>0</v>
      </c>
      <c r="Q584" s="11">
        <f>_xlfn.XLOOKUP(TableDailySummary[[#This Row],[Fecha]],SummaryDaily[day],SummaryDaily[Tienda 81_average_order_value],0)</f>
        <v>0</v>
      </c>
      <c r="R584" s="11">
        <f>_xlfn.XLOOKUP(TableDailySummary[[#This Row],[Fecha]],SummaryDaily[day],SummaryDaily[Rappi_net_sales],0)</f>
        <v>0</v>
      </c>
      <c r="S584" s="11">
        <f>_xlfn.XLOOKUP(TableDailySummary[[#This Row],[Fecha]],SummaryDaily[day],SummaryDaily[Rappi_orders],0)</f>
        <v>0</v>
      </c>
      <c r="T584" s="11">
        <f>_xlfn.XLOOKUP(TableDailySummary[[#This Row],[Fecha]],SummaryDaily[day],SummaryDaily[Rappi_average_order_value],0)</f>
        <v>0</v>
      </c>
      <c r="U584" s="11">
        <f>_xlfn.XLOOKUP(TableDailySummary[[#This Row],[Fecha]],SummaryDaily[day],SummaryDaily[Corporativo no tienda_net_sales],0)</f>
        <v>0</v>
      </c>
      <c r="V584" s="11">
        <f>_xlfn.XLOOKUP(TableDailySummary[[#This Row],[Fecha]],SummaryDaily[day],SummaryDaily[Corporativo no tienda_orders],0)</f>
        <v>0</v>
      </c>
      <c r="W584" s="11">
        <f>_xlfn.XLOOKUP(TableDailySummary[[#This Row],[Fecha]],SummaryDaily[day],SummaryDaily[Corporativo no tienda_average_order_value],0)</f>
        <v>0</v>
      </c>
      <c r="X584" s="11">
        <f>_xlfn.XLOOKUP(TableDailySummary[[#This Row],[Fecha]],SummaryDaily[day],SummaryDaily[GoogleAdsOperation.Cost],0)</f>
        <v>0</v>
      </c>
      <c r="Y584" s="11">
        <f>SUMIFS(SalesByUTMDaily[google],SalesByUTMDaily[day],TableDailySummary[[#This Row],[Fecha]])</f>
        <v>0</v>
      </c>
      <c r="Z584" s="11">
        <f>_xlfn.XLOOKUP(TableDailySummary[[#This Row],[Fecha]],SummaryDaily[day],SummaryDaily[MetaAdsOperation.spend],0)</f>
        <v>0</v>
      </c>
      <c r="AA584" s="11">
        <f>SUMIFS(SalesByUTMDaily[facebook],SalesByUTMDaily[day],TableDailySummary[[#This Row],[Fecha]])</f>
        <v>0</v>
      </c>
      <c r="AB584" s="11">
        <f>TableDailySummary[[#This Row],[Inversión google ads]]+TableDailySummary[[#This Row],[Inversión meta ads]]</f>
        <v>0</v>
      </c>
      <c r="AC584" s="11">
        <f>TableDailySummary[[#This Row],[Ventas google ads]]+TableDailySummary[[#This Row],[Ventas meta ads]]</f>
        <v>0</v>
      </c>
      <c r="AD584" s="14">
        <f>IFERROR(TableDailySummary[[#This Row],[Ventas publicidad]]/TableDailySummary[[#This Row],[Inversión publicidad]],0)</f>
        <v>0</v>
      </c>
      <c r="AE584" s="14">
        <f>IFERROR(TableDailySummary[[#This Row],[Ventas primer cliente]]/TableDailySummary[[#This Row],[Inversión publicidad]],0)</f>
        <v>0</v>
      </c>
      <c r="AF584" s="14"/>
      <c r="AG584" s="11"/>
      <c r="AM584" s="11">
        <f>_xlfn.XLOOKUP(TableDailySummary[[#This Row],[Fecha]],SummaryDaily[day],SummaryDaily[net_sales_with_cost_recorded],0)</f>
        <v>0</v>
      </c>
      <c r="AN584" s="11">
        <f>_xlfn.XLOOKUP(TableDailySummary[[#This Row],[Fecha]],SummaryDaily[day],SummaryDaily[cost_of_goods_sold],0)</f>
        <v>0</v>
      </c>
      <c r="AO584" s="11">
        <f>_xlfn.XLOOKUP(TableDailySummary[[#This Row],[Fecha]],SummaryDaily[day],SummaryDaily[gross_profit],0)</f>
        <v>0</v>
      </c>
      <c r="AP584" s="18">
        <f>IFERROR(TableDailySummary[[#This Row],[Utilidad bruta]]/TableDailySummary[[#This Row],[Ventas netas con costo registrado]],0)</f>
        <v>0</v>
      </c>
    </row>
    <row r="585" spans="2:42" x14ac:dyDescent="0.2">
      <c r="B585" s="15" cm="1">
        <f t="array" ref="B585">ParamFechaInicioReporte + (ROW(TableDailySummary[#This Row]) - ROW(TableDailySummary[[#Headers],[Dia]]) - 1)</f>
        <v>45112</v>
      </c>
      <c r="C585" s="6">
        <f>TableDailySummary[[#This Row],[Dia]]</f>
        <v>45112</v>
      </c>
      <c r="D585" s="11">
        <f>_xlfn.XLOOKUP(TableDailySummary[[#This Row],[Fecha]],SummaryDaily[day],SummaryDaily[net_sales],0)</f>
        <v>0</v>
      </c>
      <c r="E585" s="11">
        <f>_xlfn.XLOOKUP(TableDailySummary[[#This Row],[Fecha]],SummaryDaily[day],SummaryDaily[orders],0)</f>
        <v>0</v>
      </c>
      <c r="F585" s="11">
        <f>_xlfn.XLOOKUP(TableDailySummary[[#This Row],[Fecha]],SummaryDaily[day],SummaryDaily[average_order_value],0)</f>
        <v>0</v>
      </c>
      <c r="G585" s="24" cm="1">
        <f t="array" ref="G585">_xlfn.XLOOKUP(TableDailySummary[[#This Row],[Fecha]]&amp;"Total site",ConversionRateByReferral[day]&amp;ConversionRateByReferral[referrer_source],ConversionRateByReferral[conversion_rate],0)</f>
        <v>0</v>
      </c>
      <c r="H585" s="11">
        <f>TableDailySummary[[#This Row],[Órden promedio totales]]*TableDailySummary[[#This Row],[CR totales]]</f>
        <v>0</v>
      </c>
      <c r="I585" s="11">
        <f>_xlfn.XLOOKUP(TableDailySummary[[#This Row],[Fecha]],SummaryDaily[day],SummaryDaily[new_net_sales],0)</f>
        <v>0</v>
      </c>
      <c r="J585" s="11">
        <f>_xlfn.XLOOKUP(TableDailySummary[[#This Row],[Fecha]],SummaryDaily[day],SummaryDaily[new_orders],0)</f>
        <v>0</v>
      </c>
      <c r="K585" s="11">
        <f>_xlfn.XLOOKUP(TableDailySummary[[#This Row],[Fecha]],SummaryDaily[day],SummaryDaily[new_average_order_value],0)</f>
        <v>0</v>
      </c>
      <c r="L585" s="11">
        <f>_xlfn.XLOOKUP(TableDailySummary[[#This Row],[Fecha]],SummaryDaily[day],SummaryDaily[Online Store_net_sales],0)</f>
        <v>0</v>
      </c>
      <c r="M585" s="11">
        <f>_xlfn.XLOOKUP(TableDailySummary[[#This Row],[Fecha]],SummaryDaily[day],SummaryDaily[Online Store_orders],0)</f>
        <v>0</v>
      </c>
      <c r="N585" s="11">
        <f>_xlfn.XLOOKUP(TableDailySummary[[#This Row],[Fecha]],SummaryDaily[day],SummaryDaily[Online Store_average_order_value],0)</f>
        <v>0</v>
      </c>
      <c r="O585" s="11">
        <f>_xlfn.XLOOKUP(TableDailySummary[[#This Row],[Fecha]],SummaryDaily[day],SummaryDaily[Tienda 81_net_sales],0)</f>
        <v>0</v>
      </c>
      <c r="P585" s="11">
        <f>_xlfn.XLOOKUP(TableDailySummary[[#This Row],[Fecha]],SummaryDaily[day],SummaryDaily[Tienda 81_orders],0)</f>
        <v>0</v>
      </c>
      <c r="Q585" s="11">
        <f>_xlfn.XLOOKUP(TableDailySummary[[#This Row],[Fecha]],SummaryDaily[day],SummaryDaily[Tienda 81_average_order_value],0)</f>
        <v>0</v>
      </c>
      <c r="R585" s="11">
        <f>_xlfn.XLOOKUP(TableDailySummary[[#This Row],[Fecha]],SummaryDaily[day],SummaryDaily[Rappi_net_sales],0)</f>
        <v>0</v>
      </c>
      <c r="S585" s="11">
        <f>_xlfn.XLOOKUP(TableDailySummary[[#This Row],[Fecha]],SummaryDaily[day],SummaryDaily[Rappi_orders],0)</f>
        <v>0</v>
      </c>
      <c r="T585" s="11">
        <f>_xlfn.XLOOKUP(TableDailySummary[[#This Row],[Fecha]],SummaryDaily[day],SummaryDaily[Rappi_average_order_value],0)</f>
        <v>0</v>
      </c>
      <c r="U585" s="11">
        <f>_xlfn.XLOOKUP(TableDailySummary[[#This Row],[Fecha]],SummaryDaily[day],SummaryDaily[Corporativo no tienda_net_sales],0)</f>
        <v>0</v>
      </c>
      <c r="V585" s="11">
        <f>_xlfn.XLOOKUP(TableDailySummary[[#This Row],[Fecha]],SummaryDaily[day],SummaryDaily[Corporativo no tienda_orders],0)</f>
        <v>0</v>
      </c>
      <c r="W585" s="11">
        <f>_xlfn.XLOOKUP(TableDailySummary[[#This Row],[Fecha]],SummaryDaily[day],SummaryDaily[Corporativo no tienda_average_order_value],0)</f>
        <v>0</v>
      </c>
      <c r="X585" s="11">
        <f>_xlfn.XLOOKUP(TableDailySummary[[#This Row],[Fecha]],SummaryDaily[day],SummaryDaily[GoogleAdsOperation.Cost],0)</f>
        <v>0</v>
      </c>
      <c r="Y585" s="11">
        <f>SUMIFS(SalesByUTMDaily[google],SalesByUTMDaily[day],TableDailySummary[[#This Row],[Fecha]])</f>
        <v>0</v>
      </c>
      <c r="Z585" s="11">
        <f>_xlfn.XLOOKUP(TableDailySummary[[#This Row],[Fecha]],SummaryDaily[day],SummaryDaily[MetaAdsOperation.spend],0)</f>
        <v>0</v>
      </c>
      <c r="AA585" s="11">
        <f>SUMIFS(SalesByUTMDaily[facebook],SalesByUTMDaily[day],TableDailySummary[[#This Row],[Fecha]])</f>
        <v>0</v>
      </c>
      <c r="AB585" s="11">
        <f>TableDailySummary[[#This Row],[Inversión google ads]]+TableDailySummary[[#This Row],[Inversión meta ads]]</f>
        <v>0</v>
      </c>
      <c r="AC585" s="11">
        <f>TableDailySummary[[#This Row],[Ventas google ads]]+TableDailySummary[[#This Row],[Ventas meta ads]]</f>
        <v>0</v>
      </c>
      <c r="AD585" s="14">
        <f>IFERROR(TableDailySummary[[#This Row],[Ventas publicidad]]/TableDailySummary[[#This Row],[Inversión publicidad]],0)</f>
        <v>0</v>
      </c>
      <c r="AE585" s="14">
        <f>IFERROR(TableDailySummary[[#This Row],[Ventas primer cliente]]/TableDailySummary[[#This Row],[Inversión publicidad]],0)</f>
        <v>0</v>
      </c>
      <c r="AF585" s="14"/>
      <c r="AG585" s="11"/>
      <c r="AM585" s="11">
        <f>_xlfn.XLOOKUP(TableDailySummary[[#This Row],[Fecha]],SummaryDaily[day],SummaryDaily[net_sales_with_cost_recorded],0)</f>
        <v>0</v>
      </c>
      <c r="AN585" s="11">
        <f>_xlfn.XLOOKUP(TableDailySummary[[#This Row],[Fecha]],SummaryDaily[day],SummaryDaily[cost_of_goods_sold],0)</f>
        <v>0</v>
      </c>
      <c r="AO585" s="11">
        <f>_xlfn.XLOOKUP(TableDailySummary[[#This Row],[Fecha]],SummaryDaily[day],SummaryDaily[gross_profit],0)</f>
        <v>0</v>
      </c>
      <c r="AP585" s="18">
        <f>IFERROR(TableDailySummary[[#This Row],[Utilidad bruta]]/TableDailySummary[[#This Row],[Ventas netas con costo registrado]],0)</f>
        <v>0</v>
      </c>
    </row>
    <row r="586" spans="2:42" x14ac:dyDescent="0.2">
      <c r="B586" s="15" cm="1">
        <f t="array" ref="B586">ParamFechaInicioReporte + (ROW(TableDailySummary[#This Row]) - ROW(TableDailySummary[[#Headers],[Dia]]) - 1)</f>
        <v>45113</v>
      </c>
      <c r="C586" s="6">
        <f>TableDailySummary[[#This Row],[Dia]]</f>
        <v>45113</v>
      </c>
      <c r="D586" s="11">
        <f>_xlfn.XLOOKUP(TableDailySummary[[#This Row],[Fecha]],SummaryDaily[day],SummaryDaily[net_sales],0)</f>
        <v>0</v>
      </c>
      <c r="E586" s="11">
        <f>_xlfn.XLOOKUP(TableDailySummary[[#This Row],[Fecha]],SummaryDaily[day],SummaryDaily[orders],0)</f>
        <v>0</v>
      </c>
      <c r="F586" s="11">
        <f>_xlfn.XLOOKUP(TableDailySummary[[#This Row],[Fecha]],SummaryDaily[day],SummaryDaily[average_order_value],0)</f>
        <v>0</v>
      </c>
      <c r="G586" s="24" cm="1">
        <f t="array" ref="G586">_xlfn.XLOOKUP(TableDailySummary[[#This Row],[Fecha]]&amp;"Total site",ConversionRateByReferral[day]&amp;ConversionRateByReferral[referrer_source],ConversionRateByReferral[conversion_rate],0)</f>
        <v>0</v>
      </c>
      <c r="H586" s="11">
        <f>TableDailySummary[[#This Row],[Órden promedio totales]]*TableDailySummary[[#This Row],[CR totales]]</f>
        <v>0</v>
      </c>
      <c r="I586" s="11">
        <f>_xlfn.XLOOKUP(TableDailySummary[[#This Row],[Fecha]],SummaryDaily[day],SummaryDaily[new_net_sales],0)</f>
        <v>0</v>
      </c>
      <c r="J586" s="11">
        <f>_xlfn.XLOOKUP(TableDailySummary[[#This Row],[Fecha]],SummaryDaily[day],SummaryDaily[new_orders],0)</f>
        <v>0</v>
      </c>
      <c r="K586" s="11">
        <f>_xlfn.XLOOKUP(TableDailySummary[[#This Row],[Fecha]],SummaryDaily[day],SummaryDaily[new_average_order_value],0)</f>
        <v>0</v>
      </c>
      <c r="L586" s="11">
        <f>_xlfn.XLOOKUP(TableDailySummary[[#This Row],[Fecha]],SummaryDaily[day],SummaryDaily[Online Store_net_sales],0)</f>
        <v>0</v>
      </c>
      <c r="M586" s="11">
        <f>_xlfn.XLOOKUP(TableDailySummary[[#This Row],[Fecha]],SummaryDaily[day],SummaryDaily[Online Store_orders],0)</f>
        <v>0</v>
      </c>
      <c r="N586" s="11">
        <f>_xlfn.XLOOKUP(TableDailySummary[[#This Row],[Fecha]],SummaryDaily[day],SummaryDaily[Online Store_average_order_value],0)</f>
        <v>0</v>
      </c>
      <c r="O586" s="11">
        <f>_xlfn.XLOOKUP(TableDailySummary[[#This Row],[Fecha]],SummaryDaily[day],SummaryDaily[Tienda 81_net_sales],0)</f>
        <v>0</v>
      </c>
      <c r="P586" s="11">
        <f>_xlfn.XLOOKUP(TableDailySummary[[#This Row],[Fecha]],SummaryDaily[day],SummaryDaily[Tienda 81_orders],0)</f>
        <v>0</v>
      </c>
      <c r="Q586" s="11">
        <f>_xlfn.XLOOKUP(TableDailySummary[[#This Row],[Fecha]],SummaryDaily[day],SummaryDaily[Tienda 81_average_order_value],0)</f>
        <v>0</v>
      </c>
      <c r="R586" s="11">
        <f>_xlfn.XLOOKUP(TableDailySummary[[#This Row],[Fecha]],SummaryDaily[day],SummaryDaily[Rappi_net_sales],0)</f>
        <v>0</v>
      </c>
      <c r="S586" s="11">
        <f>_xlfn.XLOOKUP(TableDailySummary[[#This Row],[Fecha]],SummaryDaily[day],SummaryDaily[Rappi_orders],0)</f>
        <v>0</v>
      </c>
      <c r="T586" s="11">
        <f>_xlfn.XLOOKUP(TableDailySummary[[#This Row],[Fecha]],SummaryDaily[day],SummaryDaily[Rappi_average_order_value],0)</f>
        <v>0</v>
      </c>
      <c r="U586" s="11">
        <f>_xlfn.XLOOKUP(TableDailySummary[[#This Row],[Fecha]],SummaryDaily[day],SummaryDaily[Corporativo no tienda_net_sales],0)</f>
        <v>0</v>
      </c>
      <c r="V586" s="11">
        <f>_xlfn.XLOOKUP(TableDailySummary[[#This Row],[Fecha]],SummaryDaily[day],SummaryDaily[Corporativo no tienda_orders],0)</f>
        <v>0</v>
      </c>
      <c r="W586" s="11">
        <f>_xlfn.XLOOKUP(TableDailySummary[[#This Row],[Fecha]],SummaryDaily[day],SummaryDaily[Corporativo no tienda_average_order_value],0)</f>
        <v>0</v>
      </c>
      <c r="X586" s="11">
        <f>_xlfn.XLOOKUP(TableDailySummary[[#This Row],[Fecha]],SummaryDaily[day],SummaryDaily[GoogleAdsOperation.Cost],0)</f>
        <v>0</v>
      </c>
      <c r="Y586" s="11">
        <f>SUMIFS(SalesByUTMDaily[google],SalesByUTMDaily[day],TableDailySummary[[#This Row],[Fecha]])</f>
        <v>0</v>
      </c>
      <c r="Z586" s="11">
        <f>_xlfn.XLOOKUP(TableDailySummary[[#This Row],[Fecha]],SummaryDaily[day],SummaryDaily[MetaAdsOperation.spend],0)</f>
        <v>0</v>
      </c>
      <c r="AA586" s="11">
        <f>SUMIFS(SalesByUTMDaily[facebook],SalesByUTMDaily[day],TableDailySummary[[#This Row],[Fecha]])</f>
        <v>0</v>
      </c>
      <c r="AB586" s="11">
        <f>TableDailySummary[[#This Row],[Inversión google ads]]+TableDailySummary[[#This Row],[Inversión meta ads]]</f>
        <v>0</v>
      </c>
      <c r="AC586" s="11">
        <f>TableDailySummary[[#This Row],[Ventas google ads]]+TableDailySummary[[#This Row],[Ventas meta ads]]</f>
        <v>0</v>
      </c>
      <c r="AD586" s="14">
        <f>IFERROR(TableDailySummary[[#This Row],[Ventas publicidad]]/TableDailySummary[[#This Row],[Inversión publicidad]],0)</f>
        <v>0</v>
      </c>
      <c r="AE586" s="14">
        <f>IFERROR(TableDailySummary[[#This Row],[Ventas primer cliente]]/TableDailySummary[[#This Row],[Inversión publicidad]],0)</f>
        <v>0</v>
      </c>
      <c r="AF586" s="14"/>
      <c r="AG586" s="11"/>
      <c r="AM586" s="11">
        <f>_xlfn.XLOOKUP(TableDailySummary[[#This Row],[Fecha]],SummaryDaily[day],SummaryDaily[net_sales_with_cost_recorded],0)</f>
        <v>0</v>
      </c>
      <c r="AN586" s="11">
        <f>_xlfn.XLOOKUP(TableDailySummary[[#This Row],[Fecha]],SummaryDaily[day],SummaryDaily[cost_of_goods_sold],0)</f>
        <v>0</v>
      </c>
      <c r="AO586" s="11">
        <f>_xlfn.XLOOKUP(TableDailySummary[[#This Row],[Fecha]],SummaryDaily[day],SummaryDaily[gross_profit],0)</f>
        <v>0</v>
      </c>
      <c r="AP586" s="18">
        <f>IFERROR(TableDailySummary[[#This Row],[Utilidad bruta]]/TableDailySummary[[#This Row],[Ventas netas con costo registrado]],0)</f>
        <v>0</v>
      </c>
    </row>
    <row r="587" spans="2:42" x14ac:dyDescent="0.2">
      <c r="B587" s="15" cm="1">
        <f t="array" ref="B587">ParamFechaInicioReporte + (ROW(TableDailySummary[#This Row]) - ROW(TableDailySummary[[#Headers],[Dia]]) - 1)</f>
        <v>45114</v>
      </c>
      <c r="C587" s="6">
        <f>TableDailySummary[[#This Row],[Dia]]</f>
        <v>45114</v>
      </c>
      <c r="D587" s="11">
        <f>_xlfn.XLOOKUP(TableDailySummary[[#This Row],[Fecha]],SummaryDaily[day],SummaryDaily[net_sales],0)</f>
        <v>0</v>
      </c>
      <c r="E587" s="11">
        <f>_xlfn.XLOOKUP(TableDailySummary[[#This Row],[Fecha]],SummaryDaily[day],SummaryDaily[orders],0)</f>
        <v>0</v>
      </c>
      <c r="F587" s="11">
        <f>_xlfn.XLOOKUP(TableDailySummary[[#This Row],[Fecha]],SummaryDaily[day],SummaryDaily[average_order_value],0)</f>
        <v>0</v>
      </c>
      <c r="G587" s="24" cm="1">
        <f t="array" ref="G587">_xlfn.XLOOKUP(TableDailySummary[[#This Row],[Fecha]]&amp;"Total site",ConversionRateByReferral[day]&amp;ConversionRateByReferral[referrer_source],ConversionRateByReferral[conversion_rate],0)</f>
        <v>0</v>
      </c>
      <c r="H587" s="11">
        <f>TableDailySummary[[#This Row],[Órden promedio totales]]*TableDailySummary[[#This Row],[CR totales]]</f>
        <v>0</v>
      </c>
      <c r="I587" s="11">
        <f>_xlfn.XLOOKUP(TableDailySummary[[#This Row],[Fecha]],SummaryDaily[day],SummaryDaily[new_net_sales],0)</f>
        <v>0</v>
      </c>
      <c r="J587" s="11">
        <f>_xlfn.XLOOKUP(TableDailySummary[[#This Row],[Fecha]],SummaryDaily[day],SummaryDaily[new_orders],0)</f>
        <v>0</v>
      </c>
      <c r="K587" s="11">
        <f>_xlfn.XLOOKUP(TableDailySummary[[#This Row],[Fecha]],SummaryDaily[day],SummaryDaily[new_average_order_value],0)</f>
        <v>0</v>
      </c>
      <c r="L587" s="11">
        <f>_xlfn.XLOOKUP(TableDailySummary[[#This Row],[Fecha]],SummaryDaily[day],SummaryDaily[Online Store_net_sales],0)</f>
        <v>0</v>
      </c>
      <c r="M587" s="11">
        <f>_xlfn.XLOOKUP(TableDailySummary[[#This Row],[Fecha]],SummaryDaily[day],SummaryDaily[Online Store_orders],0)</f>
        <v>0</v>
      </c>
      <c r="N587" s="11">
        <f>_xlfn.XLOOKUP(TableDailySummary[[#This Row],[Fecha]],SummaryDaily[day],SummaryDaily[Online Store_average_order_value],0)</f>
        <v>0</v>
      </c>
      <c r="O587" s="11">
        <f>_xlfn.XLOOKUP(TableDailySummary[[#This Row],[Fecha]],SummaryDaily[day],SummaryDaily[Tienda 81_net_sales],0)</f>
        <v>0</v>
      </c>
      <c r="P587" s="11">
        <f>_xlfn.XLOOKUP(TableDailySummary[[#This Row],[Fecha]],SummaryDaily[day],SummaryDaily[Tienda 81_orders],0)</f>
        <v>0</v>
      </c>
      <c r="Q587" s="11">
        <f>_xlfn.XLOOKUP(TableDailySummary[[#This Row],[Fecha]],SummaryDaily[day],SummaryDaily[Tienda 81_average_order_value],0)</f>
        <v>0</v>
      </c>
      <c r="R587" s="11">
        <f>_xlfn.XLOOKUP(TableDailySummary[[#This Row],[Fecha]],SummaryDaily[day],SummaryDaily[Rappi_net_sales],0)</f>
        <v>0</v>
      </c>
      <c r="S587" s="11">
        <f>_xlfn.XLOOKUP(TableDailySummary[[#This Row],[Fecha]],SummaryDaily[day],SummaryDaily[Rappi_orders],0)</f>
        <v>0</v>
      </c>
      <c r="T587" s="11">
        <f>_xlfn.XLOOKUP(TableDailySummary[[#This Row],[Fecha]],SummaryDaily[day],SummaryDaily[Rappi_average_order_value],0)</f>
        <v>0</v>
      </c>
      <c r="U587" s="11">
        <f>_xlfn.XLOOKUP(TableDailySummary[[#This Row],[Fecha]],SummaryDaily[day],SummaryDaily[Corporativo no tienda_net_sales],0)</f>
        <v>0</v>
      </c>
      <c r="V587" s="11">
        <f>_xlfn.XLOOKUP(TableDailySummary[[#This Row],[Fecha]],SummaryDaily[day],SummaryDaily[Corporativo no tienda_orders],0)</f>
        <v>0</v>
      </c>
      <c r="W587" s="11">
        <f>_xlfn.XLOOKUP(TableDailySummary[[#This Row],[Fecha]],SummaryDaily[day],SummaryDaily[Corporativo no tienda_average_order_value],0)</f>
        <v>0</v>
      </c>
      <c r="X587" s="11">
        <f>_xlfn.XLOOKUP(TableDailySummary[[#This Row],[Fecha]],SummaryDaily[day],SummaryDaily[GoogleAdsOperation.Cost],0)</f>
        <v>0</v>
      </c>
      <c r="Y587" s="11">
        <f>SUMIFS(SalesByUTMDaily[google],SalesByUTMDaily[day],TableDailySummary[[#This Row],[Fecha]])</f>
        <v>0</v>
      </c>
      <c r="Z587" s="11">
        <f>_xlfn.XLOOKUP(TableDailySummary[[#This Row],[Fecha]],SummaryDaily[day],SummaryDaily[MetaAdsOperation.spend],0)</f>
        <v>0</v>
      </c>
      <c r="AA587" s="11">
        <f>SUMIFS(SalesByUTMDaily[facebook],SalesByUTMDaily[day],TableDailySummary[[#This Row],[Fecha]])</f>
        <v>0</v>
      </c>
      <c r="AB587" s="11">
        <f>TableDailySummary[[#This Row],[Inversión google ads]]+TableDailySummary[[#This Row],[Inversión meta ads]]</f>
        <v>0</v>
      </c>
      <c r="AC587" s="11">
        <f>TableDailySummary[[#This Row],[Ventas google ads]]+TableDailySummary[[#This Row],[Ventas meta ads]]</f>
        <v>0</v>
      </c>
      <c r="AD587" s="14">
        <f>IFERROR(TableDailySummary[[#This Row],[Ventas publicidad]]/TableDailySummary[[#This Row],[Inversión publicidad]],0)</f>
        <v>0</v>
      </c>
      <c r="AE587" s="14">
        <f>IFERROR(TableDailySummary[[#This Row],[Ventas primer cliente]]/TableDailySummary[[#This Row],[Inversión publicidad]],0)</f>
        <v>0</v>
      </c>
      <c r="AF587" s="14"/>
      <c r="AG587" s="11"/>
      <c r="AM587" s="11">
        <f>_xlfn.XLOOKUP(TableDailySummary[[#This Row],[Fecha]],SummaryDaily[day],SummaryDaily[net_sales_with_cost_recorded],0)</f>
        <v>0</v>
      </c>
      <c r="AN587" s="11">
        <f>_xlfn.XLOOKUP(TableDailySummary[[#This Row],[Fecha]],SummaryDaily[day],SummaryDaily[cost_of_goods_sold],0)</f>
        <v>0</v>
      </c>
      <c r="AO587" s="11">
        <f>_xlfn.XLOOKUP(TableDailySummary[[#This Row],[Fecha]],SummaryDaily[day],SummaryDaily[gross_profit],0)</f>
        <v>0</v>
      </c>
      <c r="AP587" s="18">
        <f>IFERROR(TableDailySummary[[#This Row],[Utilidad bruta]]/TableDailySummary[[#This Row],[Ventas netas con costo registrado]],0)</f>
        <v>0</v>
      </c>
    </row>
    <row r="588" spans="2:42" x14ac:dyDescent="0.2">
      <c r="B588" s="15" cm="1">
        <f t="array" ref="B588">ParamFechaInicioReporte + (ROW(TableDailySummary[#This Row]) - ROW(TableDailySummary[[#Headers],[Dia]]) - 1)</f>
        <v>45115</v>
      </c>
      <c r="C588" s="6">
        <f>TableDailySummary[[#This Row],[Dia]]</f>
        <v>45115</v>
      </c>
      <c r="D588" s="11">
        <f>_xlfn.XLOOKUP(TableDailySummary[[#This Row],[Fecha]],SummaryDaily[day],SummaryDaily[net_sales],0)</f>
        <v>0</v>
      </c>
      <c r="E588" s="11">
        <f>_xlfn.XLOOKUP(TableDailySummary[[#This Row],[Fecha]],SummaryDaily[day],SummaryDaily[orders],0)</f>
        <v>0</v>
      </c>
      <c r="F588" s="11">
        <f>_xlfn.XLOOKUP(TableDailySummary[[#This Row],[Fecha]],SummaryDaily[day],SummaryDaily[average_order_value],0)</f>
        <v>0</v>
      </c>
      <c r="G588" s="24" cm="1">
        <f t="array" ref="G588">_xlfn.XLOOKUP(TableDailySummary[[#This Row],[Fecha]]&amp;"Total site",ConversionRateByReferral[day]&amp;ConversionRateByReferral[referrer_source],ConversionRateByReferral[conversion_rate],0)</f>
        <v>0</v>
      </c>
      <c r="H588" s="11">
        <f>TableDailySummary[[#This Row],[Órden promedio totales]]*TableDailySummary[[#This Row],[CR totales]]</f>
        <v>0</v>
      </c>
      <c r="I588" s="11">
        <f>_xlfn.XLOOKUP(TableDailySummary[[#This Row],[Fecha]],SummaryDaily[day],SummaryDaily[new_net_sales],0)</f>
        <v>0</v>
      </c>
      <c r="J588" s="11">
        <f>_xlfn.XLOOKUP(TableDailySummary[[#This Row],[Fecha]],SummaryDaily[day],SummaryDaily[new_orders],0)</f>
        <v>0</v>
      </c>
      <c r="K588" s="11">
        <f>_xlfn.XLOOKUP(TableDailySummary[[#This Row],[Fecha]],SummaryDaily[day],SummaryDaily[new_average_order_value],0)</f>
        <v>0</v>
      </c>
      <c r="L588" s="11">
        <f>_xlfn.XLOOKUP(TableDailySummary[[#This Row],[Fecha]],SummaryDaily[day],SummaryDaily[Online Store_net_sales],0)</f>
        <v>0</v>
      </c>
      <c r="M588" s="11">
        <f>_xlfn.XLOOKUP(TableDailySummary[[#This Row],[Fecha]],SummaryDaily[day],SummaryDaily[Online Store_orders],0)</f>
        <v>0</v>
      </c>
      <c r="N588" s="11">
        <f>_xlfn.XLOOKUP(TableDailySummary[[#This Row],[Fecha]],SummaryDaily[day],SummaryDaily[Online Store_average_order_value],0)</f>
        <v>0</v>
      </c>
      <c r="O588" s="11">
        <f>_xlfn.XLOOKUP(TableDailySummary[[#This Row],[Fecha]],SummaryDaily[day],SummaryDaily[Tienda 81_net_sales],0)</f>
        <v>0</v>
      </c>
      <c r="P588" s="11">
        <f>_xlfn.XLOOKUP(TableDailySummary[[#This Row],[Fecha]],SummaryDaily[day],SummaryDaily[Tienda 81_orders],0)</f>
        <v>0</v>
      </c>
      <c r="Q588" s="11">
        <f>_xlfn.XLOOKUP(TableDailySummary[[#This Row],[Fecha]],SummaryDaily[day],SummaryDaily[Tienda 81_average_order_value],0)</f>
        <v>0</v>
      </c>
      <c r="R588" s="11">
        <f>_xlfn.XLOOKUP(TableDailySummary[[#This Row],[Fecha]],SummaryDaily[day],SummaryDaily[Rappi_net_sales],0)</f>
        <v>0</v>
      </c>
      <c r="S588" s="11">
        <f>_xlfn.XLOOKUP(TableDailySummary[[#This Row],[Fecha]],SummaryDaily[day],SummaryDaily[Rappi_orders],0)</f>
        <v>0</v>
      </c>
      <c r="T588" s="11">
        <f>_xlfn.XLOOKUP(TableDailySummary[[#This Row],[Fecha]],SummaryDaily[day],SummaryDaily[Rappi_average_order_value],0)</f>
        <v>0</v>
      </c>
      <c r="U588" s="11">
        <f>_xlfn.XLOOKUP(TableDailySummary[[#This Row],[Fecha]],SummaryDaily[day],SummaryDaily[Corporativo no tienda_net_sales],0)</f>
        <v>0</v>
      </c>
      <c r="V588" s="11">
        <f>_xlfn.XLOOKUP(TableDailySummary[[#This Row],[Fecha]],SummaryDaily[day],SummaryDaily[Corporativo no tienda_orders],0)</f>
        <v>0</v>
      </c>
      <c r="W588" s="11">
        <f>_xlfn.XLOOKUP(TableDailySummary[[#This Row],[Fecha]],SummaryDaily[day],SummaryDaily[Corporativo no tienda_average_order_value],0)</f>
        <v>0</v>
      </c>
      <c r="X588" s="11">
        <f>_xlfn.XLOOKUP(TableDailySummary[[#This Row],[Fecha]],SummaryDaily[day],SummaryDaily[GoogleAdsOperation.Cost],0)</f>
        <v>0</v>
      </c>
      <c r="Y588" s="11">
        <f>SUMIFS(SalesByUTMDaily[google],SalesByUTMDaily[day],TableDailySummary[[#This Row],[Fecha]])</f>
        <v>0</v>
      </c>
      <c r="Z588" s="11">
        <f>_xlfn.XLOOKUP(TableDailySummary[[#This Row],[Fecha]],SummaryDaily[day],SummaryDaily[MetaAdsOperation.spend],0)</f>
        <v>0</v>
      </c>
      <c r="AA588" s="11">
        <f>SUMIFS(SalesByUTMDaily[facebook],SalesByUTMDaily[day],TableDailySummary[[#This Row],[Fecha]])</f>
        <v>0</v>
      </c>
      <c r="AB588" s="11">
        <f>TableDailySummary[[#This Row],[Inversión google ads]]+TableDailySummary[[#This Row],[Inversión meta ads]]</f>
        <v>0</v>
      </c>
      <c r="AC588" s="11">
        <f>TableDailySummary[[#This Row],[Ventas google ads]]+TableDailySummary[[#This Row],[Ventas meta ads]]</f>
        <v>0</v>
      </c>
      <c r="AD588" s="14">
        <f>IFERROR(TableDailySummary[[#This Row],[Ventas publicidad]]/TableDailySummary[[#This Row],[Inversión publicidad]],0)</f>
        <v>0</v>
      </c>
      <c r="AE588" s="14">
        <f>IFERROR(TableDailySummary[[#This Row],[Ventas primer cliente]]/TableDailySummary[[#This Row],[Inversión publicidad]],0)</f>
        <v>0</v>
      </c>
      <c r="AF588" s="14"/>
      <c r="AG588" s="11"/>
      <c r="AM588" s="11">
        <f>_xlfn.XLOOKUP(TableDailySummary[[#This Row],[Fecha]],SummaryDaily[day],SummaryDaily[net_sales_with_cost_recorded],0)</f>
        <v>0</v>
      </c>
      <c r="AN588" s="11">
        <f>_xlfn.XLOOKUP(TableDailySummary[[#This Row],[Fecha]],SummaryDaily[day],SummaryDaily[cost_of_goods_sold],0)</f>
        <v>0</v>
      </c>
      <c r="AO588" s="11">
        <f>_xlfn.XLOOKUP(TableDailySummary[[#This Row],[Fecha]],SummaryDaily[day],SummaryDaily[gross_profit],0)</f>
        <v>0</v>
      </c>
      <c r="AP588" s="18">
        <f>IFERROR(TableDailySummary[[#This Row],[Utilidad bruta]]/TableDailySummary[[#This Row],[Ventas netas con costo registrado]],0)</f>
        <v>0</v>
      </c>
    </row>
    <row r="589" spans="2:42" x14ac:dyDescent="0.2">
      <c r="B589" s="15" cm="1">
        <f t="array" ref="B589">ParamFechaInicioReporte + (ROW(TableDailySummary[#This Row]) - ROW(TableDailySummary[[#Headers],[Dia]]) - 1)</f>
        <v>45116</v>
      </c>
      <c r="C589" s="6">
        <f>TableDailySummary[[#This Row],[Dia]]</f>
        <v>45116</v>
      </c>
      <c r="D589" s="11">
        <f>_xlfn.XLOOKUP(TableDailySummary[[#This Row],[Fecha]],SummaryDaily[day],SummaryDaily[net_sales],0)</f>
        <v>0</v>
      </c>
      <c r="E589" s="11">
        <f>_xlfn.XLOOKUP(TableDailySummary[[#This Row],[Fecha]],SummaryDaily[day],SummaryDaily[orders],0)</f>
        <v>0</v>
      </c>
      <c r="F589" s="11">
        <f>_xlfn.XLOOKUP(TableDailySummary[[#This Row],[Fecha]],SummaryDaily[day],SummaryDaily[average_order_value],0)</f>
        <v>0</v>
      </c>
      <c r="G589" s="24" cm="1">
        <f t="array" ref="G589">_xlfn.XLOOKUP(TableDailySummary[[#This Row],[Fecha]]&amp;"Total site",ConversionRateByReferral[day]&amp;ConversionRateByReferral[referrer_source],ConversionRateByReferral[conversion_rate],0)</f>
        <v>0</v>
      </c>
      <c r="H589" s="11">
        <f>TableDailySummary[[#This Row],[Órden promedio totales]]*TableDailySummary[[#This Row],[CR totales]]</f>
        <v>0</v>
      </c>
      <c r="I589" s="11">
        <f>_xlfn.XLOOKUP(TableDailySummary[[#This Row],[Fecha]],SummaryDaily[day],SummaryDaily[new_net_sales],0)</f>
        <v>0</v>
      </c>
      <c r="J589" s="11">
        <f>_xlfn.XLOOKUP(TableDailySummary[[#This Row],[Fecha]],SummaryDaily[day],SummaryDaily[new_orders],0)</f>
        <v>0</v>
      </c>
      <c r="K589" s="11">
        <f>_xlfn.XLOOKUP(TableDailySummary[[#This Row],[Fecha]],SummaryDaily[day],SummaryDaily[new_average_order_value],0)</f>
        <v>0</v>
      </c>
      <c r="L589" s="11">
        <f>_xlfn.XLOOKUP(TableDailySummary[[#This Row],[Fecha]],SummaryDaily[day],SummaryDaily[Online Store_net_sales],0)</f>
        <v>0</v>
      </c>
      <c r="M589" s="11">
        <f>_xlfn.XLOOKUP(TableDailySummary[[#This Row],[Fecha]],SummaryDaily[day],SummaryDaily[Online Store_orders],0)</f>
        <v>0</v>
      </c>
      <c r="N589" s="11">
        <f>_xlfn.XLOOKUP(TableDailySummary[[#This Row],[Fecha]],SummaryDaily[day],SummaryDaily[Online Store_average_order_value],0)</f>
        <v>0</v>
      </c>
      <c r="O589" s="11">
        <f>_xlfn.XLOOKUP(TableDailySummary[[#This Row],[Fecha]],SummaryDaily[day],SummaryDaily[Tienda 81_net_sales],0)</f>
        <v>0</v>
      </c>
      <c r="P589" s="11">
        <f>_xlfn.XLOOKUP(TableDailySummary[[#This Row],[Fecha]],SummaryDaily[day],SummaryDaily[Tienda 81_orders],0)</f>
        <v>0</v>
      </c>
      <c r="Q589" s="11">
        <f>_xlfn.XLOOKUP(TableDailySummary[[#This Row],[Fecha]],SummaryDaily[day],SummaryDaily[Tienda 81_average_order_value],0)</f>
        <v>0</v>
      </c>
      <c r="R589" s="11">
        <f>_xlfn.XLOOKUP(TableDailySummary[[#This Row],[Fecha]],SummaryDaily[day],SummaryDaily[Rappi_net_sales],0)</f>
        <v>0</v>
      </c>
      <c r="S589" s="11">
        <f>_xlfn.XLOOKUP(TableDailySummary[[#This Row],[Fecha]],SummaryDaily[day],SummaryDaily[Rappi_orders],0)</f>
        <v>0</v>
      </c>
      <c r="T589" s="11">
        <f>_xlfn.XLOOKUP(TableDailySummary[[#This Row],[Fecha]],SummaryDaily[day],SummaryDaily[Rappi_average_order_value],0)</f>
        <v>0</v>
      </c>
      <c r="U589" s="11">
        <f>_xlfn.XLOOKUP(TableDailySummary[[#This Row],[Fecha]],SummaryDaily[day],SummaryDaily[Corporativo no tienda_net_sales],0)</f>
        <v>0</v>
      </c>
      <c r="V589" s="11">
        <f>_xlfn.XLOOKUP(TableDailySummary[[#This Row],[Fecha]],SummaryDaily[day],SummaryDaily[Corporativo no tienda_orders],0)</f>
        <v>0</v>
      </c>
      <c r="W589" s="11">
        <f>_xlfn.XLOOKUP(TableDailySummary[[#This Row],[Fecha]],SummaryDaily[day],SummaryDaily[Corporativo no tienda_average_order_value],0)</f>
        <v>0</v>
      </c>
      <c r="X589" s="11">
        <f>_xlfn.XLOOKUP(TableDailySummary[[#This Row],[Fecha]],SummaryDaily[day],SummaryDaily[GoogleAdsOperation.Cost],0)</f>
        <v>0</v>
      </c>
      <c r="Y589" s="11">
        <f>SUMIFS(SalesByUTMDaily[google],SalesByUTMDaily[day],TableDailySummary[[#This Row],[Fecha]])</f>
        <v>0</v>
      </c>
      <c r="Z589" s="11">
        <f>_xlfn.XLOOKUP(TableDailySummary[[#This Row],[Fecha]],SummaryDaily[day],SummaryDaily[MetaAdsOperation.spend],0)</f>
        <v>0</v>
      </c>
      <c r="AA589" s="11">
        <f>SUMIFS(SalesByUTMDaily[facebook],SalesByUTMDaily[day],TableDailySummary[[#This Row],[Fecha]])</f>
        <v>0</v>
      </c>
      <c r="AB589" s="11">
        <f>TableDailySummary[[#This Row],[Inversión google ads]]+TableDailySummary[[#This Row],[Inversión meta ads]]</f>
        <v>0</v>
      </c>
      <c r="AC589" s="11">
        <f>TableDailySummary[[#This Row],[Ventas google ads]]+TableDailySummary[[#This Row],[Ventas meta ads]]</f>
        <v>0</v>
      </c>
      <c r="AD589" s="14">
        <f>IFERROR(TableDailySummary[[#This Row],[Ventas publicidad]]/TableDailySummary[[#This Row],[Inversión publicidad]],0)</f>
        <v>0</v>
      </c>
      <c r="AE589" s="14">
        <f>IFERROR(TableDailySummary[[#This Row],[Ventas primer cliente]]/TableDailySummary[[#This Row],[Inversión publicidad]],0)</f>
        <v>0</v>
      </c>
      <c r="AF589" s="14"/>
      <c r="AG589" s="11"/>
      <c r="AM589" s="11">
        <f>_xlfn.XLOOKUP(TableDailySummary[[#This Row],[Fecha]],SummaryDaily[day],SummaryDaily[net_sales_with_cost_recorded],0)</f>
        <v>0</v>
      </c>
      <c r="AN589" s="11">
        <f>_xlfn.XLOOKUP(TableDailySummary[[#This Row],[Fecha]],SummaryDaily[day],SummaryDaily[cost_of_goods_sold],0)</f>
        <v>0</v>
      </c>
      <c r="AO589" s="11">
        <f>_xlfn.XLOOKUP(TableDailySummary[[#This Row],[Fecha]],SummaryDaily[day],SummaryDaily[gross_profit],0)</f>
        <v>0</v>
      </c>
      <c r="AP589" s="18">
        <f>IFERROR(TableDailySummary[[#This Row],[Utilidad bruta]]/TableDailySummary[[#This Row],[Ventas netas con costo registrado]],0)</f>
        <v>0</v>
      </c>
    </row>
    <row r="590" spans="2:42" x14ac:dyDescent="0.2">
      <c r="B590" s="15" cm="1">
        <f t="array" ref="B590">ParamFechaInicioReporte + (ROW(TableDailySummary[#This Row]) - ROW(TableDailySummary[[#Headers],[Dia]]) - 1)</f>
        <v>45117</v>
      </c>
      <c r="C590" s="6">
        <f>TableDailySummary[[#This Row],[Dia]]</f>
        <v>45117</v>
      </c>
      <c r="D590" s="11">
        <f>_xlfn.XLOOKUP(TableDailySummary[[#This Row],[Fecha]],SummaryDaily[day],SummaryDaily[net_sales],0)</f>
        <v>0</v>
      </c>
      <c r="E590" s="11">
        <f>_xlfn.XLOOKUP(TableDailySummary[[#This Row],[Fecha]],SummaryDaily[day],SummaryDaily[orders],0)</f>
        <v>0</v>
      </c>
      <c r="F590" s="11">
        <f>_xlfn.XLOOKUP(TableDailySummary[[#This Row],[Fecha]],SummaryDaily[day],SummaryDaily[average_order_value],0)</f>
        <v>0</v>
      </c>
      <c r="G590" s="24" cm="1">
        <f t="array" ref="G590">_xlfn.XLOOKUP(TableDailySummary[[#This Row],[Fecha]]&amp;"Total site",ConversionRateByReferral[day]&amp;ConversionRateByReferral[referrer_source],ConversionRateByReferral[conversion_rate],0)</f>
        <v>0</v>
      </c>
      <c r="H590" s="11">
        <f>TableDailySummary[[#This Row],[Órden promedio totales]]*TableDailySummary[[#This Row],[CR totales]]</f>
        <v>0</v>
      </c>
      <c r="I590" s="11">
        <f>_xlfn.XLOOKUP(TableDailySummary[[#This Row],[Fecha]],SummaryDaily[day],SummaryDaily[new_net_sales],0)</f>
        <v>0</v>
      </c>
      <c r="J590" s="11">
        <f>_xlfn.XLOOKUP(TableDailySummary[[#This Row],[Fecha]],SummaryDaily[day],SummaryDaily[new_orders],0)</f>
        <v>0</v>
      </c>
      <c r="K590" s="11">
        <f>_xlfn.XLOOKUP(TableDailySummary[[#This Row],[Fecha]],SummaryDaily[day],SummaryDaily[new_average_order_value],0)</f>
        <v>0</v>
      </c>
      <c r="L590" s="11">
        <f>_xlfn.XLOOKUP(TableDailySummary[[#This Row],[Fecha]],SummaryDaily[day],SummaryDaily[Online Store_net_sales],0)</f>
        <v>0</v>
      </c>
      <c r="M590" s="11">
        <f>_xlfn.XLOOKUP(TableDailySummary[[#This Row],[Fecha]],SummaryDaily[day],SummaryDaily[Online Store_orders],0)</f>
        <v>0</v>
      </c>
      <c r="N590" s="11">
        <f>_xlfn.XLOOKUP(TableDailySummary[[#This Row],[Fecha]],SummaryDaily[day],SummaryDaily[Online Store_average_order_value],0)</f>
        <v>0</v>
      </c>
      <c r="O590" s="11">
        <f>_xlfn.XLOOKUP(TableDailySummary[[#This Row],[Fecha]],SummaryDaily[day],SummaryDaily[Tienda 81_net_sales],0)</f>
        <v>0</v>
      </c>
      <c r="P590" s="11">
        <f>_xlfn.XLOOKUP(TableDailySummary[[#This Row],[Fecha]],SummaryDaily[day],SummaryDaily[Tienda 81_orders],0)</f>
        <v>0</v>
      </c>
      <c r="Q590" s="11">
        <f>_xlfn.XLOOKUP(TableDailySummary[[#This Row],[Fecha]],SummaryDaily[day],SummaryDaily[Tienda 81_average_order_value],0)</f>
        <v>0</v>
      </c>
      <c r="R590" s="11">
        <f>_xlfn.XLOOKUP(TableDailySummary[[#This Row],[Fecha]],SummaryDaily[day],SummaryDaily[Rappi_net_sales],0)</f>
        <v>0</v>
      </c>
      <c r="S590" s="11">
        <f>_xlfn.XLOOKUP(TableDailySummary[[#This Row],[Fecha]],SummaryDaily[day],SummaryDaily[Rappi_orders],0)</f>
        <v>0</v>
      </c>
      <c r="T590" s="11">
        <f>_xlfn.XLOOKUP(TableDailySummary[[#This Row],[Fecha]],SummaryDaily[day],SummaryDaily[Rappi_average_order_value],0)</f>
        <v>0</v>
      </c>
      <c r="U590" s="11">
        <f>_xlfn.XLOOKUP(TableDailySummary[[#This Row],[Fecha]],SummaryDaily[day],SummaryDaily[Corporativo no tienda_net_sales],0)</f>
        <v>0</v>
      </c>
      <c r="V590" s="11">
        <f>_xlfn.XLOOKUP(TableDailySummary[[#This Row],[Fecha]],SummaryDaily[day],SummaryDaily[Corporativo no tienda_orders],0)</f>
        <v>0</v>
      </c>
      <c r="W590" s="11">
        <f>_xlfn.XLOOKUP(TableDailySummary[[#This Row],[Fecha]],SummaryDaily[day],SummaryDaily[Corporativo no tienda_average_order_value],0)</f>
        <v>0</v>
      </c>
      <c r="X590" s="11">
        <f>_xlfn.XLOOKUP(TableDailySummary[[#This Row],[Fecha]],SummaryDaily[day],SummaryDaily[GoogleAdsOperation.Cost],0)</f>
        <v>0</v>
      </c>
      <c r="Y590" s="11">
        <f>SUMIFS(SalesByUTMDaily[google],SalesByUTMDaily[day],TableDailySummary[[#This Row],[Fecha]])</f>
        <v>0</v>
      </c>
      <c r="Z590" s="11">
        <f>_xlfn.XLOOKUP(TableDailySummary[[#This Row],[Fecha]],SummaryDaily[day],SummaryDaily[MetaAdsOperation.spend],0)</f>
        <v>0</v>
      </c>
      <c r="AA590" s="11">
        <f>SUMIFS(SalesByUTMDaily[facebook],SalesByUTMDaily[day],TableDailySummary[[#This Row],[Fecha]])</f>
        <v>0</v>
      </c>
      <c r="AB590" s="11">
        <f>TableDailySummary[[#This Row],[Inversión google ads]]+TableDailySummary[[#This Row],[Inversión meta ads]]</f>
        <v>0</v>
      </c>
      <c r="AC590" s="11">
        <f>TableDailySummary[[#This Row],[Ventas google ads]]+TableDailySummary[[#This Row],[Ventas meta ads]]</f>
        <v>0</v>
      </c>
      <c r="AD590" s="14">
        <f>IFERROR(TableDailySummary[[#This Row],[Ventas publicidad]]/TableDailySummary[[#This Row],[Inversión publicidad]],0)</f>
        <v>0</v>
      </c>
      <c r="AE590" s="14">
        <f>IFERROR(TableDailySummary[[#This Row],[Ventas primer cliente]]/TableDailySummary[[#This Row],[Inversión publicidad]],0)</f>
        <v>0</v>
      </c>
      <c r="AF590" s="14"/>
      <c r="AG590" s="11"/>
      <c r="AM590" s="11">
        <f>_xlfn.XLOOKUP(TableDailySummary[[#This Row],[Fecha]],SummaryDaily[day],SummaryDaily[net_sales_with_cost_recorded],0)</f>
        <v>0</v>
      </c>
      <c r="AN590" s="11">
        <f>_xlfn.XLOOKUP(TableDailySummary[[#This Row],[Fecha]],SummaryDaily[day],SummaryDaily[cost_of_goods_sold],0)</f>
        <v>0</v>
      </c>
      <c r="AO590" s="11">
        <f>_xlfn.XLOOKUP(TableDailySummary[[#This Row],[Fecha]],SummaryDaily[day],SummaryDaily[gross_profit],0)</f>
        <v>0</v>
      </c>
      <c r="AP590" s="18">
        <f>IFERROR(TableDailySummary[[#This Row],[Utilidad bruta]]/TableDailySummary[[#This Row],[Ventas netas con costo registrado]],0)</f>
        <v>0</v>
      </c>
    </row>
    <row r="591" spans="2:42" x14ac:dyDescent="0.2">
      <c r="B591" s="15" cm="1">
        <f t="array" ref="B591">ParamFechaInicioReporte + (ROW(TableDailySummary[#This Row]) - ROW(TableDailySummary[[#Headers],[Dia]]) - 1)</f>
        <v>45118</v>
      </c>
      <c r="C591" s="6">
        <f>TableDailySummary[[#This Row],[Dia]]</f>
        <v>45118</v>
      </c>
      <c r="D591" s="11">
        <f>_xlfn.XLOOKUP(TableDailySummary[[#This Row],[Fecha]],SummaryDaily[day],SummaryDaily[net_sales],0)</f>
        <v>0</v>
      </c>
      <c r="E591" s="11">
        <f>_xlfn.XLOOKUP(TableDailySummary[[#This Row],[Fecha]],SummaryDaily[day],SummaryDaily[orders],0)</f>
        <v>0</v>
      </c>
      <c r="F591" s="11">
        <f>_xlfn.XLOOKUP(TableDailySummary[[#This Row],[Fecha]],SummaryDaily[day],SummaryDaily[average_order_value],0)</f>
        <v>0</v>
      </c>
      <c r="G591" s="24" cm="1">
        <f t="array" ref="G591">_xlfn.XLOOKUP(TableDailySummary[[#This Row],[Fecha]]&amp;"Total site",ConversionRateByReferral[day]&amp;ConversionRateByReferral[referrer_source],ConversionRateByReferral[conversion_rate],0)</f>
        <v>0</v>
      </c>
      <c r="H591" s="11">
        <f>TableDailySummary[[#This Row],[Órden promedio totales]]*TableDailySummary[[#This Row],[CR totales]]</f>
        <v>0</v>
      </c>
      <c r="I591" s="11">
        <f>_xlfn.XLOOKUP(TableDailySummary[[#This Row],[Fecha]],SummaryDaily[day],SummaryDaily[new_net_sales],0)</f>
        <v>0</v>
      </c>
      <c r="J591" s="11">
        <f>_xlfn.XLOOKUP(TableDailySummary[[#This Row],[Fecha]],SummaryDaily[day],SummaryDaily[new_orders],0)</f>
        <v>0</v>
      </c>
      <c r="K591" s="11">
        <f>_xlfn.XLOOKUP(TableDailySummary[[#This Row],[Fecha]],SummaryDaily[day],SummaryDaily[new_average_order_value],0)</f>
        <v>0</v>
      </c>
      <c r="L591" s="11">
        <f>_xlfn.XLOOKUP(TableDailySummary[[#This Row],[Fecha]],SummaryDaily[day],SummaryDaily[Online Store_net_sales],0)</f>
        <v>0</v>
      </c>
      <c r="M591" s="11">
        <f>_xlfn.XLOOKUP(TableDailySummary[[#This Row],[Fecha]],SummaryDaily[day],SummaryDaily[Online Store_orders],0)</f>
        <v>0</v>
      </c>
      <c r="N591" s="11">
        <f>_xlfn.XLOOKUP(TableDailySummary[[#This Row],[Fecha]],SummaryDaily[day],SummaryDaily[Online Store_average_order_value],0)</f>
        <v>0</v>
      </c>
      <c r="O591" s="11">
        <f>_xlfn.XLOOKUP(TableDailySummary[[#This Row],[Fecha]],SummaryDaily[day],SummaryDaily[Tienda 81_net_sales],0)</f>
        <v>0</v>
      </c>
      <c r="P591" s="11">
        <f>_xlfn.XLOOKUP(TableDailySummary[[#This Row],[Fecha]],SummaryDaily[day],SummaryDaily[Tienda 81_orders],0)</f>
        <v>0</v>
      </c>
      <c r="Q591" s="11">
        <f>_xlfn.XLOOKUP(TableDailySummary[[#This Row],[Fecha]],SummaryDaily[day],SummaryDaily[Tienda 81_average_order_value],0)</f>
        <v>0</v>
      </c>
      <c r="R591" s="11">
        <f>_xlfn.XLOOKUP(TableDailySummary[[#This Row],[Fecha]],SummaryDaily[day],SummaryDaily[Rappi_net_sales],0)</f>
        <v>0</v>
      </c>
      <c r="S591" s="11">
        <f>_xlfn.XLOOKUP(TableDailySummary[[#This Row],[Fecha]],SummaryDaily[day],SummaryDaily[Rappi_orders],0)</f>
        <v>0</v>
      </c>
      <c r="T591" s="11">
        <f>_xlfn.XLOOKUP(TableDailySummary[[#This Row],[Fecha]],SummaryDaily[day],SummaryDaily[Rappi_average_order_value],0)</f>
        <v>0</v>
      </c>
      <c r="U591" s="11">
        <f>_xlfn.XLOOKUP(TableDailySummary[[#This Row],[Fecha]],SummaryDaily[day],SummaryDaily[Corporativo no tienda_net_sales],0)</f>
        <v>0</v>
      </c>
      <c r="V591" s="11">
        <f>_xlfn.XLOOKUP(TableDailySummary[[#This Row],[Fecha]],SummaryDaily[day],SummaryDaily[Corporativo no tienda_orders],0)</f>
        <v>0</v>
      </c>
      <c r="W591" s="11">
        <f>_xlfn.XLOOKUP(TableDailySummary[[#This Row],[Fecha]],SummaryDaily[day],SummaryDaily[Corporativo no tienda_average_order_value],0)</f>
        <v>0</v>
      </c>
      <c r="X591" s="11">
        <f>_xlfn.XLOOKUP(TableDailySummary[[#This Row],[Fecha]],SummaryDaily[day],SummaryDaily[GoogleAdsOperation.Cost],0)</f>
        <v>0</v>
      </c>
      <c r="Y591" s="11">
        <f>SUMIFS(SalesByUTMDaily[google],SalesByUTMDaily[day],TableDailySummary[[#This Row],[Fecha]])</f>
        <v>0</v>
      </c>
      <c r="Z591" s="11">
        <f>_xlfn.XLOOKUP(TableDailySummary[[#This Row],[Fecha]],SummaryDaily[day],SummaryDaily[MetaAdsOperation.spend],0)</f>
        <v>0</v>
      </c>
      <c r="AA591" s="11">
        <f>SUMIFS(SalesByUTMDaily[facebook],SalesByUTMDaily[day],TableDailySummary[[#This Row],[Fecha]])</f>
        <v>0</v>
      </c>
      <c r="AB591" s="11">
        <f>TableDailySummary[[#This Row],[Inversión google ads]]+TableDailySummary[[#This Row],[Inversión meta ads]]</f>
        <v>0</v>
      </c>
      <c r="AC591" s="11">
        <f>TableDailySummary[[#This Row],[Ventas google ads]]+TableDailySummary[[#This Row],[Ventas meta ads]]</f>
        <v>0</v>
      </c>
      <c r="AD591" s="14">
        <f>IFERROR(TableDailySummary[[#This Row],[Ventas publicidad]]/TableDailySummary[[#This Row],[Inversión publicidad]],0)</f>
        <v>0</v>
      </c>
      <c r="AE591" s="14">
        <f>IFERROR(TableDailySummary[[#This Row],[Ventas primer cliente]]/TableDailySummary[[#This Row],[Inversión publicidad]],0)</f>
        <v>0</v>
      </c>
      <c r="AF591" s="14"/>
      <c r="AG591" s="11"/>
      <c r="AM591" s="11">
        <f>_xlfn.XLOOKUP(TableDailySummary[[#This Row],[Fecha]],SummaryDaily[day],SummaryDaily[net_sales_with_cost_recorded],0)</f>
        <v>0</v>
      </c>
      <c r="AN591" s="11">
        <f>_xlfn.XLOOKUP(TableDailySummary[[#This Row],[Fecha]],SummaryDaily[day],SummaryDaily[cost_of_goods_sold],0)</f>
        <v>0</v>
      </c>
      <c r="AO591" s="11">
        <f>_xlfn.XLOOKUP(TableDailySummary[[#This Row],[Fecha]],SummaryDaily[day],SummaryDaily[gross_profit],0)</f>
        <v>0</v>
      </c>
      <c r="AP591" s="18">
        <f>IFERROR(TableDailySummary[[#This Row],[Utilidad bruta]]/TableDailySummary[[#This Row],[Ventas netas con costo registrado]],0)</f>
        <v>0</v>
      </c>
    </row>
    <row r="592" spans="2:42" x14ac:dyDescent="0.2">
      <c r="B592" s="15" cm="1">
        <f t="array" ref="B592">ParamFechaInicioReporte + (ROW(TableDailySummary[#This Row]) - ROW(TableDailySummary[[#Headers],[Dia]]) - 1)</f>
        <v>45119</v>
      </c>
      <c r="C592" s="6">
        <f>TableDailySummary[[#This Row],[Dia]]</f>
        <v>45119</v>
      </c>
      <c r="D592" s="11">
        <f>_xlfn.XLOOKUP(TableDailySummary[[#This Row],[Fecha]],SummaryDaily[day],SummaryDaily[net_sales],0)</f>
        <v>0</v>
      </c>
      <c r="E592" s="11">
        <f>_xlfn.XLOOKUP(TableDailySummary[[#This Row],[Fecha]],SummaryDaily[day],SummaryDaily[orders],0)</f>
        <v>0</v>
      </c>
      <c r="F592" s="11">
        <f>_xlfn.XLOOKUP(TableDailySummary[[#This Row],[Fecha]],SummaryDaily[day],SummaryDaily[average_order_value],0)</f>
        <v>0</v>
      </c>
      <c r="G592" s="24" cm="1">
        <f t="array" ref="G592">_xlfn.XLOOKUP(TableDailySummary[[#This Row],[Fecha]]&amp;"Total site",ConversionRateByReferral[day]&amp;ConversionRateByReferral[referrer_source],ConversionRateByReferral[conversion_rate],0)</f>
        <v>0</v>
      </c>
      <c r="H592" s="11">
        <f>TableDailySummary[[#This Row],[Órden promedio totales]]*TableDailySummary[[#This Row],[CR totales]]</f>
        <v>0</v>
      </c>
      <c r="I592" s="11">
        <f>_xlfn.XLOOKUP(TableDailySummary[[#This Row],[Fecha]],SummaryDaily[day],SummaryDaily[new_net_sales],0)</f>
        <v>0</v>
      </c>
      <c r="J592" s="11">
        <f>_xlfn.XLOOKUP(TableDailySummary[[#This Row],[Fecha]],SummaryDaily[day],SummaryDaily[new_orders],0)</f>
        <v>0</v>
      </c>
      <c r="K592" s="11">
        <f>_xlfn.XLOOKUP(TableDailySummary[[#This Row],[Fecha]],SummaryDaily[day],SummaryDaily[new_average_order_value],0)</f>
        <v>0</v>
      </c>
      <c r="L592" s="11">
        <f>_xlfn.XLOOKUP(TableDailySummary[[#This Row],[Fecha]],SummaryDaily[day],SummaryDaily[Online Store_net_sales],0)</f>
        <v>0</v>
      </c>
      <c r="M592" s="11">
        <f>_xlfn.XLOOKUP(TableDailySummary[[#This Row],[Fecha]],SummaryDaily[day],SummaryDaily[Online Store_orders],0)</f>
        <v>0</v>
      </c>
      <c r="N592" s="11">
        <f>_xlfn.XLOOKUP(TableDailySummary[[#This Row],[Fecha]],SummaryDaily[day],SummaryDaily[Online Store_average_order_value],0)</f>
        <v>0</v>
      </c>
      <c r="O592" s="11">
        <f>_xlfn.XLOOKUP(TableDailySummary[[#This Row],[Fecha]],SummaryDaily[day],SummaryDaily[Tienda 81_net_sales],0)</f>
        <v>0</v>
      </c>
      <c r="P592" s="11">
        <f>_xlfn.XLOOKUP(TableDailySummary[[#This Row],[Fecha]],SummaryDaily[day],SummaryDaily[Tienda 81_orders],0)</f>
        <v>0</v>
      </c>
      <c r="Q592" s="11">
        <f>_xlfn.XLOOKUP(TableDailySummary[[#This Row],[Fecha]],SummaryDaily[day],SummaryDaily[Tienda 81_average_order_value],0)</f>
        <v>0</v>
      </c>
      <c r="R592" s="11">
        <f>_xlfn.XLOOKUP(TableDailySummary[[#This Row],[Fecha]],SummaryDaily[day],SummaryDaily[Rappi_net_sales],0)</f>
        <v>0</v>
      </c>
      <c r="S592" s="11">
        <f>_xlfn.XLOOKUP(TableDailySummary[[#This Row],[Fecha]],SummaryDaily[day],SummaryDaily[Rappi_orders],0)</f>
        <v>0</v>
      </c>
      <c r="T592" s="11">
        <f>_xlfn.XLOOKUP(TableDailySummary[[#This Row],[Fecha]],SummaryDaily[day],SummaryDaily[Rappi_average_order_value],0)</f>
        <v>0</v>
      </c>
      <c r="U592" s="11">
        <f>_xlfn.XLOOKUP(TableDailySummary[[#This Row],[Fecha]],SummaryDaily[day],SummaryDaily[Corporativo no tienda_net_sales],0)</f>
        <v>0</v>
      </c>
      <c r="V592" s="11">
        <f>_xlfn.XLOOKUP(TableDailySummary[[#This Row],[Fecha]],SummaryDaily[day],SummaryDaily[Corporativo no tienda_orders],0)</f>
        <v>0</v>
      </c>
      <c r="W592" s="11">
        <f>_xlfn.XLOOKUP(TableDailySummary[[#This Row],[Fecha]],SummaryDaily[day],SummaryDaily[Corporativo no tienda_average_order_value],0)</f>
        <v>0</v>
      </c>
      <c r="X592" s="11">
        <f>_xlfn.XLOOKUP(TableDailySummary[[#This Row],[Fecha]],SummaryDaily[day],SummaryDaily[GoogleAdsOperation.Cost],0)</f>
        <v>0</v>
      </c>
      <c r="Y592" s="11">
        <f>SUMIFS(SalesByUTMDaily[google],SalesByUTMDaily[day],TableDailySummary[[#This Row],[Fecha]])</f>
        <v>0</v>
      </c>
      <c r="Z592" s="11">
        <f>_xlfn.XLOOKUP(TableDailySummary[[#This Row],[Fecha]],SummaryDaily[day],SummaryDaily[MetaAdsOperation.spend],0)</f>
        <v>0</v>
      </c>
      <c r="AA592" s="11">
        <f>SUMIFS(SalesByUTMDaily[facebook],SalesByUTMDaily[day],TableDailySummary[[#This Row],[Fecha]])</f>
        <v>0</v>
      </c>
      <c r="AB592" s="11">
        <f>TableDailySummary[[#This Row],[Inversión google ads]]+TableDailySummary[[#This Row],[Inversión meta ads]]</f>
        <v>0</v>
      </c>
      <c r="AC592" s="11">
        <f>TableDailySummary[[#This Row],[Ventas google ads]]+TableDailySummary[[#This Row],[Ventas meta ads]]</f>
        <v>0</v>
      </c>
      <c r="AD592" s="14">
        <f>IFERROR(TableDailySummary[[#This Row],[Ventas publicidad]]/TableDailySummary[[#This Row],[Inversión publicidad]],0)</f>
        <v>0</v>
      </c>
      <c r="AE592" s="14">
        <f>IFERROR(TableDailySummary[[#This Row],[Ventas primer cliente]]/TableDailySummary[[#This Row],[Inversión publicidad]],0)</f>
        <v>0</v>
      </c>
      <c r="AF592" s="14"/>
      <c r="AG592" s="11"/>
      <c r="AM592" s="11">
        <f>_xlfn.XLOOKUP(TableDailySummary[[#This Row],[Fecha]],SummaryDaily[day],SummaryDaily[net_sales_with_cost_recorded],0)</f>
        <v>0</v>
      </c>
      <c r="AN592" s="11">
        <f>_xlfn.XLOOKUP(TableDailySummary[[#This Row],[Fecha]],SummaryDaily[day],SummaryDaily[cost_of_goods_sold],0)</f>
        <v>0</v>
      </c>
      <c r="AO592" s="11">
        <f>_xlfn.XLOOKUP(TableDailySummary[[#This Row],[Fecha]],SummaryDaily[day],SummaryDaily[gross_profit],0)</f>
        <v>0</v>
      </c>
      <c r="AP592" s="18">
        <f>IFERROR(TableDailySummary[[#This Row],[Utilidad bruta]]/TableDailySummary[[#This Row],[Ventas netas con costo registrado]],0)</f>
        <v>0</v>
      </c>
    </row>
    <row r="593" spans="2:42" x14ac:dyDescent="0.2">
      <c r="B593" s="15" cm="1">
        <f t="array" ref="B593">ParamFechaInicioReporte + (ROW(TableDailySummary[#This Row]) - ROW(TableDailySummary[[#Headers],[Dia]]) - 1)</f>
        <v>45120</v>
      </c>
      <c r="C593" s="6">
        <f>TableDailySummary[[#This Row],[Dia]]</f>
        <v>45120</v>
      </c>
      <c r="D593" s="11">
        <f>_xlfn.XLOOKUP(TableDailySummary[[#This Row],[Fecha]],SummaryDaily[day],SummaryDaily[net_sales],0)</f>
        <v>0</v>
      </c>
      <c r="E593" s="11">
        <f>_xlfn.XLOOKUP(TableDailySummary[[#This Row],[Fecha]],SummaryDaily[day],SummaryDaily[orders],0)</f>
        <v>0</v>
      </c>
      <c r="F593" s="11">
        <f>_xlfn.XLOOKUP(TableDailySummary[[#This Row],[Fecha]],SummaryDaily[day],SummaryDaily[average_order_value],0)</f>
        <v>0</v>
      </c>
      <c r="G593" s="24" cm="1">
        <f t="array" ref="G593">_xlfn.XLOOKUP(TableDailySummary[[#This Row],[Fecha]]&amp;"Total site",ConversionRateByReferral[day]&amp;ConversionRateByReferral[referrer_source],ConversionRateByReferral[conversion_rate],0)</f>
        <v>0</v>
      </c>
      <c r="H593" s="11">
        <f>TableDailySummary[[#This Row],[Órden promedio totales]]*TableDailySummary[[#This Row],[CR totales]]</f>
        <v>0</v>
      </c>
      <c r="I593" s="11">
        <f>_xlfn.XLOOKUP(TableDailySummary[[#This Row],[Fecha]],SummaryDaily[day],SummaryDaily[new_net_sales],0)</f>
        <v>0</v>
      </c>
      <c r="J593" s="11">
        <f>_xlfn.XLOOKUP(TableDailySummary[[#This Row],[Fecha]],SummaryDaily[day],SummaryDaily[new_orders],0)</f>
        <v>0</v>
      </c>
      <c r="K593" s="11">
        <f>_xlfn.XLOOKUP(TableDailySummary[[#This Row],[Fecha]],SummaryDaily[day],SummaryDaily[new_average_order_value],0)</f>
        <v>0</v>
      </c>
      <c r="L593" s="11">
        <f>_xlfn.XLOOKUP(TableDailySummary[[#This Row],[Fecha]],SummaryDaily[day],SummaryDaily[Online Store_net_sales],0)</f>
        <v>0</v>
      </c>
      <c r="M593" s="11">
        <f>_xlfn.XLOOKUP(TableDailySummary[[#This Row],[Fecha]],SummaryDaily[day],SummaryDaily[Online Store_orders],0)</f>
        <v>0</v>
      </c>
      <c r="N593" s="11">
        <f>_xlfn.XLOOKUP(TableDailySummary[[#This Row],[Fecha]],SummaryDaily[day],SummaryDaily[Online Store_average_order_value],0)</f>
        <v>0</v>
      </c>
      <c r="O593" s="11">
        <f>_xlfn.XLOOKUP(TableDailySummary[[#This Row],[Fecha]],SummaryDaily[day],SummaryDaily[Tienda 81_net_sales],0)</f>
        <v>0</v>
      </c>
      <c r="P593" s="11">
        <f>_xlfn.XLOOKUP(TableDailySummary[[#This Row],[Fecha]],SummaryDaily[day],SummaryDaily[Tienda 81_orders],0)</f>
        <v>0</v>
      </c>
      <c r="Q593" s="11">
        <f>_xlfn.XLOOKUP(TableDailySummary[[#This Row],[Fecha]],SummaryDaily[day],SummaryDaily[Tienda 81_average_order_value],0)</f>
        <v>0</v>
      </c>
      <c r="R593" s="11">
        <f>_xlfn.XLOOKUP(TableDailySummary[[#This Row],[Fecha]],SummaryDaily[day],SummaryDaily[Rappi_net_sales],0)</f>
        <v>0</v>
      </c>
      <c r="S593" s="11">
        <f>_xlfn.XLOOKUP(TableDailySummary[[#This Row],[Fecha]],SummaryDaily[day],SummaryDaily[Rappi_orders],0)</f>
        <v>0</v>
      </c>
      <c r="T593" s="11">
        <f>_xlfn.XLOOKUP(TableDailySummary[[#This Row],[Fecha]],SummaryDaily[day],SummaryDaily[Rappi_average_order_value],0)</f>
        <v>0</v>
      </c>
      <c r="U593" s="11">
        <f>_xlfn.XLOOKUP(TableDailySummary[[#This Row],[Fecha]],SummaryDaily[day],SummaryDaily[Corporativo no tienda_net_sales],0)</f>
        <v>0</v>
      </c>
      <c r="V593" s="11">
        <f>_xlfn.XLOOKUP(TableDailySummary[[#This Row],[Fecha]],SummaryDaily[day],SummaryDaily[Corporativo no tienda_orders],0)</f>
        <v>0</v>
      </c>
      <c r="W593" s="11">
        <f>_xlfn.XLOOKUP(TableDailySummary[[#This Row],[Fecha]],SummaryDaily[day],SummaryDaily[Corporativo no tienda_average_order_value],0)</f>
        <v>0</v>
      </c>
      <c r="X593" s="11">
        <f>_xlfn.XLOOKUP(TableDailySummary[[#This Row],[Fecha]],SummaryDaily[day],SummaryDaily[GoogleAdsOperation.Cost],0)</f>
        <v>0</v>
      </c>
      <c r="Y593" s="11">
        <f>SUMIFS(SalesByUTMDaily[google],SalesByUTMDaily[day],TableDailySummary[[#This Row],[Fecha]])</f>
        <v>0</v>
      </c>
      <c r="Z593" s="11">
        <f>_xlfn.XLOOKUP(TableDailySummary[[#This Row],[Fecha]],SummaryDaily[day],SummaryDaily[MetaAdsOperation.spend],0)</f>
        <v>0</v>
      </c>
      <c r="AA593" s="11">
        <f>SUMIFS(SalesByUTMDaily[facebook],SalesByUTMDaily[day],TableDailySummary[[#This Row],[Fecha]])</f>
        <v>0</v>
      </c>
      <c r="AB593" s="11">
        <f>TableDailySummary[[#This Row],[Inversión google ads]]+TableDailySummary[[#This Row],[Inversión meta ads]]</f>
        <v>0</v>
      </c>
      <c r="AC593" s="11">
        <f>TableDailySummary[[#This Row],[Ventas google ads]]+TableDailySummary[[#This Row],[Ventas meta ads]]</f>
        <v>0</v>
      </c>
      <c r="AD593" s="14">
        <f>IFERROR(TableDailySummary[[#This Row],[Ventas publicidad]]/TableDailySummary[[#This Row],[Inversión publicidad]],0)</f>
        <v>0</v>
      </c>
      <c r="AE593" s="14">
        <f>IFERROR(TableDailySummary[[#This Row],[Ventas primer cliente]]/TableDailySummary[[#This Row],[Inversión publicidad]],0)</f>
        <v>0</v>
      </c>
      <c r="AF593" s="14"/>
      <c r="AG593" s="11"/>
      <c r="AM593" s="11">
        <f>_xlfn.XLOOKUP(TableDailySummary[[#This Row],[Fecha]],SummaryDaily[day],SummaryDaily[net_sales_with_cost_recorded],0)</f>
        <v>0</v>
      </c>
      <c r="AN593" s="11">
        <f>_xlfn.XLOOKUP(TableDailySummary[[#This Row],[Fecha]],SummaryDaily[day],SummaryDaily[cost_of_goods_sold],0)</f>
        <v>0</v>
      </c>
      <c r="AO593" s="11">
        <f>_xlfn.XLOOKUP(TableDailySummary[[#This Row],[Fecha]],SummaryDaily[day],SummaryDaily[gross_profit],0)</f>
        <v>0</v>
      </c>
      <c r="AP593" s="18">
        <f>IFERROR(TableDailySummary[[#This Row],[Utilidad bruta]]/TableDailySummary[[#This Row],[Ventas netas con costo registrado]],0)</f>
        <v>0</v>
      </c>
    </row>
    <row r="594" spans="2:42" x14ac:dyDescent="0.2">
      <c r="B594" s="15" cm="1">
        <f t="array" ref="B594">ParamFechaInicioReporte + (ROW(TableDailySummary[#This Row]) - ROW(TableDailySummary[[#Headers],[Dia]]) - 1)</f>
        <v>45121</v>
      </c>
      <c r="C594" s="6">
        <f>TableDailySummary[[#This Row],[Dia]]</f>
        <v>45121</v>
      </c>
      <c r="D594" s="11">
        <f>_xlfn.XLOOKUP(TableDailySummary[[#This Row],[Fecha]],SummaryDaily[day],SummaryDaily[net_sales],0)</f>
        <v>0</v>
      </c>
      <c r="E594" s="11">
        <f>_xlfn.XLOOKUP(TableDailySummary[[#This Row],[Fecha]],SummaryDaily[day],SummaryDaily[orders],0)</f>
        <v>0</v>
      </c>
      <c r="F594" s="11">
        <f>_xlfn.XLOOKUP(TableDailySummary[[#This Row],[Fecha]],SummaryDaily[day],SummaryDaily[average_order_value],0)</f>
        <v>0</v>
      </c>
      <c r="G594" s="24" cm="1">
        <f t="array" ref="G594">_xlfn.XLOOKUP(TableDailySummary[[#This Row],[Fecha]]&amp;"Total site",ConversionRateByReferral[day]&amp;ConversionRateByReferral[referrer_source],ConversionRateByReferral[conversion_rate],0)</f>
        <v>0</v>
      </c>
      <c r="H594" s="11">
        <f>TableDailySummary[[#This Row],[Órden promedio totales]]*TableDailySummary[[#This Row],[CR totales]]</f>
        <v>0</v>
      </c>
      <c r="I594" s="11">
        <f>_xlfn.XLOOKUP(TableDailySummary[[#This Row],[Fecha]],SummaryDaily[day],SummaryDaily[new_net_sales],0)</f>
        <v>0</v>
      </c>
      <c r="J594" s="11">
        <f>_xlfn.XLOOKUP(TableDailySummary[[#This Row],[Fecha]],SummaryDaily[day],SummaryDaily[new_orders],0)</f>
        <v>0</v>
      </c>
      <c r="K594" s="11">
        <f>_xlfn.XLOOKUP(TableDailySummary[[#This Row],[Fecha]],SummaryDaily[day],SummaryDaily[new_average_order_value],0)</f>
        <v>0</v>
      </c>
      <c r="L594" s="11">
        <f>_xlfn.XLOOKUP(TableDailySummary[[#This Row],[Fecha]],SummaryDaily[day],SummaryDaily[Online Store_net_sales],0)</f>
        <v>0</v>
      </c>
      <c r="M594" s="11">
        <f>_xlfn.XLOOKUP(TableDailySummary[[#This Row],[Fecha]],SummaryDaily[day],SummaryDaily[Online Store_orders],0)</f>
        <v>0</v>
      </c>
      <c r="N594" s="11">
        <f>_xlfn.XLOOKUP(TableDailySummary[[#This Row],[Fecha]],SummaryDaily[day],SummaryDaily[Online Store_average_order_value],0)</f>
        <v>0</v>
      </c>
      <c r="O594" s="11">
        <f>_xlfn.XLOOKUP(TableDailySummary[[#This Row],[Fecha]],SummaryDaily[day],SummaryDaily[Tienda 81_net_sales],0)</f>
        <v>0</v>
      </c>
      <c r="P594" s="11">
        <f>_xlfn.XLOOKUP(TableDailySummary[[#This Row],[Fecha]],SummaryDaily[day],SummaryDaily[Tienda 81_orders],0)</f>
        <v>0</v>
      </c>
      <c r="Q594" s="11">
        <f>_xlfn.XLOOKUP(TableDailySummary[[#This Row],[Fecha]],SummaryDaily[day],SummaryDaily[Tienda 81_average_order_value],0)</f>
        <v>0</v>
      </c>
      <c r="R594" s="11">
        <f>_xlfn.XLOOKUP(TableDailySummary[[#This Row],[Fecha]],SummaryDaily[day],SummaryDaily[Rappi_net_sales],0)</f>
        <v>0</v>
      </c>
      <c r="S594" s="11">
        <f>_xlfn.XLOOKUP(TableDailySummary[[#This Row],[Fecha]],SummaryDaily[day],SummaryDaily[Rappi_orders],0)</f>
        <v>0</v>
      </c>
      <c r="T594" s="11">
        <f>_xlfn.XLOOKUP(TableDailySummary[[#This Row],[Fecha]],SummaryDaily[day],SummaryDaily[Rappi_average_order_value],0)</f>
        <v>0</v>
      </c>
      <c r="U594" s="11">
        <f>_xlfn.XLOOKUP(TableDailySummary[[#This Row],[Fecha]],SummaryDaily[day],SummaryDaily[Corporativo no tienda_net_sales],0)</f>
        <v>0</v>
      </c>
      <c r="V594" s="11">
        <f>_xlfn.XLOOKUP(TableDailySummary[[#This Row],[Fecha]],SummaryDaily[day],SummaryDaily[Corporativo no tienda_orders],0)</f>
        <v>0</v>
      </c>
      <c r="W594" s="11">
        <f>_xlfn.XLOOKUP(TableDailySummary[[#This Row],[Fecha]],SummaryDaily[day],SummaryDaily[Corporativo no tienda_average_order_value],0)</f>
        <v>0</v>
      </c>
      <c r="X594" s="11">
        <f>_xlfn.XLOOKUP(TableDailySummary[[#This Row],[Fecha]],SummaryDaily[day],SummaryDaily[GoogleAdsOperation.Cost],0)</f>
        <v>0</v>
      </c>
      <c r="Y594" s="11">
        <f>SUMIFS(SalesByUTMDaily[google],SalesByUTMDaily[day],TableDailySummary[[#This Row],[Fecha]])</f>
        <v>0</v>
      </c>
      <c r="Z594" s="11">
        <f>_xlfn.XLOOKUP(TableDailySummary[[#This Row],[Fecha]],SummaryDaily[day],SummaryDaily[MetaAdsOperation.spend],0)</f>
        <v>0</v>
      </c>
      <c r="AA594" s="11">
        <f>SUMIFS(SalesByUTMDaily[facebook],SalesByUTMDaily[day],TableDailySummary[[#This Row],[Fecha]])</f>
        <v>0</v>
      </c>
      <c r="AB594" s="11">
        <f>TableDailySummary[[#This Row],[Inversión google ads]]+TableDailySummary[[#This Row],[Inversión meta ads]]</f>
        <v>0</v>
      </c>
      <c r="AC594" s="11">
        <f>TableDailySummary[[#This Row],[Ventas google ads]]+TableDailySummary[[#This Row],[Ventas meta ads]]</f>
        <v>0</v>
      </c>
      <c r="AD594" s="14">
        <f>IFERROR(TableDailySummary[[#This Row],[Ventas publicidad]]/TableDailySummary[[#This Row],[Inversión publicidad]],0)</f>
        <v>0</v>
      </c>
      <c r="AE594" s="14">
        <f>IFERROR(TableDailySummary[[#This Row],[Ventas primer cliente]]/TableDailySummary[[#This Row],[Inversión publicidad]],0)</f>
        <v>0</v>
      </c>
      <c r="AF594" s="14"/>
      <c r="AG594" s="11"/>
      <c r="AM594" s="11">
        <f>_xlfn.XLOOKUP(TableDailySummary[[#This Row],[Fecha]],SummaryDaily[day],SummaryDaily[net_sales_with_cost_recorded],0)</f>
        <v>0</v>
      </c>
      <c r="AN594" s="11">
        <f>_xlfn.XLOOKUP(TableDailySummary[[#This Row],[Fecha]],SummaryDaily[day],SummaryDaily[cost_of_goods_sold],0)</f>
        <v>0</v>
      </c>
      <c r="AO594" s="11">
        <f>_xlfn.XLOOKUP(TableDailySummary[[#This Row],[Fecha]],SummaryDaily[day],SummaryDaily[gross_profit],0)</f>
        <v>0</v>
      </c>
      <c r="AP594" s="18">
        <f>IFERROR(TableDailySummary[[#This Row],[Utilidad bruta]]/TableDailySummary[[#This Row],[Ventas netas con costo registrado]],0)</f>
        <v>0</v>
      </c>
    </row>
    <row r="595" spans="2:42" x14ac:dyDescent="0.2">
      <c r="B595" s="15" cm="1">
        <f t="array" ref="B595">ParamFechaInicioReporte + (ROW(TableDailySummary[#This Row]) - ROW(TableDailySummary[[#Headers],[Dia]]) - 1)</f>
        <v>45122</v>
      </c>
      <c r="C595" s="6">
        <f>TableDailySummary[[#This Row],[Dia]]</f>
        <v>45122</v>
      </c>
      <c r="D595" s="11">
        <f>_xlfn.XLOOKUP(TableDailySummary[[#This Row],[Fecha]],SummaryDaily[day],SummaryDaily[net_sales],0)</f>
        <v>0</v>
      </c>
      <c r="E595" s="11">
        <f>_xlfn.XLOOKUP(TableDailySummary[[#This Row],[Fecha]],SummaryDaily[day],SummaryDaily[orders],0)</f>
        <v>0</v>
      </c>
      <c r="F595" s="11">
        <f>_xlfn.XLOOKUP(TableDailySummary[[#This Row],[Fecha]],SummaryDaily[day],SummaryDaily[average_order_value],0)</f>
        <v>0</v>
      </c>
      <c r="G595" s="24" cm="1">
        <f t="array" ref="G595">_xlfn.XLOOKUP(TableDailySummary[[#This Row],[Fecha]]&amp;"Total site",ConversionRateByReferral[day]&amp;ConversionRateByReferral[referrer_source],ConversionRateByReferral[conversion_rate],0)</f>
        <v>0</v>
      </c>
      <c r="H595" s="11">
        <f>TableDailySummary[[#This Row],[Órden promedio totales]]*TableDailySummary[[#This Row],[CR totales]]</f>
        <v>0</v>
      </c>
      <c r="I595" s="11">
        <f>_xlfn.XLOOKUP(TableDailySummary[[#This Row],[Fecha]],SummaryDaily[day],SummaryDaily[new_net_sales],0)</f>
        <v>0</v>
      </c>
      <c r="J595" s="11">
        <f>_xlfn.XLOOKUP(TableDailySummary[[#This Row],[Fecha]],SummaryDaily[day],SummaryDaily[new_orders],0)</f>
        <v>0</v>
      </c>
      <c r="K595" s="11">
        <f>_xlfn.XLOOKUP(TableDailySummary[[#This Row],[Fecha]],SummaryDaily[day],SummaryDaily[new_average_order_value],0)</f>
        <v>0</v>
      </c>
      <c r="L595" s="11">
        <f>_xlfn.XLOOKUP(TableDailySummary[[#This Row],[Fecha]],SummaryDaily[day],SummaryDaily[Online Store_net_sales],0)</f>
        <v>0</v>
      </c>
      <c r="M595" s="11">
        <f>_xlfn.XLOOKUP(TableDailySummary[[#This Row],[Fecha]],SummaryDaily[day],SummaryDaily[Online Store_orders],0)</f>
        <v>0</v>
      </c>
      <c r="N595" s="11">
        <f>_xlfn.XLOOKUP(TableDailySummary[[#This Row],[Fecha]],SummaryDaily[day],SummaryDaily[Online Store_average_order_value],0)</f>
        <v>0</v>
      </c>
      <c r="O595" s="11">
        <f>_xlfn.XLOOKUP(TableDailySummary[[#This Row],[Fecha]],SummaryDaily[day],SummaryDaily[Tienda 81_net_sales],0)</f>
        <v>0</v>
      </c>
      <c r="P595" s="11">
        <f>_xlfn.XLOOKUP(TableDailySummary[[#This Row],[Fecha]],SummaryDaily[day],SummaryDaily[Tienda 81_orders],0)</f>
        <v>0</v>
      </c>
      <c r="Q595" s="11">
        <f>_xlfn.XLOOKUP(TableDailySummary[[#This Row],[Fecha]],SummaryDaily[day],SummaryDaily[Tienda 81_average_order_value],0)</f>
        <v>0</v>
      </c>
      <c r="R595" s="11">
        <f>_xlfn.XLOOKUP(TableDailySummary[[#This Row],[Fecha]],SummaryDaily[day],SummaryDaily[Rappi_net_sales],0)</f>
        <v>0</v>
      </c>
      <c r="S595" s="11">
        <f>_xlfn.XLOOKUP(TableDailySummary[[#This Row],[Fecha]],SummaryDaily[day],SummaryDaily[Rappi_orders],0)</f>
        <v>0</v>
      </c>
      <c r="T595" s="11">
        <f>_xlfn.XLOOKUP(TableDailySummary[[#This Row],[Fecha]],SummaryDaily[day],SummaryDaily[Rappi_average_order_value],0)</f>
        <v>0</v>
      </c>
      <c r="U595" s="11">
        <f>_xlfn.XLOOKUP(TableDailySummary[[#This Row],[Fecha]],SummaryDaily[day],SummaryDaily[Corporativo no tienda_net_sales],0)</f>
        <v>0</v>
      </c>
      <c r="V595" s="11">
        <f>_xlfn.XLOOKUP(TableDailySummary[[#This Row],[Fecha]],SummaryDaily[day],SummaryDaily[Corporativo no tienda_orders],0)</f>
        <v>0</v>
      </c>
      <c r="W595" s="11">
        <f>_xlfn.XLOOKUP(TableDailySummary[[#This Row],[Fecha]],SummaryDaily[day],SummaryDaily[Corporativo no tienda_average_order_value],0)</f>
        <v>0</v>
      </c>
      <c r="X595" s="11">
        <f>_xlfn.XLOOKUP(TableDailySummary[[#This Row],[Fecha]],SummaryDaily[day],SummaryDaily[GoogleAdsOperation.Cost],0)</f>
        <v>0</v>
      </c>
      <c r="Y595" s="11">
        <f>SUMIFS(SalesByUTMDaily[google],SalesByUTMDaily[day],TableDailySummary[[#This Row],[Fecha]])</f>
        <v>0</v>
      </c>
      <c r="Z595" s="11">
        <f>_xlfn.XLOOKUP(TableDailySummary[[#This Row],[Fecha]],SummaryDaily[day],SummaryDaily[MetaAdsOperation.spend],0)</f>
        <v>0</v>
      </c>
      <c r="AA595" s="11">
        <f>SUMIFS(SalesByUTMDaily[facebook],SalesByUTMDaily[day],TableDailySummary[[#This Row],[Fecha]])</f>
        <v>0</v>
      </c>
      <c r="AB595" s="11">
        <f>TableDailySummary[[#This Row],[Inversión google ads]]+TableDailySummary[[#This Row],[Inversión meta ads]]</f>
        <v>0</v>
      </c>
      <c r="AC595" s="11">
        <f>TableDailySummary[[#This Row],[Ventas google ads]]+TableDailySummary[[#This Row],[Ventas meta ads]]</f>
        <v>0</v>
      </c>
      <c r="AD595" s="14">
        <f>IFERROR(TableDailySummary[[#This Row],[Ventas publicidad]]/TableDailySummary[[#This Row],[Inversión publicidad]],0)</f>
        <v>0</v>
      </c>
      <c r="AE595" s="14">
        <f>IFERROR(TableDailySummary[[#This Row],[Ventas primer cliente]]/TableDailySummary[[#This Row],[Inversión publicidad]],0)</f>
        <v>0</v>
      </c>
      <c r="AF595" s="14"/>
      <c r="AG595" s="11"/>
      <c r="AM595" s="11">
        <f>_xlfn.XLOOKUP(TableDailySummary[[#This Row],[Fecha]],SummaryDaily[day],SummaryDaily[net_sales_with_cost_recorded],0)</f>
        <v>0</v>
      </c>
      <c r="AN595" s="11">
        <f>_xlfn.XLOOKUP(TableDailySummary[[#This Row],[Fecha]],SummaryDaily[day],SummaryDaily[cost_of_goods_sold],0)</f>
        <v>0</v>
      </c>
      <c r="AO595" s="11">
        <f>_xlfn.XLOOKUP(TableDailySummary[[#This Row],[Fecha]],SummaryDaily[day],SummaryDaily[gross_profit],0)</f>
        <v>0</v>
      </c>
      <c r="AP595" s="18">
        <f>IFERROR(TableDailySummary[[#This Row],[Utilidad bruta]]/TableDailySummary[[#This Row],[Ventas netas con costo registrado]],0)</f>
        <v>0</v>
      </c>
    </row>
    <row r="596" spans="2:42" x14ac:dyDescent="0.2">
      <c r="B596" s="15" cm="1">
        <f t="array" ref="B596">ParamFechaInicioReporte + (ROW(TableDailySummary[#This Row]) - ROW(TableDailySummary[[#Headers],[Dia]]) - 1)</f>
        <v>45123</v>
      </c>
      <c r="C596" s="6">
        <f>TableDailySummary[[#This Row],[Dia]]</f>
        <v>45123</v>
      </c>
      <c r="D596" s="11">
        <f>_xlfn.XLOOKUP(TableDailySummary[[#This Row],[Fecha]],SummaryDaily[day],SummaryDaily[net_sales],0)</f>
        <v>0</v>
      </c>
      <c r="E596" s="11">
        <f>_xlfn.XLOOKUP(TableDailySummary[[#This Row],[Fecha]],SummaryDaily[day],SummaryDaily[orders],0)</f>
        <v>0</v>
      </c>
      <c r="F596" s="11">
        <f>_xlfn.XLOOKUP(TableDailySummary[[#This Row],[Fecha]],SummaryDaily[day],SummaryDaily[average_order_value],0)</f>
        <v>0</v>
      </c>
      <c r="G596" s="24" cm="1">
        <f t="array" ref="G596">_xlfn.XLOOKUP(TableDailySummary[[#This Row],[Fecha]]&amp;"Total site",ConversionRateByReferral[day]&amp;ConversionRateByReferral[referrer_source],ConversionRateByReferral[conversion_rate],0)</f>
        <v>0</v>
      </c>
      <c r="H596" s="11">
        <f>TableDailySummary[[#This Row],[Órden promedio totales]]*TableDailySummary[[#This Row],[CR totales]]</f>
        <v>0</v>
      </c>
      <c r="I596" s="11">
        <f>_xlfn.XLOOKUP(TableDailySummary[[#This Row],[Fecha]],SummaryDaily[day],SummaryDaily[new_net_sales],0)</f>
        <v>0</v>
      </c>
      <c r="J596" s="11">
        <f>_xlfn.XLOOKUP(TableDailySummary[[#This Row],[Fecha]],SummaryDaily[day],SummaryDaily[new_orders],0)</f>
        <v>0</v>
      </c>
      <c r="K596" s="11">
        <f>_xlfn.XLOOKUP(TableDailySummary[[#This Row],[Fecha]],SummaryDaily[day],SummaryDaily[new_average_order_value],0)</f>
        <v>0</v>
      </c>
      <c r="L596" s="11">
        <f>_xlfn.XLOOKUP(TableDailySummary[[#This Row],[Fecha]],SummaryDaily[day],SummaryDaily[Online Store_net_sales],0)</f>
        <v>0</v>
      </c>
      <c r="M596" s="11">
        <f>_xlfn.XLOOKUP(TableDailySummary[[#This Row],[Fecha]],SummaryDaily[day],SummaryDaily[Online Store_orders],0)</f>
        <v>0</v>
      </c>
      <c r="N596" s="11">
        <f>_xlfn.XLOOKUP(TableDailySummary[[#This Row],[Fecha]],SummaryDaily[day],SummaryDaily[Online Store_average_order_value],0)</f>
        <v>0</v>
      </c>
      <c r="O596" s="11">
        <f>_xlfn.XLOOKUP(TableDailySummary[[#This Row],[Fecha]],SummaryDaily[day],SummaryDaily[Tienda 81_net_sales],0)</f>
        <v>0</v>
      </c>
      <c r="P596" s="11">
        <f>_xlfn.XLOOKUP(TableDailySummary[[#This Row],[Fecha]],SummaryDaily[day],SummaryDaily[Tienda 81_orders],0)</f>
        <v>0</v>
      </c>
      <c r="Q596" s="11">
        <f>_xlfn.XLOOKUP(TableDailySummary[[#This Row],[Fecha]],SummaryDaily[day],SummaryDaily[Tienda 81_average_order_value],0)</f>
        <v>0</v>
      </c>
      <c r="R596" s="11">
        <f>_xlfn.XLOOKUP(TableDailySummary[[#This Row],[Fecha]],SummaryDaily[day],SummaryDaily[Rappi_net_sales],0)</f>
        <v>0</v>
      </c>
      <c r="S596" s="11">
        <f>_xlfn.XLOOKUP(TableDailySummary[[#This Row],[Fecha]],SummaryDaily[day],SummaryDaily[Rappi_orders],0)</f>
        <v>0</v>
      </c>
      <c r="T596" s="11">
        <f>_xlfn.XLOOKUP(TableDailySummary[[#This Row],[Fecha]],SummaryDaily[day],SummaryDaily[Rappi_average_order_value],0)</f>
        <v>0</v>
      </c>
      <c r="U596" s="11">
        <f>_xlfn.XLOOKUP(TableDailySummary[[#This Row],[Fecha]],SummaryDaily[day],SummaryDaily[Corporativo no tienda_net_sales],0)</f>
        <v>0</v>
      </c>
      <c r="V596" s="11">
        <f>_xlfn.XLOOKUP(TableDailySummary[[#This Row],[Fecha]],SummaryDaily[day],SummaryDaily[Corporativo no tienda_orders],0)</f>
        <v>0</v>
      </c>
      <c r="W596" s="11">
        <f>_xlfn.XLOOKUP(TableDailySummary[[#This Row],[Fecha]],SummaryDaily[day],SummaryDaily[Corporativo no tienda_average_order_value],0)</f>
        <v>0</v>
      </c>
      <c r="X596" s="11">
        <f>_xlfn.XLOOKUP(TableDailySummary[[#This Row],[Fecha]],SummaryDaily[day],SummaryDaily[GoogleAdsOperation.Cost],0)</f>
        <v>0</v>
      </c>
      <c r="Y596" s="11">
        <f>SUMIFS(SalesByUTMDaily[google],SalesByUTMDaily[day],TableDailySummary[[#This Row],[Fecha]])</f>
        <v>0</v>
      </c>
      <c r="Z596" s="11">
        <f>_xlfn.XLOOKUP(TableDailySummary[[#This Row],[Fecha]],SummaryDaily[day],SummaryDaily[MetaAdsOperation.spend],0)</f>
        <v>0</v>
      </c>
      <c r="AA596" s="11">
        <f>SUMIFS(SalesByUTMDaily[facebook],SalesByUTMDaily[day],TableDailySummary[[#This Row],[Fecha]])</f>
        <v>0</v>
      </c>
      <c r="AB596" s="11">
        <f>TableDailySummary[[#This Row],[Inversión google ads]]+TableDailySummary[[#This Row],[Inversión meta ads]]</f>
        <v>0</v>
      </c>
      <c r="AC596" s="11">
        <f>TableDailySummary[[#This Row],[Ventas google ads]]+TableDailySummary[[#This Row],[Ventas meta ads]]</f>
        <v>0</v>
      </c>
      <c r="AD596" s="14">
        <f>IFERROR(TableDailySummary[[#This Row],[Ventas publicidad]]/TableDailySummary[[#This Row],[Inversión publicidad]],0)</f>
        <v>0</v>
      </c>
      <c r="AE596" s="14">
        <f>IFERROR(TableDailySummary[[#This Row],[Ventas primer cliente]]/TableDailySummary[[#This Row],[Inversión publicidad]],0)</f>
        <v>0</v>
      </c>
      <c r="AF596" s="14"/>
      <c r="AG596" s="11"/>
      <c r="AM596" s="11">
        <f>_xlfn.XLOOKUP(TableDailySummary[[#This Row],[Fecha]],SummaryDaily[day],SummaryDaily[net_sales_with_cost_recorded],0)</f>
        <v>0</v>
      </c>
      <c r="AN596" s="11">
        <f>_xlfn.XLOOKUP(TableDailySummary[[#This Row],[Fecha]],SummaryDaily[day],SummaryDaily[cost_of_goods_sold],0)</f>
        <v>0</v>
      </c>
      <c r="AO596" s="11">
        <f>_xlfn.XLOOKUP(TableDailySummary[[#This Row],[Fecha]],SummaryDaily[day],SummaryDaily[gross_profit],0)</f>
        <v>0</v>
      </c>
      <c r="AP596" s="18">
        <f>IFERROR(TableDailySummary[[#This Row],[Utilidad bruta]]/TableDailySummary[[#This Row],[Ventas netas con costo registrado]],0)</f>
        <v>0</v>
      </c>
    </row>
    <row r="597" spans="2:42" x14ac:dyDescent="0.2">
      <c r="B597" s="15" cm="1">
        <f t="array" ref="B597">ParamFechaInicioReporte + (ROW(TableDailySummary[#This Row]) - ROW(TableDailySummary[[#Headers],[Dia]]) - 1)</f>
        <v>45124</v>
      </c>
      <c r="C597" s="6">
        <f>TableDailySummary[[#This Row],[Dia]]</f>
        <v>45124</v>
      </c>
      <c r="D597" s="11">
        <f>_xlfn.XLOOKUP(TableDailySummary[[#This Row],[Fecha]],SummaryDaily[day],SummaryDaily[net_sales],0)</f>
        <v>0</v>
      </c>
      <c r="E597" s="11">
        <f>_xlfn.XLOOKUP(TableDailySummary[[#This Row],[Fecha]],SummaryDaily[day],SummaryDaily[orders],0)</f>
        <v>0</v>
      </c>
      <c r="F597" s="11">
        <f>_xlfn.XLOOKUP(TableDailySummary[[#This Row],[Fecha]],SummaryDaily[day],SummaryDaily[average_order_value],0)</f>
        <v>0</v>
      </c>
      <c r="G597" s="24" cm="1">
        <f t="array" ref="G597">_xlfn.XLOOKUP(TableDailySummary[[#This Row],[Fecha]]&amp;"Total site",ConversionRateByReferral[day]&amp;ConversionRateByReferral[referrer_source],ConversionRateByReferral[conversion_rate],0)</f>
        <v>0</v>
      </c>
      <c r="H597" s="11">
        <f>TableDailySummary[[#This Row],[Órden promedio totales]]*TableDailySummary[[#This Row],[CR totales]]</f>
        <v>0</v>
      </c>
      <c r="I597" s="11">
        <f>_xlfn.XLOOKUP(TableDailySummary[[#This Row],[Fecha]],SummaryDaily[day],SummaryDaily[new_net_sales],0)</f>
        <v>0</v>
      </c>
      <c r="J597" s="11">
        <f>_xlfn.XLOOKUP(TableDailySummary[[#This Row],[Fecha]],SummaryDaily[day],SummaryDaily[new_orders],0)</f>
        <v>0</v>
      </c>
      <c r="K597" s="11">
        <f>_xlfn.XLOOKUP(TableDailySummary[[#This Row],[Fecha]],SummaryDaily[day],SummaryDaily[new_average_order_value],0)</f>
        <v>0</v>
      </c>
      <c r="L597" s="11">
        <f>_xlfn.XLOOKUP(TableDailySummary[[#This Row],[Fecha]],SummaryDaily[day],SummaryDaily[Online Store_net_sales],0)</f>
        <v>0</v>
      </c>
      <c r="M597" s="11">
        <f>_xlfn.XLOOKUP(TableDailySummary[[#This Row],[Fecha]],SummaryDaily[day],SummaryDaily[Online Store_orders],0)</f>
        <v>0</v>
      </c>
      <c r="N597" s="11">
        <f>_xlfn.XLOOKUP(TableDailySummary[[#This Row],[Fecha]],SummaryDaily[day],SummaryDaily[Online Store_average_order_value],0)</f>
        <v>0</v>
      </c>
      <c r="O597" s="11">
        <f>_xlfn.XLOOKUP(TableDailySummary[[#This Row],[Fecha]],SummaryDaily[day],SummaryDaily[Tienda 81_net_sales],0)</f>
        <v>0</v>
      </c>
      <c r="P597" s="11">
        <f>_xlfn.XLOOKUP(TableDailySummary[[#This Row],[Fecha]],SummaryDaily[day],SummaryDaily[Tienda 81_orders],0)</f>
        <v>0</v>
      </c>
      <c r="Q597" s="11">
        <f>_xlfn.XLOOKUP(TableDailySummary[[#This Row],[Fecha]],SummaryDaily[day],SummaryDaily[Tienda 81_average_order_value],0)</f>
        <v>0</v>
      </c>
      <c r="R597" s="11">
        <f>_xlfn.XLOOKUP(TableDailySummary[[#This Row],[Fecha]],SummaryDaily[day],SummaryDaily[Rappi_net_sales],0)</f>
        <v>0</v>
      </c>
      <c r="S597" s="11">
        <f>_xlfn.XLOOKUP(TableDailySummary[[#This Row],[Fecha]],SummaryDaily[day],SummaryDaily[Rappi_orders],0)</f>
        <v>0</v>
      </c>
      <c r="T597" s="11">
        <f>_xlfn.XLOOKUP(TableDailySummary[[#This Row],[Fecha]],SummaryDaily[day],SummaryDaily[Rappi_average_order_value],0)</f>
        <v>0</v>
      </c>
      <c r="U597" s="11">
        <f>_xlfn.XLOOKUP(TableDailySummary[[#This Row],[Fecha]],SummaryDaily[day],SummaryDaily[Corporativo no tienda_net_sales],0)</f>
        <v>0</v>
      </c>
      <c r="V597" s="11">
        <f>_xlfn.XLOOKUP(TableDailySummary[[#This Row],[Fecha]],SummaryDaily[day],SummaryDaily[Corporativo no tienda_orders],0)</f>
        <v>0</v>
      </c>
      <c r="W597" s="11">
        <f>_xlfn.XLOOKUP(TableDailySummary[[#This Row],[Fecha]],SummaryDaily[day],SummaryDaily[Corporativo no tienda_average_order_value],0)</f>
        <v>0</v>
      </c>
      <c r="X597" s="11">
        <f>_xlfn.XLOOKUP(TableDailySummary[[#This Row],[Fecha]],SummaryDaily[day],SummaryDaily[GoogleAdsOperation.Cost],0)</f>
        <v>0</v>
      </c>
      <c r="Y597" s="11">
        <f>SUMIFS(SalesByUTMDaily[google],SalesByUTMDaily[day],TableDailySummary[[#This Row],[Fecha]])</f>
        <v>0</v>
      </c>
      <c r="Z597" s="11">
        <f>_xlfn.XLOOKUP(TableDailySummary[[#This Row],[Fecha]],SummaryDaily[day],SummaryDaily[MetaAdsOperation.spend],0)</f>
        <v>0</v>
      </c>
      <c r="AA597" s="11">
        <f>SUMIFS(SalesByUTMDaily[facebook],SalesByUTMDaily[day],TableDailySummary[[#This Row],[Fecha]])</f>
        <v>0</v>
      </c>
      <c r="AB597" s="11">
        <f>TableDailySummary[[#This Row],[Inversión google ads]]+TableDailySummary[[#This Row],[Inversión meta ads]]</f>
        <v>0</v>
      </c>
      <c r="AC597" s="11">
        <f>TableDailySummary[[#This Row],[Ventas google ads]]+TableDailySummary[[#This Row],[Ventas meta ads]]</f>
        <v>0</v>
      </c>
      <c r="AD597" s="14">
        <f>IFERROR(TableDailySummary[[#This Row],[Ventas publicidad]]/TableDailySummary[[#This Row],[Inversión publicidad]],0)</f>
        <v>0</v>
      </c>
      <c r="AE597" s="14">
        <f>IFERROR(TableDailySummary[[#This Row],[Ventas primer cliente]]/TableDailySummary[[#This Row],[Inversión publicidad]],0)</f>
        <v>0</v>
      </c>
      <c r="AF597" s="14"/>
      <c r="AG597" s="11"/>
      <c r="AM597" s="11">
        <f>_xlfn.XLOOKUP(TableDailySummary[[#This Row],[Fecha]],SummaryDaily[day],SummaryDaily[net_sales_with_cost_recorded],0)</f>
        <v>0</v>
      </c>
      <c r="AN597" s="11">
        <f>_xlfn.XLOOKUP(TableDailySummary[[#This Row],[Fecha]],SummaryDaily[day],SummaryDaily[cost_of_goods_sold],0)</f>
        <v>0</v>
      </c>
      <c r="AO597" s="11">
        <f>_xlfn.XLOOKUP(TableDailySummary[[#This Row],[Fecha]],SummaryDaily[day],SummaryDaily[gross_profit],0)</f>
        <v>0</v>
      </c>
      <c r="AP597" s="18">
        <f>IFERROR(TableDailySummary[[#This Row],[Utilidad bruta]]/TableDailySummary[[#This Row],[Ventas netas con costo registrado]],0)</f>
        <v>0</v>
      </c>
    </row>
    <row r="598" spans="2:42" x14ac:dyDescent="0.2">
      <c r="B598" s="15" cm="1">
        <f t="array" ref="B598">ParamFechaInicioReporte + (ROW(TableDailySummary[#This Row]) - ROW(TableDailySummary[[#Headers],[Dia]]) - 1)</f>
        <v>45125</v>
      </c>
      <c r="C598" s="6">
        <f>TableDailySummary[[#This Row],[Dia]]</f>
        <v>45125</v>
      </c>
      <c r="D598" s="11">
        <f>_xlfn.XLOOKUP(TableDailySummary[[#This Row],[Fecha]],SummaryDaily[day],SummaryDaily[net_sales],0)</f>
        <v>0</v>
      </c>
      <c r="E598" s="11">
        <f>_xlfn.XLOOKUP(TableDailySummary[[#This Row],[Fecha]],SummaryDaily[day],SummaryDaily[orders],0)</f>
        <v>0</v>
      </c>
      <c r="F598" s="11">
        <f>_xlfn.XLOOKUP(TableDailySummary[[#This Row],[Fecha]],SummaryDaily[day],SummaryDaily[average_order_value],0)</f>
        <v>0</v>
      </c>
      <c r="G598" s="24" cm="1">
        <f t="array" ref="G598">_xlfn.XLOOKUP(TableDailySummary[[#This Row],[Fecha]]&amp;"Total site",ConversionRateByReferral[day]&amp;ConversionRateByReferral[referrer_source],ConversionRateByReferral[conversion_rate],0)</f>
        <v>0</v>
      </c>
      <c r="H598" s="11">
        <f>TableDailySummary[[#This Row],[Órden promedio totales]]*TableDailySummary[[#This Row],[CR totales]]</f>
        <v>0</v>
      </c>
      <c r="I598" s="11">
        <f>_xlfn.XLOOKUP(TableDailySummary[[#This Row],[Fecha]],SummaryDaily[day],SummaryDaily[new_net_sales],0)</f>
        <v>0</v>
      </c>
      <c r="J598" s="11">
        <f>_xlfn.XLOOKUP(TableDailySummary[[#This Row],[Fecha]],SummaryDaily[day],SummaryDaily[new_orders],0)</f>
        <v>0</v>
      </c>
      <c r="K598" s="11">
        <f>_xlfn.XLOOKUP(TableDailySummary[[#This Row],[Fecha]],SummaryDaily[day],SummaryDaily[new_average_order_value],0)</f>
        <v>0</v>
      </c>
      <c r="L598" s="11">
        <f>_xlfn.XLOOKUP(TableDailySummary[[#This Row],[Fecha]],SummaryDaily[day],SummaryDaily[Online Store_net_sales],0)</f>
        <v>0</v>
      </c>
      <c r="M598" s="11">
        <f>_xlfn.XLOOKUP(TableDailySummary[[#This Row],[Fecha]],SummaryDaily[day],SummaryDaily[Online Store_orders],0)</f>
        <v>0</v>
      </c>
      <c r="N598" s="11">
        <f>_xlfn.XLOOKUP(TableDailySummary[[#This Row],[Fecha]],SummaryDaily[day],SummaryDaily[Online Store_average_order_value],0)</f>
        <v>0</v>
      </c>
      <c r="O598" s="11">
        <f>_xlfn.XLOOKUP(TableDailySummary[[#This Row],[Fecha]],SummaryDaily[day],SummaryDaily[Tienda 81_net_sales],0)</f>
        <v>0</v>
      </c>
      <c r="P598" s="11">
        <f>_xlfn.XLOOKUP(TableDailySummary[[#This Row],[Fecha]],SummaryDaily[day],SummaryDaily[Tienda 81_orders],0)</f>
        <v>0</v>
      </c>
      <c r="Q598" s="11">
        <f>_xlfn.XLOOKUP(TableDailySummary[[#This Row],[Fecha]],SummaryDaily[day],SummaryDaily[Tienda 81_average_order_value],0)</f>
        <v>0</v>
      </c>
      <c r="R598" s="11">
        <f>_xlfn.XLOOKUP(TableDailySummary[[#This Row],[Fecha]],SummaryDaily[day],SummaryDaily[Rappi_net_sales],0)</f>
        <v>0</v>
      </c>
      <c r="S598" s="11">
        <f>_xlfn.XLOOKUP(TableDailySummary[[#This Row],[Fecha]],SummaryDaily[day],SummaryDaily[Rappi_orders],0)</f>
        <v>0</v>
      </c>
      <c r="T598" s="11">
        <f>_xlfn.XLOOKUP(TableDailySummary[[#This Row],[Fecha]],SummaryDaily[day],SummaryDaily[Rappi_average_order_value],0)</f>
        <v>0</v>
      </c>
      <c r="U598" s="11">
        <f>_xlfn.XLOOKUP(TableDailySummary[[#This Row],[Fecha]],SummaryDaily[day],SummaryDaily[Corporativo no tienda_net_sales],0)</f>
        <v>0</v>
      </c>
      <c r="V598" s="11">
        <f>_xlfn.XLOOKUP(TableDailySummary[[#This Row],[Fecha]],SummaryDaily[day],SummaryDaily[Corporativo no tienda_orders],0)</f>
        <v>0</v>
      </c>
      <c r="W598" s="11">
        <f>_xlfn.XLOOKUP(TableDailySummary[[#This Row],[Fecha]],SummaryDaily[day],SummaryDaily[Corporativo no tienda_average_order_value],0)</f>
        <v>0</v>
      </c>
      <c r="X598" s="11">
        <f>_xlfn.XLOOKUP(TableDailySummary[[#This Row],[Fecha]],SummaryDaily[day],SummaryDaily[GoogleAdsOperation.Cost],0)</f>
        <v>0</v>
      </c>
      <c r="Y598" s="11">
        <f>SUMIFS(SalesByUTMDaily[google],SalesByUTMDaily[day],TableDailySummary[[#This Row],[Fecha]])</f>
        <v>0</v>
      </c>
      <c r="Z598" s="11">
        <f>_xlfn.XLOOKUP(TableDailySummary[[#This Row],[Fecha]],SummaryDaily[day],SummaryDaily[MetaAdsOperation.spend],0)</f>
        <v>0</v>
      </c>
      <c r="AA598" s="11">
        <f>SUMIFS(SalesByUTMDaily[facebook],SalesByUTMDaily[day],TableDailySummary[[#This Row],[Fecha]])</f>
        <v>0</v>
      </c>
      <c r="AB598" s="11">
        <f>TableDailySummary[[#This Row],[Inversión google ads]]+TableDailySummary[[#This Row],[Inversión meta ads]]</f>
        <v>0</v>
      </c>
      <c r="AC598" s="11">
        <f>TableDailySummary[[#This Row],[Ventas google ads]]+TableDailySummary[[#This Row],[Ventas meta ads]]</f>
        <v>0</v>
      </c>
      <c r="AD598" s="14">
        <f>IFERROR(TableDailySummary[[#This Row],[Ventas publicidad]]/TableDailySummary[[#This Row],[Inversión publicidad]],0)</f>
        <v>0</v>
      </c>
      <c r="AE598" s="14">
        <f>IFERROR(TableDailySummary[[#This Row],[Ventas primer cliente]]/TableDailySummary[[#This Row],[Inversión publicidad]],0)</f>
        <v>0</v>
      </c>
      <c r="AF598" s="14"/>
      <c r="AG598" s="11"/>
      <c r="AM598" s="11">
        <f>_xlfn.XLOOKUP(TableDailySummary[[#This Row],[Fecha]],SummaryDaily[day],SummaryDaily[net_sales_with_cost_recorded],0)</f>
        <v>0</v>
      </c>
      <c r="AN598" s="11">
        <f>_xlfn.XLOOKUP(TableDailySummary[[#This Row],[Fecha]],SummaryDaily[day],SummaryDaily[cost_of_goods_sold],0)</f>
        <v>0</v>
      </c>
      <c r="AO598" s="11">
        <f>_xlfn.XLOOKUP(TableDailySummary[[#This Row],[Fecha]],SummaryDaily[day],SummaryDaily[gross_profit],0)</f>
        <v>0</v>
      </c>
      <c r="AP598" s="18">
        <f>IFERROR(TableDailySummary[[#This Row],[Utilidad bruta]]/TableDailySummary[[#This Row],[Ventas netas con costo registrado]],0)</f>
        <v>0</v>
      </c>
    </row>
    <row r="599" spans="2:42" x14ac:dyDescent="0.2">
      <c r="B599" s="15" cm="1">
        <f t="array" ref="B599">ParamFechaInicioReporte + (ROW(TableDailySummary[#This Row]) - ROW(TableDailySummary[[#Headers],[Dia]]) - 1)</f>
        <v>45126</v>
      </c>
      <c r="C599" s="6">
        <f>TableDailySummary[[#This Row],[Dia]]</f>
        <v>45126</v>
      </c>
      <c r="D599" s="11">
        <f>_xlfn.XLOOKUP(TableDailySummary[[#This Row],[Fecha]],SummaryDaily[day],SummaryDaily[net_sales],0)</f>
        <v>0</v>
      </c>
      <c r="E599" s="11">
        <f>_xlfn.XLOOKUP(TableDailySummary[[#This Row],[Fecha]],SummaryDaily[day],SummaryDaily[orders],0)</f>
        <v>0</v>
      </c>
      <c r="F599" s="11">
        <f>_xlfn.XLOOKUP(TableDailySummary[[#This Row],[Fecha]],SummaryDaily[day],SummaryDaily[average_order_value],0)</f>
        <v>0</v>
      </c>
      <c r="G599" s="24" cm="1">
        <f t="array" ref="G599">_xlfn.XLOOKUP(TableDailySummary[[#This Row],[Fecha]]&amp;"Total site",ConversionRateByReferral[day]&amp;ConversionRateByReferral[referrer_source],ConversionRateByReferral[conversion_rate],0)</f>
        <v>0</v>
      </c>
      <c r="H599" s="11">
        <f>TableDailySummary[[#This Row],[Órden promedio totales]]*TableDailySummary[[#This Row],[CR totales]]</f>
        <v>0</v>
      </c>
      <c r="I599" s="11">
        <f>_xlfn.XLOOKUP(TableDailySummary[[#This Row],[Fecha]],SummaryDaily[day],SummaryDaily[new_net_sales],0)</f>
        <v>0</v>
      </c>
      <c r="J599" s="11">
        <f>_xlfn.XLOOKUP(TableDailySummary[[#This Row],[Fecha]],SummaryDaily[day],SummaryDaily[new_orders],0)</f>
        <v>0</v>
      </c>
      <c r="K599" s="11">
        <f>_xlfn.XLOOKUP(TableDailySummary[[#This Row],[Fecha]],SummaryDaily[day],SummaryDaily[new_average_order_value],0)</f>
        <v>0</v>
      </c>
      <c r="L599" s="11">
        <f>_xlfn.XLOOKUP(TableDailySummary[[#This Row],[Fecha]],SummaryDaily[day],SummaryDaily[Online Store_net_sales],0)</f>
        <v>0</v>
      </c>
      <c r="M599" s="11">
        <f>_xlfn.XLOOKUP(TableDailySummary[[#This Row],[Fecha]],SummaryDaily[day],SummaryDaily[Online Store_orders],0)</f>
        <v>0</v>
      </c>
      <c r="N599" s="11">
        <f>_xlfn.XLOOKUP(TableDailySummary[[#This Row],[Fecha]],SummaryDaily[day],SummaryDaily[Online Store_average_order_value],0)</f>
        <v>0</v>
      </c>
      <c r="O599" s="11">
        <f>_xlfn.XLOOKUP(TableDailySummary[[#This Row],[Fecha]],SummaryDaily[day],SummaryDaily[Tienda 81_net_sales],0)</f>
        <v>0</v>
      </c>
      <c r="P599" s="11">
        <f>_xlfn.XLOOKUP(TableDailySummary[[#This Row],[Fecha]],SummaryDaily[day],SummaryDaily[Tienda 81_orders],0)</f>
        <v>0</v>
      </c>
      <c r="Q599" s="11">
        <f>_xlfn.XLOOKUP(TableDailySummary[[#This Row],[Fecha]],SummaryDaily[day],SummaryDaily[Tienda 81_average_order_value],0)</f>
        <v>0</v>
      </c>
      <c r="R599" s="11">
        <f>_xlfn.XLOOKUP(TableDailySummary[[#This Row],[Fecha]],SummaryDaily[day],SummaryDaily[Rappi_net_sales],0)</f>
        <v>0</v>
      </c>
      <c r="S599" s="11">
        <f>_xlfn.XLOOKUP(TableDailySummary[[#This Row],[Fecha]],SummaryDaily[day],SummaryDaily[Rappi_orders],0)</f>
        <v>0</v>
      </c>
      <c r="T599" s="11">
        <f>_xlfn.XLOOKUP(TableDailySummary[[#This Row],[Fecha]],SummaryDaily[day],SummaryDaily[Rappi_average_order_value],0)</f>
        <v>0</v>
      </c>
      <c r="U599" s="11">
        <f>_xlfn.XLOOKUP(TableDailySummary[[#This Row],[Fecha]],SummaryDaily[day],SummaryDaily[Corporativo no tienda_net_sales],0)</f>
        <v>0</v>
      </c>
      <c r="V599" s="11">
        <f>_xlfn.XLOOKUP(TableDailySummary[[#This Row],[Fecha]],SummaryDaily[day],SummaryDaily[Corporativo no tienda_orders],0)</f>
        <v>0</v>
      </c>
      <c r="W599" s="11">
        <f>_xlfn.XLOOKUP(TableDailySummary[[#This Row],[Fecha]],SummaryDaily[day],SummaryDaily[Corporativo no tienda_average_order_value],0)</f>
        <v>0</v>
      </c>
      <c r="X599" s="11">
        <f>_xlfn.XLOOKUP(TableDailySummary[[#This Row],[Fecha]],SummaryDaily[day],SummaryDaily[GoogleAdsOperation.Cost],0)</f>
        <v>0</v>
      </c>
      <c r="Y599" s="11">
        <f>SUMIFS(SalesByUTMDaily[google],SalesByUTMDaily[day],TableDailySummary[[#This Row],[Fecha]])</f>
        <v>0</v>
      </c>
      <c r="Z599" s="11">
        <f>_xlfn.XLOOKUP(TableDailySummary[[#This Row],[Fecha]],SummaryDaily[day],SummaryDaily[MetaAdsOperation.spend],0)</f>
        <v>0</v>
      </c>
      <c r="AA599" s="11">
        <f>SUMIFS(SalesByUTMDaily[facebook],SalesByUTMDaily[day],TableDailySummary[[#This Row],[Fecha]])</f>
        <v>0</v>
      </c>
      <c r="AB599" s="11">
        <f>TableDailySummary[[#This Row],[Inversión google ads]]+TableDailySummary[[#This Row],[Inversión meta ads]]</f>
        <v>0</v>
      </c>
      <c r="AC599" s="11">
        <f>TableDailySummary[[#This Row],[Ventas google ads]]+TableDailySummary[[#This Row],[Ventas meta ads]]</f>
        <v>0</v>
      </c>
      <c r="AD599" s="14">
        <f>IFERROR(TableDailySummary[[#This Row],[Ventas publicidad]]/TableDailySummary[[#This Row],[Inversión publicidad]],0)</f>
        <v>0</v>
      </c>
      <c r="AE599" s="14">
        <f>IFERROR(TableDailySummary[[#This Row],[Ventas primer cliente]]/TableDailySummary[[#This Row],[Inversión publicidad]],0)</f>
        <v>0</v>
      </c>
      <c r="AF599" s="14"/>
      <c r="AG599" s="11"/>
      <c r="AM599" s="11">
        <f>_xlfn.XLOOKUP(TableDailySummary[[#This Row],[Fecha]],SummaryDaily[day],SummaryDaily[net_sales_with_cost_recorded],0)</f>
        <v>0</v>
      </c>
      <c r="AN599" s="11">
        <f>_xlfn.XLOOKUP(TableDailySummary[[#This Row],[Fecha]],SummaryDaily[day],SummaryDaily[cost_of_goods_sold],0)</f>
        <v>0</v>
      </c>
      <c r="AO599" s="11">
        <f>_xlfn.XLOOKUP(TableDailySummary[[#This Row],[Fecha]],SummaryDaily[day],SummaryDaily[gross_profit],0)</f>
        <v>0</v>
      </c>
      <c r="AP599" s="18">
        <f>IFERROR(TableDailySummary[[#This Row],[Utilidad bruta]]/TableDailySummary[[#This Row],[Ventas netas con costo registrado]],0)</f>
        <v>0</v>
      </c>
    </row>
    <row r="600" spans="2:42" x14ac:dyDescent="0.2">
      <c r="B600" s="15" cm="1">
        <f t="array" ref="B600">ParamFechaInicioReporte + (ROW(TableDailySummary[#This Row]) - ROW(TableDailySummary[[#Headers],[Dia]]) - 1)</f>
        <v>45127</v>
      </c>
      <c r="C600" s="6">
        <f>TableDailySummary[[#This Row],[Dia]]</f>
        <v>45127</v>
      </c>
      <c r="D600" s="11">
        <f>_xlfn.XLOOKUP(TableDailySummary[[#This Row],[Fecha]],SummaryDaily[day],SummaryDaily[net_sales],0)</f>
        <v>0</v>
      </c>
      <c r="E600" s="11">
        <f>_xlfn.XLOOKUP(TableDailySummary[[#This Row],[Fecha]],SummaryDaily[day],SummaryDaily[orders],0)</f>
        <v>0</v>
      </c>
      <c r="F600" s="11">
        <f>_xlfn.XLOOKUP(TableDailySummary[[#This Row],[Fecha]],SummaryDaily[day],SummaryDaily[average_order_value],0)</f>
        <v>0</v>
      </c>
      <c r="G600" s="24" cm="1">
        <f t="array" ref="G600">_xlfn.XLOOKUP(TableDailySummary[[#This Row],[Fecha]]&amp;"Total site",ConversionRateByReferral[day]&amp;ConversionRateByReferral[referrer_source],ConversionRateByReferral[conversion_rate],0)</f>
        <v>0</v>
      </c>
      <c r="H600" s="11">
        <f>TableDailySummary[[#This Row],[Órden promedio totales]]*TableDailySummary[[#This Row],[CR totales]]</f>
        <v>0</v>
      </c>
      <c r="I600" s="11">
        <f>_xlfn.XLOOKUP(TableDailySummary[[#This Row],[Fecha]],SummaryDaily[day],SummaryDaily[new_net_sales],0)</f>
        <v>0</v>
      </c>
      <c r="J600" s="11">
        <f>_xlfn.XLOOKUP(TableDailySummary[[#This Row],[Fecha]],SummaryDaily[day],SummaryDaily[new_orders],0)</f>
        <v>0</v>
      </c>
      <c r="K600" s="11">
        <f>_xlfn.XLOOKUP(TableDailySummary[[#This Row],[Fecha]],SummaryDaily[day],SummaryDaily[new_average_order_value],0)</f>
        <v>0</v>
      </c>
      <c r="L600" s="11">
        <f>_xlfn.XLOOKUP(TableDailySummary[[#This Row],[Fecha]],SummaryDaily[day],SummaryDaily[Online Store_net_sales],0)</f>
        <v>0</v>
      </c>
      <c r="M600" s="11">
        <f>_xlfn.XLOOKUP(TableDailySummary[[#This Row],[Fecha]],SummaryDaily[day],SummaryDaily[Online Store_orders],0)</f>
        <v>0</v>
      </c>
      <c r="N600" s="11">
        <f>_xlfn.XLOOKUP(TableDailySummary[[#This Row],[Fecha]],SummaryDaily[day],SummaryDaily[Online Store_average_order_value],0)</f>
        <v>0</v>
      </c>
      <c r="O600" s="11">
        <f>_xlfn.XLOOKUP(TableDailySummary[[#This Row],[Fecha]],SummaryDaily[day],SummaryDaily[Tienda 81_net_sales],0)</f>
        <v>0</v>
      </c>
      <c r="P600" s="11">
        <f>_xlfn.XLOOKUP(TableDailySummary[[#This Row],[Fecha]],SummaryDaily[day],SummaryDaily[Tienda 81_orders],0)</f>
        <v>0</v>
      </c>
      <c r="Q600" s="11">
        <f>_xlfn.XLOOKUP(TableDailySummary[[#This Row],[Fecha]],SummaryDaily[day],SummaryDaily[Tienda 81_average_order_value],0)</f>
        <v>0</v>
      </c>
      <c r="R600" s="11">
        <f>_xlfn.XLOOKUP(TableDailySummary[[#This Row],[Fecha]],SummaryDaily[day],SummaryDaily[Rappi_net_sales],0)</f>
        <v>0</v>
      </c>
      <c r="S600" s="11">
        <f>_xlfn.XLOOKUP(TableDailySummary[[#This Row],[Fecha]],SummaryDaily[day],SummaryDaily[Rappi_orders],0)</f>
        <v>0</v>
      </c>
      <c r="T600" s="11">
        <f>_xlfn.XLOOKUP(TableDailySummary[[#This Row],[Fecha]],SummaryDaily[day],SummaryDaily[Rappi_average_order_value],0)</f>
        <v>0</v>
      </c>
      <c r="U600" s="11">
        <f>_xlfn.XLOOKUP(TableDailySummary[[#This Row],[Fecha]],SummaryDaily[day],SummaryDaily[Corporativo no tienda_net_sales],0)</f>
        <v>0</v>
      </c>
      <c r="V600" s="11">
        <f>_xlfn.XLOOKUP(TableDailySummary[[#This Row],[Fecha]],SummaryDaily[day],SummaryDaily[Corporativo no tienda_orders],0)</f>
        <v>0</v>
      </c>
      <c r="W600" s="11">
        <f>_xlfn.XLOOKUP(TableDailySummary[[#This Row],[Fecha]],SummaryDaily[day],SummaryDaily[Corporativo no tienda_average_order_value],0)</f>
        <v>0</v>
      </c>
      <c r="X600" s="11">
        <f>_xlfn.XLOOKUP(TableDailySummary[[#This Row],[Fecha]],SummaryDaily[day],SummaryDaily[GoogleAdsOperation.Cost],0)</f>
        <v>0</v>
      </c>
      <c r="Y600" s="11">
        <f>SUMIFS(SalesByUTMDaily[google],SalesByUTMDaily[day],TableDailySummary[[#This Row],[Fecha]])</f>
        <v>0</v>
      </c>
      <c r="Z600" s="11">
        <f>_xlfn.XLOOKUP(TableDailySummary[[#This Row],[Fecha]],SummaryDaily[day],SummaryDaily[MetaAdsOperation.spend],0)</f>
        <v>0</v>
      </c>
      <c r="AA600" s="11">
        <f>SUMIFS(SalesByUTMDaily[facebook],SalesByUTMDaily[day],TableDailySummary[[#This Row],[Fecha]])</f>
        <v>0</v>
      </c>
      <c r="AB600" s="11">
        <f>TableDailySummary[[#This Row],[Inversión google ads]]+TableDailySummary[[#This Row],[Inversión meta ads]]</f>
        <v>0</v>
      </c>
      <c r="AC600" s="11">
        <f>TableDailySummary[[#This Row],[Ventas google ads]]+TableDailySummary[[#This Row],[Ventas meta ads]]</f>
        <v>0</v>
      </c>
      <c r="AD600" s="14">
        <f>IFERROR(TableDailySummary[[#This Row],[Ventas publicidad]]/TableDailySummary[[#This Row],[Inversión publicidad]],0)</f>
        <v>0</v>
      </c>
      <c r="AE600" s="14">
        <f>IFERROR(TableDailySummary[[#This Row],[Ventas primer cliente]]/TableDailySummary[[#This Row],[Inversión publicidad]],0)</f>
        <v>0</v>
      </c>
      <c r="AF600" s="14"/>
      <c r="AG600" s="11"/>
      <c r="AM600" s="11">
        <f>_xlfn.XLOOKUP(TableDailySummary[[#This Row],[Fecha]],SummaryDaily[day],SummaryDaily[net_sales_with_cost_recorded],0)</f>
        <v>0</v>
      </c>
      <c r="AN600" s="11">
        <f>_xlfn.XLOOKUP(TableDailySummary[[#This Row],[Fecha]],SummaryDaily[day],SummaryDaily[cost_of_goods_sold],0)</f>
        <v>0</v>
      </c>
      <c r="AO600" s="11">
        <f>_xlfn.XLOOKUP(TableDailySummary[[#This Row],[Fecha]],SummaryDaily[day],SummaryDaily[gross_profit],0)</f>
        <v>0</v>
      </c>
      <c r="AP600" s="18">
        <f>IFERROR(TableDailySummary[[#This Row],[Utilidad bruta]]/TableDailySummary[[#This Row],[Ventas netas con costo registrado]],0)</f>
        <v>0</v>
      </c>
    </row>
    <row r="601" spans="2:42" x14ac:dyDescent="0.2">
      <c r="B601" s="15" cm="1">
        <f t="array" ref="B601">ParamFechaInicioReporte + (ROW(TableDailySummary[#This Row]) - ROW(TableDailySummary[[#Headers],[Dia]]) - 1)</f>
        <v>45128</v>
      </c>
      <c r="C601" s="6">
        <f>TableDailySummary[[#This Row],[Dia]]</f>
        <v>45128</v>
      </c>
      <c r="D601" s="11">
        <f>_xlfn.XLOOKUP(TableDailySummary[[#This Row],[Fecha]],SummaryDaily[day],SummaryDaily[net_sales],0)</f>
        <v>0</v>
      </c>
      <c r="E601" s="11">
        <f>_xlfn.XLOOKUP(TableDailySummary[[#This Row],[Fecha]],SummaryDaily[day],SummaryDaily[orders],0)</f>
        <v>0</v>
      </c>
      <c r="F601" s="11">
        <f>_xlfn.XLOOKUP(TableDailySummary[[#This Row],[Fecha]],SummaryDaily[day],SummaryDaily[average_order_value],0)</f>
        <v>0</v>
      </c>
      <c r="G601" s="24" cm="1">
        <f t="array" ref="G601">_xlfn.XLOOKUP(TableDailySummary[[#This Row],[Fecha]]&amp;"Total site",ConversionRateByReferral[day]&amp;ConversionRateByReferral[referrer_source],ConversionRateByReferral[conversion_rate],0)</f>
        <v>0</v>
      </c>
      <c r="H601" s="11">
        <f>TableDailySummary[[#This Row],[Órden promedio totales]]*TableDailySummary[[#This Row],[CR totales]]</f>
        <v>0</v>
      </c>
      <c r="I601" s="11">
        <f>_xlfn.XLOOKUP(TableDailySummary[[#This Row],[Fecha]],SummaryDaily[day],SummaryDaily[new_net_sales],0)</f>
        <v>0</v>
      </c>
      <c r="J601" s="11">
        <f>_xlfn.XLOOKUP(TableDailySummary[[#This Row],[Fecha]],SummaryDaily[day],SummaryDaily[new_orders],0)</f>
        <v>0</v>
      </c>
      <c r="K601" s="11">
        <f>_xlfn.XLOOKUP(TableDailySummary[[#This Row],[Fecha]],SummaryDaily[day],SummaryDaily[new_average_order_value],0)</f>
        <v>0</v>
      </c>
      <c r="L601" s="11">
        <f>_xlfn.XLOOKUP(TableDailySummary[[#This Row],[Fecha]],SummaryDaily[day],SummaryDaily[Online Store_net_sales],0)</f>
        <v>0</v>
      </c>
      <c r="M601" s="11">
        <f>_xlfn.XLOOKUP(TableDailySummary[[#This Row],[Fecha]],SummaryDaily[day],SummaryDaily[Online Store_orders],0)</f>
        <v>0</v>
      </c>
      <c r="N601" s="11">
        <f>_xlfn.XLOOKUP(TableDailySummary[[#This Row],[Fecha]],SummaryDaily[day],SummaryDaily[Online Store_average_order_value],0)</f>
        <v>0</v>
      </c>
      <c r="O601" s="11">
        <f>_xlfn.XLOOKUP(TableDailySummary[[#This Row],[Fecha]],SummaryDaily[day],SummaryDaily[Tienda 81_net_sales],0)</f>
        <v>0</v>
      </c>
      <c r="P601" s="11">
        <f>_xlfn.XLOOKUP(TableDailySummary[[#This Row],[Fecha]],SummaryDaily[day],SummaryDaily[Tienda 81_orders],0)</f>
        <v>0</v>
      </c>
      <c r="Q601" s="11">
        <f>_xlfn.XLOOKUP(TableDailySummary[[#This Row],[Fecha]],SummaryDaily[day],SummaryDaily[Tienda 81_average_order_value],0)</f>
        <v>0</v>
      </c>
      <c r="R601" s="11">
        <f>_xlfn.XLOOKUP(TableDailySummary[[#This Row],[Fecha]],SummaryDaily[day],SummaryDaily[Rappi_net_sales],0)</f>
        <v>0</v>
      </c>
      <c r="S601" s="11">
        <f>_xlfn.XLOOKUP(TableDailySummary[[#This Row],[Fecha]],SummaryDaily[day],SummaryDaily[Rappi_orders],0)</f>
        <v>0</v>
      </c>
      <c r="T601" s="11">
        <f>_xlfn.XLOOKUP(TableDailySummary[[#This Row],[Fecha]],SummaryDaily[day],SummaryDaily[Rappi_average_order_value],0)</f>
        <v>0</v>
      </c>
      <c r="U601" s="11">
        <f>_xlfn.XLOOKUP(TableDailySummary[[#This Row],[Fecha]],SummaryDaily[day],SummaryDaily[Corporativo no tienda_net_sales],0)</f>
        <v>0</v>
      </c>
      <c r="V601" s="11">
        <f>_xlfn.XLOOKUP(TableDailySummary[[#This Row],[Fecha]],SummaryDaily[day],SummaryDaily[Corporativo no tienda_orders],0)</f>
        <v>0</v>
      </c>
      <c r="W601" s="11">
        <f>_xlfn.XLOOKUP(TableDailySummary[[#This Row],[Fecha]],SummaryDaily[day],SummaryDaily[Corporativo no tienda_average_order_value],0)</f>
        <v>0</v>
      </c>
      <c r="X601" s="11">
        <f>_xlfn.XLOOKUP(TableDailySummary[[#This Row],[Fecha]],SummaryDaily[day],SummaryDaily[GoogleAdsOperation.Cost],0)</f>
        <v>0</v>
      </c>
      <c r="Y601" s="11">
        <f>SUMIFS(SalesByUTMDaily[google],SalesByUTMDaily[day],TableDailySummary[[#This Row],[Fecha]])</f>
        <v>0</v>
      </c>
      <c r="Z601" s="11">
        <f>_xlfn.XLOOKUP(TableDailySummary[[#This Row],[Fecha]],SummaryDaily[day],SummaryDaily[MetaAdsOperation.spend],0)</f>
        <v>0</v>
      </c>
      <c r="AA601" s="11">
        <f>SUMIFS(SalesByUTMDaily[facebook],SalesByUTMDaily[day],TableDailySummary[[#This Row],[Fecha]])</f>
        <v>0</v>
      </c>
      <c r="AB601" s="11">
        <f>TableDailySummary[[#This Row],[Inversión google ads]]+TableDailySummary[[#This Row],[Inversión meta ads]]</f>
        <v>0</v>
      </c>
      <c r="AC601" s="11">
        <f>TableDailySummary[[#This Row],[Ventas google ads]]+TableDailySummary[[#This Row],[Ventas meta ads]]</f>
        <v>0</v>
      </c>
      <c r="AD601" s="14">
        <f>IFERROR(TableDailySummary[[#This Row],[Ventas publicidad]]/TableDailySummary[[#This Row],[Inversión publicidad]],0)</f>
        <v>0</v>
      </c>
      <c r="AE601" s="14">
        <f>IFERROR(TableDailySummary[[#This Row],[Ventas primer cliente]]/TableDailySummary[[#This Row],[Inversión publicidad]],0)</f>
        <v>0</v>
      </c>
      <c r="AF601" s="14"/>
      <c r="AG601" s="11"/>
      <c r="AM601" s="11">
        <f>_xlfn.XLOOKUP(TableDailySummary[[#This Row],[Fecha]],SummaryDaily[day],SummaryDaily[net_sales_with_cost_recorded],0)</f>
        <v>0</v>
      </c>
      <c r="AN601" s="11">
        <f>_xlfn.XLOOKUP(TableDailySummary[[#This Row],[Fecha]],SummaryDaily[day],SummaryDaily[cost_of_goods_sold],0)</f>
        <v>0</v>
      </c>
      <c r="AO601" s="11">
        <f>_xlfn.XLOOKUP(TableDailySummary[[#This Row],[Fecha]],SummaryDaily[day],SummaryDaily[gross_profit],0)</f>
        <v>0</v>
      </c>
      <c r="AP601" s="18">
        <f>IFERROR(TableDailySummary[[#This Row],[Utilidad bruta]]/TableDailySummary[[#This Row],[Ventas netas con costo registrado]],0)</f>
        <v>0</v>
      </c>
    </row>
    <row r="602" spans="2:42" x14ac:dyDescent="0.2">
      <c r="B602" s="15" cm="1">
        <f t="array" ref="B602">ParamFechaInicioReporte + (ROW(TableDailySummary[#This Row]) - ROW(TableDailySummary[[#Headers],[Dia]]) - 1)</f>
        <v>45129</v>
      </c>
      <c r="C602" s="6">
        <f>TableDailySummary[[#This Row],[Dia]]</f>
        <v>45129</v>
      </c>
      <c r="D602" s="11">
        <f>_xlfn.XLOOKUP(TableDailySummary[[#This Row],[Fecha]],SummaryDaily[day],SummaryDaily[net_sales],0)</f>
        <v>0</v>
      </c>
      <c r="E602" s="11">
        <f>_xlfn.XLOOKUP(TableDailySummary[[#This Row],[Fecha]],SummaryDaily[day],SummaryDaily[orders],0)</f>
        <v>0</v>
      </c>
      <c r="F602" s="11">
        <f>_xlfn.XLOOKUP(TableDailySummary[[#This Row],[Fecha]],SummaryDaily[day],SummaryDaily[average_order_value],0)</f>
        <v>0</v>
      </c>
      <c r="G602" s="24" cm="1">
        <f t="array" ref="G602">_xlfn.XLOOKUP(TableDailySummary[[#This Row],[Fecha]]&amp;"Total site",ConversionRateByReferral[day]&amp;ConversionRateByReferral[referrer_source],ConversionRateByReferral[conversion_rate],0)</f>
        <v>0</v>
      </c>
      <c r="H602" s="11">
        <f>TableDailySummary[[#This Row],[Órden promedio totales]]*TableDailySummary[[#This Row],[CR totales]]</f>
        <v>0</v>
      </c>
      <c r="I602" s="11">
        <f>_xlfn.XLOOKUP(TableDailySummary[[#This Row],[Fecha]],SummaryDaily[day],SummaryDaily[new_net_sales],0)</f>
        <v>0</v>
      </c>
      <c r="J602" s="11">
        <f>_xlfn.XLOOKUP(TableDailySummary[[#This Row],[Fecha]],SummaryDaily[day],SummaryDaily[new_orders],0)</f>
        <v>0</v>
      </c>
      <c r="K602" s="11">
        <f>_xlfn.XLOOKUP(TableDailySummary[[#This Row],[Fecha]],SummaryDaily[day],SummaryDaily[new_average_order_value],0)</f>
        <v>0</v>
      </c>
      <c r="L602" s="11">
        <f>_xlfn.XLOOKUP(TableDailySummary[[#This Row],[Fecha]],SummaryDaily[day],SummaryDaily[Online Store_net_sales],0)</f>
        <v>0</v>
      </c>
      <c r="M602" s="11">
        <f>_xlfn.XLOOKUP(TableDailySummary[[#This Row],[Fecha]],SummaryDaily[day],SummaryDaily[Online Store_orders],0)</f>
        <v>0</v>
      </c>
      <c r="N602" s="11">
        <f>_xlfn.XLOOKUP(TableDailySummary[[#This Row],[Fecha]],SummaryDaily[day],SummaryDaily[Online Store_average_order_value],0)</f>
        <v>0</v>
      </c>
      <c r="O602" s="11">
        <f>_xlfn.XLOOKUP(TableDailySummary[[#This Row],[Fecha]],SummaryDaily[day],SummaryDaily[Tienda 81_net_sales],0)</f>
        <v>0</v>
      </c>
      <c r="P602" s="11">
        <f>_xlfn.XLOOKUP(TableDailySummary[[#This Row],[Fecha]],SummaryDaily[day],SummaryDaily[Tienda 81_orders],0)</f>
        <v>0</v>
      </c>
      <c r="Q602" s="11">
        <f>_xlfn.XLOOKUP(TableDailySummary[[#This Row],[Fecha]],SummaryDaily[day],SummaryDaily[Tienda 81_average_order_value],0)</f>
        <v>0</v>
      </c>
      <c r="R602" s="11">
        <f>_xlfn.XLOOKUP(TableDailySummary[[#This Row],[Fecha]],SummaryDaily[day],SummaryDaily[Rappi_net_sales],0)</f>
        <v>0</v>
      </c>
      <c r="S602" s="11">
        <f>_xlfn.XLOOKUP(TableDailySummary[[#This Row],[Fecha]],SummaryDaily[day],SummaryDaily[Rappi_orders],0)</f>
        <v>0</v>
      </c>
      <c r="T602" s="11">
        <f>_xlfn.XLOOKUP(TableDailySummary[[#This Row],[Fecha]],SummaryDaily[day],SummaryDaily[Rappi_average_order_value],0)</f>
        <v>0</v>
      </c>
      <c r="U602" s="11">
        <f>_xlfn.XLOOKUP(TableDailySummary[[#This Row],[Fecha]],SummaryDaily[day],SummaryDaily[Corporativo no tienda_net_sales],0)</f>
        <v>0</v>
      </c>
      <c r="V602" s="11">
        <f>_xlfn.XLOOKUP(TableDailySummary[[#This Row],[Fecha]],SummaryDaily[day],SummaryDaily[Corporativo no tienda_orders],0)</f>
        <v>0</v>
      </c>
      <c r="W602" s="11">
        <f>_xlfn.XLOOKUP(TableDailySummary[[#This Row],[Fecha]],SummaryDaily[day],SummaryDaily[Corporativo no tienda_average_order_value],0)</f>
        <v>0</v>
      </c>
      <c r="X602" s="11">
        <f>_xlfn.XLOOKUP(TableDailySummary[[#This Row],[Fecha]],SummaryDaily[day],SummaryDaily[GoogleAdsOperation.Cost],0)</f>
        <v>0</v>
      </c>
      <c r="Y602" s="11">
        <f>SUMIFS(SalesByUTMDaily[google],SalesByUTMDaily[day],TableDailySummary[[#This Row],[Fecha]])</f>
        <v>0</v>
      </c>
      <c r="Z602" s="11">
        <f>_xlfn.XLOOKUP(TableDailySummary[[#This Row],[Fecha]],SummaryDaily[day],SummaryDaily[MetaAdsOperation.spend],0)</f>
        <v>0</v>
      </c>
      <c r="AA602" s="11">
        <f>SUMIFS(SalesByUTMDaily[facebook],SalesByUTMDaily[day],TableDailySummary[[#This Row],[Fecha]])</f>
        <v>0</v>
      </c>
      <c r="AB602" s="11">
        <f>TableDailySummary[[#This Row],[Inversión google ads]]+TableDailySummary[[#This Row],[Inversión meta ads]]</f>
        <v>0</v>
      </c>
      <c r="AC602" s="11">
        <f>TableDailySummary[[#This Row],[Ventas google ads]]+TableDailySummary[[#This Row],[Ventas meta ads]]</f>
        <v>0</v>
      </c>
      <c r="AD602" s="14">
        <f>IFERROR(TableDailySummary[[#This Row],[Ventas publicidad]]/TableDailySummary[[#This Row],[Inversión publicidad]],0)</f>
        <v>0</v>
      </c>
      <c r="AE602" s="14">
        <f>IFERROR(TableDailySummary[[#This Row],[Ventas primer cliente]]/TableDailySummary[[#This Row],[Inversión publicidad]],0)</f>
        <v>0</v>
      </c>
      <c r="AF602" s="14"/>
      <c r="AG602" s="11"/>
      <c r="AM602" s="11">
        <f>_xlfn.XLOOKUP(TableDailySummary[[#This Row],[Fecha]],SummaryDaily[day],SummaryDaily[net_sales_with_cost_recorded],0)</f>
        <v>0</v>
      </c>
      <c r="AN602" s="11">
        <f>_xlfn.XLOOKUP(TableDailySummary[[#This Row],[Fecha]],SummaryDaily[day],SummaryDaily[cost_of_goods_sold],0)</f>
        <v>0</v>
      </c>
      <c r="AO602" s="11">
        <f>_xlfn.XLOOKUP(TableDailySummary[[#This Row],[Fecha]],SummaryDaily[day],SummaryDaily[gross_profit],0)</f>
        <v>0</v>
      </c>
      <c r="AP602" s="18">
        <f>IFERROR(TableDailySummary[[#This Row],[Utilidad bruta]]/TableDailySummary[[#This Row],[Ventas netas con costo registrado]],0)</f>
        <v>0</v>
      </c>
    </row>
    <row r="603" spans="2:42" x14ac:dyDescent="0.2">
      <c r="B603" s="15" cm="1">
        <f t="array" ref="B603">ParamFechaInicioReporte + (ROW(TableDailySummary[#This Row]) - ROW(TableDailySummary[[#Headers],[Dia]]) - 1)</f>
        <v>45130</v>
      </c>
      <c r="C603" s="6">
        <f>TableDailySummary[[#This Row],[Dia]]</f>
        <v>45130</v>
      </c>
      <c r="D603" s="11">
        <f>_xlfn.XLOOKUP(TableDailySummary[[#This Row],[Fecha]],SummaryDaily[day],SummaryDaily[net_sales],0)</f>
        <v>0</v>
      </c>
      <c r="E603" s="11">
        <f>_xlfn.XLOOKUP(TableDailySummary[[#This Row],[Fecha]],SummaryDaily[day],SummaryDaily[orders],0)</f>
        <v>0</v>
      </c>
      <c r="F603" s="11">
        <f>_xlfn.XLOOKUP(TableDailySummary[[#This Row],[Fecha]],SummaryDaily[day],SummaryDaily[average_order_value],0)</f>
        <v>0</v>
      </c>
      <c r="G603" s="24" cm="1">
        <f t="array" ref="G603">_xlfn.XLOOKUP(TableDailySummary[[#This Row],[Fecha]]&amp;"Total site",ConversionRateByReferral[day]&amp;ConversionRateByReferral[referrer_source],ConversionRateByReferral[conversion_rate],0)</f>
        <v>0</v>
      </c>
      <c r="H603" s="11">
        <f>TableDailySummary[[#This Row],[Órden promedio totales]]*TableDailySummary[[#This Row],[CR totales]]</f>
        <v>0</v>
      </c>
      <c r="I603" s="11">
        <f>_xlfn.XLOOKUP(TableDailySummary[[#This Row],[Fecha]],SummaryDaily[day],SummaryDaily[new_net_sales],0)</f>
        <v>0</v>
      </c>
      <c r="J603" s="11">
        <f>_xlfn.XLOOKUP(TableDailySummary[[#This Row],[Fecha]],SummaryDaily[day],SummaryDaily[new_orders],0)</f>
        <v>0</v>
      </c>
      <c r="K603" s="11">
        <f>_xlfn.XLOOKUP(TableDailySummary[[#This Row],[Fecha]],SummaryDaily[day],SummaryDaily[new_average_order_value],0)</f>
        <v>0</v>
      </c>
      <c r="L603" s="11">
        <f>_xlfn.XLOOKUP(TableDailySummary[[#This Row],[Fecha]],SummaryDaily[day],SummaryDaily[Online Store_net_sales],0)</f>
        <v>0</v>
      </c>
      <c r="M603" s="11">
        <f>_xlfn.XLOOKUP(TableDailySummary[[#This Row],[Fecha]],SummaryDaily[day],SummaryDaily[Online Store_orders],0)</f>
        <v>0</v>
      </c>
      <c r="N603" s="11">
        <f>_xlfn.XLOOKUP(TableDailySummary[[#This Row],[Fecha]],SummaryDaily[day],SummaryDaily[Online Store_average_order_value],0)</f>
        <v>0</v>
      </c>
      <c r="O603" s="11">
        <f>_xlfn.XLOOKUP(TableDailySummary[[#This Row],[Fecha]],SummaryDaily[day],SummaryDaily[Tienda 81_net_sales],0)</f>
        <v>0</v>
      </c>
      <c r="P603" s="11">
        <f>_xlfn.XLOOKUP(TableDailySummary[[#This Row],[Fecha]],SummaryDaily[day],SummaryDaily[Tienda 81_orders],0)</f>
        <v>0</v>
      </c>
      <c r="Q603" s="11">
        <f>_xlfn.XLOOKUP(TableDailySummary[[#This Row],[Fecha]],SummaryDaily[day],SummaryDaily[Tienda 81_average_order_value],0)</f>
        <v>0</v>
      </c>
      <c r="R603" s="11">
        <f>_xlfn.XLOOKUP(TableDailySummary[[#This Row],[Fecha]],SummaryDaily[day],SummaryDaily[Rappi_net_sales],0)</f>
        <v>0</v>
      </c>
      <c r="S603" s="11">
        <f>_xlfn.XLOOKUP(TableDailySummary[[#This Row],[Fecha]],SummaryDaily[day],SummaryDaily[Rappi_orders],0)</f>
        <v>0</v>
      </c>
      <c r="T603" s="11">
        <f>_xlfn.XLOOKUP(TableDailySummary[[#This Row],[Fecha]],SummaryDaily[day],SummaryDaily[Rappi_average_order_value],0)</f>
        <v>0</v>
      </c>
      <c r="U603" s="11">
        <f>_xlfn.XLOOKUP(TableDailySummary[[#This Row],[Fecha]],SummaryDaily[day],SummaryDaily[Corporativo no tienda_net_sales],0)</f>
        <v>0</v>
      </c>
      <c r="V603" s="11">
        <f>_xlfn.XLOOKUP(TableDailySummary[[#This Row],[Fecha]],SummaryDaily[day],SummaryDaily[Corporativo no tienda_orders],0)</f>
        <v>0</v>
      </c>
      <c r="W603" s="11">
        <f>_xlfn.XLOOKUP(TableDailySummary[[#This Row],[Fecha]],SummaryDaily[day],SummaryDaily[Corporativo no tienda_average_order_value],0)</f>
        <v>0</v>
      </c>
      <c r="X603" s="11">
        <f>_xlfn.XLOOKUP(TableDailySummary[[#This Row],[Fecha]],SummaryDaily[day],SummaryDaily[GoogleAdsOperation.Cost],0)</f>
        <v>0</v>
      </c>
      <c r="Y603" s="11">
        <f>SUMIFS(SalesByUTMDaily[google],SalesByUTMDaily[day],TableDailySummary[[#This Row],[Fecha]])</f>
        <v>0</v>
      </c>
      <c r="Z603" s="11">
        <f>_xlfn.XLOOKUP(TableDailySummary[[#This Row],[Fecha]],SummaryDaily[day],SummaryDaily[MetaAdsOperation.spend],0)</f>
        <v>0</v>
      </c>
      <c r="AA603" s="11">
        <f>SUMIFS(SalesByUTMDaily[facebook],SalesByUTMDaily[day],TableDailySummary[[#This Row],[Fecha]])</f>
        <v>0</v>
      </c>
      <c r="AB603" s="11">
        <f>TableDailySummary[[#This Row],[Inversión google ads]]+TableDailySummary[[#This Row],[Inversión meta ads]]</f>
        <v>0</v>
      </c>
      <c r="AC603" s="11">
        <f>TableDailySummary[[#This Row],[Ventas google ads]]+TableDailySummary[[#This Row],[Ventas meta ads]]</f>
        <v>0</v>
      </c>
      <c r="AD603" s="14">
        <f>IFERROR(TableDailySummary[[#This Row],[Ventas publicidad]]/TableDailySummary[[#This Row],[Inversión publicidad]],0)</f>
        <v>0</v>
      </c>
      <c r="AE603" s="14">
        <f>IFERROR(TableDailySummary[[#This Row],[Ventas primer cliente]]/TableDailySummary[[#This Row],[Inversión publicidad]],0)</f>
        <v>0</v>
      </c>
      <c r="AF603" s="14"/>
      <c r="AG603" s="11"/>
      <c r="AM603" s="11">
        <f>_xlfn.XLOOKUP(TableDailySummary[[#This Row],[Fecha]],SummaryDaily[day],SummaryDaily[net_sales_with_cost_recorded],0)</f>
        <v>0</v>
      </c>
      <c r="AN603" s="11">
        <f>_xlfn.XLOOKUP(TableDailySummary[[#This Row],[Fecha]],SummaryDaily[day],SummaryDaily[cost_of_goods_sold],0)</f>
        <v>0</v>
      </c>
      <c r="AO603" s="11">
        <f>_xlfn.XLOOKUP(TableDailySummary[[#This Row],[Fecha]],SummaryDaily[day],SummaryDaily[gross_profit],0)</f>
        <v>0</v>
      </c>
      <c r="AP603" s="18">
        <f>IFERROR(TableDailySummary[[#This Row],[Utilidad bruta]]/TableDailySummary[[#This Row],[Ventas netas con costo registrado]],0)</f>
        <v>0</v>
      </c>
    </row>
    <row r="604" spans="2:42" x14ac:dyDescent="0.2">
      <c r="B604" s="15" cm="1">
        <f t="array" ref="B604">ParamFechaInicioReporte + (ROW(TableDailySummary[#This Row]) - ROW(TableDailySummary[[#Headers],[Dia]]) - 1)</f>
        <v>45131</v>
      </c>
      <c r="C604" s="6">
        <f>TableDailySummary[[#This Row],[Dia]]</f>
        <v>45131</v>
      </c>
      <c r="D604" s="11">
        <f>_xlfn.XLOOKUP(TableDailySummary[[#This Row],[Fecha]],SummaryDaily[day],SummaryDaily[net_sales],0)</f>
        <v>0</v>
      </c>
      <c r="E604" s="11">
        <f>_xlfn.XLOOKUP(TableDailySummary[[#This Row],[Fecha]],SummaryDaily[day],SummaryDaily[orders],0)</f>
        <v>0</v>
      </c>
      <c r="F604" s="11">
        <f>_xlfn.XLOOKUP(TableDailySummary[[#This Row],[Fecha]],SummaryDaily[day],SummaryDaily[average_order_value],0)</f>
        <v>0</v>
      </c>
      <c r="G604" s="24" cm="1">
        <f t="array" ref="G604">_xlfn.XLOOKUP(TableDailySummary[[#This Row],[Fecha]]&amp;"Total site",ConversionRateByReferral[day]&amp;ConversionRateByReferral[referrer_source],ConversionRateByReferral[conversion_rate],0)</f>
        <v>0</v>
      </c>
      <c r="H604" s="11">
        <f>TableDailySummary[[#This Row],[Órden promedio totales]]*TableDailySummary[[#This Row],[CR totales]]</f>
        <v>0</v>
      </c>
      <c r="I604" s="11">
        <f>_xlfn.XLOOKUP(TableDailySummary[[#This Row],[Fecha]],SummaryDaily[day],SummaryDaily[new_net_sales],0)</f>
        <v>0</v>
      </c>
      <c r="J604" s="11">
        <f>_xlfn.XLOOKUP(TableDailySummary[[#This Row],[Fecha]],SummaryDaily[day],SummaryDaily[new_orders],0)</f>
        <v>0</v>
      </c>
      <c r="K604" s="11">
        <f>_xlfn.XLOOKUP(TableDailySummary[[#This Row],[Fecha]],SummaryDaily[day],SummaryDaily[new_average_order_value],0)</f>
        <v>0</v>
      </c>
      <c r="L604" s="11">
        <f>_xlfn.XLOOKUP(TableDailySummary[[#This Row],[Fecha]],SummaryDaily[day],SummaryDaily[Online Store_net_sales],0)</f>
        <v>0</v>
      </c>
      <c r="M604" s="11">
        <f>_xlfn.XLOOKUP(TableDailySummary[[#This Row],[Fecha]],SummaryDaily[day],SummaryDaily[Online Store_orders],0)</f>
        <v>0</v>
      </c>
      <c r="N604" s="11">
        <f>_xlfn.XLOOKUP(TableDailySummary[[#This Row],[Fecha]],SummaryDaily[day],SummaryDaily[Online Store_average_order_value],0)</f>
        <v>0</v>
      </c>
      <c r="O604" s="11">
        <f>_xlfn.XLOOKUP(TableDailySummary[[#This Row],[Fecha]],SummaryDaily[day],SummaryDaily[Tienda 81_net_sales],0)</f>
        <v>0</v>
      </c>
      <c r="P604" s="11">
        <f>_xlfn.XLOOKUP(TableDailySummary[[#This Row],[Fecha]],SummaryDaily[day],SummaryDaily[Tienda 81_orders],0)</f>
        <v>0</v>
      </c>
      <c r="Q604" s="11">
        <f>_xlfn.XLOOKUP(TableDailySummary[[#This Row],[Fecha]],SummaryDaily[day],SummaryDaily[Tienda 81_average_order_value],0)</f>
        <v>0</v>
      </c>
      <c r="R604" s="11">
        <f>_xlfn.XLOOKUP(TableDailySummary[[#This Row],[Fecha]],SummaryDaily[day],SummaryDaily[Rappi_net_sales],0)</f>
        <v>0</v>
      </c>
      <c r="S604" s="11">
        <f>_xlfn.XLOOKUP(TableDailySummary[[#This Row],[Fecha]],SummaryDaily[day],SummaryDaily[Rappi_orders],0)</f>
        <v>0</v>
      </c>
      <c r="T604" s="11">
        <f>_xlfn.XLOOKUP(TableDailySummary[[#This Row],[Fecha]],SummaryDaily[day],SummaryDaily[Rappi_average_order_value],0)</f>
        <v>0</v>
      </c>
      <c r="U604" s="11">
        <f>_xlfn.XLOOKUP(TableDailySummary[[#This Row],[Fecha]],SummaryDaily[day],SummaryDaily[Corporativo no tienda_net_sales],0)</f>
        <v>0</v>
      </c>
      <c r="V604" s="11">
        <f>_xlfn.XLOOKUP(TableDailySummary[[#This Row],[Fecha]],SummaryDaily[day],SummaryDaily[Corporativo no tienda_orders],0)</f>
        <v>0</v>
      </c>
      <c r="W604" s="11">
        <f>_xlfn.XLOOKUP(TableDailySummary[[#This Row],[Fecha]],SummaryDaily[day],SummaryDaily[Corporativo no tienda_average_order_value],0)</f>
        <v>0</v>
      </c>
      <c r="X604" s="11">
        <f>_xlfn.XLOOKUP(TableDailySummary[[#This Row],[Fecha]],SummaryDaily[day],SummaryDaily[GoogleAdsOperation.Cost],0)</f>
        <v>0</v>
      </c>
      <c r="Y604" s="11">
        <f>SUMIFS(SalesByUTMDaily[google],SalesByUTMDaily[day],TableDailySummary[[#This Row],[Fecha]])</f>
        <v>0</v>
      </c>
      <c r="Z604" s="11">
        <f>_xlfn.XLOOKUP(TableDailySummary[[#This Row],[Fecha]],SummaryDaily[day],SummaryDaily[MetaAdsOperation.spend],0)</f>
        <v>0</v>
      </c>
      <c r="AA604" s="11">
        <f>SUMIFS(SalesByUTMDaily[facebook],SalesByUTMDaily[day],TableDailySummary[[#This Row],[Fecha]])</f>
        <v>0</v>
      </c>
      <c r="AB604" s="11">
        <f>TableDailySummary[[#This Row],[Inversión google ads]]+TableDailySummary[[#This Row],[Inversión meta ads]]</f>
        <v>0</v>
      </c>
      <c r="AC604" s="11">
        <f>TableDailySummary[[#This Row],[Ventas google ads]]+TableDailySummary[[#This Row],[Ventas meta ads]]</f>
        <v>0</v>
      </c>
      <c r="AD604" s="14">
        <f>IFERROR(TableDailySummary[[#This Row],[Ventas publicidad]]/TableDailySummary[[#This Row],[Inversión publicidad]],0)</f>
        <v>0</v>
      </c>
      <c r="AE604" s="14">
        <f>IFERROR(TableDailySummary[[#This Row],[Ventas primer cliente]]/TableDailySummary[[#This Row],[Inversión publicidad]],0)</f>
        <v>0</v>
      </c>
      <c r="AF604" s="14"/>
      <c r="AG604" s="11"/>
      <c r="AM604" s="11">
        <f>_xlfn.XLOOKUP(TableDailySummary[[#This Row],[Fecha]],SummaryDaily[day],SummaryDaily[net_sales_with_cost_recorded],0)</f>
        <v>0</v>
      </c>
      <c r="AN604" s="11">
        <f>_xlfn.XLOOKUP(TableDailySummary[[#This Row],[Fecha]],SummaryDaily[day],SummaryDaily[cost_of_goods_sold],0)</f>
        <v>0</v>
      </c>
      <c r="AO604" s="11">
        <f>_xlfn.XLOOKUP(TableDailySummary[[#This Row],[Fecha]],SummaryDaily[day],SummaryDaily[gross_profit],0)</f>
        <v>0</v>
      </c>
      <c r="AP604" s="18">
        <f>IFERROR(TableDailySummary[[#This Row],[Utilidad bruta]]/TableDailySummary[[#This Row],[Ventas netas con costo registrado]],0)</f>
        <v>0</v>
      </c>
    </row>
    <row r="605" spans="2:42" x14ac:dyDescent="0.2">
      <c r="B605" s="15" cm="1">
        <f t="array" ref="B605">ParamFechaInicioReporte + (ROW(TableDailySummary[#This Row]) - ROW(TableDailySummary[[#Headers],[Dia]]) - 1)</f>
        <v>45132</v>
      </c>
      <c r="C605" s="6">
        <f>TableDailySummary[[#This Row],[Dia]]</f>
        <v>45132</v>
      </c>
      <c r="D605" s="11">
        <f>_xlfn.XLOOKUP(TableDailySummary[[#This Row],[Fecha]],SummaryDaily[day],SummaryDaily[net_sales],0)</f>
        <v>0</v>
      </c>
      <c r="E605" s="11">
        <f>_xlfn.XLOOKUP(TableDailySummary[[#This Row],[Fecha]],SummaryDaily[day],SummaryDaily[orders],0)</f>
        <v>0</v>
      </c>
      <c r="F605" s="11">
        <f>_xlfn.XLOOKUP(TableDailySummary[[#This Row],[Fecha]],SummaryDaily[day],SummaryDaily[average_order_value],0)</f>
        <v>0</v>
      </c>
      <c r="G605" s="24" cm="1">
        <f t="array" ref="G605">_xlfn.XLOOKUP(TableDailySummary[[#This Row],[Fecha]]&amp;"Total site",ConversionRateByReferral[day]&amp;ConversionRateByReferral[referrer_source],ConversionRateByReferral[conversion_rate],0)</f>
        <v>0</v>
      </c>
      <c r="H605" s="11">
        <f>TableDailySummary[[#This Row],[Órden promedio totales]]*TableDailySummary[[#This Row],[CR totales]]</f>
        <v>0</v>
      </c>
      <c r="I605" s="11">
        <f>_xlfn.XLOOKUP(TableDailySummary[[#This Row],[Fecha]],SummaryDaily[day],SummaryDaily[new_net_sales],0)</f>
        <v>0</v>
      </c>
      <c r="J605" s="11">
        <f>_xlfn.XLOOKUP(TableDailySummary[[#This Row],[Fecha]],SummaryDaily[day],SummaryDaily[new_orders],0)</f>
        <v>0</v>
      </c>
      <c r="K605" s="11">
        <f>_xlfn.XLOOKUP(TableDailySummary[[#This Row],[Fecha]],SummaryDaily[day],SummaryDaily[new_average_order_value],0)</f>
        <v>0</v>
      </c>
      <c r="L605" s="11">
        <f>_xlfn.XLOOKUP(TableDailySummary[[#This Row],[Fecha]],SummaryDaily[day],SummaryDaily[Online Store_net_sales],0)</f>
        <v>0</v>
      </c>
      <c r="M605" s="11">
        <f>_xlfn.XLOOKUP(TableDailySummary[[#This Row],[Fecha]],SummaryDaily[day],SummaryDaily[Online Store_orders],0)</f>
        <v>0</v>
      </c>
      <c r="N605" s="11">
        <f>_xlfn.XLOOKUP(TableDailySummary[[#This Row],[Fecha]],SummaryDaily[day],SummaryDaily[Online Store_average_order_value],0)</f>
        <v>0</v>
      </c>
      <c r="O605" s="11">
        <f>_xlfn.XLOOKUP(TableDailySummary[[#This Row],[Fecha]],SummaryDaily[day],SummaryDaily[Tienda 81_net_sales],0)</f>
        <v>0</v>
      </c>
      <c r="P605" s="11">
        <f>_xlfn.XLOOKUP(TableDailySummary[[#This Row],[Fecha]],SummaryDaily[day],SummaryDaily[Tienda 81_orders],0)</f>
        <v>0</v>
      </c>
      <c r="Q605" s="11">
        <f>_xlfn.XLOOKUP(TableDailySummary[[#This Row],[Fecha]],SummaryDaily[day],SummaryDaily[Tienda 81_average_order_value],0)</f>
        <v>0</v>
      </c>
      <c r="R605" s="11">
        <f>_xlfn.XLOOKUP(TableDailySummary[[#This Row],[Fecha]],SummaryDaily[day],SummaryDaily[Rappi_net_sales],0)</f>
        <v>0</v>
      </c>
      <c r="S605" s="11">
        <f>_xlfn.XLOOKUP(TableDailySummary[[#This Row],[Fecha]],SummaryDaily[day],SummaryDaily[Rappi_orders],0)</f>
        <v>0</v>
      </c>
      <c r="T605" s="11">
        <f>_xlfn.XLOOKUP(TableDailySummary[[#This Row],[Fecha]],SummaryDaily[day],SummaryDaily[Rappi_average_order_value],0)</f>
        <v>0</v>
      </c>
      <c r="U605" s="11">
        <f>_xlfn.XLOOKUP(TableDailySummary[[#This Row],[Fecha]],SummaryDaily[day],SummaryDaily[Corporativo no tienda_net_sales],0)</f>
        <v>0</v>
      </c>
      <c r="V605" s="11">
        <f>_xlfn.XLOOKUP(TableDailySummary[[#This Row],[Fecha]],SummaryDaily[day],SummaryDaily[Corporativo no tienda_orders],0)</f>
        <v>0</v>
      </c>
      <c r="W605" s="11">
        <f>_xlfn.XLOOKUP(TableDailySummary[[#This Row],[Fecha]],SummaryDaily[day],SummaryDaily[Corporativo no tienda_average_order_value],0)</f>
        <v>0</v>
      </c>
      <c r="X605" s="11">
        <f>_xlfn.XLOOKUP(TableDailySummary[[#This Row],[Fecha]],SummaryDaily[day],SummaryDaily[GoogleAdsOperation.Cost],0)</f>
        <v>0</v>
      </c>
      <c r="Y605" s="11">
        <f>SUMIFS(SalesByUTMDaily[google],SalesByUTMDaily[day],TableDailySummary[[#This Row],[Fecha]])</f>
        <v>0</v>
      </c>
      <c r="Z605" s="11">
        <f>_xlfn.XLOOKUP(TableDailySummary[[#This Row],[Fecha]],SummaryDaily[day],SummaryDaily[MetaAdsOperation.spend],0)</f>
        <v>0</v>
      </c>
      <c r="AA605" s="11">
        <f>SUMIFS(SalesByUTMDaily[facebook],SalesByUTMDaily[day],TableDailySummary[[#This Row],[Fecha]])</f>
        <v>0</v>
      </c>
      <c r="AB605" s="11">
        <f>TableDailySummary[[#This Row],[Inversión google ads]]+TableDailySummary[[#This Row],[Inversión meta ads]]</f>
        <v>0</v>
      </c>
      <c r="AC605" s="11">
        <f>TableDailySummary[[#This Row],[Ventas google ads]]+TableDailySummary[[#This Row],[Ventas meta ads]]</f>
        <v>0</v>
      </c>
      <c r="AD605" s="14">
        <f>IFERROR(TableDailySummary[[#This Row],[Ventas publicidad]]/TableDailySummary[[#This Row],[Inversión publicidad]],0)</f>
        <v>0</v>
      </c>
      <c r="AE605" s="14">
        <f>IFERROR(TableDailySummary[[#This Row],[Ventas primer cliente]]/TableDailySummary[[#This Row],[Inversión publicidad]],0)</f>
        <v>0</v>
      </c>
      <c r="AF605" s="14"/>
      <c r="AG605" s="11"/>
      <c r="AM605" s="11">
        <f>_xlfn.XLOOKUP(TableDailySummary[[#This Row],[Fecha]],SummaryDaily[day],SummaryDaily[net_sales_with_cost_recorded],0)</f>
        <v>0</v>
      </c>
      <c r="AN605" s="11">
        <f>_xlfn.XLOOKUP(TableDailySummary[[#This Row],[Fecha]],SummaryDaily[day],SummaryDaily[cost_of_goods_sold],0)</f>
        <v>0</v>
      </c>
      <c r="AO605" s="11">
        <f>_xlfn.XLOOKUP(TableDailySummary[[#This Row],[Fecha]],SummaryDaily[day],SummaryDaily[gross_profit],0)</f>
        <v>0</v>
      </c>
      <c r="AP605" s="18">
        <f>IFERROR(TableDailySummary[[#This Row],[Utilidad bruta]]/TableDailySummary[[#This Row],[Ventas netas con costo registrado]],0)</f>
        <v>0</v>
      </c>
    </row>
    <row r="606" spans="2:42" x14ac:dyDescent="0.2">
      <c r="B606" s="15" cm="1">
        <f t="array" ref="B606">ParamFechaInicioReporte + (ROW(TableDailySummary[#This Row]) - ROW(TableDailySummary[[#Headers],[Dia]]) - 1)</f>
        <v>45133</v>
      </c>
      <c r="C606" s="6">
        <f>TableDailySummary[[#This Row],[Dia]]</f>
        <v>45133</v>
      </c>
      <c r="D606" s="11">
        <f>_xlfn.XLOOKUP(TableDailySummary[[#This Row],[Fecha]],SummaryDaily[day],SummaryDaily[net_sales],0)</f>
        <v>0</v>
      </c>
      <c r="E606" s="11">
        <f>_xlfn.XLOOKUP(TableDailySummary[[#This Row],[Fecha]],SummaryDaily[day],SummaryDaily[orders],0)</f>
        <v>0</v>
      </c>
      <c r="F606" s="11">
        <f>_xlfn.XLOOKUP(TableDailySummary[[#This Row],[Fecha]],SummaryDaily[day],SummaryDaily[average_order_value],0)</f>
        <v>0</v>
      </c>
      <c r="G606" s="24" cm="1">
        <f t="array" ref="G606">_xlfn.XLOOKUP(TableDailySummary[[#This Row],[Fecha]]&amp;"Total site",ConversionRateByReferral[day]&amp;ConversionRateByReferral[referrer_source],ConversionRateByReferral[conversion_rate],0)</f>
        <v>0</v>
      </c>
      <c r="H606" s="11">
        <f>TableDailySummary[[#This Row],[Órden promedio totales]]*TableDailySummary[[#This Row],[CR totales]]</f>
        <v>0</v>
      </c>
      <c r="I606" s="11">
        <f>_xlfn.XLOOKUP(TableDailySummary[[#This Row],[Fecha]],SummaryDaily[day],SummaryDaily[new_net_sales],0)</f>
        <v>0</v>
      </c>
      <c r="J606" s="11">
        <f>_xlfn.XLOOKUP(TableDailySummary[[#This Row],[Fecha]],SummaryDaily[day],SummaryDaily[new_orders],0)</f>
        <v>0</v>
      </c>
      <c r="K606" s="11">
        <f>_xlfn.XLOOKUP(TableDailySummary[[#This Row],[Fecha]],SummaryDaily[day],SummaryDaily[new_average_order_value],0)</f>
        <v>0</v>
      </c>
      <c r="L606" s="11">
        <f>_xlfn.XLOOKUP(TableDailySummary[[#This Row],[Fecha]],SummaryDaily[day],SummaryDaily[Online Store_net_sales],0)</f>
        <v>0</v>
      </c>
      <c r="M606" s="11">
        <f>_xlfn.XLOOKUP(TableDailySummary[[#This Row],[Fecha]],SummaryDaily[day],SummaryDaily[Online Store_orders],0)</f>
        <v>0</v>
      </c>
      <c r="N606" s="11">
        <f>_xlfn.XLOOKUP(TableDailySummary[[#This Row],[Fecha]],SummaryDaily[day],SummaryDaily[Online Store_average_order_value],0)</f>
        <v>0</v>
      </c>
      <c r="O606" s="11">
        <f>_xlfn.XLOOKUP(TableDailySummary[[#This Row],[Fecha]],SummaryDaily[day],SummaryDaily[Tienda 81_net_sales],0)</f>
        <v>0</v>
      </c>
      <c r="P606" s="11">
        <f>_xlfn.XLOOKUP(TableDailySummary[[#This Row],[Fecha]],SummaryDaily[day],SummaryDaily[Tienda 81_orders],0)</f>
        <v>0</v>
      </c>
      <c r="Q606" s="11">
        <f>_xlfn.XLOOKUP(TableDailySummary[[#This Row],[Fecha]],SummaryDaily[day],SummaryDaily[Tienda 81_average_order_value],0)</f>
        <v>0</v>
      </c>
      <c r="R606" s="11">
        <f>_xlfn.XLOOKUP(TableDailySummary[[#This Row],[Fecha]],SummaryDaily[day],SummaryDaily[Rappi_net_sales],0)</f>
        <v>0</v>
      </c>
      <c r="S606" s="11">
        <f>_xlfn.XLOOKUP(TableDailySummary[[#This Row],[Fecha]],SummaryDaily[day],SummaryDaily[Rappi_orders],0)</f>
        <v>0</v>
      </c>
      <c r="T606" s="11">
        <f>_xlfn.XLOOKUP(TableDailySummary[[#This Row],[Fecha]],SummaryDaily[day],SummaryDaily[Rappi_average_order_value],0)</f>
        <v>0</v>
      </c>
      <c r="U606" s="11">
        <f>_xlfn.XLOOKUP(TableDailySummary[[#This Row],[Fecha]],SummaryDaily[day],SummaryDaily[Corporativo no tienda_net_sales],0)</f>
        <v>0</v>
      </c>
      <c r="V606" s="11">
        <f>_xlfn.XLOOKUP(TableDailySummary[[#This Row],[Fecha]],SummaryDaily[day],SummaryDaily[Corporativo no tienda_orders],0)</f>
        <v>0</v>
      </c>
      <c r="W606" s="11">
        <f>_xlfn.XLOOKUP(TableDailySummary[[#This Row],[Fecha]],SummaryDaily[day],SummaryDaily[Corporativo no tienda_average_order_value],0)</f>
        <v>0</v>
      </c>
      <c r="X606" s="11">
        <f>_xlfn.XLOOKUP(TableDailySummary[[#This Row],[Fecha]],SummaryDaily[day],SummaryDaily[GoogleAdsOperation.Cost],0)</f>
        <v>0</v>
      </c>
      <c r="Y606" s="11">
        <f>SUMIFS(SalesByUTMDaily[google],SalesByUTMDaily[day],TableDailySummary[[#This Row],[Fecha]])</f>
        <v>0</v>
      </c>
      <c r="Z606" s="11">
        <f>_xlfn.XLOOKUP(TableDailySummary[[#This Row],[Fecha]],SummaryDaily[day],SummaryDaily[MetaAdsOperation.spend],0)</f>
        <v>0</v>
      </c>
      <c r="AA606" s="11">
        <f>SUMIFS(SalesByUTMDaily[facebook],SalesByUTMDaily[day],TableDailySummary[[#This Row],[Fecha]])</f>
        <v>0</v>
      </c>
      <c r="AB606" s="11">
        <f>TableDailySummary[[#This Row],[Inversión google ads]]+TableDailySummary[[#This Row],[Inversión meta ads]]</f>
        <v>0</v>
      </c>
      <c r="AC606" s="11">
        <f>TableDailySummary[[#This Row],[Ventas google ads]]+TableDailySummary[[#This Row],[Ventas meta ads]]</f>
        <v>0</v>
      </c>
      <c r="AD606" s="14">
        <f>IFERROR(TableDailySummary[[#This Row],[Ventas publicidad]]/TableDailySummary[[#This Row],[Inversión publicidad]],0)</f>
        <v>0</v>
      </c>
      <c r="AE606" s="14">
        <f>IFERROR(TableDailySummary[[#This Row],[Ventas primer cliente]]/TableDailySummary[[#This Row],[Inversión publicidad]],0)</f>
        <v>0</v>
      </c>
      <c r="AF606" s="14"/>
      <c r="AG606" s="11"/>
      <c r="AM606" s="11">
        <f>_xlfn.XLOOKUP(TableDailySummary[[#This Row],[Fecha]],SummaryDaily[day],SummaryDaily[net_sales_with_cost_recorded],0)</f>
        <v>0</v>
      </c>
      <c r="AN606" s="11">
        <f>_xlfn.XLOOKUP(TableDailySummary[[#This Row],[Fecha]],SummaryDaily[day],SummaryDaily[cost_of_goods_sold],0)</f>
        <v>0</v>
      </c>
      <c r="AO606" s="11">
        <f>_xlfn.XLOOKUP(TableDailySummary[[#This Row],[Fecha]],SummaryDaily[day],SummaryDaily[gross_profit],0)</f>
        <v>0</v>
      </c>
      <c r="AP606" s="18">
        <f>IFERROR(TableDailySummary[[#This Row],[Utilidad bruta]]/TableDailySummary[[#This Row],[Ventas netas con costo registrado]],0)</f>
        <v>0</v>
      </c>
    </row>
    <row r="607" spans="2:42" x14ac:dyDescent="0.2">
      <c r="B607" s="15" cm="1">
        <f t="array" ref="B607">ParamFechaInicioReporte + (ROW(TableDailySummary[#This Row]) - ROW(TableDailySummary[[#Headers],[Dia]]) - 1)</f>
        <v>45134</v>
      </c>
      <c r="C607" s="6">
        <f>TableDailySummary[[#This Row],[Dia]]</f>
        <v>45134</v>
      </c>
      <c r="D607" s="11">
        <f>_xlfn.XLOOKUP(TableDailySummary[[#This Row],[Fecha]],SummaryDaily[day],SummaryDaily[net_sales],0)</f>
        <v>0</v>
      </c>
      <c r="E607" s="11">
        <f>_xlfn.XLOOKUP(TableDailySummary[[#This Row],[Fecha]],SummaryDaily[day],SummaryDaily[orders],0)</f>
        <v>0</v>
      </c>
      <c r="F607" s="11">
        <f>_xlfn.XLOOKUP(TableDailySummary[[#This Row],[Fecha]],SummaryDaily[day],SummaryDaily[average_order_value],0)</f>
        <v>0</v>
      </c>
      <c r="G607" s="24" cm="1">
        <f t="array" ref="G607">_xlfn.XLOOKUP(TableDailySummary[[#This Row],[Fecha]]&amp;"Total site",ConversionRateByReferral[day]&amp;ConversionRateByReferral[referrer_source],ConversionRateByReferral[conversion_rate],0)</f>
        <v>0</v>
      </c>
      <c r="H607" s="11">
        <f>TableDailySummary[[#This Row],[Órden promedio totales]]*TableDailySummary[[#This Row],[CR totales]]</f>
        <v>0</v>
      </c>
      <c r="I607" s="11">
        <f>_xlfn.XLOOKUP(TableDailySummary[[#This Row],[Fecha]],SummaryDaily[day],SummaryDaily[new_net_sales],0)</f>
        <v>0</v>
      </c>
      <c r="J607" s="11">
        <f>_xlfn.XLOOKUP(TableDailySummary[[#This Row],[Fecha]],SummaryDaily[day],SummaryDaily[new_orders],0)</f>
        <v>0</v>
      </c>
      <c r="K607" s="11">
        <f>_xlfn.XLOOKUP(TableDailySummary[[#This Row],[Fecha]],SummaryDaily[day],SummaryDaily[new_average_order_value],0)</f>
        <v>0</v>
      </c>
      <c r="L607" s="11">
        <f>_xlfn.XLOOKUP(TableDailySummary[[#This Row],[Fecha]],SummaryDaily[day],SummaryDaily[Online Store_net_sales],0)</f>
        <v>0</v>
      </c>
      <c r="M607" s="11">
        <f>_xlfn.XLOOKUP(TableDailySummary[[#This Row],[Fecha]],SummaryDaily[day],SummaryDaily[Online Store_orders],0)</f>
        <v>0</v>
      </c>
      <c r="N607" s="11">
        <f>_xlfn.XLOOKUP(TableDailySummary[[#This Row],[Fecha]],SummaryDaily[day],SummaryDaily[Online Store_average_order_value],0)</f>
        <v>0</v>
      </c>
      <c r="O607" s="11">
        <f>_xlfn.XLOOKUP(TableDailySummary[[#This Row],[Fecha]],SummaryDaily[day],SummaryDaily[Tienda 81_net_sales],0)</f>
        <v>0</v>
      </c>
      <c r="P607" s="11">
        <f>_xlfn.XLOOKUP(TableDailySummary[[#This Row],[Fecha]],SummaryDaily[day],SummaryDaily[Tienda 81_orders],0)</f>
        <v>0</v>
      </c>
      <c r="Q607" s="11">
        <f>_xlfn.XLOOKUP(TableDailySummary[[#This Row],[Fecha]],SummaryDaily[day],SummaryDaily[Tienda 81_average_order_value],0)</f>
        <v>0</v>
      </c>
      <c r="R607" s="11">
        <f>_xlfn.XLOOKUP(TableDailySummary[[#This Row],[Fecha]],SummaryDaily[day],SummaryDaily[Rappi_net_sales],0)</f>
        <v>0</v>
      </c>
      <c r="S607" s="11">
        <f>_xlfn.XLOOKUP(TableDailySummary[[#This Row],[Fecha]],SummaryDaily[day],SummaryDaily[Rappi_orders],0)</f>
        <v>0</v>
      </c>
      <c r="T607" s="11">
        <f>_xlfn.XLOOKUP(TableDailySummary[[#This Row],[Fecha]],SummaryDaily[day],SummaryDaily[Rappi_average_order_value],0)</f>
        <v>0</v>
      </c>
      <c r="U607" s="11">
        <f>_xlfn.XLOOKUP(TableDailySummary[[#This Row],[Fecha]],SummaryDaily[day],SummaryDaily[Corporativo no tienda_net_sales],0)</f>
        <v>0</v>
      </c>
      <c r="V607" s="11">
        <f>_xlfn.XLOOKUP(TableDailySummary[[#This Row],[Fecha]],SummaryDaily[day],SummaryDaily[Corporativo no tienda_orders],0)</f>
        <v>0</v>
      </c>
      <c r="W607" s="11">
        <f>_xlfn.XLOOKUP(TableDailySummary[[#This Row],[Fecha]],SummaryDaily[day],SummaryDaily[Corporativo no tienda_average_order_value],0)</f>
        <v>0</v>
      </c>
      <c r="X607" s="11">
        <f>_xlfn.XLOOKUP(TableDailySummary[[#This Row],[Fecha]],SummaryDaily[day],SummaryDaily[GoogleAdsOperation.Cost],0)</f>
        <v>0</v>
      </c>
      <c r="Y607" s="11">
        <f>SUMIFS(SalesByUTMDaily[google],SalesByUTMDaily[day],TableDailySummary[[#This Row],[Fecha]])</f>
        <v>0</v>
      </c>
      <c r="Z607" s="11">
        <f>_xlfn.XLOOKUP(TableDailySummary[[#This Row],[Fecha]],SummaryDaily[day],SummaryDaily[MetaAdsOperation.spend],0)</f>
        <v>0</v>
      </c>
      <c r="AA607" s="11">
        <f>SUMIFS(SalesByUTMDaily[facebook],SalesByUTMDaily[day],TableDailySummary[[#This Row],[Fecha]])</f>
        <v>0</v>
      </c>
      <c r="AB607" s="11">
        <f>TableDailySummary[[#This Row],[Inversión google ads]]+TableDailySummary[[#This Row],[Inversión meta ads]]</f>
        <v>0</v>
      </c>
      <c r="AC607" s="11">
        <f>TableDailySummary[[#This Row],[Ventas google ads]]+TableDailySummary[[#This Row],[Ventas meta ads]]</f>
        <v>0</v>
      </c>
      <c r="AD607" s="14">
        <f>IFERROR(TableDailySummary[[#This Row],[Ventas publicidad]]/TableDailySummary[[#This Row],[Inversión publicidad]],0)</f>
        <v>0</v>
      </c>
      <c r="AE607" s="14">
        <f>IFERROR(TableDailySummary[[#This Row],[Ventas primer cliente]]/TableDailySummary[[#This Row],[Inversión publicidad]],0)</f>
        <v>0</v>
      </c>
      <c r="AF607" s="14"/>
      <c r="AG607" s="11"/>
      <c r="AM607" s="11">
        <f>_xlfn.XLOOKUP(TableDailySummary[[#This Row],[Fecha]],SummaryDaily[day],SummaryDaily[net_sales_with_cost_recorded],0)</f>
        <v>0</v>
      </c>
      <c r="AN607" s="11">
        <f>_xlfn.XLOOKUP(TableDailySummary[[#This Row],[Fecha]],SummaryDaily[day],SummaryDaily[cost_of_goods_sold],0)</f>
        <v>0</v>
      </c>
      <c r="AO607" s="11">
        <f>_xlfn.XLOOKUP(TableDailySummary[[#This Row],[Fecha]],SummaryDaily[day],SummaryDaily[gross_profit],0)</f>
        <v>0</v>
      </c>
      <c r="AP607" s="18">
        <f>IFERROR(TableDailySummary[[#This Row],[Utilidad bruta]]/TableDailySummary[[#This Row],[Ventas netas con costo registrado]],0)</f>
        <v>0</v>
      </c>
    </row>
    <row r="608" spans="2:42" x14ac:dyDescent="0.2">
      <c r="B608" s="15" cm="1">
        <f t="array" ref="B608">ParamFechaInicioReporte + (ROW(TableDailySummary[#This Row]) - ROW(TableDailySummary[[#Headers],[Dia]]) - 1)</f>
        <v>45135</v>
      </c>
      <c r="C608" s="6">
        <f>TableDailySummary[[#This Row],[Dia]]</f>
        <v>45135</v>
      </c>
      <c r="D608" s="11">
        <f>_xlfn.XLOOKUP(TableDailySummary[[#This Row],[Fecha]],SummaryDaily[day],SummaryDaily[net_sales],0)</f>
        <v>0</v>
      </c>
      <c r="E608" s="11">
        <f>_xlfn.XLOOKUP(TableDailySummary[[#This Row],[Fecha]],SummaryDaily[day],SummaryDaily[orders],0)</f>
        <v>0</v>
      </c>
      <c r="F608" s="11">
        <f>_xlfn.XLOOKUP(TableDailySummary[[#This Row],[Fecha]],SummaryDaily[day],SummaryDaily[average_order_value],0)</f>
        <v>0</v>
      </c>
      <c r="G608" s="24" cm="1">
        <f t="array" ref="G608">_xlfn.XLOOKUP(TableDailySummary[[#This Row],[Fecha]]&amp;"Total site",ConversionRateByReferral[day]&amp;ConversionRateByReferral[referrer_source],ConversionRateByReferral[conversion_rate],0)</f>
        <v>0</v>
      </c>
      <c r="H608" s="11">
        <f>TableDailySummary[[#This Row],[Órden promedio totales]]*TableDailySummary[[#This Row],[CR totales]]</f>
        <v>0</v>
      </c>
      <c r="I608" s="11">
        <f>_xlfn.XLOOKUP(TableDailySummary[[#This Row],[Fecha]],SummaryDaily[day],SummaryDaily[new_net_sales],0)</f>
        <v>0</v>
      </c>
      <c r="J608" s="11">
        <f>_xlfn.XLOOKUP(TableDailySummary[[#This Row],[Fecha]],SummaryDaily[day],SummaryDaily[new_orders],0)</f>
        <v>0</v>
      </c>
      <c r="K608" s="11">
        <f>_xlfn.XLOOKUP(TableDailySummary[[#This Row],[Fecha]],SummaryDaily[day],SummaryDaily[new_average_order_value],0)</f>
        <v>0</v>
      </c>
      <c r="L608" s="11">
        <f>_xlfn.XLOOKUP(TableDailySummary[[#This Row],[Fecha]],SummaryDaily[day],SummaryDaily[Online Store_net_sales],0)</f>
        <v>0</v>
      </c>
      <c r="M608" s="11">
        <f>_xlfn.XLOOKUP(TableDailySummary[[#This Row],[Fecha]],SummaryDaily[day],SummaryDaily[Online Store_orders],0)</f>
        <v>0</v>
      </c>
      <c r="N608" s="11">
        <f>_xlfn.XLOOKUP(TableDailySummary[[#This Row],[Fecha]],SummaryDaily[day],SummaryDaily[Online Store_average_order_value],0)</f>
        <v>0</v>
      </c>
      <c r="O608" s="11">
        <f>_xlfn.XLOOKUP(TableDailySummary[[#This Row],[Fecha]],SummaryDaily[day],SummaryDaily[Tienda 81_net_sales],0)</f>
        <v>0</v>
      </c>
      <c r="P608" s="11">
        <f>_xlfn.XLOOKUP(TableDailySummary[[#This Row],[Fecha]],SummaryDaily[day],SummaryDaily[Tienda 81_orders],0)</f>
        <v>0</v>
      </c>
      <c r="Q608" s="11">
        <f>_xlfn.XLOOKUP(TableDailySummary[[#This Row],[Fecha]],SummaryDaily[day],SummaryDaily[Tienda 81_average_order_value],0)</f>
        <v>0</v>
      </c>
      <c r="R608" s="11">
        <f>_xlfn.XLOOKUP(TableDailySummary[[#This Row],[Fecha]],SummaryDaily[day],SummaryDaily[Rappi_net_sales],0)</f>
        <v>0</v>
      </c>
      <c r="S608" s="11">
        <f>_xlfn.XLOOKUP(TableDailySummary[[#This Row],[Fecha]],SummaryDaily[day],SummaryDaily[Rappi_orders],0)</f>
        <v>0</v>
      </c>
      <c r="T608" s="11">
        <f>_xlfn.XLOOKUP(TableDailySummary[[#This Row],[Fecha]],SummaryDaily[day],SummaryDaily[Rappi_average_order_value],0)</f>
        <v>0</v>
      </c>
      <c r="U608" s="11">
        <f>_xlfn.XLOOKUP(TableDailySummary[[#This Row],[Fecha]],SummaryDaily[day],SummaryDaily[Corporativo no tienda_net_sales],0)</f>
        <v>0</v>
      </c>
      <c r="V608" s="11">
        <f>_xlfn.XLOOKUP(TableDailySummary[[#This Row],[Fecha]],SummaryDaily[day],SummaryDaily[Corporativo no tienda_orders],0)</f>
        <v>0</v>
      </c>
      <c r="W608" s="11">
        <f>_xlfn.XLOOKUP(TableDailySummary[[#This Row],[Fecha]],SummaryDaily[day],SummaryDaily[Corporativo no tienda_average_order_value],0)</f>
        <v>0</v>
      </c>
      <c r="X608" s="11">
        <f>_xlfn.XLOOKUP(TableDailySummary[[#This Row],[Fecha]],SummaryDaily[day],SummaryDaily[GoogleAdsOperation.Cost],0)</f>
        <v>0</v>
      </c>
      <c r="Y608" s="11">
        <f>SUMIFS(SalesByUTMDaily[google],SalesByUTMDaily[day],TableDailySummary[[#This Row],[Fecha]])</f>
        <v>0</v>
      </c>
      <c r="Z608" s="11">
        <f>_xlfn.XLOOKUP(TableDailySummary[[#This Row],[Fecha]],SummaryDaily[day],SummaryDaily[MetaAdsOperation.spend],0)</f>
        <v>0</v>
      </c>
      <c r="AA608" s="11">
        <f>SUMIFS(SalesByUTMDaily[facebook],SalesByUTMDaily[day],TableDailySummary[[#This Row],[Fecha]])</f>
        <v>0</v>
      </c>
      <c r="AB608" s="11">
        <f>TableDailySummary[[#This Row],[Inversión google ads]]+TableDailySummary[[#This Row],[Inversión meta ads]]</f>
        <v>0</v>
      </c>
      <c r="AC608" s="11">
        <f>TableDailySummary[[#This Row],[Ventas google ads]]+TableDailySummary[[#This Row],[Ventas meta ads]]</f>
        <v>0</v>
      </c>
      <c r="AD608" s="14">
        <f>IFERROR(TableDailySummary[[#This Row],[Ventas publicidad]]/TableDailySummary[[#This Row],[Inversión publicidad]],0)</f>
        <v>0</v>
      </c>
      <c r="AE608" s="14">
        <f>IFERROR(TableDailySummary[[#This Row],[Ventas primer cliente]]/TableDailySummary[[#This Row],[Inversión publicidad]],0)</f>
        <v>0</v>
      </c>
      <c r="AF608" s="14"/>
      <c r="AG608" s="11"/>
      <c r="AM608" s="11">
        <f>_xlfn.XLOOKUP(TableDailySummary[[#This Row],[Fecha]],SummaryDaily[day],SummaryDaily[net_sales_with_cost_recorded],0)</f>
        <v>0</v>
      </c>
      <c r="AN608" s="11">
        <f>_xlfn.XLOOKUP(TableDailySummary[[#This Row],[Fecha]],SummaryDaily[day],SummaryDaily[cost_of_goods_sold],0)</f>
        <v>0</v>
      </c>
      <c r="AO608" s="11">
        <f>_xlfn.XLOOKUP(TableDailySummary[[#This Row],[Fecha]],SummaryDaily[day],SummaryDaily[gross_profit],0)</f>
        <v>0</v>
      </c>
      <c r="AP608" s="18">
        <f>IFERROR(TableDailySummary[[#This Row],[Utilidad bruta]]/TableDailySummary[[#This Row],[Ventas netas con costo registrado]],0)</f>
        <v>0</v>
      </c>
    </row>
    <row r="609" spans="2:42" x14ac:dyDescent="0.2">
      <c r="B609" s="15" cm="1">
        <f t="array" ref="B609">ParamFechaInicioReporte + (ROW(TableDailySummary[#This Row]) - ROW(TableDailySummary[[#Headers],[Dia]]) - 1)</f>
        <v>45136</v>
      </c>
      <c r="C609" s="6">
        <f>TableDailySummary[[#This Row],[Dia]]</f>
        <v>45136</v>
      </c>
      <c r="D609" s="11">
        <f>_xlfn.XLOOKUP(TableDailySummary[[#This Row],[Fecha]],SummaryDaily[day],SummaryDaily[net_sales],0)</f>
        <v>0</v>
      </c>
      <c r="E609" s="11">
        <f>_xlfn.XLOOKUP(TableDailySummary[[#This Row],[Fecha]],SummaryDaily[day],SummaryDaily[orders],0)</f>
        <v>0</v>
      </c>
      <c r="F609" s="11">
        <f>_xlfn.XLOOKUP(TableDailySummary[[#This Row],[Fecha]],SummaryDaily[day],SummaryDaily[average_order_value],0)</f>
        <v>0</v>
      </c>
      <c r="G609" s="24" cm="1">
        <f t="array" ref="G609">_xlfn.XLOOKUP(TableDailySummary[[#This Row],[Fecha]]&amp;"Total site",ConversionRateByReferral[day]&amp;ConversionRateByReferral[referrer_source],ConversionRateByReferral[conversion_rate],0)</f>
        <v>0</v>
      </c>
      <c r="H609" s="11">
        <f>TableDailySummary[[#This Row],[Órden promedio totales]]*TableDailySummary[[#This Row],[CR totales]]</f>
        <v>0</v>
      </c>
      <c r="I609" s="11">
        <f>_xlfn.XLOOKUP(TableDailySummary[[#This Row],[Fecha]],SummaryDaily[day],SummaryDaily[new_net_sales],0)</f>
        <v>0</v>
      </c>
      <c r="J609" s="11">
        <f>_xlfn.XLOOKUP(TableDailySummary[[#This Row],[Fecha]],SummaryDaily[day],SummaryDaily[new_orders],0)</f>
        <v>0</v>
      </c>
      <c r="K609" s="11">
        <f>_xlfn.XLOOKUP(TableDailySummary[[#This Row],[Fecha]],SummaryDaily[day],SummaryDaily[new_average_order_value],0)</f>
        <v>0</v>
      </c>
      <c r="L609" s="11">
        <f>_xlfn.XLOOKUP(TableDailySummary[[#This Row],[Fecha]],SummaryDaily[day],SummaryDaily[Online Store_net_sales],0)</f>
        <v>0</v>
      </c>
      <c r="M609" s="11">
        <f>_xlfn.XLOOKUP(TableDailySummary[[#This Row],[Fecha]],SummaryDaily[day],SummaryDaily[Online Store_orders],0)</f>
        <v>0</v>
      </c>
      <c r="N609" s="11">
        <f>_xlfn.XLOOKUP(TableDailySummary[[#This Row],[Fecha]],SummaryDaily[day],SummaryDaily[Online Store_average_order_value],0)</f>
        <v>0</v>
      </c>
      <c r="O609" s="11">
        <f>_xlfn.XLOOKUP(TableDailySummary[[#This Row],[Fecha]],SummaryDaily[day],SummaryDaily[Tienda 81_net_sales],0)</f>
        <v>0</v>
      </c>
      <c r="P609" s="11">
        <f>_xlfn.XLOOKUP(TableDailySummary[[#This Row],[Fecha]],SummaryDaily[day],SummaryDaily[Tienda 81_orders],0)</f>
        <v>0</v>
      </c>
      <c r="Q609" s="11">
        <f>_xlfn.XLOOKUP(TableDailySummary[[#This Row],[Fecha]],SummaryDaily[day],SummaryDaily[Tienda 81_average_order_value],0)</f>
        <v>0</v>
      </c>
      <c r="R609" s="11">
        <f>_xlfn.XLOOKUP(TableDailySummary[[#This Row],[Fecha]],SummaryDaily[day],SummaryDaily[Rappi_net_sales],0)</f>
        <v>0</v>
      </c>
      <c r="S609" s="11">
        <f>_xlfn.XLOOKUP(TableDailySummary[[#This Row],[Fecha]],SummaryDaily[day],SummaryDaily[Rappi_orders],0)</f>
        <v>0</v>
      </c>
      <c r="T609" s="11">
        <f>_xlfn.XLOOKUP(TableDailySummary[[#This Row],[Fecha]],SummaryDaily[day],SummaryDaily[Rappi_average_order_value],0)</f>
        <v>0</v>
      </c>
      <c r="U609" s="11">
        <f>_xlfn.XLOOKUP(TableDailySummary[[#This Row],[Fecha]],SummaryDaily[day],SummaryDaily[Corporativo no tienda_net_sales],0)</f>
        <v>0</v>
      </c>
      <c r="V609" s="11">
        <f>_xlfn.XLOOKUP(TableDailySummary[[#This Row],[Fecha]],SummaryDaily[day],SummaryDaily[Corporativo no tienda_orders],0)</f>
        <v>0</v>
      </c>
      <c r="W609" s="11">
        <f>_xlfn.XLOOKUP(TableDailySummary[[#This Row],[Fecha]],SummaryDaily[day],SummaryDaily[Corporativo no tienda_average_order_value],0)</f>
        <v>0</v>
      </c>
      <c r="X609" s="11">
        <f>_xlfn.XLOOKUP(TableDailySummary[[#This Row],[Fecha]],SummaryDaily[day],SummaryDaily[GoogleAdsOperation.Cost],0)</f>
        <v>0</v>
      </c>
      <c r="Y609" s="11">
        <f>SUMIFS(SalesByUTMDaily[google],SalesByUTMDaily[day],TableDailySummary[[#This Row],[Fecha]])</f>
        <v>0</v>
      </c>
      <c r="Z609" s="11">
        <f>_xlfn.XLOOKUP(TableDailySummary[[#This Row],[Fecha]],SummaryDaily[day],SummaryDaily[MetaAdsOperation.spend],0)</f>
        <v>0</v>
      </c>
      <c r="AA609" s="11">
        <f>SUMIFS(SalesByUTMDaily[facebook],SalesByUTMDaily[day],TableDailySummary[[#This Row],[Fecha]])</f>
        <v>0</v>
      </c>
      <c r="AB609" s="11">
        <f>TableDailySummary[[#This Row],[Inversión google ads]]+TableDailySummary[[#This Row],[Inversión meta ads]]</f>
        <v>0</v>
      </c>
      <c r="AC609" s="11">
        <f>TableDailySummary[[#This Row],[Ventas google ads]]+TableDailySummary[[#This Row],[Ventas meta ads]]</f>
        <v>0</v>
      </c>
      <c r="AD609" s="14">
        <f>IFERROR(TableDailySummary[[#This Row],[Ventas publicidad]]/TableDailySummary[[#This Row],[Inversión publicidad]],0)</f>
        <v>0</v>
      </c>
      <c r="AE609" s="14">
        <f>IFERROR(TableDailySummary[[#This Row],[Ventas primer cliente]]/TableDailySummary[[#This Row],[Inversión publicidad]],0)</f>
        <v>0</v>
      </c>
      <c r="AF609" s="14"/>
      <c r="AG609" s="11"/>
      <c r="AM609" s="11">
        <f>_xlfn.XLOOKUP(TableDailySummary[[#This Row],[Fecha]],SummaryDaily[day],SummaryDaily[net_sales_with_cost_recorded],0)</f>
        <v>0</v>
      </c>
      <c r="AN609" s="11">
        <f>_xlfn.XLOOKUP(TableDailySummary[[#This Row],[Fecha]],SummaryDaily[day],SummaryDaily[cost_of_goods_sold],0)</f>
        <v>0</v>
      </c>
      <c r="AO609" s="11">
        <f>_xlfn.XLOOKUP(TableDailySummary[[#This Row],[Fecha]],SummaryDaily[day],SummaryDaily[gross_profit],0)</f>
        <v>0</v>
      </c>
      <c r="AP609" s="18">
        <f>IFERROR(TableDailySummary[[#This Row],[Utilidad bruta]]/TableDailySummary[[#This Row],[Ventas netas con costo registrado]],0)</f>
        <v>0</v>
      </c>
    </row>
    <row r="610" spans="2:42" x14ac:dyDescent="0.2">
      <c r="B610" s="15" cm="1">
        <f t="array" ref="B610">ParamFechaInicioReporte + (ROW(TableDailySummary[#This Row]) - ROW(TableDailySummary[[#Headers],[Dia]]) - 1)</f>
        <v>45137</v>
      </c>
      <c r="C610" s="6">
        <f>TableDailySummary[[#This Row],[Dia]]</f>
        <v>45137</v>
      </c>
      <c r="D610" s="11">
        <f>_xlfn.XLOOKUP(TableDailySummary[[#This Row],[Fecha]],SummaryDaily[day],SummaryDaily[net_sales],0)</f>
        <v>0</v>
      </c>
      <c r="E610" s="11">
        <f>_xlfn.XLOOKUP(TableDailySummary[[#This Row],[Fecha]],SummaryDaily[day],SummaryDaily[orders],0)</f>
        <v>0</v>
      </c>
      <c r="F610" s="11">
        <f>_xlfn.XLOOKUP(TableDailySummary[[#This Row],[Fecha]],SummaryDaily[day],SummaryDaily[average_order_value],0)</f>
        <v>0</v>
      </c>
      <c r="G610" s="24" cm="1">
        <f t="array" ref="G610">_xlfn.XLOOKUP(TableDailySummary[[#This Row],[Fecha]]&amp;"Total site",ConversionRateByReferral[day]&amp;ConversionRateByReferral[referrer_source],ConversionRateByReferral[conversion_rate],0)</f>
        <v>0</v>
      </c>
      <c r="H610" s="11">
        <f>TableDailySummary[[#This Row],[Órden promedio totales]]*TableDailySummary[[#This Row],[CR totales]]</f>
        <v>0</v>
      </c>
      <c r="I610" s="11">
        <f>_xlfn.XLOOKUP(TableDailySummary[[#This Row],[Fecha]],SummaryDaily[day],SummaryDaily[new_net_sales],0)</f>
        <v>0</v>
      </c>
      <c r="J610" s="11">
        <f>_xlfn.XLOOKUP(TableDailySummary[[#This Row],[Fecha]],SummaryDaily[day],SummaryDaily[new_orders],0)</f>
        <v>0</v>
      </c>
      <c r="K610" s="11">
        <f>_xlfn.XLOOKUP(TableDailySummary[[#This Row],[Fecha]],SummaryDaily[day],SummaryDaily[new_average_order_value],0)</f>
        <v>0</v>
      </c>
      <c r="L610" s="11">
        <f>_xlfn.XLOOKUP(TableDailySummary[[#This Row],[Fecha]],SummaryDaily[day],SummaryDaily[Online Store_net_sales],0)</f>
        <v>0</v>
      </c>
      <c r="M610" s="11">
        <f>_xlfn.XLOOKUP(TableDailySummary[[#This Row],[Fecha]],SummaryDaily[day],SummaryDaily[Online Store_orders],0)</f>
        <v>0</v>
      </c>
      <c r="N610" s="11">
        <f>_xlfn.XLOOKUP(TableDailySummary[[#This Row],[Fecha]],SummaryDaily[day],SummaryDaily[Online Store_average_order_value],0)</f>
        <v>0</v>
      </c>
      <c r="O610" s="11">
        <f>_xlfn.XLOOKUP(TableDailySummary[[#This Row],[Fecha]],SummaryDaily[day],SummaryDaily[Tienda 81_net_sales],0)</f>
        <v>0</v>
      </c>
      <c r="P610" s="11">
        <f>_xlfn.XLOOKUP(TableDailySummary[[#This Row],[Fecha]],SummaryDaily[day],SummaryDaily[Tienda 81_orders],0)</f>
        <v>0</v>
      </c>
      <c r="Q610" s="11">
        <f>_xlfn.XLOOKUP(TableDailySummary[[#This Row],[Fecha]],SummaryDaily[day],SummaryDaily[Tienda 81_average_order_value],0)</f>
        <v>0</v>
      </c>
      <c r="R610" s="11">
        <f>_xlfn.XLOOKUP(TableDailySummary[[#This Row],[Fecha]],SummaryDaily[day],SummaryDaily[Rappi_net_sales],0)</f>
        <v>0</v>
      </c>
      <c r="S610" s="11">
        <f>_xlfn.XLOOKUP(TableDailySummary[[#This Row],[Fecha]],SummaryDaily[day],SummaryDaily[Rappi_orders],0)</f>
        <v>0</v>
      </c>
      <c r="T610" s="11">
        <f>_xlfn.XLOOKUP(TableDailySummary[[#This Row],[Fecha]],SummaryDaily[day],SummaryDaily[Rappi_average_order_value],0)</f>
        <v>0</v>
      </c>
      <c r="U610" s="11">
        <f>_xlfn.XLOOKUP(TableDailySummary[[#This Row],[Fecha]],SummaryDaily[day],SummaryDaily[Corporativo no tienda_net_sales],0)</f>
        <v>0</v>
      </c>
      <c r="V610" s="11">
        <f>_xlfn.XLOOKUP(TableDailySummary[[#This Row],[Fecha]],SummaryDaily[day],SummaryDaily[Corporativo no tienda_orders],0)</f>
        <v>0</v>
      </c>
      <c r="W610" s="11">
        <f>_xlfn.XLOOKUP(TableDailySummary[[#This Row],[Fecha]],SummaryDaily[day],SummaryDaily[Corporativo no tienda_average_order_value],0)</f>
        <v>0</v>
      </c>
      <c r="X610" s="11">
        <f>_xlfn.XLOOKUP(TableDailySummary[[#This Row],[Fecha]],SummaryDaily[day],SummaryDaily[GoogleAdsOperation.Cost],0)</f>
        <v>0</v>
      </c>
      <c r="Y610" s="11">
        <f>SUMIFS(SalesByUTMDaily[google],SalesByUTMDaily[day],TableDailySummary[[#This Row],[Fecha]])</f>
        <v>0</v>
      </c>
      <c r="Z610" s="11">
        <f>_xlfn.XLOOKUP(TableDailySummary[[#This Row],[Fecha]],SummaryDaily[day],SummaryDaily[MetaAdsOperation.spend],0)</f>
        <v>0</v>
      </c>
      <c r="AA610" s="11">
        <f>SUMIFS(SalesByUTMDaily[facebook],SalesByUTMDaily[day],TableDailySummary[[#This Row],[Fecha]])</f>
        <v>0</v>
      </c>
      <c r="AB610" s="11">
        <f>TableDailySummary[[#This Row],[Inversión google ads]]+TableDailySummary[[#This Row],[Inversión meta ads]]</f>
        <v>0</v>
      </c>
      <c r="AC610" s="11">
        <f>TableDailySummary[[#This Row],[Ventas google ads]]+TableDailySummary[[#This Row],[Ventas meta ads]]</f>
        <v>0</v>
      </c>
      <c r="AD610" s="14">
        <f>IFERROR(TableDailySummary[[#This Row],[Ventas publicidad]]/TableDailySummary[[#This Row],[Inversión publicidad]],0)</f>
        <v>0</v>
      </c>
      <c r="AE610" s="14">
        <f>IFERROR(TableDailySummary[[#This Row],[Ventas primer cliente]]/TableDailySummary[[#This Row],[Inversión publicidad]],0)</f>
        <v>0</v>
      </c>
      <c r="AF610" s="14"/>
      <c r="AG610" s="11"/>
      <c r="AM610" s="11">
        <f>_xlfn.XLOOKUP(TableDailySummary[[#This Row],[Fecha]],SummaryDaily[day],SummaryDaily[net_sales_with_cost_recorded],0)</f>
        <v>0</v>
      </c>
      <c r="AN610" s="11">
        <f>_xlfn.XLOOKUP(TableDailySummary[[#This Row],[Fecha]],SummaryDaily[day],SummaryDaily[cost_of_goods_sold],0)</f>
        <v>0</v>
      </c>
      <c r="AO610" s="11">
        <f>_xlfn.XLOOKUP(TableDailySummary[[#This Row],[Fecha]],SummaryDaily[day],SummaryDaily[gross_profit],0)</f>
        <v>0</v>
      </c>
      <c r="AP610" s="18">
        <f>IFERROR(TableDailySummary[[#This Row],[Utilidad bruta]]/TableDailySummary[[#This Row],[Ventas netas con costo registrado]],0)</f>
        <v>0</v>
      </c>
    </row>
    <row r="611" spans="2:42" x14ac:dyDescent="0.2">
      <c r="B611" s="15" cm="1">
        <f t="array" ref="B611">ParamFechaInicioReporte + (ROW(TableDailySummary[#This Row]) - ROW(TableDailySummary[[#Headers],[Dia]]) - 1)</f>
        <v>45138</v>
      </c>
      <c r="C611" s="6">
        <f>TableDailySummary[[#This Row],[Dia]]</f>
        <v>45138</v>
      </c>
      <c r="D611" s="11">
        <f>_xlfn.XLOOKUP(TableDailySummary[[#This Row],[Fecha]],SummaryDaily[day],SummaryDaily[net_sales],0)</f>
        <v>0</v>
      </c>
      <c r="E611" s="11">
        <f>_xlfn.XLOOKUP(TableDailySummary[[#This Row],[Fecha]],SummaryDaily[day],SummaryDaily[orders],0)</f>
        <v>0</v>
      </c>
      <c r="F611" s="11">
        <f>_xlfn.XLOOKUP(TableDailySummary[[#This Row],[Fecha]],SummaryDaily[day],SummaryDaily[average_order_value],0)</f>
        <v>0</v>
      </c>
      <c r="G611" s="24" cm="1">
        <f t="array" ref="G611">_xlfn.XLOOKUP(TableDailySummary[[#This Row],[Fecha]]&amp;"Total site",ConversionRateByReferral[day]&amp;ConversionRateByReferral[referrer_source],ConversionRateByReferral[conversion_rate],0)</f>
        <v>0</v>
      </c>
      <c r="H611" s="11">
        <f>TableDailySummary[[#This Row],[Órden promedio totales]]*TableDailySummary[[#This Row],[CR totales]]</f>
        <v>0</v>
      </c>
      <c r="I611" s="11">
        <f>_xlfn.XLOOKUP(TableDailySummary[[#This Row],[Fecha]],SummaryDaily[day],SummaryDaily[new_net_sales],0)</f>
        <v>0</v>
      </c>
      <c r="J611" s="11">
        <f>_xlfn.XLOOKUP(TableDailySummary[[#This Row],[Fecha]],SummaryDaily[day],SummaryDaily[new_orders],0)</f>
        <v>0</v>
      </c>
      <c r="K611" s="11">
        <f>_xlfn.XLOOKUP(TableDailySummary[[#This Row],[Fecha]],SummaryDaily[day],SummaryDaily[new_average_order_value],0)</f>
        <v>0</v>
      </c>
      <c r="L611" s="11">
        <f>_xlfn.XLOOKUP(TableDailySummary[[#This Row],[Fecha]],SummaryDaily[day],SummaryDaily[Online Store_net_sales],0)</f>
        <v>0</v>
      </c>
      <c r="M611" s="11">
        <f>_xlfn.XLOOKUP(TableDailySummary[[#This Row],[Fecha]],SummaryDaily[day],SummaryDaily[Online Store_orders],0)</f>
        <v>0</v>
      </c>
      <c r="N611" s="11">
        <f>_xlfn.XLOOKUP(TableDailySummary[[#This Row],[Fecha]],SummaryDaily[day],SummaryDaily[Online Store_average_order_value],0)</f>
        <v>0</v>
      </c>
      <c r="O611" s="11">
        <f>_xlfn.XLOOKUP(TableDailySummary[[#This Row],[Fecha]],SummaryDaily[day],SummaryDaily[Tienda 81_net_sales],0)</f>
        <v>0</v>
      </c>
      <c r="P611" s="11">
        <f>_xlfn.XLOOKUP(TableDailySummary[[#This Row],[Fecha]],SummaryDaily[day],SummaryDaily[Tienda 81_orders],0)</f>
        <v>0</v>
      </c>
      <c r="Q611" s="11">
        <f>_xlfn.XLOOKUP(TableDailySummary[[#This Row],[Fecha]],SummaryDaily[day],SummaryDaily[Tienda 81_average_order_value],0)</f>
        <v>0</v>
      </c>
      <c r="R611" s="11">
        <f>_xlfn.XLOOKUP(TableDailySummary[[#This Row],[Fecha]],SummaryDaily[day],SummaryDaily[Rappi_net_sales],0)</f>
        <v>0</v>
      </c>
      <c r="S611" s="11">
        <f>_xlfn.XLOOKUP(TableDailySummary[[#This Row],[Fecha]],SummaryDaily[day],SummaryDaily[Rappi_orders],0)</f>
        <v>0</v>
      </c>
      <c r="T611" s="11">
        <f>_xlfn.XLOOKUP(TableDailySummary[[#This Row],[Fecha]],SummaryDaily[day],SummaryDaily[Rappi_average_order_value],0)</f>
        <v>0</v>
      </c>
      <c r="U611" s="11">
        <f>_xlfn.XLOOKUP(TableDailySummary[[#This Row],[Fecha]],SummaryDaily[day],SummaryDaily[Corporativo no tienda_net_sales],0)</f>
        <v>0</v>
      </c>
      <c r="V611" s="11">
        <f>_xlfn.XLOOKUP(TableDailySummary[[#This Row],[Fecha]],SummaryDaily[day],SummaryDaily[Corporativo no tienda_orders],0)</f>
        <v>0</v>
      </c>
      <c r="W611" s="11">
        <f>_xlfn.XLOOKUP(TableDailySummary[[#This Row],[Fecha]],SummaryDaily[day],SummaryDaily[Corporativo no tienda_average_order_value],0)</f>
        <v>0</v>
      </c>
      <c r="X611" s="11">
        <f>_xlfn.XLOOKUP(TableDailySummary[[#This Row],[Fecha]],SummaryDaily[day],SummaryDaily[GoogleAdsOperation.Cost],0)</f>
        <v>0</v>
      </c>
      <c r="Y611" s="11">
        <f>SUMIFS(SalesByUTMDaily[google],SalesByUTMDaily[day],TableDailySummary[[#This Row],[Fecha]])</f>
        <v>0</v>
      </c>
      <c r="Z611" s="11">
        <f>_xlfn.XLOOKUP(TableDailySummary[[#This Row],[Fecha]],SummaryDaily[day],SummaryDaily[MetaAdsOperation.spend],0)</f>
        <v>0</v>
      </c>
      <c r="AA611" s="11">
        <f>SUMIFS(SalesByUTMDaily[facebook],SalesByUTMDaily[day],TableDailySummary[[#This Row],[Fecha]])</f>
        <v>0</v>
      </c>
      <c r="AB611" s="11">
        <f>TableDailySummary[[#This Row],[Inversión google ads]]+TableDailySummary[[#This Row],[Inversión meta ads]]</f>
        <v>0</v>
      </c>
      <c r="AC611" s="11">
        <f>TableDailySummary[[#This Row],[Ventas google ads]]+TableDailySummary[[#This Row],[Ventas meta ads]]</f>
        <v>0</v>
      </c>
      <c r="AD611" s="14">
        <f>IFERROR(TableDailySummary[[#This Row],[Ventas publicidad]]/TableDailySummary[[#This Row],[Inversión publicidad]],0)</f>
        <v>0</v>
      </c>
      <c r="AE611" s="14">
        <f>IFERROR(TableDailySummary[[#This Row],[Ventas primer cliente]]/TableDailySummary[[#This Row],[Inversión publicidad]],0)</f>
        <v>0</v>
      </c>
      <c r="AF611" s="14"/>
      <c r="AG611" s="11"/>
      <c r="AM611" s="11">
        <f>_xlfn.XLOOKUP(TableDailySummary[[#This Row],[Fecha]],SummaryDaily[day],SummaryDaily[net_sales_with_cost_recorded],0)</f>
        <v>0</v>
      </c>
      <c r="AN611" s="11">
        <f>_xlfn.XLOOKUP(TableDailySummary[[#This Row],[Fecha]],SummaryDaily[day],SummaryDaily[cost_of_goods_sold],0)</f>
        <v>0</v>
      </c>
      <c r="AO611" s="11">
        <f>_xlfn.XLOOKUP(TableDailySummary[[#This Row],[Fecha]],SummaryDaily[day],SummaryDaily[gross_profit],0)</f>
        <v>0</v>
      </c>
      <c r="AP611" s="18">
        <f>IFERROR(TableDailySummary[[#This Row],[Utilidad bruta]]/TableDailySummary[[#This Row],[Ventas netas con costo registrado]],0)</f>
        <v>0</v>
      </c>
    </row>
    <row r="612" spans="2:42" x14ac:dyDescent="0.2">
      <c r="B612" s="15" cm="1">
        <f t="array" ref="B612">ParamFechaInicioReporte + (ROW(TableDailySummary[#This Row]) - ROW(TableDailySummary[[#Headers],[Dia]]) - 1)</f>
        <v>45139</v>
      </c>
      <c r="C612" s="6">
        <f>TableDailySummary[[#This Row],[Dia]]</f>
        <v>45139</v>
      </c>
      <c r="D612" s="11">
        <f>_xlfn.XLOOKUP(TableDailySummary[[#This Row],[Fecha]],SummaryDaily[day],SummaryDaily[net_sales],0)</f>
        <v>0</v>
      </c>
      <c r="E612" s="11">
        <f>_xlfn.XLOOKUP(TableDailySummary[[#This Row],[Fecha]],SummaryDaily[day],SummaryDaily[orders],0)</f>
        <v>0</v>
      </c>
      <c r="F612" s="11">
        <f>_xlfn.XLOOKUP(TableDailySummary[[#This Row],[Fecha]],SummaryDaily[day],SummaryDaily[average_order_value],0)</f>
        <v>0</v>
      </c>
      <c r="G612" s="24" cm="1">
        <f t="array" ref="G612">_xlfn.XLOOKUP(TableDailySummary[[#This Row],[Fecha]]&amp;"Total site",ConversionRateByReferral[day]&amp;ConversionRateByReferral[referrer_source],ConversionRateByReferral[conversion_rate],0)</f>
        <v>0</v>
      </c>
      <c r="H612" s="11">
        <f>TableDailySummary[[#This Row],[Órden promedio totales]]*TableDailySummary[[#This Row],[CR totales]]</f>
        <v>0</v>
      </c>
      <c r="I612" s="11">
        <f>_xlfn.XLOOKUP(TableDailySummary[[#This Row],[Fecha]],SummaryDaily[day],SummaryDaily[new_net_sales],0)</f>
        <v>0</v>
      </c>
      <c r="J612" s="11">
        <f>_xlfn.XLOOKUP(TableDailySummary[[#This Row],[Fecha]],SummaryDaily[day],SummaryDaily[new_orders],0)</f>
        <v>0</v>
      </c>
      <c r="K612" s="11">
        <f>_xlfn.XLOOKUP(TableDailySummary[[#This Row],[Fecha]],SummaryDaily[day],SummaryDaily[new_average_order_value],0)</f>
        <v>0</v>
      </c>
      <c r="L612" s="11">
        <f>_xlfn.XLOOKUP(TableDailySummary[[#This Row],[Fecha]],SummaryDaily[day],SummaryDaily[Online Store_net_sales],0)</f>
        <v>0</v>
      </c>
      <c r="M612" s="11">
        <f>_xlfn.XLOOKUP(TableDailySummary[[#This Row],[Fecha]],SummaryDaily[day],SummaryDaily[Online Store_orders],0)</f>
        <v>0</v>
      </c>
      <c r="N612" s="11">
        <f>_xlfn.XLOOKUP(TableDailySummary[[#This Row],[Fecha]],SummaryDaily[day],SummaryDaily[Online Store_average_order_value],0)</f>
        <v>0</v>
      </c>
      <c r="O612" s="11">
        <f>_xlfn.XLOOKUP(TableDailySummary[[#This Row],[Fecha]],SummaryDaily[day],SummaryDaily[Tienda 81_net_sales],0)</f>
        <v>0</v>
      </c>
      <c r="P612" s="11">
        <f>_xlfn.XLOOKUP(TableDailySummary[[#This Row],[Fecha]],SummaryDaily[day],SummaryDaily[Tienda 81_orders],0)</f>
        <v>0</v>
      </c>
      <c r="Q612" s="11">
        <f>_xlfn.XLOOKUP(TableDailySummary[[#This Row],[Fecha]],SummaryDaily[day],SummaryDaily[Tienda 81_average_order_value],0)</f>
        <v>0</v>
      </c>
      <c r="R612" s="11">
        <f>_xlfn.XLOOKUP(TableDailySummary[[#This Row],[Fecha]],SummaryDaily[day],SummaryDaily[Rappi_net_sales],0)</f>
        <v>0</v>
      </c>
      <c r="S612" s="11">
        <f>_xlfn.XLOOKUP(TableDailySummary[[#This Row],[Fecha]],SummaryDaily[day],SummaryDaily[Rappi_orders],0)</f>
        <v>0</v>
      </c>
      <c r="T612" s="11">
        <f>_xlfn.XLOOKUP(TableDailySummary[[#This Row],[Fecha]],SummaryDaily[day],SummaryDaily[Rappi_average_order_value],0)</f>
        <v>0</v>
      </c>
      <c r="U612" s="11">
        <f>_xlfn.XLOOKUP(TableDailySummary[[#This Row],[Fecha]],SummaryDaily[day],SummaryDaily[Corporativo no tienda_net_sales],0)</f>
        <v>0</v>
      </c>
      <c r="V612" s="11">
        <f>_xlfn.XLOOKUP(TableDailySummary[[#This Row],[Fecha]],SummaryDaily[day],SummaryDaily[Corporativo no tienda_orders],0)</f>
        <v>0</v>
      </c>
      <c r="W612" s="11">
        <f>_xlfn.XLOOKUP(TableDailySummary[[#This Row],[Fecha]],SummaryDaily[day],SummaryDaily[Corporativo no tienda_average_order_value],0)</f>
        <v>0</v>
      </c>
      <c r="X612" s="11">
        <f>_xlfn.XLOOKUP(TableDailySummary[[#This Row],[Fecha]],SummaryDaily[day],SummaryDaily[GoogleAdsOperation.Cost],0)</f>
        <v>0</v>
      </c>
      <c r="Y612" s="11">
        <f>SUMIFS(SalesByUTMDaily[google],SalesByUTMDaily[day],TableDailySummary[[#This Row],[Fecha]])</f>
        <v>0</v>
      </c>
      <c r="Z612" s="11">
        <f>_xlfn.XLOOKUP(TableDailySummary[[#This Row],[Fecha]],SummaryDaily[day],SummaryDaily[MetaAdsOperation.spend],0)</f>
        <v>0</v>
      </c>
      <c r="AA612" s="11">
        <f>SUMIFS(SalesByUTMDaily[facebook],SalesByUTMDaily[day],TableDailySummary[[#This Row],[Fecha]])</f>
        <v>0</v>
      </c>
      <c r="AB612" s="11">
        <f>TableDailySummary[[#This Row],[Inversión google ads]]+TableDailySummary[[#This Row],[Inversión meta ads]]</f>
        <v>0</v>
      </c>
      <c r="AC612" s="11">
        <f>TableDailySummary[[#This Row],[Ventas google ads]]+TableDailySummary[[#This Row],[Ventas meta ads]]</f>
        <v>0</v>
      </c>
      <c r="AD612" s="14">
        <f>IFERROR(TableDailySummary[[#This Row],[Ventas publicidad]]/TableDailySummary[[#This Row],[Inversión publicidad]],0)</f>
        <v>0</v>
      </c>
      <c r="AE612" s="14">
        <f>IFERROR(TableDailySummary[[#This Row],[Ventas primer cliente]]/TableDailySummary[[#This Row],[Inversión publicidad]],0)</f>
        <v>0</v>
      </c>
      <c r="AF612" s="14"/>
      <c r="AG612" s="11"/>
      <c r="AM612" s="11">
        <f>_xlfn.XLOOKUP(TableDailySummary[[#This Row],[Fecha]],SummaryDaily[day],SummaryDaily[net_sales_with_cost_recorded],0)</f>
        <v>0</v>
      </c>
      <c r="AN612" s="11">
        <f>_xlfn.XLOOKUP(TableDailySummary[[#This Row],[Fecha]],SummaryDaily[day],SummaryDaily[cost_of_goods_sold],0)</f>
        <v>0</v>
      </c>
      <c r="AO612" s="11">
        <f>_xlfn.XLOOKUP(TableDailySummary[[#This Row],[Fecha]],SummaryDaily[day],SummaryDaily[gross_profit],0)</f>
        <v>0</v>
      </c>
      <c r="AP612" s="18">
        <f>IFERROR(TableDailySummary[[#This Row],[Utilidad bruta]]/TableDailySummary[[#This Row],[Ventas netas con costo registrado]],0)</f>
        <v>0</v>
      </c>
    </row>
    <row r="613" spans="2:42" x14ac:dyDescent="0.2">
      <c r="B613" s="15" cm="1">
        <f t="array" ref="B613">ParamFechaInicioReporte + (ROW(TableDailySummary[#This Row]) - ROW(TableDailySummary[[#Headers],[Dia]]) - 1)</f>
        <v>45140</v>
      </c>
      <c r="C613" s="6">
        <f>TableDailySummary[[#This Row],[Dia]]</f>
        <v>45140</v>
      </c>
      <c r="D613" s="11">
        <f>_xlfn.XLOOKUP(TableDailySummary[[#This Row],[Fecha]],SummaryDaily[day],SummaryDaily[net_sales],0)</f>
        <v>0</v>
      </c>
      <c r="E613" s="11">
        <f>_xlfn.XLOOKUP(TableDailySummary[[#This Row],[Fecha]],SummaryDaily[day],SummaryDaily[orders],0)</f>
        <v>0</v>
      </c>
      <c r="F613" s="11">
        <f>_xlfn.XLOOKUP(TableDailySummary[[#This Row],[Fecha]],SummaryDaily[day],SummaryDaily[average_order_value],0)</f>
        <v>0</v>
      </c>
      <c r="G613" s="24" cm="1">
        <f t="array" ref="G613">_xlfn.XLOOKUP(TableDailySummary[[#This Row],[Fecha]]&amp;"Total site",ConversionRateByReferral[day]&amp;ConversionRateByReferral[referrer_source],ConversionRateByReferral[conversion_rate],0)</f>
        <v>0</v>
      </c>
      <c r="H613" s="11">
        <f>TableDailySummary[[#This Row],[Órden promedio totales]]*TableDailySummary[[#This Row],[CR totales]]</f>
        <v>0</v>
      </c>
      <c r="I613" s="11">
        <f>_xlfn.XLOOKUP(TableDailySummary[[#This Row],[Fecha]],SummaryDaily[day],SummaryDaily[new_net_sales],0)</f>
        <v>0</v>
      </c>
      <c r="J613" s="11">
        <f>_xlfn.XLOOKUP(TableDailySummary[[#This Row],[Fecha]],SummaryDaily[day],SummaryDaily[new_orders],0)</f>
        <v>0</v>
      </c>
      <c r="K613" s="11">
        <f>_xlfn.XLOOKUP(TableDailySummary[[#This Row],[Fecha]],SummaryDaily[day],SummaryDaily[new_average_order_value],0)</f>
        <v>0</v>
      </c>
      <c r="L613" s="11">
        <f>_xlfn.XLOOKUP(TableDailySummary[[#This Row],[Fecha]],SummaryDaily[day],SummaryDaily[Online Store_net_sales],0)</f>
        <v>0</v>
      </c>
      <c r="M613" s="11">
        <f>_xlfn.XLOOKUP(TableDailySummary[[#This Row],[Fecha]],SummaryDaily[day],SummaryDaily[Online Store_orders],0)</f>
        <v>0</v>
      </c>
      <c r="N613" s="11">
        <f>_xlfn.XLOOKUP(TableDailySummary[[#This Row],[Fecha]],SummaryDaily[day],SummaryDaily[Online Store_average_order_value],0)</f>
        <v>0</v>
      </c>
      <c r="O613" s="11">
        <f>_xlfn.XLOOKUP(TableDailySummary[[#This Row],[Fecha]],SummaryDaily[day],SummaryDaily[Tienda 81_net_sales],0)</f>
        <v>0</v>
      </c>
      <c r="P613" s="11">
        <f>_xlfn.XLOOKUP(TableDailySummary[[#This Row],[Fecha]],SummaryDaily[day],SummaryDaily[Tienda 81_orders],0)</f>
        <v>0</v>
      </c>
      <c r="Q613" s="11">
        <f>_xlfn.XLOOKUP(TableDailySummary[[#This Row],[Fecha]],SummaryDaily[day],SummaryDaily[Tienda 81_average_order_value],0)</f>
        <v>0</v>
      </c>
      <c r="R613" s="11">
        <f>_xlfn.XLOOKUP(TableDailySummary[[#This Row],[Fecha]],SummaryDaily[day],SummaryDaily[Rappi_net_sales],0)</f>
        <v>0</v>
      </c>
      <c r="S613" s="11">
        <f>_xlfn.XLOOKUP(TableDailySummary[[#This Row],[Fecha]],SummaryDaily[day],SummaryDaily[Rappi_orders],0)</f>
        <v>0</v>
      </c>
      <c r="T613" s="11">
        <f>_xlfn.XLOOKUP(TableDailySummary[[#This Row],[Fecha]],SummaryDaily[day],SummaryDaily[Rappi_average_order_value],0)</f>
        <v>0</v>
      </c>
      <c r="U613" s="11">
        <f>_xlfn.XLOOKUP(TableDailySummary[[#This Row],[Fecha]],SummaryDaily[day],SummaryDaily[Corporativo no tienda_net_sales],0)</f>
        <v>0</v>
      </c>
      <c r="V613" s="11">
        <f>_xlfn.XLOOKUP(TableDailySummary[[#This Row],[Fecha]],SummaryDaily[day],SummaryDaily[Corporativo no tienda_orders],0)</f>
        <v>0</v>
      </c>
      <c r="W613" s="11">
        <f>_xlfn.XLOOKUP(TableDailySummary[[#This Row],[Fecha]],SummaryDaily[day],SummaryDaily[Corporativo no tienda_average_order_value],0)</f>
        <v>0</v>
      </c>
      <c r="X613" s="11">
        <f>_xlfn.XLOOKUP(TableDailySummary[[#This Row],[Fecha]],SummaryDaily[day],SummaryDaily[GoogleAdsOperation.Cost],0)</f>
        <v>0</v>
      </c>
      <c r="Y613" s="11">
        <f>SUMIFS(SalesByUTMDaily[google],SalesByUTMDaily[day],TableDailySummary[[#This Row],[Fecha]])</f>
        <v>0</v>
      </c>
      <c r="Z613" s="11">
        <f>_xlfn.XLOOKUP(TableDailySummary[[#This Row],[Fecha]],SummaryDaily[day],SummaryDaily[MetaAdsOperation.spend],0)</f>
        <v>0</v>
      </c>
      <c r="AA613" s="11">
        <f>SUMIFS(SalesByUTMDaily[facebook],SalesByUTMDaily[day],TableDailySummary[[#This Row],[Fecha]])</f>
        <v>0</v>
      </c>
      <c r="AB613" s="11">
        <f>TableDailySummary[[#This Row],[Inversión google ads]]+TableDailySummary[[#This Row],[Inversión meta ads]]</f>
        <v>0</v>
      </c>
      <c r="AC613" s="11">
        <f>TableDailySummary[[#This Row],[Ventas google ads]]+TableDailySummary[[#This Row],[Ventas meta ads]]</f>
        <v>0</v>
      </c>
      <c r="AD613" s="14">
        <f>IFERROR(TableDailySummary[[#This Row],[Ventas publicidad]]/TableDailySummary[[#This Row],[Inversión publicidad]],0)</f>
        <v>0</v>
      </c>
      <c r="AE613" s="14">
        <f>IFERROR(TableDailySummary[[#This Row],[Ventas primer cliente]]/TableDailySummary[[#This Row],[Inversión publicidad]],0)</f>
        <v>0</v>
      </c>
      <c r="AF613" s="14"/>
      <c r="AG613" s="11"/>
      <c r="AM613" s="11">
        <f>_xlfn.XLOOKUP(TableDailySummary[[#This Row],[Fecha]],SummaryDaily[day],SummaryDaily[net_sales_with_cost_recorded],0)</f>
        <v>0</v>
      </c>
      <c r="AN613" s="11">
        <f>_xlfn.XLOOKUP(TableDailySummary[[#This Row],[Fecha]],SummaryDaily[day],SummaryDaily[cost_of_goods_sold],0)</f>
        <v>0</v>
      </c>
      <c r="AO613" s="11">
        <f>_xlfn.XLOOKUP(TableDailySummary[[#This Row],[Fecha]],SummaryDaily[day],SummaryDaily[gross_profit],0)</f>
        <v>0</v>
      </c>
      <c r="AP613" s="18">
        <f>IFERROR(TableDailySummary[[#This Row],[Utilidad bruta]]/TableDailySummary[[#This Row],[Ventas netas con costo registrado]],0)</f>
        <v>0</v>
      </c>
    </row>
    <row r="614" spans="2:42" x14ac:dyDescent="0.2">
      <c r="B614" s="15" cm="1">
        <f t="array" ref="B614">ParamFechaInicioReporte + (ROW(TableDailySummary[#This Row]) - ROW(TableDailySummary[[#Headers],[Dia]]) - 1)</f>
        <v>45141</v>
      </c>
      <c r="C614" s="6">
        <f>TableDailySummary[[#This Row],[Dia]]</f>
        <v>45141</v>
      </c>
      <c r="D614" s="11">
        <f>_xlfn.XLOOKUP(TableDailySummary[[#This Row],[Fecha]],SummaryDaily[day],SummaryDaily[net_sales],0)</f>
        <v>0</v>
      </c>
      <c r="E614" s="11">
        <f>_xlfn.XLOOKUP(TableDailySummary[[#This Row],[Fecha]],SummaryDaily[day],SummaryDaily[orders],0)</f>
        <v>0</v>
      </c>
      <c r="F614" s="11">
        <f>_xlfn.XLOOKUP(TableDailySummary[[#This Row],[Fecha]],SummaryDaily[day],SummaryDaily[average_order_value],0)</f>
        <v>0</v>
      </c>
      <c r="G614" s="24" cm="1">
        <f t="array" ref="G614">_xlfn.XLOOKUP(TableDailySummary[[#This Row],[Fecha]]&amp;"Total site",ConversionRateByReferral[day]&amp;ConversionRateByReferral[referrer_source],ConversionRateByReferral[conversion_rate],0)</f>
        <v>0</v>
      </c>
      <c r="H614" s="11">
        <f>TableDailySummary[[#This Row],[Órden promedio totales]]*TableDailySummary[[#This Row],[CR totales]]</f>
        <v>0</v>
      </c>
      <c r="I614" s="11">
        <f>_xlfn.XLOOKUP(TableDailySummary[[#This Row],[Fecha]],SummaryDaily[day],SummaryDaily[new_net_sales],0)</f>
        <v>0</v>
      </c>
      <c r="J614" s="11">
        <f>_xlfn.XLOOKUP(TableDailySummary[[#This Row],[Fecha]],SummaryDaily[day],SummaryDaily[new_orders],0)</f>
        <v>0</v>
      </c>
      <c r="K614" s="11">
        <f>_xlfn.XLOOKUP(TableDailySummary[[#This Row],[Fecha]],SummaryDaily[day],SummaryDaily[new_average_order_value],0)</f>
        <v>0</v>
      </c>
      <c r="L614" s="11">
        <f>_xlfn.XLOOKUP(TableDailySummary[[#This Row],[Fecha]],SummaryDaily[day],SummaryDaily[Online Store_net_sales],0)</f>
        <v>0</v>
      </c>
      <c r="M614" s="11">
        <f>_xlfn.XLOOKUP(TableDailySummary[[#This Row],[Fecha]],SummaryDaily[day],SummaryDaily[Online Store_orders],0)</f>
        <v>0</v>
      </c>
      <c r="N614" s="11">
        <f>_xlfn.XLOOKUP(TableDailySummary[[#This Row],[Fecha]],SummaryDaily[day],SummaryDaily[Online Store_average_order_value],0)</f>
        <v>0</v>
      </c>
      <c r="O614" s="11">
        <f>_xlfn.XLOOKUP(TableDailySummary[[#This Row],[Fecha]],SummaryDaily[day],SummaryDaily[Tienda 81_net_sales],0)</f>
        <v>0</v>
      </c>
      <c r="P614" s="11">
        <f>_xlfn.XLOOKUP(TableDailySummary[[#This Row],[Fecha]],SummaryDaily[day],SummaryDaily[Tienda 81_orders],0)</f>
        <v>0</v>
      </c>
      <c r="Q614" s="11">
        <f>_xlfn.XLOOKUP(TableDailySummary[[#This Row],[Fecha]],SummaryDaily[day],SummaryDaily[Tienda 81_average_order_value],0)</f>
        <v>0</v>
      </c>
      <c r="R614" s="11">
        <f>_xlfn.XLOOKUP(TableDailySummary[[#This Row],[Fecha]],SummaryDaily[day],SummaryDaily[Rappi_net_sales],0)</f>
        <v>0</v>
      </c>
      <c r="S614" s="11">
        <f>_xlfn.XLOOKUP(TableDailySummary[[#This Row],[Fecha]],SummaryDaily[day],SummaryDaily[Rappi_orders],0)</f>
        <v>0</v>
      </c>
      <c r="T614" s="11">
        <f>_xlfn.XLOOKUP(TableDailySummary[[#This Row],[Fecha]],SummaryDaily[day],SummaryDaily[Rappi_average_order_value],0)</f>
        <v>0</v>
      </c>
      <c r="U614" s="11">
        <f>_xlfn.XLOOKUP(TableDailySummary[[#This Row],[Fecha]],SummaryDaily[day],SummaryDaily[Corporativo no tienda_net_sales],0)</f>
        <v>0</v>
      </c>
      <c r="V614" s="11">
        <f>_xlfn.XLOOKUP(TableDailySummary[[#This Row],[Fecha]],SummaryDaily[day],SummaryDaily[Corporativo no tienda_orders],0)</f>
        <v>0</v>
      </c>
      <c r="W614" s="11">
        <f>_xlfn.XLOOKUP(TableDailySummary[[#This Row],[Fecha]],SummaryDaily[day],SummaryDaily[Corporativo no tienda_average_order_value],0)</f>
        <v>0</v>
      </c>
      <c r="X614" s="11">
        <f>_xlfn.XLOOKUP(TableDailySummary[[#This Row],[Fecha]],SummaryDaily[day],SummaryDaily[GoogleAdsOperation.Cost],0)</f>
        <v>0</v>
      </c>
      <c r="Y614" s="11">
        <f>SUMIFS(SalesByUTMDaily[google],SalesByUTMDaily[day],TableDailySummary[[#This Row],[Fecha]])</f>
        <v>0</v>
      </c>
      <c r="Z614" s="11">
        <f>_xlfn.XLOOKUP(TableDailySummary[[#This Row],[Fecha]],SummaryDaily[day],SummaryDaily[MetaAdsOperation.spend],0)</f>
        <v>0</v>
      </c>
      <c r="AA614" s="11">
        <f>SUMIFS(SalesByUTMDaily[facebook],SalesByUTMDaily[day],TableDailySummary[[#This Row],[Fecha]])</f>
        <v>0</v>
      </c>
      <c r="AB614" s="11">
        <f>TableDailySummary[[#This Row],[Inversión google ads]]+TableDailySummary[[#This Row],[Inversión meta ads]]</f>
        <v>0</v>
      </c>
      <c r="AC614" s="11">
        <f>TableDailySummary[[#This Row],[Ventas google ads]]+TableDailySummary[[#This Row],[Ventas meta ads]]</f>
        <v>0</v>
      </c>
      <c r="AD614" s="14">
        <f>IFERROR(TableDailySummary[[#This Row],[Ventas publicidad]]/TableDailySummary[[#This Row],[Inversión publicidad]],0)</f>
        <v>0</v>
      </c>
      <c r="AE614" s="14">
        <f>IFERROR(TableDailySummary[[#This Row],[Ventas primer cliente]]/TableDailySummary[[#This Row],[Inversión publicidad]],0)</f>
        <v>0</v>
      </c>
      <c r="AF614" s="14"/>
      <c r="AG614" s="11"/>
      <c r="AM614" s="11">
        <f>_xlfn.XLOOKUP(TableDailySummary[[#This Row],[Fecha]],SummaryDaily[day],SummaryDaily[net_sales_with_cost_recorded],0)</f>
        <v>0</v>
      </c>
      <c r="AN614" s="11">
        <f>_xlfn.XLOOKUP(TableDailySummary[[#This Row],[Fecha]],SummaryDaily[day],SummaryDaily[cost_of_goods_sold],0)</f>
        <v>0</v>
      </c>
      <c r="AO614" s="11">
        <f>_xlfn.XLOOKUP(TableDailySummary[[#This Row],[Fecha]],SummaryDaily[day],SummaryDaily[gross_profit],0)</f>
        <v>0</v>
      </c>
      <c r="AP614" s="18">
        <f>IFERROR(TableDailySummary[[#This Row],[Utilidad bruta]]/TableDailySummary[[#This Row],[Ventas netas con costo registrado]],0)</f>
        <v>0</v>
      </c>
    </row>
    <row r="615" spans="2:42" x14ac:dyDescent="0.2">
      <c r="B615" s="15" cm="1">
        <f t="array" ref="B615">ParamFechaInicioReporte + (ROW(TableDailySummary[#This Row]) - ROW(TableDailySummary[[#Headers],[Dia]]) - 1)</f>
        <v>45142</v>
      </c>
      <c r="C615" s="6">
        <f>TableDailySummary[[#This Row],[Dia]]</f>
        <v>45142</v>
      </c>
      <c r="D615" s="11">
        <f>_xlfn.XLOOKUP(TableDailySummary[[#This Row],[Fecha]],SummaryDaily[day],SummaryDaily[net_sales],0)</f>
        <v>0</v>
      </c>
      <c r="E615" s="11">
        <f>_xlfn.XLOOKUP(TableDailySummary[[#This Row],[Fecha]],SummaryDaily[day],SummaryDaily[orders],0)</f>
        <v>0</v>
      </c>
      <c r="F615" s="11">
        <f>_xlfn.XLOOKUP(TableDailySummary[[#This Row],[Fecha]],SummaryDaily[day],SummaryDaily[average_order_value],0)</f>
        <v>0</v>
      </c>
      <c r="G615" s="24" cm="1">
        <f t="array" ref="G615">_xlfn.XLOOKUP(TableDailySummary[[#This Row],[Fecha]]&amp;"Total site",ConversionRateByReferral[day]&amp;ConversionRateByReferral[referrer_source],ConversionRateByReferral[conversion_rate],0)</f>
        <v>0</v>
      </c>
      <c r="H615" s="11">
        <f>TableDailySummary[[#This Row],[Órden promedio totales]]*TableDailySummary[[#This Row],[CR totales]]</f>
        <v>0</v>
      </c>
      <c r="I615" s="11">
        <f>_xlfn.XLOOKUP(TableDailySummary[[#This Row],[Fecha]],SummaryDaily[day],SummaryDaily[new_net_sales],0)</f>
        <v>0</v>
      </c>
      <c r="J615" s="11">
        <f>_xlfn.XLOOKUP(TableDailySummary[[#This Row],[Fecha]],SummaryDaily[day],SummaryDaily[new_orders],0)</f>
        <v>0</v>
      </c>
      <c r="K615" s="11">
        <f>_xlfn.XLOOKUP(TableDailySummary[[#This Row],[Fecha]],SummaryDaily[day],SummaryDaily[new_average_order_value],0)</f>
        <v>0</v>
      </c>
      <c r="L615" s="11">
        <f>_xlfn.XLOOKUP(TableDailySummary[[#This Row],[Fecha]],SummaryDaily[day],SummaryDaily[Online Store_net_sales],0)</f>
        <v>0</v>
      </c>
      <c r="M615" s="11">
        <f>_xlfn.XLOOKUP(TableDailySummary[[#This Row],[Fecha]],SummaryDaily[day],SummaryDaily[Online Store_orders],0)</f>
        <v>0</v>
      </c>
      <c r="N615" s="11">
        <f>_xlfn.XLOOKUP(TableDailySummary[[#This Row],[Fecha]],SummaryDaily[day],SummaryDaily[Online Store_average_order_value],0)</f>
        <v>0</v>
      </c>
      <c r="O615" s="11">
        <f>_xlfn.XLOOKUP(TableDailySummary[[#This Row],[Fecha]],SummaryDaily[day],SummaryDaily[Tienda 81_net_sales],0)</f>
        <v>0</v>
      </c>
      <c r="P615" s="11">
        <f>_xlfn.XLOOKUP(TableDailySummary[[#This Row],[Fecha]],SummaryDaily[day],SummaryDaily[Tienda 81_orders],0)</f>
        <v>0</v>
      </c>
      <c r="Q615" s="11">
        <f>_xlfn.XLOOKUP(TableDailySummary[[#This Row],[Fecha]],SummaryDaily[day],SummaryDaily[Tienda 81_average_order_value],0)</f>
        <v>0</v>
      </c>
      <c r="R615" s="11">
        <f>_xlfn.XLOOKUP(TableDailySummary[[#This Row],[Fecha]],SummaryDaily[day],SummaryDaily[Rappi_net_sales],0)</f>
        <v>0</v>
      </c>
      <c r="S615" s="11">
        <f>_xlfn.XLOOKUP(TableDailySummary[[#This Row],[Fecha]],SummaryDaily[day],SummaryDaily[Rappi_orders],0)</f>
        <v>0</v>
      </c>
      <c r="T615" s="11">
        <f>_xlfn.XLOOKUP(TableDailySummary[[#This Row],[Fecha]],SummaryDaily[day],SummaryDaily[Rappi_average_order_value],0)</f>
        <v>0</v>
      </c>
      <c r="U615" s="11">
        <f>_xlfn.XLOOKUP(TableDailySummary[[#This Row],[Fecha]],SummaryDaily[day],SummaryDaily[Corporativo no tienda_net_sales],0)</f>
        <v>0</v>
      </c>
      <c r="V615" s="11">
        <f>_xlfn.XLOOKUP(TableDailySummary[[#This Row],[Fecha]],SummaryDaily[day],SummaryDaily[Corporativo no tienda_orders],0)</f>
        <v>0</v>
      </c>
      <c r="W615" s="11">
        <f>_xlfn.XLOOKUP(TableDailySummary[[#This Row],[Fecha]],SummaryDaily[day],SummaryDaily[Corporativo no tienda_average_order_value],0)</f>
        <v>0</v>
      </c>
      <c r="X615" s="11">
        <f>_xlfn.XLOOKUP(TableDailySummary[[#This Row],[Fecha]],SummaryDaily[day],SummaryDaily[GoogleAdsOperation.Cost],0)</f>
        <v>0</v>
      </c>
      <c r="Y615" s="11">
        <f>SUMIFS(SalesByUTMDaily[google],SalesByUTMDaily[day],TableDailySummary[[#This Row],[Fecha]])</f>
        <v>0</v>
      </c>
      <c r="Z615" s="11">
        <f>_xlfn.XLOOKUP(TableDailySummary[[#This Row],[Fecha]],SummaryDaily[day],SummaryDaily[MetaAdsOperation.spend],0)</f>
        <v>0</v>
      </c>
      <c r="AA615" s="11">
        <f>SUMIFS(SalesByUTMDaily[facebook],SalesByUTMDaily[day],TableDailySummary[[#This Row],[Fecha]])</f>
        <v>0</v>
      </c>
      <c r="AB615" s="11">
        <f>TableDailySummary[[#This Row],[Inversión google ads]]+TableDailySummary[[#This Row],[Inversión meta ads]]</f>
        <v>0</v>
      </c>
      <c r="AC615" s="11">
        <f>TableDailySummary[[#This Row],[Ventas google ads]]+TableDailySummary[[#This Row],[Ventas meta ads]]</f>
        <v>0</v>
      </c>
      <c r="AD615" s="14">
        <f>IFERROR(TableDailySummary[[#This Row],[Ventas publicidad]]/TableDailySummary[[#This Row],[Inversión publicidad]],0)</f>
        <v>0</v>
      </c>
      <c r="AE615" s="14">
        <f>IFERROR(TableDailySummary[[#This Row],[Ventas primer cliente]]/TableDailySummary[[#This Row],[Inversión publicidad]],0)</f>
        <v>0</v>
      </c>
      <c r="AF615" s="14"/>
      <c r="AG615" s="11"/>
      <c r="AM615" s="11">
        <f>_xlfn.XLOOKUP(TableDailySummary[[#This Row],[Fecha]],SummaryDaily[day],SummaryDaily[net_sales_with_cost_recorded],0)</f>
        <v>0</v>
      </c>
      <c r="AN615" s="11">
        <f>_xlfn.XLOOKUP(TableDailySummary[[#This Row],[Fecha]],SummaryDaily[day],SummaryDaily[cost_of_goods_sold],0)</f>
        <v>0</v>
      </c>
      <c r="AO615" s="11">
        <f>_xlfn.XLOOKUP(TableDailySummary[[#This Row],[Fecha]],SummaryDaily[day],SummaryDaily[gross_profit],0)</f>
        <v>0</v>
      </c>
      <c r="AP615" s="18">
        <f>IFERROR(TableDailySummary[[#This Row],[Utilidad bruta]]/TableDailySummary[[#This Row],[Ventas netas con costo registrado]],0)</f>
        <v>0</v>
      </c>
    </row>
    <row r="616" spans="2:42" x14ac:dyDescent="0.2">
      <c r="B616" s="15" cm="1">
        <f t="array" ref="B616">ParamFechaInicioReporte + (ROW(TableDailySummary[#This Row]) - ROW(TableDailySummary[[#Headers],[Dia]]) - 1)</f>
        <v>45143</v>
      </c>
      <c r="C616" s="6">
        <f>TableDailySummary[[#This Row],[Dia]]</f>
        <v>45143</v>
      </c>
      <c r="D616" s="11">
        <f>_xlfn.XLOOKUP(TableDailySummary[[#This Row],[Fecha]],SummaryDaily[day],SummaryDaily[net_sales],0)</f>
        <v>0</v>
      </c>
      <c r="E616" s="11">
        <f>_xlfn.XLOOKUP(TableDailySummary[[#This Row],[Fecha]],SummaryDaily[day],SummaryDaily[orders],0)</f>
        <v>0</v>
      </c>
      <c r="F616" s="11">
        <f>_xlfn.XLOOKUP(TableDailySummary[[#This Row],[Fecha]],SummaryDaily[day],SummaryDaily[average_order_value],0)</f>
        <v>0</v>
      </c>
      <c r="G616" s="24" cm="1">
        <f t="array" ref="G616">_xlfn.XLOOKUP(TableDailySummary[[#This Row],[Fecha]]&amp;"Total site",ConversionRateByReferral[day]&amp;ConversionRateByReferral[referrer_source],ConversionRateByReferral[conversion_rate],0)</f>
        <v>0</v>
      </c>
      <c r="H616" s="11">
        <f>TableDailySummary[[#This Row],[Órden promedio totales]]*TableDailySummary[[#This Row],[CR totales]]</f>
        <v>0</v>
      </c>
      <c r="I616" s="11">
        <f>_xlfn.XLOOKUP(TableDailySummary[[#This Row],[Fecha]],SummaryDaily[day],SummaryDaily[new_net_sales],0)</f>
        <v>0</v>
      </c>
      <c r="J616" s="11">
        <f>_xlfn.XLOOKUP(TableDailySummary[[#This Row],[Fecha]],SummaryDaily[day],SummaryDaily[new_orders],0)</f>
        <v>0</v>
      </c>
      <c r="K616" s="11">
        <f>_xlfn.XLOOKUP(TableDailySummary[[#This Row],[Fecha]],SummaryDaily[day],SummaryDaily[new_average_order_value],0)</f>
        <v>0</v>
      </c>
      <c r="L616" s="11">
        <f>_xlfn.XLOOKUP(TableDailySummary[[#This Row],[Fecha]],SummaryDaily[day],SummaryDaily[Online Store_net_sales],0)</f>
        <v>0</v>
      </c>
      <c r="M616" s="11">
        <f>_xlfn.XLOOKUP(TableDailySummary[[#This Row],[Fecha]],SummaryDaily[day],SummaryDaily[Online Store_orders],0)</f>
        <v>0</v>
      </c>
      <c r="N616" s="11">
        <f>_xlfn.XLOOKUP(TableDailySummary[[#This Row],[Fecha]],SummaryDaily[day],SummaryDaily[Online Store_average_order_value],0)</f>
        <v>0</v>
      </c>
      <c r="O616" s="11">
        <f>_xlfn.XLOOKUP(TableDailySummary[[#This Row],[Fecha]],SummaryDaily[day],SummaryDaily[Tienda 81_net_sales],0)</f>
        <v>0</v>
      </c>
      <c r="P616" s="11">
        <f>_xlfn.XLOOKUP(TableDailySummary[[#This Row],[Fecha]],SummaryDaily[day],SummaryDaily[Tienda 81_orders],0)</f>
        <v>0</v>
      </c>
      <c r="Q616" s="11">
        <f>_xlfn.XLOOKUP(TableDailySummary[[#This Row],[Fecha]],SummaryDaily[day],SummaryDaily[Tienda 81_average_order_value],0)</f>
        <v>0</v>
      </c>
      <c r="R616" s="11">
        <f>_xlfn.XLOOKUP(TableDailySummary[[#This Row],[Fecha]],SummaryDaily[day],SummaryDaily[Rappi_net_sales],0)</f>
        <v>0</v>
      </c>
      <c r="S616" s="11">
        <f>_xlfn.XLOOKUP(TableDailySummary[[#This Row],[Fecha]],SummaryDaily[day],SummaryDaily[Rappi_orders],0)</f>
        <v>0</v>
      </c>
      <c r="T616" s="11">
        <f>_xlfn.XLOOKUP(TableDailySummary[[#This Row],[Fecha]],SummaryDaily[day],SummaryDaily[Rappi_average_order_value],0)</f>
        <v>0</v>
      </c>
      <c r="U616" s="11">
        <f>_xlfn.XLOOKUP(TableDailySummary[[#This Row],[Fecha]],SummaryDaily[day],SummaryDaily[Corporativo no tienda_net_sales],0)</f>
        <v>0</v>
      </c>
      <c r="V616" s="11">
        <f>_xlfn.XLOOKUP(TableDailySummary[[#This Row],[Fecha]],SummaryDaily[day],SummaryDaily[Corporativo no tienda_orders],0)</f>
        <v>0</v>
      </c>
      <c r="W616" s="11">
        <f>_xlfn.XLOOKUP(TableDailySummary[[#This Row],[Fecha]],SummaryDaily[day],SummaryDaily[Corporativo no tienda_average_order_value],0)</f>
        <v>0</v>
      </c>
      <c r="X616" s="11">
        <f>_xlfn.XLOOKUP(TableDailySummary[[#This Row],[Fecha]],SummaryDaily[day],SummaryDaily[GoogleAdsOperation.Cost],0)</f>
        <v>0</v>
      </c>
      <c r="Y616" s="11">
        <f>SUMIFS(SalesByUTMDaily[google],SalesByUTMDaily[day],TableDailySummary[[#This Row],[Fecha]])</f>
        <v>0</v>
      </c>
      <c r="Z616" s="11">
        <f>_xlfn.XLOOKUP(TableDailySummary[[#This Row],[Fecha]],SummaryDaily[day],SummaryDaily[MetaAdsOperation.spend],0)</f>
        <v>0</v>
      </c>
      <c r="AA616" s="11">
        <f>SUMIFS(SalesByUTMDaily[facebook],SalesByUTMDaily[day],TableDailySummary[[#This Row],[Fecha]])</f>
        <v>0</v>
      </c>
      <c r="AB616" s="11">
        <f>TableDailySummary[[#This Row],[Inversión google ads]]+TableDailySummary[[#This Row],[Inversión meta ads]]</f>
        <v>0</v>
      </c>
      <c r="AC616" s="11">
        <f>TableDailySummary[[#This Row],[Ventas google ads]]+TableDailySummary[[#This Row],[Ventas meta ads]]</f>
        <v>0</v>
      </c>
      <c r="AD616" s="14">
        <f>IFERROR(TableDailySummary[[#This Row],[Ventas publicidad]]/TableDailySummary[[#This Row],[Inversión publicidad]],0)</f>
        <v>0</v>
      </c>
      <c r="AE616" s="14">
        <f>IFERROR(TableDailySummary[[#This Row],[Ventas primer cliente]]/TableDailySummary[[#This Row],[Inversión publicidad]],0)</f>
        <v>0</v>
      </c>
      <c r="AF616" s="14"/>
      <c r="AG616" s="11"/>
      <c r="AM616" s="11">
        <f>_xlfn.XLOOKUP(TableDailySummary[[#This Row],[Fecha]],SummaryDaily[day],SummaryDaily[net_sales_with_cost_recorded],0)</f>
        <v>0</v>
      </c>
      <c r="AN616" s="11">
        <f>_xlfn.XLOOKUP(TableDailySummary[[#This Row],[Fecha]],SummaryDaily[day],SummaryDaily[cost_of_goods_sold],0)</f>
        <v>0</v>
      </c>
      <c r="AO616" s="11">
        <f>_xlfn.XLOOKUP(TableDailySummary[[#This Row],[Fecha]],SummaryDaily[day],SummaryDaily[gross_profit],0)</f>
        <v>0</v>
      </c>
      <c r="AP616" s="18">
        <f>IFERROR(TableDailySummary[[#This Row],[Utilidad bruta]]/TableDailySummary[[#This Row],[Ventas netas con costo registrado]],0)</f>
        <v>0</v>
      </c>
    </row>
    <row r="617" spans="2:42" x14ac:dyDescent="0.2">
      <c r="B617" s="15" cm="1">
        <f t="array" ref="B617">ParamFechaInicioReporte + (ROW(TableDailySummary[#This Row]) - ROW(TableDailySummary[[#Headers],[Dia]]) - 1)</f>
        <v>45144</v>
      </c>
      <c r="C617" s="6">
        <f>TableDailySummary[[#This Row],[Dia]]</f>
        <v>45144</v>
      </c>
      <c r="D617" s="11">
        <f>_xlfn.XLOOKUP(TableDailySummary[[#This Row],[Fecha]],SummaryDaily[day],SummaryDaily[net_sales],0)</f>
        <v>0</v>
      </c>
      <c r="E617" s="11">
        <f>_xlfn.XLOOKUP(TableDailySummary[[#This Row],[Fecha]],SummaryDaily[day],SummaryDaily[orders],0)</f>
        <v>0</v>
      </c>
      <c r="F617" s="11">
        <f>_xlfn.XLOOKUP(TableDailySummary[[#This Row],[Fecha]],SummaryDaily[day],SummaryDaily[average_order_value],0)</f>
        <v>0</v>
      </c>
      <c r="G617" s="24" cm="1">
        <f t="array" ref="G617">_xlfn.XLOOKUP(TableDailySummary[[#This Row],[Fecha]]&amp;"Total site",ConversionRateByReferral[day]&amp;ConversionRateByReferral[referrer_source],ConversionRateByReferral[conversion_rate],0)</f>
        <v>0</v>
      </c>
      <c r="H617" s="11">
        <f>TableDailySummary[[#This Row],[Órden promedio totales]]*TableDailySummary[[#This Row],[CR totales]]</f>
        <v>0</v>
      </c>
      <c r="I617" s="11">
        <f>_xlfn.XLOOKUP(TableDailySummary[[#This Row],[Fecha]],SummaryDaily[day],SummaryDaily[new_net_sales],0)</f>
        <v>0</v>
      </c>
      <c r="J617" s="11">
        <f>_xlfn.XLOOKUP(TableDailySummary[[#This Row],[Fecha]],SummaryDaily[day],SummaryDaily[new_orders],0)</f>
        <v>0</v>
      </c>
      <c r="K617" s="11">
        <f>_xlfn.XLOOKUP(TableDailySummary[[#This Row],[Fecha]],SummaryDaily[day],SummaryDaily[new_average_order_value],0)</f>
        <v>0</v>
      </c>
      <c r="L617" s="11">
        <f>_xlfn.XLOOKUP(TableDailySummary[[#This Row],[Fecha]],SummaryDaily[day],SummaryDaily[Online Store_net_sales],0)</f>
        <v>0</v>
      </c>
      <c r="M617" s="11">
        <f>_xlfn.XLOOKUP(TableDailySummary[[#This Row],[Fecha]],SummaryDaily[day],SummaryDaily[Online Store_orders],0)</f>
        <v>0</v>
      </c>
      <c r="N617" s="11">
        <f>_xlfn.XLOOKUP(TableDailySummary[[#This Row],[Fecha]],SummaryDaily[day],SummaryDaily[Online Store_average_order_value],0)</f>
        <v>0</v>
      </c>
      <c r="O617" s="11">
        <f>_xlfn.XLOOKUP(TableDailySummary[[#This Row],[Fecha]],SummaryDaily[day],SummaryDaily[Tienda 81_net_sales],0)</f>
        <v>0</v>
      </c>
      <c r="P617" s="11">
        <f>_xlfn.XLOOKUP(TableDailySummary[[#This Row],[Fecha]],SummaryDaily[day],SummaryDaily[Tienda 81_orders],0)</f>
        <v>0</v>
      </c>
      <c r="Q617" s="11">
        <f>_xlfn.XLOOKUP(TableDailySummary[[#This Row],[Fecha]],SummaryDaily[day],SummaryDaily[Tienda 81_average_order_value],0)</f>
        <v>0</v>
      </c>
      <c r="R617" s="11">
        <f>_xlfn.XLOOKUP(TableDailySummary[[#This Row],[Fecha]],SummaryDaily[day],SummaryDaily[Rappi_net_sales],0)</f>
        <v>0</v>
      </c>
      <c r="S617" s="11">
        <f>_xlfn.XLOOKUP(TableDailySummary[[#This Row],[Fecha]],SummaryDaily[day],SummaryDaily[Rappi_orders],0)</f>
        <v>0</v>
      </c>
      <c r="T617" s="11">
        <f>_xlfn.XLOOKUP(TableDailySummary[[#This Row],[Fecha]],SummaryDaily[day],SummaryDaily[Rappi_average_order_value],0)</f>
        <v>0</v>
      </c>
      <c r="U617" s="11">
        <f>_xlfn.XLOOKUP(TableDailySummary[[#This Row],[Fecha]],SummaryDaily[day],SummaryDaily[Corporativo no tienda_net_sales],0)</f>
        <v>0</v>
      </c>
      <c r="V617" s="11">
        <f>_xlfn.XLOOKUP(TableDailySummary[[#This Row],[Fecha]],SummaryDaily[day],SummaryDaily[Corporativo no tienda_orders],0)</f>
        <v>0</v>
      </c>
      <c r="W617" s="11">
        <f>_xlfn.XLOOKUP(TableDailySummary[[#This Row],[Fecha]],SummaryDaily[day],SummaryDaily[Corporativo no tienda_average_order_value],0)</f>
        <v>0</v>
      </c>
      <c r="X617" s="11">
        <f>_xlfn.XLOOKUP(TableDailySummary[[#This Row],[Fecha]],SummaryDaily[day],SummaryDaily[GoogleAdsOperation.Cost],0)</f>
        <v>0</v>
      </c>
      <c r="Y617" s="11">
        <f>SUMIFS(SalesByUTMDaily[google],SalesByUTMDaily[day],TableDailySummary[[#This Row],[Fecha]])</f>
        <v>0</v>
      </c>
      <c r="Z617" s="11">
        <f>_xlfn.XLOOKUP(TableDailySummary[[#This Row],[Fecha]],SummaryDaily[day],SummaryDaily[MetaAdsOperation.spend],0)</f>
        <v>0</v>
      </c>
      <c r="AA617" s="11">
        <f>SUMIFS(SalesByUTMDaily[facebook],SalesByUTMDaily[day],TableDailySummary[[#This Row],[Fecha]])</f>
        <v>0</v>
      </c>
      <c r="AB617" s="11">
        <f>TableDailySummary[[#This Row],[Inversión google ads]]+TableDailySummary[[#This Row],[Inversión meta ads]]</f>
        <v>0</v>
      </c>
      <c r="AC617" s="11">
        <f>TableDailySummary[[#This Row],[Ventas google ads]]+TableDailySummary[[#This Row],[Ventas meta ads]]</f>
        <v>0</v>
      </c>
      <c r="AD617" s="14">
        <f>IFERROR(TableDailySummary[[#This Row],[Ventas publicidad]]/TableDailySummary[[#This Row],[Inversión publicidad]],0)</f>
        <v>0</v>
      </c>
      <c r="AE617" s="14">
        <f>IFERROR(TableDailySummary[[#This Row],[Ventas primer cliente]]/TableDailySummary[[#This Row],[Inversión publicidad]],0)</f>
        <v>0</v>
      </c>
      <c r="AF617" s="14"/>
      <c r="AG617" s="11"/>
      <c r="AM617" s="11">
        <f>_xlfn.XLOOKUP(TableDailySummary[[#This Row],[Fecha]],SummaryDaily[day],SummaryDaily[net_sales_with_cost_recorded],0)</f>
        <v>0</v>
      </c>
      <c r="AN617" s="11">
        <f>_xlfn.XLOOKUP(TableDailySummary[[#This Row],[Fecha]],SummaryDaily[day],SummaryDaily[cost_of_goods_sold],0)</f>
        <v>0</v>
      </c>
      <c r="AO617" s="11">
        <f>_xlfn.XLOOKUP(TableDailySummary[[#This Row],[Fecha]],SummaryDaily[day],SummaryDaily[gross_profit],0)</f>
        <v>0</v>
      </c>
      <c r="AP617" s="18">
        <f>IFERROR(TableDailySummary[[#This Row],[Utilidad bruta]]/TableDailySummary[[#This Row],[Ventas netas con costo registrado]],0)</f>
        <v>0</v>
      </c>
    </row>
    <row r="618" spans="2:42" x14ac:dyDescent="0.2">
      <c r="B618" s="15" cm="1">
        <f t="array" ref="B618">ParamFechaInicioReporte + (ROW(TableDailySummary[#This Row]) - ROW(TableDailySummary[[#Headers],[Dia]]) - 1)</f>
        <v>45145</v>
      </c>
      <c r="C618" s="6">
        <f>TableDailySummary[[#This Row],[Dia]]</f>
        <v>45145</v>
      </c>
      <c r="D618" s="11">
        <f>_xlfn.XLOOKUP(TableDailySummary[[#This Row],[Fecha]],SummaryDaily[day],SummaryDaily[net_sales],0)</f>
        <v>0</v>
      </c>
      <c r="E618" s="11">
        <f>_xlfn.XLOOKUP(TableDailySummary[[#This Row],[Fecha]],SummaryDaily[day],SummaryDaily[orders],0)</f>
        <v>0</v>
      </c>
      <c r="F618" s="11">
        <f>_xlfn.XLOOKUP(TableDailySummary[[#This Row],[Fecha]],SummaryDaily[day],SummaryDaily[average_order_value],0)</f>
        <v>0</v>
      </c>
      <c r="G618" s="24" cm="1">
        <f t="array" ref="G618">_xlfn.XLOOKUP(TableDailySummary[[#This Row],[Fecha]]&amp;"Total site",ConversionRateByReferral[day]&amp;ConversionRateByReferral[referrer_source],ConversionRateByReferral[conversion_rate],0)</f>
        <v>0</v>
      </c>
      <c r="H618" s="11">
        <f>TableDailySummary[[#This Row],[Órden promedio totales]]*TableDailySummary[[#This Row],[CR totales]]</f>
        <v>0</v>
      </c>
      <c r="I618" s="11">
        <f>_xlfn.XLOOKUP(TableDailySummary[[#This Row],[Fecha]],SummaryDaily[day],SummaryDaily[new_net_sales],0)</f>
        <v>0</v>
      </c>
      <c r="J618" s="11">
        <f>_xlfn.XLOOKUP(TableDailySummary[[#This Row],[Fecha]],SummaryDaily[day],SummaryDaily[new_orders],0)</f>
        <v>0</v>
      </c>
      <c r="K618" s="11">
        <f>_xlfn.XLOOKUP(TableDailySummary[[#This Row],[Fecha]],SummaryDaily[day],SummaryDaily[new_average_order_value],0)</f>
        <v>0</v>
      </c>
      <c r="L618" s="11">
        <f>_xlfn.XLOOKUP(TableDailySummary[[#This Row],[Fecha]],SummaryDaily[day],SummaryDaily[Online Store_net_sales],0)</f>
        <v>0</v>
      </c>
      <c r="M618" s="11">
        <f>_xlfn.XLOOKUP(TableDailySummary[[#This Row],[Fecha]],SummaryDaily[day],SummaryDaily[Online Store_orders],0)</f>
        <v>0</v>
      </c>
      <c r="N618" s="11">
        <f>_xlfn.XLOOKUP(TableDailySummary[[#This Row],[Fecha]],SummaryDaily[day],SummaryDaily[Online Store_average_order_value],0)</f>
        <v>0</v>
      </c>
      <c r="O618" s="11">
        <f>_xlfn.XLOOKUP(TableDailySummary[[#This Row],[Fecha]],SummaryDaily[day],SummaryDaily[Tienda 81_net_sales],0)</f>
        <v>0</v>
      </c>
      <c r="P618" s="11">
        <f>_xlfn.XLOOKUP(TableDailySummary[[#This Row],[Fecha]],SummaryDaily[day],SummaryDaily[Tienda 81_orders],0)</f>
        <v>0</v>
      </c>
      <c r="Q618" s="11">
        <f>_xlfn.XLOOKUP(TableDailySummary[[#This Row],[Fecha]],SummaryDaily[day],SummaryDaily[Tienda 81_average_order_value],0)</f>
        <v>0</v>
      </c>
      <c r="R618" s="11">
        <f>_xlfn.XLOOKUP(TableDailySummary[[#This Row],[Fecha]],SummaryDaily[day],SummaryDaily[Rappi_net_sales],0)</f>
        <v>0</v>
      </c>
      <c r="S618" s="11">
        <f>_xlfn.XLOOKUP(TableDailySummary[[#This Row],[Fecha]],SummaryDaily[day],SummaryDaily[Rappi_orders],0)</f>
        <v>0</v>
      </c>
      <c r="T618" s="11">
        <f>_xlfn.XLOOKUP(TableDailySummary[[#This Row],[Fecha]],SummaryDaily[day],SummaryDaily[Rappi_average_order_value],0)</f>
        <v>0</v>
      </c>
      <c r="U618" s="11">
        <f>_xlfn.XLOOKUP(TableDailySummary[[#This Row],[Fecha]],SummaryDaily[day],SummaryDaily[Corporativo no tienda_net_sales],0)</f>
        <v>0</v>
      </c>
      <c r="V618" s="11">
        <f>_xlfn.XLOOKUP(TableDailySummary[[#This Row],[Fecha]],SummaryDaily[day],SummaryDaily[Corporativo no tienda_orders],0)</f>
        <v>0</v>
      </c>
      <c r="W618" s="11">
        <f>_xlfn.XLOOKUP(TableDailySummary[[#This Row],[Fecha]],SummaryDaily[day],SummaryDaily[Corporativo no tienda_average_order_value],0)</f>
        <v>0</v>
      </c>
      <c r="X618" s="11">
        <f>_xlfn.XLOOKUP(TableDailySummary[[#This Row],[Fecha]],SummaryDaily[day],SummaryDaily[GoogleAdsOperation.Cost],0)</f>
        <v>0</v>
      </c>
      <c r="Y618" s="11">
        <f>SUMIFS(SalesByUTMDaily[google],SalesByUTMDaily[day],TableDailySummary[[#This Row],[Fecha]])</f>
        <v>0</v>
      </c>
      <c r="Z618" s="11">
        <f>_xlfn.XLOOKUP(TableDailySummary[[#This Row],[Fecha]],SummaryDaily[day],SummaryDaily[MetaAdsOperation.spend],0)</f>
        <v>0</v>
      </c>
      <c r="AA618" s="11">
        <f>SUMIFS(SalesByUTMDaily[facebook],SalesByUTMDaily[day],TableDailySummary[[#This Row],[Fecha]])</f>
        <v>0</v>
      </c>
      <c r="AB618" s="11">
        <f>TableDailySummary[[#This Row],[Inversión google ads]]+TableDailySummary[[#This Row],[Inversión meta ads]]</f>
        <v>0</v>
      </c>
      <c r="AC618" s="11">
        <f>TableDailySummary[[#This Row],[Ventas google ads]]+TableDailySummary[[#This Row],[Ventas meta ads]]</f>
        <v>0</v>
      </c>
      <c r="AD618" s="14">
        <f>IFERROR(TableDailySummary[[#This Row],[Ventas publicidad]]/TableDailySummary[[#This Row],[Inversión publicidad]],0)</f>
        <v>0</v>
      </c>
      <c r="AE618" s="14">
        <f>IFERROR(TableDailySummary[[#This Row],[Ventas primer cliente]]/TableDailySummary[[#This Row],[Inversión publicidad]],0)</f>
        <v>0</v>
      </c>
      <c r="AF618" s="14"/>
      <c r="AG618" s="11"/>
      <c r="AM618" s="11">
        <f>_xlfn.XLOOKUP(TableDailySummary[[#This Row],[Fecha]],SummaryDaily[day],SummaryDaily[net_sales_with_cost_recorded],0)</f>
        <v>0</v>
      </c>
      <c r="AN618" s="11">
        <f>_xlfn.XLOOKUP(TableDailySummary[[#This Row],[Fecha]],SummaryDaily[day],SummaryDaily[cost_of_goods_sold],0)</f>
        <v>0</v>
      </c>
      <c r="AO618" s="11">
        <f>_xlfn.XLOOKUP(TableDailySummary[[#This Row],[Fecha]],SummaryDaily[day],SummaryDaily[gross_profit],0)</f>
        <v>0</v>
      </c>
      <c r="AP618" s="18">
        <f>IFERROR(TableDailySummary[[#This Row],[Utilidad bruta]]/TableDailySummary[[#This Row],[Ventas netas con costo registrado]],0)</f>
        <v>0</v>
      </c>
    </row>
    <row r="619" spans="2:42" x14ac:dyDescent="0.2">
      <c r="B619" s="15" cm="1">
        <f t="array" ref="B619">ParamFechaInicioReporte + (ROW(TableDailySummary[#This Row]) - ROW(TableDailySummary[[#Headers],[Dia]]) - 1)</f>
        <v>45146</v>
      </c>
      <c r="C619" s="6">
        <f>TableDailySummary[[#This Row],[Dia]]</f>
        <v>45146</v>
      </c>
      <c r="D619" s="11">
        <f>_xlfn.XLOOKUP(TableDailySummary[[#This Row],[Fecha]],SummaryDaily[day],SummaryDaily[net_sales],0)</f>
        <v>0</v>
      </c>
      <c r="E619" s="11">
        <f>_xlfn.XLOOKUP(TableDailySummary[[#This Row],[Fecha]],SummaryDaily[day],SummaryDaily[orders],0)</f>
        <v>0</v>
      </c>
      <c r="F619" s="11">
        <f>_xlfn.XLOOKUP(TableDailySummary[[#This Row],[Fecha]],SummaryDaily[day],SummaryDaily[average_order_value],0)</f>
        <v>0</v>
      </c>
      <c r="G619" s="24" cm="1">
        <f t="array" ref="G619">_xlfn.XLOOKUP(TableDailySummary[[#This Row],[Fecha]]&amp;"Total site",ConversionRateByReferral[day]&amp;ConversionRateByReferral[referrer_source],ConversionRateByReferral[conversion_rate],0)</f>
        <v>0</v>
      </c>
      <c r="H619" s="11">
        <f>TableDailySummary[[#This Row],[Órden promedio totales]]*TableDailySummary[[#This Row],[CR totales]]</f>
        <v>0</v>
      </c>
      <c r="I619" s="11">
        <f>_xlfn.XLOOKUP(TableDailySummary[[#This Row],[Fecha]],SummaryDaily[day],SummaryDaily[new_net_sales],0)</f>
        <v>0</v>
      </c>
      <c r="J619" s="11">
        <f>_xlfn.XLOOKUP(TableDailySummary[[#This Row],[Fecha]],SummaryDaily[day],SummaryDaily[new_orders],0)</f>
        <v>0</v>
      </c>
      <c r="K619" s="11">
        <f>_xlfn.XLOOKUP(TableDailySummary[[#This Row],[Fecha]],SummaryDaily[day],SummaryDaily[new_average_order_value],0)</f>
        <v>0</v>
      </c>
      <c r="L619" s="11">
        <f>_xlfn.XLOOKUP(TableDailySummary[[#This Row],[Fecha]],SummaryDaily[day],SummaryDaily[Online Store_net_sales],0)</f>
        <v>0</v>
      </c>
      <c r="M619" s="11">
        <f>_xlfn.XLOOKUP(TableDailySummary[[#This Row],[Fecha]],SummaryDaily[day],SummaryDaily[Online Store_orders],0)</f>
        <v>0</v>
      </c>
      <c r="N619" s="11">
        <f>_xlfn.XLOOKUP(TableDailySummary[[#This Row],[Fecha]],SummaryDaily[day],SummaryDaily[Online Store_average_order_value],0)</f>
        <v>0</v>
      </c>
      <c r="O619" s="11">
        <f>_xlfn.XLOOKUP(TableDailySummary[[#This Row],[Fecha]],SummaryDaily[day],SummaryDaily[Tienda 81_net_sales],0)</f>
        <v>0</v>
      </c>
      <c r="P619" s="11">
        <f>_xlfn.XLOOKUP(TableDailySummary[[#This Row],[Fecha]],SummaryDaily[day],SummaryDaily[Tienda 81_orders],0)</f>
        <v>0</v>
      </c>
      <c r="Q619" s="11">
        <f>_xlfn.XLOOKUP(TableDailySummary[[#This Row],[Fecha]],SummaryDaily[day],SummaryDaily[Tienda 81_average_order_value],0)</f>
        <v>0</v>
      </c>
      <c r="R619" s="11">
        <f>_xlfn.XLOOKUP(TableDailySummary[[#This Row],[Fecha]],SummaryDaily[day],SummaryDaily[Rappi_net_sales],0)</f>
        <v>0</v>
      </c>
      <c r="S619" s="11">
        <f>_xlfn.XLOOKUP(TableDailySummary[[#This Row],[Fecha]],SummaryDaily[day],SummaryDaily[Rappi_orders],0)</f>
        <v>0</v>
      </c>
      <c r="T619" s="11">
        <f>_xlfn.XLOOKUP(TableDailySummary[[#This Row],[Fecha]],SummaryDaily[day],SummaryDaily[Rappi_average_order_value],0)</f>
        <v>0</v>
      </c>
      <c r="U619" s="11">
        <f>_xlfn.XLOOKUP(TableDailySummary[[#This Row],[Fecha]],SummaryDaily[day],SummaryDaily[Corporativo no tienda_net_sales],0)</f>
        <v>0</v>
      </c>
      <c r="V619" s="11">
        <f>_xlfn.XLOOKUP(TableDailySummary[[#This Row],[Fecha]],SummaryDaily[day],SummaryDaily[Corporativo no tienda_orders],0)</f>
        <v>0</v>
      </c>
      <c r="W619" s="11">
        <f>_xlfn.XLOOKUP(TableDailySummary[[#This Row],[Fecha]],SummaryDaily[day],SummaryDaily[Corporativo no tienda_average_order_value],0)</f>
        <v>0</v>
      </c>
      <c r="X619" s="11">
        <f>_xlfn.XLOOKUP(TableDailySummary[[#This Row],[Fecha]],SummaryDaily[day],SummaryDaily[GoogleAdsOperation.Cost],0)</f>
        <v>0</v>
      </c>
      <c r="Y619" s="11">
        <f>SUMIFS(SalesByUTMDaily[google],SalesByUTMDaily[day],TableDailySummary[[#This Row],[Fecha]])</f>
        <v>0</v>
      </c>
      <c r="Z619" s="11">
        <f>_xlfn.XLOOKUP(TableDailySummary[[#This Row],[Fecha]],SummaryDaily[day],SummaryDaily[MetaAdsOperation.spend],0)</f>
        <v>0</v>
      </c>
      <c r="AA619" s="11">
        <f>SUMIFS(SalesByUTMDaily[facebook],SalesByUTMDaily[day],TableDailySummary[[#This Row],[Fecha]])</f>
        <v>0</v>
      </c>
      <c r="AB619" s="11">
        <f>TableDailySummary[[#This Row],[Inversión google ads]]+TableDailySummary[[#This Row],[Inversión meta ads]]</f>
        <v>0</v>
      </c>
      <c r="AC619" s="11">
        <f>TableDailySummary[[#This Row],[Ventas google ads]]+TableDailySummary[[#This Row],[Ventas meta ads]]</f>
        <v>0</v>
      </c>
      <c r="AD619" s="14">
        <f>IFERROR(TableDailySummary[[#This Row],[Ventas publicidad]]/TableDailySummary[[#This Row],[Inversión publicidad]],0)</f>
        <v>0</v>
      </c>
      <c r="AE619" s="14">
        <f>IFERROR(TableDailySummary[[#This Row],[Ventas primer cliente]]/TableDailySummary[[#This Row],[Inversión publicidad]],0)</f>
        <v>0</v>
      </c>
      <c r="AF619" s="14"/>
      <c r="AG619" s="11"/>
      <c r="AM619" s="11">
        <f>_xlfn.XLOOKUP(TableDailySummary[[#This Row],[Fecha]],SummaryDaily[day],SummaryDaily[net_sales_with_cost_recorded],0)</f>
        <v>0</v>
      </c>
      <c r="AN619" s="11">
        <f>_xlfn.XLOOKUP(TableDailySummary[[#This Row],[Fecha]],SummaryDaily[day],SummaryDaily[cost_of_goods_sold],0)</f>
        <v>0</v>
      </c>
      <c r="AO619" s="11">
        <f>_xlfn.XLOOKUP(TableDailySummary[[#This Row],[Fecha]],SummaryDaily[day],SummaryDaily[gross_profit],0)</f>
        <v>0</v>
      </c>
      <c r="AP619" s="18">
        <f>IFERROR(TableDailySummary[[#This Row],[Utilidad bruta]]/TableDailySummary[[#This Row],[Ventas netas con costo registrado]],0)</f>
        <v>0</v>
      </c>
    </row>
    <row r="620" spans="2:42" x14ac:dyDescent="0.2">
      <c r="B620" s="15" cm="1">
        <f t="array" ref="B620">ParamFechaInicioReporte + (ROW(TableDailySummary[#This Row]) - ROW(TableDailySummary[[#Headers],[Dia]]) - 1)</f>
        <v>45147</v>
      </c>
      <c r="C620" s="6">
        <f>TableDailySummary[[#This Row],[Dia]]</f>
        <v>45147</v>
      </c>
      <c r="D620" s="11">
        <f>_xlfn.XLOOKUP(TableDailySummary[[#This Row],[Fecha]],SummaryDaily[day],SummaryDaily[net_sales],0)</f>
        <v>0</v>
      </c>
      <c r="E620" s="11">
        <f>_xlfn.XLOOKUP(TableDailySummary[[#This Row],[Fecha]],SummaryDaily[day],SummaryDaily[orders],0)</f>
        <v>0</v>
      </c>
      <c r="F620" s="11">
        <f>_xlfn.XLOOKUP(TableDailySummary[[#This Row],[Fecha]],SummaryDaily[day],SummaryDaily[average_order_value],0)</f>
        <v>0</v>
      </c>
      <c r="G620" s="24" cm="1">
        <f t="array" ref="G620">_xlfn.XLOOKUP(TableDailySummary[[#This Row],[Fecha]]&amp;"Total site",ConversionRateByReferral[day]&amp;ConversionRateByReferral[referrer_source],ConversionRateByReferral[conversion_rate],0)</f>
        <v>0</v>
      </c>
      <c r="H620" s="11">
        <f>TableDailySummary[[#This Row],[Órden promedio totales]]*TableDailySummary[[#This Row],[CR totales]]</f>
        <v>0</v>
      </c>
      <c r="I620" s="11">
        <f>_xlfn.XLOOKUP(TableDailySummary[[#This Row],[Fecha]],SummaryDaily[day],SummaryDaily[new_net_sales],0)</f>
        <v>0</v>
      </c>
      <c r="J620" s="11">
        <f>_xlfn.XLOOKUP(TableDailySummary[[#This Row],[Fecha]],SummaryDaily[day],SummaryDaily[new_orders],0)</f>
        <v>0</v>
      </c>
      <c r="K620" s="11">
        <f>_xlfn.XLOOKUP(TableDailySummary[[#This Row],[Fecha]],SummaryDaily[day],SummaryDaily[new_average_order_value],0)</f>
        <v>0</v>
      </c>
      <c r="L620" s="11">
        <f>_xlfn.XLOOKUP(TableDailySummary[[#This Row],[Fecha]],SummaryDaily[day],SummaryDaily[Online Store_net_sales],0)</f>
        <v>0</v>
      </c>
      <c r="M620" s="11">
        <f>_xlfn.XLOOKUP(TableDailySummary[[#This Row],[Fecha]],SummaryDaily[day],SummaryDaily[Online Store_orders],0)</f>
        <v>0</v>
      </c>
      <c r="N620" s="11">
        <f>_xlfn.XLOOKUP(TableDailySummary[[#This Row],[Fecha]],SummaryDaily[day],SummaryDaily[Online Store_average_order_value],0)</f>
        <v>0</v>
      </c>
      <c r="O620" s="11">
        <f>_xlfn.XLOOKUP(TableDailySummary[[#This Row],[Fecha]],SummaryDaily[day],SummaryDaily[Tienda 81_net_sales],0)</f>
        <v>0</v>
      </c>
      <c r="P620" s="11">
        <f>_xlfn.XLOOKUP(TableDailySummary[[#This Row],[Fecha]],SummaryDaily[day],SummaryDaily[Tienda 81_orders],0)</f>
        <v>0</v>
      </c>
      <c r="Q620" s="11">
        <f>_xlfn.XLOOKUP(TableDailySummary[[#This Row],[Fecha]],SummaryDaily[day],SummaryDaily[Tienda 81_average_order_value],0)</f>
        <v>0</v>
      </c>
      <c r="R620" s="11">
        <f>_xlfn.XLOOKUP(TableDailySummary[[#This Row],[Fecha]],SummaryDaily[day],SummaryDaily[Rappi_net_sales],0)</f>
        <v>0</v>
      </c>
      <c r="S620" s="11">
        <f>_xlfn.XLOOKUP(TableDailySummary[[#This Row],[Fecha]],SummaryDaily[day],SummaryDaily[Rappi_orders],0)</f>
        <v>0</v>
      </c>
      <c r="T620" s="11">
        <f>_xlfn.XLOOKUP(TableDailySummary[[#This Row],[Fecha]],SummaryDaily[day],SummaryDaily[Rappi_average_order_value],0)</f>
        <v>0</v>
      </c>
      <c r="U620" s="11">
        <f>_xlfn.XLOOKUP(TableDailySummary[[#This Row],[Fecha]],SummaryDaily[day],SummaryDaily[Corporativo no tienda_net_sales],0)</f>
        <v>0</v>
      </c>
      <c r="V620" s="11">
        <f>_xlfn.XLOOKUP(TableDailySummary[[#This Row],[Fecha]],SummaryDaily[day],SummaryDaily[Corporativo no tienda_orders],0)</f>
        <v>0</v>
      </c>
      <c r="W620" s="11">
        <f>_xlfn.XLOOKUP(TableDailySummary[[#This Row],[Fecha]],SummaryDaily[day],SummaryDaily[Corporativo no tienda_average_order_value],0)</f>
        <v>0</v>
      </c>
      <c r="X620" s="11">
        <f>_xlfn.XLOOKUP(TableDailySummary[[#This Row],[Fecha]],SummaryDaily[day],SummaryDaily[GoogleAdsOperation.Cost],0)</f>
        <v>0</v>
      </c>
      <c r="Y620" s="11">
        <f>SUMIFS(SalesByUTMDaily[google],SalesByUTMDaily[day],TableDailySummary[[#This Row],[Fecha]])</f>
        <v>0</v>
      </c>
      <c r="Z620" s="11">
        <f>_xlfn.XLOOKUP(TableDailySummary[[#This Row],[Fecha]],SummaryDaily[day],SummaryDaily[MetaAdsOperation.spend],0)</f>
        <v>0</v>
      </c>
      <c r="AA620" s="11">
        <f>SUMIFS(SalesByUTMDaily[facebook],SalesByUTMDaily[day],TableDailySummary[[#This Row],[Fecha]])</f>
        <v>0</v>
      </c>
      <c r="AB620" s="11">
        <f>TableDailySummary[[#This Row],[Inversión google ads]]+TableDailySummary[[#This Row],[Inversión meta ads]]</f>
        <v>0</v>
      </c>
      <c r="AC620" s="11">
        <f>TableDailySummary[[#This Row],[Ventas google ads]]+TableDailySummary[[#This Row],[Ventas meta ads]]</f>
        <v>0</v>
      </c>
      <c r="AD620" s="14">
        <f>IFERROR(TableDailySummary[[#This Row],[Ventas publicidad]]/TableDailySummary[[#This Row],[Inversión publicidad]],0)</f>
        <v>0</v>
      </c>
      <c r="AE620" s="14">
        <f>IFERROR(TableDailySummary[[#This Row],[Ventas primer cliente]]/TableDailySummary[[#This Row],[Inversión publicidad]],0)</f>
        <v>0</v>
      </c>
      <c r="AF620" s="14"/>
      <c r="AG620" s="11"/>
      <c r="AM620" s="11">
        <f>_xlfn.XLOOKUP(TableDailySummary[[#This Row],[Fecha]],SummaryDaily[day],SummaryDaily[net_sales_with_cost_recorded],0)</f>
        <v>0</v>
      </c>
      <c r="AN620" s="11">
        <f>_xlfn.XLOOKUP(TableDailySummary[[#This Row],[Fecha]],SummaryDaily[day],SummaryDaily[cost_of_goods_sold],0)</f>
        <v>0</v>
      </c>
      <c r="AO620" s="11">
        <f>_xlfn.XLOOKUP(TableDailySummary[[#This Row],[Fecha]],SummaryDaily[day],SummaryDaily[gross_profit],0)</f>
        <v>0</v>
      </c>
      <c r="AP620" s="18">
        <f>IFERROR(TableDailySummary[[#This Row],[Utilidad bruta]]/TableDailySummary[[#This Row],[Ventas netas con costo registrado]],0)</f>
        <v>0</v>
      </c>
    </row>
    <row r="621" spans="2:42" x14ac:dyDescent="0.2">
      <c r="B621" s="15" cm="1">
        <f t="array" ref="B621">ParamFechaInicioReporte + (ROW(TableDailySummary[#This Row]) - ROW(TableDailySummary[[#Headers],[Dia]]) - 1)</f>
        <v>45148</v>
      </c>
      <c r="C621" s="6">
        <f>TableDailySummary[[#This Row],[Dia]]</f>
        <v>45148</v>
      </c>
      <c r="D621" s="11">
        <f>_xlfn.XLOOKUP(TableDailySummary[[#This Row],[Fecha]],SummaryDaily[day],SummaryDaily[net_sales],0)</f>
        <v>0</v>
      </c>
      <c r="E621" s="11">
        <f>_xlfn.XLOOKUP(TableDailySummary[[#This Row],[Fecha]],SummaryDaily[day],SummaryDaily[orders],0)</f>
        <v>0</v>
      </c>
      <c r="F621" s="11">
        <f>_xlfn.XLOOKUP(TableDailySummary[[#This Row],[Fecha]],SummaryDaily[day],SummaryDaily[average_order_value],0)</f>
        <v>0</v>
      </c>
      <c r="G621" s="24" cm="1">
        <f t="array" ref="G621">_xlfn.XLOOKUP(TableDailySummary[[#This Row],[Fecha]]&amp;"Total site",ConversionRateByReferral[day]&amp;ConversionRateByReferral[referrer_source],ConversionRateByReferral[conversion_rate],0)</f>
        <v>0</v>
      </c>
      <c r="H621" s="11">
        <f>TableDailySummary[[#This Row],[Órden promedio totales]]*TableDailySummary[[#This Row],[CR totales]]</f>
        <v>0</v>
      </c>
      <c r="I621" s="11">
        <f>_xlfn.XLOOKUP(TableDailySummary[[#This Row],[Fecha]],SummaryDaily[day],SummaryDaily[new_net_sales],0)</f>
        <v>0</v>
      </c>
      <c r="J621" s="11">
        <f>_xlfn.XLOOKUP(TableDailySummary[[#This Row],[Fecha]],SummaryDaily[day],SummaryDaily[new_orders],0)</f>
        <v>0</v>
      </c>
      <c r="K621" s="11">
        <f>_xlfn.XLOOKUP(TableDailySummary[[#This Row],[Fecha]],SummaryDaily[day],SummaryDaily[new_average_order_value],0)</f>
        <v>0</v>
      </c>
      <c r="L621" s="11">
        <f>_xlfn.XLOOKUP(TableDailySummary[[#This Row],[Fecha]],SummaryDaily[day],SummaryDaily[Online Store_net_sales],0)</f>
        <v>0</v>
      </c>
      <c r="M621" s="11">
        <f>_xlfn.XLOOKUP(TableDailySummary[[#This Row],[Fecha]],SummaryDaily[day],SummaryDaily[Online Store_orders],0)</f>
        <v>0</v>
      </c>
      <c r="N621" s="11">
        <f>_xlfn.XLOOKUP(TableDailySummary[[#This Row],[Fecha]],SummaryDaily[day],SummaryDaily[Online Store_average_order_value],0)</f>
        <v>0</v>
      </c>
      <c r="O621" s="11">
        <f>_xlfn.XLOOKUP(TableDailySummary[[#This Row],[Fecha]],SummaryDaily[day],SummaryDaily[Tienda 81_net_sales],0)</f>
        <v>0</v>
      </c>
      <c r="P621" s="11">
        <f>_xlfn.XLOOKUP(TableDailySummary[[#This Row],[Fecha]],SummaryDaily[day],SummaryDaily[Tienda 81_orders],0)</f>
        <v>0</v>
      </c>
      <c r="Q621" s="11">
        <f>_xlfn.XLOOKUP(TableDailySummary[[#This Row],[Fecha]],SummaryDaily[day],SummaryDaily[Tienda 81_average_order_value],0)</f>
        <v>0</v>
      </c>
      <c r="R621" s="11">
        <f>_xlfn.XLOOKUP(TableDailySummary[[#This Row],[Fecha]],SummaryDaily[day],SummaryDaily[Rappi_net_sales],0)</f>
        <v>0</v>
      </c>
      <c r="S621" s="11">
        <f>_xlfn.XLOOKUP(TableDailySummary[[#This Row],[Fecha]],SummaryDaily[day],SummaryDaily[Rappi_orders],0)</f>
        <v>0</v>
      </c>
      <c r="T621" s="11">
        <f>_xlfn.XLOOKUP(TableDailySummary[[#This Row],[Fecha]],SummaryDaily[day],SummaryDaily[Rappi_average_order_value],0)</f>
        <v>0</v>
      </c>
      <c r="U621" s="11">
        <f>_xlfn.XLOOKUP(TableDailySummary[[#This Row],[Fecha]],SummaryDaily[day],SummaryDaily[Corporativo no tienda_net_sales],0)</f>
        <v>0</v>
      </c>
      <c r="V621" s="11">
        <f>_xlfn.XLOOKUP(TableDailySummary[[#This Row],[Fecha]],SummaryDaily[day],SummaryDaily[Corporativo no tienda_orders],0)</f>
        <v>0</v>
      </c>
      <c r="W621" s="11">
        <f>_xlfn.XLOOKUP(TableDailySummary[[#This Row],[Fecha]],SummaryDaily[day],SummaryDaily[Corporativo no tienda_average_order_value],0)</f>
        <v>0</v>
      </c>
      <c r="X621" s="11">
        <f>_xlfn.XLOOKUP(TableDailySummary[[#This Row],[Fecha]],SummaryDaily[day],SummaryDaily[GoogleAdsOperation.Cost],0)</f>
        <v>0</v>
      </c>
      <c r="Y621" s="11">
        <f>SUMIFS(SalesByUTMDaily[google],SalesByUTMDaily[day],TableDailySummary[[#This Row],[Fecha]])</f>
        <v>0</v>
      </c>
      <c r="Z621" s="11">
        <f>_xlfn.XLOOKUP(TableDailySummary[[#This Row],[Fecha]],SummaryDaily[day],SummaryDaily[MetaAdsOperation.spend],0)</f>
        <v>0</v>
      </c>
      <c r="AA621" s="11">
        <f>SUMIFS(SalesByUTMDaily[facebook],SalesByUTMDaily[day],TableDailySummary[[#This Row],[Fecha]])</f>
        <v>0</v>
      </c>
      <c r="AB621" s="11">
        <f>TableDailySummary[[#This Row],[Inversión google ads]]+TableDailySummary[[#This Row],[Inversión meta ads]]</f>
        <v>0</v>
      </c>
      <c r="AC621" s="11">
        <f>TableDailySummary[[#This Row],[Ventas google ads]]+TableDailySummary[[#This Row],[Ventas meta ads]]</f>
        <v>0</v>
      </c>
      <c r="AD621" s="14">
        <f>IFERROR(TableDailySummary[[#This Row],[Ventas publicidad]]/TableDailySummary[[#This Row],[Inversión publicidad]],0)</f>
        <v>0</v>
      </c>
      <c r="AE621" s="14">
        <f>IFERROR(TableDailySummary[[#This Row],[Ventas primer cliente]]/TableDailySummary[[#This Row],[Inversión publicidad]],0)</f>
        <v>0</v>
      </c>
      <c r="AF621" s="14"/>
      <c r="AG621" s="11"/>
      <c r="AM621" s="11">
        <f>_xlfn.XLOOKUP(TableDailySummary[[#This Row],[Fecha]],SummaryDaily[day],SummaryDaily[net_sales_with_cost_recorded],0)</f>
        <v>0</v>
      </c>
      <c r="AN621" s="11">
        <f>_xlfn.XLOOKUP(TableDailySummary[[#This Row],[Fecha]],SummaryDaily[day],SummaryDaily[cost_of_goods_sold],0)</f>
        <v>0</v>
      </c>
      <c r="AO621" s="11">
        <f>_xlfn.XLOOKUP(TableDailySummary[[#This Row],[Fecha]],SummaryDaily[day],SummaryDaily[gross_profit],0)</f>
        <v>0</v>
      </c>
      <c r="AP621" s="18">
        <f>IFERROR(TableDailySummary[[#This Row],[Utilidad bruta]]/TableDailySummary[[#This Row],[Ventas netas con costo registrado]],0)</f>
        <v>0</v>
      </c>
    </row>
    <row r="622" spans="2:42" x14ac:dyDescent="0.2">
      <c r="B622" s="15" cm="1">
        <f t="array" ref="B622">ParamFechaInicioReporte + (ROW(TableDailySummary[#This Row]) - ROW(TableDailySummary[[#Headers],[Dia]]) - 1)</f>
        <v>45149</v>
      </c>
      <c r="C622" s="6">
        <f>TableDailySummary[[#This Row],[Dia]]</f>
        <v>45149</v>
      </c>
      <c r="D622" s="11">
        <f>_xlfn.XLOOKUP(TableDailySummary[[#This Row],[Fecha]],SummaryDaily[day],SummaryDaily[net_sales],0)</f>
        <v>0</v>
      </c>
      <c r="E622" s="11">
        <f>_xlfn.XLOOKUP(TableDailySummary[[#This Row],[Fecha]],SummaryDaily[day],SummaryDaily[orders],0)</f>
        <v>0</v>
      </c>
      <c r="F622" s="11">
        <f>_xlfn.XLOOKUP(TableDailySummary[[#This Row],[Fecha]],SummaryDaily[day],SummaryDaily[average_order_value],0)</f>
        <v>0</v>
      </c>
      <c r="G622" s="24" cm="1">
        <f t="array" ref="G622">_xlfn.XLOOKUP(TableDailySummary[[#This Row],[Fecha]]&amp;"Total site",ConversionRateByReferral[day]&amp;ConversionRateByReferral[referrer_source],ConversionRateByReferral[conversion_rate],0)</f>
        <v>0</v>
      </c>
      <c r="H622" s="11">
        <f>TableDailySummary[[#This Row],[Órden promedio totales]]*TableDailySummary[[#This Row],[CR totales]]</f>
        <v>0</v>
      </c>
      <c r="I622" s="11">
        <f>_xlfn.XLOOKUP(TableDailySummary[[#This Row],[Fecha]],SummaryDaily[day],SummaryDaily[new_net_sales],0)</f>
        <v>0</v>
      </c>
      <c r="J622" s="11">
        <f>_xlfn.XLOOKUP(TableDailySummary[[#This Row],[Fecha]],SummaryDaily[day],SummaryDaily[new_orders],0)</f>
        <v>0</v>
      </c>
      <c r="K622" s="11">
        <f>_xlfn.XLOOKUP(TableDailySummary[[#This Row],[Fecha]],SummaryDaily[day],SummaryDaily[new_average_order_value],0)</f>
        <v>0</v>
      </c>
      <c r="L622" s="11">
        <f>_xlfn.XLOOKUP(TableDailySummary[[#This Row],[Fecha]],SummaryDaily[day],SummaryDaily[Online Store_net_sales],0)</f>
        <v>0</v>
      </c>
      <c r="M622" s="11">
        <f>_xlfn.XLOOKUP(TableDailySummary[[#This Row],[Fecha]],SummaryDaily[day],SummaryDaily[Online Store_orders],0)</f>
        <v>0</v>
      </c>
      <c r="N622" s="11">
        <f>_xlfn.XLOOKUP(TableDailySummary[[#This Row],[Fecha]],SummaryDaily[day],SummaryDaily[Online Store_average_order_value],0)</f>
        <v>0</v>
      </c>
      <c r="O622" s="11">
        <f>_xlfn.XLOOKUP(TableDailySummary[[#This Row],[Fecha]],SummaryDaily[day],SummaryDaily[Tienda 81_net_sales],0)</f>
        <v>0</v>
      </c>
      <c r="P622" s="11">
        <f>_xlfn.XLOOKUP(TableDailySummary[[#This Row],[Fecha]],SummaryDaily[day],SummaryDaily[Tienda 81_orders],0)</f>
        <v>0</v>
      </c>
      <c r="Q622" s="11">
        <f>_xlfn.XLOOKUP(TableDailySummary[[#This Row],[Fecha]],SummaryDaily[day],SummaryDaily[Tienda 81_average_order_value],0)</f>
        <v>0</v>
      </c>
      <c r="R622" s="11">
        <f>_xlfn.XLOOKUP(TableDailySummary[[#This Row],[Fecha]],SummaryDaily[day],SummaryDaily[Rappi_net_sales],0)</f>
        <v>0</v>
      </c>
      <c r="S622" s="11">
        <f>_xlfn.XLOOKUP(TableDailySummary[[#This Row],[Fecha]],SummaryDaily[day],SummaryDaily[Rappi_orders],0)</f>
        <v>0</v>
      </c>
      <c r="T622" s="11">
        <f>_xlfn.XLOOKUP(TableDailySummary[[#This Row],[Fecha]],SummaryDaily[day],SummaryDaily[Rappi_average_order_value],0)</f>
        <v>0</v>
      </c>
      <c r="U622" s="11">
        <f>_xlfn.XLOOKUP(TableDailySummary[[#This Row],[Fecha]],SummaryDaily[day],SummaryDaily[Corporativo no tienda_net_sales],0)</f>
        <v>0</v>
      </c>
      <c r="V622" s="11">
        <f>_xlfn.XLOOKUP(TableDailySummary[[#This Row],[Fecha]],SummaryDaily[day],SummaryDaily[Corporativo no tienda_orders],0)</f>
        <v>0</v>
      </c>
      <c r="W622" s="11">
        <f>_xlfn.XLOOKUP(TableDailySummary[[#This Row],[Fecha]],SummaryDaily[day],SummaryDaily[Corporativo no tienda_average_order_value],0)</f>
        <v>0</v>
      </c>
      <c r="X622" s="11">
        <f>_xlfn.XLOOKUP(TableDailySummary[[#This Row],[Fecha]],SummaryDaily[day],SummaryDaily[GoogleAdsOperation.Cost],0)</f>
        <v>0</v>
      </c>
      <c r="Y622" s="11">
        <f>SUMIFS(SalesByUTMDaily[google],SalesByUTMDaily[day],TableDailySummary[[#This Row],[Fecha]])</f>
        <v>0</v>
      </c>
      <c r="Z622" s="11">
        <f>_xlfn.XLOOKUP(TableDailySummary[[#This Row],[Fecha]],SummaryDaily[day],SummaryDaily[MetaAdsOperation.spend],0)</f>
        <v>0</v>
      </c>
      <c r="AA622" s="11">
        <f>SUMIFS(SalesByUTMDaily[facebook],SalesByUTMDaily[day],TableDailySummary[[#This Row],[Fecha]])</f>
        <v>0</v>
      </c>
      <c r="AB622" s="11">
        <f>TableDailySummary[[#This Row],[Inversión google ads]]+TableDailySummary[[#This Row],[Inversión meta ads]]</f>
        <v>0</v>
      </c>
      <c r="AC622" s="11">
        <f>TableDailySummary[[#This Row],[Ventas google ads]]+TableDailySummary[[#This Row],[Ventas meta ads]]</f>
        <v>0</v>
      </c>
      <c r="AD622" s="14">
        <f>IFERROR(TableDailySummary[[#This Row],[Ventas publicidad]]/TableDailySummary[[#This Row],[Inversión publicidad]],0)</f>
        <v>0</v>
      </c>
      <c r="AE622" s="14">
        <f>IFERROR(TableDailySummary[[#This Row],[Ventas primer cliente]]/TableDailySummary[[#This Row],[Inversión publicidad]],0)</f>
        <v>0</v>
      </c>
      <c r="AF622" s="14"/>
      <c r="AG622" s="11"/>
      <c r="AM622" s="11">
        <f>_xlfn.XLOOKUP(TableDailySummary[[#This Row],[Fecha]],SummaryDaily[day],SummaryDaily[net_sales_with_cost_recorded],0)</f>
        <v>0</v>
      </c>
      <c r="AN622" s="11">
        <f>_xlfn.XLOOKUP(TableDailySummary[[#This Row],[Fecha]],SummaryDaily[day],SummaryDaily[cost_of_goods_sold],0)</f>
        <v>0</v>
      </c>
      <c r="AO622" s="11">
        <f>_xlfn.XLOOKUP(TableDailySummary[[#This Row],[Fecha]],SummaryDaily[day],SummaryDaily[gross_profit],0)</f>
        <v>0</v>
      </c>
      <c r="AP622" s="18">
        <f>IFERROR(TableDailySummary[[#This Row],[Utilidad bruta]]/TableDailySummary[[#This Row],[Ventas netas con costo registrado]],0)</f>
        <v>0</v>
      </c>
    </row>
    <row r="623" spans="2:42" x14ac:dyDescent="0.2">
      <c r="B623" s="15" cm="1">
        <f t="array" ref="B623">ParamFechaInicioReporte + (ROW(TableDailySummary[#This Row]) - ROW(TableDailySummary[[#Headers],[Dia]]) - 1)</f>
        <v>45150</v>
      </c>
      <c r="C623" s="6">
        <f>TableDailySummary[[#This Row],[Dia]]</f>
        <v>45150</v>
      </c>
      <c r="D623" s="11">
        <f>_xlfn.XLOOKUP(TableDailySummary[[#This Row],[Fecha]],SummaryDaily[day],SummaryDaily[net_sales],0)</f>
        <v>0</v>
      </c>
      <c r="E623" s="11">
        <f>_xlfn.XLOOKUP(TableDailySummary[[#This Row],[Fecha]],SummaryDaily[day],SummaryDaily[orders],0)</f>
        <v>0</v>
      </c>
      <c r="F623" s="11">
        <f>_xlfn.XLOOKUP(TableDailySummary[[#This Row],[Fecha]],SummaryDaily[day],SummaryDaily[average_order_value],0)</f>
        <v>0</v>
      </c>
      <c r="G623" s="24" cm="1">
        <f t="array" ref="G623">_xlfn.XLOOKUP(TableDailySummary[[#This Row],[Fecha]]&amp;"Total site",ConversionRateByReferral[day]&amp;ConversionRateByReferral[referrer_source],ConversionRateByReferral[conversion_rate],0)</f>
        <v>0</v>
      </c>
      <c r="H623" s="11">
        <f>TableDailySummary[[#This Row],[Órden promedio totales]]*TableDailySummary[[#This Row],[CR totales]]</f>
        <v>0</v>
      </c>
      <c r="I623" s="11">
        <f>_xlfn.XLOOKUP(TableDailySummary[[#This Row],[Fecha]],SummaryDaily[day],SummaryDaily[new_net_sales],0)</f>
        <v>0</v>
      </c>
      <c r="J623" s="11">
        <f>_xlfn.XLOOKUP(TableDailySummary[[#This Row],[Fecha]],SummaryDaily[day],SummaryDaily[new_orders],0)</f>
        <v>0</v>
      </c>
      <c r="K623" s="11">
        <f>_xlfn.XLOOKUP(TableDailySummary[[#This Row],[Fecha]],SummaryDaily[day],SummaryDaily[new_average_order_value],0)</f>
        <v>0</v>
      </c>
      <c r="L623" s="11">
        <f>_xlfn.XLOOKUP(TableDailySummary[[#This Row],[Fecha]],SummaryDaily[day],SummaryDaily[Online Store_net_sales],0)</f>
        <v>0</v>
      </c>
      <c r="M623" s="11">
        <f>_xlfn.XLOOKUP(TableDailySummary[[#This Row],[Fecha]],SummaryDaily[day],SummaryDaily[Online Store_orders],0)</f>
        <v>0</v>
      </c>
      <c r="N623" s="11">
        <f>_xlfn.XLOOKUP(TableDailySummary[[#This Row],[Fecha]],SummaryDaily[day],SummaryDaily[Online Store_average_order_value],0)</f>
        <v>0</v>
      </c>
      <c r="O623" s="11">
        <f>_xlfn.XLOOKUP(TableDailySummary[[#This Row],[Fecha]],SummaryDaily[day],SummaryDaily[Tienda 81_net_sales],0)</f>
        <v>0</v>
      </c>
      <c r="P623" s="11">
        <f>_xlfn.XLOOKUP(TableDailySummary[[#This Row],[Fecha]],SummaryDaily[day],SummaryDaily[Tienda 81_orders],0)</f>
        <v>0</v>
      </c>
      <c r="Q623" s="11">
        <f>_xlfn.XLOOKUP(TableDailySummary[[#This Row],[Fecha]],SummaryDaily[day],SummaryDaily[Tienda 81_average_order_value],0)</f>
        <v>0</v>
      </c>
      <c r="R623" s="11">
        <f>_xlfn.XLOOKUP(TableDailySummary[[#This Row],[Fecha]],SummaryDaily[day],SummaryDaily[Rappi_net_sales],0)</f>
        <v>0</v>
      </c>
      <c r="S623" s="11">
        <f>_xlfn.XLOOKUP(TableDailySummary[[#This Row],[Fecha]],SummaryDaily[day],SummaryDaily[Rappi_orders],0)</f>
        <v>0</v>
      </c>
      <c r="T623" s="11">
        <f>_xlfn.XLOOKUP(TableDailySummary[[#This Row],[Fecha]],SummaryDaily[day],SummaryDaily[Rappi_average_order_value],0)</f>
        <v>0</v>
      </c>
      <c r="U623" s="11">
        <f>_xlfn.XLOOKUP(TableDailySummary[[#This Row],[Fecha]],SummaryDaily[day],SummaryDaily[Corporativo no tienda_net_sales],0)</f>
        <v>0</v>
      </c>
      <c r="V623" s="11">
        <f>_xlfn.XLOOKUP(TableDailySummary[[#This Row],[Fecha]],SummaryDaily[day],SummaryDaily[Corporativo no tienda_orders],0)</f>
        <v>0</v>
      </c>
      <c r="W623" s="11">
        <f>_xlfn.XLOOKUP(TableDailySummary[[#This Row],[Fecha]],SummaryDaily[day],SummaryDaily[Corporativo no tienda_average_order_value],0)</f>
        <v>0</v>
      </c>
      <c r="X623" s="11">
        <f>_xlfn.XLOOKUP(TableDailySummary[[#This Row],[Fecha]],SummaryDaily[day],SummaryDaily[GoogleAdsOperation.Cost],0)</f>
        <v>0</v>
      </c>
      <c r="Y623" s="11">
        <f>SUMIFS(SalesByUTMDaily[google],SalesByUTMDaily[day],TableDailySummary[[#This Row],[Fecha]])</f>
        <v>0</v>
      </c>
      <c r="Z623" s="11">
        <f>_xlfn.XLOOKUP(TableDailySummary[[#This Row],[Fecha]],SummaryDaily[day],SummaryDaily[MetaAdsOperation.spend],0)</f>
        <v>0</v>
      </c>
      <c r="AA623" s="11">
        <f>SUMIFS(SalesByUTMDaily[facebook],SalesByUTMDaily[day],TableDailySummary[[#This Row],[Fecha]])</f>
        <v>0</v>
      </c>
      <c r="AB623" s="11">
        <f>TableDailySummary[[#This Row],[Inversión google ads]]+TableDailySummary[[#This Row],[Inversión meta ads]]</f>
        <v>0</v>
      </c>
      <c r="AC623" s="11">
        <f>TableDailySummary[[#This Row],[Ventas google ads]]+TableDailySummary[[#This Row],[Ventas meta ads]]</f>
        <v>0</v>
      </c>
      <c r="AD623" s="14">
        <f>IFERROR(TableDailySummary[[#This Row],[Ventas publicidad]]/TableDailySummary[[#This Row],[Inversión publicidad]],0)</f>
        <v>0</v>
      </c>
      <c r="AE623" s="14">
        <f>IFERROR(TableDailySummary[[#This Row],[Ventas primer cliente]]/TableDailySummary[[#This Row],[Inversión publicidad]],0)</f>
        <v>0</v>
      </c>
      <c r="AF623" s="14"/>
      <c r="AG623" s="11"/>
      <c r="AM623" s="11">
        <f>_xlfn.XLOOKUP(TableDailySummary[[#This Row],[Fecha]],SummaryDaily[day],SummaryDaily[net_sales_with_cost_recorded],0)</f>
        <v>0</v>
      </c>
      <c r="AN623" s="11">
        <f>_xlfn.XLOOKUP(TableDailySummary[[#This Row],[Fecha]],SummaryDaily[day],SummaryDaily[cost_of_goods_sold],0)</f>
        <v>0</v>
      </c>
      <c r="AO623" s="11">
        <f>_xlfn.XLOOKUP(TableDailySummary[[#This Row],[Fecha]],SummaryDaily[day],SummaryDaily[gross_profit],0)</f>
        <v>0</v>
      </c>
      <c r="AP623" s="18">
        <f>IFERROR(TableDailySummary[[#This Row],[Utilidad bruta]]/TableDailySummary[[#This Row],[Ventas netas con costo registrado]],0)</f>
        <v>0</v>
      </c>
    </row>
    <row r="624" spans="2:42" x14ac:dyDescent="0.2">
      <c r="B624" s="15" cm="1">
        <f t="array" ref="B624">ParamFechaInicioReporte + (ROW(TableDailySummary[#This Row]) - ROW(TableDailySummary[[#Headers],[Dia]]) - 1)</f>
        <v>45151</v>
      </c>
      <c r="C624" s="6">
        <f>TableDailySummary[[#This Row],[Dia]]</f>
        <v>45151</v>
      </c>
      <c r="D624" s="11">
        <f>_xlfn.XLOOKUP(TableDailySummary[[#This Row],[Fecha]],SummaryDaily[day],SummaryDaily[net_sales],0)</f>
        <v>0</v>
      </c>
      <c r="E624" s="11">
        <f>_xlfn.XLOOKUP(TableDailySummary[[#This Row],[Fecha]],SummaryDaily[day],SummaryDaily[orders],0)</f>
        <v>0</v>
      </c>
      <c r="F624" s="11">
        <f>_xlfn.XLOOKUP(TableDailySummary[[#This Row],[Fecha]],SummaryDaily[day],SummaryDaily[average_order_value],0)</f>
        <v>0</v>
      </c>
      <c r="G624" s="24" cm="1">
        <f t="array" ref="G624">_xlfn.XLOOKUP(TableDailySummary[[#This Row],[Fecha]]&amp;"Total site",ConversionRateByReferral[day]&amp;ConversionRateByReferral[referrer_source],ConversionRateByReferral[conversion_rate],0)</f>
        <v>0</v>
      </c>
      <c r="H624" s="11">
        <f>TableDailySummary[[#This Row],[Órden promedio totales]]*TableDailySummary[[#This Row],[CR totales]]</f>
        <v>0</v>
      </c>
      <c r="I624" s="11">
        <f>_xlfn.XLOOKUP(TableDailySummary[[#This Row],[Fecha]],SummaryDaily[day],SummaryDaily[new_net_sales],0)</f>
        <v>0</v>
      </c>
      <c r="J624" s="11">
        <f>_xlfn.XLOOKUP(TableDailySummary[[#This Row],[Fecha]],SummaryDaily[day],SummaryDaily[new_orders],0)</f>
        <v>0</v>
      </c>
      <c r="K624" s="11">
        <f>_xlfn.XLOOKUP(TableDailySummary[[#This Row],[Fecha]],SummaryDaily[day],SummaryDaily[new_average_order_value],0)</f>
        <v>0</v>
      </c>
      <c r="L624" s="11">
        <f>_xlfn.XLOOKUP(TableDailySummary[[#This Row],[Fecha]],SummaryDaily[day],SummaryDaily[Online Store_net_sales],0)</f>
        <v>0</v>
      </c>
      <c r="M624" s="11">
        <f>_xlfn.XLOOKUP(TableDailySummary[[#This Row],[Fecha]],SummaryDaily[day],SummaryDaily[Online Store_orders],0)</f>
        <v>0</v>
      </c>
      <c r="N624" s="11">
        <f>_xlfn.XLOOKUP(TableDailySummary[[#This Row],[Fecha]],SummaryDaily[day],SummaryDaily[Online Store_average_order_value],0)</f>
        <v>0</v>
      </c>
      <c r="O624" s="11">
        <f>_xlfn.XLOOKUP(TableDailySummary[[#This Row],[Fecha]],SummaryDaily[day],SummaryDaily[Tienda 81_net_sales],0)</f>
        <v>0</v>
      </c>
      <c r="P624" s="11">
        <f>_xlfn.XLOOKUP(TableDailySummary[[#This Row],[Fecha]],SummaryDaily[day],SummaryDaily[Tienda 81_orders],0)</f>
        <v>0</v>
      </c>
      <c r="Q624" s="11">
        <f>_xlfn.XLOOKUP(TableDailySummary[[#This Row],[Fecha]],SummaryDaily[day],SummaryDaily[Tienda 81_average_order_value],0)</f>
        <v>0</v>
      </c>
      <c r="R624" s="11">
        <f>_xlfn.XLOOKUP(TableDailySummary[[#This Row],[Fecha]],SummaryDaily[day],SummaryDaily[Rappi_net_sales],0)</f>
        <v>0</v>
      </c>
      <c r="S624" s="11">
        <f>_xlfn.XLOOKUP(TableDailySummary[[#This Row],[Fecha]],SummaryDaily[day],SummaryDaily[Rappi_orders],0)</f>
        <v>0</v>
      </c>
      <c r="T624" s="11">
        <f>_xlfn.XLOOKUP(TableDailySummary[[#This Row],[Fecha]],SummaryDaily[day],SummaryDaily[Rappi_average_order_value],0)</f>
        <v>0</v>
      </c>
      <c r="U624" s="11">
        <f>_xlfn.XLOOKUP(TableDailySummary[[#This Row],[Fecha]],SummaryDaily[day],SummaryDaily[Corporativo no tienda_net_sales],0)</f>
        <v>0</v>
      </c>
      <c r="V624" s="11">
        <f>_xlfn.XLOOKUP(TableDailySummary[[#This Row],[Fecha]],SummaryDaily[day],SummaryDaily[Corporativo no tienda_orders],0)</f>
        <v>0</v>
      </c>
      <c r="W624" s="11">
        <f>_xlfn.XLOOKUP(TableDailySummary[[#This Row],[Fecha]],SummaryDaily[day],SummaryDaily[Corporativo no tienda_average_order_value],0)</f>
        <v>0</v>
      </c>
      <c r="X624" s="11">
        <f>_xlfn.XLOOKUP(TableDailySummary[[#This Row],[Fecha]],SummaryDaily[day],SummaryDaily[GoogleAdsOperation.Cost],0)</f>
        <v>0</v>
      </c>
      <c r="Y624" s="11">
        <f>SUMIFS(SalesByUTMDaily[google],SalesByUTMDaily[day],TableDailySummary[[#This Row],[Fecha]])</f>
        <v>0</v>
      </c>
      <c r="Z624" s="11">
        <f>_xlfn.XLOOKUP(TableDailySummary[[#This Row],[Fecha]],SummaryDaily[day],SummaryDaily[MetaAdsOperation.spend],0)</f>
        <v>0</v>
      </c>
      <c r="AA624" s="11">
        <f>SUMIFS(SalesByUTMDaily[facebook],SalesByUTMDaily[day],TableDailySummary[[#This Row],[Fecha]])</f>
        <v>0</v>
      </c>
      <c r="AB624" s="11">
        <f>TableDailySummary[[#This Row],[Inversión google ads]]+TableDailySummary[[#This Row],[Inversión meta ads]]</f>
        <v>0</v>
      </c>
      <c r="AC624" s="11">
        <f>TableDailySummary[[#This Row],[Ventas google ads]]+TableDailySummary[[#This Row],[Ventas meta ads]]</f>
        <v>0</v>
      </c>
      <c r="AD624" s="14">
        <f>IFERROR(TableDailySummary[[#This Row],[Ventas publicidad]]/TableDailySummary[[#This Row],[Inversión publicidad]],0)</f>
        <v>0</v>
      </c>
      <c r="AE624" s="14">
        <f>IFERROR(TableDailySummary[[#This Row],[Ventas primer cliente]]/TableDailySummary[[#This Row],[Inversión publicidad]],0)</f>
        <v>0</v>
      </c>
      <c r="AF624" s="14"/>
      <c r="AG624" s="11"/>
      <c r="AM624" s="11">
        <f>_xlfn.XLOOKUP(TableDailySummary[[#This Row],[Fecha]],SummaryDaily[day],SummaryDaily[net_sales_with_cost_recorded],0)</f>
        <v>0</v>
      </c>
      <c r="AN624" s="11">
        <f>_xlfn.XLOOKUP(TableDailySummary[[#This Row],[Fecha]],SummaryDaily[day],SummaryDaily[cost_of_goods_sold],0)</f>
        <v>0</v>
      </c>
      <c r="AO624" s="11">
        <f>_xlfn.XLOOKUP(TableDailySummary[[#This Row],[Fecha]],SummaryDaily[day],SummaryDaily[gross_profit],0)</f>
        <v>0</v>
      </c>
      <c r="AP624" s="18">
        <f>IFERROR(TableDailySummary[[#This Row],[Utilidad bruta]]/TableDailySummary[[#This Row],[Ventas netas con costo registrado]],0)</f>
        <v>0</v>
      </c>
    </row>
    <row r="625" spans="2:42" x14ac:dyDescent="0.2">
      <c r="B625" s="15" cm="1">
        <f t="array" ref="B625">ParamFechaInicioReporte + (ROW(TableDailySummary[#This Row]) - ROW(TableDailySummary[[#Headers],[Dia]]) - 1)</f>
        <v>45152</v>
      </c>
      <c r="C625" s="6">
        <f>TableDailySummary[[#This Row],[Dia]]</f>
        <v>45152</v>
      </c>
      <c r="D625" s="11">
        <f>_xlfn.XLOOKUP(TableDailySummary[[#This Row],[Fecha]],SummaryDaily[day],SummaryDaily[net_sales],0)</f>
        <v>0</v>
      </c>
      <c r="E625" s="11">
        <f>_xlfn.XLOOKUP(TableDailySummary[[#This Row],[Fecha]],SummaryDaily[day],SummaryDaily[orders],0)</f>
        <v>0</v>
      </c>
      <c r="F625" s="11">
        <f>_xlfn.XLOOKUP(TableDailySummary[[#This Row],[Fecha]],SummaryDaily[day],SummaryDaily[average_order_value],0)</f>
        <v>0</v>
      </c>
      <c r="G625" s="24" cm="1">
        <f t="array" ref="G625">_xlfn.XLOOKUP(TableDailySummary[[#This Row],[Fecha]]&amp;"Total site",ConversionRateByReferral[day]&amp;ConversionRateByReferral[referrer_source],ConversionRateByReferral[conversion_rate],0)</f>
        <v>0</v>
      </c>
      <c r="H625" s="11">
        <f>TableDailySummary[[#This Row],[Órden promedio totales]]*TableDailySummary[[#This Row],[CR totales]]</f>
        <v>0</v>
      </c>
      <c r="I625" s="11">
        <f>_xlfn.XLOOKUP(TableDailySummary[[#This Row],[Fecha]],SummaryDaily[day],SummaryDaily[new_net_sales],0)</f>
        <v>0</v>
      </c>
      <c r="J625" s="11">
        <f>_xlfn.XLOOKUP(TableDailySummary[[#This Row],[Fecha]],SummaryDaily[day],SummaryDaily[new_orders],0)</f>
        <v>0</v>
      </c>
      <c r="K625" s="11">
        <f>_xlfn.XLOOKUP(TableDailySummary[[#This Row],[Fecha]],SummaryDaily[day],SummaryDaily[new_average_order_value],0)</f>
        <v>0</v>
      </c>
      <c r="L625" s="11">
        <f>_xlfn.XLOOKUP(TableDailySummary[[#This Row],[Fecha]],SummaryDaily[day],SummaryDaily[Online Store_net_sales],0)</f>
        <v>0</v>
      </c>
      <c r="M625" s="11">
        <f>_xlfn.XLOOKUP(TableDailySummary[[#This Row],[Fecha]],SummaryDaily[day],SummaryDaily[Online Store_orders],0)</f>
        <v>0</v>
      </c>
      <c r="N625" s="11">
        <f>_xlfn.XLOOKUP(TableDailySummary[[#This Row],[Fecha]],SummaryDaily[day],SummaryDaily[Online Store_average_order_value],0)</f>
        <v>0</v>
      </c>
      <c r="O625" s="11">
        <f>_xlfn.XLOOKUP(TableDailySummary[[#This Row],[Fecha]],SummaryDaily[day],SummaryDaily[Tienda 81_net_sales],0)</f>
        <v>0</v>
      </c>
      <c r="P625" s="11">
        <f>_xlfn.XLOOKUP(TableDailySummary[[#This Row],[Fecha]],SummaryDaily[day],SummaryDaily[Tienda 81_orders],0)</f>
        <v>0</v>
      </c>
      <c r="Q625" s="11">
        <f>_xlfn.XLOOKUP(TableDailySummary[[#This Row],[Fecha]],SummaryDaily[day],SummaryDaily[Tienda 81_average_order_value],0)</f>
        <v>0</v>
      </c>
      <c r="R625" s="11">
        <f>_xlfn.XLOOKUP(TableDailySummary[[#This Row],[Fecha]],SummaryDaily[day],SummaryDaily[Rappi_net_sales],0)</f>
        <v>0</v>
      </c>
      <c r="S625" s="11">
        <f>_xlfn.XLOOKUP(TableDailySummary[[#This Row],[Fecha]],SummaryDaily[day],SummaryDaily[Rappi_orders],0)</f>
        <v>0</v>
      </c>
      <c r="T625" s="11">
        <f>_xlfn.XLOOKUP(TableDailySummary[[#This Row],[Fecha]],SummaryDaily[day],SummaryDaily[Rappi_average_order_value],0)</f>
        <v>0</v>
      </c>
      <c r="U625" s="11">
        <f>_xlfn.XLOOKUP(TableDailySummary[[#This Row],[Fecha]],SummaryDaily[day],SummaryDaily[Corporativo no tienda_net_sales],0)</f>
        <v>0</v>
      </c>
      <c r="V625" s="11">
        <f>_xlfn.XLOOKUP(TableDailySummary[[#This Row],[Fecha]],SummaryDaily[day],SummaryDaily[Corporativo no tienda_orders],0)</f>
        <v>0</v>
      </c>
      <c r="W625" s="11">
        <f>_xlfn.XLOOKUP(TableDailySummary[[#This Row],[Fecha]],SummaryDaily[day],SummaryDaily[Corporativo no tienda_average_order_value],0)</f>
        <v>0</v>
      </c>
      <c r="X625" s="11">
        <f>_xlfn.XLOOKUP(TableDailySummary[[#This Row],[Fecha]],SummaryDaily[day],SummaryDaily[GoogleAdsOperation.Cost],0)</f>
        <v>0</v>
      </c>
      <c r="Y625" s="11">
        <f>SUMIFS(SalesByUTMDaily[google],SalesByUTMDaily[day],TableDailySummary[[#This Row],[Fecha]])</f>
        <v>0</v>
      </c>
      <c r="Z625" s="11">
        <f>_xlfn.XLOOKUP(TableDailySummary[[#This Row],[Fecha]],SummaryDaily[day],SummaryDaily[MetaAdsOperation.spend],0)</f>
        <v>0</v>
      </c>
      <c r="AA625" s="11">
        <f>SUMIFS(SalesByUTMDaily[facebook],SalesByUTMDaily[day],TableDailySummary[[#This Row],[Fecha]])</f>
        <v>0</v>
      </c>
      <c r="AB625" s="11">
        <f>TableDailySummary[[#This Row],[Inversión google ads]]+TableDailySummary[[#This Row],[Inversión meta ads]]</f>
        <v>0</v>
      </c>
      <c r="AC625" s="11">
        <f>TableDailySummary[[#This Row],[Ventas google ads]]+TableDailySummary[[#This Row],[Ventas meta ads]]</f>
        <v>0</v>
      </c>
      <c r="AD625" s="14">
        <f>IFERROR(TableDailySummary[[#This Row],[Ventas publicidad]]/TableDailySummary[[#This Row],[Inversión publicidad]],0)</f>
        <v>0</v>
      </c>
      <c r="AE625" s="14">
        <f>IFERROR(TableDailySummary[[#This Row],[Ventas primer cliente]]/TableDailySummary[[#This Row],[Inversión publicidad]],0)</f>
        <v>0</v>
      </c>
      <c r="AF625" s="14"/>
      <c r="AG625" s="11"/>
      <c r="AM625" s="11">
        <f>_xlfn.XLOOKUP(TableDailySummary[[#This Row],[Fecha]],SummaryDaily[day],SummaryDaily[net_sales_with_cost_recorded],0)</f>
        <v>0</v>
      </c>
      <c r="AN625" s="11">
        <f>_xlfn.XLOOKUP(TableDailySummary[[#This Row],[Fecha]],SummaryDaily[day],SummaryDaily[cost_of_goods_sold],0)</f>
        <v>0</v>
      </c>
      <c r="AO625" s="11">
        <f>_xlfn.XLOOKUP(TableDailySummary[[#This Row],[Fecha]],SummaryDaily[day],SummaryDaily[gross_profit],0)</f>
        <v>0</v>
      </c>
      <c r="AP625" s="18">
        <f>IFERROR(TableDailySummary[[#This Row],[Utilidad bruta]]/TableDailySummary[[#This Row],[Ventas netas con costo registrado]],0)</f>
        <v>0</v>
      </c>
    </row>
    <row r="626" spans="2:42" x14ac:dyDescent="0.2">
      <c r="B626" s="15" cm="1">
        <f t="array" ref="B626">ParamFechaInicioReporte + (ROW(TableDailySummary[#This Row]) - ROW(TableDailySummary[[#Headers],[Dia]]) - 1)</f>
        <v>45153</v>
      </c>
      <c r="C626" s="6">
        <f>TableDailySummary[[#This Row],[Dia]]</f>
        <v>45153</v>
      </c>
      <c r="D626" s="11">
        <f>_xlfn.XLOOKUP(TableDailySummary[[#This Row],[Fecha]],SummaryDaily[day],SummaryDaily[net_sales],0)</f>
        <v>0</v>
      </c>
      <c r="E626" s="11">
        <f>_xlfn.XLOOKUP(TableDailySummary[[#This Row],[Fecha]],SummaryDaily[day],SummaryDaily[orders],0)</f>
        <v>0</v>
      </c>
      <c r="F626" s="11">
        <f>_xlfn.XLOOKUP(TableDailySummary[[#This Row],[Fecha]],SummaryDaily[day],SummaryDaily[average_order_value],0)</f>
        <v>0</v>
      </c>
      <c r="G626" s="24" cm="1">
        <f t="array" ref="G626">_xlfn.XLOOKUP(TableDailySummary[[#This Row],[Fecha]]&amp;"Total site",ConversionRateByReferral[day]&amp;ConversionRateByReferral[referrer_source],ConversionRateByReferral[conversion_rate],0)</f>
        <v>0</v>
      </c>
      <c r="H626" s="11">
        <f>TableDailySummary[[#This Row],[Órden promedio totales]]*TableDailySummary[[#This Row],[CR totales]]</f>
        <v>0</v>
      </c>
      <c r="I626" s="11">
        <f>_xlfn.XLOOKUP(TableDailySummary[[#This Row],[Fecha]],SummaryDaily[day],SummaryDaily[new_net_sales],0)</f>
        <v>0</v>
      </c>
      <c r="J626" s="11">
        <f>_xlfn.XLOOKUP(TableDailySummary[[#This Row],[Fecha]],SummaryDaily[day],SummaryDaily[new_orders],0)</f>
        <v>0</v>
      </c>
      <c r="K626" s="11">
        <f>_xlfn.XLOOKUP(TableDailySummary[[#This Row],[Fecha]],SummaryDaily[day],SummaryDaily[new_average_order_value],0)</f>
        <v>0</v>
      </c>
      <c r="L626" s="11">
        <f>_xlfn.XLOOKUP(TableDailySummary[[#This Row],[Fecha]],SummaryDaily[day],SummaryDaily[Online Store_net_sales],0)</f>
        <v>0</v>
      </c>
      <c r="M626" s="11">
        <f>_xlfn.XLOOKUP(TableDailySummary[[#This Row],[Fecha]],SummaryDaily[day],SummaryDaily[Online Store_orders],0)</f>
        <v>0</v>
      </c>
      <c r="N626" s="11">
        <f>_xlfn.XLOOKUP(TableDailySummary[[#This Row],[Fecha]],SummaryDaily[day],SummaryDaily[Online Store_average_order_value],0)</f>
        <v>0</v>
      </c>
      <c r="O626" s="11">
        <f>_xlfn.XLOOKUP(TableDailySummary[[#This Row],[Fecha]],SummaryDaily[day],SummaryDaily[Tienda 81_net_sales],0)</f>
        <v>0</v>
      </c>
      <c r="P626" s="11">
        <f>_xlfn.XLOOKUP(TableDailySummary[[#This Row],[Fecha]],SummaryDaily[day],SummaryDaily[Tienda 81_orders],0)</f>
        <v>0</v>
      </c>
      <c r="Q626" s="11">
        <f>_xlfn.XLOOKUP(TableDailySummary[[#This Row],[Fecha]],SummaryDaily[day],SummaryDaily[Tienda 81_average_order_value],0)</f>
        <v>0</v>
      </c>
      <c r="R626" s="11">
        <f>_xlfn.XLOOKUP(TableDailySummary[[#This Row],[Fecha]],SummaryDaily[day],SummaryDaily[Rappi_net_sales],0)</f>
        <v>0</v>
      </c>
      <c r="S626" s="11">
        <f>_xlfn.XLOOKUP(TableDailySummary[[#This Row],[Fecha]],SummaryDaily[day],SummaryDaily[Rappi_orders],0)</f>
        <v>0</v>
      </c>
      <c r="T626" s="11">
        <f>_xlfn.XLOOKUP(TableDailySummary[[#This Row],[Fecha]],SummaryDaily[day],SummaryDaily[Rappi_average_order_value],0)</f>
        <v>0</v>
      </c>
      <c r="U626" s="11">
        <f>_xlfn.XLOOKUP(TableDailySummary[[#This Row],[Fecha]],SummaryDaily[day],SummaryDaily[Corporativo no tienda_net_sales],0)</f>
        <v>0</v>
      </c>
      <c r="V626" s="11">
        <f>_xlfn.XLOOKUP(TableDailySummary[[#This Row],[Fecha]],SummaryDaily[day],SummaryDaily[Corporativo no tienda_orders],0)</f>
        <v>0</v>
      </c>
      <c r="W626" s="11">
        <f>_xlfn.XLOOKUP(TableDailySummary[[#This Row],[Fecha]],SummaryDaily[day],SummaryDaily[Corporativo no tienda_average_order_value],0)</f>
        <v>0</v>
      </c>
      <c r="X626" s="11">
        <f>_xlfn.XLOOKUP(TableDailySummary[[#This Row],[Fecha]],SummaryDaily[day],SummaryDaily[GoogleAdsOperation.Cost],0)</f>
        <v>0</v>
      </c>
      <c r="Y626" s="11">
        <f>SUMIFS(SalesByUTMDaily[google],SalesByUTMDaily[day],TableDailySummary[[#This Row],[Fecha]])</f>
        <v>0</v>
      </c>
      <c r="Z626" s="11">
        <f>_xlfn.XLOOKUP(TableDailySummary[[#This Row],[Fecha]],SummaryDaily[day],SummaryDaily[MetaAdsOperation.spend],0)</f>
        <v>0</v>
      </c>
      <c r="AA626" s="11">
        <f>SUMIFS(SalesByUTMDaily[facebook],SalesByUTMDaily[day],TableDailySummary[[#This Row],[Fecha]])</f>
        <v>0</v>
      </c>
      <c r="AB626" s="11">
        <f>TableDailySummary[[#This Row],[Inversión google ads]]+TableDailySummary[[#This Row],[Inversión meta ads]]</f>
        <v>0</v>
      </c>
      <c r="AC626" s="11">
        <f>TableDailySummary[[#This Row],[Ventas google ads]]+TableDailySummary[[#This Row],[Ventas meta ads]]</f>
        <v>0</v>
      </c>
      <c r="AD626" s="14">
        <f>IFERROR(TableDailySummary[[#This Row],[Ventas publicidad]]/TableDailySummary[[#This Row],[Inversión publicidad]],0)</f>
        <v>0</v>
      </c>
      <c r="AE626" s="14">
        <f>IFERROR(TableDailySummary[[#This Row],[Ventas primer cliente]]/TableDailySummary[[#This Row],[Inversión publicidad]],0)</f>
        <v>0</v>
      </c>
      <c r="AF626" s="14"/>
      <c r="AG626" s="11"/>
      <c r="AM626" s="11">
        <f>_xlfn.XLOOKUP(TableDailySummary[[#This Row],[Fecha]],SummaryDaily[day],SummaryDaily[net_sales_with_cost_recorded],0)</f>
        <v>0</v>
      </c>
      <c r="AN626" s="11">
        <f>_xlfn.XLOOKUP(TableDailySummary[[#This Row],[Fecha]],SummaryDaily[day],SummaryDaily[cost_of_goods_sold],0)</f>
        <v>0</v>
      </c>
      <c r="AO626" s="11">
        <f>_xlfn.XLOOKUP(TableDailySummary[[#This Row],[Fecha]],SummaryDaily[day],SummaryDaily[gross_profit],0)</f>
        <v>0</v>
      </c>
      <c r="AP626" s="18">
        <f>IFERROR(TableDailySummary[[#This Row],[Utilidad bruta]]/TableDailySummary[[#This Row],[Ventas netas con costo registrado]],0)</f>
        <v>0</v>
      </c>
    </row>
    <row r="627" spans="2:42" x14ac:dyDescent="0.2">
      <c r="B627" s="15" cm="1">
        <f t="array" ref="B627">ParamFechaInicioReporte + (ROW(TableDailySummary[#This Row]) - ROW(TableDailySummary[[#Headers],[Dia]]) - 1)</f>
        <v>45154</v>
      </c>
      <c r="C627" s="6">
        <f>TableDailySummary[[#This Row],[Dia]]</f>
        <v>45154</v>
      </c>
      <c r="D627" s="11">
        <f>_xlfn.XLOOKUP(TableDailySummary[[#This Row],[Fecha]],SummaryDaily[day],SummaryDaily[net_sales],0)</f>
        <v>0</v>
      </c>
      <c r="E627" s="11">
        <f>_xlfn.XLOOKUP(TableDailySummary[[#This Row],[Fecha]],SummaryDaily[day],SummaryDaily[orders],0)</f>
        <v>0</v>
      </c>
      <c r="F627" s="11">
        <f>_xlfn.XLOOKUP(TableDailySummary[[#This Row],[Fecha]],SummaryDaily[day],SummaryDaily[average_order_value],0)</f>
        <v>0</v>
      </c>
      <c r="G627" s="24" cm="1">
        <f t="array" ref="G627">_xlfn.XLOOKUP(TableDailySummary[[#This Row],[Fecha]]&amp;"Total site",ConversionRateByReferral[day]&amp;ConversionRateByReferral[referrer_source],ConversionRateByReferral[conversion_rate],0)</f>
        <v>0</v>
      </c>
      <c r="H627" s="11">
        <f>TableDailySummary[[#This Row],[Órden promedio totales]]*TableDailySummary[[#This Row],[CR totales]]</f>
        <v>0</v>
      </c>
      <c r="I627" s="11">
        <f>_xlfn.XLOOKUP(TableDailySummary[[#This Row],[Fecha]],SummaryDaily[day],SummaryDaily[new_net_sales],0)</f>
        <v>0</v>
      </c>
      <c r="J627" s="11">
        <f>_xlfn.XLOOKUP(TableDailySummary[[#This Row],[Fecha]],SummaryDaily[day],SummaryDaily[new_orders],0)</f>
        <v>0</v>
      </c>
      <c r="K627" s="11">
        <f>_xlfn.XLOOKUP(TableDailySummary[[#This Row],[Fecha]],SummaryDaily[day],SummaryDaily[new_average_order_value],0)</f>
        <v>0</v>
      </c>
      <c r="L627" s="11">
        <f>_xlfn.XLOOKUP(TableDailySummary[[#This Row],[Fecha]],SummaryDaily[day],SummaryDaily[Online Store_net_sales],0)</f>
        <v>0</v>
      </c>
      <c r="M627" s="11">
        <f>_xlfn.XLOOKUP(TableDailySummary[[#This Row],[Fecha]],SummaryDaily[day],SummaryDaily[Online Store_orders],0)</f>
        <v>0</v>
      </c>
      <c r="N627" s="11">
        <f>_xlfn.XLOOKUP(TableDailySummary[[#This Row],[Fecha]],SummaryDaily[day],SummaryDaily[Online Store_average_order_value],0)</f>
        <v>0</v>
      </c>
      <c r="O627" s="11">
        <f>_xlfn.XLOOKUP(TableDailySummary[[#This Row],[Fecha]],SummaryDaily[day],SummaryDaily[Tienda 81_net_sales],0)</f>
        <v>0</v>
      </c>
      <c r="P627" s="11">
        <f>_xlfn.XLOOKUP(TableDailySummary[[#This Row],[Fecha]],SummaryDaily[day],SummaryDaily[Tienda 81_orders],0)</f>
        <v>0</v>
      </c>
      <c r="Q627" s="11">
        <f>_xlfn.XLOOKUP(TableDailySummary[[#This Row],[Fecha]],SummaryDaily[day],SummaryDaily[Tienda 81_average_order_value],0)</f>
        <v>0</v>
      </c>
      <c r="R627" s="11">
        <f>_xlfn.XLOOKUP(TableDailySummary[[#This Row],[Fecha]],SummaryDaily[day],SummaryDaily[Rappi_net_sales],0)</f>
        <v>0</v>
      </c>
      <c r="S627" s="11">
        <f>_xlfn.XLOOKUP(TableDailySummary[[#This Row],[Fecha]],SummaryDaily[day],SummaryDaily[Rappi_orders],0)</f>
        <v>0</v>
      </c>
      <c r="T627" s="11">
        <f>_xlfn.XLOOKUP(TableDailySummary[[#This Row],[Fecha]],SummaryDaily[day],SummaryDaily[Rappi_average_order_value],0)</f>
        <v>0</v>
      </c>
      <c r="U627" s="11">
        <f>_xlfn.XLOOKUP(TableDailySummary[[#This Row],[Fecha]],SummaryDaily[day],SummaryDaily[Corporativo no tienda_net_sales],0)</f>
        <v>0</v>
      </c>
      <c r="V627" s="11">
        <f>_xlfn.XLOOKUP(TableDailySummary[[#This Row],[Fecha]],SummaryDaily[day],SummaryDaily[Corporativo no tienda_orders],0)</f>
        <v>0</v>
      </c>
      <c r="W627" s="11">
        <f>_xlfn.XLOOKUP(TableDailySummary[[#This Row],[Fecha]],SummaryDaily[day],SummaryDaily[Corporativo no tienda_average_order_value],0)</f>
        <v>0</v>
      </c>
      <c r="X627" s="11">
        <f>_xlfn.XLOOKUP(TableDailySummary[[#This Row],[Fecha]],SummaryDaily[day],SummaryDaily[GoogleAdsOperation.Cost],0)</f>
        <v>0</v>
      </c>
      <c r="Y627" s="11">
        <f>SUMIFS(SalesByUTMDaily[google],SalesByUTMDaily[day],TableDailySummary[[#This Row],[Fecha]])</f>
        <v>0</v>
      </c>
      <c r="Z627" s="11">
        <f>_xlfn.XLOOKUP(TableDailySummary[[#This Row],[Fecha]],SummaryDaily[day],SummaryDaily[MetaAdsOperation.spend],0)</f>
        <v>0</v>
      </c>
      <c r="AA627" s="11">
        <f>SUMIFS(SalesByUTMDaily[facebook],SalesByUTMDaily[day],TableDailySummary[[#This Row],[Fecha]])</f>
        <v>0</v>
      </c>
      <c r="AB627" s="11">
        <f>TableDailySummary[[#This Row],[Inversión google ads]]+TableDailySummary[[#This Row],[Inversión meta ads]]</f>
        <v>0</v>
      </c>
      <c r="AC627" s="11">
        <f>TableDailySummary[[#This Row],[Ventas google ads]]+TableDailySummary[[#This Row],[Ventas meta ads]]</f>
        <v>0</v>
      </c>
      <c r="AD627" s="14">
        <f>IFERROR(TableDailySummary[[#This Row],[Ventas publicidad]]/TableDailySummary[[#This Row],[Inversión publicidad]],0)</f>
        <v>0</v>
      </c>
      <c r="AE627" s="14">
        <f>IFERROR(TableDailySummary[[#This Row],[Ventas primer cliente]]/TableDailySummary[[#This Row],[Inversión publicidad]],0)</f>
        <v>0</v>
      </c>
      <c r="AF627" s="14"/>
      <c r="AG627" s="11"/>
      <c r="AM627" s="11">
        <f>_xlfn.XLOOKUP(TableDailySummary[[#This Row],[Fecha]],SummaryDaily[day],SummaryDaily[net_sales_with_cost_recorded],0)</f>
        <v>0</v>
      </c>
      <c r="AN627" s="11">
        <f>_xlfn.XLOOKUP(TableDailySummary[[#This Row],[Fecha]],SummaryDaily[day],SummaryDaily[cost_of_goods_sold],0)</f>
        <v>0</v>
      </c>
      <c r="AO627" s="11">
        <f>_xlfn.XLOOKUP(TableDailySummary[[#This Row],[Fecha]],SummaryDaily[day],SummaryDaily[gross_profit],0)</f>
        <v>0</v>
      </c>
      <c r="AP627" s="18">
        <f>IFERROR(TableDailySummary[[#This Row],[Utilidad bruta]]/TableDailySummary[[#This Row],[Ventas netas con costo registrado]],0)</f>
        <v>0</v>
      </c>
    </row>
    <row r="628" spans="2:42" x14ac:dyDescent="0.2">
      <c r="B628" s="15" cm="1">
        <f t="array" ref="B628">ParamFechaInicioReporte + (ROW(TableDailySummary[#This Row]) - ROW(TableDailySummary[[#Headers],[Dia]]) - 1)</f>
        <v>45155</v>
      </c>
      <c r="C628" s="6">
        <f>TableDailySummary[[#This Row],[Dia]]</f>
        <v>45155</v>
      </c>
      <c r="D628" s="11">
        <f>_xlfn.XLOOKUP(TableDailySummary[[#This Row],[Fecha]],SummaryDaily[day],SummaryDaily[net_sales],0)</f>
        <v>0</v>
      </c>
      <c r="E628" s="11">
        <f>_xlfn.XLOOKUP(TableDailySummary[[#This Row],[Fecha]],SummaryDaily[day],SummaryDaily[orders],0)</f>
        <v>0</v>
      </c>
      <c r="F628" s="11">
        <f>_xlfn.XLOOKUP(TableDailySummary[[#This Row],[Fecha]],SummaryDaily[day],SummaryDaily[average_order_value],0)</f>
        <v>0</v>
      </c>
      <c r="G628" s="24" cm="1">
        <f t="array" ref="G628">_xlfn.XLOOKUP(TableDailySummary[[#This Row],[Fecha]]&amp;"Total site",ConversionRateByReferral[day]&amp;ConversionRateByReferral[referrer_source],ConversionRateByReferral[conversion_rate],0)</f>
        <v>0</v>
      </c>
      <c r="H628" s="11">
        <f>TableDailySummary[[#This Row],[Órden promedio totales]]*TableDailySummary[[#This Row],[CR totales]]</f>
        <v>0</v>
      </c>
      <c r="I628" s="11">
        <f>_xlfn.XLOOKUP(TableDailySummary[[#This Row],[Fecha]],SummaryDaily[day],SummaryDaily[new_net_sales],0)</f>
        <v>0</v>
      </c>
      <c r="J628" s="11">
        <f>_xlfn.XLOOKUP(TableDailySummary[[#This Row],[Fecha]],SummaryDaily[day],SummaryDaily[new_orders],0)</f>
        <v>0</v>
      </c>
      <c r="K628" s="11">
        <f>_xlfn.XLOOKUP(TableDailySummary[[#This Row],[Fecha]],SummaryDaily[day],SummaryDaily[new_average_order_value],0)</f>
        <v>0</v>
      </c>
      <c r="L628" s="11">
        <f>_xlfn.XLOOKUP(TableDailySummary[[#This Row],[Fecha]],SummaryDaily[day],SummaryDaily[Online Store_net_sales],0)</f>
        <v>0</v>
      </c>
      <c r="M628" s="11">
        <f>_xlfn.XLOOKUP(TableDailySummary[[#This Row],[Fecha]],SummaryDaily[day],SummaryDaily[Online Store_orders],0)</f>
        <v>0</v>
      </c>
      <c r="N628" s="11">
        <f>_xlfn.XLOOKUP(TableDailySummary[[#This Row],[Fecha]],SummaryDaily[day],SummaryDaily[Online Store_average_order_value],0)</f>
        <v>0</v>
      </c>
      <c r="O628" s="11">
        <f>_xlfn.XLOOKUP(TableDailySummary[[#This Row],[Fecha]],SummaryDaily[day],SummaryDaily[Tienda 81_net_sales],0)</f>
        <v>0</v>
      </c>
      <c r="P628" s="11">
        <f>_xlfn.XLOOKUP(TableDailySummary[[#This Row],[Fecha]],SummaryDaily[day],SummaryDaily[Tienda 81_orders],0)</f>
        <v>0</v>
      </c>
      <c r="Q628" s="11">
        <f>_xlfn.XLOOKUP(TableDailySummary[[#This Row],[Fecha]],SummaryDaily[day],SummaryDaily[Tienda 81_average_order_value],0)</f>
        <v>0</v>
      </c>
      <c r="R628" s="11">
        <f>_xlfn.XLOOKUP(TableDailySummary[[#This Row],[Fecha]],SummaryDaily[day],SummaryDaily[Rappi_net_sales],0)</f>
        <v>0</v>
      </c>
      <c r="S628" s="11">
        <f>_xlfn.XLOOKUP(TableDailySummary[[#This Row],[Fecha]],SummaryDaily[day],SummaryDaily[Rappi_orders],0)</f>
        <v>0</v>
      </c>
      <c r="T628" s="11">
        <f>_xlfn.XLOOKUP(TableDailySummary[[#This Row],[Fecha]],SummaryDaily[day],SummaryDaily[Rappi_average_order_value],0)</f>
        <v>0</v>
      </c>
      <c r="U628" s="11">
        <f>_xlfn.XLOOKUP(TableDailySummary[[#This Row],[Fecha]],SummaryDaily[day],SummaryDaily[Corporativo no tienda_net_sales],0)</f>
        <v>0</v>
      </c>
      <c r="V628" s="11">
        <f>_xlfn.XLOOKUP(TableDailySummary[[#This Row],[Fecha]],SummaryDaily[day],SummaryDaily[Corporativo no tienda_orders],0)</f>
        <v>0</v>
      </c>
      <c r="W628" s="11">
        <f>_xlfn.XLOOKUP(TableDailySummary[[#This Row],[Fecha]],SummaryDaily[day],SummaryDaily[Corporativo no tienda_average_order_value],0)</f>
        <v>0</v>
      </c>
      <c r="X628" s="11">
        <f>_xlfn.XLOOKUP(TableDailySummary[[#This Row],[Fecha]],SummaryDaily[day],SummaryDaily[GoogleAdsOperation.Cost],0)</f>
        <v>0</v>
      </c>
      <c r="Y628" s="11">
        <f>SUMIFS(SalesByUTMDaily[google],SalesByUTMDaily[day],TableDailySummary[[#This Row],[Fecha]])</f>
        <v>0</v>
      </c>
      <c r="Z628" s="11">
        <f>_xlfn.XLOOKUP(TableDailySummary[[#This Row],[Fecha]],SummaryDaily[day],SummaryDaily[MetaAdsOperation.spend],0)</f>
        <v>0</v>
      </c>
      <c r="AA628" s="11">
        <f>SUMIFS(SalesByUTMDaily[facebook],SalesByUTMDaily[day],TableDailySummary[[#This Row],[Fecha]])</f>
        <v>0</v>
      </c>
      <c r="AB628" s="11">
        <f>TableDailySummary[[#This Row],[Inversión google ads]]+TableDailySummary[[#This Row],[Inversión meta ads]]</f>
        <v>0</v>
      </c>
      <c r="AC628" s="11">
        <f>TableDailySummary[[#This Row],[Ventas google ads]]+TableDailySummary[[#This Row],[Ventas meta ads]]</f>
        <v>0</v>
      </c>
      <c r="AD628" s="14">
        <f>IFERROR(TableDailySummary[[#This Row],[Ventas publicidad]]/TableDailySummary[[#This Row],[Inversión publicidad]],0)</f>
        <v>0</v>
      </c>
      <c r="AE628" s="14">
        <f>IFERROR(TableDailySummary[[#This Row],[Ventas primer cliente]]/TableDailySummary[[#This Row],[Inversión publicidad]],0)</f>
        <v>0</v>
      </c>
      <c r="AF628" s="14"/>
      <c r="AG628" s="11"/>
      <c r="AM628" s="11">
        <f>_xlfn.XLOOKUP(TableDailySummary[[#This Row],[Fecha]],SummaryDaily[day],SummaryDaily[net_sales_with_cost_recorded],0)</f>
        <v>0</v>
      </c>
      <c r="AN628" s="11">
        <f>_xlfn.XLOOKUP(TableDailySummary[[#This Row],[Fecha]],SummaryDaily[day],SummaryDaily[cost_of_goods_sold],0)</f>
        <v>0</v>
      </c>
      <c r="AO628" s="11">
        <f>_xlfn.XLOOKUP(TableDailySummary[[#This Row],[Fecha]],SummaryDaily[day],SummaryDaily[gross_profit],0)</f>
        <v>0</v>
      </c>
      <c r="AP628" s="18">
        <f>IFERROR(TableDailySummary[[#This Row],[Utilidad bruta]]/TableDailySummary[[#This Row],[Ventas netas con costo registrado]],0)</f>
        <v>0</v>
      </c>
    </row>
    <row r="629" spans="2:42" x14ac:dyDescent="0.2">
      <c r="B629" s="15" cm="1">
        <f t="array" ref="B629">ParamFechaInicioReporte + (ROW(TableDailySummary[#This Row]) - ROW(TableDailySummary[[#Headers],[Dia]]) - 1)</f>
        <v>45156</v>
      </c>
      <c r="C629" s="6">
        <f>TableDailySummary[[#This Row],[Dia]]</f>
        <v>45156</v>
      </c>
      <c r="D629" s="11">
        <f>_xlfn.XLOOKUP(TableDailySummary[[#This Row],[Fecha]],SummaryDaily[day],SummaryDaily[net_sales],0)</f>
        <v>0</v>
      </c>
      <c r="E629" s="11">
        <f>_xlfn.XLOOKUP(TableDailySummary[[#This Row],[Fecha]],SummaryDaily[day],SummaryDaily[orders],0)</f>
        <v>0</v>
      </c>
      <c r="F629" s="11">
        <f>_xlfn.XLOOKUP(TableDailySummary[[#This Row],[Fecha]],SummaryDaily[day],SummaryDaily[average_order_value],0)</f>
        <v>0</v>
      </c>
      <c r="G629" s="24" cm="1">
        <f t="array" ref="G629">_xlfn.XLOOKUP(TableDailySummary[[#This Row],[Fecha]]&amp;"Total site",ConversionRateByReferral[day]&amp;ConversionRateByReferral[referrer_source],ConversionRateByReferral[conversion_rate],0)</f>
        <v>0</v>
      </c>
      <c r="H629" s="11">
        <f>TableDailySummary[[#This Row],[Órden promedio totales]]*TableDailySummary[[#This Row],[CR totales]]</f>
        <v>0</v>
      </c>
      <c r="I629" s="11">
        <f>_xlfn.XLOOKUP(TableDailySummary[[#This Row],[Fecha]],SummaryDaily[day],SummaryDaily[new_net_sales],0)</f>
        <v>0</v>
      </c>
      <c r="J629" s="11">
        <f>_xlfn.XLOOKUP(TableDailySummary[[#This Row],[Fecha]],SummaryDaily[day],SummaryDaily[new_orders],0)</f>
        <v>0</v>
      </c>
      <c r="K629" s="11">
        <f>_xlfn.XLOOKUP(TableDailySummary[[#This Row],[Fecha]],SummaryDaily[day],SummaryDaily[new_average_order_value],0)</f>
        <v>0</v>
      </c>
      <c r="L629" s="11">
        <f>_xlfn.XLOOKUP(TableDailySummary[[#This Row],[Fecha]],SummaryDaily[day],SummaryDaily[Online Store_net_sales],0)</f>
        <v>0</v>
      </c>
      <c r="M629" s="11">
        <f>_xlfn.XLOOKUP(TableDailySummary[[#This Row],[Fecha]],SummaryDaily[day],SummaryDaily[Online Store_orders],0)</f>
        <v>0</v>
      </c>
      <c r="N629" s="11">
        <f>_xlfn.XLOOKUP(TableDailySummary[[#This Row],[Fecha]],SummaryDaily[day],SummaryDaily[Online Store_average_order_value],0)</f>
        <v>0</v>
      </c>
      <c r="O629" s="11">
        <f>_xlfn.XLOOKUP(TableDailySummary[[#This Row],[Fecha]],SummaryDaily[day],SummaryDaily[Tienda 81_net_sales],0)</f>
        <v>0</v>
      </c>
      <c r="P629" s="11">
        <f>_xlfn.XLOOKUP(TableDailySummary[[#This Row],[Fecha]],SummaryDaily[day],SummaryDaily[Tienda 81_orders],0)</f>
        <v>0</v>
      </c>
      <c r="Q629" s="11">
        <f>_xlfn.XLOOKUP(TableDailySummary[[#This Row],[Fecha]],SummaryDaily[day],SummaryDaily[Tienda 81_average_order_value],0)</f>
        <v>0</v>
      </c>
      <c r="R629" s="11">
        <f>_xlfn.XLOOKUP(TableDailySummary[[#This Row],[Fecha]],SummaryDaily[day],SummaryDaily[Rappi_net_sales],0)</f>
        <v>0</v>
      </c>
      <c r="S629" s="11">
        <f>_xlfn.XLOOKUP(TableDailySummary[[#This Row],[Fecha]],SummaryDaily[day],SummaryDaily[Rappi_orders],0)</f>
        <v>0</v>
      </c>
      <c r="T629" s="11">
        <f>_xlfn.XLOOKUP(TableDailySummary[[#This Row],[Fecha]],SummaryDaily[day],SummaryDaily[Rappi_average_order_value],0)</f>
        <v>0</v>
      </c>
      <c r="U629" s="11">
        <f>_xlfn.XLOOKUP(TableDailySummary[[#This Row],[Fecha]],SummaryDaily[day],SummaryDaily[Corporativo no tienda_net_sales],0)</f>
        <v>0</v>
      </c>
      <c r="V629" s="11">
        <f>_xlfn.XLOOKUP(TableDailySummary[[#This Row],[Fecha]],SummaryDaily[day],SummaryDaily[Corporativo no tienda_orders],0)</f>
        <v>0</v>
      </c>
      <c r="W629" s="11">
        <f>_xlfn.XLOOKUP(TableDailySummary[[#This Row],[Fecha]],SummaryDaily[day],SummaryDaily[Corporativo no tienda_average_order_value],0)</f>
        <v>0</v>
      </c>
      <c r="X629" s="11">
        <f>_xlfn.XLOOKUP(TableDailySummary[[#This Row],[Fecha]],SummaryDaily[day],SummaryDaily[GoogleAdsOperation.Cost],0)</f>
        <v>0</v>
      </c>
      <c r="Y629" s="11">
        <f>SUMIFS(SalesByUTMDaily[google],SalesByUTMDaily[day],TableDailySummary[[#This Row],[Fecha]])</f>
        <v>0</v>
      </c>
      <c r="Z629" s="11">
        <f>_xlfn.XLOOKUP(TableDailySummary[[#This Row],[Fecha]],SummaryDaily[day],SummaryDaily[MetaAdsOperation.spend],0)</f>
        <v>0</v>
      </c>
      <c r="AA629" s="11">
        <f>SUMIFS(SalesByUTMDaily[facebook],SalesByUTMDaily[day],TableDailySummary[[#This Row],[Fecha]])</f>
        <v>0</v>
      </c>
      <c r="AB629" s="11">
        <f>TableDailySummary[[#This Row],[Inversión google ads]]+TableDailySummary[[#This Row],[Inversión meta ads]]</f>
        <v>0</v>
      </c>
      <c r="AC629" s="11">
        <f>TableDailySummary[[#This Row],[Ventas google ads]]+TableDailySummary[[#This Row],[Ventas meta ads]]</f>
        <v>0</v>
      </c>
      <c r="AD629" s="14">
        <f>IFERROR(TableDailySummary[[#This Row],[Ventas publicidad]]/TableDailySummary[[#This Row],[Inversión publicidad]],0)</f>
        <v>0</v>
      </c>
      <c r="AE629" s="14">
        <f>IFERROR(TableDailySummary[[#This Row],[Ventas primer cliente]]/TableDailySummary[[#This Row],[Inversión publicidad]],0)</f>
        <v>0</v>
      </c>
      <c r="AF629" s="14"/>
      <c r="AG629" s="11"/>
      <c r="AM629" s="11">
        <f>_xlfn.XLOOKUP(TableDailySummary[[#This Row],[Fecha]],SummaryDaily[day],SummaryDaily[net_sales_with_cost_recorded],0)</f>
        <v>0</v>
      </c>
      <c r="AN629" s="11">
        <f>_xlfn.XLOOKUP(TableDailySummary[[#This Row],[Fecha]],SummaryDaily[day],SummaryDaily[cost_of_goods_sold],0)</f>
        <v>0</v>
      </c>
      <c r="AO629" s="11">
        <f>_xlfn.XLOOKUP(TableDailySummary[[#This Row],[Fecha]],SummaryDaily[day],SummaryDaily[gross_profit],0)</f>
        <v>0</v>
      </c>
      <c r="AP629" s="18">
        <f>IFERROR(TableDailySummary[[#This Row],[Utilidad bruta]]/TableDailySummary[[#This Row],[Ventas netas con costo registrado]],0)</f>
        <v>0</v>
      </c>
    </row>
    <row r="630" spans="2:42" x14ac:dyDescent="0.2">
      <c r="B630" s="15" cm="1">
        <f t="array" ref="B630">ParamFechaInicioReporte + (ROW(TableDailySummary[#This Row]) - ROW(TableDailySummary[[#Headers],[Dia]]) - 1)</f>
        <v>45157</v>
      </c>
      <c r="C630" s="6">
        <f>TableDailySummary[[#This Row],[Dia]]</f>
        <v>45157</v>
      </c>
      <c r="D630" s="11">
        <f>_xlfn.XLOOKUP(TableDailySummary[[#This Row],[Fecha]],SummaryDaily[day],SummaryDaily[net_sales],0)</f>
        <v>0</v>
      </c>
      <c r="E630" s="11">
        <f>_xlfn.XLOOKUP(TableDailySummary[[#This Row],[Fecha]],SummaryDaily[day],SummaryDaily[orders],0)</f>
        <v>0</v>
      </c>
      <c r="F630" s="11">
        <f>_xlfn.XLOOKUP(TableDailySummary[[#This Row],[Fecha]],SummaryDaily[day],SummaryDaily[average_order_value],0)</f>
        <v>0</v>
      </c>
      <c r="G630" s="24" cm="1">
        <f t="array" ref="G630">_xlfn.XLOOKUP(TableDailySummary[[#This Row],[Fecha]]&amp;"Total site",ConversionRateByReferral[day]&amp;ConversionRateByReferral[referrer_source],ConversionRateByReferral[conversion_rate],0)</f>
        <v>0</v>
      </c>
      <c r="H630" s="11">
        <f>TableDailySummary[[#This Row],[Órden promedio totales]]*TableDailySummary[[#This Row],[CR totales]]</f>
        <v>0</v>
      </c>
      <c r="I630" s="11">
        <f>_xlfn.XLOOKUP(TableDailySummary[[#This Row],[Fecha]],SummaryDaily[day],SummaryDaily[new_net_sales],0)</f>
        <v>0</v>
      </c>
      <c r="J630" s="11">
        <f>_xlfn.XLOOKUP(TableDailySummary[[#This Row],[Fecha]],SummaryDaily[day],SummaryDaily[new_orders],0)</f>
        <v>0</v>
      </c>
      <c r="K630" s="11">
        <f>_xlfn.XLOOKUP(TableDailySummary[[#This Row],[Fecha]],SummaryDaily[day],SummaryDaily[new_average_order_value],0)</f>
        <v>0</v>
      </c>
      <c r="L630" s="11">
        <f>_xlfn.XLOOKUP(TableDailySummary[[#This Row],[Fecha]],SummaryDaily[day],SummaryDaily[Online Store_net_sales],0)</f>
        <v>0</v>
      </c>
      <c r="M630" s="11">
        <f>_xlfn.XLOOKUP(TableDailySummary[[#This Row],[Fecha]],SummaryDaily[day],SummaryDaily[Online Store_orders],0)</f>
        <v>0</v>
      </c>
      <c r="N630" s="11">
        <f>_xlfn.XLOOKUP(TableDailySummary[[#This Row],[Fecha]],SummaryDaily[day],SummaryDaily[Online Store_average_order_value],0)</f>
        <v>0</v>
      </c>
      <c r="O630" s="11">
        <f>_xlfn.XLOOKUP(TableDailySummary[[#This Row],[Fecha]],SummaryDaily[day],SummaryDaily[Tienda 81_net_sales],0)</f>
        <v>0</v>
      </c>
      <c r="P630" s="11">
        <f>_xlfn.XLOOKUP(TableDailySummary[[#This Row],[Fecha]],SummaryDaily[day],SummaryDaily[Tienda 81_orders],0)</f>
        <v>0</v>
      </c>
      <c r="Q630" s="11">
        <f>_xlfn.XLOOKUP(TableDailySummary[[#This Row],[Fecha]],SummaryDaily[day],SummaryDaily[Tienda 81_average_order_value],0)</f>
        <v>0</v>
      </c>
      <c r="R630" s="11">
        <f>_xlfn.XLOOKUP(TableDailySummary[[#This Row],[Fecha]],SummaryDaily[day],SummaryDaily[Rappi_net_sales],0)</f>
        <v>0</v>
      </c>
      <c r="S630" s="11">
        <f>_xlfn.XLOOKUP(TableDailySummary[[#This Row],[Fecha]],SummaryDaily[day],SummaryDaily[Rappi_orders],0)</f>
        <v>0</v>
      </c>
      <c r="T630" s="11">
        <f>_xlfn.XLOOKUP(TableDailySummary[[#This Row],[Fecha]],SummaryDaily[day],SummaryDaily[Rappi_average_order_value],0)</f>
        <v>0</v>
      </c>
      <c r="U630" s="11">
        <f>_xlfn.XLOOKUP(TableDailySummary[[#This Row],[Fecha]],SummaryDaily[day],SummaryDaily[Corporativo no tienda_net_sales],0)</f>
        <v>0</v>
      </c>
      <c r="V630" s="11">
        <f>_xlfn.XLOOKUP(TableDailySummary[[#This Row],[Fecha]],SummaryDaily[day],SummaryDaily[Corporativo no tienda_orders],0)</f>
        <v>0</v>
      </c>
      <c r="W630" s="11">
        <f>_xlfn.XLOOKUP(TableDailySummary[[#This Row],[Fecha]],SummaryDaily[day],SummaryDaily[Corporativo no tienda_average_order_value],0)</f>
        <v>0</v>
      </c>
      <c r="X630" s="11">
        <f>_xlfn.XLOOKUP(TableDailySummary[[#This Row],[Fecha]],SummaryDaily[day],SummaryDaily[GoogleAdsOperation.Cost],0)</f>
        <v>0</v>
      </c>
      <c r="Y630" s="11">
        <f>SUMIFS(SalesByUTMDaily[google],SalesByUTMDaily[day],TableDailySummary[[#This Row],[Fecha]])</f>
        <v>0</v>
      </c>
      <c r="Z630" s="11">
        <f>_xlfn.XLOOKUP(TableDailySummary[[#This Row],[Fecha]],SummaryDaily[day],SummaryDaily[MetaAdsOperation.spend],0)</f>
        <v>0</v>
      </c>
      <c r="AA630" s="11">
        <f>SUMIFS(SalesByUTMDaily[facebook],SalesByUTMDaily[day],TableDailySummary[[#This Row],[Fecha]])</f>
        <v>0</v>
      </c>
      <c r="AB630" s="11">
        <f>TableDailySummary[[#This Row],[Inversión google ads]]+TableDailySummary[[#This Row],[Inversión meta ads]]</f>
        <v>0</v>
      </c>
      <c r="AC630" s="11">
        <f>TableDailySummary[[#This Row],[Ventas google ads]]+TableDailySummary[[#This Row],[Ventas meta ads]]</f>
        <v>0</v>
      </c>
      <c r="AD630" s="14">
        <f>IFERROR(TableDailySummary[[#This Row],[Ventas publicidad]]/TableDailySummary[[#This Row],[Inversión publicidad]],0)</f>
        <v>0</v>
      </c>
      <c r="AE630" s="14">
        <f>IFERROR(TableDailySummary[[#This Row],[Ventas primer cliente]]/TableDailySummary[[#This Row],[Inversión publicidad]],0)</f>
        <v>0</v>
      </c>
      <c r="AF630" s="14"/>
      <c r="AG630" s="11"/>
      <c r="AM630" s="11">
        <f>_xlfn.XLOOKUP(TableDailySummary[[#This Row],[Fecha]],SummaryDaily[day],SummaryDaily[net_sales_with_cost_recorded],0)</f>
        <v>0</v>
      </c>
      <c r="AN630" s="11">
        <f>_xlfn.XLOOKUP(TableDailySummary[[#This Row],[Fecha]],SummaryDaily[day],SummaryDaily[cost_of_goods_sold],0)</f>
        <v>0</v>
      </c>
      <c r="AO630" s="11">
        <f>_xlfn.XLOOKUP(TableDailySummary[[#This Row],[Fecha]],SummaryDaily[day],SummaryDaily[gross_profit],0)</f>
        <v>0</v>
      </c>
      <c r="AP630" s="18">
        <f>IFERROR(TableDailySummary[[#This Row],[Utilidad bruta]]/TableDailySummary[[#This Row],[Ventas netas con costo registrado]],0)</f>
        <v>0</v>
      </c>
    </row>
    <row r="631" spans="2:42" x14ac:dyDescent="0.2">
      <c r="B631" s="15" cm="1">
        <f t="array" ref="B631">ParamFechaInicioReporte + (ROW(TableDailySummary[#This Row]) - ROW(TableDailySummary[[#Headers],[Dia]]) - 1)</f>
        <v>45158</v>
      </c>
      <c r="C631" s="6">
        <f>TableDailySummary[[#This Row],[Dia]]</f>
        <v>45158</v>
      </c>
      <c r="D631" s="11">
        <f>_xlfn.XLOOKUP(TableDailySummary[[#This Row],[Fecha]],SummaryDaily[day],SummaryDaily[net_sales],0)</f>
        <v>0</v>
      </c>
      <c r="E631" s="11">
        <f>_xlfn.XLOOKUP(TableDailySummary[[#This Row],[Fecha]],SummaryDaily[day],SummaryDaily[orders],0)</f>
        <v>0</v>
      </c>
      <c r="F631" s="11">
        <f>_xlfn.XLOOKUP(TableDailySummary[[#This Row],[Fecha]],SummaryDaily[day],SummaryDaily[average_order_value],0)</f>
        <v>0</v>
      </c>
      <c r="G631" s="24" cm="1">
        <f t="array" ref="G631">_xlfn.XLOOKUP(TableDailySummary[[#This Row],[Fecha]]&amp;"Total site",ConversionRateByReferral[day]&amp;ConversionRateByReferral[referrer_source],ConversionRateByReferral[conversion_rate],0)</f>
        <v>0</v>
      </c>
      <c r="H631" s="11">
        <f>TableDailySummary[[#This Row],[Órden promedio totales]]*TableDailySummary[[#This Row],[CR totales]]</f>
        <v>0</v>
      </c>
      <c r="I631" s="11">
        <f>_xlfn.XLOOKUP(TableDailySummary[[#This Row],[Fecha]],SummaryDaily[day],SummaryDaily[new_net_sales],0)</f>
        <v>0</v>
      </c>
      <c r="J631" s="11">
        <f>_xlfn.XLOOKUP(TableDailySummary[[#This Row],[Fecha]],SummaryDaily[day],SummaryDaily[new_orders],0)</f>
        <v>0</v>
      </c>
      <c r="K631" s="11">
        <f>_xlfn.XLOOKUP(TableDailySummary[[#This Row],[Fecha]],SummaryDaily[day],SummaryDaily[new_average_order_value],0)</f>
        <v>0</v>
      </c>
      <c r="L631" s="11">
        <f>_xlfn.XLOOKUP(TableDailySummary[[#This Row],[Fecha]],SummaryDaily[day],SummaryDaily[Online Store_net_sales],0)</f>
        <v>0</v>
      </c>
      <c r="M631" s="11">
        <f>_xlfn.XLOOKUP(TableDailySummary[[#This Row],[Fecha]],SummaryDaily[day],SummaryDaily[Online Store_orders],0)</f>
        <v>0</v>
      </c>
      <c r="N631" s="11">
        <f>_xlfn.XLOOKUP(TableDailySummary[[#This Row],[Fecha]],SummaryDaily[day],SummaryDaily[Online Store_average_order_value],0)</f>
        <v>0</v>
      </c>
      <c r="O631" s="11">
        <f>_xlfn.XLOOKUP(TableDailySummary[[#This Row],[Fecha]],SummaryDaily[day],SummaryDaily[Tienda 81_net_sales],0)</f>
        <v>0</v>
      </c>
      <c r="P631" s="11">
        <f>_xlfn.XLOOKUP(TableDailySummary[[#This Row],[Fecha]],SummaryDaily[day],SummaryDaily[Tienda 81_orders],0)</f>
        <v>0</v>
      </c>
      <c r="Q631" s="11">
        <f>_xlfn.XLOOKUP(TableDailySummary[[#This Row],[Fecha]],SummaryDaily[day],SummaryDaily[Tienda 81_average_order_value],0)</f>
        <v>0</v>
      </c>
      <c r="R631" s="11">
        <f>_xlfn.XLOOKUP(TableDailySummary[[#This Row],[Fecha]],SummaryDaily[day],SummaryDaily[Rappi_net_sales],0)</f>
        <v>0</v>
      </c>
      <c r="S631" s="11">
        <f>_xlfn.XLOOKUP(TableDailySummary[[#This Row],[Fecha]],SummaryDaily[day],SummaryDaily[Rappi_orders],0)</f>
        <v>0</v>
      </c>
      <c r="T631" s="11">
        <f>_xlfn.XLOOKUP(TableDailySummary[[#This Row],[Fecha]],SummaryDaily[day],SummaryDaily[Rappi_average_order_value],0)</f>
        <v>0</v>
      </c>
      <c r="U631" s="11">
        <f>_xlfn.XLOOKUP(TableDailySummary[[#This Row],[Fecha]],SummaryDaily[day],SummaryDaily[Corporativo no tienda_net_sales],0)</f>
        <v>0</v>
      </c>
      <c r="V631" s="11">
        <f>_xlfn.XLOOKUP(TableDailySummary[[#This Row],[Fecha]],SummaryDaily[day],SummaryDaily[Corporativo no tienda_orders],0)</f>
        <v>0</v>
      </c>
      <c r="W631" s="11">
        <f>_xlfn.XLOOKUP(TableDailySummary[[#This Row],[Fecha]],SummaryDaily[day],SummaryDaily[Corporativo no tienda_average_order_value],0)</f>
        <v>0</v>
      </c>
      <c r="X631" s="11">
        <f>_xlfn.XLOOKUP(TableDailySummary[[#This Row],[Fecha]],SummaryDaily[day],SummaryDaily[GoogleAdsOperation.Cost],0)</f>
        <v>0</v>
      </c>
      <c r="Y631" s="11">
        <f>SUMIFS(SalesByUTMDaily[google],SalesByUTMDaily[day],TableDailySummary[[#This Row],[Fecha]])</f>
        <v>0</v>
      </c>
      <c r="Z631" s="11">
        <f>_xlfn.XLOOKUP(TableDailySummary[[#This Row],[Fecha]],SummaryDaily[day],SummaryDaily[MetaAdsOperation.spend],0)</f>
        <v>0</v>
      </c>
      <c r="AA631" s="11">
        <f>SUMIFS(SalesByUTMDaily[facebook],SalesByUTMDaily[day],TableDailySummary[[#This Row],[Fecha]])</f>
        <v>0</v>
      </c>
      <c r="AB631" s="11">
        <f>TableDailySummary[[#This Row],[Inversión google ads]]+TableDailySummary[[#This Row],[Inversión meta ads]]</f>
        <v>0</v>
      </c>
      <c r="AC631" s="11">
        <f>TableDailySummary[[#This Row],[Ventas google ads]]+TableDailySummary[[#This Row],[Ventas meta ads]]</f>
        <v>0</v>
      </c>
      <c r="AD631" s="14">
        <f>IFERROR(TableDailySummary[[#This Row],[Ventas publicidad]]/TableDailySummary[[#This Row],[Inversión publicidad]],0)</f>
        <v>0</v>
      </c>
      <c r="AE631" s="14">
        <f>IFERROR(TableDailySummary[[#This Row],[Ventas primer cliente]]/TableDailySummary[[#This Row],[Inversión publicidad]],0)</f>
        <v>0</v>
      </c>
      <c r="AF631" s="14"/>
      <c r="AG631" s="11"/>
      <c r="AM631" s="11">
        <f>_xlfn.XLOOKUP(TableDailySummary[[#This Row],[Fecha]],SummaryDaily[day],SummaryDaily[net_sales_with_cost_recorded],0)</f>
        <v>0</v>
      </c>
      <c r="AN631" s="11">
        <f>_xlfn.XLOOKUP(TableDailySummary[[#This Row],[Fecha]],SummaryDaily[day],SummaryDaily[cost_of_goods_sold],0)</f>
        <v>0</v>
      </c>
      <c r="AO631" s="11">
        <f>_xlfn.XLOOKUP(TableDailySummary[[#This Row],[Fecha]],SummaryDaily[day],SummaryDaily[gross_profit],0)</f>
        <v>0</v>
      </c>
      <c r="AP631" s="18">
        <f>IFERROR(TableDailySummary[[#This Row],[Utilidad bruta]]/TableDailySummary[[#This Row],[Ventas netas con costo registrado]],0)</f>
        <v>0</v>
      </c>
    </row>
    <row r="632" spans="2:42" x14ac:dyDescent="0.2">
      <c r="B632" s="15" cm="1">
        <f t="array" ref="B632">ParamFechaInicioReporte + (ROW(TableDailySummary[#This Row]) - ROW(TableDailySummary[[#Headers],[Dia]]) - 1)</f>
        <v>45159</v>
      </c>
      <c r="C632" s="6">
        <f>TableDailySummary[[#This Row],[Dia]]</f>
        <v>45159</v>
      </c>
      <c r="D632" s="11">
        <f>_xlfn.XLOOKUP(TableDailySummary[[#This Row],[Fecha]],SummaryDaily[day],SummaryDaily[net_sales],0)</f>
        <v>0</v>
      </c>
      <c r="E632" s="11">
        <f>_xlfn.XLOOKUP(TableDailySummary[[#This Row],[Fecha]],SummaryDaily[day],SummaryDaily[orders],0)</f>
        <v>0</v>
      </c>
      <c r="F632" s="11">
        <f>_xlfn.XLOOKUP(TableDailySummary[[#This Row],[Fecha]],SummaryDaily[day],SummaryDaily[average_order_value],0)</f>
        <v>0</v>
      </c>
      <c r="G632" s="24" cm="1">
        <f t="array" ref="G632">_xlfn.XLOOKUP(TableDailySummary[[#This Row],[Fecha]]&amp;"Total site",ConversionRateByReferral[day]&amp;ConversionRateByReferral[referrer_source],ConversionRateByReferral[conversion_rate],0)</f>
        <v>0</v>
      </c>
      <c r="H632" s="11">
        <f>TableDailySummary[[#This Row],[Órden promedio totales]]*TableDailySummary[[#This Row],[CR totales]]</f>
        <v>0</v>
      </c>
      <c r="I632" s="11">
        <f>_xlfn.XLOOKUP(TableDailySummary[[#This Row],[Fecha]],SummaryDaily[day],SummaryDaily[new_net_sales],0)</f>
        <v>0</v>
      </c>
      <c r="J632" s="11">
        <f>_xlfn.XLOOKUP(TableDailySummary[[#This Row],[Fecha]],SummaryDaily[day],SummaryDaily[new_orders],0)</f>
        <v>0</v>
      </c>
      <c r="K632" s="11">
        <f>_xlfn.XLOOKUP(TableDailySummary[[#This Row],[Fecha]],SummaryDaily[day],SummaryDaily[new_average_order_value],0)</f>
        <v>0</v>
      </c>
      <c r="L632" s="11">
        <f>_xlfn.XLOOKUP(TableDailySummary[[#This Row],[Fecha]],SummaryDaily[day],SummaryDaily[Online Store_net_sales],0)</f>
        <v>0</v>
      </c>
      <c r="M632" s="11">
        <f>_xlfn.XLOOKUP(TableDailySummary[[#This Row],[Fecha]],SummaryDaily[day],SummaryDaily[Online Store_orders],0)</f>
        <v>0</v>
      </c>
      <c r="N632" s="11">
        <f>_xlfn.XLOOKUP(TableDailySummary[[#This Row],[Fecha]],SummaryDaily[day],SummaryDaily[Online Store_average_order_value],0)</f>
        <v>0</v>
      </c>
      <c r="O632" s="11">
        <f>_xlfn.XLOOKUP(TableDailySummary[[#This Row],[Fecha]],SummaryDaily[day],SummaryDaily[Tienda 81_net_sales],0)</f>
        <v>0</v>
      </c>
      <c r="P632" s="11">
        <f>_xlfn.XLOOKUP(TableDailySummary[[#This Row],[Fecha]],SummaryDaily[day],SummaryDaily[Tienda 81_orders],0)</f>
        <v>0</v>
      </c>
      <c r="Q632" s="11">
        <f>_xlfn.XLOOKUP(TableDailySummary[[#This Row],[Fecha]],SummaryDaily[day],SummaryDaily[Tienda 81_average_order_value],0)</f>
        <v>0</v>
      </c>
      <c r="R632" s="11">
        <f>_xlfn.XLOOKUP(TableDailySummary[[#This Row],[Fecha]],SummaryDaily[day],SummaryDaily[Rappi_net_sales],0)</f>
        <v>0</v>
      </c>
      <c r="S632" s="11">
        <f>_xlfn.XLOOKUP(TableDailySummary[[#This Row],[Fecha]],SummaryDaily[day],SummaryDaily[Rappi_orders],0)</f>
        <v>0</v>
      </c>
      <c r="T632" s="11">
        <f>_xlfn.XLOOKUP(TableDailySummary[[#This Row],[Fecha]],SummaryDaily[day],SummaryDaily[Rappi_average_order_value],0)</f>
        <v>0</v>
      </c>
      <c r="U632" s="11">
        <f>_xlfn.XLOOKUP(TableDailySummary[[#This Row],[Fecha]],SummaryDaily[day],SummaryDaily[Corporativo no tienda_net_sales],0)</f>
        <v>0</v>
      </c>
      <c r="V632" s="11">
        <f>_xlfn.XLOOKUP(TableDailySummary[[#This Row],[Fecha]],SummaryDaily[day],SummaryDaily[Corporativo no tienda_orders],0)</f>
        <v>0</v>
      </c>
      <c r="W632" s="11">
        <f>_xlfn.XLOOKUP(TableDailySummary[[#This Row],[Fecha]],SummaryDaily[day],SummaryDaily[Corporativo no tienda_average_order_value],0)</f>
        <v>0</v>
      </c>
      <c r="X632" s="11">
        <f>_xlfn.XLOOKUP(TableDailySummary[[#This Row],[Fecha]],SummaryDaily[day],SummaryDaily[GoogleAdsOperation.Cost],0)</f>
        <v>0</v>
      </c>
      <c r="Y632" s="11">
        <f>SUMIFS(SalesByUTMDaily[google],SalesByUTMDaily[day],TableDailySummary[[#This Row],[Fecha]])</f>
        <v>0</v>
      </c>
      <c r="Z632" s="11">
        <f>_xlfn.XLOOKUP(TableDailySummary[[#This Row],[Fecha]],SummaryDaily[day],SummaryDaily[MetaAdsOperation.spend],0)</f>
        <v>0</v>
      </c>
      <c r="AA632" s="11">
        <f>SUMIFS(SalesByUTMDaily[facebook],SalesByUTMDaily[day],TableDailySummary[[#This Row],[Fecha]])</f>
        <v>0</v>
      </c>
      <c r="AB632" s="11">
        <f>TableDailySummary[[#This Row],[Inversión google ads]]+TableDailySummary[[#This Row],[Inversión meta ads]]</f>
        <v>0</v>
      </c>
      <c r="AC632" s="11">
        <f>TableDailySummary[[#This Row],[Ventas google ads]]+TableDailySummary[[#This Row],[Ventas meta ads]]</f>
        <v>0</v>
      </c>
      <c r="AD632" s="14">
        <f>IFERROR(TableDailySummary[[#This Row],[Ventas publicidad]]/TableDailySummary[[#This Row],[Inversión publicidad]],0)</f>
        <v>0</v>
      </c>
      <c r="AE632" s="14">
        <f>IFERROR(TableDailySummary[[#This Row],[Ventas primer cliente]]/TableDailySummary[[#This Row],[Inversión publicidad]],0)</f>
        <v>0</v>
      </c>
      <c r="AF632" s="14"/>
      <c r="AG632" s="11"/>
      <c r="AM632" s="11">
        <f>_xlfn.XLOOKUP(TableDailySummary[[#This Row],[Fecha]],SummaryDaily[day],SummaryDaily[net_sales_with_cost_recorded],0)</f>
        <v>0</v>
      </c>
      <c r="AN632" s="11">
        <f>_xlfn.XLOOKUP(TableDailySummary[[#This Row],[Fecha]],SummaryDaily[day],SummaryDaily[cost_of_goods_sold],0)</f>
        <v>0</v>
      </c>
      <c r="AO632" s="11">
        <f>_xlfn.XLOOKUP(TableDailySummary[[#This Row],[Fecha]],SummaryDaily[day],SummaryDaily[gross_profit],0)</f>
        <v>0</v>
      </c>
      <c r="AP632" s="18">
        <f>IFERROR(TableDailySummary[[#This Row],[Utilidad bruta]]/TableDailySummary[[#This Row],[Ventas netas con costo registrado]],0)</f>
        <v>0</v>
      </c>
    </row>
    <row r="633" spans="2:42" x14ac:dyDescent="0.2">
      <c r="B633" s="15" cm="1">
        <f t="array" ref="B633">ParamFechaInicioReporte + (ROW(TableDailySummary[#This Row]) - ROW(TableDailySummary[[#Headers],[Dia]]) - 1)</f>
        <v>45160</v>
      </c>
      <c r="C633" s="6">
        <f>TableDailySummary[[#This Row],[Dia]]</f>
        <v>45160</v>
      </c>
      <c r="D633" s="11">
        <f>_xlfn.XLOOKUP(TableDailySummary[[#This Row],[Fecha]],SummaryDaily[day],SummaryDaily[net_sales],0)</f>
        <v>0</v>
      </c>
      <c r="E633" s="11">
        <f>_xlfn.XLOOKUP(TableDailySummary[[#This Row],[Fecha]],SummaryDaily[day],SummaryDaily[orders],0)</f>
        <v>0</v>
      </c>
      <c r="F633" s="11">
        <f>_xlfn.XLOOKUP(TableDailySummary[[#This Row],[Fecha]],SummaryDaily[day],SummaryDaily[average_order_value],0)</f>
        <v>0</v>
      </c>
      <c r="G633" s="24" cm="1">
        <f t="array" ref="G633">_xlfn.XLOOKUP(TableDailySummary[[#This Row],[Fecha]]&amp;"Total site",ConversionRateByReferral[day]&amp;ConversionRateByReferral[referrer_source],ConversionRateByReferral[conversion_rate],0)</f>
        <v>0</v>
      </c>
      <c r="H633" s="11">
        <f>TableDailySummary[[#This Row],[Órden promedio totales]]*TableDailySummary[[#This Row],[CR totales]]</f>
        <v>0</v>
      </c>
      <c r="I633" s="11">
        <f>_xlfn.XLOOKUP(TableDailySummary[[#This Row],[Fecha]],SummaryDaily[day],SummaryDaily[new_net_sales],0)</f>
        <v>0</v>
      </c>
      <c r="J633" s="11">
        <f>_xlfn.XLOOKUP(TableDailySummary[[#This Row],[Fecha]],SummaryDaily[day],SummaryDaily[new_orders],0)</f>
        <v>0</v>
      </c>
      <c r="K633" s="11">
        <f>_xlfn.XLOOKUP(TableDailySummary[[#This Row],[Fecha]],SummaryDaily[day],SummaryDaily[new_average_order_value],0)</f>
        <v>0</v>
      </c>
      <c r="L633" s="11">
        <f>_xlfn.XLOOKUP(TableDailySummary[[#This Row],[Fecha]],SummaryDaily[day],SummaryDaily[Online Store_net_sales],0)</f>
        <v>0</v>
      </c>
      <c r="M633" s="11">
        <f>_xlfn.XLOOKUP(TableDailySummary[[#This Row],[Fecha]],SummaryDaily[day],SummaryDaily[Online Store_orders],0)</f>
        <v>0</v>
      </c>
      <c r="N633" s="11">
        <f>_xlfn.XLOOKUP(TableDailySummary[[#This Row],[Fecha]],SummaryDaily[day],SummaryDaily[Online Store_average_order_value],0)</f>
        <v>0</v>
      </c>
      <c r="O633" s="11">
        <f>_xlfn.XLOOKUP(TableDailySummary[[#This Row],[Fecha]],SummaryDaily[day],SummaryDaily[Tienda 81_net_sales],0)</f>
        <v>0</v>
      </c>
      <c r="P633" s="11">
        <f>_xlfn.XLOOKUP(TableDailySummary[[#This Row],[Fecha]],SummaryDaily[day],SummaryDaily[Tienda 81_orders],0)</f>
        <v>0</v>
      </c>
      <c r="Q633" s="11">
        <f>_xlfn.XLOOKUP(TableDailySummary[[#This Row],[Fecha]],SummaryDaily[day],SummaryDaily[Tienda 81_average_order_value],0)</f>
        <v>0</v>
      </c>
      <c r="R633" s="11">
        <f>_xlfn.XLOOKUP(TableDailySummary[[#This Row],[Fecha]],SummaryDaily[day],SummaryDaily[Rappi_net_sales],0)</f>
        <v>0</v>
      </c>
      <c r="S633" s="11">
        <f>_xlfn.XLOOKUP(TableDailySummary[[#This Row],[Fecha]],SummaryDaily[day],SummaryDaily[Rappi_orders],0)</f>
        <v>0</v>
      </c>
      <c r="T633" s="11">
        <f>_xlfn.XLOOKUP(TableDailySummary[[#This Row],[Fecha]],SummaryDaily[day],SummaryDaily[Rappi_average_order_value],0)</f>
        <v>0</v>
      </c>
      <c r="U633" s="11">
        <f>_xlfn.XLOOKUP(TableDailySummary[[#This Row],[Fecha]],SummaryDaily[day],SummaryDaily[Corporativo no tienda_net_sales],0)</f>
        <v>0</v>
      </c>
      <c r="V633" s="11">
        <f>_xlfn.XLOOKUP(TableDailySummary[[#This Row],[Fecha]],SummaryDaily[day],SummaryDaily[Corporativo no tienda_orders],0)</f>
        <v>0</v>
      </c>
      <c r="W633" s="11">
        <f>_xlfn.XLOOKUP(TableDailySummary[[#This Row],[Fecha]],SummaryDaily[day],SummaryDaily[Corporativo no tienda_average_order_value],0)</f>
        <v>0</v>
      </c>
      <c r="X633" s="11">
        <f>_xlfn.XLOOKUP(TableDailySummary[[#This Row],[Fecha]],SummaryDaily[day],SummaryDaily[GoogleAdsOperation.Cost],0)</f>
        <v>0</v>
      </c>
      <c r="Y633" s="11">
        <f>SUMIFS(SalesByUTMDaily[google],SalesByUTMDaily[day],TableDailySummary[[#This Row],[Fecha]])</f>
        <v>0</v>
      </c>
      <c r="Z633" s="11">
        <f>_xlfn.XLOOKUP(TableDailySummary[[#This Row],[Fecha]],SummaryDaily[day],SummaryDaily[MetaAdsOperation.spend],0)</f>
        <v>0</v>
      </c>
      <c r="AA633" s="11">
        <f>SUMIFS(SalesByUTMDaily[facebook],SalesByUTMDaily[day],TableDailySummary[[#This Row],[Fecha]])</f>
        <v>0</v>
      </c>
      <c r="AB633" s="11">
        <f>TableDailySummary[[#This Row],[Inversión google ads]]+TableDailySummary[[#This Row],[Inversión meta ads]]</f>
        <v>0</v>
      </c>
      <c r="AC633" s="11">
        <f>TableDailySummary[[#This Row],[Ventas google ads]]+TableDailySummary[[#This Row],[Ventas meta ads]]</f>
        <v>0</v>
      </c>
      <c r="AD633" s="14">
        <f>IFERROR(TableDailySummary[[#This Row],[Ventas publicidad]]/TableDailySummary[[#This Row],[Inversión publicidad]],0)</f>
        <v>0</v>
      </c>
      <c r="AE633" s="14">
        <f>IFERROR(TableDailySummary[[#This Row],[Ventas primer cliente]]/TableDailySummary[[#This Row],[Inversión publicidad]],0)</f>
        <v>0</v>
      </c>
      <c r="AF633" s="14"/>
      <c r="AG633" s="11"/>
      <c r="AM633" s="11">
        <f>_xlfn.XLOOKUP(TableDailySummary[[#This Row],[Fecha]],SummaryDaily[day],SummaryDaily[net_sales_with_cost_recorded],0)</f>
        <v>0</v>
      </c>
      <c r="AN633" s="11">
        <f>_xlfn.XLOOKUP(TableDailySummary[[#This Row],[Fecha]],SummaryDaily[day],SummaryDaily[cost_of_goods_sold],0)</f>
        <v>0</v>
      </c>
      <c r="AO633" s="11">
        <f>_xlfn.XLOOKUP(TableDailySummary[[#This Row],[Fecha]],SummaryDaily[day],SummaryDaily[gross_profit],0)</f>
        <v>0</v>
      </c>
      <c r="AP633" s="18">
        <f>IFERROR(TableDailySummary[[#This Row],[Utilidad bruta]]/TableDailySummary[[#This Row],[Ventas netas con costo registrado]],0)</f>
        <v>0</v>
      </c>
    </row>
    <row r="634" spans="2:42" x14ac:dyDescent="0.2">
      <c r="B634" s="15" cm="1">
        <f t="array" ref="B634">ParamFechaInicioReporte + (ROW(TableDailySummary[#This Row]) - ROW(TableDailySummary[[#Headers],[Dia]]) - 1)</f>
        <v>45161</v>
      </c>
      <c r="C634" s="6">
        <f>TableDailySummary[[#This Row],[Dia]]</f>
        <v>45161</v>
      </c>
      <c r="D634" s="11">
        <f>_xlfn.XLOOKUP(TableDailySummary[[#This Row],[Fecha]],SummaryDaily[day],SummaryDaily[net_sales],0)</f>
        <v>0</v>
      </c>
      <c r="E634" s="11">
        <f>_xlfn.XLOOKUP(TableDailySummary[[#This Row],[Fecha]],SummaryDaily[day],SummaryDaily[orders],0)</f>
        <v>0</v>
      </c>
      <c r="F634" s="11">
        <f>_xlfn.XLOOKUP(TableDailySummary[[#This Row],[Fecha]],SummaryDaily[day],SummaryDaily[average_order_value],0)</f>
        <v>0</v>
      </c>
      <c r="G634" s="24" cm="1">
        <f t="array" ref="G634">_xlfn.XLOOKUP(TableDailySummary[[#This Row],[Fecha]]&amp;"Total site",ConversionRateByReferral[day]&amp;ConversionRateByReferral[referrer_source],ConversionRateByReferral[conversion_rate],0)</f>
        <v>0</v>
      </c>
      <c r="H634" s="11">
        <f>TableDailySummary[[#This Row],[Órden promedio totales]]*TableDailySummary[[#This Row],[CR totales]]</f>
        <v>0</v>
      </c>
      <c r="I634" s="11">
        <f>_xlfn.XLOOKUP(TableDailySummary[[#This Row],[Fecha]],SummaryDaily[day],SummaryDaily[new_net_sales],0)</f>
        <v>0</v>
      </c>
      <c r="J634" s="11">
        <f>_xlfn.XLOOKUP(TableDailySummary[[#This Row],[Fecha]],SummaryDaily[day],SummaryDaily[new_orders],0)</f>
        <v>0</v>
      </c>
      <c r="K634" s="11">
        <f>_xlfn.XLOOKUP(TableDailySummary[[#This Row],[Fecha]],SummaryDaily[day],SummaryDaily[new_average_order_value],0)</f>
        <v>0</v>
      </c>
      <c r="L634" s="11">
        <f>_xlfn.XLOOKUP(TableDailySummary[[#This Row],[Fecha]],SummaryDaily[day],SummaryDaily[Online Store_net_sales],0)</f>
        <v>0</v>
      </c>
      <c r="M634" s="11">
        <f>_xlfn.XLOOKUP(TableDailySummary[[#This Row],[Fecha]],SummaryDaily[day],SummaryDaily[Online Store_orders],0)</f>
        <v>0</v>
      </c>
      <c r="N634" s="11">
        <f>_xlfn.XLOOKUP(TableDailySummary[[#This Row],[Fecha]],SummaryDaily[day],SummaryDaily[Online Store_average_order_value],0)</f>
        <v>0</v>
      </c>
      <c r="O634" s="11">
        <f>_xlfn.XLOOKUP(TableDailySummary[[#This Row],[Fecha]],SummaryDaily[day],SummaryDaily[Tienda 81_net_sales],0)</f>
        <v>0</v>
      </c>
      <c r="P634" s="11">
        <f>_xlfn.XLOOKUP(TableDailySummary[[#This Row],[Fecha]],SummaryDaily[day],SummaryDaily[Tienda 81_orders],0)</f>
        <v>0</v>
      </c>
      <c r="Q634" s="11">
        <f>_xlfn.XLOOKUP(TableDailySummary[[#This Row],[Fecha]],SummaryDaily[day],SummaryDaily[Tienda 81_average_order_value],0)</f>
        <v>0</v>
      </c>
      <c r="R634" s="11">
        <f>_xlfn.XLOOKUP(TableDailySummary[[#This Row],[Fecha]],SummaryDaily[day],SummaryDaily[Rappi_net_sales],0)</f>
        <v>0</v>
      </c>
      <c r="S634" s="11">
        <f>_xlfn.XLOOKUP(TableDailySummary[[#This Row],[Fecha]],SummaryDaily[day],SummaryDaily[Rappi_orders],0)</f>
        <v>0</v>
      </c>
      <c r="T634" s="11">
        <f>_xlfn.XLOOKUP(TableDailySummary[[#This Row],[Fecha]],SummaryDaily[day],SummaryDaily[Rappi_average_order_value],0)</f>
        <v>0</v>
      </c>
      <c r="U634" s="11">
        <f>_xlfn.XLOOKUP(TableDailySummary[[#This Row],[Fecha]],SummaryDaily[day],SummaryDaily[Corporativo no tienda_net_sales],0)</f>
        <v>0</v>
      </c>
      <c r="V634" s="11">
        <f>_xlfn.XLOOKUP(TableDailySummary[[#This Row],[Fecha]],SummaryDaily[day],SummaryDaily[Corporativo no tienda_orders],0)</f>
        <v>0</v>
      </c>
      <c r="W634" s="11">
        <f>_xlfn.XLOOKUP(TableDailySummary[[#This Row],[Fecha]],SummaryDaily[day],SummaryDaily[Corporativo no tienda_average_order_value],0)</f>
        <v>0</v>
      </c>
      <c r="X634" s="11">
        <f>_xlfn.XLOOKUP(TableDailySummary[[#This Row],[Fecha]],SummaryDaily[day],SummaryDaily[GoogleAdsOperation.Cost],0)</f>
        <v>0</v>
      </c>
      <c r="Y634" s="11">
        <f>SUMIFS(SalesByUTMDaily[google],SalesByUTMDaily[day],TableDailySummary[[#This Row],[Fecha]])</f>
        <v>0</v>
      </c>
      <c r="Z634" s="11">
        <f>_xlfn.XLOOKUP(TableDailySummary[[#This Row],[Fecha]],SummaryDaily[day],SummaryDaily[MetaAdsOperation.spend],0)</f>
        <v>0</v>
      </c>
      <c r="AA634" s="11">
        <f>SUMIFS(SalesByUTMDaily[facebook],SalesByUTMDaily[day],TableDailySummary[[#This Row],[Fecha]])</f>
        <v>0</v>
      </c>
      <c r="AB634" s="11">
        <f>TableDailySummary[[#This Row],[Inversión google ads]]+TableDailySummary[[#This Row],[Inversión meta ads]]</f>
        <v>0</v>
      </c>
      <c r="AC634" s="11">
        <f>TableDailySummary[[#This Row],[Ventas google ads]]+TableDailySummary[[#This Row],[Ventas meta ads]]</f>
        <v>0</v>
      </c>
      <c r="AD634" s="14">
        <f>IFERROR(TableDailySummary[[#This Row],[Ventas publicidad]]/TableDailySummary[[#This Row],[Inversión publicidad]],0)</f>
        <v>0</v>
      </c>
      <c r="AE634" s="14">
        <f>IFERROR(TableDailySummary[[#This Row],[Ventas primer cliente]]/TableDailySummary[[#This Row],[Inversión publicidad]],0)</f>
        <v>0</v>
      </c>
      <c r="AF634" s="14"/>
      <c r="AG634" s="11"/>
      <c r="AM634" s="11">
        <f>_xlfn.XLOOKUP(TableDailySummary[[#This Row],[Fecha]],SummaryDaily[day],SummaryDaily[net_sales_with_cost_recorded],0)</f>
        <v>0</v>
      </c>
      <c r="AN634" s="11">
        <f>_xlfn.XLOOKUP(TableDailySummary[[#This Row],[Fecha]],SummaryDaily[day],SummaryDaily[cost_of_goods_sold],0)</f>
        <v>0</v>
      </c>
      <c r="AO634" s="11">
        <f>_xlfn.XLOOKUP(TableDailySummary[[#This Row],[Fecha]],SummaryDaily[day],SummaryDaily[gross_profit],0)</f>
        <v>0</v>
      </c>
      <c r="AP634" s="18">
        <f>IFERROR(TableDailySummary[[#This Row],[Utilidad bruta]]/TableDailySummary[[#This Row],[Ventas netas con costo registrado]],0)</f>
        <v>0</v>
      </c>
    </row>
    <row r="635" spans="2:42" x14ac:dyDescent="0.2">
      <c r="B635" s="15" cm="1">
        <f t="array" ref="B635">ParamFechaInicioReporte + (ROW(TableDailySummary[#This Row]) - ROW(TableDailySummary[[#Headers],[Dia]]) - 1)</f>
        <v>45162</v>
      </c>
      <c r="C635" s="6">
        <f>TableDailySummary[[#This Row],[Dia]]</f>
        <v>45162</v>
      </c>
      <c r="D635" s="11">
        <f>_xlfn.XLOOKUP(TableDailySummary[[#This Row],[Fecha]],SummaryDaily[day],SummaryDaily[net_sales],0)</f>
        <v>0</v>
      </c>
      <c r="E635" s="11">
        <f>_xlfn.XLOOKUP(TableDailySummary[[#This Row],[Fecha]],SummaryDaily[day],SummaryDaily[orders],0)</f>
        <v>0</v>
      </c>
      <c r="F635" s="11">
        <f>_xlfn.XLOOKUP(TableDailySummary[[#This Row],[Fecha]],SummaryDaily[day],SummaryDaily[average_order_value],0)</f>
        <v>0</v>
      </c>
      <c r="G635" s="24" cm="1">
        <f t="array" ref="G635">_xlfn.XLOOKUP(TableDailySummary[[#This Row],[Fecha]]&amp;"Total site",ConversionRateByReferral[day]&amp;ConversionRateByReferral[referrer_source],ConversionRateByReferral[conversion_rate],0)</f>
        <v>0</v>
      </c>
      <c r="H635" s="11">
        <f>TableDailySummary[[#This Row],[Órden promedio totales]]*TableDailySummary[[#This Row],[CR totales]]</f>
        <v>0</v>
      </c>
      <c r="I635" s="11">
        <f>_xlfn.XLOOKUP(TableDailySummary[[#This Row],[Fecha]],SummaryDaily[day],SummaryDaily[new_net_sales],0)</f>
        <v>0</v>
      </c>
      <c r="J635" s="11">
        <f>_xlfn.XLOOKUP(TableDailySummary[[#This Row],[Fecha]],SummaryDaily[day],SummaryDaily[new_orders],0)</f>
        <v>0</v>
      </c>
      <c r="K635" s="11">
        <f>_xlfn.XLOOKUP(TableDailySummary[[#This Row],[Fecha]],SummaryDaily[day],SummaryDaily[new_average_order_value],0)</f>
        <v>0</v>
      </c>
      <c r="L635" s="11">
        <f>_xlfn.XLOOKUP(TableDailySummary[[#This Row],[Fecha]],SummaryDaily[day],SummaryDaily[Online Store_net_sales],0)</f>
        <v>0</v>
      </c>
      <c r="M635" s="11">
        <f>_xlfn.XLOOKUP(TableDailySummary[[#This Row],[Fecha]],SummaryDaily[day],SummaryDaily[Online Store_orders],0)</f>
        <v>0</v>
      </c>
      <c r="N635" s="11">
        <f>_xlfn.XLOOKUP(TableDailySummary[[#This Row],[Fecha]],SummaryDaily[day],SummaryDaily[Online Store_average_order_value],0)</f>
        <v>0</v>
      </c>
      <c r="O635" s="11">
        <f>_xlfn.XLOOKUP(TableDailySummary[[#This Row],[Fecha]],SummaryDaily[day],SummaryDaily[Tienda 81_net_sales],0)</f>
        <v>0</v>
      </c>
      <c r="P635" s="11">
        <f>_xlfn.XLOOKUP(TableDailySummary[[#This Row],[Fecha]],SummaryDaily[day],SummaryDaily[Tienda 81_orders],0)</f>
        <v>0</v>
      </c>
      <c r="Q635" s="11">
        <f>_xlfn.XLOOKUP(TableDailySummary[[#This Row],[Fecha]],SummaryDaily[day],SummaryDaily[Tienda 81_average_order_value],0)</f>
        <v>0</v>
      </c>
      <c r="R635" s="11">
        <f>_xlfn.XLOOKUP(TableDailySummary[[#This Row],[Fecha]],SummaryDaily[day],SummaryDaily[Rappi_net_sales],0)</f>
        <v>0</v>
      </c>
      <c r="S635" s="11">
        <f>_xlfn.XLOOKUP(TableDailySummary[[#This Row],[Fecha]],SummaryDaily[day],SummaryDaily[Rappi_orders],0)</f>
        <v>0</v>
      </c>
      <c r="T635" s="11">
        <f>_xlfn.XLOOKUP(TableDailySummary[[#This Row],[Fecha]],SummaryDaily[day],SummaryDaily[Rappi_average_order_value],0)</f>
        <v>0</v>
      </c>
      <c r="U635" s="11">
        <f>_xlfn.XLOOKUP(TableDailySummary[[#This Row],[Fecha]],SummaryDaily[day],SummaryDaily[Corporativo no tienda_net_sales],0)</f>
        <v>0</v>
      </c>
      <c r="V635" s="11">
        <f>_xlfn.XLOOKUP(TableDailySummary[[#This Row],[Fecha]],SummaryDaily[day],SummaryDaily[Corporativo no tienda_orders],0)</f>
        <v>0</v>
      </c>
      <c r="W635" s="11">
        <f>_xlfn.XLOOKUP(TableDailySummary[[#This Row],[Fecha]],SummaryDaily[day],SummaryDaily[Corporativo no tienda_average_order_value],0)</f>
        <v>0</v>
      </c>
      <c r="X635" s="11">
        <f>_xlfn.XLOOKUP(TableDailySummary[[#This Row],[Fecha]],SummaryDaily[day],SummaryDaily[GoogleAdsOperation.Cost],0)</f>
        <v>0</v>
      </c>
      <c r="Y635" s="11">
        <f>SUMIFS(SalesByUTMDaily[google],SalesByUTMDaily[day],TableDailySummary[[#This Row],[Fecha]])</f>
        <v>0</v>
      </c>
      <c r="Z635" s="11">
        <f>_xlfn.XLOOKUP(TableDailySummary[[#This Row],[Fecha]],SummaryDaily[day],SummaryDaily[MetaAdsOperation.spend],0)</f>
        <v>0</v>
      </c>
      <c r="AA635" s="11">
        <f>SUMIFS(SalesByUTMDaily[facebook],SalesByUTMDaily[day],TableDailySummary[[#This Row],[Fecha]])</f>
        <v>0</v>
      </c>
      <c r="AB635" s="11">
        <f>TableDailySummary[[#This Row],[Inversión google ads]]+TableDailySummary[[#This Row],[Inversión meta ads]]</f>
        <v>0</v>
      </c>
      <c r="AC635" s="11">
        <f>TableDailySummary[[#This Row],[Ventas google ads]]+TableDailySummary[[#This Row],[Ventas meta ads]]</f>
        <v>0</v>
      </c>
      <c r="AD635" s="14">
        <f>IFERROR(TableDailySummary[[#This Row],[Ventas publicidad]]/TableDailySummary[[#This Row],[Inversión publicidad]],0)</f>
        <v>0</v>
      </c>
      <c r="AE635" s="14">
        <f>IFERROR(TableDailySummary[[#This Row],[Ventas primer cliente]]/TableDailySummary[[#This Row],[Inversión publicidad]],0)</f>
        <v>0</v>
      </c>
      <c r="AF635" s="14"/>
      <c r="AG635" s="11"/>
      <c r="AM635" s="11">
        <f>_xlfn.XLOOKUP(TableDailySummary[[#This Row],[Fecha]],SummaryDaily[day],SummaryDaily[net_sales_with_cost_recorded],0)</f>
        <v>0</v>
      </c>
      <c r="AN635" s="11">
        <f>_xlfn.XLOOKUP(TableDailySummary[[#This Row],[Fecha]],SummaryDaily[day],SummaryDaily[cost_of_goods_sold],0)</f>
        <v>0</v>
      </c>
      <c r="AO635" s="11">
        <f>_xlfn.XLOOKUP(TableDailySummary[[#This Row],[Fecha]],SummaryDaily[day],SummaryDaily[gross_profit],0)</f>
        <v>0</v>
      </c>
      <c r="AP635" s="18">
        <f>IFERROR(TableDailySummary[[#This Row],[Utilidad bruta]]/TableDailySummary[[#This Row],[Ventas netas con costo registrado]],0)</f>
        <v>0</v>
      </c>
    </row>
    <row r="636" spans="2:42" x14ac:dyDescent="0.2">
      <c r="B636" s="15" cm="1">
        <f t="array" ref="B636">ParamFechaInicioReporte + (ROW(TableDailySummary[#This Row]) - ROW(TableDailySummary[[#Headers],[Dia]]) - 1)</f>
        <v>45163</v>
      </c>
      <c r="C636" s="6">
        <f>TableDailySummary[[#This Row],[Dia]]</f>
        <v>45163</v>
      </c>
      <c r="D636" s="11">
        <f>_xlfn.XLOOKUP(TableDailySummary[[#This Row],[Fecha]],SummaryDaily[day],SummaryDaily[net_sales],0)</f>
        <v>0</v>
      </c>
      <c r="E636" s="11">
        <f>_xlfn.XLOOKUP(TableDailySummary[[#This Row],[Fecha]],SummaryDaily[day],SummaryDaily[orders],0)</f>
        <v>0</v>
      </c>
      <c r="F636" s="11">
        <f>_xlfn.XLOOKUP(TableDailySummary[[#This Row],[Fecha]],SummaryDaily[day],SummaryDaily[average_order_value],0)</f>
        <v>0</v>
      </c>
      <c r="G636" s="24" cm="1">
        <f t="array" ref="G636">_xlfn.XLOOKUP(TableDailySummary[[#This Row],[Fecha]]&amp;"Total site",ConversionRateByReferral[day]&amp;ConversionRateByReferral[referrer_source],ConversionRateByReferral[conversion_rate],0)</f>
        <v>0</v>
      </c>
      <c r="H636" s="11">
        <f>TableDailySummary[[#This Row],[Órden promedio totales]]*TableDailySummary[[#This Row],[CR totales]]</f>
        <v>0</v>
      </c>
      <c r="I636" s="11">
        <f>_xlfn.XLOOKUP(TableDailySummary[[#This Row],[Fecha]],SummaryDaily[day],SummaryDaily[new_net_sales],0)</f>
        <v>0</v>
      </c>
      <c r="J636" s="11">
        <f>_xlfn.XLOOKUP(TableDailySummary[[#This Row],[Fecha]],SummaryDaily[day],SummaryDaily[new_orders],0)</f>
        <v>0</v>
      </c>
      <c r="K636" s="11">
        <f>_xlfn.XLOOKUP(TableDailySummary[[#This Row],[Fecha]],SummaryDaily[day],SummaryDaily[new_average_order_value],0)</f>
        <v>0</v>
      </c>
      <c r="L636" s="11">
        <f>_xlfn.XLOOKUP(TableDailySummary[[#This Row],[Fecha]],SummaryDaily[day],SummaryDaily[Online Store_net_sales],0)</f>
        <v>0</v>
      </c>
      <c r="M636" s="11">
        <f>_xlfn.XLOOKUP(TableDailySummary[[#This Row],[Fecha]],SummaryDaily[day],SummaryDaily[Online Store_orders],0)</f>
        <v>0</v>
      </c>
      <c r="N636" s="11">
        <f>_xlfn.XLOOKUP(TableDailySummary[[#This Row],[Fecha]],SummaryDaily[day],SummaryDaily[Online Store_average_order_value],0)</f>
        <v>0</v>
      </c>
      <c r="O636" s="11">
        <f>_xlfn.XLOOKUP(TableDailySummary[[#This Row],[Fecha]],SummaryDaily[day],SummaryDaily[Tienda 81_net_sales],0)</f>
        <v>0</v>
      </c>
      <c r="P636" s="11">
        <f>_xlfn.XLOOKUP(TableDailySummary[[#This Row],[Fecha]],SummaryDaily[day],SummaryDaily[Tienda 81_orders],0)</f>
        <v>0</v>
      </c>
      <c r="Q636" s="11">
        <f>_xlfn.XLOOKUP(TableDailySummary[[#This Row],[Fecha]],SummaryDaily[day],SummaryDaily[Tienda 81_average_order_value],0)</f>
        <v>0</v>
      </c>
      <c r="R636" s="11">
        <f>_xlfn.XLOOKUP(TableDailySummary[[#This Row],[Fecha]],SummaryDaily[day],SummaryDaily[Rappi_net_sales],0)</f>
        <v>0</v>
      </c>
      <c r="S636" s="11">
        <f>_xlfn.XLOOKUP(TableDailySummary[[#This Row],[Fecha]],SummaryDaily[day],SummaryDaily[Rappi_orders],0)</f>
        <v>0</v>
      </c>
      <c r="T636" s="11">
        <f>_xlfn.XLOOKUP(TableDailySummary[[#This Row],[Fecha]],SummaryDaily[day],SummaryDaily[Rappi_average_order_value],0)</f>
        <v>0</v>
      </c>
      <c r="U636" s="11">
        <f>_xlfn.XLOOKUP(TableDailySummary[[#This Row],[Fecha]],SummaryDaily[day],SummaryDaily[Corporativo no tienda_net_sales],0)</f>
        <v>0</v>
      </c>
      <c r="V636" s="11">
        <f>_xlfn.XLOOKUP(TableDailySummary[[#This Row],[Fecha]],SummaryDaily[day],SummaryDaily[Corporativo no tienda_orders],0)</f>
        <v>0</v>
      </c>
      <c r="W636" s="11">
        <f>_xlfn.XLOOKUP(TableDailySummary[[#This Row],[Fecha]],SummaryDaily[day],SummaryDaily[Corporativo no tienda_average_order_value],0)</f>
        <v>0</v>
      </c>
      <c r="X636" s="11">
        <f>_xlfn.XLOOKUP(TableDailySummary[[#This Row],[Fecha]],SummaryDaily[day],SummaryDaily[GoogleAdsOperation.Cost],0)</f>
        <v>0</v>
      </c>
      <c r="Y636" s="11">
        <f>SUMIFS(SalesByUTMDaily[google],SalesByUTMDaily[day],TableDailySummary[[#This Row],[Fecha]])</f>
        <v>0</v>
      </c>
      <c r="Z636" s="11">
        <f>_xlfn.XLOOKUP(TableDailySummary[[#This Row],[Fecha]],SummaryDaily[day],SummaryDaily[MetaAdsOperation.spend],0)</f>
        <v>0</v>
      </c>
      <c r="AA636" s="11">
        <f>SUMIFS(SalesByUTMDaily[facebook],SalesByUTMDaily[day],TableDailySummary[[#This Row],[Fecha]])</f>
        <v>0</v>
      </c>
      <c r="AB636" s="11">
        <f>TableDailySummary[[#This Row],[Inversión google ads]]+TableDailySummary[[#This Row],[Inversión meta ads]]</f>
        <v>0</v>
      </c>
      <c r="AC636" s="11">
        <f>TableDailySummary[[#This Row],[Ventas google ads]]+TableDailySummary[[#This Row],[Ventas meta ads]]</f>
        <v>0</v>
      </c>
      <c r="AD636" s="14">
        <f>IFERROR(TableDailySummary[[#This Row],[Ventas publicidad]]/TableDailySummary[[#This Row],[Inversión publicidad]],0)</f>
        <v>0</v>
      </c>
      <c r="AE636" s="14">
        <f>IFERROR(TableDailySummary[[#This Row],[Ventas primer cliente]]/TableDailySummary[[#This Row],[Inversión publicidad]],0)</f>
        <v>0</v>
      </c>
      <c r="AF636" s="14"/>
      <c r="AG636" s="11"/>
      <c r="AM636" s="11">
        <f>_xlfn.XLOOKUP(TableDailySummary[[#This Row],[Fecha]],SummaryDaily[day],SummaryDaily[net_sales_with_cost_recorded],0)</f>
        <v>0</v>
      </c>
      <c r="AN636" s="11">
        <f>_xlfn.XLOOKUP(TableDailySummary[[#This Row],[Fecha]],SummaryDaily[day],SummaryDaily[cost_of_goods_sold],0)</f>
        <v>0</v>
      </c>
      <c r="AO636" s="11">
        <f>_xlfn.XLOOKUP(TableDailySummary[[#This Row],[Fecha]],SummaryDaily[day],SummaryDaily[gross_profit],0)</f>
        <v>0</v>
      </c>
      <c r="AP636" s="18">
        <f>IFERROR(TableDailySummary[[#This Row],[Utilidad bruta]]/TableDailySummary[[#This Row],[Ventas netas con costo registrado]],0)</f>
        <v>0</v>
      </c>
    </row>
    <row r="637" spans="2:42" x14ac:dyDescent="0.2">
      <c r="B637" s="15" cm="1">
        <f t="array" ref="B637">ParamFechaInicioReporte + (ROW(TableDailySummary[#This Row]) - ROW(TableDailySummary[[#Headers],[Dia]]) - 1)</f>
        <v>45164</v>
      </c>
      <c r="C637" s="6">
        <f>TableDailySummary[[#This Row],[Dia]]</f>
        <v>45164</v>
      </c>
      <c r="D637" s="11">
        <f>_xlfn.XLOOKUP(TableDailySummary[[#This Row],[Fecha]],SummaryDaily[day],SummaryDaily[net_sales],0)</f>
        <v>0</v>
      </c>
      <c r="E637" s="11">
        <f>_xlfn.XLOOKUP(TableDailySummary[[#This Row],[Fecha]],SummaryDaily[day],SummaryDaily[orders],0)</f>
        <v>0</v>
      </c>
      <c r="F637" s="11">
        <f>_xlfn.XLOOKUP(TableDailySummary[[#This Row],[Fecha]],SummaryDaily[day],SummaryDaily[average_order_value],0)</f>
        <v>0</v>
      </c>
      <c r="G637" s="24" cm="1">
        <f t="array" ref="G637">_xlfn.XLOOKUP(TableDailySummary[[#This Row],[Fecha]]&amp;"Total site",ConversionRateByReferral[day]&amp;ConversionRateByReferral[referrer_source],ConversionRateByReferral[conversion_rate],0)</f>
        <v>0</v>
      </c>
      <c r="H637" s="11">
        <f>TableDailySummary[[#This Row],[Órden promedio totales]]*TableDailySummary[[#This Row],[CR totales]]</f>
        <v>0</v>
      </c>
      <c r="I637" s="11">
        <f>_xlfn.XLOOKUP(TableDailySummary[[#This Row],[Fecha]],SummaryDaily[day],SummaryDaily[new_net_sales],0)</f>
        <v>0</v>
      </c>
      <c r="J637" s="11">
        <f>_xlfn.XLOOKUP(TableDailySummary[[#This Row],[Fecha]],SummaryDaily[day],SummaryDaily[new_orders],0)</f>
        <v>0</v>
      </c>
      <c r="K637" s="11">
        <f>_xlfn.XLOOKUP(TableDailySummary[[#This Row],[Fecha]],SummaryDaily[day],SummaryDaily[new_average_order_value],0)</f>
        <v>0</v>
      </c>
      <c r="L637" s="11">
        <f>_xlfn.XLOOKUP(TableDailySummary[[#This Row],[Fecha]],SummaryDaily[day],SummaryDaily[Online Store_net_sales],0)</f>
        <v>0</v>
      </c>
      <c r="M637" s="11">
        <f>_xlfn.XLOOKUP(TableDailySummary[[#This Row],[Fecha]],SummaryDaily[day],SummaryDaily[Online Store_orders],0)</f>
        <v>0</v>
      </c>
      <c r="N637" s="11">
        <f>_xlfn.XLOOKUP(TableDailySummary[[#This Row],[Fecha]],SummaryDaily[day],SummaryDaily[Online Store_average_order_value],0)</f>
        <v>0</v>
      </c>
      <c r="O637" s="11">
        <f>_xlfn.XLOOKUP(TableDailySummary[[#This Row],[Fecha]],SummaryDaily[day],SummaryDaily[Tienda 81_net_sales],0)</f>
        <v>0</v>
      </c>
      <c r="P637" s="11">
        <f>_xlfn.XLOOKUP(TableDailySummary[[#This Row],[Fecha]],SummaryDaily[day],SummaryDaily[Tienda 81_orders],0)</f>
        <v>0</v>
      </c>
      <c r="Q637" s="11">
        <f>_xlfn.XLOOKUP(TableDailySummary[[#This Row],[Fecha]],SummaryDaily[day],SummaryDaily[Tienda 81_average_order_value],0)</f>
        <v>0</v>
      </c>
      <c r="R637" s="11">
        <f>_xlfn.XLOOKUP(TableDailySummary[[#This Row],[Fecha]],SummaryDaily[day],SummaryDaily[Rappi_net_sales],0)</f>
        <v>0</v>
      </c>
      <c r="S637" s="11">
        <f>_xlfn.XLOOKUP(TableDailySummary[[#This Row],[Fecha]],SummaryDaily[day],SummaryDaily[Rappi_orders],0)</f>
        <v>0</v>
      </c>
      <c r="T637" s="11">
        <f>_xlfn.XLOOKUP(TableDailySummary[[#This Row],[Fecha]],SummaryDaily[day],SummaryDaily[Rappi_average_order_value],0)</f>
        <v>0</v>
      </c>
      <c r="U637" s="11">
        <f>_xlfn.XLOOKUP(TableDailySummary[[#This Row],[Fecha]],SummaryDaily[day],SummaryDaily[Corporativo no tienda_net_sales],0)</f>
        <v>0</v>
      </c>
      <c r="V637" s="11">
        <f>_xlfn.XLOOKUP(TableDailySummary[[#This Row],[Fecha]],SummaryDaily[day],SummaryDaily[Corporativo no tienda_orders],0)</f>
        <v>0</v>
      </c>
      <c r="W637" s="11">
        <f>_xlfn.XLOOKUP(TableDailySummary[[#This Row],[Fecha]],SummaryDaily[day],SummaryDaily[Corporativo no tienda_average_order_value],0)</f>
        <v>0</v>
      </c>
      <c r="X637" s="11">
        <f>_xlfn.XLOOKUP(TableDailySummary[[#This Row],[Fecha]],SummaryDaily[day],SummaryDaily[GoogleAdsOperation.Cost],0)</f>
        <v>0</v>
      </c>
      <c r="Y637" s="11">
        <f>SUMIFS(SalesByUTMDaily[google],SalesByUTMDaily[day],TableDailySummary[[#This Row],[Fecha]])</f>
        <v>0</v>
      </c>
      <c r="Z637" s="11">
        <f>_xlfn.XLOOKUP(TableDailySummary[[#This Row],[Fecha]],SummaryDaily[day],SummaryDaily[MetaAdsOperation.spend],0)</f>
        <v>0</v>
      </c>
      <c r="AA637" s="11">
        <f>SUMIFS(SalesByUTMDaily[facebook],SalesByUTMDaily[day],TableDailySummary[[#This Row],[Fecha]])</f>
        <v>0</v>
      </c>
      <c r="AB637" s="11">
        <f>TableDailySummary[[#This Row],[Inversión google ads]]+TableDailySummary[[#This Row],[Inversión meta ads]]</f>
        <v>0</v>
      </c>
      <c r="AC637" s="11">
        <f>TableDailySummary[[#This Row],[Ventas google ads]]+TableDailySummary[[#This Row],[Ventas meta ads]]</f>
        <v>0</v>
      </c>
      <c r="AD637" s="14">
        <f>IFERROR(TableDailySummary[[#This Row],[Ventas publicidad]]/TableDailySummary[[#This Row],[Inversión publicidad]],0)</f>
        <v>0</v>
      </c>
      <c r="AE637" s="14">
        <f>IFERROR(TableDailySummary[[#This Row],[Ventas primer cliente]]/TableDailySummary[[#This Row],[Inversión publicidad]],0)</f>
        <v>0</v>
      </c>
      <c r="AF637" s="14"/>
      <c r="AG637" s="11"/>
      <c r="AM637" s="11">
        <f>_xlfn.XLOOKUP(TableDailySummary[[#This Row],[Fecha]],SummaryDaily[day],SummaryDaily[net_sales_with_cost_recorded],0)</f>
        <v>0</v>
      </c>
      <c r="AN637" s="11">
        <f>_xlfn.XLOOKUP(TableDailySummary[[#This Row],[Fecha]],SummaryDaily[day],SummaryDaily[cost_of_goods_sold],0)</f>
        <v>0</v>
      </c>
      <c r="AO637" s="11">
        <f>_xlfn.XLOOKUP(TableDailySummary[[#This Row],[Fecha]],SummaryDaily[day],SummaryDaily[gross_profit],0)</f>
        <v>0</v>
      </c>
      <c r="AP637" s="18">
        <f>IFERROR(TableDailySummary[[#This Row],[Utilidad bruta]]/TableDailySummary[[#This Row],[Ventas netas con costo registrado]],0)</f>
        <v>0</v>
      </c>
    </row>
    <row r="638" spans="2:42" x14ac:dyDescent="0.2">
      <c r="B638" s="15" cm="1">
        <f t="array" ref="B638">ParamFechaInicioReporte + (ROW(TableDailySummary[#This Row]) - ROW(TableDailySummary[[#Headers],[Dia]]) - 1)</f>
        <v>45165</v>
      </c>
      <c r="C638" s="6">
        <f>TableDailySummary[[#This Row],[Dia]]</f>
        <v>45165</v>
      </c>
      <c r="D638" s="11">
        <f>_xlfn.XLOOKUP(TableDailySummary[[#This Row],[Fecha]],SummaryDaily[day],SummaryDaily[net_sales],0)</f>
        <v>0</v>
      </c>
      <c r="E638" s="11">
        <f>_xlfn.XLOOKUP(TableDailySummary[[#This Row],[Fecha]],SummaryDaily[day],SummaryDaily[orders],0)</f>
        <v>0</v>
      </c>
      <c r="F638" s="11">
        <f>_xlfn.XLOOKUP(TableDailySummary[[#This Row],[Fecha]],SummaryDaily[day],SummaryDaily[average_order_value],0)</f>
        <v>0</v>
      </c>
      <c r="G638" s="24" cm="1">
        <f t="array" ref="G638">_xlfn.XLOOKUP(TableDailySummary[[#This Row],[Fecha]]&amp;"Total site",ConversionRateByReferral[day]&amp;ConversionRateByReferral[referrer_source],ConversionRateByReferral[conversion_rate],0)</f>
        <v>0</v>
      </c>
      <c r="H638" s="11">
        <f>TableDailySummary[[#This Row],[Órden promedio totales]]*TableDailySummary[[#This Row],[CR totales]]</f>
        <v>0</v>
      </c>
      <c r="I638" s="11">
        <f>_xlfn.XLOOKUP(TableDailySummary[[#This Row],[Fecha]],SummaryDaily[day],SummaryDaily[new_net_sales],0)</f>
        <v>0</v>
      </c>
      <c r="J638" s="11">
        <f>_xlfn.XLOOKUP(TableDailySummary[[#This Row],[Fecha]],SummaryDaily[day],SummaryDaily[new_orders],0)</f>
        <v>0</v>
      </c>
      <c r="K638" s="11">
        <f>_xlfn.XLOOKUP(TableDailySummary[[#This Row],[Fecha]],SummaryDaily[day],SummaryDaily[new_average_order_value],0)</f>
        <v>0</v>
      </c>
      <c r="L638" s="11">
        <f>_xlfn.XLOOKUP(TableDailySummary[[#This Row],[Fecha]],SummaryDaily[day],SummaryDaily[Online Store_net_sales],0)</f>
        <v>0</v>
      </c>
      <c r="M638" s="11">
        <f>_xlfn.XLOOKUP(TableDailySummary[[#This Row],[Fecha]],SummaryDaily[day],SummaryDaily[Online Store_orders],0)</f>
        <v>0</v>
      </c>
      <c r="N638" s="11">
        <f>_xlfn.XLOOKUP(TableDailySummary[[#This Row],[Fecha]],SummaryDaily[day],SummaryDaily[Online Store_average_order_value],0)</f>
        <v>0</v>
      </c>
      <c r="O638" s="11">
        <f>_xlfn.XLOOKUP(TableDailySummary[[#This Row],[Fecha]],SummaryDaily[day],SummaryDaily[Tienda 81_net_sales],0)</f>
        <v>0</v>
      </c>
      <c r="P638" s="11">
        <f>_xlfn.XLOOKUP(TableDailySummary[[#This Row],[Fecha]],SummaryDaily[day],SummaryDaily[Tienda 81_orders],0)</f>
        <v>0</v>
      </c>
      <c r="Q638" s="11">
        <f>_xlfn.XLOOKUP(TableDailySummary[[#This Row],[Fecha]],SummaryDaily[day],SummaryDaily[Tienda 81_average_order_value],0)</f>
        <v>0</v>
      </c>
      <c r="R638" s="11">
        <f>_xlfn.XLOOKUP(TableDailySummary[[#This Row],[Fecha]],SummaryDaily[day],SummaryDaily[Rappi_net_sales],0)</f>
        <v>0</v>
      </c>
      <c r="S638" s="11">
        <f>_xlfn.XLOOKUP(TableDailySummary[[#This Row],[Fecha]],SummaryDaily[day],SummaryDaily[Rappi_orders],0)</f>
        <v>0</v>
      </c>
      <c r="T638" s="11">
        <f>_xlfn.XLOOKUP(TableDailySummary[[#This Row],[Fecha]],SummaryDaily[day],SummaryDaily[Rappi_average_order_value],0)</f>
        <v>0</v>
      </c>
      <c r="U638" s="11">
        <f>_xlfn.XLOOKUP(TableDailySummary[[#This Row],[Fecha]],SummaryDaily[day],SummaryDaily[Corporativo no tienda_net_sales],0)</f>
        <v>0</v>
      </c>
      <c r="V638" s="11">
        <f>_xlfn.XLOOKUP(TableDailySummary[[#This Row],[Fecha]],SummaryDaily[day],SummaryDaily[Corporativo no tienda_orders],0)</f>
        <v>0</v>
      </c>
      <c r="W638" s="11">
        <f>_xlfn.XLOOKUP(TableDailySummary[[#This Row],[Fecha]],SummaryDaily[day],SummaryDaily[Corporativo no tienda_average_order_value],0)</f>
        <v>0</v>
      </c>
      <c r="X638" s="11">
        <f>_xlfn.XLOOKUP(TableDailySummary[[#This Row],[Fecha]],SummaryDaily[day],SummaryDaily[GoogleAdsOperation.Cost],0)</f>
        <v>0</v>
      </c>
      <c r="Y638" s="11">
        <f>SUMIFS(SalesByUTMDaily[google],SalesByUTMDaily[day],TableDailySummary[[#This Row],[Fecha]])</f>
        <v>0</v>
      </c>
      <c r="Z638" s="11">
        <f>_xlfn.XLOOKUP(TableDailySummary[[#This Row],[Fecha]],SummaryDaily[day],SummaryDaily[MetaAdsOperation.spend],0)</f>
        <v>0</v>
      </c>
      <c r="AA638" s="11">
        <f>SUMIFS(SalesByUTMDaily[facebook],SalesByUTMDaily[day],TableDailySummary[[#This Row],[Fecha]])</f>
        <v>0</v>
      </c>
      <c r="AB638" s="11">
        <f>TableDailySummary[[#This Row],[Inversión google ads]]+TableDailySummary[[#This Row],[Inversión meta ads]]</f>
        <v>0</v>
      </c>
      <c r="AC638" s="11">
        <f>TableDailySummary[[#This Row],[Ventas google ads]]+TableDailySummary[[#This Row],[Ventas meta ads]]</f>
        <v>0</v>
      </c>
      <c r="AD638" s="14">
        <f>IFERROR(TableDailySummary[[#This Row],[Ventas publicidad]]/TableDailySummary[[#This Row],[Inversión publicidad]],0)</f>
        <v>0</v>
      </c>
      <c r="AE638" s="14">
        <f>IFERROR(TableDailySummary[[#This Row],[Ventas primer cliente]]/TableDailySummary[[#This Row],[Inversión publicidad]],0)</f>
        <v>0</v>
      </c>
      <c r="AF638" s="14"/>
      <c r="AG638" s="11"/>
      <c r="AM638" s="11">
        <f>_xlfn.XLOOKUP(TableDailySummary[[#This Row],[Fecha]],SummaryDaily[day],SummaryDaily[net_sales_with_cost_recorded],0)</f>
        <v>0</v>
      </c>
      <c r="AN638" s="11">
        <f>_xlfn.XLOOKUP(TableDailySummary[[#This Row],[Fecha]],SummaryDaily[day],SummaryDaily[cost_of_goods_sold],0)</f>
        <v>0</v>
      </c>
      <c r="AO638" s="11">
        <f>_xlfn.XLOOKUP(TableDailySummary[[#This Row],[Fecha]],SummaryDaily[day],SummaryDaily[gross_profit],0)</f>
        <v>0</v>
      </c>
      <c r="AP638" s="18">
        <f>IFERROR(TableDailySummary[[#This Row],[Utilidad bruta]]/TableDailySummary[[#This Row],[Ventas netas con costo registrado]],0)</f>
        <v>0</v>
      </c>
    </row>
    <row r="639" spans="2:42" x14ac:dyDescent="0.2">
      <c r="B639" s="15" cm="1">
        <f t="array" ref="B639">ParamFechaInicioReporte + (ROW(TableDailySummary[#This Row]) - ROW(TableDailySummary[[#Headers],[Dia]]) - 1)</f>
        <v>45166</v>
      </c>
      <c r="C639" s="6">
        <f>TableDailySummary[[#This Row],[Dia]]</f>
        <v>45166</v>
      </c>
      <c r="D639" s="11">
        <f>_xlfn.XLOOKUP(TableDailySummary[[#This Row],[Fecha]],SummaryDaily[day],SummaryDaily[net_sales],0)</f>
        <v>0</v>
      </c>
      <c r="E639" s="11">
        <f>_xlfn.XLOOKUP(TableDailySummary[[#This Row],[Fecha]],SummaryDaily[day],SummaryDaily[orders],0)</f>
        <v>0</v>
      </c>
      <c r="F639" s="11">
        <f>_xlfn.XLOOKUP(TableDailySummary[[#This Row],[Fecha]],SummaryDaily[day],SummaryDaily[average_order_value],0)</f>
        <v>0</v>
      </c>
      <c r="G639" s="24" cm="1">
        <f t="array" ref="G639">_xlfn.XLOOKUP(TableDailySummary[[#This Row],[Fecha]]&amp;"Total site",ConversionRateByReferral[day]&amp;ConversionRateByReferral[referrer_source],ConversionRateByReferral[conversion_rate],0)</f>
        <v>0</v>
      </c>
      <c r="H639" s="11">
        <f>TableDailySummary[[#This Row],[Órden promedio totales]]*TableDailySummary[[#This Row],[CR totales]]</f>
        <v>0</v>
      </c>
      <c r="I639" s="11">
        <f>_xlfn.XLOOKUP(TableDailySummary[[#This Row],[Fecha]],SummaryDaily[day],SummaryDaily[new_net_sales],0)</f>
        <v>0</v>
      </c>
      <c r="J639" s="11">
        <f>_xlfn.XLOOKUP(TableDailySummary[[#This Row],[Fecha]],SummaryDaily[day],SummaryDaily[new_orders],0)</f>
        <v>0</v>
      </c>
      <c r="K639" s="11">
        <f>_xlfn.XLOOKUP(TableDailySummary[[#This Row],[Fecha]],SummaryDaily[day],SummaryDaily[new_average_order_value],0)</f>
        <v>0</v>
      </c>
      <c r="L639" s="11">
        <f>_xlfn.XLOOKUP(TableDailySummary[[#This Row],[Fecha]],SummaryDaily[day],SummaryDaily[Online Store_net_sales],0)</f>
        <v>0</v>
      </c>
      <c r="M639" s="11">
        <f>_xlfn.XLOOKUP(TableDailySummary[[#This Row],[Fecha]],SummaryDaily[day],SummaryDaily[Online Store_orders],0)</f>
        <v>0</v>
      </c>
      <c r="N639" s="11">
        <f>_xlfn.XLOOKUP(TableDailySummary[[#This Row],[Fecha]],SummaryDaily[day],SummaryDaily[Online Store_average_order_value],0)</f>
        <v>0</v>
      </c>
      <c r="O639" s="11">
        <f>_xlfn.XLOOKUP(TableDailySummary[[#This Row],[Fecha]],SummaryDaily[day],SummaryDaily[Tienda 81_net_sales],0)</f>
        <v>0</v>
      </c>
      <c r="P639" s="11">
        <f>_xlfn.XLOOKUP(TableDailySummary[[#This Row],[Fecha]],SummaryDaily[day],SummaryDaily[Tienda 81_orders],0)</f>
        <v>0</v>
      </c>
      <c r="Q639" s="11">
        <f>_xlfn.XLOOKUP(TableDailySummary[[#This Row],[Fecha]],SummaryDaily[day],SummaryDaily[Tienda 81_average_order_value],0)</f>
        <v>0</v>
      </c>
      <c r="R639" s="11">
        <f>_xlfn.XLOOKUP(TableDailySummary[[#This Row],[Fecha]],SummaryDaily[day],SummaryDaily[Rappi_net_sales],0)</f>
        <v>0</v>
      </c>
      <c r="S639" s="11">
        <f>_xlfn.XLOOKUP(TableDailySummary[[#This Row],[Fecha]],SummaryDaily[day],SummaryDaily[Rappi_orders],0)</f>
        <v>0</v>
      </c>
      <c r="T639" s="11">
        <f>_xlfn.XLOOKUP(TableDailySummary[[#This Row],[Fecha]],SummaryDaily[day],SummaryDaily[Rappi_average_order_value],0)</f>
        <v>0</v>
      </c>
      <c r="U639" s="11">
        <f>_xlfn.XLOOKUP(TableDailySummary[[#This Row],[Fecha]],SummaryDaily[day],SummaryDaily[Corporativo no tienda_net_sales],0)</f>
        <v>0</v>
      </c>
      <c r="V639" s="11">
        <f>_xlfn.XLOOKUP(TableDailySummary[[#This Row],[Fecha]],SummaryDaily[day],SummaryDaily[Corporativo no tienda_orders],0)</f>
        <v>0</v>
      </c>
      <c r="W639" s="11">
        <f>_xlfn.XLOOKUP(TableDailySummary[[#This Row],[Fecha]],SummaryDaily[day],SummaryDaily[Corporativo no tienda_average_order_value],0)</f>
        <v>0</v>
      </c>
      <c r="X639" s="11">
        <f>_xlfn.XLOOKUP(TableDailySummary[[#This Row],[Fecha]],SummaryDaily[day],SummaryDaily[GoogleAdsOperation.Cost],0)</f>
        <v>0</v>
      </c>
      <c r="Y639" s="11">
        <f>SUMIFS(SalesByUTMDaily[google],SalesByUTMDaily[day],TableDailySummary[[#This Row],[Fecha]])</f>
        <v>0</v>
      </c>
      <c r="Z639" s="11">
        <f>_xlfn.XLOOKUP(TableDailySummary[[#This Row],[Fecha]],SummaryDaily[day],SummaryDaily[MetaAdsOperation.spend],0)</f>
        <v>0</v>
      </c>
      <c r="AA639" s="11">
        <f>SUMIFS(SalesByUTMDaily[facebook],SalesByUTMDaily[day],TableDailySummary[[#This Row],[Fecha]])</f>
        <v>0</v>
      </c>
      <c r="AB639" s="11">
        <f>TableDailySummary[[#This Row],[Inversión google ads]]+TableDailySummary[[#This Row],[Inversión meta ads]]</f>
        <v>0</v>
      </c>
      <c r="AC639" s="11">
        <f>TableDailySummary[[#This Row],[Ventas google ads]]+TableDailySummary[[#This Row],[Ventas meta ads]]</f>
        <v>0</v>
      </c>
      <c r="AD639" s="14">
        <f>IFERROR(TableDailySummary[[#This Row],[Ventas publicidad]]/TableDailySummary[[#This Row],[Inversión publicidad]],0)</f>
        <v>0</v>
      </c>
      <c r="AE639" s="14">
        <f>IFERROR(TableDailySummary[[#This Row],[Ventas primer cliente]]/TableDailySummary[[#This Row],[Inversión publicidad]],0)</f>
        <v>0</v>
      </c>
      <c r="AF639" s="14"/>
      <c r="AG639" s="11"/>
      <c r="AM639" s="11">
        <f>_xlfn.XLOOKUP(TableDailySummary[[#This Row],[Fecha]],SummaryDaily[day],SummaryDaily[net_sales_with_cost_recorded],0)</f>
        <v>0</v>
      </c>
      <c r="AN639" s="11">
        <f>_xlfn.XLOOKUP(TableDailySummary[[#This Row],[Fecha]],SummaryDaily[day],SummaryDaily[cost_of_goods_sold],0)</f>
        <v>0</v>
      </c>
      <c r="AO639" s="11">
        <f>_xlfn.XLOOKUP(TableDailySummary[[#This Row],[Fecha]],SummaryDaily[day],SummaryDaily[gross_profit],0)</f>
        <v>0</v>
      </c>
      <c r="AP639" s="18">
        <f>IFERROR(TableDailySummary[[#This Row],[Utilidad bruta]]/TableDailySummary[[#This Row],[Ventas netas con costo registrado]],0)</f>
        <v>0</v>
      </c>
    </row>
    <row r="640" spans="2:42" x14ac:dyDescent="0.2">
      <c r="B640" s="15" cm="1">
        <f t="array" ref="B640">ParamFechaInicioReporte + (ROW(TableDailySummary[#This Row]) - ROW(TableDailySummary[[#Headers],[Dia]]) - 1)</f>
        <v>45167</v>
      </c>
      <c r="C640" s="6">
        <f>TableDailySummary[[#This Row],[Dia]]</f>
        <v>45167</v>
      </c>
      <c r="D640" s="11">
        <f>_xlfn.XLOOKUP(TableDailySummary[[#This Row],[Fecha]],SummaryDaily[day],SummaryDaily[net_sales],0)</f>
        <v>0</v>
      </c>
      <c r="E640" s="11">
        <f>_xlfn.XLOOKUP(TableDailySummary[[#This Row],[Fecha]],SummaryDaily[day],SummaryDaily[orders],0)</f>
        <v>0</v>
      </c>
      <c r="F640" s="11">
        <f>_xlfn.XLOOKUP(TableDailySummary[[#This Row],[Fecha]],SummaryDaily[day],SummaryDaily[average_order_value],0)</f>
        <v>0</v>
      </c>
      <c r="G640" s="24" cm="1">
        <f t="array" ref="G640">_xlfn.XLOOKUP(TableDailySummary[[#This Row],[Fecha]]&amp;"Total site",ConversionRateByReferral[day]&amp;ConversionRateByReferral[referrer_source],ConversionRateByReferral[conversion_rate],0)</f>
        <v>0</v>
      </c>
      <c r="H640" s="11">
        <f>TableDailySummary[[#This Row],[Órden promedio totales]]*TableDailySummary[[#This Row],[CR totales]]</f>
        <v>0</v>
      </c>
      <c r="I640" s="11">
        <f>_xlfn.XLOOKUP(TableDailySummary[[#This Row],[Fecha]],SummaryDaily[day],SummaryDaily[new_net_sales],0)</f>
        <v>0</v>
      </c>
      <c r="J640" s="11">
        <f>_xlfn.XLOOKUP(TableDailySummary[[#This Row],[Fecha]],SummaryDaily[day],SummaryDaily[new_orders],0)</f>
        <v>0</v>
      </c>
      <c r="K640" s="11">
        <f>_xlfn.XLOOKUP(TableDailySummary[[#This Row],[Fecha]],SummaryDaily[day],SummaryDaily[new_average_order_value],0)</f>
        <v>0</v>
      </c>
      <c r="L640" s="11">
        <f>_xlfn.XLOOKUP(TableDailySummary[[#This Row],[Fecha]],SummaryDaily[day],SummaryDaily[Online Store_net_sales],0)</f>
        <v>0</v>
      </c>
      <c r="M640" s="11">
        <f>_xlfn.XLOOKUP(TableDailySummary[[#This Row],[Fecha]],SummaryDaily[day],SummaryDaily[Online Store_orders],0)</f>
        <v>0</v>
      </c>
      <c r="N640" s="11">
        <f>_xlfn.XLOOKUP(TableDailySummary[[#This Row],[Fecha]],SummaryDaily[day],SummaryDaily[Online Store_average_order_value],0)</f>
        <v>0</v>
      </c>
      <c r="O640" s="11">
        <f>_xlfn.XLOOKUP(TableDailySummary[[#This Row],[Fecha]],SummaryDaily[day],SummaryDaily[Tienda 81_net_sales],0)</f>
        <v>0</v>
      </c>
      <c r="P640" s="11">
        <f>_xlfn.XLOOKUP(TableDailySummary[[#This Row],[Fecha]],SummaryDaily[day],SummaryDaily[Tienda 81_orders],0)</f>
        <v>0</v>
      </c>
      <c r="Q640" s="11">
        <f>_xlfn.XLOOKUP(TableDailySummary[[#This Row],[Fecha]],SummaryDaily[day],SummaryDaily[Tienda 81_average_order_value],0)</f>
        <v>0</v>
      </c>
      <c r="R640" s="11">
        <f>_xlfn.XLOOKUP(TableDailySummary[[#This Row],[Fecha]],SummaryDaily[day],SummaryDaily[Rappi_net_sales],0)</f>
        <v>0</v>
      </c>
      <c r="S640" s="11">
        <f>_xlfn.XLOOKUP(TableDailySummary[[#This Row],[Fecha]],SummaryDaily[day],SummaryDaily[Rappi_orders],0)</f>
        <v>0</v>
      </c>
      <c r="T640" s="11">
        <f>_xlfn.XLOOKUP(TableDailySummary[[#This Row],[Fecha]],SummaryDaily[day],SummaryDaily[Rappi_average_order_value],0)</f>
        <v>0</v>
      </c>
      <c r="U640" s="11">
        <f>_xlfn.XLOOKUP(TableDailySummary[[#This Row],[Fecha]],SummaryDaily[day],SummaryDaily[Corporativo no tienda_net_sales],0)</f>
        <v>0</v>
      </c>
      <c r="V640" s="11">
        <f>_xlfn.XLOOKUP(TableDailySummary[[#This Row],[Fecha]],SummaryDaily[day],SummaryDaily[Corporativo no tienda_orders],0)</f>
        <v>0</v>
      </c>
      <c r="W640" s="11">
        <f>_xlfn.XLOOKUP(TableDailySummary[[#This Row],[Fecha]],SummaryDaily[day],SummaryDaily[Corporativo no tienda_average_order_value],0)</f>
        <v>0</v>
      </c>
      <c r="X640" s="11">
        <f>_xlfn.XLOOKUP(TableDailySummary[[#This Row],[Fecha]],SummaryDaily[day],SummaryDaily[GoogleAdsOperation.Cost],0)</f>
        <v>0</v>
      </c>
      <c r="Y640" s="11">
        <f>SUMIFS(SalesByUTMDaily[google],SalesByUTMDaily[day],TableDailySummary[[#This Row],[Fecha]])</f>
        <v>0</v>
      </c>
      <c r="Z640" s="11">
        <f>_xlfn.XLOOKUP(TableDailySummary[[#This Row],[Fecha]],SummaryDaily[day],SummaryDaily[MetaAdsOperation.spend],0)</f>
        <v>0</v>
      </c>
      <c r="AA640" s="11">
        <f>SUMIFS(SalesByUTMDaily[facebook],SalesByUTMDaily[day],TableDailySummary[[#This Row],[Fecha]])</f>
        <v>0</v>
      </c>
      <c r="AB640" s="11">
        <f>TableDailySummary[[#This Row],[Inversión google ads]]+TableDailySummary[[#This Row],[Inversión meta ads]]</f>
        <v>0</v>
      </c>
      <c r="AC640" s="11">
        <f>TableDailySummary[[#This Row],[Ventas google ads]]+TableDailySummary[[#This Row],[Ventas meta ads]]</f>
        <v>0</v>
      </c>
      <c r="AD640" s="14">
        <f>IFERROR(TableDailySummary[[#This Row],[Ventas publicidad]]/TableDailySummary[[#This Row],[Inversión publicidad]],0)</f>
        <v>0</v>
      </c>
      <c r="AE640" s="14">
        <f>IFERROR(TableDailySummary[[#This Row],[Ventas primer cliente]]/TableDailySummary[[#This Row],[Inversión publicidad]],0)</f>
        <v>0</v>
      </c>
      <c r="AF640" s="14"/>
      <c r="AG640" s="11"/>
      <c r="AM640" s="11">
        <f>_xlfn.XLOOKUP(TableDailySummary[[#This Row],[Fecha]],SummaryDaily[day],SummaryDaily[net_sales_with_cost_recorded],0)</f>
        <v>0</v>
      </c>
      <c r="AN640" s="11">
        <f>_xlfn.XLOOKUP(TableDailySummary[[#This Row],[Fecha]],SummaryDaily[day],SummaryDaily[cost_of_goods_sold],0)</f>
        <v>0</v>
      </c>
      <c r="AO640" s="11">
        <f>_xlfn.XLOOKUP(TableDailySummary[[#This Row],[Fecha]],SummaryDaily[day],SummaryDaily[gross_profit],0)</f>
        <v>0</v>
      </c>
      <c r="AP640" s="18">
        <f>IFERROR(TableDailySummary[[#This Row],[Utilidad bruta]]/TableDailySummary[[#This Row],[Ventas netas con costo registrado]],0)</f>
        <v>0</v>
      </c>
    </row>
    <row r="641" spans="2:42" x14ac:dyDescent="0.2">
      <c r="B641" s="15" cm="1">
        <f t="array" ref="B641">ParamFechaInicioReporte + (ROW(TableDailySummary[#This Row]) - ROW(TableDailySummary[[#Headers],[Dia]]) - 1)</f>
        <v>45168</v>
      </c>
      <c r="C641" s="6">
        <f>TableDailySummary[[#This Row],[Dia]]</f>
        <v>45168</v>
      </c>
      <c r="D641" s="11">
        <f>_xlfn.XLOOKUP(TableDailySummary[[#This Row],[Fecha]],SummaryDaily[day],SummaryDaily[net_sales],0)</f>
        <v>0</v>
      </c>
      <c r="E641" s="11">
        <f>_xlfn.XLOOKUP(TableDailySummary[[#This Row],[Fecha]],SummaryDaily[day],SummaryDaily[orders],0)</f>
        <v>0</v>
      </c>
      <c r="F641" s="11">
        <f>_xlfn.XLOOKUP(TableDailySummary[[#This Row],[Fecha]],SummaryDaily[day],SummaryDaily[average_order_value],0)</f>
        <v>0</v>
      </c>
      <c r="G641" s="24" cm="1">
        <f t="array" ref="G641">_xlfn.XLOOKUP(TableDailySummary[[#This Row],[Fecha]]&amp;"Total site",ConversionRateByReferral[day]&amp;ConversionRateByReferral[referrer_source],ConversionRateByReferral[conversion_rate],0)</f>
        <v>0</v>
      </c>
      <c r="H641" s="11">
        <f>TableDailySummary[[#This Row],[Órden promedio totales]]*TableDailySummary[[#This Row],[CR totales]]</f>
        <v>0</v>
      </c>
      <c r="I641" s="11">
        <f>_xlfn.XLOOKUP(TableDailySummary[[#This Row],[Fecha]],SummaryDaily[day],SummaryDaily[new_net_sales],0)</f>
        <v>0</v>
      </c>
      <c r="J641" s="11">
        <f>_xlfn.XLOOKUP(TableDailySummary[[#This Row],[Fecha]],SummaryDaily[day],SummaryDaily[new_orders],0)</f>
        <v>0</v>
      </c>
      <c r="K641" s="11">
        <f>_xlfn.XLOOKUP(TableDailySummary[[#This Row],[Fecha]],SummaryDaily[day],SummaryDaily[new_average_order_value],0)</f>
        <v>0</v>
      </c>
      <c r="L641" s="11">
        <f>_xlfn.XLOOKUP(TableDailySummary[[#This Row],[Fecha]],SummaryDaily[day],SummaryDaily[Online Store_net_sales],0)</f>
        <v>0</v>
      </c>
      <c r="M641" s="11">
        <f>_xlfn.XLOOKUP(TableDailySummary[[#This Row],[Fecha]],SummaryDaily[day],SummaryDaily[Online Store_orders],0)</f>
        <v>0</v>
      </c>
      <c r="N641" s="11">
        <f>_xlfn.XLOOKUP(TableDailySummary[[#This Row],[Fecha]],SummaryDaily[day],SummaryDaily[Online Store_average_order_value],0)</f>
        <v>0</v>
      </c>
      <c r="O641" s="11">
        <f>_xlfn.XLOOKUP(TableDailySummary[[#This Row],[Fecha]],SummaryDaily[day],SummaryDaily[Tienda 81_net_sales],0)</f>
        <v>0</v>
      </c>
      <c r="P641" s="11">
        <f>_xlfn.XLOOKUP(TableDailySummary[[#This Row],[Fecha]],SummaryDaily[day],SummaryDaily[Tienda 81_orders],0)</f>
        <v>0</v>
      </c>
      <c r="Q641" s="11">
        <f>_xlfn.XLOOKUP(TableDailySummary[[#This Row],[Fecha]],SummaryDaily[day],SummaryDaily[Tienda 81_average_order_value],0)</f>
        <v>0</v>
      </c>
      <c r="R641" s="11">
        <f>_xlfn.XLOOKUP(TableDailySummary[[#This Row],[Fecha]],SummaryDaily[day],SummaryDaily[Rappi_net_sales],0)</f>
        <v>0</v>
      </c>
      <c r="S641" s="11">
        <f>_xlfn.XLOOKUP(TableDailySummary[[#This Row],[Fecha]],SummaryDaily[day],SummaryDaily[Rappi_orders],0)</f>
        <v>0</v>
      </c>
      <c r="T641" s="11">
        <f>_xlfn.XLOOKUP(TableDailySummary[[#This Row],[Fecha]],SummaryDaily[day],SummaryDaily[Rappi_average_order_value],0)</f>
        <v>0</v>
      </c>
      <c r="U641" s="11">
        <f>_xlfn.XLOOKUP(TableDailySummary[[#This Row],[Fecha]],SummaryDaily[day],SummaryDaily[Corporativo no tienda_net_sales],0)</f>
        <v>0</v>
      </c>
      <c r="V641" s="11">
        <f>_xlfn.XLOOKUP(TableDailySummary[[#This Row],[Fecha]],SummaryDaily[day],SummaryDaily[Corporativo no tienda_orders],0)</f>
        <v>0</v>
      </c>
      <c r="W641" s="11">
        <f>_xlfn.XLOOKUP(TableDailySummary[[#This Row],[Fecha]],SummaryDaily[day],SummaryDaily[Corporativo no tienda_average_order_value],0)</f>
        <v>0</v>
      </c>
      <c r="X641" s="11">
        <f>_xlfn.XLOOKUP(TableDailySummary[[#This Row],[Fecha]],SummaryDaily[day],SummaryDaily[GoogleAdsOperation.Cost],0)</f>
        <v>0</v>
      </c>
      <c r="Y641" s="11">
        <f>SUMIFS(SalesByUTMDaily[google],SalesByUTMDaily[day],TableDailySummary[[#This Row],[Fecha]])</f>
        <v>0</v>
      </c>
      <c r="Z641" s="11">
        <f>_xlfn.XLOOKUP(TableDailySummary[[#This Row],[Fecha]],SummaryDaily[day],SummaryDaily[MetaAdsOperation.spend],0)</f>
        <v>0</v>
      </c>
      <c r="AA641" s="11">
        <f>SUMIFS(SalesByUTMDaily[facebook],SalesByUTMDaily[day],TableDailySummary[[#This Row],[Fecha]])</f>
        <v>0</v>
      </c>
      <c r="AB641" s="11">
        <f>TableDailySummary[[#This Row],[Inversión google ads]]+TableDailySummary[[#This Row],[Inversión meta ads]]</f>
        <v>0</v>
      </c>
      <c r="AC641" s="11">
        <f>TableDailySummary[[#This Row],[Ventas google ads]]+TableDailySummary[[#This Row],[Ventas meta ads]]</f>
        <v>0</v>
      </c>
      <c r="AD641" s="14">
        <f>IFERROR(TableDailySummary[[#This Row],[Ventas publicidad]]/TableDailySummary[[#This Row],[Inversión publicidad]],0)</f>
        <v>0</v>
      </c>
      <c r="AE641" s="14">
        <f>IFERROR(TableDailySummary[[#This Row],[Ventas primer cliente]]/TableDailySummary[[#This Row],[Inversión publicidad]],0)</f>
        <v>0</v>
      </c>
      <c r="AF641" s="14"/>
      <c r="AG641" s="11"/>
      <c r="AM641" s="11">
        <f>_xlfn.XLOOKUP(TableDailySummary[[#This Row],[Fecha]],SummaryDaily[day],SummaryDaily[net_sales_with_cost_recorded],0)</f>
        <v>0</v>
      </c>
      <c r="AN641" s="11">
        <f>_xlfn.XLOOKUP(TableDailySummary[[#This Row],[Fecha]],SummaryDaily[day],SummaryDaily[cost_of_goods_sold],0)</f>
        <v>0</v>
      </c>
      <c r="AO641" s="11">
        <f>_xlfn.XLOOKUP(TableDailySummary[[#This Row],[Fecha]],SummaryDaily[day],SummaryDaily[gross_profit],0)</f>
        <v>0</v>
      </c>
      <c r="AP641" s="18">
        <f>IFERROR(TableDailySummary[[#This Row],[Utilidad bruta]]/TableDailySummary[[#This Row],[Ventas netas con costo registrado]],0)</f>
        <v>0</v>
      </c>
    </row>
    <row r="642" spans="2:42" x14ac:dyDescent="0.2">
      <c r="B642" s="15" cm="1">
        <f t="array" ref="B642">ParamFechaInicioReporte + (ROW(TableDailySummary[#This Row]) - ROW(TableDailySummary[[#Headers],[Dia]]) - 1)</f>
        <v>45169</v>
      </c>
      <c r="C642" s="6">
        <f>TableDailySummary[[#This Row],[Dia]]</f>
        <v>45169</v>
      </c>
      <c r="D642" s="11">
        <f>_xlfn.XLOOKUP(TableDailySummary[[#This Row],[Fecha]],SummaryDaily[day],SummaryDaily[net_sales],0)</f>
        <v>0</v>
      </c>
      <c r="E642" s="11">
        <f>_xlfn.XLOOKUP(TableDailySummary[[#This Row],[Fecha]],SummaryDaily[day],SummaryDaily[orders],0)</f>
        <v>0</v>
      </c>
      <c r="F642" s="11">
        <f>_xlfn.XLOOKUP(TableDailySummary[[#This Row],[Fecha]],SummaryDaily[day],SummaryDaily[average_order_value],0)</f>
        <v>0</v>
      </c>
      <c r="G642" s="24" cm="1">
        <f t="array" ref="G642">_xlfn.XLOOKUP(TableDailySummary[[#This Row],[Fecha]]&amp;"Total site",ConversionRateByReferral[day]&amp;ConversionRateByReferral[referrer_source],ConversionRateByReferral[conversion_rate],0)</f>
        <v>0</v>
      </c>
      <c r="H642" s="11">
        <f>TableDailySummary[[#This Row],[Órden promedio totales]]*TableDailySummary[[#This Row],[CR totales]]</f>
        <v>0</v>
      </c>
      <c r="I642" s="11">
        <f>_xlfn.XLOOKUP(TableDailySummary[[#This Row],[Fecha]],SummaryDaily[day],SummaryDaily[new_net_sales],0)</f>
        <v>0</v>
      </c>
      <c r="J642" s="11">
        <f>_xlfn.XLOOKUP(TableDailySummary[[#This Row],[Fecha]],SummaryDaily[day],SummaryDaily[new_orders],0)</f>
        <v>0</v>
      </c>
      <c r="K642" s="11">
        <f>_xlfn.XLOOKUP(TableDailySummary[[#This Row],[Fecha]],SummaryDaily[day],SummaryDaily[new_average_order_value],0)</f>
        <v>0</v>
      </c>
      <c r="L642" s="11">
        <f>_xlfn.XLOOKUP(TableDailySummary[[#This Row],[Fecha]],SummaryDaily[day],SummaryDaily[Online Store_net_sales],0)</f>
        <v>0</v>
      </c>
      <c r="M642" s="11">
        <f>_xlfn.XLOOKUP(TableDailySummary[[#This Row],[Fecha]],SummaryDaily[day],SummaryDaily[Online Store_orders],0)</f>
        <v>0</v>
      </c>
      <c r="N642" s="11">
        <f>_xlfn.XLOOKUP(TableDailySummary[[#This Row],[Fecha]],SummaryDaily[day],SummaryDaily[Online Store_average_order_value],0)</f>
        <v>0</v>
      </c>
      <c r="O642" s="11">
        <f>_xlfn.XLOOKUP(TableDailySummary[[#This Row],[Fecha]],SummaryDaily[day],SummaryDaily[Tienda 81_net_sales],0)</f>
        <v>0</v>
      </c>
      <c r="P642" s="11">
        <f>_xlfn.XLOOKUP(TableDailySummary[[#This Row],[Fecha]],SummaryDaily[day],SummaryDaily[Tienda 81_orders],0)</f>
        <v>0</v>
      </c>
      <c r="Q642" s="11">
        <f>_xlfn.XLOOKUP(TableDailySummary[[#This Row],[Fecha]],SummaryDaily[day],SummaryDaily[Tienda 81_average_order_value],0)</f>
        <v>0</v>
      </c>
      <c r="R642" s="11">
        <f>_xlfn.XLOOKUP(TableDailySummary[[#This Row],[Fecha]],SummaryDaily[day],SummaryDaily[Rappi_net_sales],0)</f>
        <v>0</v>
      </c>
      <c r="S642" s="11">
        <f>_xlfn.XLOOKUP(TableDailySummary[[#This Row],[Fecha]],SummaryDaily[day],SummaryDaily[Rappi_orders],0)</f>
        <v>0</v>
      </c>
      <c r="T642" s="11">
        <f>_xlfn.XLOOKUP(TableDailySummary[[#This Row],[Fecha]],SummaryDaily[day],SummaryDaily[Rappi_average_order_value],0)</f>
        <v>0</v>
      </c>
      <c r="U642" s="11">
        <f>_xlfn.XLOOKUP(TableDailySummary[[#This Row],[Fecha]],SummaryDaily[day],SummaryDaily[Corporativo no tienda_net_sales],0)</f>
        <v>0</v>
      </c>
      <c r="V642" s="11">
        <f>_xlfn.XLOOKUP(TableDailySummary[[#This Row],[Fecha]],SummaryDaily[day],SummaryDaily[Corporativo no tienda_orders],0)</f>
        <v>0</v>
      </c>
      <c r="W642" s="11">
        <f>_xlfn.XLOOKUP(TableDailySummary[[#This Row],[Fecha]],SummaryDaily[day],SummaryDaily[Corporativo no tienda_average_order_value],0)</f>
        <v>0</v>
      </c>
      <c r="X642" s="11">
        <f>_xlfn.XLOOKUP(TableDailySummary[[#This Row],[Fecha]],SummaryDaily[day],SummaryDaily[GoogleAdsOperation.Cost],0)</f>
        <v>0</v>
      </c>
      <c r="Y642" s="11">
        <f>SUMIFS(SalesByUTMDaily[google],SalesByUTMDaily[day],TableDailySummary[[#This Row],[Fecha]])</f>
        <v>0</v>
      </c>
      <c r="Z642" s="11">
        <f>_xlfn.XLOOKUP(TableDailySummary[[#This Row],[Fecha]],SummaryDaily[day],SummaryDaily[MetaAdsOperation.spend],0)</f>
        <v>0</v>
      </c>
      <c r="AA642" s="11">
        <f>SUMIFS(SalesByUTMDaily[facebook],SalesByUTMDaily[day],TableDailySummary[[#This Row],[Fecha]])</f>
        <v>0</v>
      </c>
      <c r="AB642" s="11">
        <f>TableDailySummary[[#This Row],[Inversión google ads]]+TableDailySummary[[#This Row],[Inversión meta ads]]</f>
        <v>0</v>
      </c>
      <c r="AC642" s="11">
        <f>TableDailySummary[[#This Row],[Ventas google ads]]+TableDailySummary[[#This Row],[Ventas meta ads]]</f>
        <v>0</v>
      </c>
      <c r="AD642" s="14">
        <f>IFERROR(TableDailySummary[[#This Row],[Ventas publicidad]]/TableDailySummary[[#This Row],[Inversión publicidad]],0)</f>
        <v>0</v>
      </c>
      <c r="AE642" s="14">
        <f>IFERROR(TableDailySummary[[#This Row],[Ventas primer cliente]]/TableDailySummary[[#This Row],[Inversión publicidad]],0)</f>
        <v>0</v>
      </c>
      <c r="AF642" s="14"/>
      <c r="AG642" s="11"/>
      <c r="AM642" s="11">
        <f>_xlfn.XLOOKUP(TableDailySummary[[#This Row],[Fecha]],SummaryDaily[day],SummaryDaily[net_sales_with_cost_recorded],0)</f>
        <v>0</v>
      </c>
      <c r="AN642" s="11">
        <f>_xlfn.XLOOKUP(TableDailySummary[[#This Row],[Fecha]],SummaryDaily[day],SummaryDaily[cost_of_goods_sold],0)</f>
        <v>0</v>
      </c>
      <c r="AO642" s="11">
        <f>_xlfn.XLOOKUP(TableDailySummary[[#This Row],[Fecha]],SummaryDaily[day],SummaryDaily[gross_profit],0)</f>
        <v>0</v>
      </c>
      <c r="AP642" s="18">
        <f>IFERROR(TableDailySummary[[#This Row],[Utilidad bruta]]/TableDailySummary[[#This Row],[Ventas netas con costo registrado]],0)</f>
        <v>0</v>
      </c>
    </row>
    <row r="643" spans="2:42" x14ac:dyDescent="0.2">
      <c r="B643" s="15" cm="1">
        <f t="array" ref="B643">ParamFechaInicioReporte + (ROW(TableDailySummary[#This Row]) - ROW(TableDailySummary[[#Headers],[Dia]]) - 1)</f>
        <v>45170</v>
      </c>
      <c r="C643" s="6">
        <f>TableDailySummary[[#This Row],[Dia]]</f>
        <v>45170</v>
      </c>
      <c r="D643" s="11">
        <f>_xlfn.XLOOKUP(TableDailySummary[[#This Row],[Fecha]],SummaryDaily[day],SummaryDaily[net_sales],0)</f>
        <v>0</v>
      </c>
      <c r="E643" s="11">
        <f>_xlfn.XLOOKUP(TableDailySummary[[#This Row],[Fecha]],SummaryDaily[day],SummaryDaily[orders],0)</f>
        <v>0</v>
      </c>
      <c r="F643" s="11">
        <f>_xlfn.XLOOKUP(TableDailySummary[[#This Row],[Fecha]],SummaryDaily[day],SummaryDaily[average_order_value],0)</f>
        <v>0</v>
      </c>
      <c r="G643" s="24" cm="1">
        <f t="array" ref="G643">_xlfn.XLOOKUP(TableDailySummary[[#This Row],[Fecha]]&amp;"Total site",ConversionRateByReferral[day]&amp;ConversionRateByReferral[referrer_source],ConversionRateByReferral[conversion_rate],0)</f>
        <v>0</v>
      </c>
      <c r="H643" s="11">
        <f>TableDailySummary[[#This Row],[Órden promedio totales]]*TableDailySummary[[#This Row],[CR totales]]</f>
        <v>0</v>
      </c>
      <c r="I643" s="11">
        <f>_xlfn.XLOOKUP(TableDailySummary[[#This Row],[Fecha]],SummaryDaily[day],SummaryDaily[new_net_sales],0)</f>
        <v>0</v>
      </c>
      <c r="J643" s="11">
        <f>_xlfn.XLOOKUP(TableDailySummary[[#This Row],[Fecha]],SummaryDaily[day],SummaryDaily[new_orders],0)</f>
        <v>0</v>
      </c>
      <c r="K643" s="11">
        <f>_xlfn.XLOOKUP(TableDailySummary[[#This Row],[Fecha]],SummaryDaily[day],SummaryDaily[new_average_order_value],0)</f>
        <v>0</v>
      </c>
      <c r="L643" s="11">
        <f>_xlfn.XLOOKUP(TableDailySummary[[#This Row],[Fecha]],SummaryDaily[day],SummaryDaily[Online Store_net_sales],0)</f>
        <v>0</v>
      </c>
      <c r="M643" s="11">
        <f>_xlfn.XLOOKUP(TableDailySummary[[#This Row],[Fecha]],SummaryDaily[day],SummaryDaily[Online Store_orders],0)</f>
        <v>0</v>
      </c>
      <c r="N643" s="11">
        <f>_xlfn.XLOOKUP(TableDailySummary[[#This Row],[Fecha]],SummaryDaily[day],SummaryDaily[Online Store_average_order_value],0)</f>
        <v>0</v>
      </c>
      <c r="O643" s="11">
        <f>_xlfn.XLOOKUP(TableDailySummary[[#This Row],[Fecha]],SummaryDaily[day],SummaryDaily[Tienda 81_net_sales],0)</f>
        <v>0</v>
      </c>
      <c r="P643" s="11">
        <f>_xlfn.XLOOKUP(TableDailySummary[[#This Row],[Fecha]],SummaryDaily[day],SummaryDaily[Tienda 81_orders],0)</f>
        <v>0</v>
      </c>
      <c r="Q643" s="11">
        <f>_xlfn.XLOOKUP(TableDailySummary[[#This Row],[Fecha]],SummaryDaily[day],SummaryDaily[Tienda 81_average_order_value],0)</f>
        <v>0</v>
      </c>
      <c r="R643" s="11">
        <f>_xlfn.XLOOKUP(TableDailySummary[[#This Row],[Fecha]],SummaryDaily[day],SummaryDaily[Rappi_net_sales],0)</f>
        <v>0</v>
      </c>
      <c r="S643" s="11">
        <f>_xlfn.XLOOKUP(TableDailySummary[[#This Row],[Fecha]],SummaryDaily[day],SummaryDaily[Rappi_orders],0)</f>
        <v>0</v>
      </c>
      <c r="T643" s="11">
        <f>_xlfn.XLOOKUP(TableDailySummary[[#This Row],[Fecha]],SummaryDaily[day],SummaryDaily[Rappi_average_order_value],0)</f>
        <v>0</v>
      </c>
      <c r="U643" s="11">
        <f>_xlfn.XLOOKUP(TableDailySummary[[#This Row],[Fecha]],SummaryDaily[day],SummaryDaily[Corporativo no tienda_net_sales],0)</f>
        <v>0</v>
      </c>
      <c r="V643" s="11">
        <f>_xlfn.XLOOKUP(TableDailySummary[[#This Row],[Fecha]],SummaryDaily[day],SummaryDaily[Corporativo no tienda_orders],0)</f>
        <v>0</v>
      </c>
      <c r="W643" s="11">
        <f>_xlfn.XLOOKUP(TableDailySummary[[#This Row],[Fecha]],SummaryDaily[day],SummaryDaily[Corporativo no tienda_average_order_value],0)</f>
        <v>0</v>
      </c>
      <c r="X643" s="11">
        <f>_xlfn.XLOOKUP(TableDailySummary[[#This Row],[Fecha]],SummaryDaily[day],SummaryDaily[GoogleAdsOperation.Cost],0)</f>
        <v>0</v>
      </c>
      <c r="Y643" s="11">
        <f>SUMIFS(SalesByUTMDaily[google],SalesByUTMDaily[day],TableDailySummary[[#This Row],[Fecha]])</f>
        <v>0</v>
      </c>
      <c r="Z643" s="11">
        <f>_xlfn.XLOOKUP(TableDailySummary[[#This Row],[Fecha]],SummaryDaily[day],SummaryDaily[MetaAdsOperation.spend],0)</f>
        <v>0</v>
      </c>
      <c r="AA643" s="11">
        <f>SUMIFS(SalesByUTMDaily[facebook],SalesByUTMDaily[day],TableDailySummary[[#This Row],[Fecha]])</f>
        <v>0</v>
      </c>
      <c r="AB643" s="11">
        <f>TableDailySummary[[#This Row],[Inversión google ads]]+TableDailySummary[[#This Row],[Inversión meta ads]]</f>
        <v>0</v>
      </c>
      <c r="AC643" s="11">
        <f>TableDailySummary[[#This Row],[Ventas google ads]]+TableDailySummary[[#This Row],[Ventas meta ads]]</f>
        <v>0</v>
      </c>
      <c r="AD643" s="14">
        <f>IFERROR(TableDailySummary[[#This Row],[Ventas publicidad]]/TableDailySummary[[#This Row],[Inversión publicidad]],0)</f>
        <v>0</v>
      </c>
      <c r="AE643" s="14">
        <f>IFERROR(TableDailySummary[[#This Row],[Ventas primer cliente]]/TableDailySummary[[#This Row],[Inversión publicidad]],0)</f>
        <v>0</v>
      </c>
      <c r="AF643" s="14"/>
      <c r="AG643" s="11"/>
      <c r="AM643" s="11">
        <f>_xlfn.XLOOKUP(TableDailySummary[[#This Row],[Fecha]],SummaryDaily[day],SummaryDaily[net_sales_with_cost_recorded],0)</f>
        <v>0</v>
      </c>
      <c r="AN643" s="11">
        <f>_xlfn.XLOOKUP(TableDailySummary[[#This Row],[Fecha]],SummaryDaily[day],SummaryDaily[cost_of_goods_sold],0)</f>
        <v>0</v>
      </c>
      <c r="AO643" s="11">
        <f>_xlfn.XLOOKUP(TableDailySummary[[#This Row],[Fecha]],SummaryDaily[day],SummaryDaily[gross_profit],0)</f>
        <v>0</v>
      </c>
      <c r="AP643" s="18">
        <f>IFERROR(TableDailySummary[[#This Row],[Utilidad bruta]]/TableDailySummary[[#This Row],[Ventas netas con costo registrado]],0)</f>
        <v>0</v>
      </c>
    </row>
    <row r="644" spans="2:42" x14ac:dyDescent="0.2">
      <c r="B644" s="15" cm="1">
        <f t="array" ref="B644">ParamFechaInicioReporte + (ROW(TableDailySummary[#This Row]) - ROW(TableDailySummary[[#Headers],[Dia]]) - 1)</f>
        <v>45171</v>
      </c>
      <c r="C644" s="6">
        <f>TableDailySummary[[#This Row],[Dia]]</f>
        <v>45171</v>
      </c>
      <c r="D644" s="11">
        <f>_xlfn.XLOOKUP(TableDailySummary[[#This Row],[Fecha]],SummaryDaily[day],SummaryDaily[net_sales],0)</f>
        <v>0</v>
      </c>
      <c r="E644" s="11">
        <f>_xlfn.XLOOKUP(TableDailySummary[[#This Row],[Fecha]],SummaryDaily[day],SummaryDaily[orders],0)</f>
        <v>0</v>
      </c>
      <c r="F644" s="11">
        <f>_xlfn.XLOOKUP(TableDailySummary[[#This Row],[Fecha]],SummaryDaily[day],SummaryDaily[average_order_value],0)</f>
        <v>0</v>
      </c>
      <c r="G644" s="24" cm="1">
        <f t="array" ref="G644">_xlfn.XLOOKUP(TableDailySummary[[#This Row],[Fecha]]&amp;"Total site",ConversionRateByReferral[day]&amp;ConversionRateByReferral[referrer_source],ConversionRateByReferral[conversion_rate],0)</f>
        <v>0</v>
      </c>
      <c r="H644" s="11">
        <f>TableDailySummary[[#This Row],[Órden promedio totales]]*TableDailySummary[[#This Row],[CR totales]]</f>
        <v>0</v>
      </c>
      <c r="I644" s="11">
        <f>_xlfn.XLOOKUP(TableDailySummary[[#This Row],[Fecha]],SummaryDaily[day],SummaryDaily[new_net_sales],0)</f>
        <v>0</v>
      </c>
      <c r="J644" s="11">
        <f>_xlfn.XLOOKUP(TableDailySummary[[#This Row],[Fecha]],SummaryDaily[day],SummaryDaily[new_orders],0)</f>
        <v>0</v>
      </c>
      <c r="K644" s="11">
        <f>_xlfn.XLOOKUP(TableDailySummary[[#This Row],[Fecha]],SummaryDaily[day],SummaryDaily[new_average_order_value],0)</f>
        <v>0</v>
      </c>
      <c r="L644" s="11">
        <f>_xlfn.XLOOKUP(TableDailySummary[[#This Row],[Fecha]],SummaryDaily[day],SummaryDaily[Online Store_net_sales],0)</f>
        <v>0</v>
      </c>
      <c r="M644" s="11">
        <f>_xlfn.XLOOKUP(TableDailySummary[[#This Row],[Fecha]],SummaryDaily[day],SummaryDaily[Online Store_orders],0)</f>
        <v>0</v>
      </c>
      <c r="N644" s="11">
        <f>_xlfn.XLOOKUP(TableDailySummary[[#This Row],[Fecha]],SummaryDaily[day],SummaryDaily[Online Store_average_order_value],0)</f>
        <v>0</v>
      </c>
      <c r="O644" s="11">
        <f>_xlfn.XLOOKUP(TableDailySummary[[#This Row],[Fecha]],SummaryDaily[day],SummaryDaily[Tienda 81_net_sales],0)</f>
        <v>0</v>
      </c>
      <c r="P644" s="11">
        <f>_xlfn.XLOOKUP(TableDailySummary[[#This Row],[Fecha]],SummaryDaily[day],SummaryDaily[Tienda 81_orders],0)</f>
        <v>0</v>
      </c>
      <c r="Q644" s="11">
        <f>_xlfn.XLOOKUP(TableDailySummary[[#This Row],[Fecha]],SummaryDaily[day],SummaryDaily[Tienda 81_average_order_value],0)</f>
        <v>0</v>
      </c>
      <c r="R644" s="11">
        <f>_xlfn.XLOOKUP(TableDailySummary[[#This Row],[Fecha]],SummaryDaily[day],SummaryDaily[Rappi_net_sales],0)</f>
        <v>0</v>
      </c>
      <c r="S644" s="11">
        <f>_xlfn.XLOOKUP(TableDailySummary[[#This Row],[Fecha]],SummaryDaily[day],SummaryDaily[Rappi_orders],0)</f>
        <v>0</v>
      </c>
      <c r="T644" s="11">
        <f>_xlfn.XLOOKUP(TableDailySummary[[#This Row],[Fecha]],SummaryDaily[day],SummaryDaily[Rappi_average_order_value],0)</f>
        <v>0</v>
      </c>
      <c r="U644" s="11">
        <f>_xlfn.XLOOKUP(TableDailySummary[[#This Row],[Fecha]],SummaryDaily[day],SummaryDaily[Corporativo no tienda_net_sales],0)</f>
        <v>0</v>
      </c>
      <c r="V644" s="11">
        <f>_xlfn.XLOOKUP(TableDailySummary[[#This Row],[Fecha]],SummaryDaily[day],SummaryDaily[Corporativo no tienda_orders],0)</f>
        <v>0</v>
      </c>
      <c r="W644" s="11">
        <f>_xlfn.XLOOKUP(TableDailySummary[[#This Row],[Fecha]],SummaryDaily[day],SummaryDaily[Corporativo no tienda_average_order_value],0)</f>
        <v>0</v>
      </c>
      <c r="X644" s="11">
        <f>_xlfn.XLOOKUP(TableDailySummary[[#This Row],[Fecha]],SummaryDaily[day],SummaryDaily[GoogleAdsOperation.Cost],0)</f>
        <v>0</v>
      </c>
      <c r="Y644" s="11">
        <f>SUMIFS(SalesByUTMDaily[google],SalesByUTMDaily[day],TableDailySummary[[#This Row],[Fecha]])</f>
        <v>0</v>
      </c>
      <c r="Z644" s="11">
        <f>_xlfn.XLOOKUP(TableDailySummary[[#This Row],[Fecha]],SummaryDaily[day],SummaryDaily[MetaAdsOperation.spend],0)</f>
        <v>0</v>
      </c>
      <c r="AA644" s="11">
        <f>SUMIFS(SalesByUTMDaily[facebook],SalesByUTMDaily[day],TableDailySummary[[#This Row],[Fecha]])</f>
        <v>0</v>
      </c>
      <c r="AB644" s="11">
        <f>TableDailySummary[[#This Row],[Inversión google ads]]+TableDailySummary[[#This Row],[Inversión meta ads]]</f>
        <v>0</v>
      </c>
      <c r="AC644" s="11">
        <f>TableDailySummary[[#This Row],[Ventas google ads]]+TableDailySummary[[#This Row],[Ventas meta ads]]</f>
        <v>0</v>
      </c>
      <c r="AD644" s="14">
        <f>IFERROR(TableDailySummary[[#This Row],[Ventas publicidad]]/TableDailySummary[[#This Row],[Inversión publicidad]],0)</f>
        <v>0</v>
      </c>
      <c r="AE644" s="14">
        <f>IFERROR(TableDailySummary[[#This Row],[Ventas primer cliente]]/TableDailySummary[[#This Row],[Inversión publicidad]],0)</f>
        <v>0</v>
      </c>
      <c r="AF644" s="14"/>
      <c r="AG644" s="11"/>
      <c r="AM644" s="11">
        <f>_xlfn.XLOOKUP(TableDailySummary[[#This Row],[Fecha]],SummaryDaily[day],SummaryDaily[net_sales_with_cost_recorded],0)</f>
        <v>0</v>
      </c>
      <c r="AN644" s="11">
        <f>_xlfn.XLOOKUP(TableDailySummary[[#This Row],[Fecha]],SummaryDaily[day],SummaryDaily[cost_of_goods_sold],0)</f>
        <v>0</v>
      </c>
      <c r="AO644" s="11">
        <f>_xlfn.XLOOKUP(TableDailySummary[[#This Row],[Fecha]],SummaryDaily[day],SummaryDaily[gross_profit],0)</f>
        <v>0</v>
      </c>
      <c r="AP644" s="18">
        <f>IFERROR(TableDailySummary[[#This Row],[Utilidad bruta]]/TableDailySummary[[#This Row],[Ventas netas con costo registrado]],0)</f>
        <v>0</v>
      </c>
    </row>
    <row r="645" spans="2:42" x14ac:dyDescent="0.2">
      <c r="B645" s="15" cm="1">
        <f t="array" ref="B645">ParamFechaInicioReporte + (ROW(TableDailySummary[#This Row]) - ROW(TableDailySummary[[#Headers],[Dia]]) - 1)</f>
        <v>45172</v>
      </c>
      <c r="C645" s="6">
        <f>TableDailySummary[[#This Row],[Dia]]</f>
        <v>45172</v>
      </c>
      <c r="D645" s="11">
        <f>_xlfn.XLOOKUP(TableDailySummary[[#This Row],[Fecha]],SummaryDaily[day],SummaryDaily[net_sales],0)</f>
        <v>0</v>
      </c>
      <c r="E645" s="11">
        <f>_xlfn.XLOOKUP(TableDailySummary[[#This Row],[Fecha]],SummaryDaily[day],SummaryDaily[orders],0)</f>
        <v>0</v>
      </c>
      <c r="F645" s="11">
        <f>_xlfn.XLOOKUP(TableDailySummary[[#This Row],[Fecha]],SummaryDaily[day],SummaryDaily[average_order_value],0)</f>
        <v>0</v>
      </c>
      <c r="G645" s="24" cm="1">
        <f t="array" ref="G645">_xlfn.XLOOKUP(TableDailySummary[[#This Row],[Fecha]]&amp;"Total site",ConversionRateByReferral[day]&amp;ConversionRateByReferral[referrer_source],ConversionRateByReferral[conversion_rate],0)</f>
        <v>0</v>
      </c>
      <c r="H645" s="11">
        <f>TableDailySummary[[#This Row],[Órden promedio totales]]*TableDailySummary[[#This Row],[CR totales]]</f>
        <v>0</v>
      </c>
      <c r="I645" s="11">
        <f>_xlfn.XLOOKUP(TableDailySummary[[#This Row],[Fecha]],SummaryDaily[day],SummaryDaily[new_net_sales],0)</f>
        <v>0</v>
      </c>
      <c r="J645" s="11">
        <f>_xlfn.XLOOKUP(TableDailySummary[[#This Row],[Fecha]],SummaryDaily[day],SummaryDaily[new_orders],0)</f>
        <v>0</v>
      </c>
      <c r="K645" s="11">
        <f>_xlfn.XLOOKUP(TableDailySummary[[#This Row],[Fecha]],SummaryDaily[day],SummaryDaily[new_average_order_value],0)</f>
        <v>0</v>
      </c>
      <c r="L645" s="11">
        <f>_xlfn.XLOOKUP(TableDailySummary[[#This Row],[Fecha]],SummaryDaily[day],SummaryDaily[Online Store_net_sales],0)</f>
        <v>0</v>
      </c>
      <c r="M645" s="11">
        <f>_xlfn.XLOOKUP(TableDailySummary[[#This Row],[Fecha]],SummaryDaily[day],SummaryDaily[Online Store_orders],0)</f>
        <v>0</v>
      </c>
      <c r="N645" s="11">
        <f>_xlfn.XLOOKUP(TableDailySummary[[#This Row],[Fecha]],SummaryDaily[day],SummaryDaily[Online Store_average_order_value],0)</f>
        <v>0</v>
      </c>
      <c r="O645" s="11">
        <f>_xlfn.XLOOKUP(TableDailySummary[[#This Row],[Fecha]],SummaryDaily[day],SummaryDaily[Tienda 81_net_sales],0)</f>
        <v>0</v>
      </c>
      <c r="P645" s="11">
        <f>_xlfn.XLOOKUP(TableDailySummary[[#This Row],[Fecha]],SummaryDaily[day],SummaryDaily[Tienda 81_orders],0)</f>
        <v>0</v>
      </c>
      <c r="Q645" s="11">
        <f>_xlfn.XLOOKUP(TableDailySummary[[#This Row],[Fecha]],SummaryDaily[day],SummaryDaily[Tienda 81_average_order_value],0)</f>
        <v>0</v>
      </c>
      <c r="R645" s="11">
        <f>_xlfn.XLOOKUP(TableDailySummary[[#This Row],[Fecha]],SummaryDaily[day],SummaryDaily[Rappi_net_sales],0)</f>
        <v>0</v>
      </c>
      <c r="S645" s="11">
        <f>_xlfn.XLOOKUP(TableDailySummary[[#This Row],[Fecha]],SummaryDaily[day],SummaryDaily[Rappi_orders],0)</f>
        <v>0</v>
      </c>
      <c r="T645" s="11">
        <f>_xlfn.XLOOKUP(TableDailySummary[[#This Row],[Fecha]],SummaryDaily[day],SummaryDaily[Rappi_average_order_value],0)</f>
        <v>0</v>
      </c>
      <c r="U645" s="11">
        <f>_xlfn.XLOOKUP(TableDailySummary[[#This Row],[Fecha]],SummaryDaily[day],SummaryDaily[Corporativo no tienda_net_sales],0)</f>
        <v>0</v>
      </c>
      <c r="V645" s="11">
        <f>_xlfn.XLOOKUP(TableDailySummary[[#This Row],[Fecha]],SummaryDaily[day],SummaryDaily[Corporativo no tienda_orders],0)</f>
        <v>0</v>
      </c>
      <c r="W645" s="11">
        <f>_xlfn.XLOOKUP(TableDailySummary[[#This Row],[Fecha]],SummaryDaily[day],SummaryDaily[Corporativo no tienda_average_order_value],0)</f>
        <v>0</v>
      </c>
      <c r="X645" s="11">
        <f>_xlfn.XLOOKUP(TableDailySummary[[#This Row],[Fecha]],SummaryDaily[day],SummaryDaily[GoogleAdsOperation.Cost],0)</f>
        <v>0</v>
      </c>
      <c r="Y645" s="11">
        <f>SUMIFS(SalesByUTMDaily[google],SalesByUTMDaily[day],TableDailySummary[[#This Row],[Fecha]])</f>
        <v>0</v>
      </c>
      <c r="Z645" s="11">
        <f>_xlfn.XLOOKUP(TableDailySummary[[#This Row],[Fecha]],SummaryDaily[day],SummaryDaily[MetaAdsOperation.spend],0)</f>
        <v>0</v>
      </c>
      <c r="AA645" s="11">
        <f>SUMIFS(SalesByUTMDaily[facebook],SalesByUTMDaily[day],TableDailySummary[[#This Row],[Fecha]])</f>
        <v>0</v>
      </c>
      <c r="AB645" s="11">
        <f>TableDailySummary[[#This Row],[Inversión google ads]]+TableDailySummary[[#This Row],[Inversión meta ads]]</f>
        <v>0</v>
      </c>
      <c r="AC645" s="11">
        <f>TableDailySummary[[#This Row],[Ventas google ads]]+TableDailySummary[[#This Row],[Ventas meta ads]]</f>
        <v>0</v>
      </c>
      <c r="AD645" s="14">
        <f>IFERROR(TableDailySummary[[#This Row],[Ventas publicidad]]/TableDailySummary[[#This Row],[Inversión publicidad]],0)</f>
        <v>0</v>
      </c>
      <c r="AE645" s="14">
        <f>IFERROR(TableDailySummary[[#This Row],[Ventas primer cliente]]/TableDailySummary[[#This Row],[Inversión publicidad]],0)</f>
        <v>0</v>
      </c>
      <c r="AF645" s="14"/>
      <c r="AG645" s="11"/>
      <c r="AM645" s="11">
        <f>_xlfn.XLOOKUP(TableDailySummary[[#This Row],[Fecha]],SummaryDaily[day],SummaryDaily[net_sales_with_cost_recorded],0)</f>
        <v>0</v>
      </c>
      <c r="AN645" s="11">
        <f>_xlfn.XLOOKUP(TableDailySummary[[#This Row],[Fecha]],SummaryDaily[day],SummaryDaily[cost_of_goods_sold],0)</f>
        <v>0</v>
      </c>
      <c r="AO645" s="11">
        <f>_xlfn.XLOOKUP(TableDailySummary[[#This Row],[Fecha]],SummaryDaily[day],SummaryDaily[gross_profit],0)</f>
        <v>0</v>
      </c>
      <c r="AP645" s="18">
        <f>IFERROR(TableDailySummary[[#This Row],[Utilidad bruta]]/TableDailySummary[[#This Row],[Ventas netas con costo registrado]],0)</f>
        <v>0</v>
      </c>
    </row>
    <row r="646" spans="2:42" x14ac:dyDescent="0.2">
      <c r="B646" s="15" cm="1">
        <f t="array" ref="B646">ParamFechaInicioReporte + (ROW(TableDailySummary[#This Row]) - ROW(TableDailySummary[[#Headers],[Dia]]) - 1)</f>
        <v>45173</v>
      </c>
      <c r="C646" s="6">
        <f>TableDailySummary[[#This Row],[Dia]]</f>
        <v>45173</v>
      </c>
      <c r="D646" s="11">
        <f>_xlfn.XLOOKUP(TableDailySummary[[#This Row],[Fecha]],SummaryDaily[day],SummaryDaily[net_sales],0)</f>
        <v>0</v>
      </c>
      <c r="E646" s="11">
        <f>_xlfn.XLOOKUP(TableDailySummary[[#This Row],[Fecha]],SummaryDaily[day],SummaryDaily[orders],0)</f>
        <v>0</v>
      </c>
      <c r="F646" s="11">
        <f>_xlfn.XLOOKUP(TableDailySummary[[#This Row],[Fecha]],SummaryDaily[day],SummaryDaily[average_order_value],0)</f>
        <v>0</v>
      </c>
      <c r="G646" s="24" cm="1">
        <f t="array" ref="G646">_xlfn.XLOOKUP(TableDailySummary[[#This Row],[Fecha]]&amp;"Total site",ConversionRateByReferral[day]&amp;ConversionRateByReferral[referrer_source],ConversionRateByReferral[conversion_rate],0)</f>
        <v>0</v>
      </c>
      <c r="H646" s="11">
        <f>TableDailySummary[[#This Row],[Órden promedio totales]]*TableDailySummary[[#This Row],[CR totales]]</f>
        <v>0</v>
      </c>
      <c r="I646" s="11">
        <f>_xlfn.XLOOKUP(TableDailySummary[[#This Row],[Fecha]],SummaryDaily[day],SummaryDaily[new_net_sales],0)</f>
        <v>0</v>
      </c>
      <c r="J646" s="11">
        <f>_xlfn.XLOOKUP(TableDailySummary[[#This Row],[Fecha]],SummaryDaily[day],SummaryDaily[new_orders],0)</f>
        <v>0</v>
      </c>
      <c r="K646" s="11">
        <f>_xlfn.XLOOKUP(TableDailySummary[[#This Row],[Fecha]],SummaryDaily[day],SummaryDaily[new_average_order_value],0)</f>
        <v>0</v>
      </c>
      <c r="L646" s="11">
        <f>_xlfn.XLOOKUP(TableDailySummary[[#This Row],[Fecha]],SummaryDaily[day],SummaryDaily[Online Store_net_sales],0)</f>
        <v>0</v>
      </c>
      <c r="M646" s="11">
        <f>_xlfn.XLOOKUP(TableDailySummary[[#This Row],[Fecha]],SummaryDaily[day],SummaryDaily[Online Store_orders],0)</f>
        <v>0</v>
      </c>
      <c r="N646" s="11">
        <f>_xlfn.XLOOKUP(TableDailySummary[[#This Row],[Fecha]],SummaryDaily[day],SummaryDaily[Online Store_average_order_value],0)</f>
        <v>0</v>
      </c>
      <c r="O646" s="11">
        <f>_xlfn.XLOOKUP(TableDailySummary[[#This Row],[Fecha]],SummaryDaily[day],SummaryDaily[Tienda 81_net_sales],0)</f>
        <v>0</v>
      </c>
      <c r="P646" s="11">
        <f>_xlfn.XLOOKUP(TableDailySummary[[#This Row],[Fecha]],SummaryDaily[day],SummaryDaily[Tienda 81_orders],0)</f>
        <v>0</v>
      </c>
      <c r="Q646" s="11">
        <f>_xlfn.XLOOKUP(TableDailySummary[[#This Row],[Fecha]],SummaryDaily[day],SummaryDaily[Tienda 81_average_order_value],0)</f>
        <v>0</v>
      </c>
      <c r="R646" s="11">
        <f>_xlfn.XLOOKUP(TableDailySummary[[#This Row],[Fecha]],SummaryDaily[day],SummaryDaily[Rappi_net_sales],0)</f>
        <v>0</v>
      </c>
      <c r="S646" s="11">
        <f>_xlfn.XLOOKUP(TableDailySummary[[#This Row],[Fecha]],SummaryDaily[day],SummaryDaily[Rappi_orders],0)</f>
        <v>0</v>
      </c>
      <c r="T646" s="11">
        <f>_xlfn.XLOOKUP(TableDailySummary[[#This Row],[Fecha]],SummaryDaily[day],SummaryDaily[Rappi_average_order_value],0)</f>
        <v>0</v>
      </c>
      <c r="U646" s="11">
        <f>_xlfn.XLOOKUP(TableDailySummary[[#This Row],[Fecha]],SummaryDaily[day],SummaryDaily[Corporativo no tienda_net_sales],0)</f>
        <v>0</v>
      </c>
      <c r="V646" s="11">
        <f>_xlfn.XLOOKUP(TableDailySummary[[#This Row],[Fecha]],SummaryDaily[day],SummaryDaily[Corporativo no tienda_orders],0)</f>
        <v>0</v>
      </c>
      <c r="W646" s="11">
        <f>_xlfn.XLOOKUP(TableDailySummary[[#This Row],[Fecha]],SummaryDaily[day],SummaryDaily[Corporativo no tienda_average_order_value],0)</f>
        <v>0</v>
      </c>
      <c r="X646" s="11">
        <f>_xlfn.XLOOKUP(TableDailySummary[[#This Row],[Fecha]],SummaryDaily[day],SummaryDaily[GoogleAdsOperation.Cost],0)</f>
        <v>0</v>
      </c>
      <c r="Y646" s="11">
        <f>SUMIFS(SalesByUTMDaily[google],SalesByUTMDaily[day],TableDailySummary[[#This Row],[Fecha]])</f>
        <v>0</v>
      </c>
      <c r="Z646" s="11">
        <f>_xlfn.XLOOKUP(TableDailySummary[[#This Row],[Fecha]],SummaryDaily[day],SummaryDaily[MetaAdsOperation.spend],0)</f>
        <v>0</v>
      </c>
      <c r="AA646" s="11">
        <f>SUMIFS(SalesByUTMDaily[facebook],SalesByUTMDaily[day],TableDailySummary[[#This Row],[Fecha]])</f>
        <v>0</v>
      </c>
      <c r="AB646" s="11">
        <f>TableDailySummary[[#This Row],[Inversión google ads]]+TableDailySummary[[#This Row],[Inversión meta ads]]</f>
        <v>0</v>
      </c>
      <c r="AC646" s="11">
        <f>TableDailySummary[[#This Row],[Ventas google ads]]+TableDailySummary[[#This Row],[Ventas meta ads]]</f>
        <v>0</v>
      </c>
      <c r="AD646" s="14">
        <f>IFERROR(TableDailySummary[[#This Row],[Ventas publicidad]]/TableDailySummary[[#This Row],[Inversión publicidad]],0)</f>
        <v>0</v>
      </c>
      <c r="AE646" s="14">
        <f>IFERROR(TableDailySummary[[#This Row],[Ventas primer cliente]]/TableDailySummary[[#This Row],[Inversión publicidad]],0)</f>
        <v>0</v>
      </c>
      <c r="AF646" s="14"/>
      <c r="AG646" s="11"/>
      <c r="AM646" s="11">
        <f>_xlfn.XLOOKUP(TableDailySummary[[#This Row],[Fecha]],SummaryDaily[day],SummaryDaily[net_sales_with_cost_recorded],0)</f>
        <v>0</v>
      </c>
      <c r="AN646" s="11">
        <f>_xlfn.XLOOKUP(TableDailySummary[[#This Row],[Fecha]],SummaryDaily[day],SummaryDaily[cost_of_goods_sold],0)</f>
        <v>0</v>
      </c>
      <c r="AO646" s="11">
        <f>_xlfn.XLOOKUP(TableDailySummary[[#This Row],[Fecha]],SummaryDaily[day],SummaryDaily[gross_profit],0)</f>
        <v>0</v>
      </c>
      <c r="AP646" s="18">
        <f>IFERROR(TableDailySummary[[#This Row],[Utilidad bruta]]/TableDailySummary[[#This Row],[Ventas netas con costo registrado]],0)</f>
        <v>0</v>
      </c>
    </row>
    <row r="647" spans="2:42" x14ac:dyDescent="0.2">
      <c r="B647" s="15" cm="1">
        <f t="array" ref="B647">ParamFechaInicioReporte + (ROW(TableDailySummary[#This Row]) - ROW(TableDailySummary[[#Headers],[Dia]]) - 1)</f>
        <v>45174</v>
      </c>
      <c r="C647" s="6">
        <f>TableDailySummary[[#This Row],[Dia]]</f>
        <v>45174</v>
      </c>
      <c r="D647" s="11">
        <f>_xlfn.XLOOKUP(TableDailySummary[[#This Row],[Fecha]],SummaryDaily[day],SummaryDaily[net_sales],0)</f>
        <v>0</v>
      </c>
      <c r="E647" s="11">
        <f>_xlfn.XLOOKUP(TableDailySummary[[#This Row],[Fecha]],SummaryDaily[day],SummaryDaily[orders],0)</f>
        <v>0</v>
      </c>
      <c r="F647" s="11">
        <f>_xlfn.XLOOKUP(TableDailySummary[[#This Row],[Fecha]],SummaryDaily[day],SummaryDaily[average_order_value],0)</f>
        <v>0</v>
      </c>
      <c r="G647" s="24" cm="1">
        <f t="array" ref="G647">_xlfn.XLOOKUP(TableDailySummary[[#This Row],[Fecha]]&amp;"Total site",ConversionRateByReferral[day]&amp;ConversionRateByReferral[referrer_source],ConversionRateByReferral[conversion_rate],0)</f>
        <v>0</v>
      </c>
      <c r="H647" s="11">
        <f>TableDailySummary[[#This Row],[Órden promedio totales]]*TableDailySummary[[#This Row],[CR totales]]</f>
        <v>0</v>
      </c>
      <c r="I647" s="11">
        <f>_xlfn.XLOOKUP(TableDailySummary[[#This Row],[Fecha]],SummaryDaily[day],SummaryDaily[new_net_sales],0)</f>
        <v>0</v>
      </c>
      <c r="J647" s="11">
        <f>_xlfn.XLOOKUP(TableDailySummary[[#This Row],[Fecha]],SummaryDaily[day],SummaryDaily[new_orders],0)</f>
        <v>0</v>
      </c>
      <c r="K647" s="11">
        <f>_xlfn.XLOOKUP(TableDailySummary[[#This Row],[Fecha]],SummaryDaily[day],SummaryDaily[new_average_order_value],0)</f>
        <v>0</v>
      </c>
      <c r="L647" s="11">
        <f>_xlfn.XLOOKUP(TableDailySummary[[#This Row],[Fecha]],SummaryDaily[day],SummaryDaily[Online Store_net_sales],0)</f>
        <v>0</v>
      </c>
      <c r="M647" s="11">
        <f>_xlfn.XLOOKUP(TableDailySummary[[#This Row],[Fecha]],SummaryDaily[day],SummaryDaily[Online Store_orders],0)</f>
        <v>0</v>
      </c>
      <c r="N647" s="11">
        <f>_xlfn.XLOOKUP(TableDailySummary[[#This Row],[Fecha]],SummaryDaily[day],SummaryDaily[Online Store_average_order_value],0)</f>
        <v>0</v>
      </c>
      <c r="O647" s="11">
        <f>_xlfn.XLOOKUP(TableDailySummary[[#This Row],[Fecha]],SummaryDaily[day],SummaryDaily[Tienda 81_net_sales],0)</f>
        <v>0</v>
      </c>
      <c r="P647" s="11">
        <f>_xlfn.XLOOKUP(TableDailySummary[[#This Row],[Fecha]],SummaryDaily[day],SummaryDaily[Tienda 81_orders],0)</f>
        <v>0</v>
      </c>
      <c r="Q647" s="11">
        <f>_xlfn.XLOOKUP(TableDailySummary[[#This Row],[Fecha]],SummaryDaily[day],SummaryDaily[Tienda 81_average_order_value],0)</f>
        <v>0</v>
      </c>
      <c r="R647" s="11">
        <f>_xlfn.XLOOKUP(TableDailySummary[[#This Row],[Fecha]],SummaryDaily[day],SummaryDaily[Rappi_net_sales],0)</f>
        <v>0</v>
      </c>
      <c r="S647" s="11">
        <f>_xlfn.XLOOKUP(TableDailySummary[[#This Row],[Fecha]],SummaryDaily[day],SummaryDaily[Rappi_orders],0)</f>
        <v>0</v>
      </c>
      <c r="T647" s="11">
        <f>_xlfn.XLOOKUP(TableDailySummary[[#This Row],[Fecha]],SummaryDaily[day],SummaryDaily[Rappi_average_order_value],0)</f>
        <v>0</v>
      </c>
      <c r="U647" s="11">
        <f>_xlfn.XLOOKUP(TableDailySummary[[#This Row],[Fecha]],SummaryDaily[day],SummaryDaily[Corporativo no tienda_net_sales],0)</f>
        <v>0</v>
      </c>
      <c r="V647" s="11">
        <f>_xlfn.XLOOKUP(TableDailySummary[[#This Row],[Fecha]],SummaryDaily[day],SummaryDaily[Corporativo no tienda_orders],0)</f>
        <v>0</v>
      </c>
      <c r="W647" s="11">
        <f>_xlfn.XLOOKUP(TableDailySummary[[#This Row],[Fecha]],SummaryDaily[day],SummaryDaily[Corporativo no tienda_average_order_value],0)</f>
        <v>0</v>
      </c>
      <c r="X647" s="11">
        <f>_xlfn.XLOOKUP(TableDailySummary[[#This Row],[Fecha]],SummaryDaily[day],SummaryDaily[GoogleAdsOperation.Cost],0)</f>
        <v>0</v>
      </c>
      <c r="Y647" s="11">
        <f>SUMIFS(SalesByUTMDaily[google],SalesByUTMDaily[day],TableDailySummary[[#This Row],[Fecha]])</f>
        <v>0</v>
      </c>
      <c r="Z647" s="11">
        <f>_xlfn.XLOOKUP(TableDailySummary[[#This Row],[Fecha]],SummaryDaily[day],SummaryDaily[MetaAdsOperation.spend],0)</f>
        <v>0</v>
      </c>
      <c r="AA647" s="11">
        <f>SUMIFS(SalesByUTMDaily[facebook],SalesByUTMDaily[day],TableDailySummary[[#This Row],[Fecha]])</f>
        <v>0</v>
      </c>
      <c r="AB647" s="11">
        <f>TableDailySummary[[#This Row],[Inversión google ads]]+TableDailySummary[[#This Row],[Inversión meta ads]]</f>
        <v>0</v>
      </c>
      <c r="AC647" s="11">
        <f>TableDailySummary[[#This Row],[Ventas google ads]]+TableDailySummary[[#This Row],[Ventas meta ads]]</f>
        <v>0</v>
      </c>
      <c r="AD647" s="14">
        <f>IFERROR(TableDailySummary[[#This Row],[Ventas publicidad]]/TableDailySummary[[#This Row],[Inversión publicidad]],0)</f>
        <v>0</v>
      </c>
      <c r="AE647" s="14">
        <f>IFERROR(TableDailySummary[[#This Row],[Ventas primer cliente]]/TableDailySummary[[#This Row],[Inversión publicidad]],0)</f>
        <v>0</v>
      </c>
      <c r="AF647" s="14"/>
      <c r="AG647" s="11"/>
      <c r="AM647" s="11">
        <f>_xlfn.XLOOKUP(TableDailySummary[[#This Row],[Fecha]],SummaryDaily[day],SummaryDaily[net_sales_with_cost_recorded],0)</f>
        <v>0</v>
      </c>
      <c r="AN647" s="11">
        <f>_xlfn.XLOOKUP(TableDailySummary[[#This Row],[Fecha]],SummaryDaily[day],SummaryDaily[cost_of_goods_sold],0)</f>
        <v>0</v>
      </c>
      <c r="AO647" s="11">
        <f>_xlfn.XLOOKUP(TableDailySummary[[#This Row],[Fecha]],SummaryDaily[day],SummaryDaily[gross_profit],0)</f>
        <v>0</v>
      </c>
      <c r="AP647" s="18">
        <f>IFERROR(TableDailySummary[[#This Row],[Utilidad bruta]]/TableDailySummary[[#This Row],[Ventas netas con costo registrado]],0)</f>
        <v>0</v>
      </c>
    </row>
    <row r="648" spans="2:42" x14ac:dyDescent="0.2">
      <c r="B648" s="15" cm="1">
        <f t="array" ref="B648">ParamFechaInicioReporte + (ROW(TableDailySummary[#This Row]) - ROW(TableDailySummary[[#Headers],[Dia]]) - 1)</f>
        <v>45175</v>
      </c>
      <c r="C648" s="6">
        <f>TableDailySummary[[#This Row],[Dia]]</f>
        <v>45175</v>
      </c>
      <c r="D648" s="11">
        <f>_xlfn.XLOOKUP(TableDailySummary[[#This Row],[Fecha]],SummaryDaily[day],SummaryDaily[net_sales],0)</f>
        <v>0</v>
      </c>
      <c r="E648" s="11">
        <f>_xlfn.XLOOKUP(TableDailySummary[[#This Row],[Fecha]],SummaryDaily[day],SummaryDaily[orders],0)</f>
        <v>0</v>
      </c>
      <c r="F648" s="11">
        <f>_xlfn.XLOOKUP(TableDailySummary[[#This Row],[Fecha]],SummaryDaily[day],SummaryDaily[average_order_value],0)</f>
        <v>0</v>
      </c>
      <c r="G648" s="24" cm="1">
        <f t="array" ref="G648">_xlfn.XLOOKUP(TableDailySummary[[#This Row],[Fecha]]&amp;"Total site",ConversionRateByReferral[day]&amp;ConversionRateByReferral[referrer_source],ConversionRateByReferral[conversion_rate],0)</f>
        <v>0</v>
      </c>
      <c r="H648" s="11">
        <f>TableDailySummary[[#This Row],[Órden promedio totales]]*TableDailySummary[[#This Row],[CR totales]]</f>
        <v>0</v>
      </c>
      <c r="I648" s="11">
        <f>_xlfn.XLOOKUP(TableDailySummary[[#This Row],[Fecha]],SummaryDaily[day],SummaryDaily[new_net_sales],0)</f>
        <v>0</v>
      </c>
      <c r="J648" s="11">
        <f>_xlfn.XLOOKUP(TableDailySummary[[#This Row],[Fecha]],SummaryDaily[day],SummaryDaily[new_orders],0)</f>
        <v>0</v>
      </c>
      <c r="K648" s="11">
        <f>_xlfn.XLOOKUP(TableDailySummary[[#This Row],[Fecha]],SummaryDaily[day],SummaryDaily[new_average_order_value],0)</f>
        <v>0</v>
      </c>
      <c r="L648" s="11">
        <f>_xlfn.XLOOKUP(TableDailySummary[[#This Row],[Fecha]],SummaryDaily[day],SummaryDaily[Online Store_net_sales],0)</f>
        <v>0</v>
      </c>
      <c r="M648" s="11">
        <f>_xlfn.XLOOKUP(TableDailySummary[[#This Row],[Fecha]],SummaryDaily[day],SummaryDaily[Online Store_orders],0)</f>
        <v>0</v>
      </c>
      <c r="N648" s="11">
        <f>_xlfn.XLOOKUP(TableDailySummary[[#This Row],[Fecha]],SummaryDaily[day],SummaryDaily[Online Store_average_order_value],0)</f>
        <v>0</v>
      </c>
      <c r="O648" s="11">
        <f>_xlfn.XLOOKUP(TableDailySummary[[#This Row],[Fecha]],SummaryDaily[day],SummaryDaily[Tienda 81_net_sales],0)</f>
        <v>0</v>
      </c>
      <c r="P648" s="11">
        <f>_xlfn.XLOOKUP(TableDailySummary[[#This Row],[Fecha]],SummaryDaily[day],SummaryDaily[Tienda 81_orders],0)</f>
        <v>0</v>
      </c>
      <c r="Q648" s="11">
        <f>_xlfn.XLOOKUP(TableDailySummary[[#This Row],[Fecha]],SummaryDaily[day],SummaryDaily[Tienda 81_average_order_value],0)</f>
        <v>0</v>
      </c>
      <c r="R648" s="11">
        <f>_xlfn.XLOOKUP(TableDailySummary[[#This Row],[Fecha]],SummaryDaily[day],SummaryDaily[Rappi_net_sales],0)</f>
        <v>0</v>
      </c>
      <c r="S648" s="11">
        <f>_xlfn.XLOOKUP(TableDailySummary[[#This Row],[Fecha]],SummaryDaily[day],SummaryDaily[Rappi_orders],0)</f>
        <v>0</v>
      </c>
      <c r="T648" s="11">
        <f>_xlfn.XLOOKUP(TableDailySummary[[#This Row],[Fecha]],SummaryDaily[day],SummaryDaily[Rappi_average_order_value],0)</f>
        <v>0</v>
      </c>
      <c r="U648" s="11">
        <f>_xlfn.XLOOKUP(TableDailySummary[[#This Row],[Fecha]],SummaryDaily[day],SummaryDaily[Corporativo no tienda_net_sales],0)</f>
        <v>0</v>
      </c>
      <c r="V648" s="11">
        <f>_xlfn.XLOOKUP(TableDailySummary[[#This Row],[Fecha]],SummaryDaily[day],SummaryDaily[Corporativo no tienda_orders],0)</f>
        <v>0</v>
      </c>
      <c r="W648" s="11">
        <f>_xlfn.XLOOKUP(TableDailySummary[[#This Row],[Fecha]],SummaryDaily[day],SummaryDaily[Corporativo no tienda_average_order_value],0)</f>
        <v>0</v>
      </c>
      <c r="X648" s="11">
        <f>_xlfn.XLOOKUP(TableDailySummary[[#This Row],[Fecha]],SummaryDaily[day],SummaryDaily[GoogleAdsOperation.Cost],0)</f>
        <v>0</v>
      </c>
      <c r="Y648" s="11">
        <f>SUMIFS(SalesByUTMDaily[google],SalesByUTMDaily[day],TableDailySummary[[#This Row],[Fecha]])</f>
        <v>0</v>
      </c>
      <c r="Z648" s="11">
        <f>_xlfn.XLOOKUP(TableDailySummary[[#This Row],[Fecha]],SummaryDaily[day],SummaryDaily[MetaAdsOperation.spend],0)</f>
        <v>0</v>
      </c>
      <c r="AA648" s="11">
        <f>SUMIFS(SalesByUTMDaily[facebook],SalesByUTMDaily[day],TableDailySummary[[#This Row],[Fecha]])</f>
        <v>0</v>
      </c>
      <c r="AB648" s="11">
        <f>TableDailySummary[[#This Row],[Inversión google ads]]+TableDailySummary[[#This Row],[Inversión meta ads]]</f>
        <v>0</v>
      </c>
      <c r="AC648" s="11">
        <f>TableDailySummary[[#This Row],[Ventas google ads]]+TableDailySummary[[#This Row],[Ventas meta ads]]</f>
        <v>0</v>
      </c>
      <c r="AD648" s="14">
        <f>IFERROR(TableDailySummary[[#This Row],[Ventas publicidad]]/TableDailySummary[[#This Row],[Inversión publicidad]],0)</f>
        <v>0</v>
      </c>
      <c r="AE648" s="14">
        <f>IFERROR(TableDailySummary[[#This Row],[Ventas primer cliente]]/TableDailySummary[[#This Row],[Inversión publicidad]],0)</f>
        <v>0</v>
      </c>
      <c r="AF648" s="14"/>
      <c r="AG648" s="11"/>
      <c r="AM648" s="11">
        <f>_xlfn.XLOOKUP(TableDailySummary[[#This Row],[Fecha]],SummaryDaily[day],SummaryDaily[net_sales_with_cost_recorded],0)</f>
        <v>0</v>
      </c>
      <c r="AN648" s="11">
        <f>_xlfn.XLOOKUP(TableDailySummary[[#This Row],[Fecha]],SummaryDaily[day],SummaryDaily[cost_of_goods_sold],0)</f>
        <v>0</v>
      </c>
      <c r="AO648" s="11">
        <f>_xlfn.XLOOKUP(TableDailySummary[[#This Row],[Fecha]],SummaryDaily[day],SummaryDaily[gross_profit],0)</f>
        <v>0</v>
      </c>
      <c r="AP648" s="18">
        <f>IFERROR(TableDailySummary[[#This Row],[Utilidad bruta]]/TableDailySummary[[#This Row],[Ventas netas con costo registrado]],0)</f>
        <v>0</v>
      </c>
    </row>
    <row r="649" spans="2:42" x14ac:dyDescent="0.2">
      <c r="B649" s="15" cm="1">
        <f t="array" ref="B649">ParamFechaInicioReporte + (ROW(TableDailySummary[#This Row]) - ROW(TableDailySummary[[#Headers],[Dia]]) - 1)</f>
        <v>45176</v>
      </c>
      <c r="C649" s="6">
        <f>TableDailySummary[[#This Row],[Dia]]</f>
        <v>45176</v>
      </c>
      <c r="D649" s="11">
        <f>_xlfn.XLOOKUP(TableDailySummary[[#This Row],[Fecha]],SummaryDaily[day],SummaryDaily[net_sales],0)</f>
        <v>0</v>
      </c>
      <c r="E649" s="11">
        <f>_xlfn.XLOOKUP(TableDailySummary[[#This Row],[Fecha]],SummaryDaily[day],SummaryDaily[orders],0)</f>
        <v>0</v>
      </c>
      <c r="F649" s="11">
        <f>_xlfn.XLOOKUP(TableDailySummary[[#This Row],[Fecha]],SummaryDaily[day],SummaryDaily[average_order_value],0)</f>
        <v>0</v>
      </c>
      <c r="G649" s="24" cm="1">
        <f t="array" ref="G649">_xlfn.XLOOKUP(TableDailySummary[[#This Row],[Fecha]]&amp;"Total site",ConversionRateByReferral[day]&amp;ConversionRateByReferral[referrer_source],ConversionRateByReferral[conversion_rate],0)</f>
        <v>0</v>
      </c>
      <c r="H649" s="11">
        <f>TableDailySummary[[#This Row],[Órden promedio totales]]*TableDailySummary[[#This Row],[CR totales]]</f>
        <v>0</v>
      </c>
      <c r="I649" s="11">
        <f>_xlfn.XLOOKUP(TableDailySummary[[#This Row],[Fecha]],SummaryDaily[day],SummaryDaily[new_net_sales],0)</f>
        <v>0</v>
      </c>
      <c r="J649" s="11">
        <f>_xlfn.XLOOKUP(TableDailySummary[[#This Row],[Fecha]],SummaryDaily[day],SummaryDaily[new_orders],0)</f>
        <v>0</v>
      </c>
      <c r="K649" s="11">
        <f>_xlfn.XLOOKUP(TableDailySummary[[#This Row],[Fecha]],SummaryDaily[day],SummaryDaily[new_average_order_value],0)</f>
        <v>0</v>
      </c>
      <c r="L649" s="11">
        <f>_xlfn.XLOOKUP(TableDailySummary[[#This Row],[Fecha]],SummaryDaily[day],SummaryDaily[Online Store_net_sales],0)</f>
        <v>0</v>
      </c>
      <c r="M649" s="11">
        <f>_xlfn.XLOOKUP(TableDailySummary[[#This Row],[Fecha]],SummaryDaily[day],SummaryDaily[Online Store_orders],0)</f>
        <v>0</v>
      </c>
      <c r="N649" s="11">
        <f>_xlfn.XLOOKUP(TableDailySummary[[#This Row],[Fecha]],SummaryDaily[day],SummaryDaily[Online Store_average_order_value],0)</f>
        <v>0</v>
      </c>
      <c r="O649" s="11">
        <f>_xlfn.XLOOKUP(TableDailySummary[[#This Row],[Fecha]],SummaryDaily[day],SummaryDaily[Tienda 81_net_sales],0)</f>
        <v>0</v>
      </c>
      <c r="P649" s="11">
        <f>_xlfn.XLOOKUP(TableDailySummary[[#This Row],[Fecha]],SummaryDaily[day],SummaryDaily[Tienda 81_orders],0)</f>
        <v>0</v>
      </c>
      <c r="Q649" s="11">
        <f>_xlfn.XLOOKUP(TableDailySummary[[#This Row],[Fecha]],SummaryDaily[day],SummaryDaily[Tienda 81_average_order_value],0)</f>
        <v>0</v>
      </c>
      <c r="R649" s="11">
        <f>_xlfn.XLOOKUP(TableDailySummary[[#This Row],[Fecha]],SummaryDaily[day],SummaryDaily[Rappi_net_sales],0)</f>
        <v>0</v>
      </c>
      <c r="S649" s="11">
        <f>_xlfn.XLOOKUP(TableDailySummary[[#This Row],[Fecha]],SummaryDaily[day],SummaryDaily[Rappi_orders],0)</f>
        <v>0</v>
      </c>
      <c r="T649" s="11">
        <f>_xlfn.XLOOKUP(TableDailySummary[[#This Row],[Fecha]],SummaryDaily[day],SummaryDaily[Rappi_average_order_value],0)</f>
        <v>0</v>
      </c>
      <c r="U649" s="11">
        <f>_xlfn.XLOOKUP(TableDailySummary[[#This Row],[Fecha]],SummaryDaily[day],SummaryDaily[Corporativo no tienda_net_sales],0)</f>
        <v>0</v>
      </c>
      <c r="V649" s="11">
        <f>_xlfn.XLOOKUP(TableDailySummary[[#This Row],[Fecha]],SummaryDaily[day],SummaryDaily[Corporativo no tienda_orders],0)</f>
        <v>0</v>
      </c>
      <c r="W649" s="11">
        <f>_xlfn.XLOOKUP(TableDailySummary[[#This Row],[Fecha]],SummaryDaily[day],SummaryDaily[Corporativo no tienda_average_order_value],0)</f>
        <v>0</v>
      </c>
      <c r="X649" s="11">
        <f>_xlfn.XLOOKUP(TableDailySummary[[#This Row],[Fecha]],SummaryDaily[day],SummaryDaily[GoogleAdsOperation.Cost],0)</f>
        <v>0</v>
      </c>
      <c r="Y649" s="11">
        <f>SUMIFS(SalesByUTMDaily[google],SalesByUTMDaily[day],TableDailySummary[[#This Row],[Fecha]])</f>
        <v>0</v>
      </c>
      <c r="Z649" s="11">
        <f>_xlfn.XLOOKUP(TableDailySummary[[#This Row],[Fecha]],SummaryDaily[day],SummaryDaily[MetaAdsOperation.spend],0)</f>
        <v>0</v>
      </c>
      <c r="AA649" s="11">
        <f>SUMIFS(SalesByUTMDaily[facebook],SalesByUTMDaily[day],TableDailySummary[[#This Row],[Fecha]])</f>
        <v>0</v>
      </c>
      <c r="AB649" s="11">
        <f>TableDailySummary[[#This Row],[Inversión google ads]]+TableDailySummary[[#This Row],[Inversión meta ads]]</f>
        <v>0</v>
      </c>
      <c r="AC649" s="11">
        <f>TableDailySummary[[#This Row],[Ventas google ads]]+TableDailySummary[[#This Row],[Ventas meta ads]]</f>
        <v>0</v>
      </c>
      <c r="AD649" s="14">
        <f>IFERROR(TableDailySummary[[#This Row],[Ventas publicidad]]/TableDailySummary[[#This Row],[Inversión publicidad]],0)</f>
        <v>0</v>
      </c>
      <c r="AE649" s="14">
        <f>IFERROR(TableDailySummary[[#This Row],[Ventas primer cliente]]/TableDailySummary[[#This Row],[Inversión publicidad]],0)</f>
        <v>0</v>
      </c>
      <c r="AF649" s="14"/>
      <c r="AG649" s="11"/>
      <c r="AM649" s="11">
        <f>_xlfn.XLOOKUP(TableDailySummary[[#This Row],[Fecha]],SummaryDaily[day],SummaryDaily[net_sales_with_cost_recorded],0)</f>
        <v>0</v>
      </c>
      <c r="AN649" s="11">
        <f>_xlfn.XLOOKUP(TableDailySummary[[#This Row],[Fecha]],SummaryDaily[day],SummaryDaily[cost_of_goods_sold],0)</f>
        <v>0</v>
      </c>
      <c r="AO649" s="11">
        <f>_xlfn.XLOOKUP(TableDailySummary[[#This Row],[Fecha]],SummaryDaily[day],SummaryDaily[gross_profit],0)</f>
        <v>0</v>
      </c>
      <c r="AP649" s="18">
        <f>IFERROR(TableDailySummary[[#This Row],[Utilidad bruta]]/TableDailySummary[[#This Row],[Ventas netas con costo registrado]],0)</f>
        <v>0</v>
      </c>
    </row>
    <row r="650" spans="2:42" x14ac:dyDescent="0.2">
      <c r="B650" s="15" cm="1">
        <f t="array" ref="B650">ParamFechaInicioReporte + (ROW(TableDailySummary[#This Row]) - ROW(TableDailySummary[[#Headers],[Dia]]) - 1)</f>
        <v>45177</v>
      </c>
      <c r="C650" s="6">
        <f>TableDailySummary[[#This Row],[Dia]]</f>
        <v>45177</v>
      </c>
      <c r="D650" s="11">
        <f>_xlfn.XLOOKUP(TableDailySummary[[#This Row],[Fecha]],SummaryDaily[day],SummaryDaily[net_sales],0)</f>
        <v>0</v>
      </c>
      <c r="E650" s="11">
        <f>_xlfn.XLOOKUP(TableDailySummary[[#This Row],[Fecha]],SummaryDaily[day],SummaryDaily[orders],0)</f>
        <v>0</v>
      </c>
      <c r="F650" s="11">
        <f>_xlfn.XLOOKUP(TableDailySummary[[#This Row],[Fecha]],SummaryDaily[day],SummaryDaily[average_order_value],0)</f>
        <v>0</v>
      </c>
      <c r="G650" s="24" cm="1">
        <f t="array" ref="G650">_xlfn.XLOOKUP(TableDailySummary[[#This Row],[Fecha]]&amp;"Total site",ConversionRateByReferral[day]&amp;ConversionRateByReferral[referrer_source],ConversionRateByReferral[conversion_rate],0)</f>
        <v>0</v>
      </c>
      <c r="H650" s="11">
        <f>TableDailySummary[[#This Row],[Órden promedio totales]]*TableDailySummary[[#This Row],[CR totales]]</f>
        <v>0</v>
      </c>
      <c r="I650" s="11">
        <f>_xlfn.XLOOKUP(TableDailySummary[[#This Row],[Fecha]],SummaryDaily[day],SummaryDaily[new_net_sales],0)</f>
        <v>0</v>
      </c>
      <c r="J650" s="11">
        <f>_xlfn.XLOOKUP(TableDailySummary[[#This Row],[Fecha]],SummaryDaily[day],SummaryDaily[new_orders],0)</f>
        <v>0</v>
      </c>
      <c r="K650" s="11">
        <f>_xlfn.XLOOKUP(TableDailySummary[[#This Row],[Fecha]],SummaryDaily[day],SummaryDaily[new_average_order_value],0)</f>
        <v>0</v>
      </c>
      <c r="L650" s="11">
        <f>_xlfn.XLOOKUP(TableDailySummary[[#This Row],[Fecha]],SummaryDaily[day],SummaryDaily[Online Store_net_sales],0)</f>
        <v>0</v>
      </c>
      <c r="M650" s="11">
        <f>_xlfn.XLOOKUP(TableDailySummary[[#This Row],[Fecha]],SummaryDaily[day],SummaryDaily[Online Store_orders],0)</f>
        <v>0</v>
      </c>
      <c r="N650" s="11">
        <f>_xlfn.XLOOKUP(TableDailySummary[[#This Row],[Fecha]],SummaryDaily[day],SummaryDaily[Online Store_average_order_value],0)</f>
        <v>0</v>
      </c>
      <c r="O650" s="11">
        <f>_xlfn.XLOOKUP(TableDailySummary[[#This Row],[Fecha]],SummaryDaily[day],SummaryDaily[Tienda 81_net_sales],0)</f>
        <v>0</v>
      </c>
      <c r="P650" s="11">
        <f>_xlfn.XLOOKUP(TableDailySummary[[#This Row],[Fecha]],SummaryDaily[day],SummaryDaily[Tienda 81_orders],0)</f>
        <v>0</v>
      </c>
      <c r="Q650" s="11">
        <f>_xlfn.XLOOKUP(TableDailySummary[[#This Row],[Fecha]],SummaryDaily[day],SummaryDaily[Tienda 81_average_order_value],0)</f>
        <v>0</v>
      </c>
      <c r="R650" s="11">
        <f>_xlfn.XLOOKUP(TableDailySummary[[#This Row],[Fecha]],SummaryDaily[day],SummaryDaily[Rappi_net_sales],0)</f>
        <v>0</v>
      </c>
      <c r="S650" s="11">
        <f>_xlfn.XLOOKUP(TableDailySummary[[#This Row],[Fecha]],SummaryDaily[day],SummaryDaily[Rappi_orders],0)</f>
        <v>0</v>
      </c>
      <c r="T650" s="11">
        <f>_xlfn.XLOOKUP(TableDailySummary[[#This Row],[Fecha]],SummaryDaily[day],SummaryDaily[Rappi_average_order_value],0)</f>
        <v>0</v>
      </c>
      <c r="U650" s="11">
        <f>_xlfn.XLOOKUP(TableDailySummary[[#This Row],[Fecha]],SummaryDaily[day],SummaryDaily[Corporativo no tienda_net_sales],0)</f>
        <v>0</v>
      </c>
      <c r="V650" s="11">
        <f>_xlfn.XLOOKUP(TableDailySummary[[#This Row],[Fecha]],SummaryDaily[day],SummaryDaily[Corporativo no tienda_orders],0)</f>
        <v>0</v>
      </c>
      <c r="W650" s="11">
        <f>_xlfn.XLOOKUP(TableDailySummary[[#This Row],[Fecha]],SummaryDaily[day],SummaryDaily[Corporativo no tienda_average_order_value],0)</f>
        <v>0</v>
      </c>
      <c r="X650" s="11">
        <f>_xlfn.XLOOKUP(TableDailySummary[[#This Row],[Fecha]],SummaryDaily[day],SummaryDaily[GoogleAdsOperation.Cost],0)</f>
        <v>0</v>
      </c>
      <c r="Y650" s="11">
        <f>SUMIFS(SalesByUTMDaily[google],SalesByUTMDaily[day],TableDailySummary[[#This Row],[Fecha]])</f>
        <v>0</v>
      </c>
      <c r="Z650" s="11">
        <f>_xlfn.XLOOKUP(TableDailySummary[[#This Row],[Fecha]],SummaryDaily[day],SummaryDaily[MetaAdsOperation.spend],0)</f>
        <v>0</v>
      </c>
      <c r="AA650" s="11">
        <f>SUMIFS(SalesByUTMDaily[facebook],SalesByUTMDaily[day],TableDailySummary[[#This Row],[Fecha]])</f>
        <v>0</v>
      </c>
      <c r="AB650" s="11">
        <f>TableDailySummary[[#This Row],[Inversión google ads]]+TableDailySummary[[#This Row],[Inversión meta ads]]</f>
        <v>0</v>
      </c>
      <c r="AC650" s="11">
        <f>TableDailySummary[[#This Row],[Ventas google ads]]+TableDailySummary[[#This Row],[Ventas meta ads]]</f>
        <v>0</v>
      </c>
      <c r="AD650" s="14">
        <f>IFERROR(TableDailySummary[[#This Row],[Ventas publicidad]]/TableDailySummary[[#This Row],[Inversión publicidad]],0)</f>
        <v>0</v>
      </c>
      <c r="AE650" s="14">
        <f>IFERROR(TableDailySummary[[#This Row],[Ventas primer cliente]]/TableDailySummary[[#This Row],[Inversión publicidad]],0)</f>
        <v>0</v>
      </c>
      <c r="AF650" s="14"/>
      <c r="AG650" s="11"/>
      <c r="AM650" s="11">
        <f>_xlfn.XLOOKUP(TableDailySummary[[#This Row],[Fecha]],SummaryDaily[day],SummaryDaily[net_sales_with_cost_recorded],0)</f>
        <v>0</v>
      </c>
      <c r="AN650" s="11">
        <f>_xlfn.XLOOKUP(TableDailySummary[[#This Row],[Fecha]],SummaryDaily[day],SummaryDaily[cost_of_goods_sold],0)</f>
        <v>0</v>
      </c>
      <c r="AO650" s="11">
        <f>_xlfn.XLOOKUP(TableDailySummary[[#This Row],[Fecha]],SummaryDaily[day],SummaryDaily[gross_profit],0)</f>
        <v>0</v>
      </c>
      <c r="AP650" s="18">
        <f>IFERROR(TableDailySummary[[#This Row],[Utilidad bruta]]/TableDailySummary[[#This Row],[Ventas netas con costo registrado]],0)</f>
        <v>0</v>
      </c>
    </row>
    <row r="651" spans="2:42" x14ac:dyDescent="0.2">
      <c r="B651" s="15" cm="1">
        <f t="array" ref="B651">ParamFechaInicioReporte + (ROW(TableDailySummary[#This Row]) - ROW(TableDailySummary[[#Headers],[Dia]]) - 1)</f>
        <v>45178</v>
      </c>
      <c r="C651" s="6">
        <f>TableDailySummary[[#This Row],[Dia]]</f>
        <v>45178</v>
      </c>
      <c r="D651" s="11">
        <f>_xlfn.XLOOKUP(TableDailySummary[[#This Row],[Fecha]],SummaryDaily[day],SummaryDaily[net_sales],0)</f>
        <v>0</v>
      </c>
      <c r="E651" s="11">
        <f>_xlfn.XLOOKUP(TableDailySummary[[#This Row],[Fecha]],SummaryDaily[day],SummaryDaily[orders],0)</f>
        <v>0</v>
      </c>
      <c r="F651" s="11">
        <f>_xlfn.XLOOKUP(TableDailySummary[[#This Row],[Fecha]],SummaryDaily[day],SummaryDaily[average_order_value],0)</f>
        <v>0</v>
      </c>
      <c r="G651" s="24" cm="1">
        <f t="array" ref="G651">_xlfn.XLOOKUP(TableDailySummary[[#This Row],[Fecha]]&amp;"Total site",ConversionRateByReferral[day]&amp;ConversionRateByReferral[referrer_source],ConversionRateByReferral[conversion_rate],0)</f>
        <v>0</v>
      </c>
      <c r="H651" s="11">
        <f>TableDailySummary[[#This Row],[Órden promedio totales]]*TableDailySummary[[#This Row],[CR totales]]</f>
        <v>0</v>
      </c>
      <c r="I651" s="11">
        <f>_xlfn.XLOOKUP(TableDailySummary[[#This Row],[Fecha]],SummaryDaily[day],SummaryDaily[new_net_sales],0)</f>
        <v>0</v>
      </c>
      <c r="J651" s="11">
        <f>_xlfn.XLOOKUP(TableDailySummary[[#This Row],[Fecha]],SummaryDaily[day],SummaryDaily[new_orders],0)</f>
        <v>0</v>
      </c>
      <c r="K651" s="11">
        <f>_xlfn.XLOOKUP(TableDailySummary[[#This Row],[Fecha]],SummaryDaily[day],SummaryDaily[new_average_order_value],0)</f>
        <v>0</v>
      </c>
      <c r="L651" s="11">
        <f>_xlfn.XLOOKUP(TableDailySummary[[#This Row],[Fecha]],SummaryDaily[day],SummaryDaily[Online Store_net_sales],0)</f>
        <v>0</v>
      </c>
      <c r="M651" s="11">
        <f>_xlfn.XLOOKUP(TableDailySummary[[#This Row],[Fecha]],SummaryDaily[day],SummaryDaily[Online Store_orders],0)</f>
        <v>0</v>
      </c>
      <c r="N651" s="11">
        <f>_xlfn.XLOOKUP(TableDailySummary[[#This Row],[Fecha]],SummaryDaily[day],SummaryDaily[Online Store_average_order_value],0)</f>
        <v>0</v>
      </c>
      <c r="O651" s="11">
        <f>_xlfn.XLOOKUP(TableDailySummary[[#This Row],[Fecha]],SummaryDaily[day],SummaryDaily[Tienda 81_net_sales],0)</f>
        <v>0</v>
      </c>
      <c r="P651" s="11">
        <f>_xlfn.XLOOKUP(TableDailySummary[[#This Row],[Fecha]],SummaryDaily[day],SummaryDaily[Tienda 81_orders],0)</f>
        <v>0</v>
      </c>
      <c r="Q651" s="11">
        <f>_xlfn.XLOOKUP(TableDailySummary[[#This Row],[Fecha]],SummaryDaily[day],SummaryDaily[Tienda 81_average_order_value],0)</f>
        <v>0</v>
      </c>
      <c r="R651" s="11">
        <f>_xlfn.XLOOKUP(TableDailySummary[[#This Row],[Fecha]],SummaryDaily[day],SummaryDaily[Rappi_net_sales],0)</f>
        <v>0</v>
      </c>
      <c r="S651" s="11">
        <f>_xlfn.XLOOKUP(TableDailySummary[[#This Row],[Fecha]],SummaryDaily[day],SummaryDaily[Rappi_orders],0)</f>
        <v>0</v>
      </c>
      <c r="T651" s="11">
        <f>_xlfn.XLOOKUP(TableDailySummary[[#This Row],[Fecha]],SummaryDaily[day],SummaryDaily[Rappi_average_order_value],0)</f>
        <v>0</v>
      </c>
      <c r="U651" s="11">
        <f>_xlfn.XLOOKUP(TableDailySummary[[#This Row],[Fecha]],SummaryDaily[day],SummaryDaily[Corporativo no tienda_net_sales],0)</f>
        <v>0</v>
      </c>
      <c r="V651" s="11">
        <f>_xlfn.XLOOKUP(TableDailySummary[[#This Row],[Fecha]],SummaryDaily[day],SummaryDaily[Corporativo no tienda_orders],0)</f>
        <v>0</v>
      </c>
      <c r="W651" s="11">
        <f>_xlfn.XLOOKUP(TableDailySummary[[#This Row],[Fecha]],SummaryDaily[day],SummaryDaily[Corporativo no tienda_average_order_value],0)</f>
        <v>0</v>
      </c>
      <c r="X651" s="11">
        <f>_xlfn.XLOOKUP(TableDailySummary[[#This Row],[Fecha]],SummaryDaily[day],SummaryDaily[GoogleAdsOperation.Cost],0)</f>
        <v>0</v>
      </c>
      <c r="Y651" s="11">
        <f>SUMIFS(SalesByUTMDaily[google],SalesByUTMDaily[day],TableDailySummary[[#This Row],[Fecha]])</f>
        <v>0</v>
      </c>
      <c r="Z651" s="11">
        <f>_xlfn.XLOOKUP(TableDailySummary[[#This Row],[Fecha]],SummaryDaily[day],SummaryDaily[MetaAdsOperation.spend],0)</f>
        <v>0</v>
      </c>
      <c r="AA651" s="11">
        <f>SUMIFS(SalesByUTMDaily[facebook],SalesByUTMDaily[day],TableDailySummary[[#This Row],[Fecha]])</f>
        <v>0</v>
      </c>
      <c r="AB651" s="11">
        <f>TableDailySummary[[#This Row],[Inversión google ads]]+TableDailySummary[[#This Row],[Inversión meta ads]]</f>
        <v>0</v>
      </c>
      <c r="AC651" s="11">
        <f>TableDailySummary[[#This Row],[Ventas google ads]]+TableDailySummary[[#This Row],[Ventas meta ads]]</f>
        <v>0</v>
      </c>
      <c r="AD651" s="14">
        <f>IFERROR(TableDailySummary[[#This Row],[Ventas publicidad]]/TableDailySummary[[#This Row],[Inversión publicidad]],0)</f>
        <v>0</v>
      </c>
      <c r="AE651" s="14">
        <f>IFERROR(TableDailySummary[[#This Row],[Ventas primer cliente]]/TableDailySummary[[#This Row],[Inversión publicidad]],0)</f>
        <v>0</v>
      </c>
      <c r="AF651" s="14"/>
      <c r="AG651" s="11"/>
      <c r="AM651" s="11">
        <f>_xlfn.XLOOKUP(TableDailySummary[[#This Row],[Fecha]],SummaryDaily[day],SummaryDaily[net_sales_with_cost_recorded],0)</f>
        <v>0</v>
      </c>
      <c r="AN651" s="11">
        <f>_xlfn.XLOOKUP(TableDailySummary[[#This Row],[Fecha]],SummaryDaily[day],SummaryDaily[cost_of_goods_sold],0)</f>
        <v>0</v>
      </c>
      <c r="AO651" s="11">
        <f>_xlfn.XLOOKUP(TableDailySummary[[#This Row],[Fecha]],SummaryDaily[day],SummaryDaily[gross_profit],0)</f>
        <v>0</v>
      </c>
      <c r="AP651" s="18">
        <f>IFERROR(TableDailySummary[[#This Row],[Utilidad bruta]]/TableDailySummary[[#This Row],[Ventas netas con costo registrado]],0)</f>
        <v>0</v>
      </c>
    </row>
    <row r="652" spans="2:42" x14ac:dyDescent="0.2">
      <c r="B652" s="15" cm="1">
        <f t="array" ref="B652">ParamFechaInicioReporte + (ROW(TableDailySummary[#This Row]) - ROW(TableDailySummary[[#Headers],[Dia]]) - 1)</f>
        <v>45179</v>
      </c>
      <c r="C652" s="6">
        <f>TableDailySummary[[#This Row],[Dia]]</f>
        <v>45179</v>
      </c>
      <c r="D652" s="11">
        <f>_xlfn.XLOOKUP(TableDailySummary[[#This Row],[Fecha]],SummaryDaily[day],SummaryDaily[net_sales],0)</f>
        <v>0</v>
      </c>
      <c r="E652" s="11">
        <f>_xlfn.XLOOKUP(TableDailySummary[[#This Row],[Fecha]],SummaryDaily[day],SummaryDaily[orders],0)</f>
        <v>0</v>
      </c>
      <c r="F652" s="11">
        <f>_xlfn.XLOOKUP(TableDailySummary[[#This Row],[Fecha]],SummaryDaily[day],SummaryDaily[average_order_value],0)</f>
        <v>0</v>
      </c>
      <c r="G652" s="24" cm="1">
        <f t="array" ref="G652">_xlfn.XLOOKUP(TableDailySummary[[#This Row],[Fecha]]&amp;"Total site",ConversionRateByReferral[day]&amp;ConversionRateByReferral[referrer_source],ConversionRateByReferral[conversion_rate],0)</f>
        <v>0</v>
      </c>
      <c r="H652" s="11">
        <f>TableDailySummary[[#This Row],[Órden promedio totales]]*TableDailySummary[[#This Row],[CR totales]]</f>
        <v>0</v>
      </c>
      <c r="I652" s="11">
        <f>_xlfn.XLOOKUP(TableDailySummary[[#This Row],[Fecha]],SummaryDaily[day],SummaryDaily[new_net_sales],0)</f>
        <v>0</v>
      </c>
      <c r="J652" s="11">
        <f>_xlfn.XLOOKUP(TableDailySummary[[#This Row],[Fecha]],SummaryDaily[day],SummaryDaily[new_orders],0)</f>
        <v>0</v>
      </c>
      <c r="K652" s="11">
        <f>_xlfn.XLOOKUP(TableDailySummary[[#This Row],[Fecha]],SummaryDaily[day],SummaryDaily[new_average_order_value],0)</f>
        <v>0</v>
      </c>
      <c r="L652" s="11">
        <f>_xlfn.XLOOKUP(TableDailySummary[[#This Row],[Fecha]],SummaryDaily[day],SummaryDaily[Online Store_net_sales],0)</f>
        <v>0</v>
      </c>
      <c r="M652" s="11">
        <f>_xlfn.XLOOKUP(TableDailySummary[[#This Row],[Fecha]],SummaryDaily[day],SummaryDaily[Online Store_orders],0)</f>
        <v>0</v>
      </c>
      <c r="N652" s="11">
        <f>_xlfn.XLOOKUP(TableDailySummary[[#This Row],[Fecha]],SummaryDaily[day],SummaryDaily[Online Store_average_order_value],0)</f>
        <v>0</v>
      </c>
      <c r="O652" s="11">
        <f>_xlfn.XLOOKUP(TableDailySummary[[#This Row],[Fecha]],SummaryDaily[day],SummaryDaily[Tienda 81_net_sales],0)</f>
        <v>0</v>
      </c>
      <c r="P652" s="11">
        <f>_xlfn.XLOOKUP(TableDailySummary[[#This Row],[Fecha]],SummaryDaily[day],SummaryDaily[Tienda 81_orders],0)</f>
        <v>0</v>
      </c>
      <c r="Q652" s="11">
        <f>_xlfn.XLOOKUP(TableDailySummary[[#This Row],[Fecha]],SummaryDaily[day],SummaryDaily[Tienda 81_average_order_value],0)</f>
        <v>0</v>
      </c>
      <c r="R652" s="11">
        <f>_xlfn.XLOOKUP(TableDailySummary[[#This Row],[Fecha]],SummaryDaily[day],SummaryDaily[Rappi_net_sales],0)</f>
        <v>0</v>
      </c>
      <c r="S652" s="11">
        <f>_xlfn.XLOOKUP(TableDailySummary[[#This Row],[Fecha]],SummaryDaily[day],SummaryDaily[Rappi_orders],0)</f>
        <v>0</v>
      </c>
      <c r="T652" s="11">
        <f>_xlfn.XLOOKUP(TableDailySummary[[#This Row],[Fecha]],SummaryDaily[day],SummaryDaily[Rappi_average_order_value],0)</f>
        <v>0</v>
      </c>
      <c r="U652" s="11">
        <f>_xlfn.XLOOKUP(TableDailySummary[[#This Row],[Fecha]],SummaryDaily[day],SummaryDaily[Corporativo no tienda_net_sales],0)</f>
        <v>0</v>
      </c>
      <c r="V652" s="11">
        <f>_xlfn.XLOOKUP(TableDailySummary[[#This Row],[Fecha]],SummaryDaily[day],SummaryDaily[Corporativo no tienda_orders],0)</f>
        <v>0</v>
      </c>
      <c r="W652" s="11">
        <f>_xlfn.XLOOKUP(TableDailySummary[[#This Row],[Fecha]],SummaryDaily[day],SummaryDaily[Corporativo no tienda_average_order_value],0)</f>
        <v>0</v>
      </c>
      <c r="X652" s="11">
        <f>_xlfn.XLOOKUP(TableDailySummary[[#This Row],[Fecha]],SummaryDaily[day],SummaryDaily[GoogleAdsOperation.Cost],0)</f>
        <v>0</v>
      </c>
      <c r="Y652" s="11">
        <f>SUMIFS(SalesByUTMDaily[google],SalesByUTMDaily[day],TableDailySummary[[#This Row],[Fecha]])</f>
        <v>0</v>
      </c>
      <c r="Z652" s="11">
        <f>_xlfn.XLOOKUP(TableDailySummary[[#This Row],[Fecha]],SummaryDaily[day],SummaryDaily[MetaAdsOperation.spend],0)</f>
        <v>0</v>
      </c>
      <c r="AA652" s="11">
        <f>SUMIFS(SalesByUTMDaily[facebook],SalesByUTMDaily[day],TableDailySummary[[#This Row],[Fecha]])</f>
        <v>0</v>
      </c>
      <c r="AB652" s="11">
        <f>TableDailySummary[[#This Row],[Inversión google ads]]+TableDailySummary[[#This Row],[Inversión meta ads]]</f>
        <v>0</v>
      </c>
      <c r="AC652" s="11">
        <f>TableDailySummary[[#This Row],[Ventas google ads]]+TableDailySummary[[#This Row],[Ventas meta ads]]</f>
        <v>0</v>
      </c>
      <c r="AD652" s="14">
        <f>IFERROR(TableDailySummary[[#This Row],[Ventas publicidad]]/TableDailySummary[[#This Row],[Inversión publicidad]],0)</f>
        <v>0</v>
      </c>
      <c r="AE652" s="14">
        <f>IFERROR(TableDailySummary[[#This Row],[Ventas primer cliente]]/TableDailySummary[[#This Row],[Inversión publicidad]],0)</f>
        <v>0</v>
      </c>
      <c r="AF652" s="14"/>
      <c r="AG652" s="11"/>
      <c r="AM652" s="11">
        <f>_xlfn.XLOOKUP(TableDailySummary[[#This Row],[Fecha]],SummaryDaily[day],SummaryDaily[net_sales_with_cost_recorded],0)</f>
        <v>0</v>
      </c>
      <c r="AN652" s="11">
        <f>_xlfn.XLOOKUP(TableDailySummary[[#This Row],[Fecha]],SummaryDaily[day],SummaryDaily[cost_of_goods_sold],0)</f>
        <v>0</v>
      </c>
      <c r="AO652" s="11">
        <f>_xlfn.XLOOKUP(TableDailySummary[[#This Row],[Fecha]],SummaryDaily[day],SummaryDaily[gross_profit],0)</f>
        <v>0</v>
      </c>
      <c r="AP652" s="18">
        <f>IFERROR(TableDailySummary[[#This Row],[Utilidad bruta]]/TableDailySummary[[#This Row],[Ventas netas con costo registrado]],0)</f>
        <v>0</v>
      </c>
    </row>
    <row r="653" spans="2:42" x14ac:dyDescent="0.2">
      <c r="B653" s="15" cm="1">
        <f t="array" ref="B653">ParamFechaInicioReporte + (ROW(TableDailySummary[#This Row]) - ROW(TableDailySummary[[#Headers],[Dia]]) - 1)</f>
        <v>45180</v>
      </c>
      <c r="C653" s="6">
        <f>TableDailySummary[[#This Row],[Dia]]</f>
        <v>45180</v>
      </c>
      <c r="D653" s="11">
        <f>_xlfn.XLOOKUP(TableDailySummary[[#This Row],[Fecha]],SummaryDaily[day],SummaryDaily[net_sales],0)</f>
        <v>0</v>
      </c>
      <c r="E653" s="11">
        <f>_xlfn.XLOOKUP(TableDailySummary[[#This Row],[Fecha]],SummaryDaily[day],SummaryDaily[orders],0)</f>
        <v>0</v>
      </c>
      <c r="F653" s="11">
        <f>_xlfn.XLOOKUP(TableDailySummary[[#This Row],[Fecha]],SummaryDaily[day],SummaryDaily[average_order_value],0)</f>
        <v>0</v>
      </c>
      <c r="G653" s="24" cm="1">
        <f t="array" ref="G653">_xlfn.XLOOKUP(TableDailySummary[[#This Row],[Fecha]]&amp;"Total site",ConversionRateByReferral[day]&amp;ConversionRateByReferral[referrer_source],ConversionRateByReferral[conversion_rate],0)</f>
        <v>0</v>
      </c>
      <c r="H653" s="11">
        <f>TableDailySummary[[#This Row],[Órden promedio totales]]*TableDailySummary[[#This Row],[CR totales]]</f>
        <v>0</v>
      </c>
      <c r="I653" s="11">
        <f>_xlfn.XLOOKUP(TableDailySummary[[#This Row],[Fecha]],SummaryDaily[day],SummaryDaily[new_net_sales],0)</f>
        <v>0</v>
      </c>
      <c r="J653" s="11">
        <f>_xlfn.XLOOKUP(TableDailySummary[[#This Row],[Fecha]],SummaryDaily[day],SummaryDaily[new_orders],0)</f>
        <v>0</v>
      </c>
      <c r="K653" s="11">
        <f>_xlfn.XLOOKUP(TableDailySummary[[#This Row],[Fecha]],SummaryDaily[day],SummaryDaily[new_average_order_value],0)</f>
        <v>0</v>
      </c>
      <c r="L653" s="11">
        <f>_xlfn.XLOOKUP(TableDailySummary[[#This Row],[Fecha]],SummaryDaily[day],SummaryDaily[Online Store_net_sales],0)</f>
        <v>0</v>
      </c>
      <c r="M653" s="11">
        <f>_xlfn.XLOOKUP(TableDailySummary[[#This Row],[Fecha]],SummaryDaily[day],SummaryDaily[Online Store_orders],0)</f>
        <v>0</v>
      </c>
      <c r="N653" s="11">
        <f>_xlfn.XLOOKUP(TableDailySummary[[#This Row],[Fecha]],SummaryDaily[day],SummaryDaily[Online Store_average_order_value],0)</f>
        <v>0</v>
      </c>
      <c r="O653" s="11">
        <f>_xlfn.XLOOKUP(TableDailySummary[[#This Row],[Fecha]],SummaryDaily[day],SummaryDaily[Tienda 81_net_sales],0)</f>
        <v>0</v>
      </c>
      <c r="P653" s="11">
        <f>_xlfn.XLOOKUP(TableDailySummary[[#This Row],[Fecha]],SummaryDaily[day],SummaryDaily[Tienda 81_orders],0)</f>
        <v>0</v>
      </c>
      <c r="Q653" s="11">
        <f>_xlfn.XLOOKUP(TableDailySummary[[#This Row],[Fecha]],SummaryDaily[day],SummaryDaily[Tienda 81_average_order_value],0)</f>
        <v>0</v>
      </c>
      <c r="R653" s="11">
        <f>_xlfn.XLOOKUP(TableDailySummary[[#This Row],[Fecha]],SummaryDaily[day],SummaryDaily[Rappi_net_sales],0)</f>
        <v>0</v>
      </c>
      <c r="S653" s="11">
        <f>_xlfn.XLOOKUP(TableDailySummary[[#This Row],[Fecha]],SummaryDaily[day],SummaryDaily[Rappi_orders],0)</f>
        <v>0</v>
      </c>
      <c r="T653" s="11">
        <f>_xlfn.XLOOKUP(TableDailySummary[[#This Row],[Fecha]],SummaryDaily[day],SummaryDaily[Rappi_average_order_value],0)</f>
        <v>0</v>
      </c>
      <c r="U653" s="11">
        <f>_xlfn.XLOOKUP(TableDailySummary[[#This Row],[Fecha]],SummaryDaily[day],SummaryDaily[Corporativo no tienda_net_sales],0)</f>
        <v>0</v>
      </c>
      <c r="V653" s="11">
        <f>_xlfn.XLOOKUP(TableDailySummary[[#This Row],[Fecha]],SummaryDaily[day],SummaryDaily[Corporativo no tienda_orders],0)</f>
        <v>0</v>
      </c>
      <c r="W653" s="11">
        <f>_xlfn.XLOOKUP(TableDailySummary[[#This Row],[Fecha]],SummaryDaily[day],SummaryDaily[Corporativo no tienda_average_order_value],0)</f>
        <v>0</v>
      </c>
      <c r="X653" s="11">
        <f>_xlfn.XLOOKUP(TableDailySummary[[#This Row],[Fecha]],SummaryDaily[day],SummaryDaily[GoogleAdsOperation.Cost],0)</f>
        <v>0</v>
      </c>
      <c r="Y653" s="11">
        <f>SUMIFS(SalesByUTMDaily[google],SalesByUTMDaily[day],TableDailySummary[[#This Row],[Fecha]])</f>
        <v>0</v>
      </c>
      <c r="Z653" s="11">
        <f>_xlfn.XLOOKUP(TableDailySummary[[#This Row],[Fecha]],SummaryDaily[day],SummaryDaily[MetaAdsOperation.spend],0)</f>
        <v>0</v>
      </c>
      <c r="AA653" s="11">
        <f>SUMIFS(SalesByUTMDaily[facebook],SalesByUTMDaily[day],TableDailySummary[[#This Row],[Fecha]])</f>
        <v>0</v>
      </c>
      <c r="AB653" s="11">
        <f>TableDailySummary[[#This Row],[Inversión google ads]]+TableDailySummary[[#This Row],[Inversión meta ads]]</f>
        <v>0</v>
      </c>
      <c r="AC653" s="11">
        <f>TableDailySummary[[#This Row],[Ventas google ads]]+TableDailySummary[[#This Row],[Ventas meta ads]]</f>
        <v>0</v>
      </c>
      <c r="AD653" s="14">
        <f>IFERROR(TableDailySummary[[#This Row],[Ventas publicidad]]/TableDailySummary[[#This Row],[Inversión publicidad]],0)</f>
        <v>0</v>
      </c>
      <c r="AE653" s="14">
        <f>IFERROR(TableDailySummary[[#This Row],[Ventas primer cliente]]/TableDailySummary[[#This Row],[Inversión publicidad]],0)</f>
        <v>0</v>
      </c>
      <c r="AF653" s="14"/>
      <c r="AG653" s="11"/>
      <c r="AM653" s="11">
        <f>_xlfn.XLOOKUP(TableDailySummary[[#This Row],[Fecha]],SummaryDaily[day],SummaryDaily[net_sales_with_cost_recorded],0)</f>
        <v>0</v>
      </c>
      <c r="AN653" s="11">
        <f>_xlfn.XLOOKUP(TableDailySummary[[#This Row],[Fecha]],SummaryDaily[day],SummaryDaily[cost_of_goods_sold],0)</f>
        <v>0</v>
      </c>
      <c r="AO653" s="11">
        <f>_xlfn.XLOOKUP(TableDailySummary[[#This Row],[Fecha]],SummaryDaily[day],SummaryDaily[gross_profit],0)</f>
        <v>0</v>
      </c>
      <c r="AP653" s="18">
        <f>IFERROR(TableDailySummary[[#This Row],[Utilidad bruta]]/TableDailySummary[[#This Row],[Ventas netas con costo registrado]],0)</f>
        <v>0</v>
      </c>
    </row>
    <row r="654" spans="2:42" x14ac:dyDescent="0.2">
      <c r="B654" s="15" cm="1">
        <f t="array" ref="B654">ParamFechaInicioReporte + (ROW(TableDailySummary[#This Row]) - ROW(TableDailySummary[[#Headers],[Dia]]) - 1)</f>
        <v>45181</v>
      </c>
      <c r="C654" s="6">
        <f>TableDailySummary[[#This Row],[Dia]]</f>
        <v>45181</v>
      </c>
      <c r="D654" s="11">
        <f>_xlfn.XLOOKUP(TableDailySummary[[#This Row],[Fecha]],SummaryDaily[day],SummaryDaily[net_sales],0)</f>
        <v>0</v>
      </c>
      <c r="E654" s="11">
        <f>_xlfn.XLOOKUP(TableDailySummary[[#This Row],[Fecha]],SummaryDaily[day],SummaryDaily[orders],0)</f>
        <v>0</v>
      </c>
      <c r="F654" s="11">
        <f>_xlfn.XLOOKUP(TableDailySummary[[#This Row],[Fecha]],SummaryDaily[day],SummaryDaily[average_order_value],0)</f>
        <v>0</v>
      </c>
      <c r="G654" s="24" cm="1">
        <f t="array" ref="G654">_xlfn.XLOOKUP(TableDailySummary[[#This Row],[Fecha]]&amp;"Total site",ConversionRateByReferral[day]&amp;ConversionRateByReferral[referrer_source],ConversionRateByReferral[conversion_rate],0)</f>
        <v>0</v>
      </c>
      <c r="H654" s="11">
        <f>TableDailySummary[[#This Row],[Órden promedio totales]]*TableDailySummary[[#This Row],[CR totales]]</f>
        <v>0</v>
      </c>
      <c r="I654" s="11">
        <f>_xlfn.XLOOKUP(TableDailySummary[[#This Row],[Fecha]],SummaryDaily[day],SummaryDaily[new_net_sales],0)</f>
        <v>0</v>
      </c>
      <c r="J654" s="11">
        <f>_xlfn.XLOOKUP(TableDailySummary[[#This Row],[Fecha]],SummaryDaily[day],SummaryDaily[new_orders],0)</f>
        <v>0</v>
      </c>
      <c r="K654" s="11">
        <f>_xlfn.XLOOKUP(TableDailySummary[[#This Row],[Fecha]],SummaryDaily[day],SummaryDaily[new_average_order_value],0)</f>
        <v>0</v>
      </c>
      <c r="L654" s="11">
        <f>_xlfn.XLOOKUP(TableDailySummary[[#This Row],[Fecha]],SummaryDaily[day],SummaryDaily[Online Store_net_sales],0)</f>
        <v>0</v>
      </c>
      <c r="M654" s="11">
        <f>_xlfn.XLOOKUP(TableDailySummary[[#This Row],[Fecha]],SummaryDaily[day],SummaryDaily[Online Store_orders],0)</f>
        <v>0</v>
      </c>
      <c r="N654" s="11">
        <f>_xlfn.XLOOKUP(TableDailySummary[[#This Row],[Fecha]],SummaryDaily[day],SummaryDaily[Online Store_average_order_value],0)</f>
        <v>0</v>
      </c>
      <c r="O654" s="11">
        <f>_xlfn.XLOOKUP(TableDailySummary[[#This Row],[Fecha]],SummaryDaily[day],SummaryDaily[Tienda 81_net_sales],0)</f>
        <v>0</v>
      </c>
      <c r="P654" s="11">
        <f>_xlfn.XLOOKUP(TableDailySummary[[#This Row],[Fecha]],SummaryDaily[day],SummaryDaily[Tienda 81_orders],0)</f>
        <v>0</v>
      </c>
      <c r="Q654" s="11">
        <f>_xlfn.XLOOKUP(TableDailySummary[[#This Row],[Fecha]],SummaryDaily[day],SummaryDaily[Tienda 81_average_order_value],0)</f>
        <v>0</v>
      </c>
      <c r="R654" s="11">
        <f>_xlfn.XLOOKUP(TableDailySummary[[#This Row],[Fecha]],SummaryDaily[day],SummaryDaily[Rappi_net_sales],0)</f>
        <v>0</v>
      </c>
      <c r="S654" s="11">
        <f>_xlfn.XLOOKUP(TableDailySummary[[#This Row],[Fecha]],SummaryDaily[day],SummaryDaily[Rappi_orders],0)</f>
        <v>0</v>
      </c>
      <c r="T654" s="11">
        <f>_xlfn.XLOOKUP(TableDailySummary[[#This Row],[Fecha]],SummaryDaily[day],SummaryDaily[Rappi_average_order_value],0)</f>
        <v>0</v>
      </c>
      <c r="U654" s="11">
        <f>_xlfn.XLOOKUP(TableDailySummary[[#This Row],[Fecha]],SummaryDaily[day],SummaryDaily[Corporativo no tienda_net_sales],0)</f>
        <v>0</v>
      </c>
      <c r="V654" s="11">
        <f>_xlfn.XLOOKUP(TableDailySummary[[#This Row],[Fecha]],SummaryDaily[day],SummaryDaily[Corporativo no tienda_orders],0)</f>
        <v>0</v>
      </c>
      <c r="W654" s="11">
        <f>_xlfn.XLOOKUP(TableDailySummary[[#This Row],[Fecha]],SummaryDaily[day],SummaryDaily[Corporativo no tienda_average_order_value],0)</f>
        <v>0</v>
      </c>
      <c r="X654" s="11">
        <f>_xlfn.XLOOKUP(TableDailySummary[[#This Row],[Fecha]],SummaryDaily[day],SummaryDaily[GoogleAdsOperation.Cost],0)</f>
        <v>0</v>
      </c>
      <c r="Y654" s="11">
        <f>SUMIFS(SalesByUTMDaily[google],SalesByUTMDaily[day],TableDailySummary[[#This Row],[Fecha]])</f>
        <v>0</v>
      </c>
      <c r="Z654" s="11">
        <f>_xlfn.XLOOKUP(TableDailySummary[[#This Row],[Fecha]],SummaryDaily[day],SummaryDaily[MetaAdsOperation.spend],0)</f>
        <v>0</v>
      </c>
      <c r="AA654" s="11">
        <f>SUMIFS(SalesByUTMDaily[facebook],SalesByUTMDaily[day],TableDailySummary[[#This Row],[Fecha]])</f>
        <v>0</v>
      </c>
      <c r="AB654" s="11">
        <f>TableDailySummary[[#This Row],[Inversión google ads]]+TableDailySummary[[#This Row],[Inversión meta ads]]</f>
        <v>0</v>
      </c>
      <c r="AC654" s="11">
        <f>TableDailySummary[[#This Row],[Ventas google ads]]+TableDailySummary[[#This Row],[Ventas meta ads]]</f>
        <v>0</v>
      </c>
      <c r="AD654" s="14">
        <f>IFERROR(TableDailySummary[[#This Row],[Ventas publicidad]]/TableDailySummary[[#This Row],[Inversión publicidad]],0)</f>
        <v>0</v>
      </c>
      <c r="AE654" s="14">
        <f>IFERROR(TableDailySummary[[#This Row],[Ventas primer cliente]]/TableDailySummary[[#This Row],[Inversión publicidad]],0)</f>
        <v>0</v>
      </c>
      <c r="AF654" s="14"/>
      <c r="AG654" s="11"/>
      <c r="AM654" s="11">
        <f>_xlfn.XLOOKUP(TableDailySummary[[#This Row],[Fecha]],SummaryDaily[day],SummaryDaily[net_sales_with_cost_recorded],0)</f>
        <v>0</v>
      </c>
      <c r="AN654" s="11">
        <f>_xlfn.XLOOKUP(TableDailySummary[[#This Row],[Fecha]],SummaryDaily[day],SummaryDaily[cost_of_goods_sold],0)</f>
        <v>0</v>
      </c>
      <c r="AO654" s="11">
        <f>_xlfn.XLOOKUP(TableDailySummary[[#This Row],[Fecha]],SummaryDaily[day],SummaryDaily[gross_profit],0)</f>
        <v>0</v>
      </c>
      <c r="AP654" s="18">
        <f>IFERROR(TableDailySummary[[#This Row],[Utilidad bruta]]/TableDailySummary[[#This Row],[Ventas netas con costo registrado]],0)</f>
        <v>0</v>
      </c>
    </row>
    <row r="655" spans="2:42" x14ac:dyDescent="0.2">
      <c r="B655" s="15" cm="1">
        <f t="array" ref="B655">ParamFechaInicioReporte + (ROW(TableDailySummary[#This Row]) - ROW(TableDailySummary[[#Headers],[Dia]]) - 1)</f>
        <v>45182</v>
      </c>
      <c r="C655" s="6">
        <f>TableDailySummary[[#This Row],[Dia]]</f>
        <v>45182</v>
      </c>
      <c r="D655" s="11">
        <f>_xlfn.XLOOKUP(TableDailySummary[[#This Row],[Fecha]],SummaryDaily[day],SummaryDaily[net_sales],0)</f>
        <v>0</v>
      </c>
      <c r="E655" s="11">
        <f>_xlfn.XLOOKUP(TableDailySummary[[#This Row],[Fecha]],SummaryDaily[day],SummaryDaily[orders],0)</f>
        <v>0</v>
      </c>
      <c r="F655" s="11">
        <f>_xlfn.XLOOKUP(TableDailySummary[[#This Row],[Fecha]],SummaryDaily[day],SummaryDaily[average_order_value],0)</f>
        <v>0</v>
      </c>
      <c r="G655" s="24" cm="1">
        <f t="array" ref="G655">_xlfn.XLOOKUP(TableDailySummary[[#This Row],[Fecha]]&amp;"Total site",ConversionRateByReferral[day]&amp;ConversionRateByReferral[referrer_source],ConversionRateByReferral[conversion_rate],0)</f>
        <v>0</v>
      </c>
      <c r="H655" s="11">
        <f>TableDailySummary[[#This Row],[Órden promedio totales]]*TableDailySummary[[#This Row],[CR totales]]</f>
        <v>0</v>
      </c>
      <c r="I655" s="11">
        <f>_xlfn.XLOOKUP(TableDailySummary[[#This Row],[Fecha]],SummaryDaily[day],SummaryDaily[new_net_sales],0)</f>
        <v>0</v>
      </c>
      <c r="J655" s="11">
        <f>_xlfn.XLOOKUP(TableDailySummary[[#This Row],[Fecha]],SummaryDaily[day],SummaryDaily[new_orders],0)</f>
        <v>0</v>
      </c>
      <c r="K655" s="11">
        <f>_xlfn.XLOOKUP(TableDailySummary[[#This Row],[Fecha]],SummaryDaily[day],SummaryDaily[new_average_order_value],0)</f>
        <v>0</v>
      </c>
      <c r="L655" s="11">
        <f>_xlfn.XLOOKUP(TableDailySummary[[#This Row],[Fecha]],SummaryDaily[day],SummaryDaily[Online Store_net_sales],0)</f>
        <v>0</v>
      </c>
      <c r="M655" s="11">
        <f>_xlfn.XLOOKUP(TableDailySummary[[#This Row],[Fecha]],SummaryDaily[day],SummaryDaily[Online Store_orders],0)</f>
        <v>0</v>
      </c>
      <c r="N655" s="11">
        <f>_xlfn.XLOOKUP(TableDailySummary[[#This Row],[Fecha]],SummaryDaily[day],SummaryDaily[Online Store_average_order_value],0)</f>
        <v>0</v>
      </c>
      <c r="O655" s="11">
        <f>_xlfn.XLOOKUP(TableDailySummary[[#This Row],[Fecha]],SummaryDaily[day],SummaryDaily[Tienda 81_net_sales],0)</f>
        <v>0</v>
      </c>
      <c r="P655" s="11">
        <f>_xlfn.XLOOKUP(TableDailySummary[[#This Row],[Fecha]],SummaryDaily[day],SummaryDaily[Tienda 81_orders],0)</f>
        <v>0</v>
      </c>
      <c r="Q655" s="11">
        <f>_xlfn.XLOOKUP(TableDailySummary[[#This Row],[Fecha]],SummaryDaily[day],SummaryDaily[Tienda 81_average_order_value],0)</f>
        <v>0</v>
      </c>
      <c r="R655" s="11">
        <f>_xlfn.XLOOKUP(TableDailySummary[[#This Row],[Fecha]],SummaryDaily[day],SummaryDaily[Rappi_net_sales],0)</f>
        <v>0</v>
      </c>
      <c r="S655" s="11">
        <f>_xlfn.XLOOKUP(TableDailySummary[[#This Row],[Fecha]],SummaryDaily[day],SummaryDaily[Rappi_orders],0)</f>
        <v>0</v>
      </c>
      <c r="T655" s="11">
        <f>_xlfn.XLOOKUP(TableDailySummary[[#This Row],[Fecha]],SummaryDaily[day],SummaryDaily[Rappi_average_order_value],0)</f>
        <v>0</v>
      </c>
      <c r="U655" s="11">
        <f>_xlfn.XLOOKUP(TableDailySummary[[#This Row],[Fecha]],SummaryDaily[day],SummaryDaily[Corporativo no tienda_net_sales],0)</f>
        <v>0</v>
      </c>
      <c r="V655" s="11">
        <f>_xlfn.XLOOKUP(TableDailySummary[[#This Row],[Fecha]],SummaryDaily[day],SummaryDaily[Corporativo no tienda_orders],0)</f>
        <v>0</v>
      </c>
      <c r="W655" s="11">
        <f>_xlfn.XLOOKUP(TableDailySummary[[#This Row],[Fecha]],SummaryDaily[day],SummaryDaily[Corporativo no tienda_average_order_value],0)</f>
        <v>0</v>
      </c>
      <c r="X655" s="11">
        <f>_xlfn.XLOOKUP(TableDailySummary[[#This Row],[Fecha]],SummaryDaily[day],SummaryDaily[GoogleAdsOperation.Cost],0)</f>
        <v>0</v>
      </c>
      <c r="Y655" s="11">
        <f>SUMIFS(SalesByUTMDaily[google],SalesByUTMDaily[day],TableDailySummary[[#This Row],[Fecha]])</f>
        <v>0</v>
      </c>
      <c r="Z655" s="11">
        <f>_xlfn.XLOOKUP(TableDailySummary[[#This Row],[Fecha]],SummaryDaily[day],SummaryDaily[MetaAdsOperation.spend],0)</f>
        <v>0</v>
      </c>
      <c r="AA655" s="11">
        <f>SUMIFS(SalesByUTMDaily[facebook],SalesByUTMDaily[day],TableDailySummary[[#This Row],[Fecha]])</f>
        <v>0</v>
      </c>
      <c r="AB655" s="11">
        <f>TableDailySummary[[#This Row],[Inversión google ads]]+TableDailySummary[[#This Row],[Inversión meta ads]]</f>
        <v>0</v>
      </c>
      <c r="AC655" s="11">
        <f>TableDailySummary[[#This Row],[Ventas google ads]]+TableDailySummary[[#This Row],[Ventas meta ads]]</f>
        <v>0</v>
      </c>
      <c r="AD655" s="14">
        <f>IFERROR(TableDailySummary[[#This Row],[Ventas publicidad]]/TableDailySummary[[#This Row],[Inversión publicidad]],0)</f>
        <v>0</v>
      </c>
      <c r="AE655" s="14">
        <f>IFERROR(TableDailySummary[[#This Row],[Ventas primer cliente]]/TableDailySummary[[#This Row],[Inversión publicidad]],0)</f>
        <v>0</v>
      </c>
      <c r="AF655" s="14"/>
      <c r="AG655" s="11"/>
      <c r="AM655" s="11">
        <f>_xlfn.XLOOKUP(TableDailySummary[[#This Row],[Fecha]],SummaryDaily[day],SummaryDaily[net_sales_with_cost_recorded],0)</f>
        <v>0</v>
      </c>
      <c r="AN655" s="11">
        <f>_xlfn.XLOOKUP(TableDailySummary[[#This Row],[Fecha]],SummaryDaily[day],SummaryDaily[cost_of_goods_sold],0)</f>
        <v>0</v>
      </c>
      <c r="AO655" s="11">
        <f>_xlfn.XLOOKUP(TableDailySummary[[#This Row],[Fecha]],SummaryDaily[day],SummaryDaily[gross_profit],0)</f>
        <v>0</v>
      </c>
      <c r="AP655" s="18">
        <f>IFERROR(TableDailySummary[[#This Row],[Utilidad bruta]]/TableDailySummary[[#This Row],[Ventas netas con costo registrado]],0)</f>
        <v>0</v>
      </c>
    </row>
    <row r="656" spans="2:42" x14ac:dyDescent="0.2">
      <c r="B656" s="15" cm="1">
        <f t="array" ref="B656">ParamFechaInicioReporte + (ROW(TableDailySummary[#This Row]) - ROW(TableDailySummary[[#Headers],[Dia]]) - 1)</f>
        <v>45183</v>
      </c>
      <c r="C656" s="6">
        <f>TableDailySummary[[#This Row],[Dia]]</f>
        <v>45183</v>
      </c>
      <c r="D656" s="11">
        <f>_xlfn.XLOOKUP(TableDailySummary[[#This Row],[Fecha]],SummaryDaily[day],SummaryDaily[net_sales],0)</f>
        <v>0</v>
      </c>
      <c r="E656" s="11">
        <f>_xlfn.XLOOKUP(TableDailySummary[[#This Row],[Fecha]],SummaryDaily[day],SummaryDaily[orders],0)</f>
        <v>0</v>
      </c>
      <c r="F656" s="11">
        <f>_xlfn.XLOOKUP(TableDailySummary[[#This Row],[Fecha]],SummaryDaily[day],SummaryDaily[average_order_value],0)</f>
        <v>0</v>
      </c>
      <c r="G656" s="24" cm="1">
        <f t="array" ref="G656">_xlfn.XLOOKUP(TableDailySummary[[#This Row],[Fecha]]&amp;"Total site",ConversionRateByReferral[day]&amp;ConversionRateByReferral[referrer_source],ConversionRateByReferral[conversion_rate],0)</f>
        <v>0</v>
      </c>
      <c r="H656" s="11">
        <f>TableDailySummary[[#This Row],[Órden promedio totales]]*TableDailySummary[[#This Row],[CR totales]]</f>
        <v>0</v>
      </c>
      <c r="I656" s="11">
        <f>_xlfn.XLOOKUP(TableDailySummary[[#This Row],[Fecha]],SummaryDaily[day],SummaryDaily[new_net_sales],0)</f>
        <v>0</v>
      </c>
      <c r="J656" s="11">
        <f>_xlfn.XLOOKUP(TableDailySummary[[#This Row],[Fecha]],SummaryDaily[day],SummaryDaily[new_orders],0)</f>
        <v>0</v>
      </c>
      <c r="K656" s="11">
        <f>_xlfn.XLOOKUP(TableDailySummary[[#This Row],[Fecha]],SummaryDaily[day],SummaryDaily[new_average_order_value],0)</f>
        <v>0</v>
      </c>
      <c r="L656" s="11">
        <f>_xlfn.XLOOKUP(TableDailySummary[[#This Row],[Fecha]],SummaryDaily[day],SummaryDaily[Online Store_net_sales],0)</f>
        <v>0</v>
      </c>
      <c r="M656" s="11">
        <f>_xlfn.XLOOKUP(TableDailySummary[[#This Row],[Fecha]],SummaryDaily[day],SummaryDaily[Online Store_orders],0)</f>
        <v>0</v>
      </c>
      <c r="N656" s="11">
        <f>_xlfn.XLOOKUP(TableDailySummary[[#This Row],[Fecha]],SummaryDaily[day],SummaryDaily[Online Store_average_order_value],0)</f>
        <v>0</v>
      </c>
      <c r="O656" s="11">
        <f>_xlfn.XLOOKUP(TableDailySummary[[#This Row],[Fecha]],SummaryDaily[day],SummaryDaily[Tienda 81_net_sales],0)</f>
        <v>0</v>
      </c>
      <c r="P656" s="11">
        <f>_xlfn.XLOOKUP(TableDailySummary[[#This Row],[Fecha]],SummaryDaily[day],SummaryDaily[Tienda 81_orders],0)</f>
        <v>0</v>
      </c>
      <c r="Q656" s="11">
        <f>_xlfn.XLOOKUP(TableDailySummary[[#This Row],[Fecha]],SummaryDaily[day],SummaryDaily[Tienda 81_average_order_value],0)</f>
        <v>0</v>
      </c>
      <c r="R656" s="11">
        <f>_xlfn.XLOOKUP(TableDailySummary[[#This Row],[Fecha]],SummaryDaily[day],SummaryDaily[Rappi_net_sales],0)</f>
        <v>0</v>
      </c>
      <c r="S656" s="11">
        <f>_xlfn.XLOOKUP(TableDailySummary[[#This Row],[Fecha]],SummaryDaily[day],SummaryDaily[Rappi_orders],0)</f>
        <v>0</v>
      </c>
      <c r="T656" s="11">
        <f>_xlfn.XLOOKUP(TableDailySummary[[#This Row],[Fecha]],SummaryDaily[day],SummaryDaily[Rappi_average_order_value],0)</f>
        <v>0</v>
      </c>
      <c r="U656" s="11">
        <f>_xlfn.XLOOKUP(TableDailySummary[[#This Row],[Fecha]],SummaryDaily[day],SummaryDaily[Corporativo no tienda_net_sales],0)</f>
        <v>0</v>
      </c>
      <c r="V656" s="11">
        <f>_xlfn.XLOOKUP(TableDailySummary[[#This Row],[Fecha]],SummaryDaily[day],SummaryDaily[Corporativo no tienda_orders],0)</f>
        <v>0</v>
      </c>
      <c r="W656" s="11">
        <f>_xlfn.XLOOKUP(TableDailySummary[[#This Row],[Fecha]],SummaryDaily[day],SummaryDaily[Corporativo no tienda_average_order_value],0)</f>
        <v>0</v>
      </c>
      <c r="X656" s="11">
        <f>_xlfn.XLOOKUP(TableDailySummary[[#This Row],[Fecha]],SummaryDaily[day],SummaryDaily[GoogleAdsOperation.Cost],0)</f>
        <v>0</v>
      </c>
      <c r="Y656" s="11">
        <f>SUMIFS(SalesByUTMDaily[google],SalesByUTMDaily[day],TableDailySummary[[#This Row],[Fecha]])</f>
        <v>0</v>
      </c>
      <c r="Z656" s="11">
        <f>_xlfn.XLOOKUP(TableDailySummary[[#This Row],[Fecha]],SummaryDaily[day],SummaryDaily[MetaAdsOperation.spend],0)</f>
        <v>0</v>
      </c>
      <c r="AA656" s="11">
        <f>SUMIFS(SalesByUTMDaily[facebook],SalesByUTMDaily[day],TableDailySummary[[#This Row],[Fecha]])</f>
        <v>0</v>
      </c>
      <c r="AB656" s="11">
        <f>TableDailySummary[[#This Row],[Inversión google ads]]+TableDailySummary[[#This Row],[Inversión meta ads]]</f>
        <v>0</v>
      </c>
      <c r="AC656" s="11">
        <f>TableDailySummary[[#This Row],[Ventas google ads]]+TableDailySummary[[#This Row],[Ventas meta ads]]</f>
        <v>0</v>
      </c>
      <c r="AD656" s="14">
        <f>IFERROR(TableDailySummary[[#This Row],[Ventas publicidad]]/TableDailySummary[[#This Row],[Inversión publicidad]],0)</f>
        <v>0</v>
      </c>
      <c r="AE656" s="14">
        <f>IFERROR(TableDailySummary[[#This Row],[Ventas primer cliente]]/TableDailySummary[[#This Row],[Inversión publicidad]],0)</f>
        <v>0</v>
      </c>
      <c r="AF656" s="14"/>
      <c r="AG656" s="11"/>
      <c r="AM656" s="11">
        <f>_xlfn.XLOOKUP(TableDailySummary[[#This Row],[Fecha]],SummaryDaily[day],SummaryDaily[net_sales_with_cost_recorded],0)</f>
        <v>0</v>
      </c>
      <c r="AN656" s="11">
        <f>_xlfn.XLOOKUP(TableDailySummary[[#This Row],[Fecha]],SummaryDaily[day],SummaryDaily[cost_of_goods_sold],0)</f>
        <v>0</v>
      </c>
      <c r="AO656" s="11">
        <f>_xlfn.XLOOKUP(TableDailySummary[[#This Row],[Fecha]],SummaryDaily[day],SummaryDaily[gross_profit],0)</f>
        <v>0</v>
      </c>
      <c r="AP656" s="18">
        <f>IFERROR(TableDailySummary[[#This Row],[Utilidad bruta]]/TableDailySummary[[#This Row],[Ventas netas con costo registrado]],0)</f>
        <v>0</v>
      </c>
    </row>
    <row r="657" spans="2:42" x14ac:dyDescent="0.2">
      <c r="B657" s="15" cm="1">
        <f t="array" ref="B657">ParamFechaInicioReporte + (ROW(TableDailySummary[#This Row]) - ROW(TableDailySummary[[#Headers],[Dia]]) - 1)</f>
        <v>45184</v>
      </c>
      <c r="C657" s="6">
        <f>TableDailySummary[[#This Row],[Dia]]</f>
        <v>45184</v>
      </c>
      <c r="D657" s="11">
        <f>_xlfn.XLOOKUP(TableDailySummary[[#This Row],[Fecha]],SummaryDaily[day],SummaryDaily[net_sales],0)</f>
        <v>0</v>
      </c>
      <c r="E657" s="11">
        <f>_xlfn.XLOOKUP(TableDailySummary[[#This Row],[Fecha]],SummaryDaily[day],SummaryDaily[orders],0)</f>
        <v>0</v>
      </c>
      <c r="F657" s="11">
        <f>_xlfn.XLOOKUP(TableDailySummary[[#This Row],[Fecha]],SummaryDaily[day],SummaryDaily[average_order_value],0)</f>
        <v>0</v>
      </c>
      <c r="G657" s="24" cm="1">
        <f t="array" ref="G657">_xlfn.XLOOKUP(TableDailySummary[[#This Row],[Fecha]]&amp;"Total site",ConversionRateByReferral[day]&amp;ConversionRateByReferral[referrer_source],ConversionRateByReferral[conversion_rate],0)</f>
        <v>0</v>
      </c>
      <c r="H657" s="11">
        <f>TableDailySummary[[#This Row],[Órden promedio totales]]*TableDailySummary[[#This Row],[CR totales]]</f>
        <v>0</v>
      </c>
      <c r="I657" s="11">
        <f>_xlfn.XLOOKUP(TableDailySummary[[#This Row],[Fecha]],SummaryDaily[day],SummaryDaily[new_net_sales],0)</f>
        <v>0</v>
      </c>
      <c r="J657" s="11">
        <f>_xlfn.XLOOKUP(TableDailySummary[[#This Row],[Fecha]],SummaryDaily[day],SummaryDaily[new_orders],0)</f>
        <v>0</v>
      </c>
      <c r="K657" s="11">
        <f>_xlfn.XLOOKUP(TableDailySummary[[#This Row],[Fecha]],SummaryDaily[day],SummaryDaily[new_average_order_value],0)</f>
        <v>0</v>
      </c>
      <c r="L657" s="11">
        <f>_xlfn.XLOOKUP(TableDailySummary[[#This Row],[Fecha]],SummaryDaily[day],SummaryDaily[Online Store_net_sales],0)</f>
        <v>0</v>
      </c>
      <c r="M657" s="11">
        <f>_xlfn.XLOOKUP(TableDailySummary[[#This Row],[Fecha]],SummaryDaily[day],SummaryDaily[Online Store_orders],0)</f>
        <v>0</v>
      </c>
      <c r="N657" s="11">
        <f>_xlfn.XLOOKUP(TableDailySummary[[#This Row],[Fecha]],SummaryDaily[day],SummaryDaily[Online Store_average_order_value],0)</f>
        <v>0</v>
      </c>
      <c r="O657" s="11">
        <f>_xlfn.XLOOKUP(TableDailySummary[[#This Row],[Fecha]],SummaryDaily[day],SummaryDaily[Tienda 81_net_sales],0)</f>
        <v>0</v>
      </c>
      <c r="P657" s="11">
        <f>_xlfn.XLOOKUP(TableDailySummary[[#This Row],[Fecha]],SummaryDaily[day],SummaryDaily[Tienda 81_orders],0)</f>
        <v>0</v>
      </c>
      <c r="Q657" s="11">
        <f>_xlfn.XLOOKUP(TableDailySummary[[#This Row],[Fecha]],SummaryDaily[day],SummaryDaily[Tienda 81_average_order_value],0)</f>
        <v>0</v>
      </c>
      <c r="R657" s="11">
        <f>_xlfn.XLOOKUP(TableDailySummary[[#This Row],[Fecha]],SummaryDaily[day],SummaryDaily[Rappi_net_sales],0)</f>
        <v>0</v>
      </c>
      <c r="S657" s="11">
        <f>_xlfn.XLOOKUP(TableDailySummary[[#This Row],[Fecha]],SummaryDaily[day],SummaryDaily[Rappi_orders],0)</f>
        <v>0</v>
      </c>
      <c r="T657" s="11">
        <f>_xlfn.XLOOKUP(TableDailySummary[[#This Row],[Fecha]],SummaryDaily[day],SummaryDaily[Rappi_average_order_value],0)</f>
        <v>0</v>
      </c>
      <c r="U657" s="11">
        <f>_xlfn.XLOOKUP(TableDailySummary[[#This Row],[Fecha]],SummaryDaily[day],SummaryDaily[Corporativo no tienda_net_sales],0)</f>
        <v>0</v>
      </c>
      <c r="V657" s="11">
        <f>_xlfn.XLOOKUP(TableDailySummary[[#This Row],[Fecha]],SummaryDaily[day],SummaryDaily[Corporativo no tienda_orders],0)</f>
        <v>0</v>
      </c>
      <c r="W657" s="11">
        <f>_xlfn.XLOOKUP(TableDailySummary[[#This Row],[Fecha]],SummaryDaily[day],SummaryDaily[Corporativo no tienda_average_order_value],0)</f>
        <v>0</v>
      </c>
      <c r="X657" s="11">
        <f>_xlfn.XLOOKUP(TableDailySummary[[#This Row],[Fecha]],SummaryDaily[day],SummaryDaily[GoogleAdsOperation.Cost],0)</f>
        <v>0</v>
      </c>
      <c r="Y657" s="11">
        <f>SUMIFS(SalesByUTMDaily[google],SalesByUTMDaily[day],TableDailySummary[[#This Row],[Fecha]])</f>
        <v>0</v>
      </c>
      <c r="Z657" s="11">
        <f>_xlfn.XLOOKUP(TableDailySummary[[#This Row],[Fecha]],SummaryDaily[day],SummaryDaily[MetaAdsOperation.spend],0)</f>
        <v>0</v>
      </c>
      <c r="AA657" s="11">
        <f>SUMIFS(SalesByUTMDaily[facebook],SalesByUTMDaily[day],TableDailySummary[[#This Row],[Fecha]])</f>
        <v>0</v>
      </c>
      <c r="AB657" s="11">
        <f>TableDailySummary[[#This Row],[Inversión google ads]]+TableDailySummary[[#This Row],[Inversión meta ads]]</f>
        <v>0</v>
      </c>
      <c r="AC657" s="11">
        <f>TableDailySummary[[#This Row],[Ventas google ads]]+TableDailySummary[[#This Row],[Ventas meta ads]]</f>
        <v>0</v>
      </c>
      <c r="AD657" s="14">
        <f>IFERROR(TableDailySummary[[#This Row],[Ventas publicidad]]/TableDailySummary[[#This Row],[Inversión publicidad]],0)</f>
        <v>0</v>
      </c>
      <c r="AE657" s="14">
        <f>IFERROR(TableDailySummary[[#This Row],[Ventas primer cliente]]/TableDailySummary[[#This Row],[Inversión publicidad]],0)</f>
        <v>0</v>
      </c>
      <c r="AF657" s="14"/>
      <c r="AG657" s="11"/>
      <c r="AM657" s="11">
        <f>_xlfn.XLOOKUP(TableDailySummary[[#This Row],[Fecha]],SummaryDaily[day],SummaryDaily[net_sales_with_cost_recorded],0)</f>
        <v>0</v>
      </c>
      <c r="AN657" s="11">
        <f>_xlfn.XLOOKUP(TableDailySummary[[#This Row],[Fecha]],SummaryDaily[day],SummaryDaily[cost_of_goods_sold],0)</f>
        <v>0</v>
      </c>
      <c r="AO657" s="11">
        <f>_xlfn.XLOOKUP(TableDailySummary[[#This Row],[Fecha]],SummaryDaily[day],SummaryDaily[gross_profit],0)</f>
        <v>0</v>
      </c>
      <c r="AP657" s="18">
        <f>IFERROR(TableDailySummary[[#This Row],[Utilidad bruta]]/TableDailySummary[[#This Row],[Ventas netas con costo registrado]],0)</f>
        <v>0</v>
      </c>
    </row>
    <row r="658" spans="2:42" x14ac:dyDescent="0.2">
      <c r="B658" s="15" cm="1">
        <f t="array" ref="B658">ParamFechaInicioReporte + (ROW(TableDailySummary[#This Row]) - ROW(TableDailySummary[[#Headers],[Dia]]) - 1)</f>
        <v>45185</v>
      </c>
      <c r="C658" s="6">
        <f>TableDailySummary[[#This Row],[Dia]]</f>
        <v>45185</v>
      </c>
      <c r="D658" s="11">
        <f>_xlfn.XLOOKUP(TableDailySummary[[#This Row],[Fecha]],SummaryDaily[day],SummaryDaily[net_sales],0)</f>
        <v>0</v>
      </c>
      <c r="E658" s="11">
        <f>_xlfn.XLOOKUP(TableDailySummary[[#This Row],[Fecha]],SummaryDaily[day],SummaryDaily[orders],0)</f>
        <v>0</v>
      </c>
      <c r="F658" s="11">
        <f>_xlfn.XLOOKUP(TableDailySummary[[#This Row],[Fecha]],SummaryDaily[day],SummaryDaily[average_order_value],0)</f>
        <v>0</v>
      </c>
      <c r="G658" s="24" cm="1">
        <f t="array" ref="G658">_xlfn.XLOOKUP(TableDailySummary[[#This Row],[Fecha]]&amp;"Total site",ConversionRateByReferral[day]&amp;ConversionRateByReferral[referrer_source],ConversionRateByReferral[conversion_rate],0)</f>
        <v>0</v>
      </c>
      <c r="H658" s="11">
        <f>TableDailySummary[[#This Row],[Órden promedio totales]]*TableDailySummary[[#This Row],[CR totales]]</f>
        <v>0</v>
      </c>
      <c r="I658" s="11">
        <f>_xlfn.XLOOKUP(TableDailySummary[[#This Row],[Fecha]],SummaryDaily[day],SummaryDaily[new_net_sales],0)</f>
        <v>0</v>
      </c>
      <c r="J658" s="11">
        <f>_xlfn.XLOOKUP(TableDailySummary[[#This Row],[Fecha]],SummaryDaily[day],SummaryDaily[new_orders],0)</f>
        <v>0</v>
      </c>
      <c r="K658" s="11">
        <f>_xlfn.XLOOKUP(TableDailySummary[[#This Row],[Fecha]],SummaryDaily[day],SummaryDaily[new_average_order_value],0)</f>
        <v>0</v>
      </c>
      <c r="L658" s="11">
        <f>_xlfn.XLOOKUP(TableDailySummary[[#This Row],[Fecha]],SummaryDaily[day],SummaryDaily[Online Store_net_sales],0)</f>
        <v>0</v>
      </c>
      <c r="M658" s="11">
        <f>_xlfn.XLOOKUP(TableDailySummary[[#This Row],[Fecha]],SummaryDaily[day],SummaryDaily[Online Store_orders],0)</f>
        <v>0</v>
      </c>
      <c r="N658" s="11">
        <f>_xlfn.XLOOKUP(TableDailySummary[[#This Row],[Fecha]],SummaryDaily[day],SummaryDaily[Online Store_average_order_value],0)</f>
        <v>0</v>
      </c>
      <c r="O658" s="11">
        <f>_xlfn.XLOOKUP(TableDailySummary[[#This Row],[Fecha]],SummaryDaily[day],SummaryDaily[Tienda 81_net_sales],0)</f>
        <v>0</v>
      </c>
      <c r="P658" s="11">
        <f>_xlfn.XLOOKUP(TableDailySummary[[#This Row],[Fecha]],SummaryDaily[day],SummaryDaily[Tienda 81_orders],0)</f>
        <v>0</v>
      </c>
      <c r="Q658" s="11">
        <f>_xlfn.XLOOKUP(TableDailySummary[[#This Row],[Fecha]],SummaryDaily[day],SummaryDaily[Tienda 81_average_order_value],0)</f>
        <v>0</v>
      </c>
      <c r="R658" s="11">
        <f>_xlfn.XLOOKUP(TableDailySummary[[#This Row],[Fecha]],SummaryDaily[day],SummaryDaily[Rappi_net_sales],0)</f>
        <v>0</v>
      </c>
      <c r="S658" s="11">
        <f>_xlfn.XLOOKUP(TableDailySummary[[#This Row],[Fecha]],SummaryDaily[day],SummaryDaily[Rappi_orders],0)</f>
        <v>0</v>
      </c>
      <c r="T658" s="11">
        <f>_xlfn.XLOOKUP(TableDailySummary[[#This Row],[Fecha]],SummaryDaily[day],SummaryDaily[Rappi_average_order_value],0)</f>
        <v>0</v>
      </c>
      <c r="U658" s="11">
        <f>_xlfn.XLOOKUP(TableDailySummary[[#This Row],[Fecha]],SummaryDaily[day],SummaryDaily[Corporativo no tienda_net_sales],0)</f>
        <v>0</v>
      </c>
      <c r="V658" s="11">
        <f>_xlfn.XLOOKUP(TableDailySummary[[#This Row],[Fecha]],SummaryDaily[day],SummaryDaily[Corporativo no tienda_orders],0)</f>
        <v>0</v>
      </c>
      <c r="W658" s="11">
        <f>_xlfn.XLOOKUP(TableDailySummary[[#This Row],[Fecha]],SummaryDaily[day],SummaryDaily[Corporativo no tienda_average_order_value],0)</f>
        <v>0</v>
      </c>
      <c r="X658" s="11">
        <f>_xlfn.XLOOKUP(TableDailySummary[[#This Row],[Fecha]],SummaryDaily[day],SummaryDaily[GoogleAdsOperation.Cost],0)</f>
        <v>0</v>
      </c>
      <c r="Y658" s="11">
        <f>SUMIFS(SalesByUTMDaily[google],SalesByUTMDaily[day],TableDailySummary[[#This Row],[Fecha]])</f>
        <v>0</v>
      </c>
      <c r="Z658" s="11">
        <f>_xlfn.XLOOKUP(TableDailySummary[[#This Row],[Fecha]],SummaryDaily[day],SummaryDaily[MetaAdsOperation.spend],0)</f>
        <v>0</v>
      </c>
      <c r="AA658" s="11">
        <f>SUMIFS(SalesByUTMDaily[facebook],SalesByUTMDaily[day],TableDailySummary[[#This Row],[Fecha]])</f>
        <v>0</v>
      </c>
      <c r="AB658" s="11">
        <f>TableDailySummary[[#This Row],[Inversión google ads]]+TableDailySummary[[#This Row],[Inversión meta ads]]</f>
        <v>0</v>
      </c>
      <c r="AC658" s="11">
        <f>TableDailySummary[[#This Row],[Ventas google ads]]+TableDailySummary[[#This Row],[Ventas meta ads]]</f>
        <v>0</v>
      </c>
      <c r="AD658" s="14">
        <f>IFERROR(TableDailySummary[[#This Row],[Ventas publicidad]]/TableDailySummary[[#This Row],[Inversión publicidad]],0)</f>
        <v>0</v>
      </c>
      <c r="AE658" s="14">
        <f>IFERROR(TableDailySummary[[#This Row],[Ventas primer cliente]]/TableDailySummary[[#This Row],[Inversión publicidad]],0)</f>
        <v>0</v>
      </c>
      <c r="AF658" s="14"/>
      <c r="AG658" s="11"/>
      <c r="AM658" s="11">
        <f>_xlfn.XLOOKUP(TableDailySummary[[#This Row],[Fecha]],SummaryDaily[day],SummaryDaily[net_sales_with_cost_recorded],0)</f>
        <v>0</v>
      </c>
      <c r="AN658" s="11">
        <f>_xlfn.XLOOKUP(TableDailySummary[[#This Row],[Fecha]],SummaryDaily[day],SummaryDaily[cost_of_goods_sold],0)</f>
        <v>0</v>
      </c>
      <c r="AO658" s="11">
        <f>_xlfn.XLOOKUP(TableDailySummary[[#This Row],[Fecha]],SummaryDaily[day],SummaryDaily[gross_profit],0)</f>
        <v>0</v>
      </c>
      <c r="AP658" s="18">
        <f>IFERROR(TableDailySummary[[#This Row],[Utilidad bruta]]/TableDailySummary[[#This Row],[Ventas netas con costo registrado]],0)</f>
        <v>0</v>
      </c>
    </row>
    <row r="659" spans="2:42" x14ac:dyDescent="0.2">
      <c r="B659" s="15" cm="1">
        <f t="array" ref="B659">ParamFechaInicioReporte + (ROW(TableDailySummary[#This Row]) - ROW(TableDailySummary[[#Headers],[Dia]]) - 1)</f>
        <v>45186</v>
      </c>
      <c r="C659" s="6">
        <f>TableDailySummary[[#This Row],[Dia]]</f>
        <v>45186</v>
      </c>
      <c r="D659" s="11">
        <f>_xlfn.XLOOKUP(TableDailySummary[[#This Row],[Fecha]],SummaryDaily[day],SummaryDaily[net_sales],0)</f>
        <v>0</v>
      </c>
      <c r="E659" s="11">
        <f>_xlfn.XLOOKUP(TableDailySummary[[#This Row],[Fecha]],SummaryDaily[day],SummaryDaily[orders],0)</f>
        <v>0</v>
      </c>
      <c r="F659" s="11">
        <f>_xlfn.XLOOKUP(TableDailySummary[[#This Row],[Fecha]],SummaryDaily[day],SummaryDaily[average_order_value],0)</f>
        <v>0</v>
      </c>
      <c r="G659" s="24" cm="1">
        <f t="array" ref="G659">_xlfn.XLOOKUP(TableDailySummary[[#This Row],[Fecha]]&amp;"Total site",ConversionRateByReferral[day]&amp;ConversionRateByReferral[referrer_source],ConversionRateByReferral[conversion_rate],0)</f>
        <v>0</v>
      </c>
      <c r="H659" s="11">
        <f>TableDailySummary[[#This Row],[Órden promedio totales]]*TableDailySummary[[#This Row],[CR totales]]</f>
        <v>0</v>
      </c>
      <c r="I659" s="11">
        <f>_xlfn.XLOOKUP(TableDailySummary[[#This Row],[Fecha]],SummaryDaily[day],SummaryDaily[new_net_sales],0)</f>
        <v>0</v>
      </c>
      <c r="J659" s="11">
        <f>_xlfn.XLOOKUP(TableDailySummary[[#This Row],[Fecha]],SummaryDaily[day],SummaryDaily[new_orders],0)</f>
        <v>0</v>
      </c>
      <c r="K659" s="11">
        <f>_xlfn.XLOOKUP(TableDailySummary[[#This Row],[Fecha]],SummaryDaily[day],SummaryDaily[new_average_order_value],0)</f>
        <v>0</v>
      </c>
      <c r="L659" s="11">
        <f>_xlfn.XLOOKUP(TableDailySummary[[#This Row],[Fecha]],SummaryDaily[day],SummaryDaily[Online Store_net_sales],0)</f>
        <v>0</v>
      </c>
      <c r="M659" s="11">
        <f>_xlfn.XLOOKUP(TableDailySummary[[#This Row],[Fecha]],SummaryDaily[day],SummaryDaily[Online Store_orders],0)</f>
        <v>0</v>
      </c>
      <c r="N659" s="11">
        <f>_xlfn.XLOOKUP(TableDailySummary[[#This Row],[Fecha]],SummaryDaily[day],SummaryDaily[Online Store_average_order_value],0)</f>
        <v>0</v>
      </c>
      <c r="O659" s="11">
        <f>_xlfn.XLOOKUP(TableDailySummary[[#This Row],[Fecha]],SummaryDaily[day],SummaryDaily[Tienda 81_net_sales],0)</f>
        <v>0</v>
      </c>
      <c r="P659" s="11">
        <f>_xlfn.XLOOKUP(TableDailySummary[[#This Row],[Fecha]],SummaryDaily[day],SummaryDaily[Tienda 81_orders],0)</f>
        <v>0</v>
      </c>
      <c r="Q659" s="11">
        <f>_xlfn.XLOOKUP(TableDailySummary[[#This Row],[Fecha]],SummaryDaily[day],SummaryDaily[Tienda 81_average_order_value],0)</f>
        <v>0</v>
      </c>
      <c r="R659" s="11">
        <f>_xlfn.XLOOKUP(TableDailySummary[[#This Row],[Fecha]],SummaryDaily[day],SummaryDaily[Rappi_net_sales],0)</f>
        <v>0</v>
      </c>
      <c r="S659" s="11">
        <f>_xlfn.XLOOKUP(TableDailySummary[[#This Row],[Fecha]],SummaryDaily[day],SummaryDaily[Rappi_orders],0)</f>
        <v>0</v>
      </c>
      <c r="T659" s="11">
        <f>_xlfn.XLOOKUP(TableDailySummary[[#This Row],[Fecha]],SummaryDaily[day],SummaryDaily[Rappi_average_order_value],0)</f>
        <v>0</v>
      </c>
      <c r="U659" s="11">
        <f>_xlfn.XLOOKUP(TableDailySummary[[#This Row],[Fecha]],SummaryDaily[day],SummaryDaily[Corporativo no tienda_net_sales],0)</f>
        <v>0</v>
      </c>
      <c r="V659" s="11">
        <f>_xlfn.XLOOKUP(TableDailySummary[[#This Row],[Fecha]],SummaryDaily[day],SummaryDaily[Corporativo no tienda_orders],0)</f>
        <v>0</v>
      </c>
      <c r="W659" s="11">
        <f>_xlfn.XLOOKUP(TableDailySummary[[#This Row],[Fecha]],SummaryDaily[day],SummaryDaily[Corporativo no tienda_average_order_value],0)</f>
        <v>0</v>
      </c>
      <c r="X659" s="11">
        <f>_xlfn.XLOOKUP(TableDailySummary[[#This Row],[Fecha]],SummaryDaily[day],SummaryDaily[GoogleAdsOperation.Cost],0)</f>
        <v>0</v>
      </c>
      <c r="Y659" s="11">
        <f>SUMIFS(SalesByUTMDaily[google],SalesByUTMDaily[day],TableDailySummary[[#This Row],[Fecha]])</f>
        <v>0</v>
      </c>
      <c r="Z659" s="11">
        <f>_xlfn.XLOOKUP(TableDailySummary[[#This Row],[Fecha]],SummaryDaily[day],SummaryDaily[MetaAdsOperation.spend],0)</f>
        <v>0</v>
      </c>
      <c r="AA659" s="11">
        <f>SUMIFS(SalesByUTMDaily[facebook],SalesByUTMDaily[day],TableDailySummary[[#This Row],[Fecha]])</f>
        <v>0</v>
      </c>
      <c r="AB659" s="11">
        <f>TableDailySummary[[#This Row],[Inversión google ads]]+TableDailySummary[[#This Row],[Inversión meta ads]]</f>
        <v>0</v>
      </c>
      <c r="AC659" s="11">
        <f>TableDailySummary[[#This Row],[Ventas google ads]]+TableDailySummary[[#This Row],[Ventas meta ads]]</f>
        <v>0</v>
      </c>
      <c r="AD659" s="14">
        <f>IFERROR(TableDailySummary[[#This Row],[Ventas publicidad]]/TableDailySummary[[#This Row],[Inversión publicidad]],0)</f>
        <v>0</v>
      </c>
      <c r="AE659" s="14">
        <f>IFERROR(TableDailySummary[[#This Row],[Ventas primer cliente]]/TableDailySummary[[#This Row],[Inversión publicidad]],0)</f>
        <v>0</v>
      </c>
      <c r="AF659" s="14"/>
      <c r="AG659" s="11"/>
      <c r="AM659" s="11">
        <f>_xlfn.XLOOKUP(TableDailySummary[[#This Row],[Fecha]],SummaryDaily[day],SummaryDaily[net_sales_with_cost_recorded],0)</f>
        <v>0</v>
      </c>
      <c r="AN659" s="11">
        <f>_xlfn.XLOOKUP(TableDailySummary[[#This Row],[Fecha]],SummaryDaily[day],SummaryDaily[cost_of_goods_sold],0)</f>
        <v>0</v>
      </c>
      <c r="AO659" s="11">
        <f>_xlfn.XLOOKUP(TableDailySummary[[#This Row],[Fecha]],SummaryDaily[day],SummaryDaily[gross_profit],0)</f>
        <v>0</v>
      </c>
      <c r="AP659" s="18">
        <f>IFERROR(TableDailySummary[[#This Row],[Utilidad bruta]]/TableDailySummary[[#This Row],[Ventas netas con costo registrado]],0)</f>
        <v>0</v>
      </c>
    </row>
    <row r="660" spans="2:42" x14ac:dyDescent="0.2">
      <c r="B660" s="15" cm="1">
        <f t="array" ref="B660">ParamFechaInicioReporte + (ROW(TableDailySummary[#This Row]) - ROW(TableDailySummary[[#Headers],[Dia]]) - 1)</f>
        <v>45187</v>
      </c>
      <c r="C660" s="6">
        <f>TableDailySummary[[#This Row],[Dia]]</f>
        <v>45187</v>
      </c>
      <c r="D660" s="11">
        <f>_xlfn.XLOOKUP(TableDailySummary[[#This Row],[Fecha]],SummaryDaily[day],SummaryDaily[net_sales],0)</f>
        <v>0</v>
      </c>
      <c r="E660" s="11">
        <f>_xlfn.XLOOKUP(TableDailySummary[[#This Row],[Fecha]],SummaryDaily[day],SummaryDaily[orders],0)</f>
        <v>0</v>
      </c>
      <c r="F660" s="11">
        <f>_xlfn.XLOOKUP(TableDailySummary[[#This Row],[Fecha]],SummaryDaily[day],SummaryDaily[average_order_value],0)</f>
        <v>0</v>
      </c>
      <c r="G660" s="24" cm="1">
        <f t="array" ref="G660">_xlfn.XLOOKUP(TableDailySummary[[#This Row],[Fecha]]&amp;"Total site",ConversionRateByReferral[day]&amp;ConversionRateByReferral[referrer_source],ConversionRateByReferral[conversion_rate],0)</f>
        <v>0</v>
      </c>
      <c r="H660" s="11">
        <f>TableDailySummary[[#This Row],[Órden promedio totales]]*TableDailySummary[[#This Row],[CR totales]]</f>
        <v>0</v>
      </c>
      <c r="I660" s="11">
        <f>_xlfn.XLOOKUP(TableDailySummary[[#This Row],[Fecha]],SummaryDaily[day],SummaryDaily[new_net_sales],0)</f>
        <v>0</v>
      </c>
      <c r="J660" s="11">
        <f>_xlfn.XLOOKUP(TableDailySummary[[#This Row],[Fecha]],SummaryDaily[day],SummaryDaily[new_orders],0)</f>
        <v>0</v>
      </c>
      <c r="K660" s="11">
        <f>_xlfn.XLOOKUP(TableDailySummary[[#This Row],[Fecha]],SummaryDaily[day],SummaryDaily[new_average_order_value],0)</f>
        <v>0</v>
      </c>
      <c r="L660" s="11">
        <f>_xlfn.XLOOKUP(TableDailySummary[[#This Row],[Fecha]],SummaryDaily[day],SummaryDaily[Online Store_net_sales],0)</f>
        <v>0</v>
      </c>
      <c r="M660" s="11">
        <f>_xlfn.XLOOKUP(TableDailySummary[[#This Row],[Fecha]],SummaryDaily[day],SummaryDaily[Online Store_orders],0)</f>
        <v>0</v>
      </c>
      <c r="N660" s="11">
        <f>_xlfn.XLOOKUP(TableDailySummary[[#This Row],[Fecha]],SummaryDaily[day],SummaryDaily[Online Store_average_order_value],0)</f>
        <v>0</v>
      </c>
      <c r="O660" s="11">
        <f>_xlfn.XLOOKUP(TableDailySummary[[#This Row],[Fecha]],SummaryDaily[day],SummaryDaily[Tienda 81_net_sales],0)</f>
        <v>0</v>
      </c>
      <c r="P660" s="11">
        <f>_xlfn.XLOOKUP(TableDailySummary[[#This Row],[Fecha]],SummaryDaily[day],SummaryDaily[Tienda 81_orders],0)</f>
        <v>0</v>
      </c>
      <c r="Q660" s="11">
        <f>_xlfn.XLOOKUP(TableDailySummary[[#This Row],[Fecha]],SummaryDaily[day],SummaryDaily[Tienda 81_average_order_value],0)</f>
        <v>0</v>
      </c>
      <c r="R660" s="11">
        <f>_xlfn.XLOOKUP(TableDailySummary[[#This Row],[Fecha]],SummaryDaily[day],SummaryDaily[Rappi_net_sales],0)</f>
        <v>0</v>
      </c>
      <c r="S660" s="11">
        <f>_xlfn.XLOOKUP(TableDailySummary[[#This Row],[Fecha]],SummaryDaily[day],SummaryDaily[Rappi_orders],0)</f>
        <v>0</v>
      </c>
      <c r="T660" s="11">
        <f>_xlfn.XLOOKUP(TableDailySummary[[#This Row],[Fecha]],SummaryDaily[day],SummaryDaily[Rappi_average_order_value],0)</f>
        <v>0</v>
      </c>
      <c r="U660" s="11">
        <f>_xlfn.XLOOKUP(TableDailySummary[[#This Row],[Fecha]],SummaryDaily[day],SummaryDaily[Corporativo no tienda_net_sales],0)</f>
        <v>0</v>
      </c>
      <c r="V660" s="11">
        <f>_xlfn.XLOOKUP(TableDailySummary[[#This Row],[Fecha]],SummaryDaily[day],SummaryDaily[Corporativo no tienda_orders],0)</f>
        <v>0</v>
      </c>
      <c r="W660" s="11">
        <f>_xlfn.XLOOKUP(TableDailySummary[[#This Row],[Fecha]],SummaryDaily[day],SummaryDaily[Corporativo no tienda_average_order_value],0)</f>
        <v>0</v>
      </c>
      <c r="X660" s="11">
        <f>_xlfn.XLOOKUP(TableDailySummary[[#This Row],[Fecha]],SummaryDaily[day],SummaryDaily[GoogleAdsOperation.Cost],0)</f>
        <v>0</v>
      </c>
      <c r="Y660" s="11">
        <f>SUMIFS(SalesByUTMDaily[google],SalesByUTMDaily[day],TableDailySummary[[#This Row],[Fecha]])</f>
        <v>0</v>
      </c>
      <c r="Z660" s="11">
        <f>_xlfn.XLOOKUP(TableDailySummary[[#This Row],[Fecha]],SummaryDaily[day],SummaryDaily[MetaAdsOperation.spend],0)</f>
        <v>0</v>
      </c>
      <c r="AA660" s="11">
        <f>SUMIFS(SalesByUTMDaily[facebook],SalesByUTMDaily[day],TableDailySummary[[#This Row],[Fecha]])</f>
        <v>0</v>
      </c>
      <c r="AB660" s="11">
        <f>TableDailySummary[[#This Row],[Inversión google ads]]+TableDailySummary[[#This Row],[Inversión meta ads]]</f>
        <v>0</v>
      </c>
      <c r="AC660" s="11">
        <f>TableDailySummary[[#This Row],[Ventas google ads]]+TableDailySummary[[#This Row],[Ventas meta ads]]</f>
        <v>0</v>
      </c>
      <c r="AD660" s="14">
        <f>IFERROR(TableDailySummary[[#This Row],[Ventas publicidad]]/TableDailySummary[[#This Row],[Inversión publicidad]],0)</f>
        <v>0</v>
      </c>
      <c r="AE660" s="14">
        <f>IFERROR(TableDailySummary[[#This Row],[Ventas primer cliente]]/TableDailySummary[[#This Row],[Inversión publicidad]],0)</f>
        <v>0</v>
      </c>
      <c r="AF660" s="14"/>
      <c r="AG660" s="11"/>
      <c r="AM660" s="11">
        <f>_xlfn.XLOOKUP(TableDailySummary[[#This Row],[Fecha]],SummaryDaily[day],SummaryDaily[net_sales_with_cost_recorded],0)</f>
        <v>0</v>
      </c>
      <c r="AN660" s="11">
        <f>_xlfn.XLOOKUP(TableDailySummary[[#This Row],[Fecha]],SummaryDaily[day],SummaryDaily[cost_of_goods_sold],0)</f>
        <v>0</v>
      </c>
      <c r="AO660" s="11">
        <f>_xlfn.XLOOKUP(TableDailySummary[[#This Row],[Fecha]],SummaryDaily[day],SummaryDaily[gross_profit],0)</f>
        <v>0</v>
      </c>
      <c r="AP660" s="18">
        <f>IFERROR(TableDailySummary[[#This Row],[Utilidad bruta]]/TableDailySummary[[#This Row],[Ventas netas con costo registrado]],0)</f>
        <v>0</v>
      </c>
    </row>
    <row r="661" spans="2:42" x14ac:dyDescent="0.2">
      <c r="B661" s="15" cm="1">
        <f t="array" ref="B661">ParamFechaInicioReporte + (ROW(TableDailySummary[#This Row]) - ROW(TableDailySummary[[#Headers],[Dia]]) - 1)</f>
        <v>45188</v>
      </c>
      <c r="C661" s="6">
        <f>TableDailySummary[[#This Row],[Dia]]</f>
        <v>45188</v>
      </c>
      <c r="D661" s="11">
        <f>_xlfn.XLOOKUP(TableDailySummary[[#This Row],[Fecha]],SummaryDaily[day],SummaryDaily[net_sales],0)</f>
        <v>0</v>
      </c>
      <c r="E661" s="11">
        <f>_xlfn.XLOOKUP(TableDailySummary[[#This Row],[Fecha]],SummaryDaily[day],SummaryDaily[orders],0)</f>
        <v>0</v>
      </c>
      <c r="F661" s="11">
        <f>_xlfn.XLOOKUP(TableDailySummary[[#This Row],[Fecha]],SummaryDaily[day],SummaryDaily[average_order_value],0)</f>
        <v>0</v>
      </c>
      <c r="G661" s="24" cm="1">
        <f t="array" ref="G661">_xlfn.XLOOKUP(TableDailySummary[[#This Row],[Fecha]]&amp;"Total site",ConversionRateByReferral[day]&amp;ConversionRateByReferral[referrer_source],ConversionRateByReferral[conversion_rate],0)</f>
        <v>0</v>
      </c>
      <c r="H661" s="11">
        <f>TableDailySummary[[#This Row],[Órden promedio totales]]*TableDailySummary[[#This Row],[CR totales]]</f>
        <v>0</v>
      </c>
      <c r="I661" s="11">
        <f>_xlfn.XLOOKUP(TableDailySummary[[#This Row],[Fecha]],SummaryDaily[day],SummaryDaily[new_net_sales],0)</f>
        <v>0</v>
      </c>
      <c r="J661" s="11">
        <f>_xlfn.XLOOKUP(TableDailySummary[[#This Row],[Fecha]],SummaryDaily[day],SummaryDaily[new_orders],0)</f>
        <v>0</v>
      </c>
      <c r="K661" s="11">
        <f>_xlfn.XLOOKUP(TableDailySummary[[#This Row],[Fecha]],SummaryDaily[day],SummaryDaily[new_average_order_value],0)</f>
        <v>0</v>
      </c>
      <c r="L661" s="11">
        <f>_xlfn.XLOOKUP(TableDailySummary[[#This Row],[Fecha]],SummaryDaily[day],SummaryDaily[Online Store_net_sales],0)</f>
        <v>0</v>
      </c>
      <c r="M661" s="11">
        <f>_xlfn.XLOOKUP(TableDailySummary[[#This Row],[Fecha]],SummaryDaily[day],SummaryDaily[Online Store_orders],0)</f>
        <v>0</v>
      </c>
      <c r="N661" s="11">
        <f>_xlfn.XLOOKUP(TableDailySummary[[#This Row],[Fecha]],SummaryDaily[day],SummaryDaily[Online Store_average_order_value],0)</f>
        <v>0</v>
      </c>
      <c r="O661" s="11">
        <f>_xlfn.XLOOKUP(TableDailySummary[[#This Row],[Fecha]],SummaryDaily[day],SummaryDaily[Tienda 81_net_sales],0)</f>
        <v>0</v>
      </c>
      <c r="P661" s="11">
        <f>_xlfn.XLOOKUP(TableDailySummary[[#This Row],[Fecha]],SummaryDaily[day],SummaryDaily[Tienda 81_orders],0)</f>
        <v>0</v>
      </c>
      <c r="Q661" s="11">
        <f>_xlfn.XLOOKUP(TableDailySummary[[#This Row],[Fecha]],SummaryDaily[day],SummaryDaily[Tienda 81_average_order_value],0)</f>
        <v>0</v>
      </c>
      <c r="R661" s="11">
        <f>_xlfn.XLOOKUP(TableDailySummary[[#This Row],[Fecha]],SummaryDaily[day],SummaryDaily[Rappi_net_sales],0)</f>
        <v>0</v>
      </c>
      <c r="S661" s="11">
        <f>_xlfn.XLOOKUP(TableDailySummary[[#This Row],[Fecha]],SummaryDaily[day],SummaryDaily[Rappi_orders],0)</f>
        <v>0</v>
      </c>
      <c r="T661" s="11">
        <f>_xlfn.XLOOKUP(TableDailySummary[[#This Row],[Fecha]],SummaryDaily[day],SummaryDaily[Rappi_average_order_value],0)</f>
        <v>0</v>
      </c>
      <c r="U661" s="11">
        <f>_xlfn.XLOOKUP(TableDailySummary[[#This Row],[Fecha]],SummaryDaily[day],SummaryDaily[Corporativo no tienda_net_sales],0)</f>
        <v>0</v>
      </c>
      <c r="V661" s="11">
        <f>_xlfn.XLOOKUP(TableDailySummary[[#This Row],[Fecha]],SummaryDaily[day],SummaryDaily[Corporativo no tienda_orders],0)</f>
        <v>0</v>
      </c>
      <c r="W661" s="11">
        <f>_xlfn.XLOOKUP(TableDailySummary[[#This Row],[Fecha]],SummaryDaily[day],SummaryDaily[Corporativo no tienda_average_order_value],0)</f>
        <v>0</v>
      </c>
      <c r="X661" s="11">
        <f>_xlfn.XLOOKUP(TableDailySummary[[#This Row],[Fecha]],SummaryDaily[day],SummaryDaily[GoogleAdsOperation.Cost],0)</f>
        <v>0</v>
      </c>
      <c r="Y661" s="11">
        <f>SUMIFS(SalesByUTMDaily[google],SalesByUTMDaily[day],TableDailySummary[[#This Row],[Fecha]])</f>
        <v>0</v>
      </c>
      <c r="Z661" s="11">
        <f>_xlfn.XLOOKUP(TableDailySummary[[#This Row],[Fecha]],SummaryDaily[day],SummaryDaily[MetaAdsOperation.spend],0)</f>
        <v>0</v>
      </c>
      <c r="AA661" s="11">
        <f>SUMIFS(SalesByUTMDaily[facebook],SalesByUTMDaily[day],TableDailySummary[[#This Row],[Fecha]])</f>
        <v>0</v>
      </c>
      <c r="AB661" s="11">
        <f>TableDailySummary[[#This Row],[Inversión google ads]]+TableDailySummary[[#This Row],[Inversión meta ads]]</f>
        <v>0</v>
      </c>
      <c r="AC661" s="11">
        <f>TableDailySummary[[#This Row],[Ventas google ads]]+TableDailySummary[[#This Row],[Ventas meta ads]]</f>
        <v>0</v>
      </c>
      <c r="AD661" s="14">
        <f>IFERROR(TableDailySummary[[#This Row],[Ventas publicidad]]/TableDailySummary[[#This Row],[Inversión publicidad]],0)</f>
        <v>0</v>
      </c>
      <c r="AE661" s="14">
        <f>IFERROR(TableDailySummary[[#This Row],[Ventas primer cliente]]/TableDailySummary[[#This Row],[Inversión publicidad]],0)</f>
        <v>0</v>
      </c>
      <c r="AF661" s="14"/>
      <c r="AG661" s="11"/>
      <c r="AM661" s="11">
        <f>_xlfn.XLOOKUP(TableDailySummary[[#This Row],[Fecha]],SummaryDaily[day],SummaryDaily[net_sales_with_cost_recorded],0)</f>
        <v>0</v>
      </c>
      <c r="AN661" s="11">
        <f>_xlfn.XLOOKUP(TableDailySummary[[#This Row],[Fecha]],SummaryDaily[day],SummaryDaily[cost_of_goods_sold],0)</f>
        <v>0</v>
      </c>
      <c r="AO661" s="11">
        <f>_xlfn.XLOOKUP(TableDailySummary[[#This Row],[Fecha]],SummaryDaily[day],SummaryDaily[gross_profit],0)</f>
        <v>0</v>
      </c>
      <c r="AP661" s="18">
        <f>IFERROR(TableDailySummary[[#This Row],[Utilidad bruta]]/TableDailySummary[[#This Row],[Ventas netas con costo registrado]],0)</f>
        <v>0</v>
      </c>
    </row>
    <row r="662" spans="2:42" x14ac:dyDescent="0.2">
      <c r="B662" s="15" cm="1">
        <f t="array" ref="B662">ParamFechaInicioReporte + (ROW(TableDailySummary[#This Row]) - ROW(TableDailySummary[[#Headers],[Dia]]) - 1)</f>
        <v>45189</v>
      </c>
      <c r="C662" s="6">
        <f>TableDailySummary[[#This Row],[Dia]]</f>
        <v>45189</v>
      </c>
      <c r="D662" s="11">
        <f>_xlfn.XLOOKUP(TableDailySummary[[#This Row],[Fecha]],SummaryDaily[day],SummaryDaily[net_sales],0)</f>
        <v>0</v>
      </c>
      <c r="E662" s="11">
        <f>_xlfn.XLOOKUP(TableDailySummary[[#This Row],[Fecha]],SummaryDaily[day],SummaryDaily[orders],0)</f>
        <v>0</v>
      </c>
      <c r="F662" s="11">
        <f>_xlfn.XLOOKUP(TableDailySummary[[#This Row],[Fecha]],SummaryDaily[day],SummaryDaily[average_order_value],0)</f>
        <v>0</v>
      </c>
      <c r="G662" s="24" cm="1">
        <f t="array" ref="G662">_xlfn.XLOOKUP(TableDailySummary[[#This Row],[Fecha]]&amp;"Total site",ConversionRateByReferral[day]&amp;ConversionRateByReferral[referrer_source],ConversionRateByReferral[conversion_rate],0)</f>
        <v>0</v>
      </c>
      <c r="H662" s="11">
        <f>TableDailySummary[[#This Row],[Órden promedio totales]]*TableDailySummary[[#This Row],[CR totales]]</f>
        <v>0</v>
      </c>
      <c r="I662" s="11">
        <f>_xlfn.XLOOKUP(TableDailySummary[[#This Row],[Fecha]],SummaryDaily[day],SummaryDaily[new_net_sales],0)</f>
        <v>0</v>
      </c>
      <c r="J662" s="11">
        <f>_xlfn.XLOOKUP(TableDailySummary[[#This Row],[Fecha]],SummaryDaily[day],SummaryDaily[new_orders],0)</f>
        <v>0</v>
      </c>
      <c r="K662" s="11">
        <f>_xlfn.XLOOKUP(TableDailySummary[[#This Row],[Fecha]],SummaryDaily[day],SummaryDaily[new_average_order_value],0)</f>
        <v>0</v>
      </c>
      <c r="L662" s="11">
        <f>_xlfn.XLOOKUP(TableDailySummary[[#This Row],[Fecha]],SummaryDaily[day],SummaryDaily[Online Store_net_sales],0)</f>
        <v>0</v>
      </c>
      <c r="M662" s="11">
        <f>_xlfn.XLOOKUP(TableDailySummary[[#This Row],[Fecha]],SummaryDaily[day],SummaryDaily[Online Store_orders],0)</f>
        <v>0</v>
      </c>
      <c r="N662" s="11">
        <f>_xlfn.XLOOKUP(TableDailySummary[[#This Row],[Fecha]],SummaryDaily[day],SummaryDaily[Online Store_average_order_value],0)</f>
        <v>0</v>
      </c>
      <c r="O662" s="11">
        <f>_xlfn.XLOOKUP(TableDailySummary[[#This Row],[Fecha]],SummaryDaily[day],SummaryDaily[Tienda 81_net_sales],0)</f>
        <v>0</v>
      </c>
      <c r="P662" s="11">
        <f>_xlfn.XLOOKUP(TableDailySummary[[#This Row],[Fecha]],SummaryDaily[day],SummaryDaily[Tienda 81_orders],0)</f>
        <v>0</v>
      </c>
      <c r="Q662" s="11">
        <f>_xlfn.XLOOKUP(TableDailySummary[[#This Row],[Fecha]],SummaryDaily[day],SummaryDaily[Tienda 81_average_order_value],0)</f>
        <v>0</v>
      </c>
      <c r="R662" s="11">
        <f>_xlfn.XLOOKUP(TableDailySummary[[#This Row],[Fecha]],SummaryDaily[day],SummaryDaily[Rappi_net_sales],0)</f>
        <v>0</v>
      </c>
      <c r="S662" s="11">
        <f>_xlfn.XLOOKUP(TableDailySummary[[#This Row],[Fecha]],SummaryDaily[day],SummaryDaily[Rappi_orders],0)</f>
        <v>0</v>
      </c>
      <c r="T662" s="11">
        <f>_xlfn.XLOOKUP(TableDailySummary[[#This Row],[Fecha]],SummaryDaily[day],SummaryDaily[Rappi_average_order_value],0)</f>
        <v>0</v>
      </c>
      <c r="U662" s="11">
        <f>_xlfn.XLOOKUP(TableDailySummary[[#This Row],[Fecha]],SummaryDaily[day],SummaryDaily[Corporativo no tienda_net_sales],0)</f>
        <v>0</v>
      </c>
      <c r="V662" s="11">
        <f>_xlfn.XLOOKUP(TableDailySummary[[#This Row],[Fecha]],SummaryDaily[day],SummaryDaily[Corporativo no tienda_orders],0)</f>
        <v>0</v>
      </c>
      <c r="W662" s="11">
        <f>_xlfn.XLOOKUP(TableDailySummary[[#This Row],[Fecha]],SummaryDaily[day],SummaryDaily[Corporativo no tienda_average_order_value],0)</f>
        <v>0</v>
      </c>
      <c r="X662" s="11">
        <f>_xlfn.XLOOKUP(TableDailySummary[[#This Row],[Fecha]],SummaryDaily[day],SummaryDaily[GoogleAdsOperation.Cost],0)</f>
        <v>0</v>
      </c>
      <c r="Y662" s="11">
        <f>SUMIFS(SalesByUTMDaily[google],SalesByUTMDaily[day],TableDailySummary[[#This Row],[Fecha]])</f>
        <v>0</v>
      </c>
      <c r="Z662" s="11">
        <f>_xlfn.XLOOKUP(TableDailySummary[[#This Row],[Fecha]],SummaryDaily[day],SummaryDaily[MetaAdsOperation.spend],0)</f>
        <v>0</v>
      </c>
      <c r="AA662" s="11">
        <f>SUMIFS(SalesByUTMDaily[facebook],SalesByUTMDaily[day],TableDailySummary[[#This Row],[Fecha]])</f>
        <v>0</v>
      </c>
      <c r="AB662" s="11">
        <f>TableDailySummary[[#This Row],[Inversión google ads]]+TableDailySummary[[#This Row],[Inversión meta ads]]</f>
        <v>0</v>
      </c>
      <c r="AC662" s="11">
        <f>TableDailySummary[[#This Row],[Ventas google ads]]+TableDailySummary[[#This Row],[Ventas meta ads]]</f>
        <v>0</v>
      </c>
      <c r="AD662" s="14">
        <f>IFERROR(TableDailySummary[[#This Row],[Ventas publicidad]]/TableDailySummary[[#This Row],[Inversión publicidad]],0)</f>
        <v>0</v>
      </c>
      <c r="AE662" s="14">
        <f>IFERROR(TableDailySummary[[#This Row],[Ventas primer cliente]]/TableDailySummary[[#This Row],[Inversión publicidad]],0)</f>
        <v>0</v>
      </c>
      <c r="AF662" s="14"/>
      <c r="AG662" s="11"/>
      <c r="AM662" s="11">
        <f>_xlfn.XLOOKUP(TableDailySummary[[#This Row],[Fecha]],SummaryDaily[day],SummaryDaily[net_sales_with_cost_recorded],0)</f>
        <v>0</v>
      </c>
      <c r="AN662" s="11">
        <f>_xlfn.XLOOKUP(TableDailySummary[[#This Row],[Fecha]],SummaryDaily[day],SummaryDaily[cost_of_goods_sold],0)</f>
        <v>0</v>
      </c>
      <c r="AO662" s="11">
        <f>_xlfn.XLOOKUP(TableDailySummary[[#This Row],[Fecha]],SummaryDaily[day],SummaryDaily[gross_profit],0)</f>
        <v>0</v>
      </c>
      <c r="AP662" s="18">
        <f>IFERROR(TableDailySummary[[#This Row],[Utilidad bruta]]/TableDailySummary[[#This Row],[Ventas netas con costo registrado]],0)</f>
        <v>0</v>
      </c>
    </row>
    <row r="663" spans="2:42" x14ac:dyDescent="0.2">
      <c r="B663" s="15" cm="1">
        <f t="array" ref="B663">ParamFechaInicioReporte + (ROW(TableDailySummary[#This Row]) - ROW(TableDailySummary[[#Headers],[Dia]]) - 1)</f>
        <v>45190</v>
      </c>
      <c r="C663" s="6">
        <f>TableDailySummary[[#This Row],[Dia]]</f>
        <v>45190</v>
      </c>
      <c r="D663" s="11">
        <f>_xlfn.XLOOKUP(TableDailySummary[[#This Row],[Fecha]],SummaryDaily[day],SummaryDaily[net_sales],0)</f>
        <v>0</v>
      </c>
      <c r="E663" s="11">
        <f>_xlfn.XLOOKUP(TableDailySummary[[#This Row],[Fecha]],SummaryDaily[day],SummaryDaily[orders],0)</f>
        <v>0</v>
      </c>
      <c r="F663" s="11">
        <f>_xlfn.XLOOKUP(TableDailySummary[[#This Row],[Fecha]],SummaryDaily[day],SummaryDaily[average_order_value],0)</f>
        <v>0</v>
      </c>
      <c r="G663" s="24" cm="1">
        <f t="array" ref="G663">_xlfn.XLOOKUP(TableDailySummary[[#This Row],[Fecha]]&amp;"Total site",ConversionRateByReferral[day]&amp;ConversionRateByReferral[referrer_source],ConversionRateByReferral[conversion_rate],0)</f>
        <v>0</v>
      </c>
      <c r="H663" s="11">
        <f>TableDailySummary[[#This Row],[Órden promedio totales]]*TableDailySummary[[#This Row],[CR totales]]</f>
        <v>0</v>
      </c>
      <c r="I663" s="11">
        <f>_xlfn.XLOOKUP(TableDailySummary[[#This Row],[Fecha]],SummaryDaily[day],SummaryDaily[new_net_sales],0)</f>
        <v>0</v>
      </c>
      <c r="J663" s="11">
        <f>_xlfn.XLOOKUP(TableDailySummary[[#This Row],[Fecha]],SummaryDaily[day],SummaryDaily[new_orders],0)</f>
        <v>0</v>
      </c>
      <c r="K663" s="11">
        <f>_xlfn.XLOOKUP(TableDailySummary[[#This Row],[Fecha]],SummaryDaily[day],SummaryDaily[new_average_order_value],0)</f>
        <v>0</v>
      </c>
      <c r="L663" s="11">
        <f>_xlfn.XLOOKUP(TableDailySummary[[#This Row],[Fecha]],SummaryDaily[day],SummaryDaily[Online Store_net_sales],0)</f>
        <v>0</v>
      </c>
      <c r="M663" s="11">
        <f>_xlfn.XLOOKUP(TableDailySummary[[#This Row],[Fecha]],SummaryDaily[day],SummaryDaily[Online Store_orders],0)</f>
        <v>0</v>
      </c>
      <c r="N663" s="11">
        <f>_xlfn.XLOOKUP(TableDailySummary[[#This Row],[Fecha]],SummaryDaily[day],SummaryDaily[Online Store_average_order_value],0)</f>
        <v>0</v>
      </c>
      <c r="O663" s="11">
        <f>_xlfn.XLOOKUP(TableDailySummary[[#This Row],[Fecha]],SummaryDaily[day],SummaryDaily[Tienda 81_net_sales],0)</f>
        <v>0</v>
      </c>
      <c r="P663" s="11">
        <f>_xlfn.XLOOKUP(TableDailySummary[[#This Row],[Fecha]],SummaryDaily[day],SummaryDaily[Tienda 81_orders],0)</f>
        <v>0</v>
      </c>
      <c r="Q663" s="11">
        <f>_xlfn.XLOOKUP(TableDailySummary[[#This Row],[Fecha]],SummaryDaily[day],SummaryDaily[Tienda 81_average_order_value],0)</f>
        <v>0</v>
      </c>
      <c r="R663" s="11">
        <f>_xlfn.XLOOKUP(TableDailySummary[[#This Row],[Fecha]],SummaryDaily[day],SummaryDaily[Rappi_net_sales],0)</f>
        <v>0</v>
      </c>
      <c r="S663" s="11">
        <f>_xlfn.XLOOKUP(TableDailySummary[[#This Row],[Fecha]],SummaryDaily[day],SummaryDaily[Rappi_orders],0)</f>
        <v>0</v>
      </c>
      <c r="T663" s="11">
        <f>_xlfn.XLOOKUP(TableDailySummary[[#This Row],[Fecha]],SummaryDaily[day],SummaryDaily[Rappi_average_order_value],0)</f>
        <v>0</v>
      </c>
      <c r="U663" s="11">
        <f>_xlfn.XLOOKUP(TableDailySummary[[#This Row],[Fecha]],SummaryDaily[day],SummaryDaily[Corporativo no tienda_net_sales],0)</f>
        <v>0</v>
      </c>
      <c r="V663" s="11">
        <f>_xlfn.XLOOKUP(TableDailySummary[[#This Row],[Fecha]],SummaryDaily[day],SummaryDaily[Corporativo no tienda_orders],0)</f>
        <v>0</v>
      </c>
      <c r="W663" s="11">
        <f>_xlfn.XLOOKUP(TableDailySummary[[#This Row],[Fecha]],SummaryDaily[day],SummaryDaily[Corporativo no tienda_average_order_value],0)</f>
        <v>0</v>
      </c>
      <c r="X663" s="11">
        <f>_xlfn.XLOOKUP(TableDailySummary[[#This Row],[Fecha]],SummaryDaily[day],SummaryDaily[GoogleAdsOperation.Cost],0)</f>
        <v>0</v>
      </c>
      <c r="Y663" s="11">
        <f>SUMIFS(SalesByUTMDaily[google],SalesByUTMDaily[day],TableDailySummary[[#This Row],[Fecha]])</f>
        <v>0</v>
      </c>
      <c r="Z663" s="11">
        <f>_xlfn.XLOOKUP(TableDailySummary[[#This Row],[Fecha]],SummaryDaily[day],SummaryDaily[MetaAdsOperation.spend],0)</f>
        <v>0</v>
      </c>
      <c r="AA663" s="11">
        <f>SUMIFS(SalesByUTMDaily[facebook],SalesByUTMDaily[day],TableDailySummary[[#This Row],[Fecha]])</f>
        <v>0</v>
      </c>
      <c r="AB663" s="11">
        <f>TableDailySummary[[#This Row],[Inversión google ads]]+TableDailySummary[[#This Row],[Inversión meta ads]]</f>
        <v>0</v>
      </c>
      <c r="AC663" s="11">
        <f>TableDailySummary[[#This Row],[Ventas google ads]]+TableDailySummary[[#This Row],[Ventas meta ads]]</f>
        <v>0</v>
      </c>
      <c r="AD663" s="14">
        <f>IFERROR(TableDailySummary[[#This Row],[Ventas publicidad]]/TableDailySummary[[#This Row],[Inversión publicidad]],0)</f>
        <v>0</v>
      </c>
      <c r="AE663" s="14">
        <f>IFERROR(TableDailySummary[[#This Row],[Ventas primer cliente]]/TableDailySummary[[#This Row],[Inversión publicidad]],0)</f>
        <v>0</v>
      </c>
      <c r="AF663" s="14"/>
      <c r="AG663" s="11"/>
      <c r="AM663" s="11">
        <f>_xlfn.XLOOKUP(TableDailySummary[[#This Row],[Fecha]],SummaryDaily[day],SummaryDaily[net_sales_with_cost_recorded],0)</f>
        <v>0</v>
      </c>
      <c r="AN663" s="11">
        <f>_xlfn.XLOOKUP(TableDailySummary[[#This Row],[Fecha]],SummaryDaily[day],SummaryDaily[cost_of_goods_sold],0)</f>
        <v>0</v>
      </c>
      <c r="AO663" s="11">
        <f>_xlfn.XLOOKUP(TableDailySummary[[#This Row],[Fecha]],SummaryDaily[day],SummaryDaily[gross_profit],0)</f>
        <v>0</v>
      </c>
      <c r="AP663" s="18">
        <f>IFERROR(TableDailySummary[[#This Row],[Utilidad bruta]]/TableDailySummary[[#This Row],[Ventas netas con costo registrado]],0)</f>
        <v>0</v>
      </c>
    </row>
    <row r="664" spans="2:42" x14ac:dyDescent="0.2">
      <c r="B664" s="15" cm="1">
        <f t="array" ref="B664">ParamFechaInicioReporte + (ROW(TableDailySummary[#This Row]) - ROW(TableDailySummary[[#Headers],[Dia]]) - 1)</f>
        <v>45191</v>
      </c>
      <c r="C664" s="6">
        <f>TableDailySummary[[#This Row],[Dia]]</f>
        <v>45191</v>
      </c>
      <c r="D664" s="11">
        <f>_xlfn.XLOOKUP(TableDailySummary[[#This Row],[Fecha]],SummaryDaily[day],SummaryDaily[net_sales],0)</f>
        <v>0</v>
      </c>
      <c r="E664" s="11">
        <f>_xlfn.XLOOKUP(TableDailySummary[[#This Row],[Fecha]],SummaryDaily[day],SummaryDaily[orders],0)</f>
        <v>0</v>
      </c>
      <c r="F664" s="11">
        <f>_xlfn.XLOOKUP(TableDailySummary[[#This Row],[Fecha]],SummaryDaily[day],SummaryDaily[average_order_value],0)</f>
        <v>0</v>
      </c>
      <c r="G664" s="24" cm="1">
        <f t="array" ref="G664">_xlfn.XLOOKUP(TableDailySummary[[#This Row],[Fecha]]&amp;"Total site",ConversionRateByReferral[day]&amp;ConversionRateByReferral[referrer_source],ConversionRateByReferral[conversion_rate],0)</f>
        <v>0</v>
      </c>
      <c r="H664" s="11">
        <f>TableDailySummary[[#This Row],[Órden promedio totales]]*TableDailySummary[[#This Row],[CR totales]]</f>
        <v>0</v>
      </c>
      <c r="I664" s="11">
        <f>_xlfn.XLOOKUP(TableDailySummary[[#This Row],[Fecha]],SummaryDaily[day],SummaryDaily[new_net_sales],0)</f>
        <v>0</v>
      </c>
      <c r="J664" s="11">
        <f>_xlfn.XLOOKUP(TableDailySummary[[#This Row],[Fecha]],SummaryDaily[day],SummaryDaily[new_orders],0)</f>
        <v>0</v>
      </c>
      <c r="K664" s="11">
        <f>_xlfn.XLOOKUP(TableDailySummary[[#This Row],[Fecha]],SummaryDaily[day],SummaryDaily[new_average_order_value],0)</f>
        <v>0</v>
      </c>
      <c r="L664" s="11">
        <f>_xlfn.XLOOKUP(TableDailySummary[[#This Row],[Fecha]],SummaryDaily[day],SummaryDaily[Online Store_net_sales],0)</f>
        <v>0</v>
      </c>
      <c r="M664" s="11">
        <f>_xlfn.XLOOKUP(TableDailySummary[[#This Row],[Fecha]],SummaryDaily[day],SummaryDaily[Online Store_orders],0)</f>
        <v>0</v>
      </c>
      <c r="N664" s="11">
        <f>_xlfn.XLOOKUP(TableDailySummary[[#This Row],[Fecha]],SummaryDaily[day],SummaryDaily[Online Store_average_order_value],0)</f>
        <v>0</v>
      </c>
      <c r="O664" s="11">
        <f>_xlfn.XLOOKUP(TableDailySummary[[#This Row],[Fecha]],SummaryDaily[day],SummaryDaily[Tienda 81_net_sales],0)</f>
        <v>0</v>
      </c>
      <c r="P664" s="11">
        <f>_xlfn.XLOOKUP(TableDailySummary[[#This Row],[Fecha]],SummaryDaily[day],SummaryDaily[Tienda 81_orders],0)</f>
        <v>0</v>
      </c>
      <c r="Q664" s="11">
        <f>_xlfn.XLOOKUP(TableDailySummary[[#This Row],[Fecha]],SummaryDaily[day],SummaryDaily[Tienda 81_average_order_value],0)</f>
        <v>0</v>
      </c>
      <c r="R664" s="11">
        <f>_xlfn.XLOOKUP(TableDailySummary[[#This Row],[Fecha]],SummaryDaily[day],SummaryDaily[Rappi_net_sales],0)</f>
        <v>0</v>
      </c>
      <c r="S664" s="11">
        <f>_xlfn.XLOOKUP(TableDailySummary[[#This Row],[Fecha]],SummaryDaily[day],SummaryDaily[Rappi_orders],0)</f>
        <v>0</v>
      </c>
      <c r="T664" s="11">
        <f>_xlfn.XLOOKUP(TableDailySummary[[#This Row],[Fecha]],SummaryDaily[day],SummaryDaily[Rappi_average_order_value],0)</f>
        <v>0</v>
      </c>
      <c r="U664" s="11">
        <f>_xlfn.XLOOKUP(TableDailySummary[[#This Row],[Fecha]],SummaryDaily[day],SummaryDaily[Corporativo no tienda_net_sales],0)</f>
        <v>0</v>
      </c>
      <c r="V664" s="11">
        <f>_xlfn.XLOOKUP(TableDailySummary[[#This Row],[Fecha]],SummaryDaily[day],SummaryDaily[Corporativo no tienda_orders],0)</f>
        <v>0</v>
      </c>
      <c r="W664" s="11">
        <f>_xlfn.XLOOKUP(TableDailySummary[[#This Row],[Fecha]],SummaryDaily[day],SummaryDaily[Corporativo no tienda_average_order_value],0)</f>
        <v>0</v>
      </c>
      <c r="X664" s="11">
        <f>_xlfn.XLOOKUP(TableDailySummary[[#This Row],[Fecha]],SummaryDaily[day],SummaryDaily[GoogleAdsOperation.Cost],0)</f>
        <v>0</v>
      </c>
      <c r="Y664" s="11">
        <f>SUMIFS(SalesByUTMDaily[google],SalesByUTMDaily[day],TableDailySummary[[#This Row],[Fecha]])</f>
        <v>0</v>
      </c>
      <c r="Z664" s="11">
        <f>_xlfn.XLOOKUP(TableDailySummary[[#This Row],[Fecha]],SummaryDaily[day],SummaryDaily[MetaAdsOperation.spend],0)</f>
        <v>0</v>
      </c>
      <c r="AA664" s="11">
        <f>SUMIFS(SalesByUTMDaily[facebook],SalesByUTMDaily[day],TableDailySummary[[#This Row],[Fecha]])</f>
        <v>0</v>
      </c>
      <c r="AB664" s="11">
        <f>TableDailySummary[[#This Row],[Inversión google ads]]+TableDailySummary[[#This Row],[Inversión meta ads]]</f>
        <v>0</v>
      </c>
      <c r="AC664" s="11">
        <f>TableDailySummary[[#This Row],[Ventas google ads]]+TableDailySummary[[#This Row],[Ventas meta ads]]</f>
        <v>0</v>
      </c>
      <c r="AD664" s="14">
        <f>IFERROR(TableDailySummary[[#This Row],[Ventas publicidad]]/TableDailySummary[[#This Row],[Inversión publicidad]],0)</f>
        <v>0</v>
      </c>
      <c r="AE664" s="14">
        <f>IFERROR(TableDailySummary[[#This Row],[Ventas primer cliente]]/TableDailySummary[[#This Row],[Inversión publicidad]],0)</f>
        <v>0</v>
      </c>
      <c r="AF664" s="14"/>
      <c r="AG664" s="11"/>
      <c r="AM664" s="11">
        <f>_xlfn.XLOOKUP(TableDailySummary[[#This Row],[Fecha]],SummaryDaily[day],SummaryDaily[net_sales_with_cost_recorded],0)</f>
        <v>0</v>
      </c>
      <c r="AN664" s="11">
        <f>_xlfn.XLOOKUP(TableDailySummary[[#This Row],[Fecha]],SummaryDaily[day],SummaryDaily[cost_of_goods_sold],0)</f>
        <v>0</v>
      </c>
      <c r="AO664" s="11">
        <f>_xlfn.XLOOKUP(TableDailySummary[[#This Row],[Fecha]],SummaryDaily[day],SummaryDaily[gross_profit],0)</f>
        <v>0</v>
      </c>
      <c r="AP664" s="18">
        <f>IFERROR(TableDailySummary[[#This Row],[Utilidad bruta]]/TableDailySummary[[#This Row],[Ventas netas con costo registrado]],0)</f>
        <v>0</v>
      </c>
    </row>
    <row r="665" spans="2:42" x14ac:dyDescent="0.2">
      <c r="B665" s="15" cm="1">
        <f t="array" ref="B665">ParamFechaInicioReporte + (ROW(TableDailySummary[#This Row]) - ROW(TableDailySummary[[#Headers],[Dia]]) - 1)</f>
        <v>45192</v>
      </c>
      <c r="C665" s="6">
        <f>TableDailySummary[[#This Row],[Dia]]</f>
        <v>45192</v>
      </c>
      <c r="D665" s="11">
        <f>_xlfn.XLOOKUP(TableDailySummary[[#This Row],[Fecha]],SummaryDaily[day],SummaryDaily[net_sales],0)</f>
        <v>0</v>
      </c>
      <c r="E665" s="11">
        <f>_xlfn.XLOOKUP(TableDailySummary[[#This Row],[Fecha]],SummaryDaily[day],SummaryDaily[orders],0)</f>
        <v>0</v>
      </c>
      <c r="F665" s="11">
        <f>_xlfn.XLOOKUP(TableDailySummary[[#This Row],[Fecha]],SummaryDaily[day],SummaryDaily[average_order_value],0)</f>
        <v>0</v>
      </c>
      <c r="G665" s="24" cm="1">
        <f t="array" ref="G665">_xlfn.XLOOKUP(TableDailySummary[[#This Row],[Fecha]]&amp;"Total site",ConversionRateByReferral[day]&amp;ConversionRateByReferral[referrer_source],ConversionRateByReferral[conversion_rate],0)</f>
        <v>0</v>
      </c>
      <c r="H665" s="11">
        <f>TableDailySummary[[#This Row],[Órden promedio totales]]*TableDailySummary[[#This Row],[CR totales]]</f>
        <v>0</v>
      </c>
      <c r="I665" s="11">
        <f>_xlfn.XLOOKUP(TableDailySummary[[#This Row],[Fecha]],SummaryDaily[day],SummaryDaily[new_net_sales],0)</f>
        <v>0</v>
      </c>
      <c r="J665" s="11">
        <f>_xlfn.XLOOKUP(TableDailySummary[[#This Row],[Fecha]],SummaryDaily[day],SummaryDaily[new_orders],0)</f>
        <v>0</v>
      </c>
      <c r="K665" s="11">
        <f>_xlfn.XLOOKUP(TableDailySummary[[#This Row],[Fecha]],SummaryDaily[day],SummaryDaily[new_average_order_value],0)</f>
        <v>0</v>
      </c>
      <c r="L665" s="11">
        <f>_xlfn.XLOOKUP(TableDailySummary[[#This Row],[Fecha]],SummaryDaily[day],SummaryDaily[Online Store_net_sales],0)</f>
        <v>0</v>
      </c>
      <c r="M665" s="11">
        <f>_xlfn.XLOOKUP(TableDailySummary[[#This Row],[Fecha]],SummaryDaily[day],SummaryDaily[Online Store_orders],0)</f>
        <v>0</v>
      </c>
      <c r="N665" s="11">
        <f>_xlfn.XLOOKUP(TableDailySummary[[#This Row],[Fecha]],SummaryDaily[day],SummaryDaily[Online Store_average_order_value],0)</f>
        <v>0</v>
      </c>
      <c r="O665" s="11">
        <f>_xlfn.XLOOKUP(TableDailySummary[[#This Row],[Fecha]],SummaryDaily[day],SummaryDaily[Tienda 81_net_sales],0)</f>
        <v>0</v>
      </c>
      <c r="P665" s="11">
        <f>_xlfn.XLOOKUP(TableDailySummary[[#This Row],[Fecha]],SummaryDaily[day],SummaryDaily[Tienda 81_orders],0)</f>
        <v>0</v>
      </c>
      <c r="Q665" s="11">
        <f>_xlfn.XLOOKUP(TableDailySummary[[#This Row],[Fecha]],SummaryDaily[day],SummaryDaily[Tienda 81_average_order_value],0)</f>
        <v>0</v>
      </c>
      <c r="R665" s="11">
        <f>_xlfn.XLOOKUP(TableDailySummary[[#This Row],[Fecha]],SummaryDaily[day],SummaryDaily[Rappi_net_sales],0)</f>
        <v>0</v>
      </c>
      <c r="S665" s="11">
        <f>_xlfn.XLOOKUP(TableDailySummary[[#This Row],[Fecha]],SummaryDaily[day],SummaryDaily[Rappi_orders],0)</f>
        <v>0</v>
      </c>
      <c r="T665" s="11">
        <f>_xlfn.XLOOKUP(TableDailySummary[[#This Row],[Fecha]],SummaryDaily[day],SummaryDaily[Rappi_average_order_value],0)</f>
        <v>0</v>
      </c>
      <c r="U665" s="11">
        <f>_xlfn.XLOOKUP(TableDailySummary[[#This Row],[Fecha]],SummaryDaily[day],SummaryDaily[Corporativo no tienda_net_sales],0)</f>
        <v>0</v>
      </c>
      <c r="V665" s="11">
        <f>_xlfn.XLOOKUP(TableDailySummary[[#This Row],[Fecha]],SummaryDaily[day],SummaryDaily[Corporativo no tienda_orders],0)</f>
        <v>0</v>
      </c>
      <c r="W665" s="11">
        <f>_xlfn.XLOOKUP(TableDailySummary[[#This Row],[Fecha]],SummaryDaily[day],SummaryDaily[Corporativo no tienda_average_order_value],0)</f>
        <v>0</v>
      </c>
      <c r="X665" s="11">
        <f>_xlfn.XLOOKUP(TableDailySummary[[#This Row],[Fecha]],SummaryDaily[day],SummaryDaily[GoogleAdsOperation.Cost],0)</f>
        <v>0</v>
      </c>
      <c r="Y665" s="11">
        <f>SUMIFS(SalesByUTMDaily[google],SalesByUTMDaily[day],TableDailySummary[[#This Row],[Fecha]])</f>
        <v>0</v>
      </c>
      <c r="Z665" s="11">
        <f>_xlfn.XLOOKUP(TableDailySummary[[#This Row],[Fecha]],SummaryDaily[day],SummaryDaily[MetaAdsOperation.spend],0)</f>
        <v>0</v>
      </c>
      <c r="AA665" s="11">
        <f>SUMIFS(SalesByUTMDaily[facebook],SalesByUTMDaily[day],TableDailySummary[[#This Row],[Fecha]])</f>
        <v>0</v>
      </c>
      <c r="AB665" s="11">
        <f>TableDailySummary[[#This Row],[Inversión google ads]]+TableDailySummary[[#This Row],[Inversión meta ads]]</f>
        <v>0</v>
      </c>
      <c r="AC665" s="11">
        <f>TableDailySummary[[#This Row],[Ventas google ads]]+TableDailySummary[[#This Row],[Ventas meta ads]]</f>
        <v>0</v>
      </c>
      <c r="AD665" s="14">
        <f>IFERROR(TableDailySummary[[#This Row],[Ventas publicidad]]/TableDailySummary[[#This Row],[Inversión publicidad]],0)</f>
        <v>0</v>
      </c>
      <c r="AE665" s="14">
        <f>IFERROR(TableDailySummary[[#This Row],[Ventas primer cliente]]/TableDailySummary[[#This Row],[Inversión publicidad]],0)</f>
        <v>0</v>
      </c>
      <c r="AF665" s="14"/>
      <c r="AG665" s="11"/>
      <c r="AM665" s="11">
        <f>_xlfn.XLOOKUP(TableDailySummary[[#This Row],[Fecha]],SummaryDaily[day],SummaryDaily[net_sales_with_cost_recorded],0)</f>
        <v>0</v>
      </c>
      <c r="AN665" s="11">
        <f>_xlfn.XLOOKUP(TableDailySummary[[#This Row],[Fecha]],SummaryDaily[day],SummaryDaily[cost_of_goods_sold],0)</f>
        <v>0</v>
      </c>
      <c r="AO665" s="11">
        <f>_xlfn.XLOOKUP(TableDailySummary[[#This Row],[Fecha]],SummaryDaily[day],SummaryDaily[gross_profit],0)</f>
        <v>0</v>
      </c>
      <c r="AP665" s="18">
        <f>IFERROR(TableDailySummary[[#This Row],[Utilidad bruta]]/TableDailySummary[[#This Row],[Ventas netas con costo registrado]],0)</f>
        <v>0</v>
      </c>
    </row>
    <row r="666" spans="2:42" x14ac:dyDescent="0.2">
      <c r="B666" s="15" cm="1">
        <f t="array" ref="B666">ParamFechaInicioReporte + (ROW(TableDailySummary[#This Row]) - ROW(TableDailySummary[[#Headers],[Dia]]) - 1)</f>
        <v>45193</v>
      </c>
      <c r="C666" s="6">
        <f>TableDailySummary[[#This Row],[Dia]]</f>
        <v>45193</v>
      </c>
      <c r="D666" s="11">
        <f>_xlfn.XLOOKUP(TableDailySummary[[#This Row],[Fecha]],SummaryDaily[day],SummaryDaily[net_sales],0)</f>
        <v>0</v>
      </c>
      <c r="E666" s="11">
        <f>_xlfn.XLOOKUP(TableDailySummary[[#This Row],[Fecha]],SummaryDaily[day],SummaryDaily[orders],0)</f>
        <v>0</v>
      </c>
      <c r="F666" s="11">
        <f>_xlfn.XLOOKUP(TableDailySummary[[#This Row],[Fecha]],SummaryDaily[day],SummaryDaily[average_order_value],0)</f>
        <v>0</v>
      </c>
      <c r="G666" s="24" cm="1">
        <f t="array" ref="G666">_xlfn.XLOOKUP(TableDailySummary[[#This Row],[Fecha]]&amp;"Total site",ConversionRateByReferral[day]&amp;ConversionRateByReferral[referrer_source],ConversionRateByReferral[conversion_rate],0)</f>
        <v>0</v>
      </c>
      <c r="H666" s="11">
        <f>TableDailySummary[[#This Row],[Órden promedio totales]]*TableDailySummary[[#This Row],[CR totales]]</f>
        <v>0</v>
      </c>
      <c r="I666" s="11">
        <f>_xlfn.XLOOKUP(TableDailySummary[[#This Row],[Fecha]],SummaryDaily[day],SummaryDaily[new_net_sales],0)</f>
        <v>0</v>
      </c>
      <c r="J666" s="11">
        <f>_xlfn.XLOOKUP(TableDailySummary[[#This Row],[Fecha]],SummaryDaily[day],SummaryDaily[new_orders],0)</f>
        <v>0</v>
      </c>
      <c r="K666" s="11">
        <f>_xlfn.XLOOKUP(TableDailySummary[[#This Row],[Fecha]],SummaryDaily[day],SummaryDaily[new_average_order_value],0)</f>
        <v>0</v>
      </c>
      <c r="L666" s="11">
        <f>_xlfn.XLOOKUP(TableDailySummary[[#This Row],[Fecha]],SummaryDaily[day],SummaryDaily[Online Store_net_sales],0)</f>
        <v>0</v>
      </c>
      <c r="M666" s="11">
        <f>_xlfn.XLOOKUP(TableDailySummary[[#This Row],[Fecha]],SummaryDaily[day],SummaryDaily[Online Store_orders],0)</f>
        <v>0</v>
      </c>
      <c r="N666" s="11">
        <f>_xlfn.XLOOKUP(TableDailySummary[[#This Row],[Fecha]],SummaryDaily[day],SummaryDaily[Online Store_average_order_value],0)</f>
        <v>0</v>
      </c>
      <c r="O666" s="11">
        <f>_xlfn.XLOOKUP(TableDailySummary[[#This Row],[Fecha]],SummaryDaily[day],SummaryDaily[Tienda 81_net_sales],0)</f>
        <v>0</v>
      </c>
      <c r="P666" s="11">
        <f>_xlfn.XLOOKUP(TableDailySummary[[#This Row],[Fecha]],SummaryDaily[day],SummaryDaily[Tienda 81_orders],0)</f>
        <v>0</v>
      </c>
      <c r="Q666" s="11">
        <f>_xlfn.XLOOKUP(TableDailySummary[[#This Row],[Fecha]],SummaryDaily[day],SummaryDaily[Tienda 81_average_order_value],0)</f>
        <v>0</v>
      </c>
      <c r="R666" s="11">
        <f>_xlfn.XLOOKUP(TableDailySummary[[#This Row],[Fecha]],SummaryDaily[day],SummaryDaily[Rappi_net_sales],0)</f>
        <v>0</v>
      </c>
      <c r="S666" s="11">
        <f>_xlfn.XLOOKUP(TableDailySummary[[#This Row],[Fecha]],SummaryDaily[day],SummaryDaily[Rappi_orders],0)</f>
        <v>0</v>
      </c>
      <c r="T666" s="11">
        <f>_xlfn.XLOOKUP(TableDailySummary[[#This Row],[Fecha]],SummaryDaily[day],SummaryDaily[Rappi_average_order_value],0)</f>
        <v>0</v>
      </c>
      <c r="U666" s="11">
        <f>_xlfn.XLOOKUP(TableDailySummary[[#This Row],[Fecha]],SummaryDaily[day],SummaryDaily[Corporativo no tienda_net_sales],0)</f>
        <v>0</v>
      </c>
      <c r="V666" s="11">
        <f>_xlfn.XLOOKUP(TableDailySummary[[#This Row],[Fecha]],SummaryDaily[day],SummaryDaily[Corporativo no tienda_orders],0)</f>
        <v>0</v>
      </c>
      <c r="W666" s="11">
        <f>_xlfn.XLOOKUP(TableDailySummary[[#This Row],[Fecha]],SummaryDaily[day],SummaryDaily[Corporativo no tienda_average_order_value],0)</f>
        <v>0</v>
      </c>
      <c r="X666" s="11">
        <f>_xlfn.XLOOKUP(TableDailySummary[[#This Row],[Fecha]],SummaryDaily[day],SummaryDaily[GoogleAdsOperation.Cost],0)</f>
        <v>0</v>
      </c>
      <c r="Y666" s="11">
        <f>SUMIFS(SalesByUTMDaily[google],SalesByUTMDaily[day],TableDailySummary[[#This Row],[Fecha]])</f>
        <v>0</v>
      </c>
      <c r="Z666" s="11">
        <f>_xlfn.XLOOKUP(TableDailySummary[[#This Row],[Fecha]],SummaryDaily[day],SummaryDaily[MetaAdsOperation.spend],0)</f>
        <v>0</v>
      </c>
      <c r="AA666" s="11">
        <f>SUMIFS(SalesByUTMDaily[facebook],SalesByUTMDaily[day],TableDailySummary[[#This Row],[Fecha]])</f>
        <v>0</v>
      </c>
      <c r="AB666" s="11">
        <f>TableDailySummary[[#This Row],[Inversión google ads]]+TableDailySummary[[#This Row],[Inversión meta ads]]</f>
        <v>0</v>
      </c>
      <c r="AC666" s="11">
        <f>TableDailySummary[[#This Row],[Ventas google ads]]+TableDailySummary[[#This Row],[Ventas meta ads]]</f>
        <v>0</v>
      </c>
      <c r="AD666" s="14">
        <f>IFERROR(TableDailySummary[[#This Row],[Ventas publicidad]]/TableDailySummary[[#This Row],[Inversión publicidad]],0)</f>
        <v>0</v>
      </c>
      <c r="AE666" s="14">
        <f>IFERROR(TableDailySummary[[#This Row],[Ventas primer cliente]]/TableDailySummary[[#This Row],[Inversión publicidad]],0)</f>
        <v>0</v>
      </c>
      <c r="AF666" s="14"/>
      <c r="AG666" s="11"/>
      <c r="AM666" s="11">
        <f>_xlfn.XLOOKUP(TableDailySummary[[#This Row],[Fecha]],SummaryDaily[day],SummaryDaily[net_sales_with_cost_recorded],0)</f>
        <v>0</v>
      </c>
      <c r="AN666" s="11">
        <f>_xlfn.XLOOKUP(TableDailySummary[[#This Row],[Fecha]],SummaryDaily[day],SummaryDaily[cost_of_goods_sold],0)</f>
        <v>0</v>
      </c>
      <c r="AO666" s="11">
        <f>_xlfn.XLOOKUP(TableDailySummary[[#This Row],[Fecha]],SummaryDaily[day],SummaryDaily[gross_profit],0)</f>
        <v>0</v>
      </c>
      <c r="AP666" s="18">
        <f>IFERROR(TableDailySummary[[#This Row],[Utilidad bruta]]/TableDailySummary[[#This Row],[Ventas netas con costo registrado]],0)</f>
        <v>0</v>
      </c>
    </row>
    <row r="667" spans="2:42" x14ac:dyDescent="0.2">
      <c r="B667" s="15" cm="1">
        <f t="array" ref="B667">ParamFechaInicioReporte + (ROW(TableDailySummary[#This Row]) - ROW(TableDailySummary[[#Headers],[Dia]]) - 1)</f>
        <v>45194</v>
      </c>
      <c r="C667" s="6">
        <f>TableDailySummary[[#This Row],[Dia]]</f>
        <v>45194</v>
      </c>
      <c r="D667" s="11">
        <f>_xlfn.XLOOKUP(TableDailySummary[[#This Row],[Fecha]],SummaryDaily[day],SummaryDaily[net_sales],0)</f>
        <v>0</v>
      </c>
      <c r="E667" s="11">
        <f>_xlfn.XLOOKUP(TableDailySummary[[#This Row],[Fecha]],SummaryDaily[day],SummaryDaily[orders],0)</f>
        <v>0</v>
      </c>
      <c r="F667" s="11">
        <f>_xlfn.XLOOKUP(TableDailySummary[[#This Row],[Fecha]],SummaryDaily[day],SummaryDaily[average_order_value],0)</f>
        <v>0</v>
      </c>
      <c r="G667" s="24" cm="1">
        <f t="array" ref="G667">_xlfn.XLOOKUP(TableDailySummary[[#This Row],[Fecha]]&amp;"Total site",ConversionRateByReferral[day]&amp;ConversionRateByReferral[referrer_source],ConversionRateByReferral[conversion_rate],0)</f>
        <v>0</v>
      </c>
      <c r="H667" s="11">
        <f>TableDailySummary[[#This Row],[Órden promedio totales]]*TableDailySummary[[#This Row],[CR totales]]</f>
        <v>0</v>
      </c>
      <c r="I667" s="11">
        <f>_xlfn.XLOOKUP(TableDailySummary[[#This Row],[Fecha]],SummaryDaily[day],SummaryDaily[new_net_sales],0)</f>
        <v>0</v>
      </c>
      <c r="J667" s="11">
        <f>_xlfn.XLOOKUP(TableDailySummary[[#This Row],[Fecha]],SummaryDaily[day],SummaryDaily[new_orders],0)</f>
        <v>0</v>
      </c>
      <c r="K667" s="11">
        <f>_xlfn.XLOOKUP(TableDailySummary[[#This Row],[Fecha]],SummaryDaily[day],SummaryDaily[new_average_order_value],0)</f>
        <v>0</v>
      </c>
      <c r="L667" s="11">
        <f>_xlfn.XLOOKUP(TableDailySummary[[#This Row],[Fecha]],SummaryDaily[day],SummaryDaily[Online Store_net_sales],0)</f>
        <v>0</v>
      </c>
      <c r="M667" s="11">
        <f>_xlfn.XLOOKUP(TableDailySummary[[#This Row],[Fecha]],SummaryDaily[day],SummaryDaily[Online Store_orders],0)</f>
        <v>0</v>
      </c>
      <c r="N667" s="11">
        <f>_xlfn.XLOOKUP(TableDailySummary[[#This Row],[Fecha]],SummaryDaily[day],SummaryDaily[Online Store_average_order_value],0)</f>
        <v>0</v>
      </c>
      <c r="O667" s="11">
        <f>_xlfn.XLOOKUP(TableDailySummary[[#This Row],[Fecha]],SummaryDaily[day],SummaryDaily[Tienda 81_net_sales],0)</f>
        <v>0</v>
      </c>
      <c r="P667" s="11">
        <f>_xlfn.XLOOKUP(TableDailySummary[[#This Row],[Fecha]],SummaryDaily[day],SummaryDaily[Tienda 81_orders],0)</f>
        <v>0</v>
      </c>
      <c r="Q667" s="11">
        <f>_xlfn.XLOOKUP(TableDailySummary[[#This Row],[Fecha]],SummaryDaily[day],SummaryDaily[Tienda 81_average_order_value],0)</f>
        <v>0</v>
      </c>
      <c r="R667" s="11">
        <f>_xlfn.XLOOKUP(TableDailySummary[[#This Row],[Fecha]],SummaryDaily[day],SummaryDaily[Rappi_net_sales],0)</f>
        <v>0</v>
      </c>
      <c r="S667" s="11">
        <f>_xlfn.XLOOKUP(TableDailySummary[[#This Row],[Fecha]],SummaryDaily[day],SummaryDaily[Rappi_orders],0)</f>
        <v>0</v>
      </c>
      <c r="T667" s="11">
        <f>_xlfn.XLOOKUP(TableDailySummary[[#This Row],[Fecha]],SummaryDaily[day],SummaryDaily[Rappi_average_order_value],0)</f>
        <v>0</v>
      </c>
      <c r="U667" s="11">
        <f>_xlfn.XLOOKUP(TableDailySummary[[#This Row],[Fecha]],SummaryDaily[day],SummaryDaily[Corporativo no tienda_net_sales],0)</f>
        <v>0</v>
      </c>
      <c r="V667" s="11">
        <f>_xlfn.XLOOKUP(TableDailySummary[[#This Row],[Fecha]],SummaryDaily[day],SummaryDaily[Corporativo no tienda_orders],0)</f>
        <v>0</v>
      </c>
      <c r="W667" s="11">
        <f>_xlfn.XLOOKUP(TableDailySummary[[#This Row],[Fecha]],SummaryDaily[day],SummaryDaily[Corporativo no tienda_average_order_value],0)</f>
        <v>0</v>
      </c>
      <c r="X667" s="11">
        <f>_xlfn.XLOOKUP(TableDailySummary[[#This Row],[Fecha]],SummaryDaily[day],SummaryDaily[GoogleAdsOperation.Cost],0)</f>
        <v>0</v>
      </c>
      <c r="Y667" s="11">
        <f>SUMIFS(SalesByUTMDaily[google],SalesByUTMDaily[day],TableDailySummary[[#This Row],[Fecha]])</f>
        <v>0</v>
      </c>
      <c r="Z667" s="11">
        <f>_xlfn.XLOOKUP(TableDailySummary[[#This Row],[Fecha]],SummaryDaily[day],SummaryDaily[MetaAdsOperation.spend],0)</f>
        <v>0</v>
      </c>
      <c r="AA667" s="11">
        <f>SUMIFS(SalesByUTMDaily[facebook],SalesByUTMDaily[day],TableDailySummary[[#This Row],[Fecha]])</f>
        <v>0</v>
      </c>
      <c r="AB667" s="11">
        <f>TableDailySummary[[#This Row],[Inversión google ads]]+TableDailySummary[[#This Row],[Inversión meta ads]]</f>
        <v>0</v>
      </c>
      <c r="AC667" s="11">
        <f>TableDailySummary[[#This Row],[Ventas google ads]]+TableDailySummary[[#This Row],[Ventas meta ads]]</f>
        <v>0</v>
      </c>
      <c r="AD667" s="14">
        <f>IFERROR(TableDailySummary[[#This Row],[Ventas publicidad]]/TableDailySummary[[#This Row],[Inversión publicidad]],0)</f>
        <v>0</v>
      </c>
      <c r="AE667" s="14">
        <f>IFERROR(TableDailySummary[[#This Row],[Ventas primer cliente]]/TableDailySummary[[#This Row],[Inversión publicidad]],0)</f>
        <v>0</v>
      </c>
      <c r="AF667" s="14"/>
      <c r="AG667" s="11"/>
      <c r="AM667" s="11">
        <f>_xlfn.XLOOKUP(TableDailySummary[[#This Row],[Fecha]],SummaryDaily[day],SummaryDaily[net_sales_with_cost_recorded],0)</f>
        <v>0</v>
      </c>
      <c r="AN667" s="11">
        <f>_xlfn.XLOOKUP(TableDailySummary[[#This Row],[Fecha]],SummaryDaily[day],SummaryDaily[cost_of_goods_sold],0)</f>
        <v>0</v>
      </c>
      <c r="AO667" s="11">
        <f>_xlfn.XLOOKUP(TableDailySummary[[#This Row],[Fecha]],SummaryDaily[day],SummaryDaily[gross_profit],0)</f>
        <v>0</v>
      </c>
      <c r="AP667" s="18">
        <f>IFERROR(TableDailySummary[[#This Row],[Utilidad bruta]]/TableDailySummary[[#This Row],[Ventas netas con costo registrado]],0)</f>
        <v>0</v>
      </c>
    </row>
    <row r="668" spans="2:42" x14ac:dyDescent="0.2">
      <c r="B668" s="15" cm="1">
        <f t="array" ref="B668">ParamFechaInicioReporte + (ROW(TableDailySummary[#This Row]) - ROW(TableDailySummary[[#Headers],[Dia]]) - 1)</f>
        <v>45195</v>
      </c>
      <c r="C668" s="6">
        <f>TableDailySummary[[#This Row],[Dia]]</f>
        <v>45195</v>
      </c>
      <c r="D668" s="11">
        <f>_xlfn.XLOOKUP(TableDailySummary[[#This Row],[Fecha]],SummaryDaily[day],SummaryDaily[net_sales],0)</f>
        <v>0</v>
      </c>
      <c r="E668" s="11">
        <f>_xlfn.XLOOKUP(TableDailySummary[[#This Row],[Fecha]],SummaryDaily[day],SummaryDaily[orders],0)</f>
        <v>0</v>
      </c>
      <c r="F668" s="11">
        <f>_xlfn.XLOOKUP(TableDailySummary[[#This Row],[Fecha]],SummaryDaily[day],SummaryDaily[average_order_value],0)</f>
        <v>0</v>
      </c>
      <c r="G668" s="24" cm="1">
        <f t="array" ref="G668">_xlfn.XLOOKUP(TableDailySummary[[#This Row],[Fecha]]&amp;"Total site",ConversionRateByReferral[day]&amp;ConversionRateByReferral[referrer_source],ConversionRateByReferral[conversion_rate],0)</f>
        <v>0</v>
      </c>
      <c r="H668" s="11">
        <f>TableDailySummary[[#This Row],[Órden promedio totales]]*TableDailySummary[[#This Row],[CR totales]]</f>
        <v>0</v>
      </c>
      <c r="I668" s="11">
        <f>_xlfn.XLOOKUP(TableDailySummary[[#This Row],[Fecha]],SummaryDaily[day],SummaryDaily[new_net_sales],0)</f>
        <v>0</v>
      </c>
      <c r="J668" s="11">
        <f>_xlfn.XLOOKUP(TableDailySummary[[#This Row],[Fecha]],SummaryDaily[day],SummaryDaily[new_orders],0)</f>
        <v>0</v>
      </c>
      <c r="K668" s="11">
        <f>_xlfn.XLOOKUP(TableDailySummary[[#This Row],[Fecha]],SummaryDaily[day],SummaryDaily[new_average_order_value],0)</f>
        <v>0</v>
      </c>
      <c r="L668" s="11">
        <f>_xlfn.XLOOKUP(TableDailySummary[[#This Row],[Fecha]],SummaryDaily[day],SummaryDaily[Online Store_net_sales],0)</f>
        <v>0</v>
      </c>
      <c r="M668" s="11">
        <f>_xlfn.XLOOKUP(TableDailySummary[[#This Row],[Fecha]],SummaryDaily[day],SummaryDaily[Online Store_orders],0)</f>
        <v>0</v>
      </c>
      <c r="N668" s="11">
        <f>_xlfn.XLOOKUP(TableDailySummary[[#This Row],[Fecha]],SummaryDaily[day],SummaryDaily[Online Store_average_order_value],0)</f>
        <v>0</v>
      </c>
      <c r="O668" s="11">
        <f>_xlfn.XLOOKUP(TableDailySummary[[#This Row],[Fecha]],SummaryDaily[day],SummaryDaily[Tienda 81_net_sales],0)</f>
        <v>0</v>
      </c>
      <c r="P668" s="11">
        <f>_xlfn.XLOOKUP(TableDailySummary[[#This Row],[Fecha]],SummaryDaily[day],SummaryDaily[Tienda 81_orders],0)</f>
        <v>0</v>
      </c>
      <c r="Q668" s="11">
        <f>_xlfn.XLOOKUP(TableDailySummary[[#This Row],[Fecha]],SummaryDaily[day],SummaryDaily[Tienda 81_average_order_value],0)</f>
        <v>0</v>
      </c>
      <c r="R668" s="11">
        <f>_xlfn.XLOOKUP(TableDailySummary[[#This Row],[Fecha]],SummaryDaily[day],SummaryDaily[Rappi_net_sales],0)</f>
        <v>0</v>
      </c>
      <c r="S668" s="11">
        <f>_xlfn.XLOOKUP(TableDailySummary[[#This Row],[Fecha]],SummaryDaily[day],SummaryDaily[Rappi_orders],0)</f>
        <v>0</v>
      </c>
      <c r="T668" s="11">
        <f>_xlfn.XLOOKUP(TableDailySummary[[#This Row],[Fecha]],SummaryDaily[day],SummaryDaily[Rappi_average_order_value],0)</f>
        <v>0</v>
      </c>
      <c r="U668" s="11">
        <f>_xlfn.XLOOKUP(TableDailySummary[[#This Row],[Fecha]],SummaryDaily[day],SummaryDaily[Corporativo no tienda_net_sales],0)</f>
        <v>0</v>
      </c>
      <c r="V668" s="11">
        <f>_xlfn.XLOOKUP(TableDailySummary[[#This Row],[Fecha]],SummaryDaily[day],SummaryDaily[Corporativo no tienda_orders],0)</f>
        <v>0</v>
      </c>
      <c r="W668" s="11">
        <f>_xlfn.XLOOKUP(TableDailySummary[[#This Row],[Fecha]],SummaryDaily[day],SummaryDaily[Corporativo no tienda_average_order_value],0)</f>
        <v>0</v>
      </c>
      <c r="X668" s="11">
        <f>_xlfn.XLOOKUP(TableDailySummary[[#This Row],[Fecha]],SummaryDaily[day],SummaryDaily[GoogleAdsOperation.Cost],0)</f>
        <v>0</v>
      </c>
      <c r="Y668" s="11">
        <f>SUMIFS(SalesByUTMDaily[google],SalesByUTMDaily[day],TableDailySummary[[#This Row],[Fecha]])</f>
        <v>0</v>
      </c>
      <c r="Z668" s="11">
        <f>_xlfn.XLOOKUP(TableDailySummary[[#This Row],[Fecha]],SummaryDaily[day],SummaryDaily[MetaAdsOperation.spend],0)</f>
        <v>0</v>
      </c>
      <c r="AA668" s="11">
        <f>SUMIFS(SalesByUTMDaily[facebook],SalesByUTMDaily[day],TableDailySummary[[#This Row],[Fecha]])</f>
        <v>0</v>
      </c>
      <c r="AB668" s="11">
        <f>TableDailySummary[[#This Row],[Inversión google ads]]+TableDailySummary[[#This Row],[Inversión meta ads]]</f>
        <v>0</v>
      </c>
      <c r="AC668" s="11">
        <f>TableDailySummary[[#This Row],[Ventas google ads]]+TableDailySummary[[#This Row],[Ventas meta ads]]</f>
        <v>0</v>
      </c>
      <c r="AD668" s="14">
        <f>IFERROR(TableDailySummary[[#This Row],[Ventas publicidad]]/TableDailySummary[[#This Row],[Inversión publicidad]],0)</f>
        <v>0</v>
      </c>
      <c r="AE668" s="14">
        <f>IFERROR(TableDailySummary[[#This Row],[Ventas primer cliente]]/TableDailySummary[[#This Row],[Inversión publicidad]],0)</f>
        <v>0</v>
      </c>
      <c r="AF668" s="14"/>
      <c r="AG668" s="11"/>
      <c r="AM668" s="11">
        <f>_xlfn.XLOOKUP(TableDailySummary[[#This Row],[Fecha]],SummaryDaily[day],SummaryDaily[net_sales_with_cost_recorded],0)</f>
        <v>0</v>
      </c>
      <c r="AN668" s="11">
        <f>_xlfn.XLOOKUP(TableDailySummary[[#This Row],[Fecha]],SummaryDaily[day],SummaryDaily[cost_of_goods_sold],0)</f>
        <v>0</v>
      </c>
      <c r="AO668" s="11">
        <f>_xlfn.XLOOKUP(TableDailySummary[[#This Row],[Fecha]],SummaryDaily[day],SummaryDaily[gross_profit],0)</f>
        <v>0</v>
      </c>
      <c r="AP668" s="18">
        <f>IFERROR(TableDailySummary[[#This Row],[Utilidad bruta]]/TableDailySummary[[#This Row],[Ventas netas con costo registrado]],0)</f>
        <v>0</v>
      </c>
    </row>
    <row r="669" spans="2:42" x14ac:dyDescent="0.2">
      <c r="B669" s="15" cm="1">
        <f t="array" ref="B669">ParamFechaInicioReporte + (ROW(TableDailySummary[#This Row]) - ROW(TableDailySummary[[#Headers],[Dia]]) - 1)</f>
        <v>45196</v>
      </c>
      <c r="C669" s="6">
        <f>TableDailySummary[[#This Row],[Dia]]</f>
        <v>45196</v>
      </c>
      <c r="D669" s="11">
        <f>_xlfn.XLOOKUP(TableDailySummary[[#This Row],[Fecha]],SummaryDaily[day],SummaryDaily[net_sales],0)</f>
        <v>0</v>
      </c>
      <c r="E669" s="11">
        <f>_xlfn.XLOOKUP(TableDailySummary[[#This Row],[Fecha]],SummaryDaily[day],SummaryDaily[orders],0)</f>
        <v>0</v>
      </c>
      <c r="F669" s="11">
        <f>_xlfn.XLOOKUP(TableDailySummary[[#This Row],[Fecha]],SummaryDaily[day],SummaryDaily[average_order_value],0)</f>
        <v>0</v>
      </c>
      <c r="G669" s="24" cm="1">
        <f t="array" ref="G669">_xlfn.XLOOKUP(TableDailySummary[[#This Row],[Fecha]]&amp;"Total site",ConversionRateByReferral[day]&amp;ConversionRateByReferral[referrer_source],ConversionRateByReferral[conversion_rate],0)</f>
        <v>0</v>
      </c>
      <c r="H669" s="11">
        <f>TableDailySummary[[#This Row],[Órden promedio totales]]*TableDailySummary[[#This Row],[CR totales]]</f>
        <v>0</v>
      </c>
      <c r="I669" s="11">
        <f>_xlfn.XLOOKUP(TableDailySummary[[#This Row],[Fecha]],SummaryDaily[day],SummaryDaily[new_net_sales],0)</f>
        <v>0</v>
      </c>
      <c r="J669" s="11">
        <f>_xlfn.XLOOKUP(TableDailySummary[[#This Row],[Fecha]],SummaryDaily[day],SummaryDaily[new_orders],0)</f>
        <v>0</v>
      </c>
      <c r="K669" s="11">
        <f>_xlfn.XLOOKUP(TableDailySummary[[#This Row],[Fecha]],SummaryDaily[day],SummaryDaily[new_average_order_value],0)</f>
        <v>0</v>
      </c>
      <c r="L669" s="11">
        <f>_xlfn.XLOOKUP(TableDailySummary[[#This Row],[Fecha]],SummaryDaily[day],SummaryDaily[Online Store_net_sales],0)</f>
        <v>0</v>
      </c>
      <c r="M669" s="11">
        <f>_xlfn.XLOOKUP(TableDailySummary[[#This Row],[Fecha]],SummaryDaily[day],SummaryDaily[Online Store_orders],0)</f>
        <v>0</v>
      </c>
      <c r="N669" s="11">
        <f>_xlfn.XLOOKUP(TableDailySummary[[#This Row],[Fecha]],SummaryDaily[day],SummaryDaily[Online Store_average_order_value],0)</f>
        <v>0</v>
      </c>
      <c r="O669" s="11">
        <f>_xlfn.XLOOKUP(TableDailySummary[[#This Row],[Fecha]],SummaryDaily[day],SummaryDaily[Tienda 81_net_sales],0)</f>
        <v>0</v>
      </c>
      <c r="P669" s="11">
        <f>_xlfn.XLOOKUP(TableDailySummary[[#This Row],[Fecha]],SummaryDaily[day],SummaryDaily[Tienda 81_orders],0)</f>
        <v>0</v>
      </c>
      <c r="Q669" s="11">
        <f>_xlfn.XLOOKUP(TableDailySummary[[#This Row],[Fecha]],SummaryDaily[day],SummaryDaily[Tienda 81_average_order_value],0)</f>
        <v>0</v>
      </c>
      <c r="R669" s="11">
        <f>_xlfn.XLOOKUP(TableDailySummary[[#This Row],[Fecha]],SummaryDaily[day],SummaryDaily[Rappi_net_sales],0)</f>
        <v>0</v>
      </c>
      <c r="S669" s="11">
        <f>_xlfn.XLOOKUP(TableDailySummary[[#This Row],[Fecha]],SummaryDaily[day],SummaryDaily[Rappi_orders],0)</f>
        <v>0</v>
      </c>
      <c r="T669" s="11">
        <f>_xlfn.XLOOKUP(TableDailySummary[[#This Row],[Fecha]],SummaryDaily[day],SummaryDaily[Rappi_average_order_value],0)</f>
        <v>0</v>
      </c>
      <c r="U669" s="11">
        <f>_xlfn.XLOOKUP(TableDailySummary[[#This Row],[Fecha]],SummaryDaily[day],SummaryDaily[Corporativo no tienda_net_sales],0)</f>
        <v>0</v>
      </c>
      <c r="V669" s="11">
        <f>_xlfn.XLOOKUP(TableDailySummary[[#This Row],[Fecha]],SummaryDaily[day],SummaryDaily[Corporativo no tienda_orders],0)</f>
        <v>0</v>
      </c>
      <c r="W669" s="11">
        <f>_xlfn.XLOOKUP(TableDailySummary[[#This Row],[Fecha]],SummaryDaily[day],SummaryDaily[Corporativo no tienda_average_order_value],0)</f>
        <v>0</v>
      </c>
      <c r="X669" s="11">
        <f>_xlfn.XLOOKUP(TableDailySummary[[#This Row],[Fecha]],SummaryDaily[day],SummaryDaily[GoogleAdsOperation.Cost],0)</f>
        <v>0</v>
      </c>
      <c r="Y669" s="11">
        <f>SUMIFS(SalesByUTMDaily[google],SalesByUTMDaily[day],TableDailySummary[[#This Row],[Fecha]])</f>
        <v>0</v>
      </c>
      <c r="Z669" s="11">
        <f>_xlfn.XLOOKUP(TableDailySummary[[#This Row],[Fecha]],SummaryDaily[day],SummaryDaily[MetaAdsOperation.spend],0)</f>
        <v>0</v>
      </c>
      <c r="AA669" s="11">
        <f>SUMIFS(SalesByUTMDaily[facebook],SalesByUTMDaily[day],TableDailySummary[[#This Row],[Fecha]])</f>
        <v>0</v>
      </c>
      <c r="AB669" s="11">
        <f>TableDailySummary[[#This Row],[Inversión google ads]]+TableDailySummary[[#This Row],[Inversión meta ads]]</f>
        <v>0</v>
      </c>
      <c r="AC669" s="11">
        <f>TableDailySummary[[#This Row],[Ventas google ads]]+TableDailySummary[[#This Row],[Ventas meta ads]]</f>
        <v>0</v>
      </c>
      <c r="AD669" s="14">
        <f>IFERROR(TableDailySummary[[#This Row],[Ventas publicidad]]/TableDailySummary[[#This Row],[Inversión publicidad]],0)</f>
        <v>0</v>
      </c>
      <c r="AE669" s="14">
        <f>IFERROR(TableDailySummary[[#This Row],[Ventas primer cliente]]/TableDailySummary[[#This Row],[Inversión publicidad]],0)</f>
        <v>0</v>
      </c>
      <c r="AF669" s="14"/>
      <c r="AG669" s="11"/>
      <c r="AM669" s="11">
        <f>_xlfn.XLOOKUP(TableDailySummary[[#This Row],[Fecha]],SummaryDaily[day],SummaryDaily[net_sales_with_cost_recorded],0)</f>
        <v>0</v>
      </c>
      <c r="AN669" s="11">
        <f>_xlfn.XLOOKUP(TableDailySummary[[#This Row],[Fecha]],SummaryDaily[day],SummaryDaily[cost_of_goods_sold],0)</f>
        <v>0</v>
      </c>
      <c r="AO669" s="11">
        <f>_xlfn.XLOOKUP(TableDailySummary[[#This Row],[Fecha]],SummaryDaily[day],SummaryDaily[gross_profit],0)</f>
        <v>0</v>
      </c>
      <c r="AP669" s="18">
        <f>IFERROR(TableDailySummary[[#This Row],[Utilidad bruta]]/TableDailySummary[[#This Row],[Ventas netas con costo registrado]],0)</f>
        <v>0</v>
      </c>
    </row>
    <row r="670" spans="2:42" x14ac:dyDescent="0.2">
      <c r="B670" s="15" cm="1">
        <f t="array" ref="B670">ParamFechaInicioReporte + (ROW(TableDailySummary[#This Row]) - ROW(TableDailySummary[[#Headers],[Dia]]) - 1)</f>
        <v>45197</v>
      </c>
      <c r="C670" s="6">
        <f>TableDailySummary[[#This Row],[Dia]]</f>
        <v>45197</v>
      </c>
      <c r="D670" s="11">
        <f>_xlfn.XLOOKUP(TableDailySummary[[#This Row],[Fecha]],SummaryDaily[day],SummaryDaily[net_sales],0)</f>
        <v>0</v>
      </c>
      <c r="E670" s="11">
        <f>_xlfn.XLOOKUP(TableDailySummary[[#This Row],[Fecha]],SummaryDaily[day],SummaryDaily[orders],0)</f>
        <v>0</v>
      </c>
      <c r="F670" s="11">
        <f>_xlfn.XLOOKUP(TableDailySummary[[#This Row],[Fecha]],SummaryDaily[day],SummaryDaily[average_order_value],0)</f>
        <v>0</v>
      </c>
      <c r="G670" s="24" cm="1">
        <f t="array" ref="G670">_xlfn.XLOOKUP(TableDailySummary[[#This Row],[Fecha]]&amp;"Total site",ConversionRateByReferral[day]&amp;ConversionRateByReferral[referrer_source],ConversionRateByReferral[conversion_rate],0)</f>
        <v>0</v>
      </c>
      <c r="H670" s="11">
        <f>TableDailySummary[[#This Row],[Órden promedio totales]]*TableDailySummary[[#This Row],[CR totales]]</f>
        <v>0</v>
      </c>
      <c r="I670" s="11">
        <f>_xlfn.XLOOKUP(TableDailySummary[[#This Row],[Fecha]],SummaryDaily[day],SummaryDaily[new_net_sales],0)</f>
        <v>0</v>
      </c>
      <c r="J670" s="11">
        <f>_xlfn.XLOOKUP(TableDailySummary[[#This Row],[Fecha]],SummaryDaily[day],SummaryDaily[new_orders],0)</f>
        <v>0</v>
      </c>
      <c r="K670" s="11">
        <f>_xlfn.XLOOKUP(TableDailySummary[[#This Row],[Fecha]],SummaryDaily[day],SummaryDaily[new_average_order_value],0)</f>
        <v>0</v>
      </c>
      <c r="L670" s="11">
        <f>_xlfn.XLOOKUP(TableDailySummary[[#This Row],[Fecha]],SummaryDaily[day],SummaryDaily[Online Store_net_sales],0)</f>
        <v>0</v>
      </c>
      <c r="M670" s="11">
        <f>_xlfn.XLOOKUP(TableDailySummary[[#This Row],[Fecha]],SummaryDaily[day],SummaryDaily[Online Store_orders],0)</f>
        <v>0</v>
      </c>
      <c r="N670" s="11">
        <f>_xlfn.XLOOKUP(TableDailySummary[[#This Row],[Fecha]],SummaryDaily[day],SummaryDaily[Online Store_average_order_value],0)</f>
        <v>0</v>
      </c>
      <c r="O670" s="11">
        <f>_xlfn.XLOOKUP(TableDailySummary[[#This Row],[Fecha]],SummaryDaily[day],SummaryDaily[Tienda 81_net_sales],0)</f>
        <v>0</v>
      </c>
      <c r="P670" s="11">
        <f>_xlfn.XLOOKUP(TableDailySummary[[#This Row],[Fecha]],SummaryDaily[day],SummaryDaily[Tienda 81_orders],0)</f>
        <v>0</v>
      </c>
      <c r="Q670" s="11">
        <f>_xlfn.XLOOKUP(TableDailySummary[[#This Row],[Fecha]],SummaryDaily[day],SummaryDaily[Tienda 81_average_order_value],0)</f>
        <v>0</v>
      </c>
      <c r="R670" s="11">
        <f>_xlfn.XLOOKUP(TableDailySummary[[#This Row],[Fecha]],SummaryDaily[day],SummaryDaily[Rappi_net_sales],0)</f>
        <v>0</v>
      </c>
      <c r="S670" s="11">
        <f>_xlfn.XLOOKUP(TableDailySummary[[#This Row],[Fecha]],SummaryDaily[day],SummaryDaily[Rappi_orders],0)</f>
        <v>0</v>
      </c>
      <c r="T670" s="11">
        <f>_xlfn.XLOOKUP(TableDailySummary[[#This Row],[Fecha]],SummaryDaily[day],SummaryDaily[Rappi_average_order_value],0)</f>
        <v>0</v>
      </c>
      <c r="U670" s="11">
        <f>_xlfn.XLOOKUP(TableDailySummary[[#This Row],[Fecha]],SummaryDaily[day],SummaryDaily[Corporativo no tienda_net_sales],0)</f>
        <v>0</v>
      </c>
      <c r="V670" s="11">
        <f>_xlfn.XLOOKUP(TableDailySummary[[#This Row],[Fecha]],SummaryDaily[day],SummaryDaily[Corporativo no tienda_orders],0)</f>
        <v>0</v>
      </c>
      <c r="W670" s="11">
        <f>_xlfn.XLOOKUP(TableDailySummary[[#This Row],[Fecha]],SummaryDaily[day],SummaryDaily[Corporativo no tienda_average_order_value],0)</f>
        <v>0</v>
      </c>
      <c r="X670" s="11">
        <f>_xlfn.XLOOKUP(TableDailySummary[[#This Row],[Fecha]],SummaryDaily[day],SummaryDaily[GoogleAdsOperation.Cost],0)</f>
        <v>0</v>
      </c>
      <c r="Y670" s="11">
        <f>SUMIFS(SalesByUTMDaily[google],SalesByUTMDaily[day],TableDailySummary[[#This Row],[Fecha]])</f>
        <v>0</v>
      </c>
      <c r="Z670" s="11">
        <f>_xlfn.XLOOKUP(TableDailySummary[[#This Row],[Fecha]],SummaryDaily[day],SummaryDaily[MetaAdsOperation.spend],0)</f>
        <v>0</v>
      </c>
      <c r="AA670" s="11">
        <f>SUMIFS(SalesByUTMDaily[facebook],SalesByUTMDaily[day],TableDailySummary[[#This Row],[Fecha]])</f>
        <v>0</v>
      </c>
      <c r="AB670" s="11">
        <f>TableDailySummary[[#This Row],[Inversión google ads]]+TableDailySummary[[#This Row],[Inversión meta ads]]</f>
        <v>0</v>
      </c>
      <c r="AC670" s="11">
        <f>TableDailySummary[[#This Row],[Ventas google ads]]+TableDailySummary[[#This Row],[Ventas meta ads]]</f>
        <v>0</v>
      </c>
      <c r="AD670" s="14">
        <f>IFERROR(TableDailySummary[[#This Row],[Ventas publicidad]]/TableDailySummary[[#This Row],[Inversión publicidad]],0)</f>
        <v>0</v>
      </c>
      <c r="AE670" s="14">
        <f>IFERROR(TableDailySummary[[#This Row],[Ventas primer cliente]]/TableDailySummary[[#This Row],[Inversión publicidad]],0)</f>
        <v>0</v>
      </c>
      <c r="AF670" s="14"/>
      <c r="AG670" s="11"/>
      <c r="AM670" s="11">
        <f>_xlfn.XLOOKUP(TableDailySummary[[#This Row],[Fecha]],SummaryDaily[day],SummaryDaily[net_sales_with_cost_recorded],0)</f>
        <v>0</v>
      </c>
      <c r="AN670" s="11">
        <f>_xlfn.XLOOKUP(TableDailySummary[[#This Row],[Fecha]],SummaryDaily[day],SummaryDaily[cost_of_goods_sold],0)</f>
        <v>0</v>
      </c>
      <c r="AO670" s="11">
        <f>_xlfn.XLOOKUP(TableDailySummary[[#This Row],[Fecha]],SummaryDaily[day],SummaryDaily[gross_profit],0)</f>
        <v>0</v>
      </c>
      <c r="AP670" s="18">
        <f>IFERROR(TableDailySummary[[#This Row],[Utilidad bruta]]/TableDailySummary[[#This Row],[Ventas netas con costo registrado]],0)</f>
        <v>0</v>
      </c>
    </row>
    <row r="671" spans="2:42" x14ac:dyDescent="0.2">
      <c r="B671" s="15" cm="1">
        <f t="array" ref="B671">ParamFechaInicioReporte + (ROW(TableDailySummary[#This Row]) - ROW(TableDailySummary[[#Headers],[Dia]]) - 1)</f>
        <v>45198</v>
      </c>
      <c r="C671" s="6">
        <f>TableDailySummary[[#This Row],[Dia]]</f>
        <v>45198</v>
      </c>
      <c r="D671" s="11">
        <f>_xlfn.XLOOKUP(TableDailySummary[[#This Row],[Fecha]],SummaryDaily[day],SummaryDaily[net_sales],0)</f>
        <v>0</v>
      </c>
      <c r="E671" s="11">
        <f>_xlfn.XLOOKUP(TableDailySummary[[#This Row],[Fecha]],SummaryDaily[day],SummaryDaily[orders],0)</f>
        <v>0</v>
      </c>
      <c r="F671" s="11">
        <f>_xlfn.XLOOKUP(TableDailySummary[[#This Row],[Fecha]],SummaryDaily[day],SummaryDaily[average_order_value],0)</f>
        <v>0</v>
      </c>
      <c r="G671" s="24" cm="1">
        <f t="array" ref="G671">_xlfn.XLOOKUP(TableDailySummary[[#This Row],[Fecha]]&amp;"Total site",ConversionRateByReferral[day]&amp;ConversionRateByReferral[referrer_source],ConversionRateByReferral[conversion_rate],0)</f>
        <v>0</v>
      </c>
      <c r="H671" s="11">
        <f>TableDailySummary[[#This Row],[Órden promedio totales]]*TableDailySummary[[#This Row],[CR totales]]</f>
        <v>0</v>
      </c>
      <c r="I671" s="11">
        <f>_xlfn.XLOOKUP(TableDailySummary[[#This Row],[Fecha]],SummaryDaily[day],SummaryDaily[new_net_sales],0)</f>
        <v>0</v>
      </c>
      <c r="J671" s="11">
        <f>_xlfn.XLOOKUP(TableDailySummary[[#This Row],[Fecha]],SummaryDaily[day],SummaryDaily[new_orders],0)</f>
        <v>0</v>
      </c>
      <c r="K671" s="11">
        <f>_xlfn.XLOOKUP(TableDailySummary[[#This Row],[Fecha]],SummaryDaily[day],SummaryDaily[new_average_order_value],0)</f>
        <v>0</v>
      </c>
      <c r="L671" s="11">
        <f>_xlfn.XLOOKUP(TableDailySummary[[#This Row],[Fecha]],SummaryDaily[day],SummaryDaily[Online Store_net_sales],0)</f>
        <v>0</v>
      </c>
      <c r="M671" s="11">
        <f>_xlfn.XLOOKUP(TableDailySummary[[#This Row],[Fecha]],SummaryDaily[day],SummaryDaily[Online Store_orders],0)</f>
        <v>0</v>
      </c>
      <c r="N671" s="11">
        <f>_xlfn.XLOOKUP(TableDailySummary[[#This Row],[Fecha]],SummaryDaily[day],SummaryDaily[Online Store_average_order_value],0)</f>
        <v>0</v>
      </c>
      <c r="O671" s="11">
        <f>_xlfn.XLOOKUP(TableDailySummary[[#This Row],[Fecha]],SummaryDaily[day],SummaryDaily[Tienda 81_net_sales],0)</f>
        <v>0</v>
      </c>
      <c r="P671" s="11">
        <f>_xlfn.XLOOKUP(TableDailySummary[[#This Row],[Fecha]],SummaryDaily[day],SummaryDaily[Tienda 81_orders],0)</f>
        <v>0</v>
      </c>
      <c r="Q671" s="11">
        <f>_xlfn.XLOOKUP(TableDailySummary[[#This Row],[Fecha]],SummaryDaily[day],SummaryDaily[Tienda 81_average_order_value],0)</f>
        <v>0</v>
      </c>
      <c r="R671" s="11">
        <f>_xlfn.XLOOKUP(TableDailySummary[[#This Row],[Fecha]],SummaryDaily[day],SummaryDaily[Rappi_net_sales],0)</f>
        <v>0</v>
      </c>
      <c r="S671" s="11">
        <f>_xlfn.XLOOKUP(TableDailySummary[[#This Row],[Fecha]],SummaryDaily[day],SummaryDaily[Rappi_orders],0)</f>
        <v>0</v>
      </c>
      <c r="T671" s="11">
        <f>_xlfn.XLOOKUP(TableDailySummary[[#This Row],[Fecha]],SummaryDaily[day],SummaryDaily[Rappi_average_order_value],0)</f>
        <v>0</v>
      </c>
      <c r="U671" s="11">
        <f>_xlfn.XLOOKUP(TableDailySummary[[#This Row],[Fecha]],SummaryDaily[day],SummaryDaily[Corporativo no tienda_net_sales],0)</f>
        <v>0</v>
      </c>
      <c r="V671" s="11">
        <f>_xlfn.XLOOKUP(TableDailySummary[[#This Row],[Fecha]],SummaryDaily[day],SummaryDaily[Corporativo no tienda_orders],0)</f>
        <v>0</v>
      </c>
      <c r="W671" s="11">
        <f>_xlfn.XLOOKUP(TableDailySummary[[#This Row],[Fecha]],SummaryDaily[day],SummaryDaily[Corporativo no tienda_average_order_value],0)</f>
        <v>0</v>
      </c>
      <c r="X671" s="11">
        <f>_xlfn.XLOOKUP(TableDailySummary[[#This Row],[Fecha]],SummaryDaily[day],SummaryDaily[GoogleAdsOperation.Cost],0)</f>
        <v>0</v>
      </c>
      <c r="Y671" s="11">
        <f>SUMIFS(SalesByUTMDaily[google],SalesByUTMDaily[day],TableDailySummary[[#This Row],[Fecha]])</f>
        <v>0</v>
      </c>
      <c r="Z671" s="11">
        <f>_xlfn.XLOOKUP(TableDailySummary[[#This Row],[Fecha]],SummaryDaily[day],SummaryDaily[MetaAdsOperation.spend],0)</f>
        <v>0</v>
      </c>
      <c r="AA671" s="11">
        <f>SUMIFS(SalesByUTMDaily[facebook],SalesByUTMDaily[day],TableDailySummary[[#This Row],[Fecha]])</f>
        <v>0</v>
      </c>
      <c r="AB671" s="11">
        <f>TableDailySummary[[#This Row],[Inversión google ads]]+TableDailySummary[[#This Row],[Inversión meta ads]]</f>
        <v>0</v>
      </c>
      <c r="AC671" s="11">
        <f>TableDailySummary[[#This Row],[Ventas google ads]]+TableDailySummary[[#This Row],[Ventas meta ads]]</f>
        <v>0</v>
      </c>
      <c r="AD671" s="14">
        <f>IFERROR(TableDailySummary[[#This Row],[Ventas publicidad]]/TableDailySummary[[#This Row],[Inversión publicidad]],0)</f>
        <v>0</v>
      </c>
      <c r="AE671" s="14">
        <f>IFERROR(TableDailySummary[[#This Row],[Ventas primer cliente]]/TableDailySummary[[#This Row],[Inversión publicidad]],0)</f>
        <v>0</v>
      </c>
      <c r="AF671" s="14"/>
      <c r="AG671" s="11"/>
      <c r="AM671" s="11">
        <f>_xlfn.XLOOKUP(TableDailySummary[[#This Row],[Fecha]],SummaryDaily[day],SummaryDaily[net_sales_with_cost_recorded],0)</f>
        <v>0</v>
      </c>
      <c r="AN671" s="11">
        <f>_xlfn.XLOOKUP(TableDailySummary[[#This Row],[Fecha]],SummaryDaily[day],SummaryDaily[cost_of_goods_sold],0)</f>
        <v>0</v>
      </c>
      <c r="AO671" s="11">
        <f>_xlfn.XLOOKUP(TableDailySummary[[#This Row],[Fecha]],SummaryDaily[day],SummaryDaily[gross_profit],0)</f>
        <v>0</v>
      </c>
      <c r="AP671" s="18">
        <f>IFERROR(TableDailySummary[[#This Row],[Utilidad bruta]]/TableDailySummary[[#This Row],[Ventas netas con costo registrado]],0)</f>
        <v>0</v>
      </c>
    </row>
    <row r="672" spans="2:42" x14ac:dyDescent="0.2">
      <c r="B672" s="15" cm="1">
        <f t="array" ref="B672">ParamFechaInicioReporte + (ROW(TableDailySummary[#This Row]) - ROW(TableDailySummary[[#Headers],[Dia]]) - 1)</f>
        <v>45199</v>
      </c>
      <c r="C672" s="6">
        <f>TableDailySummary[[#This Row],[Dia]]</f>
        <v>45199</v>
      </c>
      <c r="D672" s="11">
        <f>_xlfn.XLOOKUP(TableDailySummary[[#This Row],[Fecha]],SummaryDaily[day],SummaryDaily[net_sales],0)</f>
        <v>0</v>
      </c>
      <c r="E672" s="11">
        <f>_xlfn.XLOOKUP(TableDailySummary[[#This Row],[Fecha]],SummaryDaily[day],SummaryDaily[orders],0)</f>
        <v>0</v>
      </c>
      <c r="F672" s="11">
        <f>_xlfn.XLOOKUP(TableDailySummary[[#This Row],[Fecha]],SummaryDaily[day],SummaryDaily[average_order_value],0)</f>
        <v>0</v>
      </c>
      <c r="G672" s="24" cm="1">
        <f t="array" ref="G672">_xlfn.XLOOKUP(TableDailySummary[[#This Row],[Fecha]]&amp;"Total site",ConversionRateByReferral[day]&amp;ConversionRateByReferral[referrer_source],ConversionRateByReferral[conversion_rate],0)</f>
        <v>0</v>
      </c>
      <c r="H672" s="11">
        <f>TableDailySummary[[#This Row],[Órden promedio totales]]*TableDailySummary[[#This Row],[CR totales]]</f>
        <v>0</v>
      </c>
      <c r="I672" s="11">
        <f>_xlfn.XLOOKUP(TableDailySummary[[#This Row],[Fecha]],SummaryDaily[day],SummaryDaily[new_net_sales],0)</f>
        <v>0</v>
      </c>
      <c r="J672" s="11">
        <f>_xlfn.XLOOKUP(TableDailySummary[[#This Row],[Fecha]],SummaryDaily[day],SummaryDaily[new_orders],0)</f>
        <v>0</v>
      </c>
      <c r="K672" s="11">
        <f>_xlfn.XLOOKUP(TableDailySummary[[#This Row],[Fecha]],SummaryDaily[day],SummaryDaily[new_average_order_value],0)</f>
        <v>0</v>
      </c>
      <c r="L672" s="11">
        <f>_xlfn.XLOOKUP(TableDailySummary[[#This Row],[Fecha]],SummaryDaily[day],SummaryDaily[Online Store_net_sales],0)</f>
        <v>0</v>
      </c>
      <c r="M672" s="11">
        <f>_xlfn.XLOOKUP(TableDailySummary[[#This Row],[Fecha]],SummaryDaily[day],SummaryDaily[Online Store_orders],0)</f>
        <v>0</v>
      </c>
      <c r="N672" s="11">
        <f>_xlfn.XLOOKUP(TableDailySummary[[#This Row],[Fecha]],SummaryDaily[day],SummaryDaily[Online Store_average_order_value],0)</f>
        <v>0</v>
      </c>
      <c r="O672" s="11">
        <f>_xlfn.XLOOKUP(TableDailySummary[[#This Row],[Fecha]],SummaryDaily[day],SummaryDaily[Tienda 81_net_sales],0)</f>
        <v>0</v>
      </c>
      <c r="P672" s="11">
        <f>_xlfn.XLOOKUP(TableDailySummary[[#This Row],[Fecha]],SummaryDaily[day],SummaryDaily[Tienda 81_orders],0)</f>
        <v>0</v>
      </c>
      <c r="Q672" s="11">
        <f>_xlfn.XLOOKUP(TableDailySummary[[#This Row],[Fecha]],SummaryDaily[day],SummaryDaily[Tienda 81_average_order_value],0)</f>
        <v>0</v>
      </c>
      <c r="R672" s="11">
        <f>_xlfn.XLOOKUP(TableDailySummary[[#This Row],[Fecha]],SummaryDaily[day],SummaryDaily[Rappi_net_sales],0)</f>
        <v>0</v>
      </c>
      <c r="S672" s="11">
        <f>_xlfn.XLOOKUP(TableDailySummary[[#This Row],[Fecha]],SummaryDaily[day],SummaryDaily[Rappi_orders],0)</f>
        <v>0</v>
      </c>
      <c r="T672" s="11">
        <f>_xlfn.XLOOKUP(TableDailySummary[[#This Row],[Fecha]],SummaryDaily[day],SummaryDaily[Rappi_average_order_value],0)</f>
        <v>0</v>
      </c>
      <c r="U672" s="11">
        <f>_xlfn.XLOOKUP(TableDailySummary[[#This Row],[Fecha]],SummaryDaily[day],SummaryDaily[Corporativo no tienda_net_sales],0)</f>
        <v>0</v>
      </c>
      <c r="V672" s="11">
        <f>_xlfn.XLOOKUP(TableDailySummary[[#This Row],[Fecha]],SummaryDaily[day],SummaryDaily[Corporativo no tienda_orders],0)</f>
        <v>0</v>
      </c>
      <c r="W672" s="11">
        <f>_xlfn.XLOOKUP(TableDailySummary[[#This Row],[Fecha]],SummaryDaily[day],SummaryDaily[Corporativo no tienda_average_order_value],0)</f>
        <v>0</v>
      </c>
      <c r="X672" s="11">
        <f>_xlfn.XLOOKUP(TableDailySummary[[#This Row],[Fecha]],SummaryDaily[day],SummaryDaily[GoogleAdsOperation.Cost],0)</f>
        <v>0</v>
      </c>
      <c r="Y672" s="11">
        <f>SUMIFS(SalesByUTMDaily[google],SalesByUTMDaily[day],TableDailySummary[[#This Row],[Fecha]])</f>
        <v>0</v>
      </c>
      <c r="Z672" s="11">
        <f>_xlfn.XLOOKUP(TableDailySummary[[#This Row],[Fecha]],SummaryDaily[day],SummaryDaily[MetaAdsOperation.spend],0)</f>
        <v>0</v>
      </c>
      <c r="AA672" s="11">
        <f>SUMIFS(SalesByUTMDaily[facebook],SalesByUTMDaily[day],TableDailySummary[[#This Row],[Fecha]])</f>
        <v>0</v>
      </c>
      <c r="AB672" s="11">
        <f>TableDailySummary[[#This Row],[Inversión google ads]]+TableDailySummary[[#This Row],[Inversión meta ads]]</f>
        <v>0</v>
      </c>
      <c r="AC672" s="11">
        <f>TableDailySummary[[#This Row],[Ventas google ads]]+TableDailySummary[[#This Row],[Ventas meta ads]]</f>
        <v>0</v>
      </c>
      <c r="AD672" s="14">
        <f>IFERROR(TableDailySummary[[#This Row],[Ventas publicidad]]/TableDailySummary[[#This Row],[Inversión publicidad]],0)</f>
        <v>0</v>
      </c>
      <c r="AE672" s="14">
        <f>IFERROR(TableDailySummary[[#This Row],[Ventas primer cliente]]/TableDailySummary[[#This Row],[Inversión publicidad]],0)</f>
        <v>0</v>
      </c>
      <c r="AF672" s="14"/>
      <c r="AG672" s="11"/>
      <c r="AM672" s="11">
        <f>_xlfn.XLOOKUP(TableDailySummary[[#This Row],[Fecha]],SummaryDaily[day],SummaryDaily[net_sales_with_cost_recorded],0)</f>
        <v>0</v>
      </c>
      <c r="AN672" s="11">
        <f>_xlfn.XLOOKUP(TableDailySummary[[#This Row],[Fecha]],SummaryDaily[day],SummaryDaily[cost_of_goods_sold],0)</f>
        <v>0</v>
      </c>
      <c r="AO672" s="11">
        <f>_xlfn.XLOOKUP(TableDailySummary[[#This Row],[Fecha]],SummaryDaily[day],SummaryDaily[gross_profit],0)</f>
        <v>0</v>
      </c>
      <c r="AP672" s="18">
        <f>IFERROR(TableDailySummary[[#This Row],[Utilidad bruta]]/TableDailySummary[[#This Row],[Ventas netas con costo registrado]],0)</f>
        <v>0</v>
      </c>
    </row>
    <row r="673" spans="2:42" x14ac:dyDescent="0.2">
      <c r="B673" s="15" cm="1">
        <f t="array" ref="B673">ParamFechaInicioReporte + (ROW(TableDailySummary[#This Row]) - ROW(TableDailySummary[[#Headers],[Dia]]) - 1)</f>
        <v>45200</v>
      </c>
      <c r="C673" s="6">
        <f>TableDailySummary[[#This Row],[Dia]]</f>
        <v>45200</v>
      </c>
      <c r="D673" s="11">
        <f>_xlfn.XLOOKUP(TableDailySummary[[#This Row],[Fecha]],SummaryDaily[day],SummaryDaily[net_sales],0)</f>
        <v>0</v>
      </c>
      <c r="E673" s="11">
        <f>_xlfn.XLOOKUP(TableDailySummary[[#This Row],[Fecha]],SummaryDaily[day],SummaryDaily[orders],0)</f>
        <v>0</v>
      </c>
      <c r="F673" s="11">
        <f>_xlfn.XLOOKUP(TableDailySummary[[#This Row],[Fecha]],SummaryDaily[day],SummaryDaily[average_order_value],0)</f>
        <v>0</v>
      </c>
      <c r="G673" s="24" cm="1">
        <f t="array" ref="G673">_xlfn.XLOOKUP(TableDailySummary[[#This Row],[Fecha]]&amp;"Total site",ConversionRateByReferral[day]&amp;ConversionRateByReferral[referrer_source],ConversionRateByReferral[conversion_rate],0)</f>
        <v>0</v>
      </c>
      <c r="H673" s="11">
        <f>TableDailySummary[[#This Row],[Órden promedio totales]]*TableDailySummary[[#This Row],[CR totales]]</f>
        <v>0</v>
      </c>
      <c r="I673" s="11">
        <f>_xlfn.XLOOKUP(TableDailySummary[[#This Row],[Fecha]],SummaryDaily[day],SummaryDaily[new_net_sales],0)</f>
        <v>0</v>
      </c>
      <c r="J673" s="11">
        <f>_xlfn.XLOOKUP(TableDailySummary[[#This Row],[Fecha]],SummaryDaily[day],SummaryDaily[new_orders],0)</f>
        <v>0</v>
      </c>
      <c r="K673" s="11">
        <f>_xlfn.XLOOKUP(TableDailySummary[[#This Row],[Fecha]],SummaryDaily[day],SummaryDaily[new_average_order_value],0)</f>
        <v>0</v>
      </c>
      <c r="L673" s="11">
        <f>_xlfn.XLOOKUP(TableDailySummary[[#This Row],[Fecha]],SummaryDaily[day],SummaryDaily[Online Store_net_sales],0)</f>
        <v>0</v>
      </c>
      <c r="M673" s="11">
        <f>_xlfn.XLOOKUP(TableDailySummary[[#This Row],[Fecha]],SummaryDaily[day],SummaryDaily[Online Store_orders],0)</f>
        <v>0</v>
      </c>
      <c r="N673" s="11">
        <f>_xlfn.XLOOKUP(TableDailySummary[[#This Row],[Fecha]],SummaryDaily[day],SummaryDaily[Online Store_average_order_value],0)</f>
        <v>0</v>
      </c>
      <c r="O673" s="11">
        <f>_xlfn.XLOOKUP(TableDailySummary[[#This Row],[Fecha]],SummaryDaily[day],SummaryDaily[Tienda 81_net_sales],0)</f>
        <v>0</v>
      </c>
      <c r="P673" s="11">
        <f>_xlfn.XLOOKUP(TableDailySummary[[#This Row],[Fecha]],SummaryDaily[day],SummaryDaily[Tienda 81_orders],0)</f>
        <v>0</v>
      </c>
      <c r="Q673" s="11">
        <f>_xlfn.XLOOKUP(TableDailySummary[[#This Row],[Fecha]],SummaryDaily[day],SummaryDaily[Tienda 81_average_order_value],0)</f>
        <v>0</v>
      </c>
      <c r="R673" s="11">
        <f>_xlfn.XLOOKUP(TableDailySummary[[#This Row],[Fecha]],SummaryDaily[day],SummaryDaily[Rappi_net_sales],0)</f>
        <v>0</v>
      </c>
      <c r="S673" s="11">
        <f>_xlfn.XLOOKUP(TableDailySummary[[#This Row],[Fecha]],SummaryDaily[day],SummaryDaily[Rappi_orders],0)</f>
        <v>0</v>
      </c>
      <c r="T673" s="11">
        <f>_xlfn.XLOOKUP(TableDailySummary[[#This Row],[Fecha]],SummaryDaily[day],SummaryDaily[Rappi_average_order_value],0)</f>
        <v>0</v>
      </c>
      <c r="U673" s="11">
        <f>_xlfn.XLOOKUP(TableDailySummary[[#This Row],[Fecha]],SummaryDaily[day],SummaryDaily[Corporativo no tienda_net_sales],0)</f>
        <v>0</v>
      </c>
      <c r="V673" s="11">
        <f>_xlfn.XLOOKUP(TableDailySummary[[#This Row],[Fecha]],SummaryDaily[day],SummaryDaily[Corporativo no tienda_orders],0)</f>
        <v>0</v>
      </c>
      <c r="W673" s="11">
        <f>_xlfn.XLOOKUP(TableDailySummary[[#This Row],[Fecha]],SummaryDaily[day],SummaryDaily[Corporativo no tienda_average_order_value],0)</f>
        <v>0</v>
      </c>
      <c r="X673" s="11">
        <f>_xlfn.XLOOKUP(TableDailySummary[[#This Row],[Fecha]],SummaryDaily[day],SummaryDaily[GoogleAdsOperation.Cost],0)</f>
        <v>0</v>
      </c>
      <c r="Y673" s="11">
        <f>SUMIFS(SalesByUTMDaily[google],SalesByUTMDaily[day],TableDailySummary[[#This Row],[Fecha]])</f>
        <v>0</v>
      </c>
      <c r="Z673" s="11">
        <f>_xlfn.XLOOKUP(TableDailySummary[[#This Row],[Fecha]],SummaryDaily[day],SummaryDaily[MetaAdsOperation.spend],0)</f>
        <v>0</v>
      </c>
      <c r="AA673" s="11">
        <f>SUMIFS(SalesByUTMDaily[facebook],SalesByUTMDaily[day],TableDailySummary[[#This Row],[Fecha]])</f>
        <v>0</v>
      </c>
      <c r="AB673" s="11">
        <f>TableDailySummary[[#This Row],[Inversión google ads]]+TableDailySummary[[#This Row],[Inversión meta ads]]</f>
        <v>0</v>
      </c>
      <c r="AC673" s="11">
        <f>TableDailySummary[[#This Row],[Ventas google ads]]+TableDailySummary[[#This Row],[Ventas meta ads]]</f>
        <v>0</v>
      </c>
      <c r="AD673" s="14">
        <f>IFERROR(TableDailySummary[[#This Row],[Ventas publicidad]]/TableDailySummary[[#This Row],[Inversión publicidad]],0)</f>
        <v>0</v>
      </c>
      <c r="AE673" s="14">
        <f>IFERROR(TableDailySummary[[#This Row],[Ventas primer cliente]]/TableDailySummary[[#This Row],[Inversión publicidad]],0)</f>
        <v>0</v>
      </c>
      <c r="AF673" s="14"/>
      <c r="AG673" s="11"/>
      <c r="AM673" s="11">
        <f>_xlfn.XLOOKUP(TableDailySummary[[#This Row],[Fecha]],SummaryDaily[day],SummaryDaily[net_sales_with_cost_recorded],0)</f>
        <v>0</v>
      </c>
      <c r="AN673" s="11">
        <f>_xlfn.XLOOKUP(TableDailySummary[[#This Row],[Fecha]],SummaryDaily[day],SummaryDaily[cost_of_goods_sold],0)</f>
        <v>0</v>
      </c>
      <c r="AO673" s="11">
        <f>_xlfn.XLOOKUP(TableDailySummary[[#This Row],[Fecha]],SummaryDaily[day],SummaryDaily[gross_profit],0)</f>
        <v>0</v>
      </c>
      <c r="AP673" s="18">
        <f>IFERROR(TableDailySummary[[#This Row],[Utilidad bruta]]/TableDailySummary[[#This Row],[Ventas netas con costo registrado]],0)</f>
        <v>0</v>
      </c>
    </row>
    <row r="674" spans="2:42" x14ac:dyDescent="0.2">
      <c r="B674" s="15" cm="1">
        <f t="array" ref="B674">ParamFechaInicioReporte + (ROW(TableDailySummary[#This Row]) - ROW(TableDailySummary[[#Headers],[Dia]]) - 1)</f>
        <v>45201</v>
      </c>
      <c r="C674" s="6">
        <f>TableDailySummary[[#This Row],[Dia]]</f>
        <v>45201</v>
      </c>
      <c r="D674" s="11">
        <f>_xlfn.XLOOKUP(TableDailySummary[[#This Row],[Fecha]],SummaryDaily[day],SummaryDaily[net_sales],0)</f>
        <v>0</v>
      </c>
      <c r="E674" s="11">
        <f>_xlfn.XLOOKUP(TableDailySummary[[#This Row],[Fecha]],SummaryDaily[day],SummaryDaily[orders],0)</f>
        <v>0</v>
      </c>
      <c r="F674" s="11">
        <f>_xlfn.XLOOKUP(TableDailySummary[[#This Row],[Fecha]],SummaryDaily[day],SummaryDaily[average_order_value],0)</f>
        <v>0</v>
      </c>
      <c r="G674" s="24" cm="1">
        <f t="array" ref="G674">_xlfn.XLOOKUP(TableDailySummary[[#This Row],[Fecha]]&amp;"Total site",ConversionRateByReferral[day]&amp;ConversionRateByReferral[referrer_source],ConversionRateByReferral[conversion_rate],0)</f>
        <v>0</v>
      </c>
      <c r="H674" s="11">
        <f>TableDailySummary[[#This Row],[Órden promedio totales]]*TableDailySummary[[#This Row],[CR totales]]</f>
        <v>0</v>
      </c>
      <c r="I674" s="11">
        <f>_xlfn.XLOOKUP(TableDailySummary[[#This Row],[Fecha]],SummaryDaily[day],SummaryDaily[new_net_sales],0)</f>
        <v>0</v>
      </c>
      <c r="J674" s="11">
        <f>_xlfn.XLOOKUP(TableDailySummary[[#This Row],[Fecha]],SummaryDaily[day],SummaryDaily[new_orders],0)</f>
        <v>0</v>
      </c>
      <c r="K674" s="11">
        <f>_xlfn.XLOOKUP(TableDailySummary[[#This Row],[Fecha]],SummaryDaily[day],SummaryDaily[new_average_order_value],0)</f>
        <v>0</v>
      </c>
      <c r="L674" s="11">
        <f>_xlfn.XLOOKUP(TableDailySummary[[#This Row],[Fecha]],SummaryDaily[day],SummaryDaily[Online Store_net_sales],0)</f>
        <v>0</v>
      </c>
      <c r="M674" s="11">
        <f>_xlfn.XLOOKUP(TableDailySummary[[#This Row],[Fecha]],SummaryDaily[day],SummaryDaily[Online Store_orders],0)</f>
        <v>0</v>
      </c>
      <c r="N674" s="11">
        <f>_xlfn.XLOOKUP(TableDailySummary[[#This Row],[Fecha]],SummaryDaily[day],SummaryDaily[Online Store_average_order_value],0)</f>
        <v>0</v>
      </c>
      <c r="O674" s="11">
        <f>_xlfn.XLOOKUP(TableDailySummary[[#This Row],[Fecha]],SummaryDaily[day],SummaryDaily[Tienda 81_net_sales],0)</f>
        <v>0</v>
      </c>
      <c r="P674" s="11">
        <f>_xlfn.XLOOKUP(TableDailySummary[[#This Row],[Fecha]],SummaryDaily[day],SummaryDaily[Tienda 81_orders],0)</f>
        <v>0</v>
      </c>
      <c r="Q674" s="11">
        <f>_xlfn.XLOOKUP(TableDailySummary[[#This Row],[Fecha]],SummaryDaily[day],SummaryDaily[Tienda 81_average_order_value],0)</f>
        <v>0</v>
      </c>
      <c r="R674" s="11">
        <f>_xlfn.XLOOKUP(TableDailySummary[[#This Row],[Fecha]],SummaryDaily[day],SummaryDaily[Rappi_net_sales],0)</f>
        <v>0</v>
      </c>
      <c r="S674" s="11">
        <f>_xlfn.XLOOKUP(TableDailySummary[[#This Row],[Fecha]],SummaryDaily[day],SummaryDaily[Rappi_orders],0)</f>
        <v>0</v>
      </c>
      <c r="T674" s="11">
        <f>_xlfn.XLOOKUP(TableDailySummary[[#This Row],[Fecha]],SummaryDaily[day],SummaryDaily[Rappi_average_order_value],0)</f>
        <v>0</v>
      </c>
      <c r="U674" s="11">
        <f>_xlfn.XLOOKUP(TableDailySummary[[#This Row],[Fecha]],SummaryDaily[day],SummaryDaily[Corporativo no tienda_net_sales],0)</f>
        <v>0</v>
      </c>
      <c r="V674" s="11">
        <f>_xlfn.XLOOKUP(TableDailySummary[[#This Row],[Fecha]],SummaryDaily[day],SummaryDaily[Corporativo no tienda_orders],0)</f>
        <v>0</v>
      </c>
      <c r="W674" s="11">
        <f>_xlfn.XLOOKUP(TableDailySummary[[#This Row],[Fecha]],SummaryDaily[day],SummaryDaily[Corporativo no tienda_average_order_value],0)</f>
        <v>0</v>
      </c>
      <c r="X674" s="11">
        <f>_xlfn.XLOOKUP(TableDailySummary[[#This Row],[Fecha]],SummaryDaily[day],SummaryDaily[GoogleAdsOperation.Cost],0)</f>
        <v>0</v>
      </c>
      <c r="Y674" s="11">
        <f>SUMIFS(SalesByUTMDaily[google],SalesByUTMDaily[day],TableDailySummary[[#This Row],[Fecha]])</f>
        <v>0</v>
      </c>
      <c r="Z674" s="11">
        <f>_xlfn.XLOOKUP(TableDailySummary[[#This Row],[Fecha]],SummaryDaily[day],SummaryDaily[MetaAdsOperation.spend],0)</f>
        <v>0</v>
      </c>
      <c r="AA674" s="11">
        <f>SUMIFS(SalesByUTMDaily[facebook],SalesByUTMDaily[day],TableDailySummary[[#This Row],[Fecha]])</f>
        <v>0</v>
      </c>
      <c r="AB674" s="11">
        <f>TableDailySummary[[#This Row],[Inversión google ads]]+TableDailySummary[[#This Row],[Inversión meta ads]]</f>
        <v>0</v>
      </c>
      <c r="AC674" s="11">
        <f>TableDailySummary[[#This Row],[Ventas google ads]]+TableDailySummary[[#This Row],[Ventas meta ads]]</f>
        <v>0</v>
      </c>
      <c r="AD674" s="14">
        <f>IFERROR(TableDailySummary[[#This Row],[Ventas publicidad]]/TableDailySummary[[#This Row],[Inversión publicidad]],0)</f>
        <v>0</v>
      </c>
      <c r="AE674" s="14">
        <f>IFERROR(TableDailySummary[[#This Row],[Ventas primer cliente]]/TableDailySummary[[#This Row],[Inversión publicidad]],0)</f>
        <v>0</v>
      </c>
      <c r="AF674" s="14"/>
      <c r="AG674" s="11"/>
      <c r="AM674" s="11">
        <f>_xlfn.XLOOKUP(TableDailySummary[[#This Row],[Fecha]],SummaryDaily[day],SummaryDaily[net_sales_with_cost_recorded],0)</f>
        <v>0</v>
      </c>
      <c r="AN674" s="11">
        <f>_xlfn.XLOOKUP(TableDailySummary[[#This Row],[Fecha]],SummaryDaily[day],SummaryDaily[cost_of_goods_sold],0)</f>
        <v>0</v>
      </c>
      <c r="AO674" s="11">
        <f>_xlfn.XLOOKUP(TableDailySummary[[#This Row],[Fecha]],SummaryDaily[day],SummaryDaily[gross_profit],0)</f>
        <v>0</v>
      </c>
      <c r="AP674" s="18">
        <f>IFERROR(TableDailySummary[[#This Row],[Utilidad bruta]]/TableDailySummary[[#This Row],[Ventas netas con costo registrado]],0)</f>
        <v>0</v>
      </c>
    </row>
    <row r="675" spans="2:42" x14ac:dyDescent="0.2">
      <c r="B675" s="15" cm="1">
        <f t="array" ref="B675">ParamFechaInicioReporte + (ROW(TableDailySummary[#This Row]) - ROW(TableDailySummary[[#Headers],[Dia]]) - 1)</f>
        <v>45202</v>
      </c>
      <c r="C675" s="6">
        <f>TableDailySummary[[#This Row],[Dia]]</f>
        <v>45202</v>
      </c>
      <c r="D675" s="11">
        <f>_xlfn.XLOOKUP(TableDailySummary[[#This Row],[Fecha]],SummaryDaily[day],SummaryDaily[net_sales],0)</f>
        <v>0</v>
      </c>
      <c r="E675" s="11">
        <f>_xlfn.XLOOKUP(TableDailySummary[[#This Row],[Fecha]],SummaryDaily[day],SummaryDaily[orders],0)</f>
        <v>0</v>
      </c>
      <c r="F675" s="11">
        <f>_xlfn.XLOOKUP(TableDailySummary[[#This Row],[Fecha]],SummaryDaily[day],SummaryDaily[average_order_value],0)</f>
        <v>0</v>
      </c>
      <c r="G675" s="24" cm="1">
        <f t="array" ref="G675">_xlfn.XLOOKUP(TableDailySummary[[#This Row],[Fecha]]&amp;"Total site",ConversionRateByReferral[day]&amp;ConversionRateByReferral[referrer_source],ConversionRateByReferral[conversion_rate],0)</f>
        <v>0</v>
      </c>
      <c r="H675" s="11">
        <f>TableDailySummary[[#This Row],[Órden promedio totales]]*TableDailySummary[[#This Row],[CR totales]]</f>
        <v>0</v>
      </c>
      <c r="I675" s="11">
        <f>_xlfn.XLOOKUP(TableDailySummary[[#This Row],[Fecha]],SummaryDaily[day],SummaryDaily[new_net_sales],0)</f>
        <v>0</v>
      </c>
      <c r="J675" s="11">
        <f>_xlfn.XLOOKUP(TableDailySummary[[#This Row],[Fecha]],SummaryDaily[day],SummaryDaily[new_orders],0)</f>
        <v>0</v>
      </c>
      <c r="K675" s="11">
        <f>_xlfn.XLOOKUP(TableDailySummary[[#This Row],[Fecha]],SummaryDaily[day],SummaryDaily[new_average_order_value],0)</f>
        <v>0</v>
      </c>
      <c r="L675" s="11">
        <f>_xlfn.XLOOKUP(TableDailySummary[[#This Row],[Fecha]],SummaryDaily[day],SummaryDaily[Online Store_net_sales],0)</f>
        <v>0</v>
      </c>
      <c r="M675" s="11">
        <f>_xlfn.XLOOKUP(TableDailySummary[[#This Row],[Fecha]],SummaryDaily[day],SummaryDaily[Online Store_orders],0)</f>
        <v>0</v>
      </c>
      <c r="N675" s="11">
        <f>_xlfn.XLOOKUP(TableDailySummary[[#This Row],[Fecha]],SummaryDaily[day],SummaryDaily[Online Store_average_order_value],0)</f>
        <v>0</v>
      </c>
      <c r="O675" s="11">
        <f>_xlfn.XLOOKUP(TableDailySummary[[#This Row],[Fecha]],SummaryDaily[day],SummaryDaily[Tienda 81_net_sales],0)</f>
        <v>0</v>
      </c>
      <c r="P675" s="11">
        <f>_xlfn.XLOOKUP(TableDailySummary[[#This Row],[Fecha]],SummaryDaily[day],SummaryDaily[Tienda 81_orders],0)</f>
        <v>0</v>
      </c>
      <c r="Q675" s="11">
        <f>_xlfn.XLOOKUP(TableDailySummary[[#This Row],[Fecha]],SummaryDaily[day],SummaryDaily[Tienda 81_average_order_value],0)</f>
        <v>0</v>
      </c>
      <c r="R675" s="11">
        <f>_xlfn.XLOOKUP(TableDailySummary[[#This Row],[Fecha]],SummaryDaily[day],SummaryDaily[Rappi_net_sales],0)</f>
        <v>0</v>
      </c>
      <c r="S675" s="11">
        <f>_xlfn.XLOOKUP(TableDailySummary[[#This Row],[Fecha]],SummaryDaily[day],SummaryDaily[Rappi_orders],0)</f>
        <v>0</v>
      </c>
      <c r="T675" s="11">
        <f>_xlfn.XLOOKUP(TableDailySummary[[#This Row],[Fecha]],SummaryDaily[day],SummaryDaily[Rappi_average_order_value],0)</f>
        <v>0</v>
      </c>
      <c r="U675" s="11">
        <f>_xlfn.XLOOKUP(TableDailySummary[[#This Row],[Fecha]],SummaryDaily[day],SummaryDaily[Corporativo no tienda_net_sales],0)</f>
        <v>0</v>
      </c>
      <c r="V675" s="11">
        <f>_xlfn.XLOOKUP(TableDailySummary[[#This Row],[Fecha]],SummaryDaily[day],SummaryDaily[Corporativo no tienda_orders],0)</f>
        <v>0</v>
      </c>
      <c r="W675" s="11">
        <f>_xlfn.XLOOKUP(TableDailySummary[[#This Row],[Fecha]],SummaryDaily[day],SummaryDaily[Corporativo no tienda_average_order_value],0)</f>
        <v>0</v>
      </c>
      <c r="X675" s="11">
        <f>_xlfn.XLOOKUP(TableDailySummary[[#This Row],[Fecha]],SummaryDaily[day],SummaryDaily[GoogleAdsOperation.Cost],0)</f>
        <v>0</v>
      </c>
      <c r="Y675" s="11">
        <f>SUMIFS(SalesByUTMDaily[google],SalesByUTMDaily[day],TableDailySummary[[#This Row],[Fecha]])</f>
        <v>0</v>
      </c>
      <c r="Z675" s="11">
        <f>_xlfn.XLOOKUP(TableDailySummary[[#This Row],[Fecha]],SummaryDaily[day],SummaryDaily[MetaAdsOperation.spend],0)</f>
        <v>0</v>
      </c>
      <c r="AA675" s="11">
        <f>SUMIFS(SalesByUTMDaily[facebook],SalesByUTMDaily[day],TableDailySummary[[#This Row],[Fecha]])</f>
        <v>0</v>
      </c>
      <c r="AB675" s="11">
        <f>TableDailySummary[[#This Row],[Inversión google ads]]+TableDailySummary[[#This Row],[Inversión meta ads]]</f>
        <v>0</v>
      </c>
      <c r="AC675" s="11">
        <f>TableDailySummary[[#This Row],[Ventas google ads]]+TableDailySummary[[#This Row],[Ventas meta ads]]</f>
        <v>0</v>
      </c>
      <c r="AD675" s="14">
        <f>IFERROR(TableDailySummary[[#This Row],[Ventas publicidad]]/TableDailySummary[[#This Row],[Inversión publicidad]],0)</f>
        <v>0</v>
      </c>
      <c r="AE675" s="14">
        <f>IFERROR(TableDailySummary[[#This Row],[Ventas primer cliente]]/TableDailySummary[[#This Row],[Inversión publicidad]],0)</f>
        <v>0</v>
      </c>
      <c r="AF675" s="14"/>
      <c r="AG675" s="11"/>
      <c r="AM675" s="11">
        <f>_xlfn.XLOOKUP(TableDailySummary[[#This Row],[Fecha]],SummaryDaily[day],SummaryDaily[net_sales_with_cost_recorded],0)</f>
        <v>0</v>
      </c>
      <c r="AN675" s="11">
        <f>_xlfn.XLOOKUP(TableDailySummary[[#This Row],[Fecha]],SummaryDaily[day],SummaryDaily[cost_of_goods_sold],0)</f>
        <v>0</v>
      </c>
      <c r="AO675" s="11">
        <f>_xlfn.XLOOKUP(TableDailySummary[[#This Row],[Fecha]],SummaryDaily[day],SummaryDaily[gross_profit],0)</f>
        <v>0</v>
      </c>
      <c r="AP675" s="18">
        <f>IFERROR(TableDailySummary[[#This Row],[Utilidad bruta]]/TableDailySummary[[#This Row],[Ventas netas con costo registrado]],0)</f>
        <v>0</v>
      </c>
    </row>
    <row r="676" spans="2:42" x14ac:dyDescent="0.2">
      <c r="B676" s="15" cm="1">
        <f t="array" ref="B676">ParamFechaInicioReporte + (ROW(TableDailySummary[#This Row]) - ROW(TableDailySummary[[#Headers],[Dia]]) - 1)</f>
        <v>45203</v>
      </c>
      <c r="C676" s="6">
        <f>TableDailySummary[[#This Row],[Dia]]</f>
        <v>45203</v>
      </c>
      <c r="D676" s="11">
        <f>_xlfn.XLOOKUP(TableDailySummary[[#This Row],[Fecha]],SummaryDaily[day],SummaryDaily[net_sales],0)</f>
        <v>0</v>
      </c>
      <c r="E676" s="11">
        <f>_xlfn.XLOOKUP(TableDailySummary[[#This Row],[Fecha]],SummaryDaily[day],SummaryDaily[orders],0)</f>
        <v>0</v>
      </c>
      <c r="F676" s="11">
        <f>_xlfn.XLOOKUP(TableDailySummary[[#This Row],[Fecha]],SummaryDaily[day],SummaryDaily[average_order_value],0)</f>
        <v>0</v>
      </c>
      <c r="G676" s="24" cm="1">
        <f t="array" ref="G676">_xlfn.XLOOKUP(TableDailySummary[[#This Row],[Fecha]]&amp;"Total site",ConversionRateByReferral[day]&amp;ConversionRateByReferral[referrer_source],ConversionRateByReferral[conversion_rate],0)</f>
        <v>0</v>
      </c>
      <c r="H676" s="11">
        <f>TableDailySummary[[#This Row],[Órden promedio totales]]*TableDailySummary[[#This Row],[CR totales]]</f>
        <v>0</v>
      </c>
      <c r="I676" s="11">
        <f>_xlfn.XLOOKUP(TableDailySummary[[#This Row],[Fecha]],SummaryDaily[day],SummaryDaily[new_net_sales],0)</f>
        <v>0</v>
      </c>
      <c r="J676" s="11">
        <f>_xlfn.XLOOKUP(TableDailySummary[[#This Row],[Fecha]],SummaryDaily[day],SummaryDaily[new_orders],0)</f>
        <v>0</v>
      </c>
      <c r="K676" s="11">
        <f>_xlfn.XLOOKUP(TableDailySummary[[#This Row],[Fecha]],SummaryDaily[day],SummaryDaily[new_average_order_value],0)</f>
        <v>0</v>
      </c>
      <c r="L676" s="11">
        <f>_xlfn.XLOOKUP(TableDailySummary[[#This Row],[Fecha]],SummaryDaily[day],SummaryDaily[Online Store_net_sales],0)</f>
        <v>0</v>
      </c>
      <c r="M676" s="11">
        <f>_xlfn.XLOOKUP(TableDailySummary[[#This Row],[Fecha]],SummaryDaily[day],SummaryDaily[Online Store_orders],0)</f>
        <v>0</v>
      </c>
      <c r="N676" s="11">
        <f>_xlfn.XLOOKUP(TableDailySummary[[#This Row],[Fecha]],SummaryDaily[day],SummaryDaily[Online Store_average_order_value],0)</f>
        <v>0</v>
      </c>
      <c r="O676" s="11">
        <f>_xlfn.XLOOKUP(TableDailySummary[[#This Row],[Fecha]],SummaryDaily[day],SummaryDaily[Tienda 81_net_sales],0)</f>
        <v>0</v>
      </c>
      <c r="P676" s="11">
        <f>_xlfn.XLOOKUP(TableDailySummary[[#This Row],[Fecha]],SummaryDaily[day],SummaryDaily[Tienda 81_orders],0)</f>
        <v>0</v>
      </c>
      <c r="Q676" s="11">
        <f>_xlfn.XLOOKUP(TableDailySummary[[#This Row],[Fecha]],SummaryDaily[day],SummaryDaily[Tienda 81_average_order_value],0)</f>
        <v>0</v>
      </c>
      <c r="R676" s="11">
        <f>_xlfn.XLOOKUP(TableDailySummary[[#This Row],[Fecha]],SummaryDaily[day],SummaryDaily[Rappi_net_sales],0)</f>
        <v>0</v>
      </c>
      <c r="S676" s="11">
        <f>_xlfn.XLOOKUP(TableDailySummary[[#This Row],[Fecha]],SummaryDaily[day],SummaryDaily[Rappi_orders],0)</f>
        <v>0</v>
      </c>
      <c r="T676" s="11">
        <f>_xlfn.XLOOKUP(TableDailySummary[[#This Row],[Fecha]],SummaryDaily[day],SummaryDaily[Rappi_average_order_value],0)</f>
        <v>0</v>
      </c>
      <c r="U676" s="11">
        <f>_xlfn.XLOOKUP(TableDailySummary[[#This Row],[Fecha]],SummaryDaily[day],SummaryDaily[Corporativo no tienda_net_sales],0)</f>
        <v>0</v>
      </c>
      <c r="V676" s="11">
        <f>_xlfn.XLOOKUP(TableDailySummary[[#This Row],[Fecha]],SummaryDaily[day],SummaryDaily[Corporativo no tienda_orders],0)</f>
        <v>0</v>
      </c>
      <c r="W676" s="11">
        <f>_xlfn.XLOOKUP(TableDailySummary[[#This Row],[Fecha]],SummaryDaily[day],SummaryDaily[Corporativo no tienda_average_order_value],0)</f>
        <v>0</v>
      </c>
      <c r="X676" s="11">
        <f>_xlfn.XLOOKUP(TableDailySummary[[#This Row],[Fecha]],SummaryDaily[day],SummaryDaily[GoogleAdsOperation.Cost],0)</f>
        <v>0</v>
      </c>
      <c r="Y676" s="11">
        <f>SUMIFS(SalesByUTMDaily[google],SalesByUTMDaily[day],TableDailySummary[[#This Row],[Fecha]])</f>
        <v>0</v>
      </c>
      <c r="Z676" s="11">
        <f>_xlfn.XLOOKUP(TableDailySummary[[#This Row],[Fecha]],SummaryDaily[day],SummaryDaily[MetaAdsOperation.spend],0)</f>
        <v>0</v>
      </c>
      <c r="AA676" s="11">
        <f>SUMIFS(SalesByUTMDaily[facebook],SalesByUTMDaily[day],TableDailySummary[[#This Row],[Fecha]])</f>
        <v>0</v>
      </c>
      <c r="AB676" s="11">
        <f>TableDailySummary[[#This Row],[Inversión google ads]]+TableDailySummary[[#This Row],[Inversión meta ads]]</f>
        <v>0</v>
      </c>
      <c r="AC676" s="11">
        <f>TableDailySummary[[#This Row],[Ventas google ads]]+TableDailySummary[[#This Row],[Ventas meta ads]]</f>
        <v>0</v>
      </c>
      <c r="AD676" s="14">
        <f>IFERROR(TableDailySummary[[#This Row],[Ventas publicidad]]/TableDailySummary[[#This Row],[Inversión publicidad]],0)</f>
        <v>0</v>
      </c>
      <c r="AE676" s="14">
        <f>IFERROR(TableDailySummary[[#This Row],[Ventas primer cliente]]/TableDailySummary[[#This Row],[Inversión publicidad]],0)</f>
        <v>0</v>
      </c>
      <c r="AF676" s="14"/>
      <c r="AG676" s="11"/>
      <c r="AM676" s="11">
        <f>_xlfn.XLOOKUP(TableDailySummary[[#This Row],[Fecha]],SummaryDaily[day],SummaryDaily[net_sales_with_cost_recorded],0)</f>
        <v>0</v>
      </c>
      <c r="AN676" s="11">
        <f>_xlfn.XLOOKUP(TableDailySummary[[#This Row],[Fecha]],SummaryDaily[day],SummaryDaily[cost_of_goods_sold],0)</f>
        <v>0</v>
      </c>
      <c r="AO676" s="11">
        <f>_xlfn.XLOOKUP(TableDailySummary[[#This Row],[Fecha]],SummaryDaily[day],SummaryDaily[gross_profit],0)</f>
        <v>0</v>
      </c>
      <c r="AP676" s="18">
        <f>IFERROR(TableDailySummary[[#This Row],[Utilidad bruta]]/TableDailySummary[[#This Row],[Ventas netas con costo registrado]],0)</f>
        <v>0</v>
      </c>
    </row>
    <row r="677" spans="2:42" x14ac:dyDescent="0.2">
      <c r="B677" s="15" cm="1">
        <f t="array" ref="B677">ParamFechaInicioReporte + (ROW(TableDailySummary[#This Row]) - ROW(TableDailySummary[[#Headers],[Dia]]) - 1)</f>
        <v>45204</v>
      </c>
      <c r="C677" s="6">
        <f>TableDailySummary[[#This Row],[Dia]]</f>
        <v>45204</v>
      </c>
      <c r="D677" s="11">
        <f>_xlfn.XLOOKUP(TableDailySummary[[#This Row],[Fecha]],SummaryDaily[day],SummaryDaily[net_sales],0)</f>
        <v>0</v>
      </c>
      <c r="E677" s="11">
        <f>_xlfn.XLOOKUP(TableDailySummary[[#This Row],[Fecha]],SummaryDaily[day],SummaryDaily[orders],0)</f>
        <v>0</v>
      </c>
      <c r="F677" s="11">
        <f>_xlfn.XLOOKUP(TableDailySummary[[#This Row],[Fecha]],SummaryDaily[day],SummaryDaily[average_order_value],0)</f>
        <v>0</v>
      </c>
      <c r="G677" s="24" cm="1">
        <f t="array" ref="G677">_xlfn.XLOOKUP(TableDailySummary[[#This Row],[Fecha]]&amp;"Total site",ConversionRateByReferral[day]&amp;ConversionRateByReferral[referrer_source],ConversionRateByReferral[conversion_rate],0)</f>
        <v>0</v>
      </c>
      <c r="H677" s="11">
        <f>TableDailySummary[[#This Row],[Órden promedio totales]]*TableDailySummary[[#This Row],[CR totales]]</f>
        <v>0</v>
      </c>
      <c r="I677" s="11">
        <f>_xlfn.XLOOKUP(TableDailySummary[[#This Row],[Fecha]],SummaryDaily[day],SummaryDaily[new_net_sales],0)</f>
        <v>0</v>
      </c>
      <c r="J677" s="11">
        <f>_xlfn.XLOOKUP(TableDailySummary[[#This Row],[Fecha]],SummaryDaily[day],SummaryDaily[new_orders],0)</f>
        <v>0</v>
      </c>
      <c r="K677" s="11">
        <f>_xlfn.XLOOKUP(TableDailySummary[[#This Row],[Fecha]],SummaryDaily[day],SummaryDaily[new_average_order_value],0)</f>
        <v>0</v>
      </c>
      <c r="L677" s="11">
        <f>_xlfn.XLOOKUP(TableDailySummary[[#This Row],[Fecha]],SummaryDaily[day],SummaryDaily[Online Store_net_sales],0)</f>
        <v>0</v>
      </c>
      <c r="M677" s="11">
        <f>_xlfn.XLOOKUP(TableDailySummary[[#This Row],[Fecha]],SummaryDaily[day],SummaryDaily[Online Store_orders],0)</f>
        <v>0</v>
      </c>
      <c r="N677" s="11">
        <f>_xlfn.XLOOKUP(TableDailySummary[[#This Row],[Fecha]],SummaryDaily[day],SummaryDaily[Online Store_average_order_value],0)</f>
        <v>0</v>
      </c>
      <c r="O677" s="11">
        <f>_xlfn.XLOOKUP(TableDailySummary[[#This Row],[Fecha]],SummaryDaily[day],SummaryDaily[Tienda 81_net_sales],0)</f>
        <v>0</v>
      </c>
      <c r="P677" s="11">
        <f>_xlfn.XLOOKUP(TableDailySummary[[#This Row],[Fecha]],SummaryDaily[day],SummaryDaily[Tienda 81_orders],0)</f>
        <v>0</v>
      </c>
      <c r="Q677" s="11">
        <f>_xlfn.XLOOKUP(TableDailySummary[[#This Row],[Fecha]],SummaryDaily[day],SummaryDaily[Tienda 81_average_order_value],0)</f>
        <v>0</v>
      </c>
      <c r="R677" s="11">
        <f>_xlfn.XLOOKUP(TableDailySummary[[#This Row],[Fecha]],SummaryDaily[day],SummaryDaily[Rappi_net_sales],0)</f>
        <v>0</v>
      </c>
      <c r="S677" s="11">
        <f>_xlfn.XLOOKUP(TableDailySummary[[#This Row],[Fecha]],SummaryDaily[day],SummaryDaily[Rappi_orders],0)</f>
        <v>0</v>
      </c>
      <c r="T677" s="11">
        <f>_xlfn.XLOOKUP(TableDailySummary[[#This Row],[Fecha]],SummaryDaily[day],SummaryDaily[Rappi_average_order_value],0)</f>
        <v>0</v>
      </c>
      <c r="U677" s="11">
        <f>_xlfn.XLOOKUP(TableDailySummary[[#This Row],[Fecha]],SummaryDaily[day],SummaryDaily[Corporativo no tienda_net_sales],0)</f>
        <v>0</v>
      </c>
      <c r="V677" s="11">
        <f>_xlfn.XLOOKUP(TableDailySummary[[#This Row],[Fecha]],SummaryDaily[day],SummaryDaily[Corporativo no tienda_orders],0)</f>
        <v>0</v>
      </c>
      <c r="W677" s="11">
        <f>_xlfn.XLOOKUP(TableDailySummary[[#This Row],[Fecha]],SummaryDaily[day],SummaryDaily[Corporativo no tienda_average_order_value],0)</f>
        <v>0</v>
      </c>
      <c r="X677" s="11">
        <f>_xlfn.XLOOKUP(TableDailySummary[[#This Row],[Fecha]],SummaryDaily[day],SummaryDaily[GoogleAdsOperation.Cost],0)</f>
        <v>0</v>
      </c>
      <c r="Y677" s="11">
        <f>SUMIFS(SalesByUTMDaily[google],SalesByUTMDaily[day],TableDailySummary[[#This Row],[Fecha]])</f>
        <v>0</v>
      </c>
      <c r="Z677" s="11">
        <f>_xlfn.XLOOKUP(TableDailySummary[[#This Row],[Fecha]],SummaryDaily[day],SummaryDaily[MetaAdsOperation.spend],0)</f>
        <v>0</v>
      </c>
      <c r="AA677" s="11">
        <f>SUMIFS(SalesByUTMDaily[facebook],SalesByUTMDaily[day],TableDailySummary[[#This Row],[Fecha]])</f>
        <v>0</v>
      </c>
      <c r="AB677" s="11">
        <f>TableDailySummary[[#This Row],[Inversión google ads]]+TableDailySummary[[#This Row],[Inversión meta ads]]</f>
        <v>0</v>
      </c>
      <c r="AC677" s="11">
        <f>TableDailySummary[[#This Row],[Ventas google ads]]+TableDailySummary[[#This Row],[Ventas meta ads]]</f>
        <v>0</v>
      </c>
      <c r="AD677" s="14">
        <f>IFERROR(TableDailySummary[[#This Row],[Ventas publicidad]]/TableDailySummary[[#This Row],[Inversión publicidad]],0)</f>
        <v>0</v>
      </c>
      <c r="AE677" s="14">
        <f>IFERROR(TableDailySummary[[#This Row],[Ventas primer cliente]]/TableDailySummary[[#This Row],[Inversión publicidad]],0)</f>
        <v>0</v>
      </c>
      <c r="AF677" s="14"/>
      <c r="AG677" s="11"/>
      <c r="AM677" s="11">
        <f>_xlfn.XLOOKUP(TableDailySummary[[#This Row],[Fecha]],SummaryDaily[day],SummaryDaily[net_sales_with_cost_recorded],0)</f>
        <v>0</v>
      </c>
      <c r="AN677" s="11">
        <f>_xlfn.XLOOKUP(TableDailySummary[[#This Row],[Fecha]],SummaryDaily[day],SummaryDaily[cost_of_goods_sold],0)</f>
        <v>0</v>
      </c>
      <c r="AO677" s="11">
        <f>_xlfn.XLOOKUP(TableDailySummary[[#This Row],[Fecha]],SummaryDaily[day],SummaryDaily[gross_profit],0)</f>
        <v>0</v>
      </c>
      <c r="AP677" s="18">
        <f>IFERROR(TableDailySummary[[#This Row],[Utilidad bruta]]/TableDailySummary[[#This Row],[Ventas netas con costo registrado]],0)</f>
        <v>0</v>
      </c>
    </row>
    <row r="678" spans="2:42" x14ac:dyDescent="0.2">
      <c r="B678" s="15" cm="1">
        <f t="array" ref="B678">ParamFechaInicioReporte + (ROW(TableDailySummary[#This Row]) - ROW(TableDailySummary[[#Headers],[Dia]]) - 1)</f>
        <v>45205</v>
      </c>
      <c r="C678" s="6">
        <f>TableDailySummary[[#This Row],[Dia]]</f>
        <v>45205</v>
      </c>
      <c r="D678" s="11">
        <f>_xlfn.XLOOKUP(TableDailySummary[[#This Row],[Fecha]],SummaryDaily[day],SummaryDaily[net_sales],0)</f>
        <v>0</v>
      </c>
      <c r="E678" s="11">
        <f>_xlfn.XLOOKUP(TableDailySummary[[#This Row],[Fecha]],SummaryDaily[day],SummaryDaily[orders],0)</f>
        <v>0</v>
      </c>
      <c r="F678" s="11">
        <f>_xlfn.XLOOKUP(TableDailySummary[[#This Row],[Fecha]],SummaryDaily[day],SummaryDaily[average_order_value],0)</f>
        <v>0</v>
      </c>
      <c r="G678" s="24" cm="1">
        <f t="array" ref="G678">_xlfn.XLOOKUP(TableDailySummary[[#This Row],[Fecha]]&amp;"Total site",ConversionRateByReferral[day]&amp;ConversionRateByReferral[referrer_source],ConversionRateByReferral[conversion_rate],0)</f>
        <v>0</v>
      </c>
      <c r="H678" s="11">
        <f>TableDailySummary[[#This Row],[Órden promedio totales]]*TableDailySummary[[#This Row],[CR totales]]</f>
        <v>0</v>
      </c>
      <c r="I678" s="11">
        <f>_xlfn.XLOOKUP(TableDailySummary[[#This Row],[Fecha]],SummaryDaily[day],SummaryDaily[new_net_sales],0)</f>
        <v>0</v>
      </c>
      <c r="J678" s="11">
        <f>_xlfn.XLOOKUP(TableDailySummary[[#This Row],[Fecha]],SummaryDaily[day],SummaryDaily[new_orders],0)</f>
        <v>0</v>
      </c>
      <c r="K678" s="11">
        <f>_xlfn.XLOOKUP(TableDailySummary[[#This Row],[Fecha]],SummaryDaily[day],SummaryDaily[new_average_order_value],0)</f>
        <v>0</v>
      </c>
      <c r="L678" s="11">
        <f>_xlfn.XLOOKUP(TableDailySummary[[#This Row],[Fecha]],SummaryDaily[day],SummaryDaily[Online Store_net_sales],0)</f>
        <v>0</v>
      </c>
      <c r="M678" s="11">
        <f>_xlfn.XLOOKUP(TableDailySummary[[#This Row],[Fecha]],SummaryDaily[day],SummaryDaily[Online Store_orders],0)</f>
        <v>0</v>
      </c>
      <c r="N678" s="11">
        <f>_xlfn.XLOOKUP(TableDailySummary[[#This Row],[Fecha]],SummaryDaily[day],SummaryDaily[Online Store_average_order_value],0)</f>
        <v>0</v>
      </c>
      <c r="O678" s="11">
        <f>_xlfn.XLOOKUP(TableDailySummary[[#This Row],[Fecha]],SummaryDaily[day],SummaryDaily[Tienda 81_net_sales],0)</f>
        <v>0</v>
      </c>
      <c r="P678" s="11">
        <f>_xlfn.XLOOKUP(TableDailySummary[[#This Row],[Fecha]],SummaryDaily[day],SummaryDaily[Tienda 81_orders],0)</f>
        <v>0</v>
      </c>
      <c r="Q678" s="11">
        <f>_xlfn.XLOOKUP(TableDailySummary[[#This Row],[Fecha]],SummaryDaily[day],SummaryDaily[Tienda 81_average_order_value],0)</f>
        <v>0</v>
      </c>
      <c r="R678" s="11">
        <f>_xlfn.XLOOKUP(TableDailySummary[[#This Row],[Fecha]],SummaryDaily[day],SummaryDaily[Rappi_net_sales],0)</f>
        <v>0</v>
      </c>
      <c r="S678" s="11">
        <f>_xlfn.XLOOKUP(TableDailySummary[[#This Row],[Fecha]],SummaryDaily[day],SummaryDaily[Rappi_orders],0)</f>
        <v>0</v>
      </c>
      <c r="T678" s="11">
        <f>_xlfn.XLOOKUP(TableDailySummary[[#This Row],[Fecha]],SummaryDaily[day],SummaryDaily[Rappi_average_order_value],0)</f>
        <v>0</v>
      </c>
      <c r="U678" s="11">
        <f>_xlfn.XLOOKUP(TableDailySummary[[#This Row],[Fecha]],SummaryDaily[day],SummaryDaily[Corporativo no tienda_net_sales],0)</f>
        <v>0</v>
      </c>
      <c r="V678" s="11">
        <f>_xlfn.XLOOKUP(TableDailySummary[[#This Row],[Fecha]],SummaryDaily[day],SummaryDaily[Corporativo no tienda_orders],0)</f>
        <v>0</v>
      </c>
      <c r="W678" s="11">
        <f>_xlfn.XLOOKUP(TableDailySummary[[#This Row],[Fecha]],SummaryDaily[day],SummaryDaily[Corporativo no tienda_average_order_value],0)</f>
        <v>0</v>
      </c>
      <c r="X678" s="11">
        <f>_xlfn.XLOOKUP(TableDailySummary[[#This Row],[Fecha]],SummaryDaily[day],SummaryDaily[GoogleAdsOperation.Cost],0)</f>
        <v>0</v>
      </c>
      <c r="Y678" s="11">
        <f>SUMIFS(SalesByUTMDaily[google],SalesByUTMDaily[day],TableDailySummary[[#This Row],[Fecha]])</f>
        <v>0</v>
      </c>
      <c r="Z678" s="11">
        <f>_xlfn.XLOOKUP(TableDailySummary[[#This Row],[Fecha]],SummaryDaily[day],SummaryDaily[MetaAdsOperation.spend],0)</f>
        <v>0</v>
      </c>
      <c r="AA678" s="11">
        <f>SUMIFS(SalesByUTMDaily[facebook],SalesByUTMDaily[day],TableDailySummary[[#This Row],[Fecha]])</f>
        <v>0</v>
      </c>
      <c r="AB678" s="11">
        <f>TableDailySummary[[#This Row],[Inversión google ads]]+TableDailySummary[[#This Row],[Inversión meta ads]]</f>
        <v>0</v>
      </c>
      <c r="AC678" s="11">
        <f>TableDailySummary[[#This Row],[Ventas google ads]]+TableDailySummary[[#This Row],[Ventas meta ads]]</f>
        <v>0</v>
      </c>
      <c r="AD678" s="14">
        <f>IFERROR(TableDailySummary[[#This Row],[Ventas publicidad]]/TableDailySummary[[#This Row],[Inversión publicidad]],0)</f>
        <v>0</v>
      </c>
      <c r="AE678" s="14">
        <f>IFERROR(TableDailySummary[[#This Row],[Ventas primer cliente]]/TableDailySummary[[#This Row],[Inversión publicidad]],0)</f>
        <v>0</v>
      </c>
      <c r="AF678" s="14"/>
      <c r="AG678" s="11"/>
      <c r="AM678" s="11">
        <f>_xlfn.XLOOKUP(TableDailySummary[[#This Row],[Fecha]],SummaryDaily[day],SummaryDaily[net_sales_with_cost_recorded],0)</f>
        <v>0</v>
      </c>
      <c r="AN678" s="11">
        <f>_xlfn.XLOOKUP(TableDailySummary[[#This Row],[Fecha]],SummaryDaily[day],SummaryDaily[cost_of_goods_sold],0)</f>
        <v>0</v>
      </c>
      <c r="AO678" s="11">
        <f>_xlfn.XLOOKUP(TableDailySummary[[#This Row],[Fecha]],SummaryDaily[day],SummaryDaily[gross_profit],0)</f>
        <v>0</v>
      </c>
      <c r="AP678" s="18">
        <f>IFERROR(TableDailySummary[[#This Row],[Utilidad bruta]]/TableDailySummary[[#This Row],[Ventas netas con costo registrado]],0)</f>
        <v>0</v>
      </c>
    </row>
    <row r="679" spans="2:42" x14ac:dyDescent="0.2">
      <c r="B679" s="15" cm="1">
        <f t="array" ref="B679">ParamFechaInicioReporte + (ROW(TableDailySummary[#This Row]) - ROW(TableDailySummary[[#Headers],[Dia]]) - 1)</f>
        <v>45206</v>
      </c>
      <c r="C679" s="6">
        <f>TableDailySummary[[#This Row],[Dia]]</f>
        <v>45206</v>
      </c>
      <c r="D679" s="11">
        <f>_xlfn.XLOOKUP(TableDailySummary[[#This Row],[Fecha]],SummaryDaily[day],SummaryDaily[net_sales],0)</f>
        <v>0</v>
      </c>
      <c r="E679" s="11">
        <f>_xlfn.XLOOKUP(TableDailySummary[[#This Row],[Fecha]],SummaryDaily[day],SummaryDaily[orders],0)</f>
        <v>0</v>
      </c>
      <c r="F679" s="11">
        <f>_xlfn.XLOOKUP(TableDailySummary[[#This Row],[Fecha]],SummaryDaily[day],SummaryDaily[average_order_value],0)</f>
        <v>0</v>
      </c>
      <c r="G679" s="24" cm="1">
        <f t="array" ref="G679">_xlfn.XLOOKUP(TableDailySummary[[#This Row],[Fecha]]&amp;"Total site",ConversionRateByReferral[day]&amp;ConversionRateByReferral[referrer_source],ConversionRateByReferral[conversion_rate],0)</f>
        <v>0</v>
      </c>
      <c r="H679" s="11">
        <f>TableDailySummary[[#This Row],[Órden promedio totales]]*TableDailySummary[[#This Row],[CR totales]]</f>
        <v>0</v>
      </c>
      <c r="I679" s="11">
        <f>_xlfn.XLOOKUP(TableDailySummary[[#This Row],[Fecha]],SummaryDaily[day],SummaryDaily[new_net_sales],0)</f>
        <v>0</v>
      </c>
      <c r="J679" s="11">
        <f>_xlfn.XLOOKUP(TableDailySummary[[#This Row],[Fecha]],SummaryDaily[day],SummaryDaily[new_orders],0)</f>
        <v>0</v>
      </c>
      <c r="K679" s="11">
        <f>_xlfn.XLOOKUP(TableDailySummary[[#This Row],[Fecha]],SummaryDaily[day],SummaryDaily[new_average_order_value],0)</f>
        <v>0</v>
      </c>
      <c r="L679" s="11">
        <f>_xlfn.XLOOKUP(TableDailySummary[[#This Row],[Fecha]],SummaryDaily[day],SummaryDaily[Online Store_net_sales],0)</f>
        <v>0</v>
      </c>
      <c r="M679" s="11">
        <f>_xlfn.XLOOKUP(TableDailySummary[[#This Row],[Fecha]],SummaryDaily[day],SummaryDaily[Online Store_orders],0)</f>
        <v>0</v>
      </c>
      <c r="N679" s="11">
        <f>_xlfn.XLOOKUP(TableDailySummary[[#This Row],[Fecha]],SummaryDaily[day],SummaryDaily[Online Store_average_order_value],0)</f>
        <v>0</v>
      </c>
      <c r="O679" s="11">
        <f>_xlfn.XLOOKUP(TableDailySummary[[#This Row],[Fecha]],SummaryDaily[day],SummaryDaily[Tienda 81_net_sales],0)</f>
        <v>0</v>
      </c>
      <c r="P679" s="11">
        <f>_xlfn.XLOOKUP(TableDailySummary[[#This Row],[Fecha]],SummaryDaily[day],SummaryDaily[Tienda 81_orders],0)</f>
        <v>0</v>
      </c>
      <c r="Q679" s="11">
        <f>_xlfn.XLOOKUP(TableDailySummary[[#This Row],[Fecha]],SummaryDaily[day],SummaryDaily[Tienda 81_average_order_value],0)</f>
        <v>0</v>
      </c>
      <c r="R679" s="11">
        <f>_xlfn.XLOOKUP(TableDailySummary[[#This Row],[Fecha]],SummaryDaily[day],SummaryDaily[Rappi_net_sales],0)</f>
        <v>0</v>
      </c>
      <c r="S679" s="11">
        <f>_xlfn.XLOOKUP(TableDailySummary[[#This Row],[Fecha]],SummaryDaily[day],SummaryDaily[Rappi_orders],0)</f>
        <v>0</v>
      </c>
      <c r="T679" s="11">
        <f>_xlfn.XLOOKUP(TableDailySummary[[#This Row],[Fecha]],SummaryDaily[day],SummaryDaily[Rappi_average_order_value],0)</f>
        <v>0</v>
      </c>
      <c r="U679" s="11">
        <f>_xlfn.XLOOKUP(TableDailySummary[[#This Row],[Fecha]],SummaryDaily[day],SummaryDaily[Corporativo no tienda_net_sales],0)</f>
        <v>0</v>
      </c>
      <c r="V679" s="11">
        <f>_xlfn.XLOOKUP(TableDailySummary[[#This Row],[Fecha]],SummaryDaily[day],SummaryDaily[Corporativo no tienda_orders],0)</f>
        <v>0</v>
      </c>
      <c r="W679" s="11">
        <f>_xlfn.XLOOKUP(TableDailySummary[[#This Row],[Fecha]],SummaryDaily[day],SummaryDaily[Corporativo no tienda_average_order_value],0)</f>
        <v>0</v>
      </c>
      <c r="X679" s="11">
        <f>_xlfn.XLOOKUP(TableDailySummary[[#This Row],[Fecha]],SummaryDaily[day],SummaryDaily[GoogleAdsOperation.Cost],0)</f>
        <v>0</v>
      </c>
      <c r="Y679" s="11">
        <f>SUMIFS(SalesByUTMDaily[google],SalesByUTMDaily[day],TableDailySummary[[#This Row],[Fecha]])</f>
        <v>0</v>
      </c>
      <c r="Z679" s="11">
        <f>_xlfn.XLOOKUP(TableDailySummary[[#This Row],[Fecha]],SummaryDaily[day],SummaryDaily[MetaAdsOperation.spend],0)</f>
        <v>0</v>
      </c>
      <c r="AA679" s="11">
        <f>SUMIFS(SalesByUTMDaily[facebook],SalesByUTMDaily[day],TableDailySummary[[#This Row],[Fecha]])</f>
        <v>0</v>
      </c>
      <c r="AB679" s="11">
        <f>TableDailySummary[[#This Row],[Inversión google ads]]+TableDailySummary[[#This Row],[Inversión meta ads]]</f>
        <v>0</v>
      </c>
      <c r="AC679" s="11">
        <f>TableDailySummary[[#This Row],[Ventas google ads]]+TableDailySummary[[#This Row],[Ventas meta ads]]</f>
        <v>0</v>
      </c>
      <c r="AD679" s="14">
        <f>IFERROR(TableDailySummary[[#This Row],[Ventas publicidad]]/TableDailySummary[[#This Row],[Inversión publicidad]],0)</f>
        <v>0</v>
      </c>
      <c r="AE679" s="14">
        <f>IFERROR(TableDailySummary[[#This Row],[Ventas primer cliente]]/TableDailySummary[[#This Row],[Inversión publicidad]],0)</f>
        <v>0</v>
      </c>
      <c r="AF679" s="14"/>
      <c r="AG679" s="11"/>
      <c r="AM679" s="11">
        <f>_xlfn.XLOOKUP(TableDailySummary[[#This Row],[Fecha]],SummaryDaily[day],SummaryDaily[net_sales_with_cost_recorded],0)</f>
        <v>0</v>
      </c>
      <c r="AN679" s="11">
        <f>_xlfn.XLOOKUP(TableDailySummary[[#This Row],[Fecha]],SummaryDaily[day],SummaryDaily[cost_of_goods_sold],0)</f>
        <v>0</v>
      </c>
      <c r="AO679" s="11">
        <f>_xlfn.XLOOKUP(TableDailySummary[[#This Row],[Fecha]],SummaryDaily[day],SummaryDaily[gross_profit],0)</f>
        <v>0</v>
      </c>
      <c r="AP679" s="18">
        <f>IFERROR(TableDailySummary[[#This Row],[Utilidad bruta]]/TableDailySummary[[#This Row],[Ventas netas con costo registrado]],0)</f>
        <v>0</v>
      </c>
    </row>
    <row r="680" spans="2:42" x14ac:dyDescent="0.2">
      <c r="B680" s="15" cm="1">
        <f t="array" ref="B680">ParamFechaInicioReporte + (ROW(TableDailySummary[#This Row]) - ROW(TableDailySummary[[#Headers],[Dia]]) - 1)</f>
        <v>45207</v>
      </c>
      <c r="C680" s="6">
        <f>TableDailySummary[[#This Row],[Dia]]</f>
        <v>45207</v>
      </c>
      <c r="D680" s="11">
        <f>_xlfn.XLOOKUP(TableDailySummary[[#This Row],[Fecha]],SummaryDaily[day],SummaryDaily[net_sales],0)</f>
        <v>0</v>
      </c>
      <c r="E680" s="11">
        <f>_xlfn.XLOOKUP(TableDailySummary[[#This Row],[Fecha]],SummaryDaily[day],SummaryDaily[orders],0)</f>
        <v>0</v>
      </c>
      <c r="F680" s="11">
        <f>_xlfn.XLOOKUP(TableDailySummary[[#This Row],[Fecha]],SummaryDaily[day],SummaryDaily[average_order_value],0)</f>
        <v>0</v>
      </c>
      <c r="G680" s="24" cm="1">
        <f t="array" ref="G680">_xlfn.XLOOKUP(TableDailySummary[[#This Row],[Fecha]]&amp;"Total site",ConversionRateByReferral[day]&amp;ConversionRateByReferral[referrer_source],ConversionRateByReferral[conversion_rate],0)</f>
        <v>0</v>
      </c>
      <c r="H680" s="11">
        <f>TableDailySummary[[#This Row],[Órden promedio totales]]*TableDailySummary[[#This Row],[CR totales]]</f>
        <v>0</v>
      </c>
      <c r="I680" s="11">
        <f>_xlfn.XLOOKUP(TableDailySummary[[#This Row],[Fecha]],SummaryDaily[day],SummaryDaily[new_net_sales],0)</f>
        <v>0</v>
      </c>
      <c r="J680" s="11">
        <f>_xlfn.XLOOKUP(TableDailySummary[[#This Row],[Fecha]],SummaryDaily[day],SummaryDaily[new_orders],0)</f>
        <v>0</v>
      </c>
      <c r="K680" s="11">
        <f>_xlfn.XLOOKUP(TableDailySummary[[#This Row],[Fecha]],SummaryDaily[day],SummaryDaily[new_average_order_value],0)</f>
        <v>0</v>
      </c>
      <c r="L680" s="11">
        <f>_xlfn.XLOOKUP(TableDailySummary[[#This Row],[Fecha]],SummaryDaily[day],SummaryDaily[Online Store_net_sales],0)</f>
        <v>0</v>
      </c>
      <c r="M680" s="11">
        <f>_xlfn.XLOOKUP(TableDailySummary[[#This Row],[Fecha]],SummaryDaily[day],SummaryDaily[Online Store_orders],0)</f>
        <v>0</v>
      </c>
      <c r="N680" s="11">
        <f>_xlfn.XLOOKUP(TableDailySummary[[#This Row],[Fecha]],SummaryDaily[day],SummaryDaily[Online Store_average_order_value],0)</f>
        <v>0</v>
      </c>
      <c r="O680" s="11">
        <f>_xlfn.XLOOKUP(TableDailySummary[[#This Row],[Fecha]],SummaryDaily[day],SummaryDaily[Tienda 81_net_sales],0)</f>
        <v>0</v>
      </c>
      <c r="P680" s="11">
        <f>_xlfn.XLOOKUP(TableDailySummary[[#This Row],[Fecha]],SummaryDaily[day],SummaryDaily[Tienda 81_orders],0)</f>
        <v>0</v>
      </c>
      <c r="Q680" s="11">
        <f>_xlfn.XLOOKUP(TableDailySummary[[#This Row],[Fecha]],SummaryDaily[day],SummaryDaily[Tienda 81_average_order_value],0)</f>
        <v>0</v>
      </c>
      <c r="R680" s="11">
        <f>_xlfn.XLOOKUP(TableDailySummary[[#This Row],[Fecha]],SummaryDaily[day],SummaryDaily[Rappi_net_sales],0)</f>
        <v>0</v>
      </c>
      <c r="S680" s="11">
        <f>_xlfn.XLOOKUP(TableDailySummary[[#This Row],[Fecha]],SummaryDaily[day],SummaryDaily[Rappi_orders],0)</f>
        <v>0</v>
      </c>
      <c r="T680" s="11">
        <f>_xlfn.XLOOKUP(TableDailySummary[[#This Row],[Fecha]],SummaryDaily[day],SummaryDaily[Rappi_average_order_value],0)</f>
        <v>0</v>
      </c>
      <c r="U680" s="11">
        <f>_xlfn.XLOOKUP(TableDailySummary[[#This Row],[Fecha]],SummaryDaily[day],SummaryDaily[Corporativo no tienda_net_sales],0)</f>
        <v>0</v>
      </c>
      <c r="V680" s="11">
        <f>_xlfn.XLOOKUP(TableDailySummary[[#This Row],[Fecha]],SummaryDaily[day],SummaryDaily[Corporativo no tienda_orders],0)</f>
        <v>0</v>
      </c>
      <c r="W680" s="11">
        <f>_xlfn.XLOOKUP(TableDailySummary[[#This Row],[Fecha]],SummaryDaily[day],SummaryDaily[Corporativo no tienda_average_order_value],0)</f>
        <v>0</v>
      </c>
      <c r="X680" s="11">
        <f>_xlfn.XLOOKUP(TableDailySummary[[#This Row],[Fecha]],SummaryDaily[day],SummaryDaily[GoogleAdsOperation.Cost],0)</f>
        <v>0</v>
      </c>
      <c r="Y680" s="11">
        <f>SUMIFS(SalesByUTMDaily[google],SalesByUTMDaily[day],TableDailySummary[[#This Row],[Fecha]])</f>
        <v>0</v>
      </c>
      <c r="Z680" s="11">
        <f>_xlfn.XLOOKUP(TableDailySummary[[#This Row],[Fecha]],SummaryDaily[day],SummaryDaily[MetaAdsOperation.spend],0)</f>
        <v>0</v>
      </c>
      <c r="AA680" s="11">
        <f>SUMIFS(SalesByUTMDaily[facebook],SalesByUTMDaily[day],TableDailySummary[[#This Row],[Fecha]])</f>
        <v>0</v>
      </c>
      <c r="AB680" s="11">
        <f>TableDailySummary[[#This Row],[Inversión google ads]]+TableDailySummary[[#This Row],[Inversión meta ads]]</f>
        <v>0</v>
      </c>
      <c r="AC680" s="11">
        <f>TableDailySummary[[#This Row],[Ventas google ads]]+TableDailySummary[[#This Row],[Ventas meta ads]]</f>
        <v>0</v>
      </c>
      <c r="AD680" s="14">
        <f>IFERROR(TableDailySummary[[#This Row],[Ventas publicidad]]/TableDailySummary[[#This Row],[Inversión publicidad]],0)</f>
        <v>0</v>
      </c>
      <c r="AE680" s="14">
        <f>IFERROR(TableDailySummary[[#This Row],[Ventas primer cliente]]/TableDailySummary[[#This Row],[Inversión publicidad]],0)</f>
        <v>0</v>
      </c>
      <c r="AF680" s="14"/>
      <c r="AG680" s="11"/>
      <c r="AM680" s="11">
        <f>_xlfn.XLOOKUP(TableDailySummary[[#This Row],[Fecha]],SummaryDaily[day],SummaryDaily[net_sales_with_cost_recorded],0)</f>
        <v>0</v>
      </c>
      <c r="AN680" s="11">
        <f>_xlfn.XLOOKUP(TableDailySummary[[#This Row],[Fecha]],SummaryDaily[day],SummaryDaily[cost_of_goods_sold],0)</f>
        <v>0</v>
      </c>
      <c r="AO680" s="11">
        <f>_xlfn.XLOOKUP(TableDailySummary[[#This Row],[Fecha]],SummaryDaily[day],SummaryDaily[gross_profit],0)</f>
        <v>0</v>
      </c>
      <c r="AP680" s="18">
        <f>IFERROR(TableDailySummary[[#This Row],[Utilidad bruta]]/TableDailySummary[[#This Row],[Ventas netas con costo registrado]],0)</f>
        <v>0</v>
      </c>
    </row>
    <row r="681" spans="2:42" x14ac:dyDescent="0.2">
      <c r="B681" s="15" cm="1">
        <f t="array" ref="B681">ParamFechaInicioReporte + (ROW(TableDailySummary[#This Row]) - ROW(TableDailySummary[[#Headers],[Dia]]) - 1)</f>
        <v>45208</v>
      </c>
      <c r="C681" s="6">
        <f>TableDailySummary[[#This Row],[Dia]]</f>
        <v>45208</v>
      </c>
      <c r="D681" s="11">
        <f>_xlfn.XLOOKUP(TableDailySummary[[#This Row],[Fecha]],SummaryDaily[day],SummaryDaily[net_sales],0)</f>
        <v>0</v>
      </c>
      <c r="E681" s="11">
        <f>_xlfn.XLOOKUP(TableDailySummary[[#This Row],[Fecha]],SummaryDaily[day],SummaryDaily[orders],0)</f>
        <v>0</v>
      </c>
      <c r="F681" s="11">
        <f>_xlfn.XLOOKUP(TableDailySummary[[#This Row],[Fecha]],SummaryDaily[day],SummaryDaily[average_order_value],0)</f>
        <v>0</v>
      </c>
      <c r="G681" s="24" cm="1">
        <f t="array" ref="G681">_xlfn.XLOOKUP(TableDailySummary[[#This Row],[Fecha]]&amp;"Total site",ConversionRateByReferral[day]&amp;ConversionRateByReferral[referrer_source],ConversionRateByReferral[conversion_rate],0)</f>
        <v>0</v>
      </c>
      <c r="H681" s="11">
        <f>TableDailySummary[[#This Row],[Órden promedio totales]]*TableDailySummary[[#This Row],[CR totales]]</f>
        <v>0</v>
      </c>
      <c r="I681" s="11">
        <f>_xlfn.XLOOKUP(TableDailySummary[[#This Row],[Fecha]],SummaryDaily[day],SummaryDaily[new_net_sales],0)</f>
        <v>0</v>
      </c>
      <c r="J681" s="11">
        <f>_xlfn.XLOOKUP(TableDailySummary[[#This Row],[Fecha]],SummaryDaily[day],SummaryDaily[new_orders],0)</f>
        <v>0</v>
      </c>
      <c r="K681" s="11">
        <f>_xlfn.XLOOKUP(TableDailySummary[[#This Row],[Fecha]],SummaryDaily[day],SummaryDaily[new_average_order_value],0)</f>
        <v>0</v>
      </c>
      <c r="L681" s="11">
        <f>_xlfn.XLOOKUP(TableDailySummary[[#This Row],[Fecha]],SummaryDaily[day],SummaryDaily[Online Store_net_sales],0)</f>
        <v>0</v>
      </c>
      <c r="M681" s="11">
        <f>_xlfn.XLOOKUP(TableDailySummary[[#This Row],[Fecha]],SummaryDaily[day],SummaryDaily[Online Store_orders],0)</f>
        <v>0</v>
      </c>
      <c r="N681" s="11">
        <f>_xlfn.XLOOKUP(TableDailySummary[[#This Row],[Fecha]],SummaryDaily[day],SummaryDaily[Online Store_average_order_value],0)</f>
        <v>0</v>
      </c>
      <c r="O681" s="11">
        <f>_xlfn.XLOOKUP(TableDailySummary[[#This Row],[Fecha]],SummaryDaily[day],SummaryDaily[Tienda 81_net_sales],0)</f>
        <v>0</v>
      </c>
      <c r="P681" s="11">
        <f>_xlfn.XLOOKUP(TableDailySummary[[#This Row],[Fecha]],SummaryDaily[day],SummaryDaily[Tienda 81_orders],0)</f>
        <v>0</v>
      </c>
      <c r="Q681" s="11">
        <f>_xlfn.XLOOKUP(TableDailySummary[[#This Row],[Fecha]],SummaryDaily[day],SummaryDaily[Tienda 81_average_order_value],0)</f>
        <v>0</v>
      </c>
      <c r="R681" s="11">
        <f>_xlfn.XLOOKUP(TableDailySummary[[#This Row],[Fecha]],SummaryDaily[day],SummaryDaily[Rappi_net_sales],0)</f>
        <v>0</v>
      </c>
      <c r="S681" s="11">
        <f>_xlfn.XLOOKUP(TableDailySummary[[#This Row],[Fecha]],SummaryDaily[day],SummaryDaily[Rappi_orders],0)</f>
        <v>0</v>
      </c>
      <c r="T681" s="11">
        <f>_xlfn.XLOOKUP(TableDailySummary[[#This Row],[Fecha]],SummaryDaily[day],SummaryDaily[Rappi_average_order_value],0)</f>
        <v>0</v>
      </c>
      <c r="U681" s="11">
        <f>_xlfn.XLOOKUP(TableDailySummary[[#This Row],[Fecha]],SummaryDaily[day],SummaryDaily[Corporativo no tienda_net_sales],0)</f>
        <v>0</v>
      </c>
      <c r="V681" s="11">
        <f>_xlfn.XLOOKUP(TableDailySummary[[#This Row],[Fecha]],SummaryDaily[day],SummaryDaily[Corporativo no tienda_orders],0)</f>
        <v>0</v>
      </c>
      <c r="W681" s="11">
        <f>_xlfn.XLOOKUP(TableDailySummary[[#This Row],[Fecha]],SummaryDaily[day],SummaryDaily[Corporativo no tienda_average_order_value],0)</f>
        <v>0</v>
      </c>
      <c r="X681" s="11">
        <f>_xlfn.XLOOKUP(TableDailySummary[[#This Row],[Fecha]],SummaryDaily[day],SummaryDaily[GoogleAdsOperation.Cost],0)</f>
        <v>0</v>
      </c>
      <c r="Y681" s="11">
        <f>SUMIFS(SalesByUTMDaily[google],SalesByUTMDaily[day],TableDailySummary[[#This Row],[Fecha]])</f>
        <v>0</v>
      </c>
      <c r="Z681" s="11">
        <f>_xlfn.XLOOKUP(TableDailySummary[[#This Row],[Fecha]],SummaryDaily[day],SummaryDaily[MetaAdsOperation.spend],0)</f>
        <v>0</v>
      </c>
      <c r="AA681" s="11">
        <f>SUMIFS(SalesByUTMDaily[facebook],SalesByUTMDaily[day],TableDailySummary[[#This Row],[Fecha]])</f>
        <v>0</v>
      </c>
      <c r="AB681" s="11">
        <f>TableDailySummary[[#This Row],[Inversión google ads]]+TableDailySummary[[#This Row],[Inversión meta ads]]</f>
        <v>0</v>
      </c>
      <c r="AC681" s="11">
        <f>TableDailySummary[[#This Row],[Ventas google ads]]+TableDailySummary[[#This Row],[Ventas meta ads]]</f>
        <v>0</v>
      </c>
      <c r="AD681" s="14">
        <f>IFERROR(TableDailySummary[[#This Row],[Ventas publicidad]]/TableDailySummary[[#This Row],[Inversión publicidad]],0)</f>
        <v>0</v>
      </c>
      <c r="AE681" s="14">
        <f>IFERROR(TableDailySummary[[#This Row],[Ventas primer cliente]]/TableDailySummary[[#This Row],[Inversión publicidad]],0)</f>
        <v>0</v>
      </c>
      <c r="AF681" s="14"/>
      <c r="AG681" s="11"/>
      <c r="AM681" s="11">
        <f>_xlfn.XLOOKUP(TableDailySummary[[#This Row],[Fecha]],SummaryDaily[day],SummaryDaily[net_sales_with_cost_recorded],0)</f>
        <v>0</v>
      </c>
      <c r="AN681" s="11">
        <f>_xlfn.XLOOKUP(TableDailySummary[[#This Row],[Fecha]],SummaryDaily[day],SummaryDaily[cost_of_goods_sold],0)</f>
        <v>0</v>
      </c>
      <c r="AO681" s="11">
        <f>_xlfn.XLOOKUP(TableDailySummary[[#This Row],[Fecha]],SummaryDaily[day],SummaryDaily[gross_profit],0)</f>
        <v>0</v>
      </c>
      <c r="AP681" s="18">
        <f>IFERROR(TableDailySummary[[#This Row],[Utilidad bruta]]/TableDailySummary[[#This Row],[Ventas netas con costo registrado]],0)</f>
        <v>0</v>
      </c>
    </row>
    <row r="682" spans="2:42" x14ac:dyDescent="0.2">
      <c r="B682" s="15" cm="1">
        <f t="array" ref="B682">ParamFechaInicioReporte + (ROW(TableDailySummary[#This Row]) - ROW(TableDailySummary[[#Headers],[Dia]]) - 1)</f>
        <v>45209</v>
      </c>
      <c r="C682" s="6">
        <f>TableDailySummary[[#This Row],[Dia]]</f>
        <v>45209</v>
      </c>
      <c r="D682" s="11">
        <f>_xlfn.XLOOKUP(TableDailySummary[[#This Row],[Fecha]],SummaryDaily[day],SummaryDaily[net_sales],0)</f>
        <v>0</v>
      </c>
      <c r="E682" s="11">
        <f>_xlfn.XLOOKUP(TableDailySummary[[#This Row],[Fecha]],SummaryDaily[day],SummaryDaily[orders],0)</f>
        <v>0</v>
      </c>
      <c r="F682" s="11">
        <f>_xlfn.XLOOKUP(TableDailySummary[[#This Row],[Fecha]],SummaryDaily[day],SummaryDaily[average_order_value],0)</f>
        <v>0</v>
      </c>
      <c r="G682" s="24" cm="1">
        <f t="array" ref="G682">_xlfn.XLOOKUP(TableDailySummary[[#This Row],[Fecha]]&amp;"Total site",ConversionRateByReferral[day]&amp;ConversionRateByReferral[referrer_source],ConversionRateByReferral[conversion_rate],0)</f>
        <v>0</v>
      </c>
      <c r="H682" s="11">
        <f>TableDailySummary[[#This Row],[Órden promedio totales]]*TableDailySummary[[#This Row],[CR totales]]</f>
        <v>0</v>
      </c>
      <c r="I682" s="11">
        <f>_xlfn.XLOOKUP(TableDailySummary[[#This Row],[Fecha]],SummaryDaily[day],SummaryDaily[new_net_sales],0)</f>
        <v>0</v>
      </c>
      <c r="J682" s="11">
        <f>_xlfn.XLOOKUP(TableDailySummary[[#This Row],[Fecha]],SummaryDaily[day],SummaryDaily[new_orders],0)</f>
        <v>0</v>
      </c>
      <c r="K682" s="11">
        <f>_xlfn.XLOOKUP(TableDailySummary[[#This Row],[Fecha]],SummaryDaily[day],SummaryDaily[new_average_order_value],0)</f>
        <v>0</v>
      </c>
      <c r="L682" s="11">
        <f>_xlfn.XLOOKUP(TableDailySummary[[#This Row],[Fecha]],SummaryDaily[day],SummaryDaily[Online Store_net_sales],0)</f>
        <v>0</v>
      </c>
      <c r="M682" s="11">
        <f>_xlfn.XLOOKUP(TableDailySummary[[#This Row],[Fecha]],SummaryDaily[day],SummaryDaily[Online Store_orders],0)</f>
        <v>0</v>
      </c>
      <c r="N682" s="11">
        <f>_xlfn.XLOOKUP(TableDailySummary[[#This Row],[Fecha]],SummaryDaily[day],SummaryDaily[Online Store_average_order_value],0)</f>
        <v>0</v>
      </c>
      <c r="O682" s="11">
        <f>_xlfn.XLOOKUP(TableDailySummary[[#This Row],[Fecha]],SummaryDaily[day],SummaryDaily[Tienda 81_net_sales],0)</f>
        <v>0</v>
      </c>
      <c r="P682" s="11">
        <f>_xlfn.XLOOKUP(TableDailySummary[[#This Row],[Fecha]],SummaryDaily[day],SummaryDaily[Tienda 81_orders],0)</f>
        <v>0</v>
      </c>
      <c r="Q682" s="11">
        <f>_xlfn.XLOOKUP(TableDailySummary[[#This Row],[Fecha]],SummaryDaily[day],SummaryDaily[Tienda 81_average_order_value],0)</f>
        <v>0</v>
      </c>
      <c r="R682" s="11">
        <f>_xlfn.XLOOKUP(TableDailySummary[[#This Row],[Fecha]],SummaryDaily[day],SummaryDaily[Rappi_net_sales],0)</f>
        <v>0</v>
      </c>
      <c r="S682" s="11">
        <f>_xlfn.XLOOKUP(TableDailySummary[[#This Row],[Fecha]],SummaryDaily[day],SummaryDaily[Rappi_orders],0)</f>
        <v>0</v>
      </c>
      <c r="T682" s="11">
        <f>_xlfn.XLOOKUP(TableDailySummary[[#This Row],[Fecha]],SummaryDaily[day],SummaryDaily[Rappi_average_order_value],0)</f>
        <v>0</v>
      </c>
      <c r="U682" s="11">
        <f>_xlfn.XLOOKUP(TableDailySummary[[#This Row],[Fecha]],SummaryDaily[day],SummaryDaily[Corporativo no tienda_net_sales],0)</f>
        <v>0</v>
      </c>
      <c r="V682" s="11">
        <f>_xlfn.XLOOKUP(TableDailySummary[[#This Row],[Fecha]],SummaryDaily[day],SummaryDaily[Corporativo no tienda_orders],0)</f>
        <v>0</v>
      </c>
      <c r="W682" s="11">
        <f>_xlfn.XLOOKUP(TableDailySummary[[#This Row],[Fecha]],SummaryDaily[day],SummaryDaily[Corporativo no tienda_average_order_value],0)</f>
        <v>0</v>
      </c>
      <c r="X682" s="11">
        <f>_xlfn.XLOOKUP(TableDailySummary[[#This Row],[Fecha]],SummaryDaily[day],SummaryDaily[GoogleAdsOperation.Cost],0)</f>
        <v>0</v>
      </c>
      <c r="Y682" s="11">
        <f>SUMIFS(SalesByUTMDaily[google],SalesByUTMDaily[day],TableDailySummary[[#This Row],[Fecha]])</f>
        <v>0</v>
      </c>
      <c r="Z682" s="11">
        <f>_xlfn.XLOOKUP(TableDailySummary[[#This Row],[Fecha]],SummaryDaily[day],SummaryDaily[MetaAdsOperation.spend],0)</f>
        <v>0</v>
      </c>
      <c r="AA682" s="11">
        <f>SUMIFS(SalesByUTMDaily[facebook],SalesByUTMDaily[day],TableDailySummary[[#This Row],[Fecha]])</f>
        <v>0</v>
      </c>
      <c r="AB682" s="11">
        <f>TableDailySummary[[#This Row],[Inversión google ads]]+TableDailySummary[[#This Row],[Inversión meta ads]]</f>
        <v>0</v>
      </c>
      <c r="AC682" s="11">
        <f>TableDailySummary[[#This Row],[Ventas google ads]]+TableDailySummary[[#This Row],[Ventas meta ads]]</f>
        <v>0</v>
      </c>
      <c r="AD682" s="14">
        <f>IFERROR(TableDailySummary[[#This Row],[Ventas publicidad]]/TableDailySummary[[#This Row],[Inversión publicidad]],0)</f>
        <v>0</v>
      </c>
      <c r="AE682" s="14">
        <f>IFERROR(TableDailySummary[[#This Row],[Ventas primer cliente]]/TableDailySummary[[#This Row],[Inversión publicidad]],0)</f>
        <v>0</v>
      </c>
      <c r="AF682" s="14"/>
      <c r="AG682" s="11"/>
      <c r="AM682" s="11">
        <f>_xlfn.XLOOKUP(TableDailySummary[[#This Row],[Fecha]],SummaryDaily[day],SummaryDaily[net_sales_with_cost_recorded],0)</f>
        <v>0</v>
      </c>
      <c r="AN682" s="11">
        <f>_xlfn.XLOOKUP(TableDailySummary[[#This Row],[Fecha]],SummaryDaily[day],SummaryDaily[cost_of_goods_sold],0)</f>
        <v>0</v>
      </c>
      <c r="AO682" s="11">
        <f>_xlfn.XLOOKUP(TableDailySummary[[#This Row],[Fecha]],SummaryDaily[day],SummaryDaily[gross_profit],0)</f>
        <v>0</v>
      </c>
      <c r="AP682" s="18">
        <f>IFERROR(TableDailySummary[[#This Row],[Utilidad bruta]]/TableDailySummary[[#This Row],[Ventas netas con costo registrado]],0)</f>
        <v>0</v>
      </c>
    </row>
    <row r="683" spans="2:42" x14ac:dyDescent="0.2">
      <c r="B683" s="15" cm="1">
        <f t="array" ref="B683">ParamFechaInicioReporte + (ROW(TableDailySummary[#This Row]) - ROW(TableDailySummary[[#Headers],[Dia]]) - 1)</f>
        <v>45210</v>
      </c>
      <c r="C683" s="6">
        <f>TableDailySummary[[#This Row],[Dia]]</f>
        <v>45210</v>
      </c>
      <c r="D683" s="11">
        <f>_xlfn.XLOOKUP(TableDailySummary[[#This Row],[Fecha]],SummaryDaily[day],SummaryDaily[net_sales],0)</f>
        <v>0</v>
      </c>
      <c r="E683" s="11">
        <f>_xlfn.XLOOKUP(TableDailySummary[[#This Row],[Fecha]],SummaryDaily[day],SummaryDaily[orders],0)</f>
        <v>0</v>
      </c>
      <c r="F683" s="11">
        <f>_xlfn.XLOOKUP(TableDailySummary[[#This Row],[Fecha]],SummaryDaily[day],SummaryDaily[average_order_value],0)</f>
        <v>0</v>
      </c>
      <c r="G683" s="24" cm="1">
        <f t="array" ref="G683">_xlfn.XLOOKUP(TableDailySummary[[#This Row],[Fecha]]&amp;"Total site",ConversionRateByReferral[day]&amp;ConversionRateByReferral[referrer_source],ConversionRateByReferral[conversion_rate],0)</f>
        <v>0</v>
      </c>
      <c r="H683" s="11">
        <f>TableDailySummary[[#This Row],[Órden promedio totales]]*TableDailySummary[[#This Row],[CR totales]]</f>
        <v>0</v>
      </c>
      <c r="I683" s="11">
        <f>_xlfn.XLOOKUP(TableDailySummary[[#This Row],[Fecha]],SummaryDaily[day],SummaryDaily[new_net_sales],0)</f>
        <v>0</v>
      </c>
      <c r="J683" s="11">
        <f>_xlfn.XLOOKUP(TableDailySummary[[#This Row],[Fecha]],SummaryDaily[day],SummaryDaily[new_orders],0)</f>
        <v>0</v>
      </c>
      <c r="K683" s="11">
        <f>_xlfn.XLOOKUP(TableDailySummary[[#This Row],[Fecha]],SummaryDaily[day],SummaryDaily[new_average_order_value],0)</f>
        <v>0</v>
      </c>
      <c r="L683" s="11">
        <f>_xlfn.XLOOKUP(TableDailySummary[[#This Row],[Fecha]],SummaryDaily[day],SummaryDaily[Online Store_net_sales],0)</f>
        <v>0</v>
      </c>
      <c r="M683" s="11">
        <f>_xlfn.XLOOKUP(TableDailySummary[[#This Row],[Fecha]],SummaryDaily[day],SummaryDaily[Online Store_orders],0)</f>
        <v>0</v>
      </c>
      <c r="N683" s="11">
        <f>_xlfn.XLOOKUP(TableDailySummary[[#This Row],[Fecha]],SummaryDaily[day],SummaryDaily[Online Store_average_order_value],0)</f>
        <v>0</v>
      </c>
      <c r="O683" s="11">
        <f>_xlfn.XLOOKUP(TableDailySummary[[#This Row],[Fecha]],SummaryDaily[day],SummaryDaily[Tienda 81_net_sales],0)</f>
        <v>0</v>
      </c>
      <c r="P683" s="11">
        <f>_xlfn.XLOOKUP(TableDailySummary[[#This Row],[Fecha]],SummaryDaily[day],SummaryDaily[Tienda 81_orders],0)</f>
        <v>0</v>
      </c>
      <c r="Q683" s="11">
        <f>_xlfn.XLOOKUP(TableDailySummary[[#This Row],[Fecha]],SummaryDaily[day],SummaryDaily[Tienda 81_average_order_value],0)</f>
        <v>0</v>
      </c>
      <c r="R683" s="11">
        <f>_xlfn.XLOOKUP(TableDailySummary[[#This Row],[Fecha]],SummaryDaily[day],SummaryDaily[Rappi_net_sales],0)</f>
        <v>0</v>
      </c>
      <c r="S683" s="11">
        <f>_xlfn.XLOOKUP(TableDailySummary[[#This Row],[Fecha]],SummaryDaily[day],SummaryDaily[Rappi_orders],0)</f>
        <v>0</v>
      </c>
      <c r="T683" s="11">
        <f>_xlfn.XLOOKUP(TableDailySummary[[#This Row],[Fecha]],SummaryDaily[day],SummaryDaily[Rappi_average_order_value],0)</f>
        <v>0</v>
      </c>
      <c r="U683" s="11">
        <f>_xlfn.XLOOKUP(TableDailySummary[[#This Row],[Fecha]],SummaryDaily[day],SummaryDaily[Corporativo no tienda_net_sales],0)</f>
        <v>0</v>
      </c>
      <c r="V683" s="11">
        <f>_xlfn.XLOOKUP(TableDailySummary[[#This Row],[Fecha]],SummaryDaily[day],SummaryDaily[Corporativo no tienda_orders],0)</f>
        <v>0</v>
      </c>
      <c r="W683" s="11">
        <f>_xlfn.XLOOKUP(TableDailySummary[[#This Row],[Fecha]],SummaryDaily[day],SummaryDaily[Corporativo no tienda_average_order_value],0)</f>
        <v>0</v>
      </c>
      <c r="X683" s="11">
        <f>_xlfn.XLOOKUP(TableDailySummary[[#This Row],[Fecha]],SummaryDaily[day],SummaryDaily[GoogleAdsOperation.Cost],0)</f>
        <v>0</v>
      </c>
      <c r="Y683" s="11">
        <f>SUMIFS(SalesByUTMDaily[google],SalesByUTMDaily[day],TableDailySummary[[#This Row],[Fecha]])</f>
        <v>0</v>
      </c>
      <c r="Z683" s="11">
        <f>_xlfn.XLOOKUP(TableDailySummary[[#This Row],[Fecha]],SummaryDaily[day],SummaryDaily[MetaAdsOperation.spend],0)</f>
        <v>0</v>
      </c>
      <c r="AA683" s="11">
        <f>SUMIFS(SalesByUTMDaily[facebook],SalesByUTMDaily[day],TableDailySummary[[#This Row],[Fecha]])</f>
        <v>0</v>
      </c>
      <c r="AB683" s="11">
        <f>TableDailySummary[[#This Row],[Inversión google ads]]+TableDailySummary[[#This Row],[Inversión meta ads]]</f>
        <v>0</v>
      </c>
      <c r="AC683" s="11">
        <f>TableDailySummary[[#This Row],[Ventas google ads]]+TableDailySummary[[#This Row],[Ventas meta ads]]</f>
        <v>0</v>
      </c>
      <c r="AD683" s="14">
        <f>IFERROR(TableDailySummary[[#This Row],[Ventas publicidad]]/TableDailySummary[[#This Row],[Inversión publicidad]],0)</f>
        <v>0</v>
      </c>
      <c r="AE683" s="14">
        <f>IFERROR(TableDailySummary[[#This Row],[Ventas primer cliente]]/TableDailySummary[[#This Row],[Inversión publicidad]],0)</f>
        <v>0</v>
      </c>
      <c r="AF683" s="14"/>
      <c r="AG683" s="11"/>
      <c r="AM683" s="11">
        <f>_xlfn.XLOOKUP(TableDailySummary[[#This Row],[Fecha]],SummaryDaily[day],SummaryDaily[net_sales_with_cost_recorded],0)</f>
        <v>0</v>
      </c>
      <c r="AN683" s="11">
        <f>_xlfn.XLOOKUP(TableDailySummary[[#This Row],[Fecha]],SummaryDaily[day],SummaryDaily[cost_of_goods_sold],0)</f>
        <v>0</v>
      </c>
      <c r="AO683" s="11">
        <f>_xlfn.XLOOKUP(TableDailySummary[[#This Row],[Fecha]],SummaryDaily[day],SummaryDaily[gross_profit],0)</f>
        <v>0</v>
      </c>
      <c r="AP683" s="18">
        <f>IFERROR(TableDailySummary[[#This Row],[Utilidad bruta]]/TableDailySummary[[#This Row],[Ventas netas con costo registrado]],0)</f>
        <v>0</v>
      </c>
    </row>
    <row r="684" spans="2:42" x14ac:dyDescent="0.2">
      <c r="B684" s="15" cm="1">
        <f t="array" ref="B684">ParamFechaInicioReporte + (ROW(TableDailySummary[#This Row]) - ROW(TableDailySummary[[#Headers],[Dia]]) - 1)</f>
        <v>45211</v>
      </c>
      <c r="C684" s="6">
        <f>TableDailySummary[[#This Row],[Dia]]</f>
        <v>45211</v>
      </c>
      <c r="D684" s="11">
        <f>_xlfn.XLOOKUP(TableDailySummary[[#This Row],[Fecha]],SummaryDaily[day],SummaryDaily[net_sales],0)</f>
        <v>0</v>
      </c>
      <c r="E684" s="11">
        <f>_xlfn.XLOOKUP(TableDailySummary[[#This Row],[Fecha]],SummaryDaily[day],SummaryDaily[orders],0)</f>
        <v>0</v>
      </c>
      <c r="F684" s="11">
        <f>_xlfn.XLOOKUP(TableDailySummary[[#This Row],[Fecha]],SummaryDaily[day],SummaryDaily[average_order_value],0)</f>
        <v>0</v>
      </c>
      <c r="G684" s="24" cm="1">
        <f t="array" ref="G684">_xlfn.XLOOKUP(TableDailySummary[[#This Row],[Fecha]]&amp;"Total site",ConversionRateByReferral[day]&amp;ConversionRateByReferral[referrer_source],ConversionRateByReferral[conversion_rate],0)</f>
        <v>0</v>
      </c>
      <c r="H684" s="11">
        <f>TableDailySummary[[#This Row],[Órden promedio totales]]*TableDailySummary[[#This Row],[CR totales]]</f>
        <v>0</v>
      </c>
      <c r="I684" s="11">
        <f>_xlfn.XLOOKUP(TableDailySummary[[#This Row],[Fecha]],SummaryDaily[day],SummaryDaily[new_net_sales],0)</f>
        <v>0</v>
      </c>
      <c r="J684" s="11">
        <f>_xlfn.XLOOKUP(TableDailySummary[[#This Row],[Fecha]],SummaryDaily[day],SummaryDaily[new_orders],0)</f>
        <v>0</v>
      </c>
      <c r="K684" s="11">
        <f>_xlfn.XLOOKUP(TableDailySummary[[#This Row],[Fecha]],SummaryDaily[day],SummaryDaily[new_average_order_value],0)</f>
        <v>0</v>
      </c>
      <c r="L684" s="11">
        <f>_xlfn.XLOOKUP(TableDailySummary[[#This Row],[Fecha]],SummaryDaily[day],SummaryDaily[Online Store_net_sales],0)</f>
        <v>0</v>
      </c>
      <c r="M684" s="11">
        <f>_xlfn.XLOOKUP(TableDailySummary[[#This Row],[Fecha]],SummaryDaily[day],SummaryDaily[Online Store_orders],0)</f>
        <v>0</v>
      </c>
      <c r="N684" s="11">
        <f>_xlfn.XLOOKUP(TableDailySummary[[#This Row],[Fecha]],SummaryDaily[day],SummaryDaily[Online Store_average_order_value],0)</f>
        <v>0</v>
      </c>
      <c r="O684" s="11">
        <f>_xlfn.XLOOKUP(TableDailySummary[[#This Row],[Fecha]],SummaryDaily[day],SummaryDaily[Tienda 81_net_sales],0)</f>
        <v>0</v>
      </c>
      <c r="P684" s="11">
        <f>_xlfn.XLOOKUP(TableDailySummary[[#This Row],[Fecha]],SummaryDaily[day],SummaryDaily[Tienda 81_orders],0)</f>
        <v>0</v>
      </c>
      <c r="Q684" s="11">
        <f>_xlfn.XLOOKUP(TableDailySummary[[#This Row],[Fecha]],SummaryDaily[day],SummaryDaily[Tienda 81_average_order_value],0)</f>
        <v>0</v>
      </c>
      <c r="R684" s="11">
        <f>_xlfn.XLOOKUP(TableDailySummary[[#This Row],[Fecha]],SummaryDaily[day],SummaryDaily[Rappi_net_sales],0)</f>
        <v>0</v>
      </c>
      <c r="S684" s="11">
        <f>_xlfn.XLOOKUP(TableDailySummary[[#This Row],[Fecha]],SummaryDaily[day],SummaryDaily[Rappi_orders],0)</f>
        <v>0</v>
      </c>
      <c r="T684" s="11">
        <f>_xlfn.XLOOKUP(TableDailySummary[[#This Row],[Fecha]],SummaryDaily[day],SummaryDaily[Rappi_average_order_value],0)</f>
        <v>0</v>
      </c>
      <c r="U684" s="11">
        <f>_xlfn.XLOOKUP(TableDailySummary[[#This Row],[Fecha]],SummaryDaily[day],SummaryDaily[Corporativo no tienda_net_sales],0)</f>
        <v>0</v>
      </c>
      <c r="V684" s="11">
        <f>_xlfn.XLOOKUP(TableDailySummary[[#This Row],[Fecha]],SummaryDaily[day],SummaryDaily[Corporativo no tienda_orders],0)</f>
        <v>0</v>
      </c>
      <c r="W684" s="11">
        <f>_xlfn.XLOOKUP(TableDailySummary[[#This Row],[Fecha]],SummaryDaily[day],SummaryDaily[Corporativo no tienda_average_order_value],0)</f>
        <v>0</v>
      </c>
      <c r="X684" s="11">
        <f>_xlfn.XLOOKUP(TableDailySummary[[#This Row],[Fecha]],SummaryDaily[day],SummaryDaily[GoogleAdsOperation.Cost],0)</f>
        <v>0</v>
      </c>
      <c r="Y684" s="11">
        <f>SUMIFS(SalesByUTMDaily[google],SalesByUTMDaily[day],TableDailySummary[[#This Row],[Fecha]])</f>
        <v>0</v>
      </c>
      <c r="Z684" s="11">
        <f>_xlfn.XLOOKUP(TableDailySummary[[#This Row],[Fecha]],SummaryDaily[day],SummaryDaily[MetaAdsOperation.spend],0)</f>
        <v>0</v>
      </c>
      <c r="AA684" s="11">
        <f>SUMIFS(SalesByUTMDaily[facebook],SalesByUTMDaily[day],TableDailySummary[[#This Row],[Fecha]])</f>
        <v>0</v>
      </c>
      <c r="AB684" s="11">
        <f>TableDailySummary[[#This Row],[Inversión google ads]]+TableDailySummary[[#This Row],[Inversión meta ads]]</f>
        <v>0</v>
      </c>
      <c r="AC684" s="11">
        <f>TableDailySummary[[#This Row],[Ventas google ads]]+TableDailySummary[[#This Row],[Ventas meta ads]]</f>
        <v>0</v>
      </c>
      <c r="AD684" s="14">
        <f>IFERROR(TableDailySummary[[#This Row],[Ventas publicidad]]/TableDailySummary[[#This Row],[Inversión publicidad]],0)</f>
        <v>0</v>
      </c>
      <c r="AE684" s="14">
        <f>IFERROR(TableDailySummary[[#This Row],[Ventas primer cliente]]/TableDailySummary[[#This Row],[Inversión publicidad]],0)</f>
        <v>0</v>
      </c>
      <c r="AF684" s="14"/>
      <c r="AG684" s="11"/>
      <c r="AM684" s="11">
        <f>_xlfn.XLOOKUP(TableDailySummary[[#This Row],[Fecha]],SummaryDaily[day],SummaryDaily[net_sales_with_cost_recorded],0)</f>
        <v>0</v>
      </c>
      <c r="AN684" s="11">
        <f>_xlfn.XLOOKUP(TableDailySummary[[#This Row],[Fecha]],SummaryDaily[day],SummaryDaily[cost_of_goods_sold],0)</f>
        <v>0</v>
      </c>
      <c r="AO684" s="11">
        <f>_xlfn.XLOOKUP(TableDailySummary[[#This Row],[Fecha]],SummaryDaily[day],SummaryDaily[gross_profit],0)</f>
        <v>0</v>
      </c>
      <c r="AP684" s="18">
        <f>IFERROR(TableDailySummary[[#This Row],[Utilidad bruta]]/TableDailySummary[[#This Row],[Ventas netas con costo registrado]],0)</f>
        <v>0</v>
      </c>
    </row>
    <row r="685" spans="2:42" x14ac:dyDescent="0.2">
      <c r="B685" s="15" cm="1">
        <f t="array" ref="B685">ParamFechaInicioReporte + (ROW(TableDailySummary[#This Row]) - ROW(TableDailySummary[[#Headers],[Dia]]) - 1)</f>
        <v>45212</v>
      </c>
      <c r="C685" s="6">
        <f>TableDailySummary[[#This Row],[Dia]]</f>
        <v>45212</v>
      </c>
      <c r="D685" s="11">
        <f>_xlfn.XLOOKUP(TableDailySummary[[#This Row],[Fecha]],SummaryDaily[day],SummaryDaily[net_sales],0)</f>
        <v>0</v>
      </c>
      <c r="E685" s="11">
        <f>_xlfn.XLOOKUP(TableDailySummary[[#This Row],[Fecha]],SummaryDaily[day],SummaryDaily[orders],0)</f>
        <v>0</v>
      </c>
      <c r="F685" s="11">
        <f>_xlfn.XLOOKUP(TableDailySummary[[#This Row],[Fecha]],SummaryDaily[day],SummaryDaily[average_order_value],0)</f>
        <v>0</v>
      </c>
      <c r="G685" s="24" cm="1">
        <f t="array" ref="G685">_xlfn.XLOOKUP(TableDailySummary[[#This Row],[Fecha]]&amp;"Total site",ConversionRateByReferral[day]&amp;ConversionRateByReferral[referrer_source],ConversionRateByReferral[conversion_rate],0)</f>
        <v>0</v>
      </c>
      <c r="H685" s="11">
        <f>TableDailySummary[[#This Row],[Órden promedio totales]]*TableDailySummary[[#This Row],[CR totales]]</f>
        <v>0</v>
      </c>
      <c r="I685" s="11">
        <f>_xlfn.XLOOKUP(TableDailySummary[[#This Row],[Fecha]],SummaryDaily[day],SummaryDaily[new_net_sales],0)</f>
        <v>0</v>
      </c>
      <c r="J685" s="11">
        <f>_xlfn.XLOOKUP(TableDailySummary[[#This Row],[Fecha]],SummaryDaily[day],SummaryDaily[new_orders],0)</f>
        <v>0</v>
      </c>
      <c r="K685" s="11">
        <f>_xlfn.XLOOKUP(TableDailySummary[[#This Row],[Fecha]],SummaryDaily[day],SummaryDaily[new_average_order_value],0)</f>
        <v>0</v>
      </c>
      <c r="L685" s="11">
        <f>_xlfn.XLOOKUP(TableDailySummary[[#This Row],[Fecha]],SummaryDaily[day],SummaryDaily[Online Store_net_sales],0)</f>
        <v>0</v>
      </c>
      <c r="M685" s="11">
        <f>_xlfn.XLOOKUP(TableDailySummary[[#This Row],[Fecha]],SummaryDaily[day],SummaryDaily[Online Store_orders],0)</f>
        <v>0</v>
      </c>
      <c r="N685" s="11">
        <f>_xlfn.XLOOKUP(TableDailySummary[[#This Row],[Fecha]],SummaryDaily[day],SummaryDaily[Online Store_average_order_value],0)</f>
        <v>0</v>
      </c>
      <c r="O685" s="11">
        <f>_xlfn.XLOOKUP(TableDailySummary[[#This Row],[Fecha]],SummaryDaily[day],SummaryDaily[Tienda 81_net_sales],0)</f>
        <v>0</v>
      </c>
      <c r="P685" s="11">
        <f>_xlfn.XLOOKUP(TableDailySummary[[#This Row],[Fecha]],SummaryDaily[day],SummaryDaily[Tienda 81_orders],0)</f>
        <v>0</v>
      </c>
      <c r="Q685" s="11">
        <f>_xlfn.XLOOKUP(TableDailySummary[[#This Row],[Fecha]],SummaryDaily[day],SummaryDaily[Tienda 81_average_order_value],0)</f>
        <v>0</v>
      </c>
      <c r="R685" s="11">
        <f>_xlfn.XLOOKUP(TableDailySummary[[#This Row],[Fecha]],SummaryDaily[day],SummaryDaily[Rappi_net_sales],0)</f>
        <v>0</v>
      </c>
      <c r="S685" s="11">
        <f>_xlfn.XLOOKUP(TableDailySummary[[#This Row],[Fecha]],SummaryDaily[day],SummaryDaily[Rappi_orders],0)</f>
        <v>0</v>
      </c>
      <c r="T685" s="11">
        <f>_xlfn.XLOOKUP(TableDailySummary[[#This Row],[Fecha]],SummaryDaily[day],SummaryDaily[Rappi_average_order_value],0)</f>
        <v>0</v>
      </c>
      <c r="U685" s="11">
        <f>_xlfn.XLOOKUP(TableDailySummary[[#This Row],[Fecha]],SummaryDaily[day],SummaryDaily[Corporativo no tienda_net_sales],0)</f>
        <v>0</v>
      </c>
      <c r="V685" s="11">
        <f>_xlfn.XLOOKUP(TableDailySummary[[#This Row],[Fecha]],SummaryDaily[day],SummaryDaily[Corporativo no tienda_orders],0)</f>
        <v>0</v>
      </c>
      <c r="W685" s="11">
        <f>_xlfn.XLOOKUP(TableDailySummary[[#This Row],[Fecha]],SummaryDaily[day],SummaryDaily[Corporativo no tienda_average_order_value],0)</f>
        <v>0</v>
      </c>
      <c r="X685" s="11">
        <f>_xlfn.XLOOKUP(TableDailySummary[[#This Row],[Fecha]],SummaryDaily[day],SummaryDaily[GoogleAdsOperation.Cost],0)</f>
        <v>0</v>
      </c>
      <c r="Y685" s="11">
        <f>SUMIFS(SalesByUTMDaily[google],SalesByUTMDaily[day],TableDailySummary[[#This Row],[Fecha]])</f>
        <v>0</v>
      </c>
      <c r="Z685" s="11">
        <f>_xlfn.XLOOKUP(TableDailySummary[[#This Row],[Fecha]],SummaryDaily[day],SummaryDaily[MetaAdsOperation.spend],0)</f>
        <v>0</v>
      </c>
      <c r="AA685" s="11">
        <f>SUMIFS(SalesByUTMDaily[facebook],SalesByUTMDaily[day],TableDailySummary[[#This Row],[Fecha]])</f>
        <v>0</v>
      </c>
      <c r="AB685" s="11">
        <f>TableDailySummary[[#This Row],[Inversión google ads]]+TableDailySummary[[#This Row],[Inversión meta ads]]</f>
        <v>0</v>
      </c>
      <c r="AC685" s="11">
        <f>TableDailySummary[[#This Row],[Ventas google ads]]+TableDailySummary[[#This Row],[Ventas meta ads]]</f>
        <v>0</v>
      </c>
      <c r="AD685" s="14">
        <f>IFERROR(TableDailySummary[[#This Row],[Ventas publicidad]]/TableDailySummary[[#This Row],[Inversión publicidad]],0)</f>
        <v>0</v>
      </c>
      <c r="AE685" s="14">
        <f>IFERROR(TableDailySummary[[#This Row],[Ventas primer cliente]]/TableDailySummary[[#This Row],[Inversión publicidad]],0)</f>
        <v>0</v>
      </c>
      <c r="AF685" s="14"/>
      <c r="AG685" s="11"/>
      <c r="AM685" s="11">
        <f>_xlfn.XLOOKUP(TableDailySummary[[#This Row],[Fecha]],SummaryDaily[day],SummaryDaily[net_sales_with_cost_recorded],0)</f>
        <v>0</v>
      </c>
      <c r="AN685" s="11">
        <f>_xlfn.XLOOKUP(TableDailySummary[[#This Row],[Fecha]],SummaryDaily[day],SummaryDaily[cost_of_goods_sold],0)</f>
        <v>0</v>
      </c>
      <c r="AO685" s="11">
        <f>_xlfn.XLOOKUP(TableDailySummary[[#This Row],[Fecha]],SummaryDaily[day],SummaryDaily[gross_profit],0)</f>
        <v>0</v>
      </c>
      <c r="AP685" s="18">
        <f>IFERROR(TableDailySummary[[#This Row],[Utilidad bruta]]/TableDailySummary[[#This Row],[Ventas netas con costo registrado]],0)</f>
        <v>0</v>
      </c>
    </row>
    <row r="686" spans="2:42" x14ac:dyDescent="0.2">
      <c r="B686" s="15" cm="1">
        <f t="array" ref="B686">ParamFechaInicioReporte + (ROW(TableDailySummary[#This Row]) - ROW(TableDailySummary[[#Headers],[Dia]]) - 1)</f>
        <v>45213</v>
      </c>
      <c r="C686" s="6">
        <f>TableDailySummary[[#This Row],[Dia]]</f>
        <v>45213</v>
      </c>
      <c r="D686" s="11">
        <f>_xlfn.XLOOKUP(TableDailySummary[[#This Row],[Fecha]],SummaryDaily[day],SummaryDaily[net_sales],0)</f>
        <v>0</v>
      </c>
      <c r="E686" s="11">
        <f>_xlfn.XLOOKUP(TableDailySummary[[#This Row],[Fecha]],SummaryDaily[day],SummaryDaily[orders],0)</f>
        <v>0</v>
      </c>
      <c r="F686" s="11">
        <f>_xlfn.XLOOKUP(TableDailySummary[[#This Row],[Fecha]],SummaryDaily[day],SummaryDaily[average_order_value],0)</f>
        <v>0</v>
      </c>
      <c r="G686" s="24" cm="1">
        <f t="array" ref="G686">_xlfn.XLOOKUP(TableDailySummary[[#This Row],[Fecha]]&amp;"Total site",ConversionRateByReferral[day]&amp;ConversionRateByReferral[referrer_source],ConversionRateByReferral[conversion_rate],0)</f>
        <v>0</v>
      </c>
      <c r="H686" s="11">
        <f>TableDailySummary[[#This Row],[Órden promedio totales]]*TableDailySummary[[#This Row],[CR totales]]</f>
        <v>0</v>
      </c>
      <c r="I686" s="11">
        <f>_xlfn.XLOOKUP(TableDailySummary[[#This Row],[Fecha]],SummaryDaily[day],SummaryDaily[new_net_sales],0)</f>
        <v>0</v>
      </c>
      <c r="J686" s="11">
        <f>_xlfn.XLOOKUP(TableDailySummary[[#This Row],[Fecha]],SummaryDaily[day],SummaryDaily[new_orders],0)</f>
        <v>0</v>
      </c>
      <c r="K686" s="11">
        <f>_xlfn.XLOOKUP(TableDailySummary[[#This Row],[Fecha]],SummaryDaily[day],SummaryDaily[new_average_order_value],0)</f>
        <v>0</v>
      </c>
      <c r="L686" s="11">
        <f>_xlfn.XLOOKUP(TableDailySummary[[#This Row],[Fecha]],SummaryDaily[day],SummaryDaily[Online Store_net_sales],0)</f>
        <v>0</v>
      </c>
      <c r="M686" s="11">
        <f>_xlfn.XLOOKUP(TableDailySummary[[#This Row],[Fecha]],SummaryDaily[day],SummaryDaily[Online Store_orders],0)</f>
        <v>0</v>
      </c>
      <c r="N686" s="11">
        <f>_xlfn.XLOOKUP(TableDailySummary[[#This Row],[Fecha]],SummaryDaily[day],SummaryDaily[Online Store_average_order_value],0)</f>
        <v>0</v>
      </c>
      <c r="O686" s="11">
        <f>_xlfn.XLOOKUP(TableDailySummary[[#This Row],[Fecha]],SummaryDaily[day],SummaryDaily[Tienda 81_net_sales],0)</f>
        <v>0</v>
      </c>
      <c r="P686" s="11">
        <f>_xlfn.XLOOKUP(TableDailySummary[[#This Row],[Fecha]],SummaryDaily[day],SummaryDaily[Tienda 81_orders],0)</f>
        <v>0</v>
      </c>
      <c r="Q686" s="11">
        <f>_xlfn.XLOOKUP(TableDailySummary[[#This Row],[Fecha]],SummaryDaily[day],SummaryDaily[Tienda 81_average_order_value],0)</f>
        <v>0</v>
      </c>
      <c r="R686" s="11">
        <f>_xlfn.XLOOKUP(TableDailySummary[[#This Row],[Fecha]],SummaryDaily[day],SummaryDaily[Rappi_net_sales],0)</f>
        <v>0</v>
      </c>
      <c r="S686" s="11">
        <f>_xlfn.XLOOKUP(TableDailySummary[[#This Row],[Fecha]],SummaryDaily[day],SummaryDaily[Rappi_orders],0)</f>
        <v>0</v>
      </c>
      <c r="T686" s="11">
        <f>_xlfn.XLOOKUP(TableDailySummary[[#This Row],[Fecha]],SummaryDaily[day],SummaryDaily[Rappi_average_order_value],0)</f>
        <v>0</v>
      </c>
      <c r="U686" s="11">
        <f>_xlfn.XLOOKUP(TableDailySummary[[#This Row],[Fecha]],SummaryDaily[day],SummaryDaily[Corporativo no tienda_net_sales],0)</f>
        <v>0</v>
      </c>
      <c r="V686" s="11">
        <f>_xlfn.XLOOKUP(TableDailySummary[[#This Row],[Fecha]],SummaryDaily[day],SummaryDaily[Corporativo no tienda_orders],0)</f>
        <v>0</v>
      </c>
      <c r="W686" s="11">
        <f>_xlfn.XLOOKUP(TableDailySummary[[#This Row],[Fecha]],SummaryDaily[day],SummaryDaily[Corporativo no tienda_average_order_value],0)</f>
        <v>0</v>
      </c>
      <c r="X686" s="11">
        <f>_xlfn.XLOOKUP(TableDailySummary[[#This Row],[Fecha]],SummaryDaily[day],SummaryDaily[GoogleAdsOperation.Cost],0)</f>
        <v>0</v>
      </c>
      <c r="Y686" s="11">
        <f>SUMIFS(SalesByUTMDaily[google],SalesByUTMDaily[day],TableDailySummary[[#This Row],[Fecha]])</f>
        <v>0</v>
      </c>
      <c r="Z686" s="11">
        <f>_xlfn.XLOOKUP(TableDailySummary[[#This Row],[Fecha]],SummaryDaily[day],SummaryDaily[MetaAdsOperation.spend],0)</f>
        <v>0</v>
      </c>
      <c r="AA686" s="11">
        <f>SUMIFS(SalesByUTMDaily[facebook],SalesByUTMDaily[day],TableDailySummary[[#This Row],[Fecha]])</f>
        <v>0</v>
      </c>
      <c r="AB686" s="11">
        <f>TableDailySummary[[#This Row],[Inversión google ads]]+TableDailySummary[[#This Row],[Inversión meta ads]]</f>
        <v>0</v>
      </c>
      <c r="AC686" s="11">
        <f>TableDailySummary[[#This Row],[Ventas google ads]]+TableDailySummary[[#This Row],[Ventas meta ads]]</f>
        <v>0</v>
      </c>
      <c r="AD686" s="14">
        <f>IFERROR(TableDailySummary[[#This Row],[Ventas publicidad]]/TableDailySummary[[#This Row],[Inversión publicidad]],0)</f>
        <v>0</v>
      </c>
      <c r="AE686" s="14">
        <f>IFERROR(TableDailySummary[[#This Row],[Ventas primer cliente]]/TableDailySummary[[#This Row],[Inversión publicidad]],0)</f>
        <v>0</v>
      </c>
      <c r="AF686" s="14"/>
      <c r="AG686" s="11"/>
      <c r="AM686" s="11">
        <f>_xlfn.XLOOKUP(TableDailySummary[[#This Row],[Fecha]],SummaryDaily[day],SummaryDaily[net_sales_with_cost_recorded],0)</f>
        <v>0</v>
      </c>
      <c r="AN686" s="11">
        <f>_xlfn.XLOOKUP(TableDailySummary[[#This Row],[Fecha]],SummaryDaily[day],SummaryDaily[cost_of_goods_sold],0)</f>
        <v>0</v>
      </c>
      <c r="AO686" s="11">
        <f>_xlfn.XLOOKUP(TableDailySummary[[#This Row],[Fecha]],SummaryDaily[day],SummaryDaily[gross_profit],0)</f>
        <v>0</v>
      </c>
      <c r="AP686" s="18">
        <f>IFERROR(TableDailySummary[[#This Row],[Utilidad bruta]]/TableDailySummary[[#This Row],[Ventas netas con costo registrado]],0)</f>
        <v>0</v>
      </c>
    </row>
    <row r="687" spans="2:42" x14ac:dyDescent="0.2">
      <c r="B687" s="15" cm="1">
        <f t="array" ref="B687">ParamFechaInicioReporte + (ROW(TableDailySummary[#This Row]) - ROW(TableDailySummary[[#Headers],[Dia]]) - 1)</f>
        <v>45214</v>
      </c>
      <c r="C687" s="6">
        <f>TableDailySummary[[#This Row],[Dia]]</f>
        <v>45214</v>
      </c>
      <c r="D687" s="11">
        <f>_xlfn.XLOOKUP(TableDailySummary[[#This Row],[Fecha]],SummaryDaily[day],SummaryDaily[net_sales],0)</f>
        <v>0</v>
      </c>
      <c r="E687" s="11">
        <f>_xlfn.XLOOKUP(TableDailySummary[[#This Row],[Fecha]],SummaryDaily[day],SummaryDaily[orders],0)</f>
        <v>0</v>
      </c>
      <c r="F687" s="11">
        <f>_xlfn.XLOOKUP(TableDailySummary[[#This Row],[Fecha]],SummaryDaily[day],SummaryDaily[average_order_value],0)</f>
        <v>0</v>
      </c>
      <c r="G687" s="24" cm="1">
        <f t="array" ref="G687">_xlfn.XLOOKUP(TableDailySummary[[#This Row],[Fecha]]&amp;"Total site",ConversionRateByReferral[day]&amp;ConversionRateByReferral[referrer_source],ConversionRateByReferral[conversion_rate],0)</f>
        <v>0</v>
      </c>
      <c r="H687" s="11">
        <f>TableDailySummary[[#This Row],[Órden promedio totales]]*TableDailySummary[[#This Row],[CR totales]]</f>
        <v>0</v>
      </c>
      <c r="I687" s="11">
        <f>_xlfn.XLOOKUP(TableDailySummary[[#This Row],[Fecha]],SummaryDaily[day],SummaryDaily[new_net_sales],0)</f>
        <v>0</v>
      </c>
      <c r="J687" s="11">
        <f>_xlfn.XLOOKUP(TableDailySummary[[#This Row],[Fecha]],SummaryDaily[day],SummaryDaily[new_orders],0)</f>
        <v>0</v>
      </c>
      <c r="K687" s="11">
        <f>_xlfn.XLOOKUP(TableDailySummary[[#This Row],[Fecha]],SummaryDaily[day],SummaryDaily[new_average_order_value],0)</f>
        <v>0</v>
      </c>
      <c r="L687" s="11">
        <f>_xlfn.XLOOKUP(TableDailySummary[[#This Row],[Fecha]],SummaryDaily[day],SummaryDaily[Online Store_net_sales],0)</f>
        <v>0</v>
      </c>
      <c r="M687" s="11">
        <f>_xlfn.XLOOKUP(TableDailySummary[[#This Row],[Fecha]],SummaryDaily[day],SummaryDaily[Online Store_orders],0)</f>
        <v>0</v>
      </c>
      <c r="N687" s="11">
        <f>_xlfn.XLOOKUP(TableDailySummary[[#This Row],[Fecha]],SummaryDaily[day],SummaryDaily[Online Store_average_order_value],0)</f>
        <v>0</v>
      </c>
      <c r="O687" s="11">
        <f>_xlfn.XLOOKUP(TableDailySummary[[#This Row],[Fecha]],SummaryDaily[day],SummaryDaily[Tienda 81_net_sales],0)</f>
        <v>0</v>
      </c>
      <c r="P687" s="11">
        <f>_xlfn.XLOOKUP(TableDailySummary[[#This Row],[Fecha]],SummaryDaily[day],SummaryDaily[Tienda 81_orders],0)</f>
        <v>0</v>
      </c>
      <c r="Q687" s="11">
        <f>_xlfn.XLOOKUP(TableDailySummary[[#This Row],[Fecha]],SummaryDaily[day],SummaryDaily[Tienda 81_average_order_value],0)</f>
        <v>0</v>
      </c>
      <c r="R687" s="11">
        <f>_xlfn.XLOOKUP(TableDailySummary[[#This Row],[Fecha]],SummaryDaily[day],SummaryDaily[Rappi_net_sales],0)</f>
        <v>0</v>
      </c>
      <c r="S687" s="11">
        <f>_xlfn.XLOOKUP(TableDailySummary[[#This Row],[Fecha]],SummaryDaily[day],SummaryDaily[Rappi_orders],0)</f>
        <v>0</v>
      </c>
      <c r="T687" s="11">
        <f>_xlfn.XLOOKUP(TableDailySummary[[#This Row],[Fecha]],SummaryDaily[day],SummaryDaily[Rappi_average_order_value],0)</f>
        <v>0</v>
      </c>
      <c r="U687" s="11">
        <f>_xlfn.XLOOKUP(TableDailySummary[[#This Row],[Fecha]],SummaryDaily[day],SummaryDaily[Corporativo no tienda_net_sales],0)</f>
        <v>0</v>
      </c>
      <c r="V687" s="11">
        <f>_xlfn.XLOOKUP(TableDailySummary[[#This Row],[Fecha]],SummaryDaily[day],SummaryDaily[Corporativo no tienda_orders],0)</f>
        <v>0</v>
      </c>
      <c r="W687" s="11">
        <f>_xlfn.XLOOKUP(TableDailySummary[[#This Row],[Fecha]],SummaryDaily[day],SummaryDaily[Corporativo no tienda_average_order_value],0)</f>
        <v>0</v>
      </c>
      <c r="X687" s="11">
        <f>_xlfn.XLOOKUP(TableDailySummary[[#This Row],[Fecha]],SummaryDaily[day],SummaryDaily[GoogleAdsOperation.Cost],0)</f>
        <v>0</v>
      </c>
      <c r="Y687" s="11">
        <f>SUMIFS(SalesByUTMDaily[google],SalesByUTMDaily[day],TableDailySummary[[#This Row],[Fecha]])</f>
        <v>0</v>
      </c>
      <c r="Z687" s="11">
        <f>_xlfn.XLOOKUP(TableDailySummary[[#This Row],[Fecha]],SummaryDaily[day],SummaryDaily[MetaAdsOperation.spend],0)</f>
        <v>0</v>
      </c>
      <c r="AA687" s="11">
        <f>SUMIFS(SalesByUTMDaily[facebook],SalesByUTMDaily[day],TableDailySummary[[#This Row],[Fecha]])</f>
        <v>0</v>
      </c>
      <c r="AB687" s="11">
        <f>TableDailySummary[[#This Row],[Inversión google ads]]+TableDailySummary[[#This Row],[Inversión meta ads]]</f>
        <v>0</v>
      </c>
      <c r="AC687" s="11">
        <f>TableDailySummary[[#This Row],[Ventas google ads]]+TableDailySummary[[#This Row],[Ventas meta ads]]</f>
        <v>0</v>
      </c>
      <c r="AD687" s="14">
        <f>IFERROR(TableDailySummary[[#This Row],[Ventas publicidad]]/TableDailySummary[[#This Row],[Inversión publicidad]],0)</f>
        <v>0</v>
      </c>
      <c r="AE687" s="14">
        <f>IFERROR(TableDailySummary[[#This Row],[Ventas primer cliente]]/TableDailySummary[[#This Row],[Inversión publicidad]],0)</f>
        <v>0</v>
      </c>
      <c r="AF687" s="14"/>
      <c r="AG687" s="11"/>
      <c r="AM687" s="11">
        <f>_xlfn.XLOOKUP(TableDailySummary[[#This Row],[Fecha]],SummaryDaily[day],SummaryDaily[net_sales_with_cost_recorded],0)</f>
        <v>0</v>
      </c>
      <c r="AN687" s="11">
        <f>_xlfn.XLOOKUP(TableDailySummary[[#This Row],[Fecha]],SummaryDaily[day],SummaryDaily[cost_of_goods_sold],0)</f>
        <v>0</v>
      </c>
      <c r="AO687" s="11">
        <f>_xlfn.XLOOKUP(TableDailySummary[[#This Row],[Fecha]],SummaryDaily[day],SummaryDaily[gross_profit],0)</f>
        <v>0</v>
      </c>
      <c r="AP687" s="18">
        <f>IFERROR(TableDailySummary[[#This Row],[Utilidad bruta]]/TableDailySummary[[#This Row],[Ventas netas con costo registrado]],0)</f>
        <v>0</v>
      </c>
    </row>
    <row r="688" spans="2:42" x14ac:dyDescent="0.2">
      <c r="B688" s="15" cm="1">
        <f t="array" ref="B688">ParamFechaInicioReporte + (ROW(TableDailySummary[#This Row]) - ROW(TableDailySummary[[#Headers],[Dia]]) - 1)</f>
        <v>45215</v>
      </c>
      <c r="C688" s="6">
        <f>TableDailySummary[[#This Row],[Dia]]</f>
        <v>45215</v>
      </c>
      <c r="D688" s="11">
        <f>_xlfn.XLOOKUP(TableDailySummary[[#This Row],[Fecha]],SummaryDaily[day],SummaryDaily[net_sales],0)</f>
        <v>0</v>
      </c>
      <c r="E688" s="11">
        <f>_xlfn.XLOOKUP(TableDailySummary[[#This Row],[Fecha]],SummaryDaily[day],SummaryDaily[orders],0)</f>
        <v>0</v>
      </c>
      <c r="F688" s="11">
        <f>_xlfn.XLOOKUP(TableDailySummary[[#This Row],[Fecha]],SummaryDaily[day],SummaryDaily[average_order_value],0)</f>
        <v>0</v>
      </c>
      <c r="G688" s="24" cm="1">
        <f t="array" ref="G688">_xlfn.XLOOKUP(TableDailySummary[[#This Row],[Fecha]]&amp;"Total site",ConversionRateByReferral[day]&amp;ConversionRateByReferral[referrer_source],ConversionRateByReferral[conversion_rate],0)</f>
        <v>0</v>
      </c>
      <c r="H688" s="11">
        <f>TableDailySummary[[#This Row],[Órden promedio totales]]*TableDailySummary[[#This Row],[CR totales]]</f>
        <v>0</v>
      </c>
      <c r="I688" s="11">
        <f>_xlfn.XLOOKUP(TableDailySummary[[#This Row],[Fecha]],SummaryDaily[day],SummaryDaily[new_net_sales],0)</f>
        <v>0</v>
      </c>
      <c r="J688" s="11">
        <f>_xlfn.XLOOKUP(TableDailySummary[[#This Row],[Fecha]],SummaryDaily[day],SummaryDaily[new_orders],0)</f>
        <v>0</v>
      </c>
      <c r="K688" s="11">
        <f>_xlfn.XLOOKUP(TableDailySummary[[#This Row],[Fecha]],SummaryDaily[day],SummaryDaily[new_average_order_value],0)</f>
        <v>0</v>
      </c>
      <c r="L688" s="11">
        <f>_xlfn.XLOOKUP(TableDailySummary[[#This Row],[Fecha]],SummaryDaily[day],SummaryDaily[Online Store_net_sales],0)</f>
        <v>0</v>
      </c>
      <c r="M688" s="11">
        <f>_xlfn.XLOOKUP(TableDailySummary[[#This Row],[Fecha]],SummaryDaily[day],SummaryDaily[Online Store_orders],0)</f>
        <v>0</v>
      </c>
      <c r="N688" s="11">
        <f>_xlfn.XLOOKUP(TableDailySummary[[#This Row],[Fecha]],SummaryDaily[day],SummaryDaily[Online Store_average_order_value],0)</f>
        <v>0</v>
      </c>
      <c r="O688" s="11">
        <f>_xlfn.XLOOKUP(TableDailySummary[[#This Row],[Fecha]],SummaryDaily[day],SummaryDaily[Tienda 81_net_sales],0)</f>
        <v>0</v>
      </c>
      <c r="P688" s="11">
        <f>_xlfn.XLOOKUP(TableDailySummary[[#This Row],[Fecha]],SummaryDaily[day],SummaryDaily[Tienda 81_orders],0)</f>
        <v>0</v>
      </c>
      <c r="Q688" s="11">
        <f>_xlfn.XLOOKUP(TableDailySummary[[#This Row],[Fecha]],SummaryDaily[day],SummaryDaily[Tienda 81_average_order_value],0)</f>
        <v>0</v>
      </c>
      <c r="R688" s="11">
        <f>_xlfn.XLOOKUP(TableDailySummary[[#This Row],[Fecha]],SummaryDaily[day],SummaryDaily[Rappi_net_sales],0)</f>
        <v>0</v>
      </c>
      <c r="S688" s="11">
        <f>_xlfn.XLOOKUP(TableDailySummary[[#This Row],[Fecha]],SummaryDaily[day],SummaryDaily[Rappi_orders],0)</f>
        <v>0</v>
      </c>
      <c r="T688" s="11">
        <f>_xlfn.XLOOKUP(TableDailySummary[[#This Row],[Fecha]],SummaryDaily[day],SummaryDaily[Rappi_average_order_value],0)</f>
        <v>0</v>
      </c>
      <c r="U688" s="11">
        <f>_xlfn.XLOOKUP(TableDailySummary[[#This Row],[Fecha]],SummaryDaily[day],SummaryDaily[Corporativo no tienda_net_sales],0)</f>
        <v>0</v>
      </c>
      <c r="V688" s="11">
        <f>_xlfn.XLOOKUP(TableDailySummary[[#This Row],[Fecha]],SummaryDaily[day],SummaryDaily[Corporativo no tienda_orders],0)</f>
        <v>0</v>
      </c>
      <c r="W688" s="11">
        <f>_xlfn.XLOOKUP(TableDailySummary[[#This Row],[Fecha]],SummaryDaily[day],SummaryDaily[Corporativo no tienda_average_order_value],0)</f>
        <v>0</v>
      </c>
      <c r="X688" s="11">
        <f>_xlfn.XLOOKUP(TableDailySummary[[#This Row],[Fecha]],SummaryDaily[day],SummaryDaily[GoogleAdsOperation.Cost],0)</f>
        <v>0</v>
      </c>
      <c r="Y688" s="11">
        <f>SUMIFS(SalesByUTMDaily[google],SalesByUTMDaily[day],TableDailySummary[[#This Row],[Fecha]])</f>
        <v>0</v>
      </c>
      <c r="Z688" s="11">
        <f>_xlfn.XLOOKUP(TableDailySummary[[#This Row],[Fecha]],SummaryDaily[day],SummaryDaily[MetaAdsOperation.spend],0)</f>
        <v>0</v>
      </c>
      <c r="AA688" s="11">
        <f>SUMIFS(SalesByUTMDaily[facebook],SalesByUTMDaily[day],TableDailySummary[[#This Row],[Fecha]])</f>
        <v>0</v>
      </c>
      <c r="AB688" s="11">
        <f>TableDailySummary[[#This Row],[Inversión google ads]]+TableDailySummary[[#This Row],[Inversión meta ads]]</f>
        <v>0</v>
      </c>
      <c r="AC688" s="11">
        <f>TableDailySummary[[#This Row],[Ventas google ads]]+TableDailySummary[[#This Row],[Ventas meta ads]]</f>
        <v>0</v>
      </c>
      <c r="AD688" s="14">
        <f>IFERROR(TableDailySummary[[#This Row],[Ventas publicidad]]/TableDailySummary[[#This Row],[Inversión publicidad]],0)</f>
        <v>0</v>
      </c>
      <c r="AE688" s="14">
        <f>IFERROR(TableDailySummary[[#This Row],[Ventas primer cliente]]/TableDailySummary[[#This Row],[Inversión publicidad]],0)</f>
        <v>0</v>
      </c>
      <c r="AF688" s="14"/>
      <c r="AG688" s="11"/>
      <c r="AM688" s="11">
        <f>_xlfn.XLOOKUP(TableDailySummary[[#This Row],[Fecha]],SummaryDaily[day],SummaryDaily[net_sales_with_cost_recorded],0)</f>
        <v>0</v>
      </c>
      <c r="AN688" s="11">
        <f>_xlfn.XLOOKUP(TableDailySummary[[#This Row],[Fecha]],SummaryDaily[day],SummaryDaily[cost_of_goods_sold],0)</f>
        <v>0</v>
      </c>
      <c r="AO688" s="11">
        <f>_xlfn.XLOOKUP(TableDailySummary[[#This Row],[Fecha]],SummaryDaily[day],SummaryDaily[gross_profit],0)</f>
        <v>0</v>
      </c>
      <c r="AP688" s="18">
        <f>IFERROR(TableDailySummary[[#This Row],[Utilidad bruta]]/TableDailySummary[[#This Row],[Ventas netas con costo registrado]],0)</f>
        <v>0</v>
      </c>
    </row>
    <row r="689" spans="2:42" x14ac:dyDescent="0.2">
      <c r="B689" s="15" cm="1">
        <f t="array" ref="B689">ParamFechaInicioReporte + (ROW(TableDailySummary[#This Row]) - ROW(TableDailySummary[[#Headers],[Dia]]) - 1)</f>
        <v>45216</v>
      </c>
      <c r="C689" s="6">
        <f>TableDailySummary[[#This Row],[Dia]]</f>
        <v>45216</v>
      </c>
      <c r="D689" s="11">
        <f>_xlfn.XLOOKUP(TableDailySummary[[#This Row],[Fecha]],SummaryDaily[day],SummaryDaily[net_sales],0)</f>
        <v>0</v>
      </c>
      <c r="E689" s="11">
        <f>_xlfn.XLOOKUP(TableDailySummary[[#This Row],[Fecha]],SummaryDaily[day],SummaryDaily[orders],0)</f>
        <v>0</v>
      </c>
      <c r="F689" s="11">
        <f>_xlfn.XLOOKUP(TableDailySummary[[#This Row],[Fecha]],SummaryDaily[day],SummaryDaily[average_order_value],0)</f>
        <v>0</v>
      </c>
      <c r="G689" s="24" cm="1">
        <f t="array" ref="G689">_xlfn.XLOOKUP(TableDailySummary[[#This Row],[Fecha]]&amp;"Total site",ConversionRateByReferral[day]&amp;ConversionRateByReferral[referrer_source],ConversionRateByReferral[conversion_rate],0)</f>
        <v>0</v>
      </c>
      <c r="H689" s="11">
        <f>TableDailySummary[[#This Row],[Órden promedio totales]]*TableDailySummary[[#This Row],[CR totales]]</f>
        <v>0</v>
      </c>
      <c r="I689" s="11">
        <f>_xlfn.XLOOKUP(TableDailySummary[[#This Row],[Fecha]],SummaryDaily[day],SummaryDaily[new_net_sales],0)</f>
        <v>0</v>
      </c>
      <c r="J689" s="11">
        <f>_xlfn.XLOOKUP(TableDailySummary[[#This Row],[Fecha]],SummaryDaily[day],SummaryDaily[new_orders],0)</f>
        <v>0</v>
      </c>
      <c r="K689" s="11">
        <f>_xlfn.XLOOKUP(TableDailySummary[[#This Row],[Fecha]],SummaryDaily[day],SummaryDaily[new_average_order_value],0)</f>
        <v>0</v>
      </c>
      <c r="L689" s="11">
        <f>_xlfn.XLOOKUP(TableDailySummary[[#This Row],[Fecha]],SummaryDaily[day],SummaryDaily[Online Store_net_sales],0)</f>
        <v>0</v>
      </c>
      <c r="M689" s="11">
        <f>_xlfn.XLOOKUP(TableDailySummary[[#This Row],[Fecha]],SummaryDaily[day],SummaryDaily[Online Store_orders],0)</f>
        <v>0</v>
      </c>
      <c r="N689" s="11">
        <f>_xlfn.XLOOKUP(TableDailySummary[[#This Row],[Fecha]],SummaryDaily[day],SummaryDaily[Online Store_average_order_value],0)</f>
        <v>0</v>
      </c>
      <c r="O689" s="11">
        <f>_xlfn.XLOOKUP(TableDailySummary[[#This Row],[Fecha]],SummaryDaily[day],SummaryDaily[Tienda 81_net_sales],0)</f>
        <v>0</v>
      </c>
      <c r="P689" s="11">
        <f>_xlfn.XLOOKUP(TableDailySummary[[#This Row],[Fecha]],SummaryDaily[day],SummaryDaily[Tienda 81_orders],0)</f>
        <v>0</v>
      </c>
      <c r="Q689" s="11">
        <f>_xlfn.XLOOKUP(TableDailySummary[[#This Row],[Fecha]],SummaryDaily[day],SummaryDaily[Tienda 81_average_order_value],0)</f>
        <v>0</v>
      </c>
      <c r="R689" s="11">
        <f>_xlfn.XLOOKUP(TableDailySummary[[#This Row],[Fecha]],SummaryDaily[day],SummaryDaily[Rappi_net_sales],0)</f>
        <v>0</v>
      </c>
      <c r="S689" s="11">
        <f>_xlfn.XLOOKUP(TableDailySummary[[#This Row],[Fecha]],SummaryDaily[day],SummaryDaily[Rappi_orders],0)</f>
        <v>0</v>
      </c>
      <c r="T689" s="11">
        <f>_xlfn.XLOOKUP(TableDailySummary[[#This Row],[Fecha]],SummaryDaily[day],SummaryDaily[Rappi_average_order_value],0)</f>
        <v>0</v>
      </c>
      <c r="U689" s="11">
        <f>_xlfn.XLOOKUP(TableDailySummary[[#This Row],[Fecha]],SummaryDaily[day],SummaryDaily[Corporativo no tienda_net_sales],0)</f>
        <v>0</v>
      </c>
      <c r="V689" s="11">
        <f>_xlfn.XLOOKUP(TableDailySummary[[#This Row],[Fecha]],SummaryDaily[day],SummaryDaily[Corporativo no tienda_orders],0)</f>
        <v>0</v>
      </c>
      <c r="W689" s="11">
        <f>_xlfn.XLOOKUP(TableDailySummary[[#This Row],[Fecha]],SummaryDaily[day],SummaryDaily[Corporativo no tienda_average_order_value],0)</f>
        <v>0</v>
      </c>
      <c r="X689" s="11">
        <f>_xlfn.XLOOKUP(TableDailySummary[[#This Row],[Fecha]],SummaryDaily[day],SummaryDaily[GoogleAdsOperation.Cost],0)</f>
        <v>0</v>
      </c>
      <c r="Y689" s="11">
        <f>SUMIFS(SalesByUTMDaily[google],SalesByUTMDaily[day],TableDailySummary[[#This Row],[Fecha]])</f>
        <v>0</v>
      </c>
      <c r="Z689" s="11">
        <f>_xlfn.XLOOKUP(TableDailySummary[[#This Row],[Fecha]],SummaryDaily[day],SummaryDaily[MetaAdsOperation.spend],0)</f>
        <v>0</v>
      </c>
      <c r="AA689" s="11">
        <f>SUMIFS(SalesByUTMDaily[facebook],SalesByUTMDaily[day],TableDailySummary[[#This Row],[Fecha]])</f>
        <v>0</v>
      </c>
      <c r="AB689" s="11">
        <f>TableDailySummary[[#This Row],[Inversión google ads]]+TableDailySummary[[#This Row],[Inversión meta ads]]</f>
        <v>0</v>
      </c>
      <c r="AC689" s="11">
        <f>TableDailySummary[[#This Row],[Ventas google ads]]+TableDailySummary[[#This Row],[Ventas meta ads]]</f>
        <v>0</v>
      </c>
      <c r="AD689" s="14">
        <f>IFERROR(TableDailySummary[[#This Row],[Ventas publicidad]]/TableDailySummary[[#This Row],[Inversión publicidad]],0)</f>
        <v>0</v>
      </c>
      <c r="AE689" s="14">
        <f>IFERROR(TableDailySummary[[#This Row],[Ventas primer cliente]]/TableDailySummary[[#This Row],[Inversión publicidad]],0)</f>
        <v>0</v>
      </c>
      <c r="AF689" s="14"/>
      <c r="AG689" s="11"/>
      <c r="AM689" s="11">
        <f>_xlfn.XLOOKUP(TableDailySummary[[#This Row],[Fecha]],SummaryDaily[day],SummaryDaily[net_sales_with_cost_recorded],0)</f>
        <v>0</v>
      </c>
      <c r="AN689" s="11">
        <f>_xlfn.XLOOKUP(TableDailySummary[[#This Row],[Fecha]],SummaryDaily[day],SummaryDaily[cost_of_goods_sold],0)</f>
        <v>0</v>
      </c>
      <c r="AO689" s="11">
        <f>_xlfn.XLOOKUP(TableDailySummary[[#This Row],[Fecha]],SummaryDaily[day],SummaryDaily[gross_profit],0)</f>
        <v>0</v>
      </c>
      <c r="AP689" s="18">
        <f>IFERROR(TableDailySummary[[#This Row],[Utilidad bruta]]/TableDailySummary[[#This Row],[Ventas netas con costo registrado]],0)</f>
        <v>0</v>
      </c>
    </row>
    <row r="690" spans="2:42" x14ac:dyDescent="0.2">
      <c r="B690" s="15" cm="1">
        <f t="array" ref="B690">ParamFechaInicioReporte + (ROW(TableDailySummary[#This Row]) - ROW(TableDailySummary[[#Headers],[Dia]]) - 1)</f>
        <v>45217</v>
      </c>
      <c r="C690" s="6">
        <f>TableDailySummary[[#This Row],[Dia]]</f>
        <v>45217</v>
      </c>
      <c r="D690" s="11">
        <f>_xlfn.XLOOKUP(TableDailySummary[[#This Row],[Fecha]],SummaryDaily[day],SummaryDaily[net_sales],0)</f>
        <v>0</v>
      </c>
      <c r="E690" s="11">
        <f>_xlfn.XLOOKUP(TableDailySummary[[#This Row],[Fecha]],SummaryDaily[day],SummaryDaily[orders],0)</f>
        <v>0</v>
      </c>
      <c r="F690" s="11">
        <f>_xlfn.XLOOKUP(TableDailySummary[[#This Row],[Fecha]],SummaryDaily[day],SummaryDaily[average_order_value],0)</f>
        <v>0</v>
      </c>
      <c r="G690" s="24" cm="1">
        <f t="array" ref="G690">_xlfn.XLOOKUP(TableDailySummary[[#This Row],[Fecha]]&amp;"Total site",ConversionRateByReferral[day]&amp;ConversionRateByReferral[referrer_source],ConversionRateByReferral[conversion_rate],0)</f>
        <v>0</v>
      </c>
      <c r="H690" s="11">
        <f>TableDailySummary[[#This Row],[Órden promedio totales]]*TableDailySummary[[#This Row],[CR totales]]</f>
        <v>0</v>
      </c>
      <c r="I690" s="11">
        <f>_xlfn.XLOOKUP(TableDailySummary[[#This Row],[Fecha]],SummaryDaily[day],SummaryDaily[new_net_sales],0)</f>
        <v>0</v>
      </c>
      <c r="J690" s="11">
        <f>_xlfn.XLOOKUP(TableDailySummary[[#This Row],[Fecha]],SummaryDaily[day],SummaryDaily[new_orders],0)</f>
        <v>0</v>
      </c>
      <c r="K690" s="11">
        <f>_xlfn.XLOOKUP(TableDailySummary[[#This Row],[Fecha]],SummaryDaily[day],SummaryDaily[new_average_order_value],0)</f>
        <v>0</v>
      </c>
      <c r="L690" s="11">
        <f>_xlfn.XLOOKUP(TableDailySummary[[#This Row],[Fecha]],SummaryDaily[day],SummaryDaily[Online Store_net_sales],0)</f>
        <v>0</v>
      </c>
      <c r="M690" s="11">
        <f>_xlfn.XLOOKUP(TableDailySummary[[#This Row],[Fecha]],SummaryDaily[day],SummaryDaily[Online Store_orders],0)</f>
        <v>0</v>
      </c>
      <c r="N690" s="11">
        <f>_xlfn.XLOOKUP(TableDailySummary[[#This Row],[Fecha]],SummaryDaily[day],SummaryDaily[Online Store_average_order_value],0)</f>
        <v>0</v>
      </c>
      <c r="O690" s="11">
        <f>_xlfn.XLOOKUP(TableDailySummary[[#This Row],[Fecha]],SummaryDaily[day],SummaryDaily[Tienda 81_net_sales],0)</f>
        <v>0</v>
      </c>
      <c r="P690" s="11">
        <f>_xlfn.XLOOKUP(TableDailySummary[[#This Row],[Fecha]],SummaryDaily[day],SummaryDaily[Tienda 81_orders],0)</f>
        <v>0</v>
      </c>
      <c r="Q690" s="11">
        <f>_xlfn.XLOOKUP(TableDailySummary[[#This Row],[Fecha]],SummaryDaily[day],SummaryDaily[Tienda 81_average_order_value],0)</f>
        <v>0</v>
      </c>
      <c r="R690" s="11">
        <f>_xlfn.XLOOKUP(TableDailySummary[[#This Row],[Fecha]],SummaryDaily[day],SummaryDaily[Rappi_net_sales],0)</f>
        <v>0</v>
      </c>
      <c r="S690" s="11">
        <f>_xlfn.XLOOKUP(TableDailySummary[[#This Row],[Fecha]],SummaryDaily[day],SummaryDaily[Rappi_orders],0)</f>
        <v>0</v>
      </c>
      <c r="T690" s="11">
        <f>_xlfn.XLOOKUP(TableDailySummary[[#This Row],[Fecha]],SummaryDaily[day],SummaryDaily[Rappi_average_order_value],0)</f>
        <v>0</v>
      </c>
      <c r="U690" s="11">
        <f>_xlfn.XLOOKUP(TableDailySummary[[#This Row],[Fecha]],SummaryDaily[day],SummaryDaily[Corporativo no tienda_net_sales],0)</f>
        <v>0</v>
      </c>
      <c r="V690" s="11">
        <f>_xlfn.XLOOKUP(TableDailySummary[[#This Row],[Fecha]],SummaryDaily[day],SummaryDaily[Corporativo no tienda_orders],0)</f>
        <v>0</v>
      </c>
      <c r="W690" s="11">
        <f>_xlfn.XLOOKUP(TableDailySummary[[#This Row],[Fecha]],SummaryDaily[day],SummaryDaily[Corporativo no tienda_average_order_value],0)</f>
        <v>0</v>
      </c>
      <c r="X690" s="11">
        <f>_xlfn.XLOOKUP(TableDailySummary[[#This Row],[Fecha]],SummaryDaily[day],SummaryDaily[GoogleAdsOperation.Cost],0)</f>
        <v>0</v>
      </c>
      <c r="Y690" s="11">
        <f>SUMIFS(SalesByUTMDaily[google],SalesByUTMDaily[day],TableDailySummary[[#This Row],[Fecha]])</f>
        <v>0</v>
      </c>
      <c r="Z690" s="11">
        <f>_xlfn.XLOOKUP(TableDailySummary[[#This Row],[Fecha]],SummaryDaily[day],SummaryDaily[MetaAdsOperation.spend],0)</f>
        <v>0</v>
      </c>
      <c r="AA690" s="11">
        <f>SUMIFS(SalesByUTMDaily[facebook],SalesByUTMDaily[day],TableDailySummary[[#This Row],[Fecha]])</f>
        <v>0</v>
      </c>
      <c r="AB690" s="11">
        <f>TableDailySummary[[#This Row],[Inversión google ads]]+TableDailySummary[[#This Row],[Inversión meta ads]]</f>
        <v>0</v>
      </c>
      <c r="AC690" s="11">
        <f>TableDailySummary[[#This Row],[Ventas google ads]]+TableDailySummary[[#This Row],[Ventas meta ads]]</f>
        <v>0</v>
      </c>
      <c r="AD690" s="14">
        <f>IFERROR(TableDailySummary[[#This Row],[Ventas publicidad]]/TableDailySummary[[#This Row],[Inversión publicidad]],0)</f>
        <v>0</v>
      </c>
      <c r="AE690" s="14">
        <f>IFERROR(TableDailySummary[[#This Row],[Ventas primer cliente]]/TableDailySummary[[#This Row],[Inversión publicidad]],0)</f>
        <v>0</v>
      </c>
      <c r="AF690" s="14"/>
      <c r="AG690" s="11"/>
      <c r="AM690" s="11">
        <f>_xlfn.XLOOKUP(TableDailySummary[[#This Row],[Fecha]],SummaryDaily[day],SummaryDaily[net_sales_with_cost_recorded],0)</f>
        <v>0</v>
      </c>
      <c r="AN690" s="11">
        <f>_xlfn.XLOOKUP(TableDailySummary[[#This Row],[Fecha]],SummaryDaily[day],SummaryDaily[cost_of_goods_sold],0)</f>
        <v>0</v>
      </c>
      <c r="AO690" s="11">
        <f>_xlfn.XLOOKUP(TableDailySummary[[#This Row],[Fecha]],SummaryDaily[day],SummaryDaily[gross_profit],0)</f>
        <v>0</v>
      </c>
      <c r="AP690" s="18">
        <f>IFERROR(TableDailySummary[[#This Row],[Utilidad bruta]]/TableDailySummary[[#This Row],[Ventas netas con costo registrado]],0)</f>
        <v>0</v>
      </c>
    </row>
    <row r="691" spans="2:42" x14ac:dyDescent="0.2">
      <c r="B691" s="15" cm="1">
        <f t="array" ref="B691">ParamFechaInicioReporte + (ROW(TableDailySummary[#This Row]) - ROW(TableDailySummary[[#Headers],[Dia]]) - 1)</f>
        <v>45218</v>
      </c>
      <c r="C691" s="6">
        <f>TableDailySummary[[#This Row],[Dia]]</f>
        <v>45218</v>
      </c>
      <c r="D691" s="11">
        <f>_xlfn.XLOOKUP(TableDailySummary[[#This Row],[Fecha]],SummaryDaily[day],SummaryDaily[net_sales],0)</f>
        <v>0</v>
      </c>
      <c r="E691" s="11">
        <f>_xlfn.XLOOKUP(TableDailySummary[[#This Row],[Fecha]],SummaryDaily[day],SummaryDaily[orders],0)</f>
        <v>0</v>
      </c>
      <c r="F691" s="11">
        <f>_xlfn.XLOOKUP(TableDailySummary[[#This Row],[Fecha]],SummaryDaily[day],SummaryDaily[average_order_value],0)</f>
        <v>0</v>
      </c>
      <c r="G691" s="24" cm="1">
        <f t="array" ref="G691">_xlfn.XLOOKUP(TableDailySummary[[#This Row],[Fecha]]&amp;"Total site",ConversionRateByReferral[day]&amp;ConversionRateByReferral[referrer_source],ConversionRateByReferral[conversion_rate],0)</f>
        <v>0</v>
      </c>
      <c r="H691" s="11">
        <f>TableDailySummary[[#This Row],[Órden promedio totales]]*TableDailySummary[[#This Row],[CR totales]]</f>
        <v>0</v>
      </c>
      <c r="I691" s="11">
        <f>_xlfn.XLOOKUP(TableDailySummary[[#This Row],[Fecha]],SummaryDaily[day],SummaryDaily[new_net_sales],0)</f>
        <v>0</v>
      </c>
      <c r="J691" s="11">
        <f>_xlfn.XLOOKUP(TableDailySummary[[#This Row],[Fecha]],SummaryDaily[day],SummaryDaily[new_orders],0)</f>
        <v>0</v>
      </c>
      <c r="K691" s="11">
        <f>_xlfn.XLOOKUP(TableDailySummary[[#This Row],[Fecha]],SummaryDaily[day],SummaryDaily[new_average_order_value],0)</f>
        <v>0</v>
      </c>
      <c r="L691" s="11">
        <f>_xlfn.XLOOKUP(TableDailySummary[[#This Row],[Fecha]],SummaryDaily[day],SummaryDaily[Online Store_net_sales],0)</f>
        <v>0</v>
      </c>
      <c r="M691" s="11">
        <f>_xlfn.XLOOKUP(TableDailySummary[[#This Row],[Fecha]],SummaryDaily[day],SummaryDaily[Online Store_orders],0)</f>
        <v>0</v>
      </c>
      <c r="N691" s="11">
        <f>_xlfn.XLOOKUP(TableDailySummary[[#This Row],[Fecha]],SummaryDaily[day],SummaryDaily[Online Store_average_order_value],0)</f>
        <v>0</v>
      </c>
      <c r="O691" s="11">
        <f>_xlfn.XLOOKUP(TableDailySummary[[#This Row],[Fecha]],SummaryDaily[day],SummaryDaily[Tienda 81_net_sales],0)</f>
        <v>0</v>
      </c>
      <c r="P691" s="11">
        <f>_xlfn.XLOOKUP(TableDailySummary[[#This Row],[Fecha]],SummaryDaily[day],SummaryDaily[Tienda 81_orders],0)</f>
        <v>0</v>
      </c>
      <c r="Q691" s="11">
        <f>_xlfn.XLOOKUP(TableDailySummary[[#This Row],[Fecha]],SummaryDaily[day],SummaryDaily[Tienda 81_average_order_value],0)</f>
        <v>0</v>
      </c>
      <c r="R691" s="11">
        <f>_xlfn.XLOOKUP(TableDailySummary[[#This Row],[Fecha]],SummaryDaily[day],SummaryDaily[Rappi_net_sales],0)</f>
        <v>0</v>
      </c>
      <c r="S691" s="11">
        <f>_xlfn.XLOOKUP(TableDailySummary[[#This Row],[Fecha]],SummaryDaily[day],SummaryDaily[Rappi_orders],0)</f>
        <v>0</v>
      </c>
      <c r="T691" s="11">
        <f>_xlfn.XLOOKUP(TableDailySummary[[#This Row],[Fecha]],SummaryDaily[day],SummaryDaily[Rappi_average_order_value],0)</f>
        <v>0</v>
      </c>
      <c r="U691" s="11">
        <f>_xlfn.XLOOKUP(TableDailySummary[[#This Row],[Fecha]],SummaryDaily[day],SummaryDaily[Corporativo no tienda_net_sales],0)</f>
        <v>0</v>
      </c>
      <c r="V691" s="11">
        <f>_xlfn.XLOOKUP(TableDailySummary[[#This Row],[Fecha]],SummaryDaily[day],SummaryDaily[Corporativo no tienda_orders],0)</f>
        <v>0</v>
      </c>
      <c r="W691" s="11">
        <f>_xlfn.XLOOKUP(TableDailySummary[[#This Row],[Fecha]],SummaryDaily[day],SummaryDaily[Corporativo no tienda_average_order_value],0)</f>
        <v>0</v>
      </c>
      <c r="X691" s="11">
        <f>_xlfn.XLOOKUP(TableDailySummary[[#This Row],[Fecha]],SummaryDaily[day],SummaryDaily[GoogleAdsOperation.Cost],0)</f>
        <v>0</v>
      </c>
      <c r="Y691" s="11">
        <f>SUMIFS(SalesByUTMDaily[google],SalesByUTMDaily[day],TableDailySummary[[#This Row],[Fecha]])</f>
        <v>0</v>
      </c>
      <c r="Z691" s="11">
        <f>_xlfn.XLOOKUP(TableDailySummary[[#This Row],[Fecha]],SummaryDaily[day],SummaryDaily[MetaAdsOperation.spend],0)</f>
        <v>0</v>
      </c>
      <c r="AA691" s="11">
        <f>SUMIFS(SalesByUTMDaily[facebook],SalesByUTMDaily[day],TableDailySummary[[#This Row],[Fecha]])</f>
        <v>0</v>
      </c>
      <c r="AB691" s="11">
        <f>TableDailySummary[[#This Row],[Inversión google ads]]+TableDailySummary[[#This Row],[Inversión meta ads]]</f>
        <v>0</v>
      </c>
      <c r="AC691" s="11">
        <f>TableDailySummary[[#This Row],[Ventas google ads]]+TableDailySummary[[#This Row],[Ventas meta ads]]</f>
        <v>0</v>
      </c>
      <c r="AD691" s="14">
        <f>IFERROR(TableDailySummary[[#This Row],[Ventas publicidad]]/TableDailySummary[[#This Row],[Inversión publicidad]],0)</f>
        <v>0</v>
      </c>
      <c r="AE691" s="14">
        <f>IFERROR(TableDailySummary[[#This Row],[Ventas primer cliente]]/TableDailySummary[[#This Row],[Inversión publicidad]],0)</f>
        <v>0</v>
      </c>
      <c r="AF691" s="14"/>
      <c r="AG691" s="11"/>
      <c r="AM691" s="11">
        <f>_xlfn.XLOOKUP(TableDailySummary[[#This Row],[Fecha]],SummaryDaily[day],SummaryDaily[net_sales_with_cost_recorded],0)</f>
        <v>0</v>
      </c>
      <c r="AN691" s="11">
        <f>_xlfn.XLOOKUP(TableDailySummary[[#This Row],[Fecha]],SummaryDaily[day],SummaryDaily[cost_of_goods_sold],0)</f>
        <v>0</v>
      </c>
      <c r="AO691" s="11">
        <f>_xlfn.XLOOKUP(TableDailySummary[[#This Row],[Fecha]],SummaryDaily[day],SummaryDaily[gross_profit],0)</f>
        <v>0</v>
      </c>
      <c r="AP691" s="18">
        <f>IFERROR(TableDailySummary[[#This Row],[Utilidad bruta]]/TableDailySummary[[#This Row],[Ventas netas con costo registrado]],0)</f>
        <v>0</v>
      </c>
    </row>
    <row r="692" spans="2:42" x14ac:dyDescent="0.2">
      <c r="B692" s="15" cm="1">
        <f t="array" ref="B692">ParamFechaInicioReporte + (ROW(TableDailySummary[#This Row]) - ROW(TableDailySummary[[#Headers],[Dia]]) - 1)</f>
        <v>45219</v>
      </c>
      <c r="C692" s="6">
        <f>TableDailySummary[[#This Row],[Dia]]</f>
        <v>45219</v>
      </c>
      <c r="D692" s="11">
        <f>_xlfn.XLOOKUP(TableDailySummary[[#This Row],[Fecha]],SummaryDaily[day],SummaryDaily[net_sales],0)</f>
        <v>0</v>
      </c>
      <c r="E692" s="11">
        <f>_xlfn.XLOOKUP(TableDailySummary[[#This Row],[Fecha]],SummaryDaily[day],SummaryDaily[orders],0)</f>
        <v>0</v>
      </c>
      <c r="F692" s="11">
        <f>_xlfn.XLOOKUP(TableDailySummary[[#This Row],[Fecha]],SummaryDaily[day],SummaryDaily[average_order_value],0)</f>
        <v>0</v>
      </c>
      <c r="G692" s="24" cm="1">
        <f t="array" ref="G692">_xlfn.XLOOKUP(TableDailySummary[[#This Row],[Fecha]]&amp;"Total site",ConversionRateByReferral[day]&amp;ConversionRateByReferral[referrer_source],ConversionRateByReferral[conversion_rate],0)</f>
        <v>0</v>
      </c>
      <c r="H692" s="11">
        <f>TableDailySummary[[#This Row],[Órden promedio totales]]*TableDailySummary[[#This Row],[CR totales]]</f>
        <v>0</v>
      </c>
      <c r="I692" s="11">
        <f>_xlfn.XLOOKUP(TableDailySummary[[#This Row],[Fecha]],SummaryDaily[day],SummaryDaily[new_net_sales],0)</f>
        <v>0</v>
      </c>
      <c r="J692" s="11">
        <f>_xlfn.XLOOKUP(TableDailySummary[[#This Row],[Fecha]],SummaryDaily[day],SummaryDaily[new_orders],0)</f>
        <v>0</v>
      </c>
      <c r="K692" s="11">
        <f>_xlfn.XLOOKUP(TableDailySummary[[#This Row],[Fecha]],SummaryDaily[day],SummaryDaily[new_average_order_value],0)</f>
        <v>0</v>
      </c>
      <c r="L692" s="11">
        <f>_xlfn.XLOOKUP(TableDailySummary[[#This Row],[Fecha]],SummaryDaily[day],SummaryDaily[Online Store_net_sales],0)</f>
        <v>0</v>
      </c>
      <c r="M692" s="11">
        <f>_xlfn.XLOOKUP(TableDailySummary[[#This Row],[Fecha]],SummaryDaily[day],SummaryDaily[Online Store_orders],0)</f>
        <v>0</v>
      </c>
      <c r="N692" s="11">
        <f>_xlfn.XLOOKUP(TableDailySummary[[#This Row],[Fecha]],SummaryDaily[day],SummaryDaily[Online Store_average_order_value],0)</f>
        <v>0</v>
      </c>
      <c r="O692" s="11">
        <f>_xlfn.XLOOKUP(TableDailySummary[[#This Row],[Fecha]],SummaryDaily[day],SummaryDaily[Tienda 81_net_sales],0)</f>
        <v>0</v>
      </c>
      <c r="P692" s="11">
        <f>_xlfn.XLOOKUP(TableDailySummary[[#This Row],[Fecha]],SummaryDaily[day],SummaryDaily[Tienda 81_orders],0)</f>
        <v>0</v>
      </c>
      <c r="Q692" s="11">
        <f>_xlfn.XLOOKUP(TableDailySummary[[#This Row],[Fecha]],SummaryDaily[day],SummaryDaily[Tienda 81_average_order_value],0)</f>
        <v>0</v>
      </c>
      <c r="R692" s="11">
        <f>_xlfn.XLOOKUP(TableDailySummary[[#This Row],[Fecha]],SummaryDaily[day],SummaryDaily[Rappi_net_sales],0)</f>
        <v>0</v>
      </c>
      <c r="S692" s="11">
        <f>_xlfn.XLOOKUP(TableDailySummary[[#This Row],[Fecha]],SummaryDaily[day],SummaryDaily[Rappi_orders],0)</f>
        <v>0</v>
      </c>
      <c r="T692" s="11">
        <f>_xlfn.XLOOKUP(TableDailySummary[[#This Row],[Fecha]],SummaryDaily[day],SummaryDaily[Rappi_average_order_value],0)</f>
        <v>0</v>
      </c>
      <c r="U692" s="11">
        <f>_xlfn.XLOOKUP(TableDailySummary[[#This Row],[Fecha]],SummaryDaily[day],SummaryDaily[Corporativo no tienda_net_sales],0)</f>
        <v>0</v>
      </c>
      <c r="V692" s="11">
        <f>_xlfn.XLOOKUP(TableDailySummary[[#This Row],[Fecha]],SummaryDaily[day],SummaryDaily[Corporativo no tienda_orders],0)</f>
        <v>0</v>
      </c>
      <c r="W692" s="11">
        <f>_xlfn.XLOOKUP(TableDailySummary[[#This Row],[Fecha]],SummaryDaily[day],SummaryDaily[Corporativo no tienda_average_order_value],0)</f>
        <v>0</v>
      </c>
      <c r="X692" s="11">
        <f>_xlfn.XLOOKUP(TableDailySummary[[#This Row],[Fecha]],SummaryDaily[day],SummaryDaily[GoogleAdsOperation.Cost],0)</f>
        <v>0</v>
      </c>
      <c r="Y692" s="11">
        <f>SUMIFS(SalesByUTMDaily[google],SalesByUTMDaily[day],TableDailySummary[[#This Row],[Fecha]])</f>
        <v>0</v>
      </c>
      <c r="Z692" s="11">
        <f>_xlfn.XLOOKUP(TableDailySummary[[#This Row],[Fecha]],SummaryDaily[day],SummaryDaily[MetaAdsOperation.spend],0)</f>
        <v>0</v>
      </c>
      <c r="AA692" s="11">
        <f>SUMIFS(SalesByUTMDaily[facebook],SalesByUTMDaily[day],TableDailySummary[[#This Row],[Fecha]])</f>
        <v>0</v>
      </c>
      <c r="AB692" s="11">
        <f>TableDailySummary[[#This Row],[Inversión google ads]]+TableDailySummary[[#This Row],[Inversión meta ads]]</f>
        <v>0</v>
      </c>
      <c r="AC692" s="11">
        <f>TableDailySummary[[#This Row],[Ventas google ads]]+TableDailySummary[[#This Row],[Ventas meta ads]]</f>
        <v>0</v>
      </c>
      <c r="AD692" s="14">
        <f>IFERROR(TableDailySummary[[#This Row],[Ventas publicidad]]/TableDailySummary[[#This Row],[Inversión publicidad]],0)</f>
        <v>0</v>
      </c>
      <c r="AE692" s="14">
        <f>IFERROR(TableDailySummary[[#This Row],[Ventas primer cliente]]/TableDailySummary[[#This Row],[Inversión publicidad]],0)</f>
        <v>0</v>
      </c>
      <c r="AF692" s="14"/>
      <c r="AG692" s="11"/>
      <c r="AM692" s="11">
        <f>_xlfn.XLOOKUP(TableDailySummary[[#This Row],[Fecha]],SummaryDaily[day],SummaryDaily[net_sales_with_cost_recorded],0)</f>
        <v>0</v>
      </c>
      <c r="AN692" s="11">
        <f>_xlfn.XLOOKUP(TableDailySummary[[#This Row],[Fecha]],SummaryDaily[day],SummaryDaily[cost_of_goods_sold],0)</f>
        <v>0</v>
      </c>
      <c r="AO692" s="11">
        <f>_xlfn.XLOOKUP(TableDailySummary[[#This Row],[Fecha]],SummaryDaily[day],SummaryDaily[gross_profit],0)</f>
        <v>0</v>
      </c>
      <c r="AP692" s="18">
        <f>IFERROR(TableDailySummary[[#This Row],[Utilidad bruta]]/TableDailySummary[[#This Row],[Ventas netas con costo registrado]],0)</f>
        <v>0</v>
      </c>
    </row>
    <row r="693" spans="2:42" x14ac:dyDescent="0.2">
      <c r="B693" s="15" cm="1">
        <f t="array" ref="B693">ParamFechaInicioReporte + (ROW(TableDailySummary[#This Row]) - ROW(TableDailySummary[[#Headers],[Dia]]) - 1)</f>
        <v>45220</v>
      </c>
      <c r="C693" s="6">
        <f>TableDailySummary[[#This Row],[Dia]]</f>
        <v>45220</v>
      </c>
      <c r="D693" s="11">
        <f>_xlfn.XLOOKUP(TableDailySummary[[#This Row],[Fecha]],SummaryDaily[day],SummaryDaily[net_sales],0)</f>
        <v>0</v>
      </c>
      <c r="E693" s="11">
        <f>_xlfn.XLOOKUP(TableDailySummary[[#This Row],[Fecha]],SummaryDaily[day],SummaryDaily[orders],0)</f>
        <v>0</v>
      </c>
      <c r="F693" s="11">
        <f>_xlfn.XLOOKUP(TableDailySummary[[#This Row],[Fecha]],SummaryDaily[day],SummaryDaily[average_order_value],0)</f>
        <v>0</v>
      </c>
      <c r="G693" s="24" cm="1">
        <f t="array" ref="G693">_xlfn.XLOOKUP(TableDailySummary[[#This Row],[Fecha]]&amp;"Total site",ConversionRateByReferral[day]&amp;ConversionRateByReferral[referrer_source],ConversionRateByReferral[conversion_rate],0)</f>
        <v>0</v>
      </c>
      <c r="H693" s="11">
        <f>TableDailySummary[[#This Row],[Órden promedio totales]]*TableDailySummary[[#This Row],[CR totales]]</f>
        <v>0</v>
      </c>
      <c r="I693" s="11">
        <f>_xlfn.XLOOKUP(TableDailySummary[[#This Row],[Fecha]],SummaryDaily[day],SummaryDaily[new_net_sales],0)</f>
        <v>0</v>
      </c>
      <c r="J693" s="11">
        <f>_xlfn.XLOOKUP(TableDailySummary[[#This Row],[Fecha]],SummaryDaily[day],SummaryDaily[new_orders],0)</f>
        <v>0</v>
      </c>
      <c r="K693" s="11">
        <f>_xlfn.XLOOKUP(TableDailySummary[[#This Row],[Fecha]],SummaryDaily[day],SummaryDaily[new_average_order_value],0)</f>
        <v>0</v>
      </c>
      <c r="L693" s="11">
        <f>_xlfn.XLOOKUP(TableDailySummary[[#This Row],[Fecha]],SummaryDaily[day],SummaryDaily[Online Store_net_sales],0)</f>
        <v>0</v>
      </c>
      <c r="M693" s="11">
        <f>_xlfn.XLOOKUP(TableDailySummary[[#This Row],[Fecha]],SummaryDaily[day],SummaryDaily[Online Store_orders],0)</f>
        <v>0</v>
      </c>
      <c r="N693" s="11">
        <f>_xlfn.XLOOKUP(TableDailySummary[[#This Row],[Fecha]],SummaryDaily[day],SummaryDaily[Online Store_average_order_value],0)</f>
        <v>0</v>
      </c>
      <c r="O693" s="11">
        <f>_xlfn.XLOOKUP(TableDailySummary[[#This Row],[Fecha]],SummaryDaily[day],SummaryDaily[Tienda 81_net_sales],0)</f>
        <v>0</v>
      </c>
      <c r="P693" s="11">
        <f>_xlfn.XLOOKUP(TableDailySummary[[#This Row],[Fecha]],SummaryDaily[day],SummaryDaily[Tienda 81_orders],0)</f>
        <v>0</v>
      </c>
      <c r="Q693" s="11">
        <f>_xlfn.XLOOKUP(TableDailySummary[[#This Row],[Fecha]],SummaryDaily[day],SummaryDaily[Tienda 81_average_order_value],0)</f>
        <v>0</v>
      </c>
      <c r="R693" s="11">
        <f>_xlfn.XLOOKUP(TableDailySummary[[#This Row],[Fecha]],SummaryDaily[day],SummaryDaily[Rappi_net_sales],0)</f>
        <v>0</v>
      </c>
      <c r="S693" s="11">
        <f>_xlfn.XLOOKUP(TableDailySummary[[#This Row],[Fecha]],SummaryDaily[day],SummaryDaily[Rappi_orders],0)</f>
        <v>0</v>
      </c>
      <c r="T693" s="11">
        <f>_xlfn.XLOOKUP(TableDailySummary[[#This Row],[Fecha]],SummaryDaily[day],SummaryDaily[Rappi_average_order_value],0)</f>
        <v>0</v>
      </c>
      <c r="U693" s="11">
        <f>_xlfn.XLOOKUP(TableDailySummary[[#This Row],[Fecha]],SummaryDaily[day],SummaryDaily[Corporativo no tienda_net_sales],0)</f>
        <v>0</v>
      </c>
      <c r="V693" s="11">
        <f>_xlfn.XLOOKUP(TableDailySummary[[#This Row],[Fecha]],SummaryDaily[day],SummaryDaily[Corporativo no tienda_orders],0)</f>
        <v>0</v>
      </c>
      <c r="W693" s="11">
        <f>_xlfn.XLOOKUP(TableDailySummary[[#This Row],[Fecha]],SummaryDaily[day],SummaryDaily[Corporativo no tienda_average_order_value],0)</f>
        <v>0</v>
      </c>
      <c r="X693" s="11">
        <f>_xlfn.XLOOKUP(TableDailySummary[[#This Row],[Fecha]],SummaryDaily[day],SummaryDaily[GoogleAdsOperation.Cost],0)</f>
        <v>0</v>
      </c>
      <c r="Y693" s="11">
        <f>SUMIFS(SalesByUTMDaily[google],SalesByUTMDaily[day],TableDailySummary[[#This Row],[Fecha]])</f>
        <v>0</v>
      </c>
      <c r="Z693" s="11">
        <f>_xlfn.XLOOKUP(TableDailySummary[[#This Row],[Fecha]],SummaryDaily[day],SummaryDaily[MetaAdsOperation.spend],0)</f>
        <v>0</v>
      </c>
      <c r="AA693" s="11">
        <f>SUMIFS(SalesByUTMDaily[facebook],SalesByUTMDaily[day],TableDailySummary[[#This Row],[Fecha]])</f>
        <v>0</v>
      </c>
      <c r="AB693" s="11">
        <f>TableDailySummary[[#This Row],[Inversión google ads]]+TableDailySummary[[#This Row],[Inversión meta ads]]</f>
        <v>0</v>
      </c>
      <c r="AC693" s="11">
        <f>TableDailySummary[[#This Row],[Ventas google ads]]+TableDailySummary[[#This Row],[Ventas meta ads]]</f>
        <v>0</v>
      </c>
      <c r="AD693" s="14">
        <f>IFERROR(TableDailySummary[[#This Row],[Ventas publicidad]]/TableDailySummary[[#This Row],[Inversión publicidad]],0)</f>
        <v>0</v>
      </c>
      <c r="AE693" s="14">
        <f>IFERROR(TableDailySummary[[#This Row],[Ventas primer cliente]]/TableDailySummary[[#This Row],[Inversión publicidad]],0)</f>
        <v>0</v>
      </c>
      <c r="AF693" s="14"/>
      <c r="AG693" s="11"/>
      <c r="AM693" s="11">
        <f>_xlfn.XLOOKUP(TableDailySummary[[#This Row],[Fecha]],SummaryDaily[day],SummaryDaily[net_sales_with_cost_recorded],0)</f>
        <v>0</v>
      </c>
      <c r="AN693" s="11">
        <f>_xlfn.XLOOKUP(TableDailySummary[[#This Row],[Fecha]],SummaryDaily[day],SummaryDaily[cost_of_goods_sold],0)</f>
        <v>0</v>
      </c>
      <c r="AO693" s="11">
        <f>_xlfn.XLOOKUP(TableDailySummary[[#This Row],[Fecha]],SummaryDaily[day],SummaryDaily[gross_profit],0)</f>
        <v>0</v>
      </c>
      <c r="AP693" s="18">
        <f>IFERROR(TableDailySummary[[#This Row],[Utilidad bruta]]/TableDailySummary[[#This Row],[Ventas netas con costo registrado]],0)</f>
        <v>0</v>
      </c>
    </row>
    <row r="694" spans="2:42" x14ac:dyDescent="0.2">
      <c r="B694" s="15" cm="1">
        <f t="array" ref="B694">ParamFechaInicioReporte + (ROW(TableDailySummary[#This Row]) - ROW(TableDailySummary[[#Headers],[Dia]]) - 1)</f>
        <v>45221</v>
      </c>
      <c r="C694" s="6">
        <f>TableDailySummary[[#This Row],[Dia]]</f>
        <v>45221</v>
      </c>
      <c r="D694" s="11">
        <f>_xlfn.XLOOKUP(TableDailySummary[[#This Row],[Fecha]],SummaryDaily[day],SummaryDaily[net_sales],0)</f>
        <v>0</v>
      </c>
      <c r="E694" s="11">
        <f>_xlfn.XLOOKUP(TableDailySummary[[#This Row],[Fecha]],SummaryDaily[day],SummaryDaily[orders],0)</f>
        <v>0</v>
      </c>
      <c r="F694" s="11">
        <f>_xlfn.XLOOKUP(TableDailySummary[[#This Row],[Fecha]],SummaryDaily[day],SummaryDaily[average_order_value],0)</f>
        <v>0</v>
      </c>
      <c r="G694" s="24" cm="1">
        <f t="array" ref="G694">_xlfn.XLOOKUP(TableDailySummary[[#This Row],[Fecha]]&amp;"Total site",ConversionRateByReferral[day]&amp;ConversionRateByReferral[referrer_source],ConversionRateByReferral[conversion_rate],0)</f>
        <v>0</v>
      </c>
      <c r="H694" s="11">
        <f>TableDailySummary[[#This Row],[Órden promedio totales]]*TableDailySummary[[#This Row],[CR totales]]</f>
        <v>0</v>
      </c>
      <c r="I694" s="11">
        <f>_xlfn.XLOOKUP(TableDailySummary[[#This Row],[Fecha]],SummaryDaily[day],SummaryDaily[new_net_sales],0)</f>
        <v>0</v>
      </c>
      <c r="J694" s="11">
        <f>_xlfn.XLOOKUP(TableDailySummary[[#This Row],[Fecha]],SummaryDaily[day],SummaryDaily[new_orders],0)</f>
        <v>0</v>
      </c>
      <c r="K694" s="11">
        <f>_xlfn.XLOOKUP(TableDailySummary[[#This Row],[Fecha]],SummaryDaily[day],SummaryDaily[new_average_order_value],0)</f>
        <v>0</v>
      </c>
      <c r="L694" s="11">
        <f>_xlfn.XLOOKUP(TableDailySummary[[#This Row],[Fecha]],SummaryDaily[day],SummaryDaily[Online Store_net_sales],0)</f>
        <v>0</v>
      </c>
      <c r="M694" s="11">
        <f>_xlfn.XLOOKUP(TableDailySummary[[#This Row],[Fecha]],SummaryDaily[day],SummaryDaily[Online Store_orders],0)</f>
        <v>0</v>
      </c>
      <c r="N694" s="11">
        <f>_xlfn.XLOOKUP(TableDailySummary[[#This Row],[Fecha]],SummaryDaily[day],SummaryDaily[Online Store_average_order_value],0)</f>
        <v>0</v>
      </c>
      <c r="O694" s="11">
        <f>_xlfn.XLOOKUP(TableDailySummary[[#This Row],[Fecha]],SummaryDaily[day],SummaryDaily[Tienda 81_net_sales],0)</f>
        <v>0</v>
      </c>
      <c r="P694" s="11">
        <f>_xlfn.XLOOKUP(TableDailySummary[[#This Row],[Fecha]],SummaryDaily[day],SummaryDaily[Tienda 81_orders],0)</f>
        <v>0</v>
      </c>
      <c r="Q694" s="11">
        <f>_xlfn.XLOOKUP(TableDailySummary[[#This Row],[Fecha]],SummaryDaily[day],SummaryDaily[Tienda 81_average_order_value],0)</f>
        <v>0</v>
      </c>
      <c r="R694" s="11">
        <f>_xlfn.XLOOKUP(TableDailySummary[[#This Row],[Fecha]],SummaryDaily[day],SummaryDaily[Rappi_net_sales],0)</f>
        <v>0</v>
      </c>
      <c r="S694" s="11">
        <f>_xlfn.XLOOKUP(TableDailySummary[[#This Row],[Fecha]],SummaryDaily[day],SummaryDaily[Rappi_orders],0)</f>
        <v>0</v>
      </c>
      <c r="T694" s="11">
        <f>_xlfn.XLOOKUP(TableDailySummary[[#This Row],[Fecha]],SummaryDaily[day],SummaryDaily[Rappi_average_order_value],0)</f>
        <v>0</v>
      </c>
      <c r="U694" s="11">
        <f>_xlfn.XLOOKUP(TableDailySummary[[#This Row],[Fecha]],SummaryDaily[day],SummaryDaily[Corporativo no tienda_net_sales],0)</f>
        <v>0</v>
      </c>
      <c r="V694" s="11">
        <f>_xlfn.XLOOKUP(TableDailySummary[[#This Row],[Fecha]],SummaryDaily[day],SummaryDaily[Corporativo no tienda_orders],0)</f>
        <v>0</v>
      </c>
      <c r="W694" s="11">
        <f>_xlfn.XLOOKUP(TableDailySummary[[#This Row],[Fecha]],SummaryDaily[day],SummaryDaily[Corporativo no tienda_average_order_value],0)</f>
        <v>0</v>
      </c>
      <c r="X694" s="11">
        <f>_xlfn.XLOOKUP(TableDailySummary[[#This Row],[Fecha]],SummaryDaily[day],SummaryDaily[GoogleAdsOperation.Cost],0)</f>
        <v>0</v>
      </c>
      <c r="Y694" s="11">
        <f>SUMIFS(SalesByUTMDaily[google],SalesByUTMDaily[day],TableDailySummary[[#This Row],[Fecha]])</f>
        <v>0</v>
      </c>
      <c r="Z694" s="11">
        <f>_xlfn.XLOOKUP(TableDailySummary[[#This Row],[Fecha]],SummaryDaily[day],SummaryDaily[MetaAdsOperation.spend],0)</f>
        <v>0</v>
      </c>
      <c r="AA694" s="11">
        <f>SUMIFS(SalesByUTMDaily[facebook],SalesByUTMDaily[day],TableDailySummary[[#This Row],[Fecha]])</f>
        <v>0</v>
      </c>
      <c r="AB694" s="11">
        <f>TableDailySummary[[#This Row],[Inversión google ads]]+TableDailySummary[[#This Row],[Inversión meta ads]]</f>
        <v>0</v>
      </c>
      <c r="AC694" s="11">
        <f>TableDailySummary[[#This Row],[Ventas google ads]]+TableDailySummary[[#This Row],[Ventas meta ads]]</f>
        <v>0</v>
      </c>
      <c r="AD694" s="14">
        <f>IFERROR(TableDailySummary[[#This Row],[Ventas publicidad]]/TableDailySummary[[#This Row],[Inversión publicidad]],0)</f>
        <v>0</v>
      </c>
      <c r="AE694" s="14">
        <f>IFERROR(TableDailySummary[[#This Row],[Ventas primer cliente]]/TableDailySummary[[#This Row],[Inversión publicidad]],0)</f>
        <v>0</v>
      </c>
      <c r="AF694" s="14"/>
      <c r="AG694" s="11"/>
      <c r="AM694" s="11">
        <f>_xlfn.XLOOKUP(TableDailySummary[[#This Row],[Fecha]],SummaryDaily[day],SummaryDaily[net_sales_with_cost_recorded],0)</f>
        <v>0</v>
      </c>
      <c r="AN694" s="11">
        <f>_xlfn.XLOOKUP(TableDailySummary[[#This Row],[Fecha]],SummaryDaily[day],SummaryDaily[cost_of_goods_sold],0)</f>
        <v>0</v>
      </c>
      <c r="AO694" s="11">
        <f>_xlfn.XLOOKUP(TableDailySummary[[#This Row],[Fecha]],SummaryDaily[day],SummaryDaily[gross_profit],0)</f>
        <v>0</v>
      </c>
      <c r="AP694" s="18">
        <f>IFERROR(TableDailySummary[[#This Row],[Utilidad bruta]]/TableDailySummary[[#This Row],[Ventas netas con costo registrado]],0)</f>
        <v>0</v>
      </c>
    </row>
    <row r="695" spans="2:42" x14ac:dyDescent="0.2">
      <c r="B695" s="15" cm="1">
        <f t="array" ref="B695">ParamFechaInicioReporte + (ROW(TableDailySummary[#This Row]) - ROW(TableDailySummary[[#Headers],[Dia]]) - 1)</f>
        <v>45222</v>
      </c>
      <c r="C695" s="6">
        <f>TableDailySummary[[#This Row],[Dia]]</f>
        <v>45222</v>
      </c>
      <c r="D695" s="11">
        <f>_xlfn.XLOOKUP(TableDailySummary[[#This Row],[Fecha]],SummaryDaily[day],SummaryDaily[net_sales],0)</f>
        <v>0</v>
      </c>
      <c r="E695" s="11">
        <f>_xlfn.XLOOKUP(TableDailySummary[[#This Row],[Fecha]],SummaryDaily[day],SummaryDaily[orders],0)</f>
        <v>0</v>
      </c>
      <c r="F695" s="11">
        <f>_xlfn.XLOOKUP(TableDailySummary[[#This Row],[Fecha]],SummaryDaily[day],SummaryDaily[average_order_value],0)</f>
        <v>0</v>
      </c>
      <c r="G695" s="24" cm="1">
        <f t="array" ref="G695">_xlfn.XLOOKUP(TableDailySummary[[#This Row],[Fecha]]&amp;"Total site",ConversionRateByReferral[day]&amp;ConversionRateByReferral[referrer_source],ConversionRateByReferral[conversion_rate],0)</f>
        <v>0</v>
      </c>
      <c r="H695" s="11">
        <f>TableDailySummary[[#This Row],[Órden promedio totales]]*TableDailySummary[[#This Row],[CR totales]]</f>
        <v>0</v>
      </c>
      <c r="I695" s="11">
        <f>_xlfn.XLOOKUP(TableDailySummary[[#This Row],[Fecha]],SummaryDaily[day],SummaryDaily[new_net_sales],0)</f>
        <v>0</v>
      </c>
      <c r="J695" s="11">
        <f>_xlfn.XLOOKUP(TableDailySummary[[#This Row],[Fecha]],SummaryDaily[day],SummaryDaily[new_orders],0)</f>
        <v>0</v>
      </c>
      <c r="K695" s="11">
        <f>_xlfn.XLOOKUP(TableDailySummary[[#This Row],[Fecha]],SummaryDaily[day],SummaryDaily[new_average_order_value],0)</f>
        <v>0</v>
      </c>
      <c r="L695" s="11">
        <f>_xlfn.XLOOKUP(TableDailySummary[[#This Row],[Fecha]],SummaryDaily[day],SummaryDaily[Online Store_net_sales],0)</f>
        <v>0</v>
      </c>
      <c r="M695" s="11">
        <f>_xlfn.XLOOKUP(TableDailySummary[[#This Row],[Fecha]],SummaryDaily[day],SummaryDaily[Online Store_orders],0)</f>
        <v>0</v>
      </c>
      <c r="N695" s="11">
        <f>_xlfn.XLOOKUP(TableDailySummary[[#This Row],[Fecha]],SummaryDaily[day],SummaryDaily[Online Store_average_order_value],0)</f>
        <v>0</v>
      </c>
      <c r="O695" s="11">
        <f>_xlfn.XLOOKUP(TableDailySummary[[#This Row],[Fecha]],SummaryDaily[day],SummaryDaily[Tienda 81_net_sales],0)</f>
        <v>0</v>
      </c>
      <c r="P695" s="11">
        <f>_xlfn.XLOOKUP(TableDailySummary[[#This Row],[Fecha]],SummaryDaily[day],SummaryDaily[Tienda 81_orders],0)</f>
        <v>0</v>
      </c>
      <c r="Q695" s="11">
        <f>_xlfn.XLOOKUP(TableDailySummary[[#This Row],[Fecha]],SummaryDaily[day],SummaryDaily[Tienda 81_average_order_value],0)</f>
        <v>0</v>
      </c>
      <c r="R695" s="11">
        <f>_xlfn.XLOOKUP(TableDailySummary[[#This Row],[Fecha]],SummaryDaily[day],SummaryDaily[Rappi_net_sales],0)</f>
        <v>0</v>
      </c>
      <c r="S695" s="11">
        <f>_xlfn.XLOOKUP(TableDailySummary[[#This Row],[Fecha]],SummaryDaily[day],SummaryDaily[Rappi_orders],0)</f>
        <v>0</v>
      </c>
      <c r="T695" s="11">
        <f>_xlfn.XLOOKUP(TableDailySummary[[#This Row],[Fecha]],SummaryDaily[day],SummaryDaily[Rappi_average_order_value],0)</f>
        <v>0</v>
      </c>
      <c r="U695" s="11">
        <f>_xlfn.XLOOKUP(TableDailySummary[[#This Row],[Fecha]],SummaryDaily[day],SummaryDaily[Corporativo no tienda_net_sales],0)</f>
        <v>0</v>
      </c>
      <c r="V695" s="11">
        <f>_xlfn.XLOOKUP(TableDailySummary[[#This Row],[Fecha]],SummaryDaily[day],SummaryDaily[Corporativo no tienda_orders],0)</f>
        <v>0</v>
      </c>
      <c r="W695" s="11">
        <f>_xlfn.XLOOKUP(TableDailySummary[[#This Row],[Fecha]],SummaryDaily[day],SummaryDaily[Corporativo no tienda_average_order_value],0)</f>
        <v>0</v>
      </c>
      <c r="X695" s="11">
        <f>_xlfn.XLOOKUP(TableDailySummary[[#This Row],[Fecha]],SummaryDaily[day],SummaryDaily[GoogleAdsOperation.Cost],0)</f>
        <v>0</v>
      </c>
      <c r="Y695" s="11">
        <f>SUMIFS(SalesByUTMDaily[google],SalesByUTMDaily[day],TableDailySummary[[#This Row],[Fecha]])</f>
        <v>0</v>
      </c>
      <c r="Z695" s="11">
        <f>_xlfn.XLOOKUP(TableDailySummary[[#This Row],[Fecha]],SummaryDaily[day],SummaryDaily[MetaAdsOperation.spend],0)</f>
        <v>0</v>
      </c>
      <c r="AA695" s="11">
        <f>SUMIFS(SalesByUTMDaily[facebook],SalesByUTMDaily[day],TableDailySummary[[#This Row],[Fecha]])</f>
        <v>0</v>
      </c>
      <c r="AB695" s="11">
        <f>TableDailySummary[[#This Row],[Inversión google ads]]+TableDailySummary[[#This Row],[Inversión meta ads]]</f>
        <v>0</v>
      </c>
      <c r="AC695" s="11">
        <f>TableDailySummary[[#This Row],[Ventas google ads]]+TableDailySummary[[#This Row],[Ventas meta ads]]</f>
        <v>0</v>
      </c>
      <c r="AD695" s="14">
        <f>IFERROR(TableDailySummary[[#This Row],[Ventas publicidad]]/TableDailySummary[[#This Row],[Inversión publicidad]],0)</f>
        <v>0</v>
      </c>
      <c r="AE695" s="14">
        <f>IFERROR(TableDailySummary[[#This Row],[Ventas primer cliente]]/TableDailySummary[[#This Row],[Inversión publicidad]],0)</f>
        <v>0</v>
      </c>
      <c r="AF695" s="14"/>
      <c r="AG695" s="11"/>
      <c r="AM695" s="11">
        <f>_xlfn.XLOOKUP(TableDailySummary[[#This Row],[Fecha]],SummaryDaily[day],SummaryDaily[net_sales_with_cost_recorded],0)</f>
        <v>0</v>
      </c>
      <c r="AN695" s="11">
        <f>_xlfn.XLOOKUP(TableDailySummary[[#This Row],[Fecha]],SummaryDaily[day],SummaryDaily[cost_of_goods_sold],0)</f>
        <v>0</v>
      </c>
      <c r="AO695" s="11">
        <f>_xlfn.XLOOKUP(TableDailySummary[[#This Row],[Fecha]],SummaryDaily[day],SummaryDaily[gross_profit],0)</f>
        <v>0</v>
      </c>
      <c r="AP695" s="18">
        <f>IFERROR(TableDailySummary[[#This Row],[Utilidad bruta]]/TableDailySummary[[#This Row],[Ventas netas con costo registrado]],0)</f>
        <v>0</v>
      </c>
    </row>
    <row r="696" spans="2:42" x14ac:dyDescent="0.2">
      <c r="B696" s="15" cm="1">
        <f t="array" ref="B696">ParamFechaInicioReporte + (ROW(TableDailySummary[#This Row]) - ROW(TableDailySummary[[#Headers],[Dia]]) - 1)</f>
        <v>45223</v>
      </c>
      <c r="C696" s="6">
        <f>TableDailySummary[[#This Row],[Dia]]</f>
        <v>45223</v>
      </c>
      <c r="D696" s="11">
        <f>_xlfn.XLOOKUP(TableDailySummary[[#This Row],[Fecha]],SummaryDaily[day],SummaryDaily[net_sales],0)</f>
        <v>0</v>
      </c>
      <c r="E696" s="11">
        <f>_xlfn.XLOOKUP(TableDailySummary[[#This Row],[Fecha]],SummaryDaily[day],SummaryDaily[orders],0)</f>
        <v>0</v>
      </c>
      <c r="F696" s="11">
        <f>_xlfn.XLOOKUP(TableDailySummary[[#This Row],[Fecha]],SummaryDaily[day],SummaryDaily[average_order_value],0)</f>
        <v>0</v>
      </c>
      <c r="G696" s="24" cm="1">
        <f t="array" ref="G696">_xlfn.XLOOKUP(TableDailySummary[[#This Row],[Fecha]]&amp;"Total site",ConversionRateByReferral[day]&amp;ConversionRateByReferral[referrer_source],ConversionRateByReferral[conversion_rate],0)</f>
        <v>0</v>
      </c>
      <c r="H696" s="11">
        <f>TableDailySummary[[#This Row],[Órden promedio totales]]*TableDailySummary[[#This Row],[CR totales]]</f>
        <v>0</v>
      </c>
      <c r="I696" s="11">
        <f>_xlfn.XLOOKUP(TableDailySummary[[#This Row],[Fecha]],SummaryDaily[day],SummaryDaily[new_net_sales],0)</f>
        <v>0</v>
      </c>
      <c r="J696" s="11">
        <f>_xlfn.XLOOKUP(TableDailySummary[[#This Row],[Fecha]],SummaryDaily[day],SummaryDaily[new_orders],0)</f>
        <v>0</v>
      </c>
      <c r="K696" s="11">
        <f>_xlfn.XLOOKUP(TableDailySummary[[#This Row],[Fecha]],SummaryDaily[day],SummaryDaily[new_average_order_value],0)</f>
        <v>0</v>
      </c>
      <c r="L696" s="11">
        <f>_xlfn.XLOOKUP(TableDailySummary[[#This Row],[Fecha]],SummaryDaily[day],SummaryDaily[Online Store_net_sales],0)</f>
        <v>0</v>
      </c>
      <c r="M696" s="11">
        <f>_xlfn.XLOOKUP(TableDailySummary[[#This Row],[Fecha]],SummaryDaily[day],SummaryDaily[Online Store_orders],0)</f>
        <v>0</v>
      </c>
      <c r="N696" s="11">
        <f>_xlfn.XLOOKUP(TableDailySummary[[#This Row],[Fecha]],SummaryDaily[day],SummaryDaily[Online Store_average_order_value],0)</f>
        <v>0</v>
      </c>
      <c r="O696" s="11">
        <f>_xlfn.XLOOKUP(TableDailySummary[[#This Row],[Fecha]],SummaryDaily[day],SummaryDaily[Tienda 81_net_sales],0)</f>
        <v>0</v>
      </c>
      <c r="P696" s="11">
        <f>_xlfn.XLOOKUP(TableDailySummary[[#This Row],[Fecha]],SummaryDaily[day],SummaryDaily[Tienda 81_orders],0)</f>
        <v>0</v>
      </c>
      <c r="Q696" s="11">
        <f>_xlfn.XLOOKUP(TableDailySummary[[#This Row],[Fecha]],SummaryDaily[day],SummaryDaily[Tienda 81_average_order_value],0)</f>
        <v>0</v>
      </c>
      <c r="R696" s="11">
        <f>_xlfn.XLOOKUP(TableDailySummary[[#This Row],[Fecha]],SummaryDaily[day],SummaryDaily[Rappi_net_sales],0)</f>
        <v>0</v>
      </c>
      <c r="S696" s="11">
        <f>_xlfn.XLOOKUP(TableDailySummary[[#This Row],[Fecha]],SummaryDaily[day],SummaryDaily[Rappi_orders],0)</f>
        <v>0</v>
      </c>
      <c r="T696" s="11">
        <f>_xlfn.XLOOKUP(TableDailySummary[[#This Row],[Fecha]],SummaryDaily[day],SummaryDaily[Rappi_average_order_value],0)</f>
        <v>0</v>
      </c>
      <c r="U696" s="11">
        <f>_xlfn.XLOOKUP(TableDailySummary[[#This Row],[Fecha]],SummaryDaily[day],SummaryDaily[Corporativo no tienda_net_sales],0)</f>
        <v>0</v>
      </c>
      <c r="V696" s="11">
        <f>_xlfn.XLOOKUP(TableDailySummary[[#This Row],[Fecha]],SummaryDaily[day],SummaryDaily[Corporativo no tienda_orders],0)</f>
        <v>0</v>
      </c>
      <c r="W696" s="11">
        <f>_xlfn.XLOOKUP(TableDailySummary[[#This Row],[Fecha]],SummaryDaily[day],SummaryDaily[Corporativo no tienda_average_order_value],0)</f>
        <v>0</v>
      </c>
      <c r="X696" s="11">
        <f>_xlfn.XLOOKUP(TableDailySummary[[#This Row],[Fecha]],SummaryDaily[day],SummaryDaily[GoogleAdsOperation.Cost],0)</f>
        <v>0</v>
      </c>
      <c r="Y696" s="11">
        <f>SUMIFS(SalesByUTMDaily[google],SalesByUTMDaily[day],TableDailySummary[[#This Row],[Fecha]])</f>
        <v>0</v>
      </c>
      <c r="Z696" s="11">
        <f>_xlfn.XLOOKUP(TableDailySummary[[#This Row],[Fecha]],SummaryDaily[day],SummaryDaily[MetaAdsOperation.spend],0)</f>
        <v>0</v>
      </c>
      <c r="AA696" s="11">
        <f>SUMIFS(SalesByUTMDaily[facebook],SalesByUTMDaily[day],TableDailySummary[[#This Row],[Fecha]])</f>
        <v>0</v>
      </c>
      <c r="AB696" s="11">
        <f>TableDailySummary[[#This Row],[Inversión google ads]]+TableDailySummary[[#This Row],[Inversión meta ads]]</f>
        <v>0</v>
      </c>
      <c r="AC696" s="11">
        <f>TableDailySummary[[#This Row],[Ventas google ads]]+TableDailySummary[[#This Row],[Ventas meta ads]]</f>
        <v>0</v>
      </c>
      <c r="AD696" s="14">
        <f>IFERROR(TableDailySummary[[#This Row],[Ventas publicidad]]/TableDailySummary[[#This Row],[Inversión publicidad]],0)</f>
        <v>0</v>
      </c>
      <c r="AE696" s="14">
        <f>IFERROR(TableDailySummary[[#This Row],[Ventas primer cliente]]/TableDailySummary[[#This Row],[Inversión publicidad]],0)</f>
        <v>0</v>
      </c>
      <c r="AF696" s="14"/>
      <c r="AG696" s="11"/>
      <c r="AM696" s="11">
        <f>_xlfn.XLOOKUP(TableDailySummary[[#This Row],[Fecha]],SummaryDaily[day],SummaryDaily[net_sales_with_cost_recorded],0)</f>
        <v>0</v>
      </c>
      <c r="AN696" s="11">
        <f>_xlfn.XLOOKUP(TableDailySummary[[#This Row],[Fecha]],SummaryDaily[day],SummaryDaily[cost_of_goods_sold],0)</f>
        <v>0</v>
      </c>
      <c r="AO696" s="11">
        <f>_xlfn.XLOOKUP(TableDailySummary[[#This Row],[Fecha]],SummaryDaily[day],SummaryDaily[gross_profit],0)</f>
        <v>0</v>
      </c>
      <c r="AP696" s="18">
        <f>IFERROR(TableDailySummary[[#This Row],[Utilidad bruta]]/TableDailySummary[[#This Row],[Ventas netas con costo registrado]],0)</f>
        <v>0</v>
      </c>
    </row>
    <row r="697" spans="2:42" x14ac:dyDescent="0.2">
      <c r="B697" s="15" cm="1">
        <f t="array" ref="B697">ParamFechaInicioReporte + (ROW(TableDailySummary[#This Row]) - ROW(TableDailySummary[[#Headers],[Dia]]) - 1)</f>
        <v>45224</v>
      </c>
      <c r="C697" s="6">
        <f>TableDailySummary[[#This Row],[Dia]]</f>
        <v>45224</v>
      </c>
      <c r="D697" s="11">
        <f>_xlfn.XLOOKUP(TableDailySummary[[#This Row],[Fecha]],SummaryDaily[day],SummaryDaily[net_sales],0)</f>
        <v>0</v>
      </c>
      <c r="E697" s="11">
        <f>_xlfn.XLOOKUP(TableDailySummary[[#This Row],[Fecha]],SummaryDaily[day],SummaryDaily[orders],0)</f>
        <v>0</v>
      </c>
      <c r="F697" s="11">
        <f>_xlfn.XLOOKUP(TableDailySummary[[#This Row],[Fecha]],SummaryDaily[day],SummaryDaily[average_order_value],0)</f>
        <v>0</v>
      </c>
      <c r="G697" s="24" cm="1">
        <f t="array" ref="G697">_xlfn.XLOOKUP(TableDailySummary[[#This Row],[Fecha]]&amp;"Total site",ConversionRateByReferral[day]&amp;ConversionRateByReferral[referrer_source],ConversionRateByReferral[conversion_rate],0)</f>
        <v>0</v>
      </c>
      <c r="H697" s="11">
        <f>TableDailySummary[[#This Row],[Órden promedio totales]]*TableDailySummary[[#This Row],[CR totales]]</f>
        <v>0</v>
      </c>
      <c r="I697" s="11">
        <f>_xlfn.XLOOKUP(TableDailySummary[[#This Row],[Fecha]],SummaryDaily[day],SummaryDaily[new_net_sales],0)</f>
        <v>0</v>
      </c>
      <c r="J697" s="11">
        <f>_xlfn.XLOOKUP(TableDailySummary[[#This Row],[Fecha]],SummaryDaily[day],SummaryDaily[new_orders],0)</f>
        <v>0</v>
      </c>
      <c r="K697" s="11">
        <f>_xlfn.XLOOKUP(TableDailySummary[[#This Row],[Fecha]],SummaryDaily[day],SummaryDaily[new_average_order_value],0)</f>
        <v>0</v>
      </c>
      <c r="L697" s="11">
        <f>_xlfn.XLOOKUP(TableDailySummary[[#This Row],[Fecha]],SummaryDaily[day],SummaryDaily[Online Store_net_sales],0)</f>
        <v>0</v>
      </c>
      <c r="M697" s="11">
        <f>_xlfn.XLOOKUP(TableDailySummary[[#This Row],[Fecha]],SummaryDaily[day],SummaryDaily[Online Store_orders],0)</f>
        <v>0</v>
      </c>
      <c r="N697" s="11">
        <f>_xlfn.XLOOKUP(TableDailySummary[[#This Row],[Fecha]],SummaryDaily[day],SummaryDaily[Online Store_average_order_value],0)</f>
        <v>0</v>
      </c>
      <c r="O697" s="11">
        <f>_xlfn.XLOOKUP(TableDailySummary[[#This Row],[Fecha]],SummaryDaily[day],SummaryDaily[Tienda 81_net_sales],0)</f>
        <v>0</v>
      </c>
      <c r="P697" s="11">
        <f>_xlfn.XLOOKUP(TableDailySummary[[#This Row],[Fecha]],SummaryDaily[day],SummaryDaily[Tienda 81_orders],0)</f>
        <v>0</v>
      </c>
      <c r="Q697" s="11">
        <f>_xlfn.XLOOKUP(TableDailySummary[[#This Row],[Fecha]],SummaryDaily[day],SummaryDaily[Tienda 81_average_order_value],0)</f>
        <v>0</v>
      </c>
      <c r="R697" s="11">
        <f>_xlfn.XLOOKUP(TableDailySummary[[#This Row],[Fecha]],SummaryDaily[day],SummaryDaily[Rappi_net_sales],0)</f>
        <v>0</v>
      </c>
      <c r="S697" s="11">
        <f>_xlfn.XLOOKUP(TableDailySummary[[#This Row],[Fecha]],SummaryDaily[day],SummaryDaily[Rappi_orders],0)</f>
        <v>0</v>
      </c>
      <c r="T697" s="11">
        <f>_xlfn.XLOOKUP(TableDailySummary[[#This Row],[Fecha]],SummaryDaily[day],SummaryDaily[Rappi_average_order_value],0)</f>
        <v>0</v>
      </c>
      <c r="U697" s="11">
        <f>_xlfn.XLOOKUP(TableDailySummary[[#This Row],[Fecha]],SummaryDaily[day],SummaryDaily[Corporativo no tienda_net_sales],0)</f>
        <v>0</v>
      </c>
      <c r="V697" s="11">
        <f>_xlfn.XLOOKUP(TableDailySummary[[#This Row],[Fecha]],SummaryDaily[day],SummaryDaily[Corporativo no tienda_orders],0)</f>
        <v>0</v>
      </c>
      <c r="W697" s="11">
        <f>_xlfn.XLOOKUP(TableDailySummary[[#This Row],[Fecha]],SummaryDaily[day],SummaryDaily[Corporativo no tienda_average_order_value],0)</f>
        <v>0</v>
      </c>
      <c r="X697" s="11">
        <f>_xlfn.XLOOKUP(TableDailySummary[[#This Row],[Fecha]],SummaryDaily[day],SummaryDaily[GoogleAdsOperation.Cost],0)</f>
        <v>0</v>
      </c>
      <c r="Y697" s="11">
        <f>SUMIFS(SalesByUTMDaily[google],SalesByUTMDaily[day],TableDailySummary[[#This Row],[Fecha]])</f>
        <v>0</v>
      </c>
      <c r="Z697" s="11">
        <f>_xlfn.XLOOKUP(TableDailySummary[[#This Row],[Fecha]],SummaryDaily[day],SummaryDaily[MetaAdsOperation.spend],0)</f>
        <v>0</v>
      </c>
      <c r="AA697" s="11">
        <f>SUMIFS(SalesByUTMDaily[facebook],SalesByUTMDaily[day],TableDailySummary[[#This Row],[Fecha]])</f>
        <v>0</v>
      </c>
      <c r="AB697" s="11">
        <f>TableDailySummary[[#This Row],[Inversión google ads]]+TableDailySummary[[#This Row],[Inversión meta ads]]</f>
        <v>0</v>
      </c>
      <c r="AC697" s="11">
        <f>TableDailySummary[[#This Row],[Ventas google ads]]+TableDailySummary[[#This Row],[Ventas meta ads]]</f>
        <v>0</v>
      </c>
      <c r="AD697" s="14">
        <f>IFERROR(TableDailySummary[[#This Row],[Ventas publicidad]]/TableDailySummary[[#This Row],[Inversión publicidad]],0)</f>
        <v>0</v>
      </c>
      <c r="AE697" s="14">
        <f>IFERROR(TableDailySummary[[#This Row],[Ventas primer cliente]]/TableDailySummary[[#This Row],[Inversión publicidad]],0)</f>
        <v>0</v>
      </c>
      <c r="AF697" s="14"/>
      <c r="AG697" s="11"/>
      <c r="AM697" s="11">
        <f>_xlfn.XLOOKUP(TableDailySummary[[#This Row],[Fecha]],SummaryDaily[day],SummaryDaily[net_sales_with_cost_recorded],0)</f>
        <v>0</v>
      </c>
      <c r="AN697" s="11">
        <f>_xlfn.XLOOKUP(TableDailySummary[[#This Row],[Fecha]],SummaryDaily[day],SummaryDaily[cost_of_goods_sold],0)</f>
        <v>0</v>
      </c>
      <c r="AO697" s="11">
        <f>_xlfn.XLOOKUP(TableDailySummary[[#This Row],[Fecha]],SummaryDaily[day],SummaryDaily[gross_profit],0)</f>
        <v>0</v>
      </c>
      <c r="AP697" s="18">
        <f>IFERROR(TableDailySummary[[#This Row],[Utilidad bruta]]/TableDailySummary[[#This Row],[Ventas netas con costo registrado]],0)</f>
        <v>0</v>
      </c>
    </row>
    <row r="698" spans="2:42" x14ac:dyDescent="0.2">
      <c r="B698" s="15" cm="1">
        <f t="array" ref="B698">ParamFechaInicioReporte + (ROW(TableDailySummary[#This Row]) - ROW(TableDailySummary[[#Headers],[Dia]]) - 1)</f>
        <v>45225</v>
      </c>
      <c r="C698" s="6">
        <f>TableDailySummary[[#This Row],[Dia]]</f>
        <v>45225</v>
      </c>
      <c r="D698" s="11">
        <f>_xlfn.XLOOKUP(TableDailySummary[[#This Row],[Fecha]],SummaryDaily[day],SummaryDaily[net_sales],0)</f>
        <v>0</v>
      </c>
      <c r="E698" s="11">
        <f>_xlfn.XLOOKUP(TableDailySummary[[#This Row],[Fecha]],SummaryDaily[day],SummaryDaily[orders],0)</f>
        <v>0</v>
      </c>
      <c r="F698" s="11">
        <f>_xlfn.XLOOKUP(TableDailySummary[[#This Row],[Fecha]],SummaryDaily[day],SummaryDaily[average_order_value],0)</f>
        <v>0</v>
      </c>
      <c r="G698" s="24" cm="1">
        <f t="array" ref="G698">_xlfn.XLOOKUP(TableDailySummary[[#This Row],[Fecha]]&amp;"Total site",ConversionRateByReferral[day]&amp;ConversionRateByReferral[referrer_source],ConversionRateByReferral[conversion_rate],0)</f>
        <v>0</v>
      </c>
      <c r="H698" s="11">
        <f>TableDailySummary[[#This Row],[Órden promedio totales]]*TableDailySummary[[#This Row],[CR totales]]</f>
        <v>0</v>
      </c>
      <c r="I698" s="11">
        <f>_xlfn.XLOOKUP(TableDailySummary[[#This Row],[Fecha]],SummaryDaily[day],SummaryDaily[new_net_sales],0)</f>
        <v>0</v>
      </c>
      <c r="J698" s="11">
        <f>_xlfn.XLOOKUP(TableDailySummary[[#This Row],[Fecha]],SummaryDaily[day],SummaryDaily[new_orders],0)</f>
        <v>0</v>
      </c>
      <c r="K698" s="11">
        <f>_xlfn.XLOOKUP(TableDailySummary[[#This Row],[Fecha]],SummaryDaily[day],SummaryDaily[new_average_order_value],0)</f>
        <v>0</v>
      </c>
      <c r="L698" s="11">
        <f>_xlfn.XLOOKUP(TableDailySummary[[#This Row],[Fecha]],SummaryDaily[day],SummaryDaily[Online Store_net_sales],0)</f>
        <v>0</v>
      </c>
      <c r="M698" s="11">
        <f>_xlfn.XLOOKUP(TableDailySummary[[#This Row],[Fecha]],SummaryDaily[day],SummaryDaily[Online Store_orders],0)</f>
        <v>0</v>
      </c>
      <c r="N698" s="11">
        <f>_xlfn.XLOOKUP(TableDailySummary[[#This Row],[Fecha]],SummaryDaily[day],SummaryDaily[Online Store_average_order_value],0)</f>
        <v>0</v>
      </c>
      <c r="O698" s="11">
        <f>_xlfn.XLOOKUP(TableDailySummary[[#This Row],[Fecha]],SummaryDaily[day],SummaryDaily[Tienda 81_net_sales],0)</f>
        <v>0</v>
      </c>
      <c r="P698" s="11">
        <f>_xlfn.XLOOKUP(TableDailySummary[[#This Row],[Fecha]],SummaryDaily[day],SummaryDaily[Tienda 81_orders],0)</f>
        <v>0</v>
      </c>
      <c r="Q698" s="11">
        <f>_xlfn.XLOOKUP(TableDailySummary[[#This Row],[Fecha]],SummaryDaily[day],SummaryDaily[Tienda 81_average_order_value],0)</f>
        <v>0</v>
      </c>
      <c r="R698" s="11">
        <f>_xlfn.XLOOKUP(TableDailySummary[[#This Row],[Fecha]],SummaryDaily[day],SummaryDaily[Rappi_net_sales],0)</f>
        <v>0</v>
      </c>
      <c r="S698" s="11">
        <f>_xlfn.XLOOKUP(TableDailySummary[[#This Row],[Fecha]],SummaryDaily[day],SummaryDaily[Rappi_orders],0)</f>
        <v>0</v>
      </c>
      <c r="T698" s="11">
        <f>_xlfn.XLOOKUP(TableDailySummary[[#This Row],[Fecha]],SummaryDaily[day],SummaryDaily[Rappi_average_order_value],0)</f>
        <v>0</v>
      </c>
      <c r="U698" s="11">
        <f>_xlfn.XLOOKUP(TableDailySummary[[#This Row],[Fecha]],SummaryDaily[day],SummaryDaily[Corporativo no tienda_net_sales],0)</f>
        <v>0</v>
      </c>
      <c r="V698" s="11">
        <f>_xlfn.XLOOKUP(TableDailySummary[[#This Row],[Fecha]],SummaryDaily[day],SummaryDaily[Corporativo no tienda_orders],0)</f>
        <v>0</v>
      </c>
      <c r="W698" s="11">
        <f>_xlfn.XLOOKUP(TableDailySummary[[#This Row],[Fecha]],SummaryDaily[day],SummaryDaily[Corporativo no tienda_average_order_value],0)</f>
        <v>0</v>
      </c>
      <c r="X698" s="11">
        <f>_xlfn.XLOOKUP(TableDailySummary[[#This Row],[Fecha]],SummaryDaily[day],SummaryDaily[GoogleAdsOperation.Cost],0)</f>
        <v>0</v>
      </c>
      <c r="Y698" s="11">
        <f>SUMIFS(SalesByUTMDaily[google],SalesByUTMDaily[day],TableDailySummary[[#This Row],[Fecha]])</f>
        <v>0</v>
      </c>
      <c r="Z698" s="11">
        <f>_xlfn.XLOOKUP(TableDailySummary[[#This Row],[Fecha]],SummaryDaily[day],SummaryDaily[MetaAdsOperation.spend],0)</f>
        <v>0</v>
      </c>
      <c r="AA698" s="11">
        <f>SUMIFS(SalesByUTMDaily[facebook],SalesByUTMDaily[day],TableDailySummary[[#This Row],[Fecha]])</f>
        <v>0</v>
      </c>
      <c r="AB698" s="11">
        <f>TableDailySummary[[#This Row],[Inversión google ads]]+TableDailySummary[[#This Row],[Inversión meta ads]]</f>
        <v>0</v>
      </c>
      <c r="AC698" s="11">
        <f>TableDailySummary[[#This Row],[Ventas google ads]]+TableDailySummary[[#This Row],[Ventas meta ads]]</f>
        <v>0</v>
      </c>
      <c r="AD698" s="14">
        <f>IFERROR(TableDailySummary[[#This Row],[Ventas publicidad]]/TableDailySummary[[#This Row],[Inversión publicidad]],0)</f>
        <v>0</v>
      </c>
      <c r="AE698" s="14">
        <f>IFERROR(TableDailySummary[[#This Row],[Ventas primer cliente]]/TableDailySummary[[#This Row],[Inversión publicidad]],0)</f>
        <v>0</v>
      </c>
      <c r="AF698" s="14"/>
      <c r="AG698" s="11"/>
      <c r="AM698" s="11">
        <f>_xlfn.XLOOKUP(TableDailySummary[[#This Row],[Fecha]],SummaryDaily[day],SummaryDaily[net_sales_with_cost_recorded],0)</f>
        <v>0</v>
      </c>
      <c r="AN698" s="11">
        <f>_xlfn.XLOOKUP(TableDailySummary[[#This Row],[Fecha]],SummaryDaily[day],SummaryDaily[cost_of_goods_sold],0)</f>
        <v>0</v>
      </c>
      <c r="AO698" s="11">
        <f>_xlfn.XLOOKUP(TableDailySummary[[#This Row],[Fecha]],SummaryDaily[day],SummaryDaily[gross_profit],0)</f>
        <v>0</v>
      </c>
      <c r="AP698" s="18">
        <f>IFERROR(TableDailySummary[[#This Row],[Utilidad bruta]]/TableDailySummary[[#This Row],[Ventas netas con costo registrado]],0)</f>
        <v>0</v>
      </c>
    </row>
    <row r="699" spans="2:42" x14ac:dyDescent="0.2">
      <c r="B699" s="15" cm="1">
        <f t="array" ref="B699">ParamFechaInicioReporte + (ROW(TableDailySummary[#This Row]) - ROW(TableDailySummary[[#Headers],[Dia]]) - 1)</f>
        <v>45226</v>
      </c>
      <c r="C699" s="6">
        <f>TableDailySummary[[#This Row],[Dia]]</f>
        <v>45226</v>
      </c>
      <c r="D699" s="11">
        <f>_xlfn.XLOOKUP(TableDailySummary[[#This Row],[Fecha]],SummaryDaily[day],SummaryDaily[net_sales],0)</f>
        <v>0</v>
      </c>
      <c r="E699" s="11">
        <f>_xlfn.XLOOKUP(TableDailySummary[[#This Row],[Fecha]],SummaryDaily[day],SummaryDaily[orders],0)</f>
        <v>0</v>
      </c>
      <c r="F699" s="11">
        <f>_xlfn.XLOOKUP(TableDailySummary[[#This Row],[Fecha]],SummaryDaily[day],SummaryDaily[average_order_value],0)</f>
        <v>0</v>
      </c>
      <c r="G699" s="24" cm="1">
        <f t="array" ref="G699">_xlfn.XLOOKUP(TableDailySummary[[#This Row],[Fecha]]&amp;"Total site",ConversionRateByReferral[day]&amp;ConversionRateByReferral[referrer_source],ConversionRateByReferral[conversion_rate],0)</f>
        <v>0</v>
      </c>
      <c r="H699" s="11">
        <f>TableDailySummary[[#This Row],[Órden promedio totales]]*TableDailySummary[[#This Row],[CR totales]]</f>
        <v>0</v>
      </c>
      <c r="I699" s="11">
        <f>_xlfn.XLOOKUP(TableDailySummary[[#This Row],[Fecha]],SummaryDaily[day],SummaryDaily[new_net_sales],0)</f>
        <v>0</v>
      </c>
      <c r="J699" s="11">
        <f>_xlfn.XLOOKUP(TableDailySummary[[#This Row],[Fecha]],SummaryDaily[day],SummaryDaily[new_orders],0)</f>
        <v>0</v>
      </c>
      <c r="K699" s="11">
        <f>_xlfn.XLOOKUP(TableDailySummary[[#This Row],[Fecha]],SummaryDaily[day],SummaryDaily[new_average_order_value],0)</f>
        <v>0</v>
      </c>
      <c r="L699" s="11">
        <f>_xlfn.XLOOKUP(TableDailySummary[[#This Row],[Fecha]],SummaryDaily[day],SummaryDaily[Online Store_net_sales],0)</f>
        <v>0</v>
      </c>
      <c r="M699" s="11">
        <f>_xlfn.XLOOKUP(TableDailySummary[[#This Row],[Fecha]],SummaryDaily[day],SummaryDaily[Online Store_orders],0)</f>
        <v>0</v>
      </c>
      <c r="N699" s="11">
        <f>_xlfn.XLOOKUP(TableDailySummary[[#This Row],[Fecha]],SummaryDaily[day],SummaryDaily[Online Store_average_order_value],0)</f>
        <v>0</v>
      </c>
      <c r="O699" s="11">
        <f>_xlfn.XLOOKUP(TableDailySummary[[#This Row],[Fecha]],SummaryDaily[day],SummaryDaily[Tienda 81_net_sales],0)</f>
        <v>0</v>
      </c>
      <c r="P699" s="11">
        <f>_xlfn.XLOOKUP(TableDailySummary[[#This Row],[Fecha]],SummaryDaily[day],SummaryDaily[Tienda 81_orders],0)</f>
        <v>0</v>
      </c>
      <c r="Q699" s="11">
        <f>_xlfn.XLOOKUP(TableDailySummary[[#This Row],[Fecha]],SummaryDaily[day],SummaryDaily[Tienda 81_average_order_value],0)</f>
        <v>0</v>
      </c>
      <c r="R699" s="11">
        <f>_xlfn.XLOOKUP(TableDailySummary[[#This Row],[Fecha]],SummaryDaily[day],SummaryDaily[Rappi_net_sales],0)</f>
        <v>0</v>
      </c>
      <c r="S699" s="11">
        <f>_xlfn.XLOOKUP(TableDailySummary[[#This Row],[Fecha]],SummaryDaily[day],SummaryDaily[Rappi_orders],0)</f>
        <v>0</v>
      </c>
      <c r="T699" s="11">
        <f>_xlfn.XLOOKUP(TableDailySummary[[#This Row],[Fecha]],SummaryDaily[day],SummaryDaily[Rappi_average_order_value],0)</f>
        <v>0</v>
      </c>
      <c r="U699" s="11">
        <f>_xlfn.XLOOKUP(TableDailySummary[[#This Row],[Fecha]],SummaryDaily[day],SummaryDaily[Corporativo no tienda_net_sales],0)</f>
        <v>0</v>
      </c>
      <c r="V699" s="11">
        <f>_xlfn.XLOOKUP(TableDailySummary[[#This Row],[Fecha]],SummaryDaily[day],SummaryDaily[Corporativo no tienda_orders],0)</f>
        <v>0</v>
      </c>
      <c r="W699" s="11">
        <f>_xlfn.XLOOKUP(TableDailySummary[[#This Row],[Fecha]],SummaryDaily[day],SummaryDaily[Corporativo no tienda_average_order_value],0)</f>
        <v>0</v>
      </c>
      <c r="X699" s="11">
        <f>_xlfn.XLOOKUP(TableDailySummary[[#This Row],[Fecha]],SummaryDaily[day],SummaryDaily[GoogleAdsOperation.Cost],0)</f>
        <v>0</v>
      </c>
      <c r="Y699" s="11">
        <f>SUMIFS(SalesByUTMDaily[google],SalesByUTMDaily[day],TableDailySummary[[#This Row],[Fecha]])</f>
        <v>0</v>
      </c>
      <c r="Z699" s="11">
        <f>_xlfn.XLOOKUP(TableDailySummary[[#This Row],[Fecha]],SummaryDaily[day],SummaryDaily[MetaAdsOperation.spend],0)</f>
        <v>0</v>
      </c>
      <c r="AA699" s="11">
        <f>SUMIFS(SalesByUTMDaily[facebook],SalesByUTMDaily[day],TableDailySummary[[#This Row],[Fecha]])</f>
        <v>0</v>
      </c>
      <c r="AB699" s="11">
        <f>TableDailySummary[[#This Row],[Inversión google ads]]+TableDailySummary[[#This Row],[Inversión meta ads]]</f>
        <v>0</v>
      </c>
      <c r="AC699" s="11">
        <f>TableDailySummary[[#This Row],[Ventas google ads]]+TableDailySummary[[#This Row],[Ventas meta ads]]</f>
        <v>0</v>
      </c>
      <c r="AD699" s="14">
        <f>IFERROR(TableDailySummary[[#This Row],[Ventas publicidad]]/TableDailySummary[[#This Row],[Inversión publicidad]],0)</f>
        <v>0</v>
      </c>
      <c r="AE699" s="14">
        <f>IFERROR(TableDailySummary[[#This Row],[Ventas primer cliente]]/TableDailySummary[[#This Row],[Inversión publicidad]],0)</f>
        <v>0</v>
      </c>
      <c r="AF699" s="14"/>
      <c r="AG699" s="11"/>
      <c r="AM699" s="11">
        <f>_xlfn.XLOOKUP(TableDailySummary[[#This Row],[Fecha]],SummaryDaily[day],SummaryDaily[net_sales_with_cost_recorded],0)</f>
        <v>0</v>
      </c>
      <c r="AN699" s="11">
        <f>_xlfn.XLOOKUP(TableDailySummary[[#This Row],[Fecha]],SummaryDaily[day],SummaryDaily[cost_of_goods_sold],0)</f>
        <v>0</v>
      </c>
      <c r="AO699" s="11">
        <f>_xlfn.XLOOKUP(TableDailySummary[[#This Row],[Fecha]],SummaryDaily[day],SummaryDaily[gross_profit],0)</f>
        <v>0</v>
      </c>
      <c r="AP699" s="18">
        <f>IFERROR(TableDailySummary[[#This Row],[Utilidad bruta]]/TableDailySummary[[#This Row],[Ventas netas con costo registrado]],0)</f>
        <v>0</v>
      </c>
    </row>
    <row r="700" spans="2:42" x14ac:dyDescent="0.2">
      <c r="B700" s="15" cm="1">
        <f t="array" ref="B700">ParamFechaInicioReporte + (ROW(TableDailySummary[#This Row]) - ROW(TableDailySummary[[#Headers],[Dia]]) - 1)</f>
        <v>45227</v>
      </c>
      <c r="C700" s="6">
        <f>TableDailySummary[[#This Row],[Dia]]</f>
        <v>45227</v>
      </c>
      <c r="D700" s="11">
        <f>_xlfn.XLOOKUP(TableDailySummary[[#This Row],[Fecha]],SummaryDaily[day],SummaryDaily[net_sales],0)</f>
        <v>0</v>
      </c>
      <c r="E700" s="11">
        <f>_xlfn.XLOOKUP(TableDailySummary[[#This Row],[Fecha]],SummaryDaily[day],SummaryDaily[orders],0)</f>
        <v>0</v>
      </c>
      <c r="F700" s="11">
        <f>_xlfn.XLOOKUP(TableDailySummary[[#This Row],[Fecha]],SummaryDaily[day],SummaryDaily[average_order_value],0)</f>
        <v>0</v>
      </c>
      <c r="G700" s="24" cm="1">
        <f t="array" ref="G700">_xlfn.XLOOKUP(TableDailySummary[[#This Row],[Fecha]]&amp;"Total site",ConversionRateByReferral[day]&amp;ConversionRateByReferral[referrer_source],ConversionRateByReferral[conversion_rate],0)</f>
        <v>0</v>
      </c>
      <c r="H700" s="11">
        <f>TableDailySummary[[#This Row],[Órden promedio totales]]*TableDailySummary[[#This Row],[CR totales]]</f>
        <v>0</v>
      </c>
      <c r="I700" s="11">
        <f>_xlfn.XLOOKUP(TableDailySummary[[#This Row],[Fecha]],SummaryDaily[day],SummaryDaily[new_net_sales],0)</f>
        <v>0</v>
      </c>
      <c r="J700" s="11">
        <f>_xlfn.XLOOKUP(TableDailySummary[[#This Row],[Fecha]],SummaryDaily[day],SummaryDaily[new_orders],0)</f>
        <v>0</v>
      </c>
      <c r="K700" s="11">
        <f>_xlfn.XLOOKUP(TableDailySummary[[#This Row],[Fecha]],SummaryDaily[day],SummaryDaily[new_average_order_value],0)</f>
        <v>0</v>
      </c>
      <c r="L700" s="11">
        <f>_xlfn.XLOOKUP(TableDailySummary[[#This Row],[Fecha]],SummaryDaily[day],SummaryDaily[Online Store_net_sales],0)</f>
        <v>0</v>
      </c>
      <c r="M700" s="11">
        <f>_xlfn.XLOOKUP(TableDailySummary[[#This Row],[Fecha]],SummaryDaily[day],SummaryDaily[Online Store_orders],0)</f>
        <v>0</v>
      </c>
      <c r="N700" s="11">
        <f>_xlfn.XLOOKUP(TableDailySummary[[#This Row],[Fecha]],SummaryDaily[day],SummaryDaily[Online Store_average_order_value],0)</f>
        <v>0</v>
      </c>
      <c r="O700" s="11">
        <f>_xlfn.XLOOKUP(TableDailySummary[[#This Row],[Fecha]],SummaryDaily[day],SummaryDaily[Tienda 81_net_sales],0)</f>
        <v>0</v>
      </c>
      <c r="P700" s="11">
        <f>_xlfn.XLOOKUP(TableDailySummary[[#This Row],[Fecha]],SummaryDaily[day],SummaryDaily[Tienda 81_orders],0)</f>
        <v>0</v>
      </c>
      <c r="Q700" s="11">
        <f>_xlfn.XLOOKUP(TableDailySummary[[#This Row],[Fecha]],SummaryDaily[day],SummaryDaily[Tienda 81_average_order_value],0)</f>
        <v>0</v>
      </c>
      <c r="R700" s="11">
        <f>_xlfn.XLOOKUP(TableDailySummary[[#This Row],[Fecha]],SummaryDaily[day],SummaryDaily[Rappi_net_sales],0)</f>
        <v>0</v>
      </c>
      <c r="S700" s="11">
        <f>_xlfn.XLOOKUP(TableDailySummary[[#This Row],[Fecha]],SummaryDaily[day],SummaryDaily[Rappi_orders],0)</f>
        <v>0</v>
      </c>
      <c r="T700" s="11">
        <f>_xlfn.XLOOKUP(TableDailySummary[[#This Row],[Fecha]],SummaryDaily[day],SummaryDaily[Rappi_average_order_value],0)</f>
        <v>0</v>
      </c>
      <c r="U700" s="11">
        <f>_xlfn.XLOOKUP(TableDailySummary[[#This Row],[Fecha]],SummaryDaily[day],SummaryDaily[Corporativo no tienda_net_sales],0)</f>
        <v>0</v>
      </c>
      <c r="V700" s="11">
        <f>_xlfn.XLOOKUP(TableDailySummary[[#This Row],[Fecha]],SummaryDaily[day],SummaryDaily[Corporativo no tienda_orders],0)</f>
        <v>0</v>
      </c>
      <c r="W700" s="11">
        <f>_xlfn.XLOOKUP(TableDailySummary[[#This Row],[Fecha]],SummaryDaily[day],SummaryDaily[Corporativo no tienda_average_order_value],0)</f>
        <v>0</v>
      </c>
      <c r="X700" s="11">
        <f>_xlfn.XLOOKUP(TableDailySummary[[#This Row],[Fecha]],SummaryDaily[day],SummaryDaily[GoogleAdsOperation.Cost],0)</f>
        <v>0</v>
      </c>
      <c r="Y700" s="11">
        <f>SUMIFS(SalesByUTMDaily[google],SalesByUTMDaily[day],TableDailySummary[[#This Row],[Fecha]])</f>
        <v>0</v>
      </c>
      <c r="Z700" s="11">
        <f>_xlfn.XLOOKUP(TableDailySummary[[#This Row],[Fecha]],SummaryDaily[day],SummaryDaily[MetaAdsOperation.spend],0)</f>
        <v>0</v>
      </c>
      <c r="AA700" s="11">
        <f>SUMIFS(SalesByUTMDaily[facebook],SalesByUTMDaily[day],TableDailySummary[[#This Row],[Fecha]])</f>
        <v>0</v>
      </c>
      <c r="AB700" s="11">
        <f>TableDailySummary[[#This Row],[Inversión google ads]]+TableDailySummary[[#This Row],[Inversión meta ads]]</f>
        <v>0</v>
      </c>
      <c r="AC700" s="11">
        <f>TableDailySummary[[#This Row],[Ventas google ads]]+TableDailySummary[[#This Row],[Ventas meta ads]]</f>
        <v>0</v>
      </c>
      <c r="AD700" s="14">
        <f>IFERROR(TableDailySummary[[#This Row],[Ventas publicidad]]/TableDailySummary[[#This Row],[Inversión publicidad]],0)</f>
        <v>0</v>
      </c>
      <c r="AE700" s="14">
        <f>IFERROR(TableDailySummary[[#This Row],[Ventas primer cliente]]/TableDailySummary[[#This Row],[Inversión publicidad]],0)</f>
        <v>0</v>
      </c>
      <c r="AF700" s="14"/>
      <c r="AG700" s="11"/>
      <c r="AM700" s="11">
        <f>_xlfn.XLOOKUP(TableDailySummary[[#This Row],[Fecha]],SummaryDaily[day],SummaryDaily[net_sales_with_cost_recorded],0)</f>
        <v>0</v>
      </c>
      <c r="AN700" s="11">
        <f>_xlfn.XLOOKUP(TableDailySummary[[#This Row],[Fecha]],SummaryDaily[day],SummaryDaily[cost_of_goods_sold],0)</f>
        <v>0</v>
      </c>
      <c r="AO700" s="11">
        <f>_xlfn.XLOOKUP(TableDailySummary[[#This Row],[Fecha]],SummaryDaily[day],SummaryDaily[gross_profit],0)</f>
        <v>0</v>
      </c>
      <c r="AP700" s="18">
        <f>IFERROR(TableDailySummary[[#This Row],[Utilidad bruta]]/TableDailySummary[[#This Row],[Ventas netas con costo registrado]],0)</f>
        <v>0</v>
      </c>
    </row>
    <row r="701" spans="2:42" x14ac:dyDescent="0.2">
      <c r="B701" s="15" cm="1">
        <f t="array" ref="B701">ParamFechaInicioReporte + (ROW(TableDailySummary[#This Row]) - ROW(TableDailySummary[[#Headers],[Dia]]) - 1)</f>
        <v>45228</v>
      </c>
      <c r="C701" s="6">
        <f>TableDailySummary[[#This Row],[Dia]]</f>
        <v>45228</v>
      </c>
      <c r="D701" s="11">
        <f>_xlfn.XLOOKUP(TableDailySummary[[#This Row],[Fecha]],SummaryDaily[day],SummaryDaily[net_sales],0)</f>
        <v>0</v>
      </c>
      <c r="E701" s="11">
        <f>_xlfn.XLOOKUP(TableDailySummary[[#This Row],[Fecha]],SummaryDaily[day],SummaryDaily[orders],0)</f>
        <v>0</v>
      </c>
      <c r="F701" s="11">
        <f>_xlfn.XLOOKUP(TableDailySummary[[#This Row],[Fecha]],SummaryDaily[day],SummaryDaily[average_order_value],0)</f>
        <v>0</v>
      </c>
      <c r="G701" s="24" cm="1">
        <f t="array" ref="G701">_xlfn.XLOOKUP(TableDailySummary[[#This Row],[Fecha]]&amp;"Total site",ConversionRateByReferral[day]&amp;ConversionRateByReferral[referrer_source],ConversionRateByReferral[conversion_rate],0)</f>
        <v>0</v>
      </c>
      <c r="H701" s="11">
        <f>TableDailySummary[[#This Row],[Órden promedio totales]]*TableDailySummary[[#This Row],[CR totales]]</f>
        <v>0</v>
      </c>
      <c r="I701" s="11">
        <f>_xlfn.XLOOKUP(TableDailySummary[[#This Row],[Fecha]],SummaryDaily[day],SummaryDaily[new_net_sales],0)</f>
        <v>0</v>
      </c>
      <c r="J701" s="11">
        <f>_xlfn.XLOOKUP(TableDailySummary[[#This Row],[Fecha]],SummaryDaily[day],SummaryDaily[new_orders],0)</f>
        <v>0</v>
      </c>
      <c r="K701" s="11">
        <f>_xlfn.XLOOKUP(TableDailySummary[[#This Row],[Fecha]],SummaryDaily[day],SummaryDaily[new_average_order_value],0)</f>
        <v>0</v>
      </c>
      <c r="L701" s="11">
        <f>_xlfn.XLOOKUP(TableDailySummary[[#This Row],[Fecha]],SummaryDaily[day],SummaryDaily[Online Store_net_sales],0)</f>
        <v>0</v>
      </c>
      <c r="M701" s="11">
        <f>_xlfn.XLOOKUP(TableDailySummary[[#This Row],[Fecha]],SummaryDaily[day],SummaryDaily[Online Store_orders],0)</f>
        <v>0</v>
      </c>
      <c r="N701" s="11">
        <f>_xlfn.XLOOKUP(TableDailySummary[[#This Row],[Fecha]],SummaryDaily[day],SummaryDaily[Online Store_average_order_value],0)</f>
        <v>0</v>
      </c>
      <c r="O701" s="11">
        <f>_xlfn.XLOOKUP(TableDailySummary[[#This Row],[Fecha]],SummaryDaily[day],SummaryDaily[Tienda 81_net_sales],0)</f>
        <v>0</v>
      </c>
      <c r="P701" s="11">
        <f>_xlfn.XLOOKUP(TableDailySummary[[#This Row],[Fecha]],SummaryDaily[day],SummaryDaily[Tienda 81_orders],0)</f>
        <v>0</v>
      </c>
      <c r="Q701" s="11">
        <f>_xlfn.XLOOKUP(TableDailySummary[[#This Row],[Fecha]],SummaryDaily[day],SummaryDaily[Tienda 81_average_order_value],0)</f>
        <v>0</v>
      </c>
      <c r="R701" s="11">
        <f>_xlfn.XLOOKUP(TableDailySummary[[#This Row],[Fecha]],SummaryDaily[day],SummaryDaily[Rappi_net_sales],0)</f>
        <v>0</v>
      </c>
      <c r="S701" s="11">
        <f>_xlfn.XLOOKUP(TableDailySummary[[#This Row],[Fecha]],SummaryDaily[day],SummaryDaily[Rappi_orders],0)</f>
        <v>0</v>
      </c>
      <c r="T701" s="11">
        <f>_xlfn.XLOOKUP(TableDailySummary[[#This Row],[Fecha]],SummaryDaily[day],SummaryDaily[Rappi_average_order_value],0)</f>
        <v>0</v>
      </c>
      <c r="U701" s="11">
        <f>_xlfn.XLOOKUP(TableDailySummary[[#This Row],[Fecha]],SummaryDaily[day],SummaryDaily[Corporativo no tienda_net_sales],0)</f>
        <v>0</v>
      </c>
      <c r="V701" s="11">
        <f>_xlfn.XLOOKUP(TableDailySummary[[#This Row],[Fecha]],SummaryDaily[day],SummaryDaily[Corporativo no tienda_orders],0)</f>
        <v>0</v>
      </c>
      <c r="W701" s="11">
        <f>_xlfn.XLOOKUP(TableDailySummary[[#This Row],[Fecha]],SummaryDaily[day],SummaryDaily[Corporativo no tienda_average_order_value],0)</f>
        <v>0</v>
      </c>
      <c r="X701" s="11">
        <f>_xlfn.XLOOKUP(TableDailySummary[[#This Row],[Fecha]],SummaryDaily[day],SummaryDaily[GoogleAdsOperation.Cost],0)</f>
        <v>0</v>
      </c>
      <c r="Y701" s="11">
        <f>SUMIFS(SalesByUTMDaily[google],SalesByUTMDaily[day],TableDailySummary[[#This Row],[Fecha]])</f>
        <v>0</v>
      </c>
      <c r="Z701" s="11">
        <f>_xlfn.XLOOKUP(TableDailySummary[[#This Row],[Fecha]],SummaryDaily[day],SummaryDaily[MetaAdsOperation.spend],0)</f>
        <v>0</v>
      </c>
      <c r="AA701" s="11">
        <f>SUMIFS(SalesByUTMDaily[facebook],SalesByUTMDaily[day],TableDailySummary[[#This Row],[Fecha]])</f>
        <v>0</v>
      </c>
      <c r="AB701" s="11">
        <f>TableDailySummary[[#This Row],[Inversión google ads]]+TableDailySummary[[#This Row],[Inversión meta ads]]</f>
        <v>0</v>
      </c>
      <c r="AC701" s="11">
        <f>TableDailySummary[[#This Row],[Ventas google ads]]+TableDailySummary[[#This Row],[Ventas meta ads]]</f>
        <v>0</v>
      </c>
      <c r="AD701" s="14">
        <f>IFERROR(TableDailySummary[[#This Row],[Ventas publicidad]]/TableDailySummary[[#This Row],[Inversión publicidad]],0)</f>
        <v>0</v>
      </c>
      <c r="AE701" s="14">
        <f>IFERROR(TableDailySummary[[#This Row],[Ventas primer cliente]]/TableDailySummary[[#This Row],[Inversión publicidad]],0)</f>
        <v>0</v>
      </c>
      <c r="AF701" s="14"/>
      <c r="AG701" s="11"/>
      <c r="AM701" s="11">
        <f>_xlfn.XLOOKUP(TableDailySummary[[#This Row],[Fecha]],SummaryDaily[day],SummaryDaily[net_sales_with_cost_recorded],0)</f>
        <v>0</v>
      </c>
      <c r="AN701" s="11">
        <f>_xlfn.XLOOKUP(TableDailySummary[[#This Row],[Fecha]],SummaryDaily[day],SummaryDaily[cost_of_goods_sold],0)</f>
        <v>0</v>
      </c>
      <c r="AO701" s="11">
        <f>_xlfn.XLOOKUP(TableDailySummary[[#This Row],[Fecha]],SummaryDaily[day],SummaryDaily[gross_profit],0)</f>
        <v>0</v>
      </c>
      <c r="AP701" s="18">
        <f>IFERROR(TableDailySummary[[#This Row],[Utilidad bruta]]/TableDailySummary[[#This Row],[Ventas netas con costo registrado]],0)</f>
        <v>0</v>
      </c>
    </row>
    <row r="702" spans="2:42" x14ac:dyDescent="0.2">
      <c r="B702" s="15" cm="1">
        <f t="array" ref="B702">ParamFechaInicioReporte + (ROW(TableDailySummary[#This Row]) - ROW(TableDailySummary[[#Headers],[Dia]]) - 1)</f>
        <v>45229</v>
      </c>
      <c r="C702" s="6">
        <f>TableDailySummary[[#This Row],[Dia]]</f>
        <v>45229</v>
      </c>
      <c r="D702" s="11">
        <f>_xlfn.XLOOKUP(TableDailySummary[[#This Row],[Fecha]],SummaryDaily[day],SummaryDaily[net_sales],0)</f>
        <v>0</v>
      </c>
      <c r="E702" s="11">
        <f>_xlfn.XLOOKUP(TableDailySummary[[#This Row],[Fecha]],SummaryDaily[day],SummaryDaily[orders],0)</f>
        <v>0</v>
      </c>
      <c r="F702" s="11">
        <f>_xlfn.XLOOKUP(TableDailySummary[[#This Row],[Fecha]],SummaryDaily[day],SummaryDaily[average_order_value],0)</f>
        <v>0</v>
      </c>
      <c r="G702" s="24" cm="1">
        <f t="array" ref="G702">_xlfn.XLOOKUP(TableDailySummary[[#This Row],[Fecha]]&amp;"Total site",ConversionRateByReferral[day]&amp;ConversionRateByReferral[referrer_source],ConversionRateByReferral[conversion_rate],0)</f>
        <v>0</v>
      </c>
      <c r="H702" s="11">
        <f>TableDailySummary[[#This Row],[Órden promedio totales]]*TableDailySummary[[#This Row],[CR totales]]</f>
        <v>0</v>
      </c>
      <c r="I702" s="11">
        <f>_xlfn.XLOOKUP(TableDailySummary[[#This Row],[Fecha]],SummaryDaily[day],SummaryDaily[new_net_sales],0)</f>
        <v>0</v>
      </c>
      <c r="J702" s="11">
        <f>_xlfn.XLOOKUP(TableDailySummary[[#This Row],[Fecha]],SummaryDaily[day],SummaryDaily[new_orders],0)</f>
        <v>0</v>
      </c>
      <c r="K702" s="11">
        <f>_xlfn.XLOOKUP(TableDailySummary[[#This Row],[Fecha]],SummaryDaily[day],SummaryDaily[new_average_order_value],0)</f>
        <v>0</v>
      </c>
      <c r="L702" s="11">
        <f>_xlfn.XLOOKUP(TableDailySummary[[#This Row],[Fecha]],SummaryDaily[day],SummaryDaily[Online Store_net_sales],0)</f>
        <v>0</v>
      </c>
      <c r="M702" s="11">
        <f>_xlfn.XLOOKUP(TableDailySummary[[#This Row],[Fecha]],SummaryDaily[day],SummaryDaily[Online Store_orders],0)</f>
        <v>0</v>
      </c>
      <c r="N702" s="11">
        <f>_xlfn.XLOOKUP(TableDailySummary[[#This Row],[Fecha]],SummaryDaily[day],SummaryDaily[Online Store_average_order_value],0)</f>
        <v>0</v>
      </c>
      <c r="O702" s="11">
        <f>_xlfn.XLOOKUP(TableDailySummary[[#This Row],[Fecha]],SummaryDaily[day],SummaryDaily[Tienda 81_net_sales],0)</f>
        <v>0</v>
      </c>
      <c r="P702" s="11">
        <f>_xlfn.XLOOKUP(TableDailySummary[[#This Row],[Fecha]],SummaryDaily[day],SummaryDaily[Tienda 81_orders],0)</f>
        <v>0</v>
      </c>
      <c r="Q702" s="11">
        <f>_xlfn.XLOOKUP(TableDailySummary[[#This Row],[Fecha]],SummaryDaily[day],SummaryDaily[Tienda 81_average_order_value],0)</f>
        <v>0</v>
      </c>
      <c r="R702" s="11">
        <f>_xlfn.XLOOKUP(TableDailySummary[[#This Row],[Fecha]],SummaryDaily[day],SummaryDaily[Rappi_net_sales],0)</f>
        <v>0</v>
      </c>
      <c r="S702" s="11">
        <f>_xlfn.XLOOKUP(TableDailySummary[[#This Row],[Fecha]],SummaryDaily[day],SummaryDaily[Rappi_orders],0)</f>
        <v>0</v>
      </c>
      <c r="T702" s="11">
        <f>_xlfn.XLOOKUP(TableDailySummary[[#This Row],[Fecha]],SummaryDaily[day],SummaryDaily[Rappi_average_order_value],0)</f>
        <v>0</v>
      </c>
      <c r="U702" s="11">
        <f>_xlfn.XLOOKUP(TableDailySummary[[#This Row],[Fecha]],SummaryDaily[day],SummaryDaily[Corporativo no tienda_net_sales],0)</f>
        <v>0</v>
      </c>
      <c r="V702" s="11">
        <f>_xlfn.XLOOKUP(TableDailySummary[[#This Row],[Fecha]],SummaryDaily[day],SummaryDaily[Corporativo no tienda_orders],0)</f>
        <v>0</v>
      </c>
      <c r="W702" s="11">
        <f>_xlfn.XLOOKUP(TableDailySummary[[#This Row],[Fecha]],SummaryDaily[day],SummaryDaily[Corporativo no tienda_average_order_value],0)</f>
        <v>0</v>
      </c>
      <c r="X702" s="11">
        <f>_xlfn.XLOOKUP(TableDailySummary[[#This Row],[Fecha]],SummaryDaily[day],SummaryDaily[GoogleAdsOperation.Cost],0)</f>
        <v>0</v>
      </c>
      <c r="Y702" s="11">
        <f>SUMIFS(SalesByUTMDaily[google],SalesByUTMDaily[day],TableDailySummary[[#This Row],[Fecha]])</f>
        <v>0</v>
      </c>
      <c r="Z702" s="11">
        <f>_xlfn.XLOOKUP(TableDailySummary[[#This Row],[Fecha]],SummaryDaily[day],SummaryDaily[MetaAdsOperation.spend],0)</f>
        <v>0</v>
      </c>
      <c r="AA702" s="11">
        <f>SUMIFS(SalesByUTMDaily[facebook],SalesByUTMDaily[day],TableDailySummary[[#This Row],[Fecha]])</f>
        <v>0</v>
      </c>
      <c r="AB702" s="11">
        <f>TableDailySummary[[#This Row],[Inversión google ads]]+TableDailySummary[[#This Row],[Inversión meta ads]]</f>
        <v>0</v>
      </c>
      <c r="AC702" s="11">
        <f>TableDailySummary[[#This Row],[Ventas google ads]]+TableDailySummary[[#This Row],[Ventas meta ads]]</f>
        <v>0</v>
      </c>
      <c r="AD702" s="14">
        <f>IFERROR(TableDailySummary[[#This Row],[Ventas publicidad]]/TableDailySummary[[#This Row],[Inversión publicidad]],0)</f>
        <v>0</v>
      </c>
      <c r="AE702" s="14">
        <f>IFERROR(TableDailySummary[[#This Row],[Ventas primer cliente]]/TableDailySummary[[#This Row],[Inversión publicidad]],0)</f>
        <v>0</v>
      </c>
      <c r="AF702" s="14"/>
      <c r="AG702" s="11"/>
      <c r="AM702" s="11">
        <f>_xlfn.XLOOKUP(TableDailySummary[[#This Row],[Fecha]],SummaryDaily[day],SummaryDaily[net_sales_with_cost_recorded],0)</f>
        <v>0</v>
      </c>
      <c r="AN702" s="11">
        <f>_xlfn.XLOOKUP(TableDailySummary[[#This Row],[Fecha]],SummaryDaily[day],SummaryDaily[cost_of_goods_sold],0)</f>
        <v>0</v>
      </c>
      <c r="AO702" s="11">
        <f>_xlfn.XLOOKUP(TableDailySummary[[#This Row],[Fecha]],SummaryDaily[day],SummaryDaily[gross_profit],0)</f>
        <v>0</v>
      </c>
      <c r="AP702" s="18">
        <f>IFERROR(TableDailySummary[[#This Row],[Utilidad bruta]]/TableDailySummary[[#This Row],[Ventas netas con costo registrado]],0)</f>
        <v>0</v>
      </c>
    </row>
    <row r="703" spans="2:42" x14ac:dyDescent="0.2">
      <c r="B703" s="15" cm="1">
        <f t="array" ref="B703">ParamFechaInicioReporte + (ROW(TableDailySummary[#This Row]) - ROW(TableDailySummary[[#Headers],[Dia]]) - 1)</f>
        <v>45230</v>
      </c>
      <c r="C703" s="6">
        <f>TableDailySummary[[#This Row],[Dia]]</f>
        <v>45230</v>
      </c>
      <c r="D703" s="11">
        <f>_xlfn.XLOOKUP(TableDailySummary[[#This Row],[Fecha]],SummaryDaily[day],SummaryDaily[net_sales],0)</f>
        <v>0</v>
      </c>
      <c r="E703" s="11">
        <f>_xlfn.XLOOKUP(TableDailySummary[[#This Row],[Fecha]],SummaryDaily[day],SummaryDaily[orders],0)</f>
        <v>0</v>
      </c>
      <c r="F703" s="11">
        <f>_xlfn.XLOOKUP(TableDailySummary[[#This Row],[Fecha]],SummaryDaily[day],SummaryDaily[average_order_value],0)</f>
        <v>0</v>
      </c>
      <c r="G703" s="24" cm="1">
        <f t="array" ref="G703">_xlfn.XLOOKUP(TableDailySummary[[#This Row],[Fecha]]&amp;"Total site",ConversionRateByReferral[day]&amp;ConversionRateByReferral[referrer_source],ConversionRateByReferral[conversion_rate],0)</f>
        <v>0</v>
      </c>
      <c r="H703" s="11">
        <f>TableDailySummary[[#This Row],[Órden promedio totales]]*TableDailySummary[[#This Row],[CR totales]]</f>
        <v>0</v>
      </c>
      <c r="I703" s="11">
        <f>_xlfn.XLOOKUP(TableDailySummary[[#This Row],[Fecha]],SummaryDaily[day],SummaryDaily[new_net_sales],0)</f>
        <v>0</v>
      </c>
      <c r="J703" s="11">
        <f>_xlfn.XLOOKUP(TableDailySummary[[#This Row],[Fecha]],SummaryDaily[day],SummaryDaily[new_orders],0)</f>
        <v>0</v>
      </c>
      <c r="K703" s="11">
        <f>_xlfn.XLOOKUP(TableDailySummary[[#This Row],[Fecha]],SummaryDaily[day],SummaryDaily[new_average_order_value],0)</f>
        <v>0</v>
      </c>
      <c r="L703" s="11">
        <f>_xlfn.XLOOKUP(TableDailySummary[[#This Row],[Fecha]],SummaryDaily[day],SummaryDaily[Online Store_net_sales],0)</f>
        <v>0</v>
      </c>
      <c r="M703" s="11">
        <f>_xlfn.XLOOKUP(TableDailySummary[[#This Row],[Fecha]],SummaryDaily[day],SummaryDaily[Online Store_orders],0)</f>
        <v>0</v>
      </c>
      <c r="N703" s="11">
        <f>_xlfn.XLOOKUP(TableDailySummary[[#This Row],[Fecha]],SummaryDaily[day],SummaryDaily[Online Store_average_order_value],0)</f>
        <v>0</v>
      </c>
      <c r="O703" s="11">
        <f>_xlfn.XLOOKUP(TableDailySummary[[#This Row],[Fecha]],SummaryDaily[day],SummaryDaily[Tienda 81_net_sales],0)</f>
        <v>0</v>
      </c>
      <c r="P703" s="11">
        <f>_xlfn.XLOOKUP(TableDailySummary[[#This Row],[Fecha]],SummaryDaily[day],SummaryDaily[Tienda 81_orders],0)</f>
        <v>0</v>
      </c>
      <c r="Q703" s="11">
        <f>_xlfn.XLOOKUP(TableDailySummary[[#This Row],[Fecha]],SummaryDaily[day],SummaryDaily[Tienda 81_average_order_value],0)</f>
        <v>0</v>
      </c>
      <c r="R703" s="11">
        <f>_xlfn.XLOOKUP(TableDailySummary[[#This Row],[Fecha]],SummaryDaily[day],SummaryDaily[Rappi_net_sales],0)</f>
        <v>0</v>
      </c>
      <c r="S703" s="11">
        <f>_xlfn.XLOOKUP(TableDailySummary[[#This Row],[Fecha]],SummaryDaily[day],SummaryDaily[Rappi_orders],0)</f>
        <v>0</v>
      </c>
      <c r="T703" s="11">
        <f>_xlfn.XLOOKUP(TableDailySummary[[#This Row],[Fecha]],SummaryDaily[day],SummaryDaily[Rappi_average_order_value],0)</f>
        <v>0</v>
      </c>
      <c r="U703" s="11">
        <f>_xlfn.XLOOKUP(TableDailySummary[[#This Row],[Fecha]],SummaryDaily[day],SummaryDaily[Corporativo no tienda_net_sales],0)</f>
        <v>0</v>
      </c>
      <c r="V703" s="11">
        <f>_xlfn.XLOOKUP(TableDailySummary[[#This Row],[Fecha]],SummaryDaily[day],SummaryDaily[Corporativo no tienda_orders],0)</f>
        <v>0</v>
      </c>
      <c r="W703" s="11">
        <f>_xlfn.XLOOKUP(TableDailySummary[[#This Row],[Fecha]],SummaryDaily[day],SummaryDaily[Corporativo no tienda_average_order_value],0)</f>
        <v>0</v>
      </c>
      <c r="X703" s="11">
        <f>_xlfn.XLOOKUP(TableDailySummary[[#This Row],[Fecha]],SummaryDaily[day],SummaryDaily[GoogleAdsOperation.Cost],0)</f>
        <v>0</v>
      </c>
      <c r="Y703" s="11">
        <f>SUMIFS(SalesByUTMDaily[google],SalesByUTMDaily[day],TableDailySummary[[#This Row],[Fecha]])</f>
        <v>0</v>
      </c>
      <c r="Z703" s="11">
        <f>_xlfn.XLOOKUP(TableDailySummary[[#This Row],[Fecha]],SummaryDaily[day],SummaryDaily[MetaAdsOperation.spend],0)</f>
        <v>0</v>
      </c>
      <c r="AA703" s="11">
        <f>SUMIFS(SalesByUTMDaily[facebook],SalesByUTMDaily[day],TableDailySummary[[#This Row],[Fecha]])</f>
        <v>0</v>
      </c>
      <c r="AB703" s="11">
        <f>TableDailySummary[[#This Row],[Inversión google ads]]+TableDailySummary[[#This Row],[Inversión meta ads]]</f>
        <v>0</v>
      </c>
      <c r="AC703" s="11">
        <f>TableDailySummary[[#This Row],[Ventas google ads]]+TableDailySummary[[#This Row],[Ventas meta ads]]</f>
        <v>0</v>
      </c>
      <c r="AD703" s="14">
        <f>IFERROR(TableDailySummary[[#This Row],[Ventas publicidad]]/TableDailySummary[[#This Row],[Inversión publicidad]],0)</f>
        <v>0</v>
      </c>
      <c r="AE703" s="14">
        <f>IFERROR(TableDailySummary[[#This Row],[Ventas primer cliente]]/TableDailySummary[[#This Row],[Inversión publicidad]],0)</f>
        <v>0</v>
      </c>
      <c r="AF703" s="14"/>
      <c r="AG703" s="11"/>
      <c r="AM703" s="11">
        <f>_xlfn.XLOOKUP(TableDailySummary[[#This Row],[Fecha]],SummaryDaily[day],SummaryDaily[net_sales_with_cost_recorded],0)</f>
        <v>0</v>
      </c>
      <c r="AN703" s="11">
        <f>_xlfn.XLOOKUP(TableDailySummary[[#This Row],[Fecha]],SummaryDaily[day],SummaryDaily[cost_of_goods_sold],0)</f>
        <v>0</v>
      </c>
      <c r="AO703" s="11">
        <f>_xlfn.XLOOKUP(TableDailySummary[[#This Row],[Fecha]],SummaryDaily[day],SummaryDaily[gross_profit],0)</f>
        <v>0</v>
      </c>
      <c r="AP703" s="18">
        <f>IFERROR(TableDailySummary[[#This Row],[Utilidad bruta]]/TableDailySummary[[#This Row],[Ventas netas con costo registrado]],0)</f>
        <v>0</v>
      </c>
    </row>
    <row r="704" spans="2:42" x14ac:dyDescent="0.2">
      <c r="B704" s="15" cm="1">
        <f t="array" ref="B704">ParamFechaInicioReporte + (ROW(TableDailySummary[#This Row]) - ROW(TableDailySummary[[#Headers],[Dia]]) - 1)</f>
        <v>45231</v>
      </c>
      <c r="C704" s="6">
        <f>TableDailySummary[[#This Row],[Dia]]</f>
        <v>45231</v>
      </c>
      <c r="D704" s="11">
        <f>_xlfn.XLOOKUP(TableDailySummary[[#This Row],[Fecha]],SummaryDaily[day],SummaryDaily[net_sales],0)</f>
        <v>0</v>
      </c>
      <c r="E704" s="11">
        <f>_xlfn.XLOOKUP(TableDailySummary[[#This Row],[Fecha]],SummaryDaily[day],SummaryDaily[orders],0)</f>
        <v>0</v>
      </c>
      <c r="F704" s="11">
        <f>_xlfn.XLOOKUP(TableDailySummary[[#This Row],[Fecha]],SummaryDaily[day],SummaryDaily[average_order_value],0)</f>
        <v>0</v>
      </c>
      <c r="G704" s="24" cm="1">
        <f t="array" ref="G704">_xlfn.XLOOKUP(TableDailySummary[[#This Row],[Fecha]]&amp;"Total site",ConversionRateByReferral[day]&amp;ConversionRateByReferral[referrer_source],ConversionRateByReferral[conversion_rate],0)</f>
        <v>0</v>
      </c>
      <c r="H704" s="11">
        <f>TableDailySummary[[#This Row],[Órden promedio totales]]*TableDailySummary[[#This Row],[CR totales]]</f>
        <v>0</v>
      </c>
      <c r="I704" s="11">
        <f>_xlfn.XLOOKUP(TableDailySummary[[#This Row],[Fecha]],SummaryDaily[day],SummaryDaily[new_net_sales],0)</f>
        <v>0</v>
      </c>
      <c r="J704" s="11">
        <f>_xlfn.XLOOKUP(TableDailySummary[[#This Row],[Fecha]],SummaryDaily[day],SummaryDaily[new_orders],0)</f>
        <v>0</v>
      </c>
      <c r="K704" s="11">
        <f>_xlfn.XLOOKUP(TableDailySummary[[#This Row],[Fecha]],SummaryDaily[day],SummaryDaily[new_average_order_value],0)</f>
        <v>0</v>
      </c>
      <c r="L704" s="11">
        <f>_xlfn.XLOOKUP(TableDailySummary[[#This Row],[Fecha]],SummaryDaily[day],SummaryDaily[Online Store_net_sales],0)</f>
        <v>0</v>
      </c>
      <c r="M704" s="11">
        <f>_xlfn.XLOOKUP(TableDailySummary[[#This Row],[Fecha]],SummaryDaily[day],SummaryDaily[Online Store_orders],0)</f>
        <v>0</v>
      </c>
      <c r="N704" s="11">
        <f>_xlfn.XLOOKUP(TableDailySummary[[#This Row],[Fecha]],SummaryDaily[day],SummaryDaily[Online Store_average_order_value],0)</f>
        <v>0</v>
      </c>
      <c r="O704" s="11">
        <f>_xlfn.XLOOKUP(TableDailySummary[[#This Row],[Fecha]],SummaryDaily[day],SummaryDaily[Tienda 81_net_sales],0)</f>
        <v>0</v>
      </c>
      <c r="P704" s="11">
        <f>_xlfn.XLOOKUP(TableDailySummary[[#This Row],[Fecha]],SummaryDaily[day],SummaryDaily[Tienda 81_orders],0)</f>
        <v>0</v>
      </c>
      <c r="Q704" s="11">
        <f>_xlfn.XLOOKUP(TableDailySummary[[#This Row],[Fecha]],SummaryDaily[day],SummaryDaily[Tienda 81_average_order_value],0)</f>
        <v>0</v>
      </c>
      <c r="R704" s="11">
        <f>_xlfn.XLOOKUP(TableDailySummary[[#This Row],[Fecha]],SummaryDaily[day],SummaryDaily[Rappi_net_sales],0)</f>
        <v>0</v>
      </c>
      <c r="S704" s="11">
        <f>_xlfn.XLOOKUP(TableDailySummary[[#This Row],[Fecha]],SummaryDaily[day],SummaryDaily[Rappi_orders],0)</f>
        <v>0</v>
      </c>
      <c r="T704" s="11">
        <f>_xlfn.XLOOKUP(TableDailySummary[[#This Row],[Fecha]],SummaryDaily[day],SummaryDaily[Rappi_average_order_value],0)</f>
        <v>0</v>
      </c>
      <c r="U704" s="11">
        <f>_xlfn.XLOOKUP(TableDailySummary[[#This Row],[Fecha]],SummaryDaily[day],SummaryDaily[Corporativo no tienda_net_sales],0)</f>
        <v>0</v>
      </c>
      <c r="V704" s="11">
        <f>_xlfn.XLOOKUP(TableDailySummary[[#This Row],[Fecha]],SummaryDaily[day],SummaryDaily[Corporativo no tienda_orders],0)</f>
        <v>0</v>
      </c>
      <c r="W704" s="11">
        <f>_xlfn.XLOOKUP(TableDailySummary[[#This Row],[Fecha]],SummaryDaily[day],SummaryDaily[Corporativo no tienda_average_order_value],0)</f>
        <v>0</v>
      </c>
      <c r="X704" s="11">
        <f>_xlfn.XLOOKUP(TableDailySummary[[#This Row],[Fecha]],SummaryDaily[day],SummaryDaily[GoogleAdsOperation.Cost],0)</f>
        <v>0</v>
      </c>
      <c r="Y704" s="11">
        <f>SUMIFS(SalesByUTMDaily[google],SalesByUTMDaily[day],TableDailySummary[[#This Row],[Fecha]])</f>
        <v>0</v>
      </c>
      <c r="Z704" s="11">
        <f>_xlfn.XLOOKUP(TableDailySummary[[#This Row],[Fecha]],SummaryDaily[day],SummaryDaily[MetaAdsOperation.spend],0)</f>
        <v>0</v>
      </c>
      <c r="AA704" s="11">
        <f>SUMIFS(SalesByUTMDaily[facebook],SalesByUTMDaily[day],TableDailySummary[[#This Row],[Fecha]])</f>
        <v>0</v>
      </c>
      <c r="AB704" s="11">
        <f>TableDailySummary[[#This Row],[Inversión google ads]]+TableDailySummary[[#This Row],[Inversión meta ads]]</f>
        <v>0</v>
      </c>
      <c r="AC704" s="11">
        <f>TableDailySummary[[#This Row],[Ventas google ads]]+TableDailySummary[[#This Row],[Ventas meta ads]]</f>
        <v>0</v>
      </c>
      <c r="AD704" s="14">
        <f>IFERROR(TableDailySummary[[#This Row],[Ventas publicidad]]/TableDailySummary[[#This Row],[Inversión publicidad]],0)</f>
        <v>0</v>
      </c>
      <c r="AE704" s="14">
        <f>IFERROR(TableDailySummary[[#This Row],[Ventas primer cliente]]/TableDailySummary[[#This Row],[Inversión publicidad]],0)</f>
        <v>0</v>
      </c>
      <c r="AF704" s="14"/>
      <c r="AG704" s="11"/>
      <c r="AM704" s="11">
        <f>_xlfn.XLOOKUP(TableDailySummary[[#This Row],[Fecha]],SummaryDaily[day],SummaryDaily[net_sales_with_cost_recorded],0)</f>
        <v>0</v>
      </c>
      <c r="AN704" s="11">
        <f>_xlfn.XLOOKUP(TableDailySummary[[#This Row],[Fecha]],SummaryDaily[day],SummaryDaily[cost_of_goods_sold],0)</f>
        <v>0</v>
      </c>
      <c r="AO704" s="11">
        <f>_xlfn.XLOOKUP(TableDailySummary[[#This Row],[Fecha]],SummaryDaily[day],SummaryDaily[gross_profit],0)</f>
        <v>0</v>
      </c>
      <c r="AP704" s="18">
        <f>IFERROR(TableDailySummary[[#This Row],[Utilidad bruta]]/TableDailySummary[[#This Row],[Ventas netas con costo registrado]],0)</f>
        <v>0</v>
      </c>
    </row>
    <row r="705" spans="2:42" x14ac:dyDescent="0.2">
      <c r="B705" s="15" cm="1">
        <f t="array" ref="B705">ParamFechaInicioReporte + (ROW(TableDailySummary[#This Row]) - ROW(TableDailySummary[[#Headers],[Dia]]) - 1)</f>
        <v>45232</v>
      </c>
      <c r="C705" s="6">
        <f>TableDailySummary[[#This Row],[Dia]]</f>
        <v>45232</v>
      </c>
      <c r="D705" s="11">
        <f>_xlfn.XLOOKUP(TableDailySummary[[#This Row],[Fecha]],SummaryDaily[day],SummaryDaily[net_sales],0)</f>
        <v>0</v>
      </c>
      <c r="E705" s="11">
        <f>_xlfn.XLOOKUP(TableDailySummary[[#This Row],[Fecha]],SummaryDaily[day],SummaryDaily[orders],0)</f>
        <v>0</v>
      </c>
      <c r="F705" s="11">
        <f>_xlfn.XLOOKUP(TableDailySummary[[#This Row],[Fecha]],SummaryDaily[day],SummaryDaily[average_order_value],0)</f>
        <v>0</v>
      </c>
      <c r="G705" s="24" cm="1">
        <f t="array" ref="G705">_xlfn.XLOOKUP(TableDailySummary[[#This Row],[Fecha]]&amp;"Total site",ConversionRateByReferral[day]&amp;ConversionRateByReferral[referrer_source],ConversionRateByReferral[conversion_rate],0)</f>
        <v>0</v>
      </c>
      <c r="H705" s="11">
        <f>TableDailySummary[[#This Row],[Órden promedio totales]]*TableDailySummary[[#This Row],[CR totales]]</f>
        <v>0</v>
      </c>
      <c r="I705" s="11">
        <f>_xlfn.XLOOKUP(TableDailySummary[[#This Row],[Fecha]],SummaryDaily[day],SummaryDaily[new_net_sales],0)</f>
        <v>0</v>
      </c>
      <c r="J705" s="11">
        <f>_xlfn.XLOOKUP(TableDailySummary[[#This Row],[Fecha]],SummaryDaily[day],SummaryDaily[new_orders],0)</f>
        <v>0</v>
      </c>
      <c r="K705" s="11">
        <f>_xlfn.XLOOKUP(TableDailySummary[[#This Row],[Fecha]],SummaryDaily[day],SummaryDaily[new_average_order_value],0)</f>
        <v>0</v>
      </c>
      <c r="L705" s="11">
        <f>_xlfn.XLOOKUP(TableDailySummary[[#This Row],[Fecha]],SummaryDaily[day],SummaryDaily[Online Store_net_sales],0)</f>
        <v>0</v>
      </c>
      <c r="M705" s="11">
        <f>_xlfn.XLOOKUP(TableDailySummary[[#This Row],[Fecha]],SummaryDaily[day],SummaryDaily[Online Store_orders],0)</f>
        <v>0</v>
      </c>
      <c r="N705" s="11">
        <f>_xlfn.XLOOKUP(TableDailySummary[[#This Row],[Fecha]],SummaryDaily[day],SummaryDaily[Online Store_average_order_value],0)</f>
        <v>0</v>
      </c>
      <c r="O705" s="11">
        <f>_xlfn.XLOOKUP(TableDailySummary[[#This Row],[Fecha]],SummaryDaily[day],SummaryDaily[Tienda 81_net_sales],0)</f>
        <v>0</v>
      </c>
      <c r="P705" s="11">
        <f>_xlfn.XLOOKUP(TableDailySummary[[#This Row],[Fecha]],SummaryDaily[day],SummaryDaily[Tienda 81_orders],0)</f>
        <v>0</v>
      </c>
      <c r="Q705" s="11">
        <f>_xlfn.XLOOKUP(TableDailySummary[[#This Row],[Fecha]],SummaryDaily[day],SummaryDaily[Tienda 81_average_order_value],0)</f>
        <v>0</v>
      </c>
      <c r="R705" s="11">
        <f>_xlfn.XLOOKUP(TableDailySummary[[#This Row],[Fecha]],SummaryDaily[day],SummaryDaily[Rappi_net_sales],0)</f>
        <v>0</v>
      </c>
      <c r="S705" s="11">
        <f>_xlfn.XLOOKUP(TableDailySummary[[#This Row],[Fecha]],SummaryDaily[day],SummaryDaily[Rappi_orders],0)</f>
        <v>0</v>
      </c>
      <c r="T705" s="11">
        <f>_xlfn.XLOOKUP(TableDailySummary[[#This Row],[Fecha]],SummaryDaily[day],SummaryDaily[Rappi_average_order_value],0)</f>
        <v>0</v>
      </c>
      <c r="U705" s="11">
        <f>_xlfn.XLOOKUP(TableDailySummary[[#This Row],[Fecha]],SummaryDaily[day],SummaryDaily[Corporativo no tienda_net_sales],0)</f>
        <v>0</v>
      </c>
      <c r="V705" s="11">
        <f>_xlfn.XLOOKUP(TableDailySummary[[#This Row],[Fecha]],SummaryDaily[day],SummaryDaily[Corporativo no tienda_orders],0)</f>
        <v>0</v>
      </c>
      <c r="W705" s="11">
        <f>_xlfn.XLOOKUP(TableDailySummary[[#This Row],[Fecha]],SummaryDaily[day],SummaryDaily[Corporativo no tienda_average_order_value],0)</f>
        <v>0</v>
      </c>
      <c r="X705" s="11">
        <f>_xlfn.XLOOKUP(TableDailySummary[[#This Row],[Fecha]],SummaryDaily[day],SummaryDaily[GoogleAdsOperation.Cost],0)</f>
        <v>0</v>
      </c>
      <c r="Y705" s="11">
        <f>SUMIFS(SalesByUTMDaily[google],SalesByUTMDaily[day],TableDailySummary[[#This Row],[Fecha]])</f>
        <v>0</v>
      </c>
      <c r="Z705" s="11">
        <f>_xlfn.XLOOKUP(TableDailySummary[[#This Row],[Fecha]],SummaryDaily[day],SummaryDaily[MetaAdsOperation.spend],0)</f>
        <v>0</v>
      </c>
      <c r="AA705" s="11">
        <f>SUMIFS(SalesByUTMDaily[facebook],SalesByUTMDaily[day],TableDailySummary[[#This Row],[Fecha]])</f>
        <v>0</v>
      </c>
      <c r="AB705" s="11">
        <f>TableDailySummary[[#This Row],[Inversión google ads]]+TableDailySummary[[#This Row],[Inversión meta ads]]</f>
        <v>0</v>
      </c>
      <c r="AC705" s="11">
        <f>TableDailySummary[[#This Row],[Ventas google ads]]+TableDailySummary[[#This Row],[Ventas meta ads]]</f>
        <v>0</v>
      </c>
      <c r="AD705" s="14">
        <f>IFERROR(TableDailySummary[[#This Row],[Ventas publicidad]]/TableDailySummary[[#This Row],[Inversión publicidad]],0)</f>
        <v>0</v>
      </c>
      <c r="AE705" s="14">
        <f>IFERROR(TableDailySummary[[#This Row],[Ventas primer cliente]]/TableDailySummary[[#This Row],[Inversión publicidad]],0)</f>
        <v>0</v>
      </c>
      <c r="AF705" s="14"/>
      <c r="AG705" s="11"/>
      <c r="AM705" s="11">
        <f>_xlfn.XLOOKUP(TableDailySummary[[#This Row],[Fecha]],SummaryDaily[day],SummaryDaily[net_sales_with_cost_recorded],0)</f>
        <v>0</v>
      </c>
      <c r="AN705" s="11">
        <f>_xlfn.XLOOKUP(TableDailySummary[[#This Row],[Fecha]],SummaryDaily[day],SummaryDaily[cost_of_goods_sold],0)</f>
        <v>0</v>
      </c>
      <c r="AO705" s="11">
        <f>_xlfn.XLOOKUP(TableDailySummary[[#This Row],[Fecha]],SummaryDaily[day],SummaryDaily[gross_profit],0)</f>
        <v>0</v>
      </c>
      <c r="AP705" s="18">
        <f>IFERROR(TableDailySummary[[#This Row],[Utilidad bruta]]/TableDailySummary[[#This Row],[Ventas netas con costo registrado]],0)</f>
        <v>0</v>
      </c>
    </row>
    <row r="706" spans="2:42" x14ac:dyDescent="0.2">
      <c r="B706" s="15" cm="1">
        <f t="array" ref="B706">ParamFechaInicioReporte + (ROW(TableDailySummary[#This Row]) - ROW(TableDailySummary[[#Headers],[Dia]]) - 1)</f>
        <v>45233</v>
      </c>
      <c r="C706" s="6">
        <f>TableDailySummary[[#This Row],[Dia]]</f>
        <v>45233</v>
      </c>
      <c r="D706" s="11">
        <f>_xlfn.XLOOKUP(TableDailySummary[[#This Row],[Fecha]],SummaryDaily[day],SummaryDaily[net_sales],0)</f>
        <v>0</v>
      </c>
      <c r="E706" s="11">
        <f>_xlfn.XLOOKUP(TableDailySummary[[#This Row],[Fecha]],SummaryDaily[day],SummaryDaily[orders],0)</f>
        <v>0</v>
      </c>
      <c r="F706" s="11">
        <f>_xlfn.XLOOKUP(TableDailySummary[[#This Row],[Fecha]],SummaryDaily[day],SummaryDaily[average_order_value],0)</f>
        <v>0</v>
      </c>
      <c r="G706" s="24" cm="1">
        <f t="array" ref="G706">_xlfn.XLOOKUP(TableDailySummary[[#This Row],[Fecha]]&amp;"Total site",ConversionRateByReferral[day]&amp;ConversionRateByReferral[referrer_source],ConversionRateByReferral[conversion_rate],0)</f>
        <v>0</v>
      </c>
      <c r="H706" s="11">
        <f>TableDailySummary[[#This Row],[Órden promedio totales]]*TableDailySummary[[#This Row],[CR totales]]</f>
        <v>0</v>
      </c>
      <c r="I706" s="11">
        <f>_xlfn.XLOOKUP(TableDailySummary[[#This Row],[Fecha]],SummaryDaily[day],SummaryDaily[new_net_sales],0)</f>
        <v>0</v>
      </c>
      <c r="J706" s="11">
        <f>_xlfn.XLOOKUP(TableDailySummary[[#This Row],[Fecha]],SummaryDaily[day],SummaryDaily[new_orders],0)</f>
        <v>0</v>
      </c>
      <c r="K706" s="11">
        <f>_xlfn.XLOOKUP(TableDailySummary[[#This Row],[Fecha]],SummaryDaily[day],SummaryDaily[new_average_order_value],0)</f>
        <v>0</v>
      </c>
      <c r="L706" s="11">
        <f>_xlfn.XLOOKUP(TableDailySummary[[#This Row],[Fecha]],SummaryDaily[day],SummaryDaily[Online Store_net_sales],0)</f>
        <v>0</v>
      </c>
      <c r="M706" s="11">
        <f>_xlfn.XLOOKUP(TableDailySummary[[#This Row],[Fecha]],SummaryDaily[day],SummaryDaily[Online Store_orders],0)</f>
        <v>0</v>
      </c>
      <c r="N706" s="11">
        <f>_xlfn.XLOOKUP(TableDailySummary[[#This Row],[Fecha]],SummaryDaily[day],SummaryDaily[Online Store_average_order_value],0)</f>
        <v>0</v>
      </c>
      <c r="O706" s="11">
        <f>_xlfn.XLOOKUP(TableDailySummary[[#This Row],[Fecha]],SummaryDaily[day],SummaryDaily[Tienda 81_net_sales],0)</f>
        <v>0</v>
      </c>
      <c r="P706" s="11">
        <f>_xlfn.XLOOKUP(TableDailySummary[[#This Row],[Fecha]],SummaryDaily[day],SummaryDaily[Tienda 81_orders],0)</f>
        <v>0</v>
      </c>
      <c r="Q706" s="11">
        <f>_xlfn.XLOOKUP(TableDailySummary[[#This Row],[Fecha]],SummaryDaily[day],SummaryDaily[Tienda 81_average_order_value],0)</f>
        <v>0</v>
      </c>
      <c r="R706" s="11">
        <f>_xlfn.XLOOKUP(TableDailySummary[[#This Row],[Fecha]],SummaryDaily[day],SummaryDaily[Rappi_net_sales],0)</f>
        <v>0</v>
      </c>
      <c r="S706" s="11">
        <f>_xlfn.XLOOKUP(TableDailySummary[[#This Row],[Fecha]],SummaryDaily[day],SummaryDaily[Rappi_orders],0)</f>
        <v>0</v>
      </c>
      <c r="T706" s="11">
        <f>_xlfn.XLOOKUP(TableDailySummary[[#This Row],[Fecha]],SummaryDaily[day],SummaryDaily[Rappi_average_order_value],0)</f>
        <v>0</v>
      </c>
      <c r="U706" s="11">
        <f>_xlfn.XLOOKUP(TableDailySummary[[#This Row],[Fecha]],SummaryDaily[day],SummaryDaily[Corporativo no tienda_net_sales],0)</f>
        <v>0</v>
      </c>
      <c r="V706" s="11">
        <f>_xlfn.XLOOKUP(TableDailySummary[[#This Row],[Fecha]],SummaryDaily[day],SummaryDaily[Corporativo no tienda_orders],0)</f>
        <v>0</v>
      </c>
      <c r="W706" s="11">
        <f>_xlfn.XLOOKUP(TableDailySummary[[#This Row],[Fecha]],SummaryDaily[day],SummaryDaily[Corporativo no tienda_average_order_value],0)</f>
        <v>0</v>
      </c>
      <c r="X706" s="11">
        <f>_xlfn.XLOOKUP(TableDailySummary[[#This Row],[Fecha]],SummaryDaily[day],SummaryDaily[GoogleAdsOperation.Cost],0)</f>
        <v>0</v>
      </c>
      <c r="Y706" s="11">
        <f>SUMIFS(SalesByUTMDaily[google],SalesByUTMDaily[day],TableDailySummary[[#This Row],[Fecha]])</f>
        <v>0</v>
      </c>
      <c r="Z706" s="11">
        <f>_xlfn.XLOOKUP(TableDailySummary[[#This Row],[Fecha]],SummaryDaily[day],SummaryDaily[MetaAdsOperation.spend],0)</f>
        <v>0</v>
      </c>
      <c r="AA706" s="11">
        <f>SUMIFS(SalesByUTMDaily[facebook],SalesByUTMDaily[day],TableDailySummary[[#This Row],[Fecha]])</f>
        <v>0</v>
      </c>
      <c r="AB706" s="11">
        <f>TableDailySummary[[#This Row],[Inversión google ads]]+TableDailySummary[[#This Row],[Inversión meta ads]]</f>
        <v>0</v>
      </c>
      <c r="AC706" s="11">
        <f>TableDailySummary[[#This Row],[Ventas google ads]]+TableDailySummary[[#This Row],[Ventas meta ads]]</f>
        <v>0</v>
      </c>
      <c r="AD706" s="14">
        <f>IFERROR(TableDailySummary[[#This Row],[Ventas publicidad]]/TableDailySummary[[#This Row],[Inversión publicidad]],0)</f>
        <v>0</v>
      </c>
      <c r="AE706" s="14">
        <f>IFERROR(TableDailySummary[[#This Row],[Ventas primer cliente]]/TableDailySummary[[#This Row],[Inversión publicidad]],0)</f>
        <v>0</v>
      </c>
      <c r="AF706" s="14"/>
      <c r="AG706" s="11"/>
      <c r="AM706" s="11">
        <f>_xlfn.XLOOKUP(TableDailySummary[[#This Row],[Fecha]],SummaryDaily[day],SummaryDaily[net_sales_with_cost_recorded],0)</f>
        <v>0</v>
      </c>
      <c r="AN706" s="11">
        <f>_xlfn.XLOOKUP(TableDailySummary[[#This Row],[Fecha]],SummaryDaily[day],SummaryDaily[cost_of_goods_sold],0)</f>
        <v>0</v>
      </c>
      <c r="AO706" s="11">
        <f>_xlfn.XLOOKUP(TableDailySummary[[#This Row],[Fecha]],SummaryDaily[day],SummaryDaily[gross_profit],0)</f>
        <v>0</v>
      </c>
      <c r="AP706" s="18">
        <f>IFERROR(TableDailySummary[[#This Row],[Utilidad bruta]]/TableDailySummary[[#This Row],[Ventas netas con costo registrado]],0)</f>
        <v>0</v>
      </c>
    </row>
    <row r="707" spans="2:42" x14ac:dyDescent="0.2">
      <c r="B707" s="15" cm="1">
        <f t="array" ref="B707">ParamFechaInicioReporte + (ROW(TableDailySummary[#This Row]) - ROW(TableDailySummary[[#Headers],[Dia]]) - 1)</f>
        <v>45234</v>
      </c>
      <c r="C707" s="6">
        <f>TableDailySummary[[#This Row],[Dia]]</f>
        <v>45234</v>
      </c>
      <c r="D707" s="11">
        <f>_xlfn.XLOOKUP(TableDailySummary[[#This Row],[Fecha]],SummaryDaily[day],SummaryDaily[net_sales],0)</f>
        <v>0</v>
      </c>
      <c r="E707" s="11">
        <f>_xlfn.XLOOKUP(TableDailySummary[[#This Row],[Fecha]],SummaryDaily[day],SummaryDaily[orders],0)</f>
        <v>0</v>
      </c>
      <c r="F707" s="11">
        <f>_xlfn.XLOOKUP(TableDailySummary[[#This Row],[Fecha]],SummaryDaily[day],SummaryDaily[average_order_value],0)</f>
        <v>0</v>
      </c>
      <c r="G707" s="24" cm="1">
        <f t="array" ref="G707">_xlfn.XLOOKUP(TableDailySummary[[#This Row],[Fecha]]&amp;"Total site",ConversionRateByReferral[day]&amp;ConversionRateByReferral[referrer_source],ConversionRateByReferral[conversion_rate],0)</f>
        <v>0</v>
      </c>
      <c r="H707" s="11">
        <f>TableDailySummary[[#This Row],[Órden promedio totales]]*TableDailySummary[[#This Row],[CR totales]]</f>
        <v>0</v>
      </c>
      <c r="I707" s="11">
        <f>_xlfn.XLOOKUP(TableDailySummary[[#This Row],[Fecha]],SummaryDaily[day],SummaryDaily[new_net_sales],0)</f>
        <v>0</v>
      </c>
      <c r="J707" s="11">
        <f>_xlfn.XLOOKUP(TableDailySummary[[#This Row],[Fecha]],SummaryDaily[day],SummaryDaily[new_orders],0)</f>
        <v>0</v>
      </c>
      <c r="K707" s="11">
        <f>_xlfn.XLOOKUP(TableDailySummary[[#This Row],[Fecha]],SummaryDaily[day],SummaryDaily[new_average_order_value],0)</f>
        <v>0</v>
      </c>
      <c r="L707" s="11">
        <f>_xlfn.XLOOKUP(TableDailySummary[[#This Row],[Fecha]],SummaryDaily[day],SummaryDaily[Online Store_net_sales],0)</f>
        <v>0</v>
      </c>
      <c r="M707" s="11">
        <f>_xlfn.XLOOKUP(TableDailySummary[[#This Row],[Fecha]],SummaryDaily[day],SummaryDaily[Online Store_orders],0)</f>
        <v>0</v>
      </c>
      <c r="N707" s="11">
        <f>_xlfn.XLOOKUP(TableDailySummary[[#This Row],[Fecha]],SummaryDaily[day],SummaryDaily[Online Store_average_order_value],0)</f>
        <v>0</v>
      </c>
      <c r="O707" s="11">
        <f>_xlfn.XLOOKUP(TableDailySummary[[#This Row],[Fecha]],SummaryDaily[day],SummaryDaily[Tienda 81_net_sales],0)</f>
        <v>0</v>
      </c>
      <c r="P707" s="11">
        <f>_xlfn.XLOOKUP(TableDailySummary[[#This Row],[Fecha]],SummaryDaily[day],SummaryDaily[Tienda 81_orders],0)</f>
        <v>0</v>
      </c>
      <c r="Q707" s="11">
        <f>_xlfn.XLOOKUP(TableDailySummary[[#This Row],[Fecha]],SummaryDaily[day],SummaryDaily[Tienda 81_average_order_value],0)</f>
        <v>0</v>
      </c>
      <c r="R707" s="11">
        <f>_xlfn.XLOOKUP(TableDailySummary[[#This Row],[Fecha]],SummaryDaily[day],SummaryDaily[Rappi_net_sales],0)</f>
        <v>0</v>
      </c>
      <c r="S707" s="11">
        <f>_xlfn.XLOOKUP(TableDailySummary[[#This Row],[Fecha]],SummaryDaily[day],SummaryDaily[Rappi_orders],0)</f>
        <v>0</v>
      </c>
      <c r="T707" s="11">
        <f>_xlfn.XLOOKUP(TableDailySummary[[#This Row],[Fecha]],SummaryDaily[day],SummaryDaily[Rappi_average_order_value],0)</f>
        <v>0</v>
      </c>
      <c r="U707" s="11">
        <f>_xlfn.XLOOKUP(TableDailySummary[[#This Row],[Fecha]],SummaryDaily[day],SummaryDaily[Corporativo no tienda_net_sales],0)</f>
        <v>0</v>
      </c>
      <c r="V707" s="11">
        <f>_xlfn.XLOOKUP(TableDailySummary[[#This Row],[Fecha]],SummaryDaily[day],SummaryDaily[Corporativo no tienda_orders],0)</f>
        <v>0</v>
      </c>
      <c r="W707" s="11">
        <f>_xlfn.XLOOKUP(TableDailySummary[[#This Row],[Fecha]],SummaryDaily[day],SummaryDaily[Corporativo no tienda_average_order_value],0)</f>
        <v>0</v>
      </c>
      <c r="X707" s="11">
        <f>_xlfn.XLOOKUP(TableDailySummary[[#This Row],[Fecha]],SummaryDaily[day],SummaryDaily[GoogleAdsOperation.Cost],0)</f>
        <v>0</v>
      </c>
      <c r="Y707" s="11">
        <f>SUMIFS(SalesByUTMDaily[google],SalesByUTMDaily[day],TableDailySummary[[#This Row],[Fecha]])</f>
        <v>0</v>
      </c>
      <c r="Z707" s="11">
        <f>_xlfn.XLOOKUP(TableDailySummary[[#This Row],[Fecha]],SummaryDaily[day],SummaryDaily[MetaAdsOperation.spend],0)</f>
        <v>0</v>
      </c>
      <c r="AA707" s="11">
        <f>SUMIFS(SalesByUTMDaily[facebook],SalesByUTMDaily[day],TableDailySummary[[#This Row],[Fecha]])</f>
        <v>0</v>
      </c>
      <c r="AB707" s="11">
        <f>TableDailySummary[[#This Row],[Inversión google ads]]+TableDailySummary[[#This Row],[Inversión meta ads]]</f>
        <v>0</v>
      </c>
      <c r="AC707" s="11">
        <f>TableDailySummary[[#This Row],[Ventas google ads]]+TableDailySummary[[#This Row],[Ventas meta ads]]</f>
        <v>0</v>
      </c>
      <c r="AD707" s="14">
        <f>IFERROR(TableDailySummary[[#This Row],[Ventas publicidad]]/TableDailySummary[[#This Row],[Inversión publicidad]],0)</f>
        <v>0</v>
      </c>
      <c r="AE707" s="14">
        <f>IFERROR(TableDailySummary[[#This Row],[Ventas primer cliente]]/TableDailySummary[[#This Row],[Inversión publicidad]],0)</f>
        <v>0</v>
      </c>
      <c r="AF707" s="14"/>
      <c r="AG707" s="11"/>
      <c r="AM707" s="11">
        <f>_xlfn.XLOOKUP(TableDailySummary[[#This Row],[Fecha]],SummaryDaily[day],SummaryDaily[net_sales_with_cost_recorded],0)</f>
        <v>0</v>
      </c>
      <c r="AN707" s="11">
        <f>_xlfn.XLOOKUP(TableDailySummary[[#This Row],[Fecha]],SummaryDaily[day],SummaryDaily[cost_of_goods_sold],0)</f>
        <v>0</v>
      </c>
      <c r="AO707" s="11">
        <f>_xlfn.XLOOKUP(TableDailySummary[[#This Row],[Fecha]],SummaryDaily[day],SummaryDaily[gross_profit],0)</f>
        <v>0</v>
      </c>
      <c r="AP707" s="18">
        <f>IFERROR(TableDailySummary[[#This Row],[Utilidad bruta]]/TableDailySummary[[#This Row],[Ventas netas con costo registrado]],0)</f>
        <v>0</v>
      </c>
    </row>
    <row r="708" spans="2:42" x14ac:dyDescent="0.2">
      <c r="B708" s="15" cm="1">
        <f t="array" ref="B708">ParamFechaInicioReporte + (ROW(TableDailySummary[#This Row]) - ROW(TableDailySummary[[#Headers],[Dia]]) - 1)</f>
        <v>45235</v>
      </c>
      <c r="C708" s="6">
        <f>TableDailySummary[[#This Row],[Dia]]</f>
        <v>45235</v>
      </c>
      <c r="D708" s="11">
        <f>_xlfn.XLOOKUP(TableDailySummary[[#This Row],[Fecha]],SummaryDaily[day],SummaryDaily[net_sales],0)</f>
        <v>0</v>
      </c>
      <c r="E708" s="11">
        <f>_xlfn.XLOOKUP(TableDailySummary[[#This Row],[Fecha]],SummaryDaily[day],SummaryDaily[orders],0)</f>
        <v>0</v>
      </c>
      <c r="F708" s="11">
        <f>_xlfn.XLOOKUP(TableDailySummary[[#This Row],[Fecha]],SummaryDaily[day],SummaryDaily[average_order_value],0)</f>
        <v>0</v>
      </c>
      <c r="G708" s="24" cm="1">
        <f t="array" ref="G708">_xlfn.XLOOKUP(TableDailySummary[[#This Row],[Fecha]]&amp;"Total site",ConversionRateByReferral[day]&amp;ConversionRateByReferral[referrer_source],ConversionRateByReferral[conversion_rate],0)</f>
        <v>0</v>
      </c>
      <c r="H708" s="11">
        <f>TableDailySummary[[#This Row],[Órden promedio totales]]*TableDailySummary[[#This Row],[CR totales]]</f>
        <v>0</v>
      </c>
      <c r="I708" s="11">
        <f>_xlfn.XLOOKUP(TableDailySummary[[#This Row],[Fecha]],SummaryDaily[day],SummaryDaily[new_net_sales],0)</f>
        <v>0</v>
      </c>
      <c r="J708" s="11">
        <f>_xlfn.XLOOKUP(TableDailySummary[[#This Row],[Fecha]],SummaryDaily[day],SummaryDaily[new_orders],0)</f>
        <v>0</v>
      </c>
      <c r="K708" s="11">
        <f>_xlfn.XLOOKUP(TableDailySummary[[#This Row],[Fecha]],SummaryDaily[day],SummaryDaily[new_average_order_value],0)</f>
        <v>0</v>
      </c>
      <c r="L708" s="11">
        <f>_xlfn.XLOOKUP(TableDailySummary[[#This Row],[Fecha]],SummaryDaily[day],SummaryDaily[Online Store_net_sales],0)</f>
        <v>0</v>
      </c>
      <c r="M708" s="11">
        <f>_xlfn.XLOOKUP(TableDailySummary[[#This Row],[Fecha]],SummaryDaily[day],SummaryDaily[Online Store_orders],0)</f>
        <v>0</v>
      </c>
      <c r="N708" s="11">
        <f>_xlfn.XLOOKUP(TableDailySummary[[#This Row],[Fecha]],SummaryDaily[day],SummaryDaily[Online Store_average_order_value],0)</f>
        <v>0</v>
      </c>
      <c r="O708" s="11">
        <f>_xlfn.XLOOKUP(TableDailySummary[[#This Row],[Fecha]],SummaryDaily[day],SummaryDaily[Tienda 81_net_sales],0)</f>
        <v>0</v>
      </c>
      <c r="P708" s="11">
        <f>_xlfn.XLOOKUP(TableDailySummary[[#This Row],[Fecha]],SummaryDaily[day],SummaryDaily[Tienda 81_orders],0)</f>
        <v>0</v>
      </c>
      <c r="Q708" s="11">
        <f>_xlfn.XLOOKUP(TableDailySummary[[#This Row],[Fecha]],SummaryDaily[day],SummaryDaily[Tienda 81_average_order_value],0)</f>
        <v>0</v>
      </c>
      <c r="R708" s="11">
        <f>_xlfn.XLOOKUP(TableDailySummary[[#This Row],[Fecha]],SummaryDaily[day],SummaryDaily[Rappi_net_sales],0)</f>
        <v>0</v>
      </c>
      <c r="S708" s="11">
        <f>_xlfn.XLOOKUP(TableDailySummary[[#This Row],[Fecha]],SummaryDaily[day],SummaryDaily[Rappi_orders],0)</f>
        <v>0</v>
      </c>
      <c r="T708" s="11">
        <f>_xlfn.XLOOKUP(TableDailySummary[[#This Row],[Fecha]],SummaryDaily[day],SummaryDaily[Rappi_average_order_value],0)</f>
        <v>0</v>
      </c>
      <c r="U708" s="11">
        <f>_xlfn.XLOOKUP(TableDailySummary[[#This Row],[Fecha]],SummaryDaily[day],SummaryDaily[Corporativo no tienda_net_sales],0)</f>
        <v>0</v>
      </c>
      <c r="V708" s="11">
        <f>_xlfn.XLOOKUP(TableDailySummary[[#This Row],[Fecha]],SummaryDaily[day],SummaryDaily[Corporativo no tienda_orders],0)</f>
        <v>0</v>
      </c>
      <c r="W708" s="11">
        <f>_xlfn.XLOOKUP(TableDailySummary[[#This Row],[Fecha]],SummaryDaily[day],SummaryDaily[Corporativo no tienda_average_order_value],0)</f>
        <v>0</v>
      </c>
      <c r="X708" s="11">
        <f>_xlfn.XLOOKUP(TableDailySummary[[#This Row],[Fecha]],SummaryDaily[day],SummaryDaily[GoogleAdsOperation.Cost],0)</f>
        <v>0</v>
      </c>
      <c r="Y708" s="11">
        <f>SUMIFS(SalesByUTMDaily[google],SalesByUTMDaily[day],TableDailySummary[[#This Row],[Fecha]])</f>
        <v>0</v>
      </c>
      <c r="Z708" s="11">
        <f>_xlfn.XLOOKUP(TableDailySummary[[#This Row],[Fecha]],SummaryDaily[day],SummaryDaily[MetaAdsOperation.spend],0)</f>
        <v>0</v>
      </c>
      <c r="AA708" s="11">
        <f>SUMIFS(SalesByUTMDaily[facebook],SalesByUTMDaily[day],TableDailySummary[[#This Row],[Fecha]])</f>
        <v>0</v>
      </c>
      <c r="AB708" s="11">
        <f>TableDailySummary[[#This Row],[Inversión google ads]]+TableDailySummary[[#This Row],[Inversión meta ads]]</f>
        <v>0</v>
      </c>
      <c r="AC708" s="11">
        <f>TableDailySummary[[#This Row],[Ventas google ads]]+TableDailySummary[[#This Row],[Ventas meta ads]]</f>
        <v>0</v>
      </c>
      <c r="AD708" s="14">
        <f>IFERROR(TableDailySummary[[#This Row],[Ventas publicidad]]/TableDailySummary[[#This Row],[Inversión publicidad]],0)</f>
        <v>0</v>
      </c>
      <c r="AE708" s="14">
        <f>IFERROR(TableDailySummary[[#This Row],[Ventas primer cliente]]/TableDailySummary[[#This Row],[Inversión publicidad]],0)</f>
        <v>0</v>
      </c>
      <c r="AF708" s="14"/>
      <c r="AG708" s="11"/>
      <c r="AM708" s="11">
        <f>_xlfn.XLOOKUP(TableDailySummary[[#This Row],[Fecha]],SummaryDaily[day],SummaryDaily[net_sales_with_cost_recorded],0)</f>
        <v>0</v>
      </c>
      <c r="AN708" s="11">
        <f>_xlfn.XLOOKUP(TableDailySummary[[#This Row],[Fecha]],SummaryDaily[day],SummaryDaily[cost_of_goods_sold],0)</f>
        <v>0</v>
      </c>
      <c r="AO708" s="11">
        <f>_xlfn.XLOOKUP(TableDailySummary[[#This Row],[Fecha]],SummaryDaily[day],SummaryDaily[gross_profit],0)</f>
        <v>0</v>
      </c>
      <c r="AP708" s="18">
        <f>IFERROR(TableDailySummary[[#This Row],[Utilidad bruta]]/TableDailySummary[[#This Row],[Ventas netas con costo registrado]],0)</f>
        <v>0</v>
      </c>
    </row>
    <row r="709" spans="2:42" x14ac:dyDescent="0.2">
      <c r="B709" s="15" cm="1">
        <f t="array" ref="B709">ParamFechaInicioReporte + (ROW(TableDailySummary[#This Row]) - ROW(TableDailySummary[[#Headers],[Dia]]) - 1)</f>
        <v>45236</v>
      </c>
      <c r="C709" s="6">
        <f>TableDailySummary[[#This Row],[Dia]]</f>
        <v>45236</v>
      </c>
      <c r="D709" s="11">
        <f>_xlfn.XLOOKUP(TableDailySummary[[#This Row],[Fecha]],SummaryDaily[day],SummaryDaily[net_sales],0)</f>
        <v>0</v>
      </c>
      <c r="E709" s="11">
        <f>_xlfn.XLOOKUP(TableDailySummary[[#This Row],[Fecha]],SummaryDaily[day],SummaryDaily[orders],0)</f>
        <v>0</v>
      </c>
      <c r="F709" s="11">
        <f>_xlfn.XLOOKUP(TableDailySummary[[#This Row],[Fecha]],SummaryDaily[day],SummaryDaily[average_order_value],0)</f>
        <v>0</v>
      </c>
      <c r="G709" s="24" cm="1">
        <f t="array" ref="G709">_xlfn.XLOOKUP(TableDailySummary[[#This Row],[Fecha]]&amp;"Total site",ConversionRateByReferral[day]&amp;ConversionRateByReferral[referrer_source],ConversionRateByReferral[conversion_rate],0)</f>
        <v>0</v>
      </c>
      <c r="H709" s="11">
        <f>TableDailySummary[[#This Row],[Órden promedio totales]]*TableDailySummary[[#This Row],[CR totales]]</f>
        <v>0</v>
      </c>
      <c r="I709" s="11">
        <f>_xlfn.XLOOKUP(TableDailySummary[[#This Row],[Fecha]],SummaryDaily[day],SummaryDaily[new_net_sales],0)</f>
        <v>0</v>
      </c>
      <c r="J709" s="11">
        <f>_xlfn.XLOOKUP(TableDailySummary[[#This Row],[Fecha]],SummaryDaily[day],SummaryDaily[new_orders],0)</f>
        <v>0</v>
      </c>
      <c r="K709" s="11">
        <f>_xlfn.XLOOKUP(TableDailySummary[[#This Row],[Fecha]],SummaryDaily[day],SummaryDaily[new_average_order_value],0)</f>
        <v>0</v>
      </c>
      <c r="L709" s="11">
        <f>_xlfn.XLOOKUP(TableDailySummary[[#This Row],[Fecha]],SummaryDaily[day],SummaryDaily[Online Store_net_sales],0)</f>
        <v>0</v>
      </c>
      <c r="M709" s="11">
        <f>_xlfn.XLOOKUP(TableDailySummary[[#This Row],[Fecha]],SummaryDaily[day],SummaryDaily[Online Store_orders],0)</f>
        <v>0</v>
      </c>
      <c r="N709" s="11">
        <f>_xlfn.XLOOKUP(TableDailySummary[[#This Row],[Fecha]],SummaryDaily[day],SummaryDaily[Online Store_average_order_value],0)</f>
        <v>0</v>
      </c>
      <c r="O709" s="11">
        <f>_xlfn.XLOOKUP(TableDailySummary[[#This Row],[Fecha]],SummaryDaily[day],SummaryDaily[Tienda 81_net_sales],0)</f>
        <v>0</v>
      </c>
      <c r="P709" s="11">
        <f>_xlfn.XLOOKUP(TableDailySummary[[#This Row],[Fecha]],SummaryDaily[day],SummaryDaily[Tienda 81_orders],0)</f>
        <v>0</v>
      </c>
      <c r="Q709" s="11">
        <f>_xlfn.XLOOKUP(TableDailySummary[[#This Row],[Fecha]],SummaryDaily[day],SummaryDaily[Tienda 81_average_order_value],0)</f>
        <v>0</v>
      </c>
      <c r="R709" s="11">
        <f>_xlfn.XLOOKUP(TableDailySummary[[#This Row],[Fecha]],SummaryDaily[day],SummaryDaily[Rappi_net_sales],0)</f>
        <v>0</v>
      </c>
      <c r="S709" s="11">
        <f>_xlfn.XLOOKUP(TableDailySummary[[#This Row],[Fecha]],SummaryDaily[day],SummaryDaily[Rappi_orders],0)</f>
        <v>0</v>
      </c>
      <c r="T709" s="11">
        <f>_xlfn.XLOOKUP(TableDailySummary[[#This Row],[Fecha]],SummaryDaily[day],SummaryDaily[Rappi_average_order_value],0)</f>
        <v>0</v>
      </c>
      <c r="U709" s="11">
        <f>_xlfn.XLOOKUP(TableDailySummary[[#This Row],[Fecha]],SummaryDaily[day],SummaryDaily[Corporativo no tienda_net_sales],0)</f>
        <v>0</v>
      </c>
      <c r="V709" s="11">
        <f>_xlfn.XLOOKUP(TableDailySummary[[#This Row],[Fecha]],SummaryDaily[day],SummaryDaily[Corporativo no tienda_orders],0)</f>
        <v>0</v>
      </c>
      <c r="W709" s="11">
        <f>_xlfn.XLOOKUP(TableDailySummary[[#This Row],[Fecha]],SummaryDaily[day],SummaryDaily[Corporativo no tienda_average_order_value],0)</f>
        <v>0</v>
      </c>
      <c r="X709" s="11">
        <f>_xlfn.XLOOKUP(TableDailySummary[[#This Row],[Fecha]],SummaryDaily[day],SummaryDaily[GoogleAdsOperation.Cost],0)</f>
        <v>0</v>
      </c>
      <c r="Y709" s="11">
        <f>SUMIFS(SalesByUTMDaily[google],SalesByUTMDaily[day],TableDailySummary[[#This Row],[Fecha]])</f>
        <v>0</v>
      </c>
      <c r="Z709" s="11">
        <f>_xlfn.XLOOKUP(TableDailySummary[[#This Row],[Fecha]],SummaryDaily[day],SummaryDaily[MetaAdsOperation.spend],0)</f>
        <v>0</v>
      </c>
      <c r="AA709" s="11">
        <f>SUMIFS(SalesByUTMDaily[facebook],SalesByUTMDaily[day],TableDailySummary[[#This Row],[Fecha]])</f>
        <v>0</v>
      </c>
      <c r="AB709" s="11">
        <f>TableDailySummary[[#This Row],[Inversión google ads]]+TableDailySummary[[#This Row],[Inversión meta ads]]</f>
        <v>0</v>
      </c>
      <c r="AC709" s="11">
        <f>TableDailySummary[[#This Row],[Ventas google ads]]+TableDailySummary[[#This Row],[Ventas meta ads]]</f>
        <v>0</v>
      </c>
      <c r="AD709" s="14">
        <f>IFERROR(TableDailySummary[[#This Row],[Ventas publicidad]]/TableDailySummary[[#This Row],[Inversión publicidad]],0)</f>
        <v>0</v>
      </c>
      <c r="AE709" s="14">
        <f>IFERROR(TableDailySummary[[#This Row],[Ventas primer cliente]]/TableDailySummary[[#This Row],[Inversión publicidad]],0)</f>
        <v>0</v>
      </c>
      <c r="AF709" s="14"/>
      <c r="AG709" s="11"/>
      <c r="AM709" s="11">
        <f>_xlfn.XLOOKUP(TableDailySummary[[#This Row],[Fecha]],SummaryDaily[day],SummaryDaily[net_sales_with_cost_recorded],0)</f>
        <v>0</v>
      </c>
      <c r="AN709" s="11">
        <f>_xlfn.XLOOKUP(TableDailySummary[[#This Row],[Fecha]],SummaryDaily[day],SummaryDaily[cost_of_goods_sold],0)</f>
        <v>0</v>
      </c>
      <c r="AO709" s="11">
        <f>_xlfn.XLOOKUP(TableDailySummary[[#This Row],[Fecha]],SummaryDaily[day],SummaryDaily[gross_profit],0)</f>
        <v>0</v>
      </c>
      <c r="AP709" s="18">
        <f>IFERROR(TableDailySummary[[#This Row],[Utilidad bruta]]/TableDailySummary[[#This Row],[Ventas netas con costo registrado]],0)</f>
        <v>0</v>
      </c>
    </row>
    <row r="710" spans="2:42" x14ac:dyDescent="0.2">
      <c r="B710" s="15" cm="1">
        <f t="array" ref="B710">ParamFechaInicioReporte + (ROW(TableDailySummary[#This Row]) - ROW(TableDailySummary[[#Headers],[Dia]]) - 1)</f>
        <v>45237</v>
      </c>
      <c r="C710" s="6">
        <f>TableDailySummary[[#This Row],[Dia]]</f>
        <v>45237</v>
      </c>
      <c r="D710" s="11">
        <f>_xlfn.XLOOKUP(TableDailySummary[[#This Row],[Fecha]],SummaryDaily[day],SummaryDaily[net_sales],0)</f>
        <v>0</v>
      </c>
      <c r="E710" s="11">
        <f>_xlfn.XLOOKUP(TableDailySummary[[#This Row],[Fecha]],SummaryDaily[day],SummaryDaily[orders],0)</f>
        <v>0</v>
      </c>
      <c r="F710" s="11">
        <f>_xlfn.XLOOKUP(TableDailySummary[[#This Row],[Fecha]],SummaryDaily[day],SummaryDaily[average_order_value],0)</f>
        <v>0</v>
      </c>
      <c r="G710" s="24" cm="1">
        <f t="array" ref="G710">_xlfn.XLOOKUP(TableDailySummary[[#This Row],[Fecha]]&amp;"Total site",ConversionRateByReferral[day]&amp;ConversionRateByReferral[referrer_source],ConversionRateByReferral[conversion_rate],0)</f>
        <v>0</v>
      </c>
      <c r="H710" s="11">
        <f>TableDailySummary[[#This Row],[Órden promedio totales]]*TableDailySummary[[#This Row],[CR totales]]</f>
        <v>0</v>
      </c>
      <c r="I710" s="11">
        <f>_xlfn.XLOOKUP(TableDailySummary[[#This Row],[Fecha]],SummaryDaily[day],SummaryDaily[new_net_sales],0)</f>
        <v>0</v>
      </c>
      <c r="J710" s="11">
        <f>_xlfn.XLOOKUP(TableDailySummary[[#This Row],[Fecha]],SummaryDaily[day],SummaryDaily[new_orders],0)</f>
        <v>0</v>
      </c>
      <c r="K710" s="11">
        <f>_xlfn.XLOOKUP(TableDailySummary[[#This Row],[Fecha]],SummaryDaily[day],SummaryDaily[new_average_order_value],0)</f>
        <v>0</v>
      </c>
      <c r="L710" s="11">
        <f>_xlfn.XLOOKUP(TableDailySummary[[#This Row],[Fecha]],SummaryDaily[day],SummaryDaily[Online Store_net_sales],0)</f>
        <v>0</v>
      </c>
      <c r="M710" s="11">
        <f>_xlfn.XLOOKUP(TableDailySummary[[#This Row],[Fecha]],SummaryDaily[day],SummaryDaily[Online Store_orders],0)</f>
        <v>0</v>
      </c>
      <c r="N710" s="11">
        <f>_xlfn.XLOOKUP(TableDailySummary[[#This Row],[Fecha]],SummaryDaily[day],SummaryDaily[Online Store_average_order_value],0)</f>
        <v>0</v>
      </c>
      <c r="O710" s="11">
        <f>_xlfn.XLOOKUP(TableDailySummary[[#This Row],[Fecha]],SummaryDaily[day],SummaryDaily[Tienda 81_net_sales],0)</f>
        <v>0</v>
      </c>
      <c r="P710" s="11">
        <f>_xlfn.XLOOKUP(TableDailySummary[[#This Row],[Fecha]],SummaryDaily[day],SummaryDaily[Tienda 81_orders],0)</f>
        <v>0</v>
      </c>
      <c r="Q710" s="11">
        <f>_xlfn.XLOOKUP(TableDailySummary[[#This Row],[Fecha]],SummaryDaily[day],SummaryDaily[Tienda 81_average_order_value],0)</f>
        <v>0</v>
      </c>
      <c r="R710" s="11">
        <f>_xlfn.XLOOKUP(TableDailySummary[[#This Row],[Fecha]],SummaryDaily[day],SummaryDaily[Rappi_net_sales],0)</f>
        <v>0</v>
      </c>
      <c r="S710" s="11">
        <f>_xlfn.XLOOKUP(TableDailySummary[[#This Row],[Fecha]],SummaryDaily[day],SummaryDaily[Rappi_orders],0)</f>
        <v>0</v>
      </c>
      <c r="T710" s="11">
        <f>_xlfn.XLOOKUP(TableDailySummary[[#This Row],[Fecha]],SummaryDaily[day],SummaryDaily[Rappi_average_order_value],0)</f>
        <v>0</v>
      </c>
      <c r="U710" s="11">
        <f>_xlfn.XLOOKUP(TableDailySummary[[#This Row],[Fecha]],SummaryDaily[day],SummaryDaily[Corporativo no tienda_net_sales],0)</f>
        <v>0</v>
      </c>
      <c r="V710" s="11">
        <f>_xlfn.XLOOKUP(TableDailySummary[[#This Row],[Fecha]],SummaryDaily[day],SummaryDaily[Corporativo no tienda_orders],0)</f>
        <v>0</v>
      </c>
      <c r="W710" s="11">
        <f>_xlfn.XLOOKUP(TableDailySummary[[#This Row],[Fecha]],SummaryDaily[day],SummaryDaily[Corporativo no tienda_average_order_value],0)</f>
        <v>0</v>
      </c>
      <c r="X710" s="11">
        <f>_xlfn.XLOOKUP(TableDailySummary[[#This Row],[Fecha]],SummaryDaily[day],SummaryDaily[GoogleAdsOperation.Cost],0)</f>
        <v>0</v>
      </c>
      <c r="Y710" s="11">
        <f>SUMIFS(SalesByUTMDaily[google],SalesByUTMDaily[day],TableDailySummary[[#This Row],[Fecha]])</f>
        <v>0</v>
      </c>
      <c r="Z710" s="11">
        <f>_xlfn.XLOOKUP(TableDailySummary[[#This Row],[Fecha]],SummaryDaily[day],SummaryDaily[MetaAdsOperation.spend],0)</f>
        <v>0</v>
      </c>
      <c r="AA710" s="11">
        <f>SUMIFS(SalesByUTMDaily[facebook],SalesByUTMDaily[day],TableDailySummary[[#This Row],[Fecha]])</f>
        <v>0</v>
      </c>
      <c r="AB710" s="11">
        <f>TableDailySummary[[#This Row],[Inversión google ads]]+TableDailySummary[[#This Row],[Inversión meta ads]]</f>
        <v>0</v>
      </c>
      <c r="AC710" s="11">
        <f>TableDailySummary[[#This Row],[Ventas google ads]]+TableDailySummary[[#This Row],[Ventas meta ads]]</f>
        <v>0</v>
      </c>
      <c r="AD710" s="14">
        <f>IFERROR(TableDailySummary[[#This Row],[Ventas publicidad]]/TableDailySummary[[#This Row],[Inversión publicidad]],0)</f>
        <v>0</v>
      </c>
      <c r="AE710" s="14">
        <f>IFERROR(TableDailySummary[[#This Row],[Ventas primer cliente]]/TableDailySummary[[#This Row],[Inversión publicidad]],0)</f>
        <v>0</v>
      </c>
      <c r="AF710" s="14"/>
      <c r="AG710" s="11"/>
      <c r="AM710" s="11">
        <f>_xlfn.XLOOKUP(TableDailySummary[[#This Row],[Fecha]],SummaryDaily[day],SummaryDaily[net_sales_with_cost_recorded],0)</f>
        <v>0</v>
      </c>
      <c r="AN710" s="11">
        <f>_xlfn.XLOOKUP(TableDailySummary[[#This Row],[Fecha]],SummaryDaily[day],SummaryDaily[cost_of_goods_sold],0)</f>
        <v>0</v>
      </c>
      <c r="AO710" s="11">
        <f>_xlfn.XLOOKUP(TableDailySummary[[#This Row],[Fecha]],SummaryDaily[day],SummaryDaily[gross_profit],0)</f>
        <v>0</v>
      </c>
      <c r="AP710" s="18">
        <f>IFERROR(TableDailySummary[[#This Row],[Utilidad bruta]]/TableDailySummary[[#This Row],[Ventas netas con costo registrado]],0)</f>
        <v>0</v>
      </c>
    </row>
    <row r="711" spans="2:42" x14ac:dyDescent="0.2">
      <c r="B711" s="15" cm="1">
        <f t="array" ref="B711">ParamFechaInicioReporte + (ROW(TableDailySummary[#This Row]) - ROW(TableDailySummary[[#Headers],[Dia]]) - 1)</f>
        <v>45238</v>
      </c>
      <c r="C711" s="6">
        <f>TableDailySummary[[#This Row],[Dia]]</f>
        <v>45238</v>
      </c>
      <c r="D711" s="11">
        <f>_xlfn.XLOOKUP(TableDailySummary[[#This Row],[Fecha]],SummaryDaily[day],SummaryDaily[net_sales],0)</f>
        <v>0</v>
      </c>
      <c r="E711" s="11">
        <f>_xlfn.XLOOKUP(TableDailySummary[[#This Row],[Fecha]],SummaryDaily[day],SummaryDaily[orders],0)</f>
        <v>0</v>
      </c>
      <c r="F711" s="11">
        <f>_xlfn.XLOOKUP(TableDailySummary[[#This Row],[Fecha]],SummaryDaily[day],SummaryDaily[average_order_value],0)</f>
        <v>0</v>
      </c>
      <c r="G711" s="24" cm="1">
        <f t="array" ref="G711">_xlfn.XLOOKUP(TableDailySummary[[#This Row],[Fecha]]&amp;"Total site",ConversionRateByReferral[day]&amp;ConversionRateByReferral[referrer_source],ConversionRateByReferral[conversion_rate],0)</f>
        <v>0</v>
      </c>
      <c r="H711" s="11">
        <f>TableDailySummary[[#This Row],[Órden promedio totales]]*TableDailySummary[[#This Row],[CR totales]]</f>
        <v>0</v>
      </c>
      <c r="I711" s="11">
        <f>_xlfn.XLOOKUP(TableDailySummary[[#This Row],[Fecha]],SummaryDaily[day],SummaryDaily[new_net_sales],0)</f>
        <v>0</v>
      </c>
      <c r="J711" s="11">
        <f>_xlfn.XLOOKUP(TableDailySummary[[#This Row],[Fecha]],SummaryDaily[day],SummaryDaily[new_orders],0)</f>
        <v>0</v>
      </c>
      <c r="K711" s="11">
        <f>_xlfn.XLOOKUP(TableDailySummary[[#This Row],[Fecha]],SummaryDaily[day],SummaryDaily[new_average_order_value],0)</f>
        <v>0</v>
      </c>
      <c r="L711" s="11">
        <f>_xlfn.XLOOKUP(TableDailySummary[[#This Row],[Fecha]],SummaryDaily[day],SummaryDaily[Online Store_net_sales],0)</f>
        <v>0</v>
      </c>
      <c r="M711" s="11">
        <f>_xlfn.XLOOKUP(TableDailySummary[[#This Row],[Fecha]],SummaryDaily[day],SummaryDaily[Online Store_orders],0)</f>
        <v>0</v>
      </c>
      <c r="N711" s="11">
        <f>_xlfn.XLOOKUP(TableDailySummary[[#This Row],[Fecha]],SummaryDaily[day],SummaryDaily[Online Store_average_order_value],0)</f>
        <v>0</v>
      </c>
      <c r="O711" s="11">
        <f>_xlfn.XLOOKUP(TableDailySummary[[#This Row],[Fecha]],SummaryDaily[day],SummaryDaily[Tienda 81_net_sales],0)</f>
        <v>0</v>
      </c>
      <c r="P711" s="11">
        <f>_xlfn.XLOOKUP(TableDailySummary[[#This Row],[Fecha]],SummaryDaily[day],SummaryDaily[Tienda 81_orders],0)</f>
        <v>0</v>
      </c>
      <c r="Q711" s="11">
        <f>_xlfn.XLOOKUP(TableDailySummary[[#This Row],[Fecha]],SummaryDaily[day],SummaryDaily[Tienda 81_average_order_value],0)</f>
        <v>0</v>
      </c>
      <c r="R711" s="11">
        <f>_xlfn.XLOOKUP(TableDailySummary[[#This Row],[Fecha]],SummaryDaily[day],SummaryDaily[Rappi_net_sales],0)</f>
        <v>0</v>
      </c>
      <c r="S711" s="11">
        <f>_xlfn.XLOOKUP(TableDailySummary[[#This Row],[Fecha]],SummaryDaily[day],SummaryDaily[Rappi_orders],0)</f>
        <v>0</v>
      </c>
      <c r="T711" s="11">
        <f>_xlfn.XLOOKUP(TableDailySummary[[#This Row],[Fecha]],SummaryDaily[day],SummaryDaily[Rappi_average_order_value],0)</f>
        <v>0</v>
      </c>
      <c r="U711" s="11">
        <f>_xlfn.XLOOKUP(TableDailySummary[[#This Row],[Fecha]],SummaryDaily[day],SummaryDaily[Corporativo no tienda_net_sales],0)</f>
        <v>0</v>
      </c>
      <c r="V711" s="11">
        <f>_xlfn.XLOOKUP(TableDailySummary[[#This Row],[Fecha]],SummaryDaily[day],SummaryDaily[Corporativo no tienda_orders],0)</f>
        <v>0</v>
      </c>
      <c r="W711" s="11">
        <f>_xlfn.XLOOKUP(TableDailySummary[[#This Row],[Fecha]],SummaryDaily[day],SummaryDaily[Corporativo no tienda_average_order_value],0)</f>
        <v>0</v>
      </c>
      <c r="X711" s="11">
        <f>_xlfn.XLOOKUP(TableDailySummary[[#This Row],[Fecha]],SummaryDaily[day],SummaryDaily[GoogleAdsOperation.Cost],0)</f>
        <v>0</v>
      </c>
      <c r="Y711" s="11">
        <f>SUMIFS(SalesByUTMDaily[google],SalesByUTMDaily[day],TableDailySummary[[#This Row],[Fecha]])</f>
        <v>0</v>
      </c>
      <c r="Z711" s="11">
        <f>_xlfn.XLOOKUP(TableDailySummary[[#This Row],[Fecha]],SummaryDaily[day],SummaryDaily[MetaAdsOperation.spend],0)</f>
        <v>0</v>
      </c>
      <c r="AA711" s="11">
        <f>SUMIFS(SalesByUTMDaily[facebook],SalesByUTMDaily[day],TableDailySummary[[#This Row],[Fecha]])</f>
        <v>0</v>
      </c>
      <c r="AB711" s="11">
        <f>TableDailySummary[[#This Row],[Inversión google ads]]+TableDailySummary[[#This Row],[Inversión meta ads]]</f>
        <v>0</v>
      </c>
      <c r="AC711" s="11">
        <f>TableDailySummary[[#This Row],[Ventas google ads]]+TableDailySummary[[#This Row],[Ventas meta ads]]</f>
        <v>0</v>
      </c>
      <c r="AD711" s="14">
        <f>IFERROR(TableDailySummary[[#This Row],[Ventas publicidad]]/TableDailySummary[[#This Row],[Inversión publicidad]],0)</f>
        <v>0</v>
      </c>
      <c r="AE711" s="14">
        <f>IFERROR(TableDailySummary[[#This Row],[Ventas primer cliente]]/TableDailySummary[[#This Row],[Inversión publicidad]],0)</f>
        <v>0</v>
      </c>
      <c r="AF711" s="14"/>
      <c r="AG711" s="11"/>
      <c r="AM711" s="11">
        <f>_xlfn.XLOOKUP(TableDailySummary[[#This Row],[Fecha]],SummaryDaily[day],SummaryDaily[net_sales_with_cost_recorded],0)</f>
        <v>0</v>
      </c>
      <c r="AN711" s="11">
        <f>_xlfn.XLOOKUP(TableDailySummary[[#This Row],[Fecha]],SummaryDaily[day],SummaryDaily[cost_of_goods_sold],0)</f>
        <v>0</v>
      </c>
      <c r="AO711" s="11">
        <f>_xlfn.XLOOKUP(TableDailySummary[[#This Row],[Fecha]],SummaryDaily[day],SummaryDaily[gross_profit],0)</f>
        <v>0</v>
      </c>
      <c r="AP711" s="18">
        <f>IFERROR(TableDailySummary[[#This Row],[Utilidad bruta]]/TableDailySummary[[#This Row],[Ventas netas con costo registrado]],0)</f>
        <v>0</v>
      </c>
    </row>
    <row r="712" spans="2:42" x14ac:dyDescent="0.2">
      <c r="B712" s="15" cm="1">
        <f t="array" ref="B712">ParamFechaInicioReporte + (ROW(TableDailySummary[#This Row]) - ROW(TableDailySummary[[#Headers],[Dia]]) - 1)</f>
        <v>45239</v>
      </c>
      <c r="C712" s="6">
        <f>TableDailySummary[[#This Row],[Dia]]</f>
        <v>45239</v>
      </c>
      <c r="D712" s="11">
        <f>_xlfn.XLOOKUP(TableDailySummary[[#This Row],[Fecha]],SummaryDaily[day],SummaryDaily[net_sales],0)</f>
        <v>0</v>
      </c>
      <c r="E712" s="11">
        <f>_xlfn.XLOOKUP(TableDailySummary[[#This Row],[Fecha]],SummaryDaily[day],SummaryDaily[orders],0)</f>
        <v>0</v>
      </c>
      <c r="F712" s="11">
        <f>_xlfn.XLOOKUP(TableDailySummary[[#This Row],[Fecha]],SummaryDaily[day],SummaryDaily[average_order_value],0)</f>
        <v>0</v>
      </c>
      <c r="G712" s="24" cm="1">
        <f t="array" ref="G712">_xlfn.XLOOKUP(TableDailySummary[[#This Row],[Fecha]]&amp;"Total site",ConversionRateByReferral[day]&amp;ConversionRateByReferral[referrer_source],ConversionRateByReferral[conversion_rate],0)</f>
        <v>0</v>
      </c>
      <c r="H712" s="11">
        <f>TableDailySummary[[#This Row],[Órden promedio totales]]*TableDailySummary[[#This Row],[CR totales]]</f>
        <v>0</v>
      </c>
      <c r="I712" s="11">
        <f>_xlfn.XLOOKUP(TableDailySummary[[#This Row],[Fecha]],SummaryDaily[day],SummaryDaily[new_net_sales],0)</f>
        <v>0</v>
      </c>
      <c r="J712" s="11">
        <f>_xlfn.XLOOKUP(TableDailySummary[[#This Row],[Fecha]],SummaryDaily[day],SummaryDaily[new_orders],0)</f>
        <v>0</v>
      </c>
      <c r="K712" s="11">
        <f>_xlfn.XLOOKUP(TableDailySummary[[#This Row],[Fecha]],SummaryDaily[day],SummaryDaily[new_average_order_value],0)</f>
        <v>0</v>
      </c>
      <c r="L712" s="11">
        <f>_xlfn.XLOOKUP(TableDailySummary[[#This Row],[Fecha]],SummaryDaily[day],SummaryDaily[Online Store_net_sales],0)</f>
        <v>0</v>
      </c>
      <c r="M712" s="11">
        <f>_xlfn.XLOOKUP(TableDailySummary[[#This Row],[Fecha]],SummaryDaily[day],SummaryDaily[Online Store_orders],0)</f>
        <v>0</v>
      </c>
      <c r="N712" s="11">
        <f>_xlfn.XLOOKUP(TableDailySummary[[#This Row],[Fecha]],SummaryDaily[day],SummaryDaily[Online Store_average_order_value],0)</f>
        <v>0</v>
      </c>
      <c r="O712" s="11">
        <f>_xlfn.XLOOKUP(TableDailySummary[[#This Row],[Fecha]],SummaryDaily[day],SummaryDaily[Tienda 81_net_sales],0)</f>
        <v>0</v>
      </c>
      <c r="P712" s="11">
        <f>_xlfn.XLOOKUP(TableDailySummary[[#This Row],[Fecha]],SummaryDaily[day],SummaryDaily[Tienda 81_orders],0)</f>
        <v>0</v>
      </c>
      <c r="Q712" s="11">
        <f>_xlfn.XLOOKUP(TableDailySummary[[#This Row],[Fecha]],SummaryDaily[day],SummaryDaily[Tienda 81_average_order_value],0)</f>
        <v>0</v>
      </c>
      <c r="R712" s="11">
        <f>_xlfn.XLOOKUP(TableDailySummary[[#This Row],[Fecha]],SummaryDaily[day],SummaryDaily[Rappi_net_sales],0)</f>
        <v>0</v>
      </c>
      <c r="S712" s="11">
        <f>_xlfn.XLOOKUP(TableDailySummary[[#This Row],[Fecha]],SummaryDaily[day],SummaryDaily[Rappi_orders],0)</f>
        <v>0</v>
      </c>
      <c r="T712" s="11">
        <f>_xlfn.XLOOKUP(TableDailySummary[[#This Row],[Fecha]],SummaryDaily[day],SummaryDaily[Rappi_average_order_value],0)</f>
        <v>0</v>
      </c>
      <c r="U712" s="11">
        <f>_xlfn.XLOOKUP(TableDailySummary[[#This Row],[Fecha]],SummaryDaily[day],SummaryDaily[Corporativo no tienda_net_sales],0)</f>
        <v>0</v>
      </c>
      <c r="V712" s="11">
        <f>_xlfn.XLOOKUP(TableDailySummary[[#This Row],[Fecha]],SummaryDaily[day],SummaryDaily[Corporativo no tienda_orders],0)</f>
        <v>0</v>
      </c>
      <c r="W712" s="11">
        <f>_xlfn.XLOOKUP(TableDailySummary[[#This Row],[Fecha]],SummaryDaily[day],SummaryDaily[Corporativo no tienda_average_order_value],0)</f>
        <v>0</v>
      </c>
      <c r="X712" s="11">
        <f>_xlfn.XLOOKUP(TableDailySummary[[#This Row],[Fecha]],SummaryDaily[day],SummaryDaily[GoogleAdsOperation.Cost],0)</f>
        <v>0</v>
      </c>
      <c r="Y712" s="11">
        <f>SUMIFS(SalesByUTMDaily[google],SalesByUTMDaily[day],TableDailySummary[[#This Row],[Fecha]])</f>
        <v>0</v>
      </c>
      <c r="Z712" s="11">
        <f>_xlfn.XLOOKUP(TableDailySummary[[#This Row],[Fecha]],SummaryDaily[day],SummaryDaily[MetaAdsOperation.spend],0)</f>
        <v>0</v>
      </c>
      <c r="AA712" s="11">
        <f>SUMIFS(SalesByUTMDaily[facebook],SalesByUTMDaily[day],TableDailySummary[[#This Row],[Fecha]])</f>
        <v>0</v>
      </c>
      <c r="AB712" s="11">
        <f>TableDailySummary[[#This Row],[Inversión google ads]]+TableDailySummary[[#This Row],[Inversión meta ads]]</f>
        <v>0</v>
      </c>
      <c r="AC712" s="11">
        <f>TableDailySummary[[#This Row],[Ventas google ads]]+TableDailySummary[[#This Row],[Ventas meta ads]]</f>
        <v>0</v>
      </c>
      <c r="AD712" s="14">
        <f>IFERROR(TableDailySummary[[#This Row],[Ventas publicidad]]/TableDailySummary[[#This Row],[Inversión publicidad]],0)</f>
        <v>0</v>
      </c>
      <c r="AE712" s="14">
        <f>IFERROR(TableDailySummary[[#This Row],[Ventas primer cliente]]/TableDailySummary[[#This Row],[Inversión publicidad]],0)</f>
        <v>0</v>
      </c>
      <c r="AF712" s="14"/>
      <c r="AG712" s="11"/>
      <c r="AM712" s="11">
        <f>_xlfn.XLOOKUP(TableDailySummary[[#This Row],[Fecha]],SummaryDaily[day],SummaryDaily[net_sales_with_cost_recorded],0)</f>
        <v>0</v>
      </c>
      <c r="AN712" s="11">
        <f>_xlfn.XLOOKUP(TableDailySummary[[#This Row],[Fecha]],SummaryDaily[day],SummaryDaily[cost_of_goods_sold],0)</f>
        <v>0</v>
      </c>
      <c r="AO712" s="11">
        <f>_xlfn.XLOOKUP(TableDailySummary[[#This Row],[Fecha]],SummaryDaily[day],SummaryDaily[gross_profit],0)</f>
        <v>0</v>
      </c>
      <c r="AP712" s="18">
        <f>IFERROR(TableDailySummary[[#This Row],[Utilidad bruta]]/TableDailySummary[[#This Row],[Ventas netas con costo registrado]],0)</f>
        <v>0</v>
      </c>
    </row>
    <row r="713" spans="2:42" x14ac:dyDescent="0.2">
      <c r="B713" s="15" cm="1">
        <f t="array" ref="B713">ParamFechaInicioReporte + (ROW(TableDailySummary[#This Row]) - ROW(TableDailySummary[[#Headers],[Dia]]) - 1)</f>
        <v>45240</v>
      </c>
      <c r="C713" s="6">
        <f>TableDailySummary[[#This Row],[Dia]]</f>
        <v>45240</v>
      </c>
      <c r="D713" s="11">
        <f>_xlfn.XLOOKUP(TableDailySummary[[#This Row],[Fecha]],SummaryDaily[day],SummaryDaily[net_sales],0)</f>
        <v>0</v>
      </c>
      <c r="E713" s="11">
        <f>_xlfn.XLOOKUP(TableDailySummary[[#This Row],[Fecha]],SummaryDaily[day],SummaryDaily[orders],0)</f>
        <v>0</v>
      </c>
      <c r="F713" s="11">
        <f>_xlfn.XLOOKUP(TableDailySummary[[#This Row],[Fecha]],SummaryDaily[day],SummaryDaily[average_order_value],0)</f>
        <v>0</v>
      </c>
      <c r="G713" s="24" cm="1">
        <f t="array" ref="G713">_xlfn.XLOOKUP(TableDailySummary[[#This Row],[Fecha]]&amp;"Total site",ConversionRateByReferral[day]&amp;ConversionRateByReferral[referrer_source],ConversionRateByReferral[conversion_rate],0)</f>
        <v>0</v>
      </c>
      <c r="H713" s="11">
        <f>TableDailySummary[[#This Row],[Órden promedio totales]]*TableDailySummary[[#This Row],[CR totales]]</f>
        <v>0</v>
      </c>
      <c r="I713" s="11">
        <f>_xlfn.XLOOKUP(TableDailySummary[[#This Row],[Fecha]],SummaryDaily[day],SummaryDaily[new_net_sales],0)</f>
        <v>0</v>
      </c>
      <c r="J713" s="11">
        <f>_xlfn.XLOOKUP(TableDailySummary[[#This Row],[Fecha]],SummaryDaily[day],SummaryDaily[new_orders],0)</f>
        <v>0</v>
      </c>
      <c r="K713" s="11">
        <f>_xlfn.XLOOKUP(TableDailySummary[[#This Row],[Fecha]],SummaryDaily[day],SummaryDaily[new_average_order_value],0)</f>
        <v>0</v>
      </c>
      <c r="L713" s="11">
        <f>_xlfn.XLOOKUP(TableDailySummary[[#This Row],[Fecha]],SummaryDaily[day],SummaryDaily[Online Store_net_sales],0)</f>
        <v>0</v>
      </c>
      <c r="M713" s="11">
        <f>_xlfn.XLOOKUP(TableDailySummary[[#This Row],[Fecha]],SummaryDaily[day],SummaryDaily[Online Store_orders],0)</f>
        <v>0</v>
      </c>
      <c r="N713" s="11">
        <f>_xlfn.XLOOKUP(TableDailySummary[[#This Row],[Fecha]],SummaryDaily[day],SummaryDaily[Online Store_average_order_value],0)</f>
        <v>0</v>
      </c>
      <c r="O713" s="11">
        <f>_xlfn.XLOOKUP(TableDailySummary[[#This Row],[Fecha]],SummaryDaily[day],SummaryDaily[Tienda 81_net_sales],0)</f>
        <v>0</v>
      </c>
      <c r="P713" s="11">
        <f>_xlfn.XLOOKUP(TableDailySummary[[#This Row],[Fecha]],SummaryDaily[day],SummaryDaily[Tienda 81_orders],0)</f>
        <v>0</v>
      </c>
      <c r="Q713" s="11">
        <f>_xlfn.XLOOKUP(TableDailySummary[[#This Row],[Fecha]],SummaryDaily[day],SummaryDaily[Tienda 81_average_order_value],0)</f>
        <v>0</v>
      </c>
      <c r="R713" s="11">
        <f>_xlfn.XLOOKUP(TableDailySummary[[#This Row],[Fecha]],SummaryDaily[day],SummaryDaily[Rappi_net_sales],0)</f>
        <v>0</v>
      </c>
      <c r="S713" s="11">
        <f>_xlfn.XLOOKUP(TableDailySummary[[#This Row],[Fecha]],SummaryDaily[day],SummaryDaily[Rappi_orders],0)</f>
        <v>0</v>
      </c>
      <c r="T713" s="11">
        <f>_xlfn.XLOOKUP(TableDailySummary[[#This Row],[Fecha]],SummaryDaily[day],SummaryDaily[Rappi_average_order_value],0)</f>
        <v>0</v>
      </c>
      <c r="U713" s="11">
        <f>_xlfn.XLOOKUP(TableDailySummary[[#This Row],[Fecha]],SummaryDaily[day],SummaryDaily[Corporativo no tienda_net_sales],0)</f>
        <v>0</v>
      </c>
      <c r="V713" s="11">
        <f>_xlfn.XLOOKUP(TableDailySummary[[#This Row],[Fecha]],SummaryDaily[day],SummaryDaily[Corporativo no tienda_orders],0)</f>
        <v>0</v>
      </c>
      <c r="W713" s="11">
        <f>_xlfn.XLOOKUP(TableDailySummary[[#This Row],[Fecha]],SummaryDaily[day],SummaryDaily[Corporativo no tienda_average_order_value],0)</f>
        <v>0</v>
      </c>
      <c r="X713" s="11">
        <f>_xlfn.XLOOKUP(TableDailySummary[[#This Row],[Fecha]],SummaryDaily[day],SummaryDaily[GoogleAdsOperation.Cost],0)</f>
        <v>0</v>
      </c>
      <c r="Y713" s="11">
        <f>SUMIFS(SalesByUTMDaily[google],SalesByUTMDaily[day],TableDailySummary[[#This Row],[Fecha]])</f>
        <v>0</v>
      </c>
      <c r="Z713" s="11">
        <f>_xlfn.XLOOKUP(TableDailySummary[[#This Row],[Fecha]],SummaryDaily[day],SummaryDaily[MetaAdsOperation.spend],0)</f>
        <v>0</v>
      </c>
      <c r="AA713" s="11">
        <f>SUMIFS(SalesByUTMDaily[facebook],SalesByUTMDaily[day],TableDailySummary[[#This Row],[Fecha]])</f>
        <v>0</v>
      </c>
      <c r="AB713" s="11">
        <f>TableDailySummary[[#This Row],[Inversión google ads]]+TableDailySummary[[#This Row],[Inversión meta ads]]</f>
        <v>0</v>
      </c>
      <c r="AC713" s="11">
        <f>TableDailySummary[[#This Row],[Ventas google ads]]+TableDailySummary[[#This Row],[Ventas meta ads]]</f>
        <v>0</v>
      </c>
      <c r="AD713" s="14">
        <f>IFERROR(TableDailySummary[[#This Row],[Ventas publicidad]]/TableDailySummary[[#This Row],[Inversión publicidad]],0)</f>
        <v>0</v>
      </c>
      <c r="AE713" s="14">
        <f>IFERROR(TableDailySummary[[#This Row],[Ventas primer cliente]]/TableDailySummary[[#This Row],[Inversión publicidad]],0)</f>
        <v>0</v>
      </c>
      <c r="AF713" s="14"/>
      <c r="AG713" s="11"/>
      <c r="AM713" s="11">
        <f>_xlfn.XLOOKUP(TableDailySummary[[#This Row],[Fecha]],SummaryDaily[day],SummaryDaily[net_sales_with_cost_recorded],0)</f>
        <v>0</v>
      </c>
      <c r="AN713" s="11">
        <f>_xlfn.XLOOKUP(TableDailySummary[[#This Row],[Fecha]],SummaryDaily[day],SummaryDaily[cost_of_goods_sold],0)</f>
        <v>0</v>
      </c>
      <c r="AO713" s="11">
        <f>_xlfn.XLOOKUP(TableDailySummary[[#This Row],[Fecha]],SummaryDaily[day],SummaryDaily[gross_profit],0)</f>
        <v>0</v>
      </c>
      <c r="AP713" s="18">
        <f>IFERROR(TableDailySummary[[#This Row],[Utilidad bruta]]/TableDailySummary[[#This Row],[Ventas netas con costo registrado]],0)</f>
        <v>0</v>
      </c>
    </row>
    <row r="714" spans="2:42" x14ac:dyDescent="0.2">
      <c r="B714" s="15" cm="1">
        <f t="array" ref="B714">ParamFechaInicioReporte + (ROW(TableDailySummary[#This Row]) - ROW(TableDailySummary[[#Headers],[Dia]]) - 1)</f>
        <v>45241</v>
      </c>
      <c r="C714" s="6">
        <f>TableDailySummary[[#This Row],[Dia]]</f>
        <v>45241</v>
      </c>
      <c r="D714" s="11">
        <f>_xlfn.XLOOKUP(TableDailySummary[[#This Row],[Fecha]],SummaryDaily[day],SummaryDaily[net_sales],0)</f>
        <v>0</v>
      </c>
      <c r="E714" s="11">
        <f>_xlfn.XLOOKUP(TableDailySummary[[#This Row],[Fecha]],SummaryDaily[day],SummaryDaily[orders],0)</f>
        <v>0</v>
      </c>
      <c r="F714" s="11">
        <f>_xlfn.XLOOKUP(TableDailySummary[[#This Row],[Fecha]],SummaryDaily[day],SummaryDaily[average_order_value],0)</f>
        <v>0</v>
      </c>
      <c r="G714" s="24" cm="1">
        <f t="array" ref="G714">_xlfn.XLOOKUP(TableDailySummary[[#This Row],[Fecha]]&amp;"Total site",ConversionRateByReferral[day]&amp;ConversionRateByReferral[referrer_source],ConversionRateByReferral[conversion_rate],0)</f>
        <v>0</v>
      </c>
      <c r="H714" s="11">
        <f>TableDailySummary[[#This Row],[Órden promedio totales]]*TableDailySummary[[#This Row],[CR totales]]</f>
        <v>0</v>
      </c>
      <c r="I714" s="11">
        <f>_xlfn.XLOOKUP(TableDailySummary[[#This Row],[Fecha]],SummaryDaily[day],SummaryDaily[new_net_sales],0)</f>
        <v>0</v>
      </c>
      <c r="J714" s="11">
        <f>_xlfn.XLOOKUP(TableDailySummary[[#This Row],[Fecha]],SummaryDaily[day],SummaryDaily[new_orders],0)</f>
        <v>0</v>
      </c>
      <c r="K714" s="11">
        <f>_xlfn.XLOOKUP(TableDailySummary[[#This Row],[Fecha]],SummaryDaily[day],SummaryDaily[new_average_order_value],0)</f>
        <v>0</v>
      </c>
      <c r="L714" s="11">
        <f>_xlfn.XLOOKUP(TableDailySummary[[#This Row],[Fecha]],SummaryDaily[day],SummaryDaily[Online Store_net_sales],0)</f>
        <v>0</v>
      </c>
      <c r="M714" s="11">
        <f>_xlfn.XLOOKUP(TableDailySummary[[#This Row],[Fecha]],SummaryDaily[day],SummaryDaily[Online Store_orders],0)</f>
        <v>0</v>
      </c>
      <c r="N714" s="11">
        <f>_xlfn.XLOOKUP(TableDailySummary[[#This Row],[Fecha]],SummaryDaily[day],SummaryDaily[Online Store_average_order_value],0)</f>
        <v>0</v>
      </c>
      <c r="O714" s="11">
        <f>_xlfn.XLOOKUP(TableDailySummary[[#This Row],[Fecha]],SummaryDaily[day],SummaryDaily[Tienda 81_net_sales],0)</f>
        <v>0</v>
      </c>
      <c r="P714" s="11">
        <f>_xlfn.XLOOKUP(TableDailySummary[[#This Row],[Fecha]],SummaryDaily[day],SummaryDaily[Tienda 81_orders],0)</f>
        <v>0</v>
      </c>
      <c r="Q714" s="11">
        <f>_xlfn.XLOOKUP(TableDailySummary[[#This Row],[Fecha]],SummaryDaily[day],SummaryDaily[Tienda 81_average_order_value],0)</f>
        <v>0</v>
      </c>
      <c r="R714" s="11">
        <f>_xlfn.XLOOKUP(TableDailySummary[[#This Row],[Fecha]],SummaryDaily[day],SummaryDaily[Rappi_net_sales],0)</f>
        <v>0</v>
      </c>
      <c r="S714" s="11">
        <f>_xlfn.XLOOKUP(TableDailySummary[[#This Row],[Fecha]],SummaryDaily[day],SummaryDaily[Rappi_orders],0)</f>
        <v>0</v>
      </c>
      <c r="T714" s="11">
        <f>_xlfn.XLOOKUP(TableDailySummary[[#This Row],[Fecha]],SummaryDaily[day],SummaryDaily[Rappi_average_order_value],0)</f>
        <v>0</v>
      </c>
      <c r="U714" s="11">
        <f>_xlfn.XLOOKUP(TableDailySummary[[#This Row],[Fecha]],SummaryDaily[day],SummaryDaily[Corporativo no tienda_net_sales],0)</f>
        <v>0</v>
      </c>
      <c r="V714" s="11">
        <f>_xlfn.XLOOKUP(TableDailySummary[[#This Row],[Fecha]],SummaryDaily[day],SummaryDaily[Corporativo no tienda_orders],0)</f>
        <v>0</v>
      </c>
      <c r="W714" s="11">
        <f>_xlfn.XLOOKUP(TableDailySummary[[#This Row],[Fecha]],SummaryDaily[day],SummaryDaily[Corporativo no tienda_average_order_value],0)</f>
        <v>0</v>
      </c>
      <c r="X714" s="11">
        <f>_xlfn.XLOOKUP(TableDailySummary[[#This Row],[Fecha]],SummaryDaily[day],SummaryDaily[GoogleAdsOperation.Cost],0)</f>
        <v>0</v>
      </c>
      <c r="Y714" s="11">
        <f>SUMIFS(SalesByUTMDaily[google],SalesByUTMDaily[day],TableDailySummary[[#This Row],[Fecha]])</f>
        <v>0</v>
      </c>
      <c r="Z714" s="11">
        <f>_xlfn.XLOOKUP(TableDailySummary[[#This Row],[Fecha]],SummaryDaily[day],SummaryDaily[MetaAdsOperation.spend],0)</f>
        <v>0</v>
      </c>
      <c r="AA714" s="11">
        <f>SUMIFS(SalesByUTMDaily[facebook],SalesByUTMDaily[day],TableDailySummary[[#This Row],[Fecha]])</f>
        <v>0</v>
      </c>
      <c r="AB714" s="11">
        <f>TableDailySummary[[#This Row],[Inversión google ads]]+TableDailySummary[[#This Row],[Inversión meta ads]]</f>
        <v>0</v>
      </c>
      <c r="AC714" s="11">
        <f>TableDailySummary[[#This Row],[Ventas google ads]]+TableDailySummary[[#This Row],[Ventas meta ads]]</f>
        <v>0</v>
      </c>
      <c r="AD714" s="14">
        <f>IFERROR(TableDailySummary[[#This Row],[Ventas publicidad]]/TableDailySummary[[#This Row],[Inversión publicidad]],0)</f>
        <v>0</v>
      </c>
      <c r="AE714" s="14">
        <f>IFERROR(TableDailySummary[[#This Row],[Ventas primer cliente]]/TableDailySummary[[#This Row],[Inversión publicidad]],0)</f>
        <v>0</v>
      </c>
      <c r="AF714" s="14"/>
      <c r="AG714" s="11"/>
      <c r="AM714" s="11">
        <f>_xlfn.XLOOKUP(TableDailySummary[[#This Row],[Fecha]],SummaryDaily[day],SummaryDaily[net_sales_with_cost_recorded],0)</f>
        <v>0</v>
      </c>
      <c r="AN714" s="11">
        <f>_xlfn.XLOOKUP(TableDailySummary[[#This Row],[Fecha]],SummaryDaily[day],SummaryDaily[cost_of_goods_sold],0)</f>
        <v>0</v>
      </c>
      <c r="AO714" s="11">
        <f>_xlfn.XLOOKUP(TableDailySummary[[#This Row],[Fecha]],SummaryDaily[day],SummaryDaily[gross_profit],0)</f>
        <v>0</v>
      </c>
      <c r="AP714" s="18">
        <f>IFERROR(TableDailySummary[[#This Row],[Utilidad bruta]]/TableDailySummary[[#This Row],[Ventas netas con costo registrado]],0)</f>
        <v>0</v>
      </c>
    </row>
    <row r="715" spans="2:42" x14ac:dyDescent="0.2">
      <c r="B715" s="15" cm="1">
        <f t="array" ref="B715">ParamFechaInicioReporte + (ROW(TableDailySummary[#This Row]) - ROW(TableDailySummary[[#Headers],[Dia]]) - 1)</f>
        <v>45242</v>
      </c>
      <c r="C715" s="6">
        <f>TableDailySummary[[#This Row],[Dia]]</f>
        <v>45242</v>
      </c>
      <c r="D715" s="11">
        <f>_xlfn.XLOOKUP(TableDailySummary[[#This Row],[Fecha]],SummaryDaily[day],SummaryDaily[net_sales],0)</f>
        <v>0</v>
      </c>
      <c r="E715" s="11">
        <f>_xlfn.XLOOKUP(TableDailySummary[[#This Row],[Fecha]],SummaryDaily[day],SummaryDaily[orders],0)</f>
        <v>0</v>
      </c>
      <c r="F715" s="11">
        <f>_xlfn.XLOOKUP(TableDailySummary[[#This Row],[Fecha]],SummaryDaily[day],SummaryDaily[average_order_value],0)</f>
        <v>0</v>
      </c>
      <c r="G715" s="24" cm="1">
        <f t="array" ref="G715">_xlfn.XLOOKUP(TableDailySummary[[#This Row],[Fecha]]&amp;"Total site",ConversionRateByReferral[day]&amp;ConversionRateByReferral[referrer_source],ConversionRateByReferral[conversion_rate],0)</f>
        <v>0</v>
      </c>
      <c r="H715" s="11">
        <f>TableDailySummary[[#This Row],[Órden promedio totales]]*TableDailySummary[[#This Row],[CR totales]]</f>
        <v>0</v>
      </c>
      <c r="I715" s="11">
        <f>_xlfn.XLOOKUP(TableDailySummary[[#This Row],[Fecha]],SummaryDaily[day],SummaryDaily[new_net_sales],0)</f>
        <v>0</v>
      </c>
      <c r="J715" s="11">
        <f>_xlfn.XLOOKUP(TableDailySummary[[#This Row],[Fecha]],SummaryDaily[day],SummaryDaily[new_orders],0)</f>
        <v>0</v>
      </c>
      <c r="K715" s="11">
        <f>_xlfn.XLOOKUP(TableDailySummary[[#This Row],[Fecha]],SummaryDaily[day],SummaryDaily[new_average_order_value],0)</f>
        <v>0</v>
      </c>
      <c r="L715" s="11">
        <f>_xlfn.XLOOKUP(TableDailySummary[[#This Row],[Fecha]],SummaryDaily[day],SummaryDaily[Online Store_net_sales],0)</f>
        <v>0</v>
      </c>
      <c r="M715" s="11">
        <f>_xlfn.XLOOKUP(TableDailySummary[[#This Row],[Fecha]],SummaryDaily[day],SummaryDaily[Online Store_orders],0)</f>
        <v>0</v>
      </c>
      <c r="N715" s="11">
        <f>_xlfn.XLOOKUP(TableDailySummary[[#This Row],[Fecha]],SummaryDaily[day],SummaryDaily[Online Store_average_order_value],0)</f>
        <v>0</v>
      </c>
      <c r="O715" s="11">
        <f>_xlfn.XLOOKUP(TableDailySummary[[#This Row],[Fecha]],SummaryDaily[day],SummaryDaily[Tienda 81_net_sales],0)</f>
        <v>0</v>
      </c>
      <c r="P715" s="11">
        <f>_xlfn.XLOOKUP(TableDailySummary[[#This Row],[Fecha]],SummaryDaily[day],SummaryDaily[Tienda 81_orders],0)</f>
        <v>0</v>
      </c>
      <c r="Q715" s="11">
        <f>_xlfn.XLOOKUP(TableDailySummary[[#This Row],[Fecha]],SummaryDaily[day],SummaryDaily[Tienda 81_average_order_value],0)</f>
        <v>0</v>
      </c>
      <c r="R715" s="11">
        <f>_xlfn.XLOOKUP(TableDailySummary[[#This Row],[Fecha]],SummaryDaily[day],SummaryDaily[Rappi_net_sales],0)</f>
        <v>0</v>
      </c>
      <c r="S715" s="11">
        <f>_xlfn.XLOOKUP(TableDailySummary[[#This Row],[Fecha]],SummaryDaily[day],SummaryDaily[Rappi_orders],0)</f>
        <v>0</v>
      </c>
      <c r="T715" s="11">
        <f>_xlfn.XLOOKUP(TableDailySummary[[#This Row],[Fecha]],SummaryDaily[day],SummaryDaily[Rappi_average_order_value],0)</f>
        <v>0</v>
      </c>
      <c r="U715" s="11">
        <f>_xlfn.XLOOKUP(TableDailySummary[[#This Row],[Fecha]],SummaryDaily[day],SummaryDaily[Corporativo no tienda_net_sales],0)</f>
        <v>0</v>
      </c>
      <c r="V715" s="11">
        <f>_xlfn.XLOOKUP(TableDailySummary[[#This Row],[Fecha]],SummaryDaily[day],SummaryDaily[Corporativo no tienda_orders],0)</f>
        <v>0</v>
      </c>
      <c r="W715" s="11">
        <f>_xlfn.XLOOKUP(TableDailySummary[[#This Row],[Fecha]],SummaryDaily[day],SummaryDaily[Corporativo no tienda_average_order_value],0)</f>
        <v>0</v>
      </c>
      <c r="X715" s="11">
        <f>_xlfn.XLOOKUP(TableDailySummary[[#This Row],[Fecha]],SummaryDaily[day],SummaryDaily[GoogleAdsOperation.Cost],0)</f>
        <v>0</v>
      </c>
      <c r="Y715" s="11">
        <f>SUMIFS(SalesByUTMDaily[google],SalesByUTMDaily[day],TableDailySummary[[#This Row],[Fecha]])</f>
        <v>0</v>
      </c>
      <c r="Z715" s="11">
        <f>_xlfn.XLOOKUP(TableDailySummary[[#This Row],[Fecha]],SummaryDaily[day],SummaryDaily[MetaAdsOperation.spend],0)</f>
        <v>0</v>
      </c>
      <c r="AA715" s="11">
        <f>SUMIFS(SalesByUTMDaily[facebook],SalesByUTMDaily[day],TableDailySummary[[#This Row],[Fecha]])</f>
        <v>0</v>
      </c>
      <c r="AB715" s="11">
        <f>TableDailySummary[[#This Row],[Inversión google ads]]+TableDailySummary[[#This Row],[Inversión meta ads]]</f>
        <v>0</v>
      </c>
      <c r="AC715" s="11">
        <f>TableDailySummary[[#This Row],[Ventas google ads]]+TableDailySummary[[#This Row],[Ventas meta ads]]</f>
        <v>0</v>
      </c>
      <c r="AD715" s="14">
        <f>IFERROR(TableDailySummary[[#This Row],[Ventas publicidad]]/TableDailySummary[[#This Row],[Inversión publicidad]],0)</f>
        <v>0</v>
      </c>
      <c r="AE715" s="14">
        <f>IFERROR(TableDailySummary[[#This Row],[Ventas primer cliente]]/TableDailySummary[[#This Row],[Inversión publicidad]],0)</f>
        <v>0</v>
      </c>
      <c r="AF715" s="14"/>
      <c r="AG715" s="11"/>
      <c r="AM715" s="11">
        <f>_xlfn.XLOOKUP(TableDailySummary[[#This Row],[Fecha]],SummaryDaily[day],SummaryDaily[net_sales_with_cost_recorded],0)</f>
        <v>0</v>
      </c>
      <c r="AN715" s="11">
        <f>_xlfn.XLOOKUP(TableDailySummary[[#This Row],[Fecha]],SummaryDaily[day],SummaryDaily[cost_of_goods_sold],0)</f>
        <v>0</v>
      </c>
      <c r="AO715" s="11">
        <f>_xlfn.XLOOKUP(TableDailySummary[[#This Row],[Fecha]],SummaryDaily[day],SummaryDaily[gross_profit],0)</f>
        <v>0</v>
      </c>
      <c r="AP715" s="18">
        <f>IFERROR(TableDailySummary[[#This Row],[Utilidad bruta]]/TableDailySummary[[#This Row],[Ventas netas con costo registrado]],0)</f>
        <v>0</v>
      </c>
    </row>
    <row r="716" spans="2:42" x14ac:dyDescent="0.2">
      <c r="B716" s="15" cm="1">
        <f t="array" ref="B716">ParamFechaInicioReporte + (ROW(TableDailySummary[#This Row]) - ROW(TableDailySummary[[#Headers],[Dia]]) - 1)</f>
        <v>45243</v>
      </c>
      <c r="C716" s="6">
        <f>TableDailySummary[[#This Row],[Dia]]</f>
        <v>45243</v>
      </c>
      <c r="D716" s="11">
        <f>_xlfn.XLOOKUP(TableDailySummary[[#This Row],[Fecha]],SummaryDaily[day],SummaryDaily[net_sales],0)</f>
        <v>0</v>
      </c>
      <c r="E716" s="11">
        <f>_xlfn.XLOOKUP(TableDailySummary[[#This Row],[Fecha]],SummaryDaily[day],SummaryDaily[orders],0)</f>
        <v>0</v>
      </c>
      <c r="F716" s="11">
        <f>_xlfn.XLOOKUP(TableDailySummary[[#This Row],[Fecha]],SummaryDaily[day],SummaryDaily[average_order_value],0)</f>
        <v>0</v>
      </c>
      <c r="G716" s="24" cm="1">
        <f t="array" ref="G716">_xlfn.XLOOKUP(TableDailySummary[[#This Row],[Fecha]]&amp;"Total site",ConversionRateByReferral[day]&amp;ConversionRateByReferral[referrer_source],ConversionRateByReferral[conversion_rate],0)</f>
        <v>0</v>
      </c>
      <c r="H716" s="11">
        <f>TableDailySummary[[#This Row],[Órden promedio totales]]*TableDailySummary[[#This Row],[CR totales]]</f>
        <v>0</v>
      </c>
      <c r="I716" s="11">
        <f>_xlfn.XLOOKUP(TableDailySummary[[#This Row],[Fecha]],SummaryDaily[day],SummaryDaily[new_net_sales],0)</f>
        <v>0</v>
      </c>
      <c r="J716" s="11">
        <f>_xlfn.XLOOKUP(TableDailySummary[[#This Row],[Fecha]],SummaryDaily[day],SummaryDaily[new_orders],0)</f>
        <v>0</v>
      </c>
      <c r="K716" s="11">
        <f>_xlfn.XLOOKUP(TableDailySummary[[#This Row],[Fecha]],SummaryDaily[day],SummaryDaily[new_average_order_value],0)</f>
        <v>0</v>
      </c>
      <c r="L716" s="11">
        <f>_xlfn.XLOOKUP(TableDailySummary[[#This Row],[Fecha]],SummaryDaily[day],SummaryDaily[Online Store_net_sales],0)</f>
        <v>0</v>
      </c>
      <c r="M716" s="11">
        <f>_xlfn.XLOOKUP(TableDailySummary[[#This Row],[Fecha]],SummaryDaily[day],SummaryDaily[Online Store_orders],0)</f>
        <v>0</v>
      </c>
      <c r="N716" s="11">
        <f>_xlfn.XLOOKUP(TableDailySummary[[#This Row],[Fecha]],SummaryDaily[day],SummaryDaily[Online Store_average_order_value],0)</f>
        <v>0</v>
      </c>
      <c r="O716" s="11">
        <f>_xlfn.XLOOKUP(TableDailySummary[[#This Row],[Fecha]],SummaryDaily[day],SummaryDaily[Tienda 81_net_sales],0)</f>
        <v>0</v>
      </c>
      <c r="P716" s="11">
        <f>_xlfn.XLOOKUP(TableDailySummary[[#This Row],[Fecha]],SummaryDaily[day],SummaryDaily[Tienda 81_orders],0)</f>
        <v>0</v>
      </c>
      <c r="Q716" s="11">
        <f>_xlfn.XLOOKUP(TableDailySummary[[#This Row],[Fecha]],SummaryDaily[day],SummaryDaily[Tienda 81_average_order_value],0)</f>
        <v>0</v>
      </c>
      <c r="R716" s="11">
        <f>_xlfn.XLOOKUP(TableDailySummary[[#This Row],[Fecha]],SummaryDaily[day],SummaryDaily[Rappi_net_sales],0)</f>
        <v>0</v>
      </c>
      <c r="S716" s="11">
        <f>_xlfn.XLOOKUP(TableDailySummary[[#This Row],[Fecha]],SummaryDaily[day],SummaryDaily[Rappi_orders],0)</f>
        <v>0</v>
      </c>
      <c r="T716" s="11">
        <f>_xlfn.XLOOKUP(TableDailySummary[[#This Row],[Fecha]],SummaryDaily[day],SummaryDaily[Rappi_average_order_value],0)</f>
        <v>0</v>
      </c>
      <c r="U716" s="11">
        <f>_xlfn.XLOOKUP(TableDailySummary[[#This Row],[Fecha]],SummaryDaily[day],SummaryDaily[Corporativo no tienda_net_sales],0)</f>
        <v>0</v>
      </c>
      <c r="V716" s="11">
        <f>_xlfn.XLOOKUP(TableDailySummary[[#This Row],[Fecha]],SummaryDaily[day],SummaryDaily[Corporativo no tienda_orders],0)</f>
        <v>0</v>
      </c>
      <c r="W716" s="11">
        <f>_xlfn.XLOOKUP(TableDailySummary[[#This Row],[Fecha]],SummaryDaily[day],SummaryDaily[Corporativo no tienda_average_order_value],0)</f>
        <v>0</v>
      </c>
      <c r="X716" s="11">
        <f>_xlfn.XLOOKUP(TableDailySummary[[#This Row],[Fecha]],SummaryDaily[day],SummaryDaily[GoogleAdsOperation.Cost],0)</f>
        <v>0</v>
      </c>
      <c r="Y716" s="11">
        <f>SUMIFS(SalesByUTMDaily[google],SalesByUTMDaily[day],TableDailySummary[[#This Row],[Fecha]])</f>
        <v>0</v>
      </c>
      <c r="Z716" s="11">
        <f>_xlfn.XLOOKUP(TableDailySummary[[#This Row],[Fecha]],SummaryDaily[day],SummaryDaily[MetaAdsOperation.spend],0)</f>
        <v>0</v>
      </c>
      <c r="AA716" s="11">
        <f>SUMIFS(SalesByUTMDaily[facebook],SalesByUTMDaily[day],TableDailySummary[[#This Row],[Fecha]])</f>
        <v>0</v>
      </c>
      <c r="AB716" s="11">
        <f>TableDailySummary[[#This Row],[Inversión google ads]]+TableDailySummary[[#This Row],[Inversión meta ads]]</f>
        <v>0</v>
      </c>
      <c r="AC716" s="11">
        <f>TableDailySummary[[#This Row],[Ventas google ads]]+TableDailySummary[[#This Row],[Ventas meta ads]]</f>
        <v>0</v>
      </c>
      <c r="AD716" s="14">
        <f>IFERROR(TableDailySummary[[#This Row],[Ventas publicidad]]/TableDailySummary[[#This Row],[Inversión publicidad]],0)</f>
        <v>0</v>
      </c>
      <c r="AE716" s="14">
        <f>IFERROR(TableDailySummary[[#This Row],[Ventas primer cliente]]/TableDailySummary[[#This Row],[Inversión publicidad]],0)</f>
        <v>0</v>
      </c>
      <c r="AF716" s="14"/>
      <c r="AG716" s="11"/>
      <c r="AM716" s="11">
        <f>_xlfn.XLOOKUP(TableDailySummary[[#This Row],[Fecha]],SummaryDaily[day],SummaryDaily[net_sales_with_cost_recorded],0)</f>
        <v>0</v>
      </c>
      <c r="AN716" s="11">
        <f>_xlfn.XLOOKUP(TableDailySummary[[#This Row],[Fecha]],SummaryDaily[day],SummaryDaily[cost_of_goods_sold],0)</f>
        <v>0</v>
      </c>
      <c r="AO716" s="11">
        <f>_xlfn.XLOOKUP(TableDailySummary[[#This Row],[Fecha]],SummaryDaily[day],SummaryDaily[gross_profit],0)</f>
        <v>0</v>
      </c>
      <c r="AP716" s="18">
        <f>IFERROR(TableDailySummary[[#This Row],[Utilidad bruta]]/TableDailySummary[[#This Row],[Ventas netas con costo registrado]],0)</f>
        <v>0</v>
      </c>
    </row>
    <row r="717" spans="2:42" x14ac:dyDescent="0.2">
      <c r="B717" s="15" cm="1">
        <f t="array" ref="B717">ParamFechaInicioReporte + (ROW(TableDailySummary[#This Row]) - ROW(TableDailySummary[[#Headers],[Dia]]) - 1)</f>
        <v>45244</v>
      </c>
      <c r="C717" s="6">
        <f>TableDailySummary[[#This Row],[Dia]]</f>
        <v>45244</v>
      </c>
      <c r="D717" s="11">
        <f>_xlfn.XLOOKUP(TableDailySummary[[#This Row],[Fecha]],SummaryDaily[day],SummaryDaily[net_sales],0)</f>
        <v>0</v>
      </c>
      <c r="E717" s="11">
        <f>_xlfn.XLOOKUP(TableDailySummary[[#This Row],[Fecha]],SummaryDaily[day],SummaryDaily[orders],0)</f>
        <v>0</v>
      </c>
      <c r="F717" s="11">
        <f>_xlfn.XLOOKUP(TableDailySummary[[#This Row],[Fecha]],SummaryDaily[day],SummaryDaily[average_order_value],0)</f>
        <v>0</v>
      </c>
      <c r="G717" s="24" cm="1">
        <f t="array" ref="G717">_xlfn.XLOOKUP(TableDailySummary[[#This Row],[Fecha]]&amp;"Total site",ConversionRateByReferral[day]&amp;ConversionRateByReferral[referrer_source],ConversionRateByReferral[conversion_rate],0)</f>
        <v>0</v>
      </c>
      <c r="H717" s="11">
        <f>TableDailySummary[[#This Row],[Órden promedio totales]]*TableDailySummary[[#This Row],[CR totales]]</f>
        <v>0</v>
      </c>
      <c r="I717" s="11">
        <f>_xlfn.XLOOKUP(TableDailySummary[[#This Row],[Fecha]],SummaryDaily[day],SummaryDaily[new_net_sales],0)</f>
        <v>0</v>
      </c>
      <c r="J717" s="11">
        <f>_xlfn.XLOOKUP(TableDailySummary[[#This Row],[Fecha]],SummaryDaily[day],SummaryDaily[new_orders],0)</f>
        <v>0</v>
      </c>
      <c r="K717" s="11">
        <f>_xlfn.XLOOKUP(TableDailySummary[[#This Row],[Fecha]],SummaryDaily[day],SummaryDaily[new_average_order_value],0)</f>
        <v>0</v>
      </c>
      <c r="L717" s="11">
        <f>_xlfn.XLOOKUP(TableDailySummary[[#This Row],[Fecha]],SummaryDaily[day],SummaryDaily[Online Store_net_sales],0)</f>
        <v>0</v>
      </c>
      <c r="M717" s="11">
        <f>_xlfn.XLOOKUP(TableDailySummary[[#This Row],[Fecha]],SummaryDaily[day],SummaryDaily[Online Store_orders],0)</f>
        <v>0</v>
      </c>
      <c r="N717" s="11">
        <f>_xlfn.XLOOKUP(TableDailySummary[[#This Row],[Fecha]],SummaryDaily[day],SummaryDaily[Online Store_average_order_value],0)</f>
        <v>0</v>
      </c>
      <c r="O717" s="11">
        <f>_xlfn.XLOOKUP(TableDailySummary[[#This Row],[Fecha]],SummaryDaily[day],SummaryDaily[Tienda 81_net_sales],0)</f>
        <v>0</v>
      </c>
      <c r="P717" s="11">
        <f>_xlfn.XLOOKUP(TableDailySummary[[#This Row],[Fecha]],SummaryDaily[day],SummaryDaily[Tienda 81_orders],0)</f>
        <v>0</v>
      </c>
      <c r="Q717" s="11">
        <f>_xlfn.XLOOKUP(TableDailySummary[[#This Row],[Fecha]],SummaryDaily[day],SummaryDaily[Tienda 81_average_order_value],0)</f>
        <v>0</v>
      </c>
      <c r="R717" s="11">
        <f>_xlfn.XLOOKUP(TableDailySummary[[#This Row],[Fecha]],SummaryDaily[day],SummaryDaily[Rappi_net_sales],0)</f>
        <v>0</v>
      </c>
      <c r="S717" s="11">
        <f>_xlfn.XLOOKUP(TableDailySummary[[#This Row],[Fecha]],SummaryDaily[day],SummaryDaily[Rappi_orders],0)</f>
        <v>0</v>
      </c>
      <c r="T717" s="11">
        <f>_xlfn.XLOOKUP(TableDailySummary[[#This Row],[Fecha]],SummaryDaily[day],SummaryDaily[Rappi_average_order_value],0)</f>
        <v>0</v>
      </c>
      <c r="U717" s="11">
        <f>_xlfn.XLOOKUP(TableDailySummary[[#This Row],[Fecha]],SummaryDaily[day],SummaryDaily[Corporativo no tienda_net_sales],0)</f>
        <v>0</v>
      </c>
      <c r="V717" s="11">
        <f>_xlfn.XLOOKUP(TableDailySummary[[#This Row],[Fecha]],SummaryDaily[day],SummaryDaily[Corporativo no tienda_orders],0)</f>
        <v>0</v>
      </c>
      <c r="W717" s="11">
        <f>_xlfn.XLOOKUP(TableDailySummary[[#This Row],[Fecha]],SummaryDaily[day],SummaryDaily[Corporativo no tienda_average_order_value],0)</f>
        <v>0</v>
      </c>
      <c r="X717" s="11">
        <f>_xlfn.XLOOKUP(TableDailySummary[[#This Row],[Fecha]],SummaryDaily[day],SummaryDaily[GoogleAdsOperation.Cost],0)</f>
        <v>0</v>
      </c>
      <c r="Y717" s="11">
        <f>SUMIFS(SalesByUTMDaily[google],SalesByUTMDaily[day],TableDailySummary[[#This Row],[Fecha]])</f>
        <v>0</v>
      </c>
      <c r="Z717" s="11">
        <f>_xlfn.XLOOKUP(TableDailySummary[[#This Row],[Fecha]],SummaryDaily[day],SummaryDaily[MetaAdsOperation.spend],0)</f>
        <v>0</v>
      </c>
      <c r="AA717" s="11">
        <f>SUMIFS(SalesByUTMDaily[facebook],SalesByUTMDaily[day],TableDailySummary[[#This Row],[Fecha]])</f>
        <v>0</v>
      </c>
      <c r="AB717" s="11">
        <f>TableDailySummary[[#This Row],[Inversión google ads]]+TableDailySummary[[#This Row],[Inversión meta ads]]</f>
        <v>0</v>
      </c>
      <c r="AC717" s="11">
        <f>TableDailySummary[[#This Row],[Ventas google ads]]+TableDailySummary[[#This Row],[Ventas meta ads]]</f>
        <v>0</v>
      </c>
      <c r="AD717" s="14">
        <f>IFERROR(TableDailySummary[[#This Row],[Ventas publicidad]]/TableDailySummary[[#This Row],[Inversión publicidad]],0)</f>
        <v>0</v>
      </c>
      <c r="AE717" s="14">
        <f>IFERROR(TableDailySummary[[#This Row],[Ventas primer cliente]]/TableDailySummary[[#This Row],[Inversión publicidad]],0)</f>
        <v>0</v>
      </c>
      <c r="AF717" s="14"/>
      <c r="AG717" s="11"/>
      <c r="AM717" s="11">
        <f>_xlfn.XLOOKUP(TableDailySummary[[#This Row],[Fecha]],SummaryDaily[day],SummaryDaily[net_sales_with_cost_recorded],0)</f>
        <v>0</v>
      </c>
      <c r="AN717" s="11">
        <f>_xlfn.XLOOKUP(TableDailySummary[[#This Row],[Fecha]],SummaryDaily[day],SummaryDaily[cost_of_goods_sold],0)</f>
        <v>0</v>
      </c>
      <c r="AO717" s="11">
        <f>_xlfn.XLOOKUP(TableDailySummary[[#This Row],[Fecha]],SummaryDaily[day],SummaryDaily[gross_profit],0)</f>
        <v>0</v>
      </c>
      <c r="AP717" s="18">
        <f>IFERROR(TableDailySummary[[#This Row],[Utilidad bruta]]/TableDailySummary[[#This Row],[Ventas netas con costo registrado]],0)</f>
        <v>0</v>
      </c>
    </row>
    <row r="718" spans="2:42" x14ac:dyDescent="0.2">
      <c r="B718" s="15" cm="1">
        <f t="array" ref="B718">ParamFechaInicioReporte + (ROW(TableDailySummary[#This Row]) - ROW(TableDailySummary[[#Headers],[Dia]]) - 1)</f>
        <v>45245</v>
      </c>
      <c r="C718" s="6">
        <f>TableDailySummary[[#This Row],[Dia]]</f>
        <v>45245</v>
      </c>
      <c r="D718" s="11">
        <f>_xlfn.XLOOKUP(TableDailySummary[[#This Row],[Fecha]],SummaryDaily[day],SummaryDaily[net_sales],0)</f>
        <v>0</v>
      </c>
      <c r="E718" s="11">
        <f>_xlfn.XLOOKUP(TableDailySummary[[#This Row],[Fecha]],SummaryDaily[day],SummaryDaily[orders],0)</f>
        <v>0</v>
      </c>
      <c r="F718" s="11">
        <f>_xlfn.XLOOKUP(TableDailySummary[[#This Row],[Fecha]],SummaryDaily[day],SummaryDaily[average_order_value],0)</f>
        <v>0</v>
      </c>
      <c r="G718" s="24" cm="1">
        <f t="array" ref="G718">_xlfn.XLOOKUP(TableDailySummary[[#This Row],[Fecha]]&amp;"Total site",ConversionRateByReferral[day]&amp;ConversionRateByReferral[referrer_source],ConversionRateByReferral[conversion_rate],0)</f>
        <v>0</v>
      </c>
      <c r="H718" s="11">
        <f>TableDailySummary[[#This Row],[Órden promedio totales]]*TableDailySummary[[#This Row],[CR totales]]</f>
        <v>0</v>
      </c>
      <c r="I718" s="11">
        <f>_xlfn.XLOOKUP(TableDailySummary[[#This Row],[Fecha]],SummaryDaily[day],SummaryDaily[new_net_sales],0)</f>
        <v>0</v>
      </c>
      <c r="J718" s="11">
        <f>_xlfn.XLOOKUP(TableDailySummary[[#This Row],[Fecha]],SummaryDaily[day],SummaryDaily[new_orders],0)</f>
        <v>0</v>
      </c>
      <c r="K718" s="11">
        <f>_xlfn.XLOOKUP(TableDailySummary[[#This Row],[Fecha]],SummaryDaily[day],SummaryDaily[new_average_order_value],0)</f>
        <v>0</v>
      </c>
      <c r="L718" s="11">
        <f>_xlfn.XLOOKUP(TableDailySummary[[#This Row],[Fecha]],SummaryDaily[day],SummaryDaily[Online Store_net_sales],0)</f>
        <v>0</v>
      </c>
      <c r="M718" s="11">
        <f>_xlfn.XLOOKUP(TableDailySummary[[#This Row],[Fecha]],SummaryDaily[day],SummaryDaily[Online Store_orders],0)</f>
        <v>0</v>
      </c>
      <c r="N718" s="11">
        <f>_xlfn.XLOOKUP(TableDailySummary[[#This Row],[Fecha]],SummaryDaily[day],SummaryDaily[Online Store_average_order_value],0)</f>
        <v>0</v>
      </c>
      <c r="O718" s="11">
        <f>_xlfn.XLOOKUP(TableDailySummary[[#This Row],[Fecha]],SummaryDaily[day],SummaryDaily[Tienda 81_net_sales],0)</f>
        <v>0</v>
      </c>
      <c r="P718" s="11">
        <f>_xlfn.XLOOKUP(TableDailySummary[[#This Row],[Fecha]],SummaryDaily[day],SummaryDaily[Tienda 81_orders],0)</f>
        <v>0</v>
      </c>
      <c r="Q718" s="11">
        <f>_xlfn.XLOOKUP(TableDailySummary[[#This Row],[Fecha]],SummaryDaily[day],SummaryDaily[Tienda 81_average_order_value],0)</f>
        <v>0</v>
      </c>
      <c r="R718" s="11">
        <f>_xlfn.XLOOKUP(TableDailySummary[[#This Row],[Fecha]],SummaryDaily[day],SummaryDaily[Rappi_net_sales],0)</f>
        <v>0</v>
      </c>
      <c r="S718" s="11">
        <f>_xlfn.XLOOKUP(TableDailySummary[[#This Row],[Fecha]],SummaryDaily[day],SummaryDaily[Rappi_orders],0)</f>
        <v>0</v>
      </c>
      <c r="T718" s="11">
        <f>_xlfn.XLOOKUP(TableDailySummary[[#This Row],[Fecha]],SummaryDaily[day],SummaryDaily[Rappi_average_order_value],0)</f>
        <v>0</v>
      </c>
      <c r="U718" s="11">
        <f>_xlfn.XLOOKUP(TableDailySummary[[#This Row],[Fecha]],SummaryDaily[day],SummaryDaily[Corporativo no tienda_net_sales],0)</f>
        <v>0</v>
      </c>
      <c r="V718" s="11">
        <f>_xlfn.XLOOKUP(TableDailySummary[[#This Row],[Fecha]],SummaryDaily[day],SummaryDaily[Corporativo no tienda_orders],0)</f>
        <v>0</v>
      </c>
      <c r="W718" s="11">
        <f>_xlfn.XLOOKUP(TableDailySummary[[#This Row],[Fecha]],SummaryDaily[day],SummaryDaily[Corporativo no tienda_average_order_value],0)</f>
        <v>0</v>
      </c>
      <c r="X718" s="11">
        <f>_xlfn.XLOOKUP(TableDailySummary[[#This Row],[Fecha]],SummaryDaily[day],SummaryDaily[GoogleAdsOperation.Cost],0)</f>
        <v>0</v>
      </c>
      <c r="Y718" s="11">
        <f>SUMIFS(SalesByUTMDaily[google],SalesByUTMDaily[day],TableDailySummary[[#This Row],[Fecha]])</f>
        <v>0</v>
      </c>
      <c r="Z718" s="11">
        <f>_xlfn.XLOOKUP(TableDailySummary[[#This Row],[Fecha]],SummaryDaily[day],SummaryDaily[MetaAdsOperation.spend],0)</f>
        <v>0</v>
      </c>
      <c r="AA718" s="11">
        <f>SUMIFS(SalesByUTMDaily[facebook],SalesByUTMDaily[day],TableDailySummary[[#This Row],[Fecha]])</f>
        <v>0</v>
      </c>
      <c r="AB718" s="11">
        <f>TableDailySummary[[#This Row],[Inversión google ads]]+TableDailySummary[[#This Row],[Inversión meta ads]]</f>
        <v>0</v>
      </c>
      <c r="AC718" s="11">
        <f>TableDailySummary[[#This Row],[Ventas google ads]]+TableDailySummary[[#This Row],[Ventas meta ads]]</f>
        <v>0</v>
      </c>
      <c r="AD718" s="14">
        <f>IFERROR(TableDailySummary[[#This Row],[Ventas publicidad]]/TableDailySummary[[#This Row],[Inversión publicidad]],0)</f>
        <v>0</v>
      </c>
      <c r="AE718" s="14">
        <f>IFERROR(TableDailySummary[[#This Row],[Ventas primer cliente]]/TableDailySummary[[#This Row],[Inversión publicidad]],0)</f>
        <v>0</v>
      </c>
      <c r="AF718" s="14"/>
      <c r="AG718" s="11"/>
      <c r="AM718" s="11">
        <f>_xlfn.XLOOKUP(TableDailySummary[[#This Row],[Fecha]],SummaryDaily[day],SummaryDaily[net_sales_with_cost_recorded],0)</f>
        <v>0</v>
      </c>
      <c r="AN718" s="11">
        <f>_xlfn.XLOOKUP(TableDailySummary[[#This Row],[Fecha]],SummaryDaily[day],SummaryDaily[cost_of_goods_sold],0)</f>
        <v>0</v>
      </c>
      <c r="AO718" s="11">
        <f>_xlfn.XLOOKUP(TableDailySummary[[#This Row],[Fecha]],SummaryDaily[day],SummaryDaily[gross_profit],0)</f>
        <v>0</v>
      </c>
      <c r="AP718" s="18">
        <f>IFERROR(TableDailySummary[[#This Row],[Utilidad bruta]]/TableDailySummary[[#This Row],[Ventas netas con costo registrado]],0)</f>
        <v>0</v>
      </c>
    </row>
    <row r="719" spans="2:42" x14ac:dyDescent="0.2">
      <c r="B719" s="15" cm="1">
        <f t="array" ref="B719">ParamFechaInicioReporte + (ROW(TableDailySummary[#This Row]) - ROW(TableDailySummary[[#Headers],[Dia]]) - 1)</f>
        <v>45246</v>
      </c>
      <c r="C719" s="6">
        <f>TableDailySummary[[#This Row],[Dia]]</f>
        <v>45246</v>
      </c>
      <c r="D719" s="11">
        <f>_xlfn.XLOOKUP(TableDailySummary[[#This Row],[Fecha]],SummaryDaily[day],SummaryDaily[net_sales],0)</f>
        <v>0</v>
      </c>
      <c r="E719" s="11">
        <f>_xlfn.XLOOKUP(TableDailySummary[[#This Row],[Fecha]],SummaryDaily[day],SummaryDaily[orders],0)</f>
        <v>0</v>
      </c>
      <c r="F719" s="11">
        <f>_xlfn.XLOOKUP(TableDailySummary[[#This Row],[Fecha]],SummaryDaily[day],SummaryDaily[average_order_value],0)</f>
        <v>0</v>
      </c>
      <c r="G719" s="24" cm="1">
        <f t="array" ref="G719">_xlfn.XLOOKUP(TableDailySummary[[#This Row],[Fecha]]&amp;"Total site",ConversionRateByReferral[day]&amp;ConversionRateByReferral[referrer_source],ConversionRateByReferral[conversion_rate],0)</f>
        <v>0</v>
      </c>
      <c r="H719" s="11">
        <f>TableDailySummary[[#This Row],[Órden promedio totales]]*TableDailySummary[[#This Row],[CR totales]]</f>
        <v>0</v>
      </c>
      <c r="I719" s="11">
        <f>_xlfn.XLOOKUP(TableDailySummary[[#This Row],[Fecha]],SummaryDaily[day],SummaryDaily[new_net_sales],0)</f>
        <v>0</v>
      </c>
      <c r="J719" s="11">
        <f>_xlfn.XLOOKUP(TableDailySummary[[#This Row],[Fecha]],SummaryDaily[day],SummaryDaily[new_orders],0)</f>
        <v>0</v>
      </c>
      <c r="K719" s="11">
        <f>_xlfn.XLOOKUP(TableDailySummary[[#This Row],[Fecha]],SummaryDaily[day],SummaryDaily[new_average_order_value],0)</f>
        <v>0</v>
      </c>
      <c r="L719" s="11">
        <f>_xlfn.XLOOKUP(TableDailySummary[[#This Row],[Fecha]],SummaryDaily[day],SummaryDaily[Online Store_net_sales],0)</f>
        <v>0</v>
      </c>
      <c r="M719" s="11">
        <f>_xlfn.XLOOKUP(TableDailySummary[[#This Row],[Fecha]],SummaryDaily[day],SummaryDaily[Online Store_orders],0)</f>
        <v>0</v>
      </c>
      <c r="N719" s="11">
        <f>_xlfn.XLOOKUP(TableDailySummary[[#This Row],[Fecha]],SummaryDaily[day],SummaryDaily[Online Store_average_order_value],0)</f>
        <v>0</v>
      </c>
      <c r="O719" s="11">
        <f>_xlfn.XLOOKUP(TableDailySummary[[#This Row],[Fecha]],SummaryDaily[day],SummaryDaily[Tienda 81_net_sales],0)</f>
        <v>0</v>
      </c>
      <c r="P719" s="11">
        <f>_xlfn.XLOOKUP(TableDailySummary[[#This Row],[Fecha]],SummaryDaily[day],SummaryDaily[Tienda 81_orders],0)</f>
        <v>0</v>
      </c>
      <c r="Q719" s="11">
        <f>_xlfn.XLOOKUP(TableDailySummary[[#This Row],[Fecha]],SummaryDaily[day],SummaryDaily[Tienda 81_average_order_value],0)</f>
        <v>0</v>
      </c>
      <c r="R719" s="11">
        <f>_xlfn.XLOOKUP(TableDailySummary[[#This Row],[Fecha]],SummaryDaily[day],SummaryDaily[Rappi_net_sales],0)</f>
        <v>0</v>
      </c>
      <c r="S719" s="11">
        <f>_xlfn.XLOOKUP(TableDailySummary[[#This Row],[Fecha]],SummaryDaily[day],SummaryDaily[Rappi_orders],0)</f>
        <v>0</v>
      </c>
      <c r="T719" s="11">
        <f>_xlfn.XLOOKUP(TableDailySummary[[#This Row],[Fecha]],SummaryDaily[day],SummaryDaily[Rappi_average_order_value],0)</f>
        <v>0</v>
      </c>
      <c r="U719" s="11">
        <f>_xlfn.XLOOKUP(TableDailySummary[[#This Row],[Fecha]],SummaryDaily[day],SummaryDaily[Corporativo no tienda_net_sales],0)</f>
        <v>0</v>
      </c>
      <c r="V719" s="11">
        <f>_xlfn.XLOOKUP(TableDailySummary[[#This Row],[Fecha]],SummaryDaily[day],SummaryDaily[Corporativo no tienda_orders],0)</f>
        <v>0</v>
      </c>
      <c r="W719" s="11">
        <f>_xlfn.XLOOKUP(TableDailySummary[[#This Row],[Fecha]],SummaryDaily[day],SummaryDaily[Corporativo no tienda_average_order_value],0)</f>
        <v>0</v>
      </c>
      <c r="X719" s="11">
        <f>_xlfn.XLOOKUP(TableDailySummary[[#This Row],[Fecha]],SummaryDaily[day],SummaryDaily[GoogleAdsOperation.Cost],0)</f>
        <v>0</v>
      </c>
      <c r="Y719" s="11">
        <f>SUMIFS(SalesByUTMDaily[google],SalesByUTMDaily[day],TableDailySummary[[#This Row],[Fecha]])</f>
        <v>0</v>
      </c>
      <c r="Z719" s="11">
        <f>_xlfn.XLOOKUP(TableDailySummary[[#This Row],[Fecha]],SummaryDaily[day],SummaryDaily[MetaAdsOperation.spend],0)</f>
        <v>0</v>
      </c>
      <c r="AA719" s="11">
        <f>SUMIFS(SalesByUTMDaily[facebook],SalesByUTMDaily[day],TableDailySummary[[#This Row],[Fecha]])</f>
        <v>0</v>
      </c>
      <c r="AB719" s="11">
        <f>TableDailySummary[[#This Row],[Inversión google ads]]+TableDailySummary[[#This Row],[Inversión meta ads]]</f>
        <v>0</v>
      </c>
      <c r="AC719" s="11">
        <f>TableDailySummary[[#This Row],[Ventas google ads]]+TableDailySummary[[#This Row],[Ventas meta ads]]</f>
        <v>0</v>
      </c>
      <c r="AD719" s="14">
        <f>IFERROR(TableDailySummary[[#This Row],[Ventas publicidad]]/TableDailySummary[[#This Row],[Inversión publicidad]],0)</f>
        <v>0</v>
      </c>
      <c r="AE719" s="14">
        <f>IFERROR(TableDailySummary[[#This Row],[Ventas primer cliente]]/TableDailySummary[[#This Row],[Inversión publicidad]],0)</f>
        <v>0</v>
      </c>
      <c r="AF719" s="14"/>
      <c r="AG719" s="11"/>
      <c r="AM719" s="11">
        <f>_xlfn.XLOOKUP(TableDailySummary[[#This Row],[Fecha]],SummaryDaily[day],SummaryDaily[net_sales_with_cost_recorded],0)</f>
        <v>0</v>
      </c>
      <c r="AN719" s="11">
        <f>_xlfn.XLOOKUP(TableDailySummary[[#This Row],[Fecha]],SummaryDaily[day],SummaryDaily[cost_of_goods_sold],0)</f>
        <v>0</v>
      </c>
      <c r="AO719" s="11">
        <f>_xlfn.XLOOKUP(TableDailySummary[[#This Row],[Fecha]],SummaryDaily[day],SummaryDaily[gross_profit],0)</f>
        <v>0</v>
      </c>
      <c r="AP719" s="18">
        <f>IFERROR(TableDailySummary[[#This Row],[Utilidad bruta]]/TableDailySummary[[#This Row],[Ventas netas con costo registrado]],0)</f>
        <v>0</v>
      </c>
    </row>
    <row r="720" spans="2:42" x14ac:dyDescent="0.2">
      <c r="B720" s="15" cm="1">
        <f t="array" ref="B720">ParamFechaInicioReporte + (ROW(TableDailySummary[#This Row]) - ROW(TableDailySummary[[#Headers],[Dia]]) - 1)</f>
        <v>45247</v>
      </c>
      <c r="C720" s="6">
        <f>TableDailySummary[[#This Row],[Dia]]</f>
        <v>45247</v>
      </c>
      <c r="D720" s="11">
        <f>_xlfn.XLOOKUP(TableDailySummary[[#This Row],[Fecha]],SummaryDaily[day],SummaryDaily[net_sales],0)</f>
        <v>0</v>
      </c>
      <c r="E720" s="11">
        <f>_xlfn.XLOOKUP(TableDailySummary[[#This Row],[Fecha]],SummaryDaily[day],SummaryDaily[orders],0)</f>
        <v>0</v>
      </c>
      <c r="F720" s="11">
        <f>_xlfn.XLOOKUP(TableDailySummary[[#This Row],[Fecha]],SummaryDaily[day],SummaryDaily[average_order_value],0)</f>
        <v>0</v>
      </c>
      <c r="G720" s="24" cm="1">
        <f t="array" ref="G720">_xlfn.XLOOKUP(TableDailySummary[[#This Row],[Fecha]]&amp;"Total site",ConversionRateByReferral[day]&amp;ConversionRateByReferral[referrer_source],ConversionRateByReferral[conversion_rate],0)</f>
        <v>0</v>
      </c>
      <c r="H720" s="11">
        <f>TableDailySummary[[#This Row],[Órden promedio totales]]*TableDailySummary[[#This Row],[CR totales]]</f>
        <v>0</v>
      </c>
      <c r="I720" s="11">
        <f>_xlfn.XLOOKUP(TableDailySummary[[#This Row],[Fecha]],SummaryDaily[day],SummaryDaily[new_net_sales],0)</f>
        <v>0</v>
      </c>
      <c r="J720" s="11">
        <f>_xlfn.XLOOKUP(TableDailySummary[[#This Row],[Fecha]],SummaryDaily[day],SummaryDaily[new_orders],0)</f>
        <v>0</v>
      </c>
      <c r="K720" s="11">
        <f>_xlfn.XLOOKUP(TableDailySummary[[#This Row],[Fecha]],SummaryDaily[day],SummaryDaily[new_average_order_value],0)</f>
        <v>0</v>
      </c>
      <c r="L720" s="11">
        <f>_xlfn.XLOOKUP(TableDailySummary[[#This Row],[Fecha]],SummaryDaily[day],SummaryDaily[Online Store_net_sales],0)</f>
        <v>0</v>
      </c>
      <c r="M720" s="11">
        <f>_xlfn.XLOOKUP(TableDailySummary[[#This Row],[Fecha]],SummaryDaily[day],SummaryDaily[Online Store_orders],0)</f>
        <v>0</v>
      </c>
      <c r="N720" s="11">
        <f>_xlfn.XLOOKUP(TableDailySummary[[#This Row],[Fecha]],SummaryDaily[day],SummaryDaily[Online Store_average_order_value],0)</f>
        <v>0</v>
      </c>
      <c r="O720" s="11">
        <f>_xlfn.XLOOKUP(TableDailySummary[[#This Row],[Fecha]],SummaryDaily[day],SummaryDaily[Tienda 81_net_sales],0)</f>
        <v>0</v>
      </c>
      <c r="P720" s="11">
        <f>_xlfn.XLOOKUP(TableDailySummary[[#This Row],[Fecha]],SummaryDaily[day],SummaryDaily[Tienda 81_orders],0)</f>
        <v>0</v>
      </c>
      <c r="Q720" s="11">
        <f>_xlfn.XLOOKUP(TableDailySummary[[#This Row],[Fecha]],SummaryDaily[day],SummaryDaily[Tienda 81_average_order_value],0)</f>
        <v>0</v>
      </c>
      <c r="R720" s="11">
        <f>_xlfn.XLOOKUP(TableDailySummary[[#This Row],[Fecha]],SummaryDaily[day],SummaryDaily[Rappi_net_sales],0)</f>
        <v>0</v>
      </c>
      <c r="S720" s="11">
        <f>_xlfn.XLOOKUP(TableDailySummary[[#This Row],[Fecha]],SummaryDaily[day],SummaryDaily[Rappi_orders],0)</f>
        <v>0</v>
      </c>
      <c r="T720" s="11">
        <f>_xlfn.XLOOKUP(TableDailySummary[[#This Row],[Fecha]],SummaryDaily[day],SummaryDaily[Rappi_average_order_value],0)</f>
        <v>0</v>
      </c>
      <c r="U720" s="11">
        <f>_xlfn.XLOOKUP(TableDailySummary[[#This Row],[Fecha]],SummaryDaily[day],SummaryDaily[Corporativo no tienda_net_sales],0)</f>
        <v>0</v>
      </c>
      <c r="V720" s="11">
        <f>_xlfn.XLOOKUP(TableDailySummary[[#This Row],[Fecha]],SummaryDaily[day],SummaryDaily[Corporativo no tienda_orders],0)</f>
        <v>0</v>
      </c>
      <c r="W720" s="11">
        <f>_xlfn.XLOOKUP(TableDailySummary[[#This Row],[Fecha]],SummaryDaily[day],SummaryDaily[Corporativo no tienda_average_order_value],0)</f>
        <v>0</v>
      </c>
      <c r="X720" s="11">
        <f>_xlfn.XLOOKUP(TableDailySummary[[#This Row],[Fecha]],SummaryDaily[day],SummaryDaily[GoogleAdsOperation.Cost],0)</f>
        <v>0</v>
      </c>
      <c r="Y720" s="11">
        <f>SUMIFS(SalesByUTMDaily[google],SalesByUTMDaily[day],TableDailySummary[[#This Row],[Fecha]])</f>
        <v>0</v>
      </c>
      <c r="Z720" s="11">
        <f>_xlfn.XLOOKUP(TableDailySummary[[#This Row],[Fecha]],SummaryDaily[day],SummaryDaily[MetaAdsOperation.spend],0)</f>
        <v>0</v>
      </c>
      <c r="AA720" s="11">
        <f>SUMIFS(SalesByUTMDaily[facebook],SalesByUTMDaily[day],TableDailySummary[[#This Row],[Fecha]])</f>
        <v>0</v>
      </c>
      <c r="AB720" s="11">
        <f>TableDailySummary[[#This Row],[Inversión google ads]]+TableDailySummary[[#This Row],[Inversión meta ads]]</f>
        <v>0</v>
      </c>
      <c r="AC720" s="11">
        <f>TableDailySummary[[#This Row],[Ventas google ads]]+TableDailySummary[[#This Row],[Ventas meta ads]]</f>
        <v>0</v>
      </c>
      <c r="AD720" s="14">
        <f>IFERROR(TableDailySummary[[#This Row],[Ventas publicidad]]/TableDailySummary[[#This Row],[Inversión publicidad]],0)</f>
        <v>0</v>
      </c>
      <c r="AE720" s="14">
        <f>IFERROR(TableDailySummary[[#This Row],[Ventas primer cliente]]/TableDailySummary[[#This Row],[Inversión publicidad]],0)</f>
        <v>0</v>
      </c>
      <c r="AF720" s="14"/>
      <c r="AG720" s="11"/>
      <c r="AM720" s="11">
        <f>_xlfn.XLOOKUP(TableDailySummary[[#This Row],[Fecha]],SummaryDaily[day],SummaryDaily[net_sales_with_cost_recorded],0)</f>
        <v>0</v>
      </c>
      <c r="AN720" s="11">
        <f>_xlfn.XLOOKUP(TableDailySummary[[#This Row],[Fecha]],SummaryDaily[day],SummaryDaily[cost_of_goods_sold],0)</f>
        <v>0</v>
      </c>
      <c r="AO720" s="11">
        <f>_xlfn.XLOOKUP(TableDailySummary[[#This Row],[Fecha]],SummaryDaily[day],SummaryDaily[gross_profit],0)</f>
        <v>0</v>
      </c>
      <c r="AP720" s="18">
        <f>IFERROR(TableDailySummary[[#This Row],[Utilidad bruta]]/TableDailySummary[[#This Row],[Ventas netas con costo registrado]],0)</f>
        <v>0</v>
      </c>
    </row>
    <row r="721" spans="2:42" x14ac:dyDescent="0.2">
      <c r="B721" s="15" cm="1">
        <f t="array" ref="B721">ParamFechaInicioReporte + (ROW(TableDailySummary[#This Row]) - ROW(TableDailySummary[[#Headers],[Dia]]) - 1)</f>
        <v>45248</v>
      </c>
      <c r="C721" s="6">
        <f>TableDailySummary[[#This Row],[Dia]]</f>
        <v>45248</v>
      </c>
      <c r="D721" s="11">
        <f>_xlfn.XLOOKUP(TableDailySummary[[#This Row],[Fecha]],SummaryDaily[day],SummaryDaily[net_sales],0)</f>
        <v>0</v>
      </c>
      <c r="E721" s="11">
        <f>_xlfn.XLOOKUP(TableDailySummary[[#This Row],[Fecha]],SummaryDaily[day],SummaryDaily[orders],0)</f>
        <v>0</v>
      </c>
      <c r="F721" s="11">
        <f>_xlfn.XLOOKUP(TableDailySummary[[#This Row],[Fecha]],SummaryDaily[day],SummaryDaily[average_order_value],0)</f>
        <v>0</v>
      </c>
      <c r="G721" s="24" cm="1">
        <f t="array" ref="G721">_xlfn.XLOOKUP(TableDailySummary[[#This Row],[Fecha]]&amp;"Total site",ConversionRateByReferral[day]&amp;ConversionRateByReferral[referrer_source],ConversionRateByReferral[conversion_rate],0)</f>
        <v>0</v>
      </c>
      <c r="H721" s="11">
        <f>TableDailySummary[[#This Row],[Órden promedio totales]]*TableDailySummary[[#This Row],[CR totales]]</f>
        <v>0</v>
      </c>
      <c r="I721" s="11">
        <f>_xlfn.XLOOKUP(TableDailySummary[[#This Row],[Fecha]],SummaryDaily[day],SummaryDaily[new_net_sales],0)</f>
        <v>0</v>
      </c>
      <c r="J721" s="11">
        <f>_xlfn.XLOOKUP(TableDailySummary[[#This Row],[Fecha]],SummaryDaily[day],SummaryDaily[new_orders],0)</f>
        <v>0</v>
      </c>
      <c r="K721" s="11">
        <f>_xlfn.XLOOKUP(TableDailySummary[[#This Row],[Fecha]],SummaryDaily[day],SummaryDaily[new_average_order_value],0)</f>
        <v>0</v>
      </c>
      <c r="L721" s="11">
        <f>_xlfn.XLOOKUP(TableDailySummary[[#This Row],[Fecha]],SummaryDaily[day],SummaryDaily[Online Store_net_sales],0)</f>
        <v>0</v>
      </c>
      <c r="M721" s="11">
        <f>_xlfn.XLOOKUP(TableDailySummary[[#This Row],[Fecha]],SummaryDaily[day],SummaryDaily[Online Store_orders],0)</f>
        <v>0</v>
      </c>
      <c r="N721" s="11">
        <f>_xlfn.XLOOKUP(TableDailySummary[[#This Row],[Fecha]],SummaryDaily[day],SummaryDaily[Online Store_average_order_value],0)</f>
        <v>0</v>
      </c>
      <c r="O721" s="11">
        <f>_xlfn.XLOOKUP(TableDailySummary[[#This Row],[Fecha]],SummaryDaily[day],SummaryDaily[Tienda 81_net_sales],0)</f>
        <v>0</v>
      </c>
      <c r="P721" s="11">
        <f>_xlfn.XLOOKUP(TableDailySummary[[#This Row],[Fecha]],SummaryDaily[day],SummaryDaily[Tienda 81_orders],0)</f>
        <v>0</v>
      </c>
      <c r="Q721" s="11">
        <f>_xlfn.XLOOKUP(TableDailySummary[[#This Row],[Fecha]],SummaryDaily[day],SummaryDaily[Tienda 81_average_order_value],0)</f>
        <v>0</v>
      </c>
      <c r="R721" s="11">
        <f>_xlfn.XLOOKUP(TableDailySummary[[#This Row],[Fecha]],SummaryDaily[day],SummaryDaily[Rappi_net_sales],0)</f>
        <v>0</v>
      </c>
      <c r="S721" s="11">
        <f>_xlfn.XLOOKUP(TableDailySummary[[#This Row],[Fecha]],SummaryDaily[day],SummaryDaily[Rappi_orders],0)</f>
        <v>0</v>
      </c>
      <c r="T721" s="11">
        <f>_xlfn.XLOOKUP(TableDailySummary[[#This Row],[Fecha]],SummaryDaily[day],SummaryDaily[Rappi_average_order_value],0)</f>
        <v>0</v>
      </c>
      <c r="U721" s="11">
        <f>_xlfn.XLOOKUP(TableDailySummary[[#This Row],[Fecha]],SummaryDaily[day],SummaryDaily[Corporativo no tienda_net_sales],0)</f>
        <v>0</v>
      </c>
      <c r="V721" s="11">
        <f>_xlfn.XLOOKUP(TableDailySummary[[#This Row],[Fecha]],SummaryDaily[day],SummaryDaily[Corporativo no tienda_orders],0)</f>
        <v>0</v>
      </c>
      <c r="W721" s="11">
        <f>_xlfn.XLOOKUP(TableDailySummary[[#This Row],[Fecha]],SummaryDaily[day],SummaryDaily[Corporativo no tienda_average_order_value],0)</f>
        <v>0</v>
      </c>
      <c r="X721" s="11">
        <f>_xlfn.XLOOKUP(TableDailySummary[[#This Row],[Fecha]],SummaryDaily[day],SummaryDaily[GoogleAdsOperation.Cost],0)</f>
        <v>0</v>
      </c>
      <c r="Y721" s="11">
        <f>SUMIFS(SalesByUTMDaily[google],SalesByUTMDaily[day],TableDailySummary[[#This Row],[Fecha]])</f>
        <v>0</v>
      </c>
      <c r="Z721" s="11">
        <f>_xlfn.XLOOKUP(TableDailySummary[[#This Row],[Fecha]],SummaryDaily[day],SummaryDaily[MetaAdsOperation.spend],0)</f>
        <v>0</v>
      </c>
      <c r="AA721" s="11">
        <f>SUMIFS(SalesByUTMDaily[facebook],SalesByUTMDaily[day],TableDailySummary[[#This Row],[Fecha]])</f>
        <v>0</v>
      </c>
      <c r="AB721" s="11">
        <f>TableDailySummary[[#This Row],[Inversión google ads]]+TableDailySummary[[#This Row],[Inversión meta ads]]</f>
        <v>0</v>
      </c>
      <c r="AC721" s="11">
        <f>TableDailySummary[[#This Row],[Ventas google ads]]+TableDailySummary[[#This Row],[Ventas meta ads]]</f>
        <v>0</v>
      </c>
      <c r="AD721" s="14">
        <f>IFERROR(TableDailySummary[[#This Row],[Ventas publicidad]]/TableDailySummary[[#This Row],[Inversión publicidad]],0)</f>
        <v>0</v>
      </c>
      <c r="AE721" s="14">
        <f>IFERROR(TableDailySummary[[#This Row],[Ventas primer cliente]]/TableDailySummary[[#This Row],[Inversión publicidad]],0)</f>
        <v>0</v>
      </c>
      <c r="AF721" s="14"/>
      <c r="AG721" s="11"/>
      <c r="AM721" s="11">
        <f>_xlfn.XLOOKUP(TableDailySummary[[#This Row],[Fecha]],SummaryDaily[day],SummaryDaily[net_sales_with_cost_recorded],0)</f>
        <v>0</v>
      </c>
      <c r="AN721" s="11">
        <f>_xlfn.XLOOKUP(TableDailySummary[[#This Row],[Fecha]],SummaryDaily[day],SummaryDaily[cost_of_goods_sold],0)</f>
        <v>0</v>
      </c>
      <c r="AO721" s="11">
        <f>_xlfn.XLOOKUP(TableDailySummary[[#This Row],[Fecha]],SummaryDaily[day],SummaryDaily[gross_profit],0)</f>
        <v>0</v>
      </c>
      <c r="AP721" s="18">
        <f>IFERROR(TableDailySummary[[#This Row],[Utilidad bruta]]/TableDailySummary[[#This Row],[Ventas netas con costo registrado]],0)</f>
        <v>0</v>
      </c>
    </row>
    <row r="722" spans="2:42" x14ac:dyDescent="0.2">
      <c r="B722" s="15" cm="1">
        <f t="array" ref="B722">ParamFechaInicioReporte + (ROW(TableDailySummary[#This Row]) - ROW(TableDailySummary[[#Headers],[Dia]]) - 1)</f>
        <v>45249</v>
      </c>
      <c r="C722" s="6">
        <f>TableDailySummary[[#This Row],[Dia]]</f>
        <v>45249</v>
      </c>
      <c r="D722" s="11">
        <f>_xlfn.XLOOKUP(TableDailySummary[[#This Row],[Fecha]],SummaryDaily[day],SummaryDaily[net_sales],0)</f>
        <v>0</v>
      </c>
      <c r="E722" s="11">
        <f>_xlfn.XLOOKUP(TableDailySummary[[#This Row],[Fecha]],SummaryDaily[day],SummaryDaily[orders],0)</f>
        <v>0</v>
      </c>
      <c r="F722" s="11">
        <f>_xlfn.XLOOKUP(TableDailySummary[[#This Row],[Fecha]],SummaryDaily[day],SummaryDaily[average_order_value],0)</f>
        <v>0</v>
      </c>
      <c r="G722" s="24" cm="1">
        <f t="array" ref="G722">_xlfn.XLOOKUP(TableDailySummary[[#This Row],[Fecha]]&amp;"Total site",ConversionRateByReferral[day]&amp;ConversionRateByReferral[referrer_source],ConversionRateByReferral[conversion_rate],0)</f>
        <v>0</v>
      </c>
      <c r="H722" s="11">
        <f>TableDailySummary[[#This Row],[Órden promedio totales]]*TableDailySummary[[#This Row],[CR totales]]</f>
        <v>0</v>
      </c>
      <c r="I722" s="11">
        <f>_xlfn.XLOOKUP(TableDailySummary[[#This Row],[Fecha]],SummaryDaily[day],SummaryDaily[new_net_sales],0)</f>
        <v>0</v>
      </c>
      <c r="J722" s="11">
        <f>_xlfn.XLOOKUP(TableDailySummary[[#This Row],[Fecha]],SummaryDaily[day],SummaryDaily[new_orders],0)</f>
        <v>0</v>
      </c>
      <c r="K722" s="11">
        <f>_xlfn.XLOOKUP(TableDailySummary[[#This Row],[Fecha]],SummaryDaily[day],SummaryDaily[new_average_order_value],0)</f>
        <v>0</v>
      </c>
      <c r="L722" s="11">
        <f>_xlfn.XLOOKUP(TableDailySummary[[#This Row],[Fecha]],SummaryDaily[day],SummaryDaily[Online Store_net_sales],0)</f>
        <v>0</v>
      </c>
      <c r="M722" s="11">
        <f>_xlfn.XLOOKUP(TableDailySummary[[#This Row],[Fecha]],SummaryDaily[day],SummaryDaily[Online Store_orders],0)</f>
        <v>0</v>
      </c>
      <c r="N722" s="11">
        <f>_xlfn.XLOOKUP(TableDailySummary[[#This Row],[Fecha]],SummaryDaily[day],SummaryDaily[Online Store_average_order_value],0)</f>
        <v>0</v>
      </c>
      <c r="O722" s="11">
        <f>_xlfn.XLOOKUP(TableDailySummary[[#This Row],[Fecha]],SummaryDaily[day],SummaryDaily[Tienda 81_net_sales],0)</f>
        <v>0</v>
      </c>
      <c r="P722" s="11">
        <f>_xlfn.XLOOKUP(TableDailySummary[[#This Row],[Fecha]],SummaryDaily[day],SummaryDaily[Tienda 81_orders],0)</f>
        <v>0</v>
      </c>
      <c r="Q722" s="11">
        <f>_xlfn.XLOOKUP(TableDailySummary[[#This Row],[Fecha]],SummaryDaily[day],SummaryDaily[Tienda 81_average_order_value],0)</f>
        <v>0</v>
      </c>
      <c r="R722" s="11">
        <f>_xlfn.XLOOKUP(TableDailySummary[[#This Row],[Fecha]],SummaryDaily[day],SummaryDaily[Rappi_net_sales],0)</f>
        <v>0</v>
      </c>
      <c r="S722" s="11">
        <f>_xlfn.XLOOKUP(TableDailySummary[[#This Row],[Fecha]],SummaryDaily[day],SummaryDaily[Rappi_orders],0)</f>
        <v>0</v>
      </c>
      <c r="T722" s="11">
        <f>_xlfn.XLOOKUP(TableDailySummary[[#This Row],[Fecha]],SummaryDaily[day],SummaryDaily[Rappi_average_order_value],0)</f>
        <v>0</v>
      </c>
      <c r="U722" s="11">
        <f>_xlfn.XLOOKUP(TableDailySummary[[#This Row],[Fecha]],SummaryDaily[day],SummaryDaily[Corporativo no tienda_net_sales],0)</f>
        <v>0</v>
      </c>
      <c r="V722" s="11">
        <f>_xlfn.XLOOKUP(TableDailySummary[[#This Row],[Fecha]],SummaryDaily[day],SummaryDaily[Corporativo no tienda_orders],0)</f>
        <v>0</v>
      </c>
      <c r="W722" s="11">
        <f>_xlfn.XLOOKUP(TableDailySummary[[#This Row],[Fecha]],SummaryDaily[day],SummaryDaily[Corporativo no tienda_average_order_value],0)</f>
        <v>0</v>
      </c>
      <c r="X722" s="11">
        <f>_xlfn.XLOOKUP(TableDailySummary[[#This Row],[Fecha]],SummaryDaily[day],SummaryDaily[GoogleAdsOperation.Cost],0)</f>
        <v>0</v>
      </c>
      <c r="Y722" s="11">
        <f>SUMIFS(SalesByUTMDaily[google],SalesByUTMDaily[day],TableDailySummary[[#This Row],[Fecha]])</f>
        <v>0</v>
      </c>
      <c r="Z722" s="11">
        <f>_xlfn.XLOOKUP(TableDailySummary[[#This Row],[Fecha]],SummaryDaily[day],SummaryDaily[MetaAdsOperation.spend],0)</f>
        <v>0</v>
      </c>
      <c r="AA722" s="11">
        <f>SUMIFS(SalesByUTMDaily[facebook],SalesByUTMDaily[day],TableDailySummary[[#This Row],[Fecha]])</f>
        <v>0</v>
      </c>
      <c r="AB722" s="11">
        <f>TableDailySummary[[#This Row],[Inversión google ads]]+TableDailySummary[[#This Row],[Inversión meta ads]]</f>
        <v>0</v>
      </c>
      <c r="AC722" s="11">
        <f>TableDailySummary[[#This Row],[Ventas google ads]]+TableDailySummary[[#This Row],[Ventas meta ads]]</f>
        <v>0</v>
      </c>
      <c r="AD722" s="14">
        <f>IFERROR(TableDailySummary[[#This Row],[Ventas publicidad]]/TableDailySummary[[#This Row],[Inversión publicidad]],0)</f>
        <v>0</v>
      </c>
      <c r="AE722" s="14">
        <f>IFERROR(TableDailySummary[[#This Row],[Ventas primer cliente]]/TableDailySummary[[#This Row],[Inversión publicidad]],0)</f>
        <v>0</v>
      </c>
      <c r="AF722" s="14"/>
      <c r="AG722" s="11"/>
      <c r="AM722" s="11">
        <f>_xlfn.XLOOKUP(TableDailySummary[[#This Row],[Fecha]],SummaryDaily[day],SummaryDaily[net_sales_with_cost_recorded],0)</f>
        <v>0</v>
      </c>
      <c r="AN722" s="11">
        <f>_xlfn.XLOOKUP(TableDailySummary[[#This Row],[Fecha]],SummaryDaily[day],SummaryDaily[cost_of_goods_sold],0)</f>
        <v>0</v>
      </c>
      <c r="AO722" s="11">
        <f>_xlfn.XLOOKUP(TableDailySummary[[#This Row],[Fecha]],SummaryDaily[day],SummaryDaily[gross_profit],0)</f>
        <v>0</v>
      </c>
      <c r="AP722" s="18">
        <f>IFERROR(TableDailySummary[[#This Row],[Utilidad bruta]]/TableDailySummary[[#This Row],[Ventas netas con costo registrado]],0)</f>
        <v>0</v>
      </c>
    </row>
    <row r="723" spans="2:42" x14ac:dyDescent="0.2">
      <c r="B723" s="15" cm="1">
        <f t="array" ref="B723">ParamFechaInicioReporte + (ROW(TableDailySummary[#This Row]) - ROW(TableDailySummary[[#Headers],[Dia]]) - 1)</f>
        <v>45250</v>
      </c>
      <c r="C723" s="6">
        <f>TableDailySummary[[#This Row],[Dia]]</f>
        <v>45250</v>
      </c>
      <c r="D723" s="11">
        <f>_xlfn.XLOOKUP(TableDailySummary[[#This Row],[Fecha]],SummaryDaily[day],SummaryDaily[net_sales],0)</f>
        <v>0</v>
      </c>
      <c r="E723" s="11">
        <f>_xlfn.XLOOKUP(TableDailySummary[[#This Row],[Fecha]],SummaryDaily[day],SummaryDaily[orders],0)</f>
        <v>0</v>
      </c>
      <c r="F723" s="11">
        <f>_xlfn.XLOOKUP(TableDailySummary[[#This Row],[Fecha]],SummaryDaily[day],SummaryDaily[average_order_value],0)</f>
        <v>0</v>
      </c>
      <c r="G723" s="24" cm="1">
        <f t="array" ref="G723">_xlfn.XLOOKUP(TableDailySummary[[#This Row],[Fecha]]&amp;"Total site",ConversionRateByReferral[day]&amp;ConversionRateByReferral[referrer_source],ConversionRateByReferral[conversion_rate],0)</f>
        <v>0</v>
      </c>
      <c r="H723" s="11">
        <f>TableDailySummary[[#This Row],[Órden promedio totales]]*TableDailySummary[[#This Row],[CR totales]]</f>
        <v>0</v>
      </c>
      <c r="I723" s="11">
        <f>_xlfn.XLOOKUP(TableDailySummary[[#This Row],[Fecha]],SummaryDaily[day],SummaryDaily[new_net_sales],0)</f>
        <v>0</v>
      </c>
      <c r="J723" s="11">
        <f>_xlfn.XLOOKUP(TableDailySummary[[#This Row],[Fecha]],SummaryDaily[day],SummaryDaily[new_orders],0)</f>
        <v>0</v>
      </c>
      <c r="K723" s="11">
        <f>_xlfn.XLOOKUP(TableDailySummary[[#This Row],[Fecha]],SummaryDaily[day],SummaryDaily[new_average_order_value],0)</f>
        <v>0</v>
      </c>
      <c r="L723" s="11">
        <f>_xlfn.XLOOKUP(TableDailySummary[[#This Row],[Fecha]],SummaryDaily[day],SummaryDaily[Online Store_net_sales],0)</f>
        <v>0</v>
      </c>
      <c r="M723" s="11">
        <f>_xlfn.XLOOKUP(TableDailySummary[[#This Row],[Fecha]],SummaryDaily[day],SummaryDaily[Online Store_orders],0)</f>
        <v>0</v>
      </c>
      <c r="N723" s="11">
        <f>_xlfn.XLOOKUP(TableDailySummary[[#This Row],[Fecha]],SummaryDaily[day],SummaryDaily[Online Store_average_order_value],0)</f>
        <v>0</v>
      </c>
      <c r="O723" s="11">
        <f>_xlfn.XLOOKUP(TableDailySummary[[#This Row],[Fecha]],SummaryDaily[day],SummaryDaily[Tienda 81_net_sales],0)</f>
        <v>0</v>
      </c>
      <c r="P723" s="11">
        <f>_xlfn.XLOOKUP(TableDailySummary[[#This Row],[Fecha]],SummaryDaily[day],SummaryDaily[Tienda 81_orders],0)</f>
        <v>0</v>
      </c>
      <c r="Q723" s="11">
        <f>_xlfn.XLOOKUP(TableDailySummary[[#This Row],[Fecha]],SummaryDaily[day],SummaryDaily[Tienda 81_average_order_value],0)</f>
        <v>0</v>
      </c>
      <c r="R723" s="11">
        <f>_xlfn.XLOOKUP(TableDailySummary[[#This Row],[Fecha]],SummaryDaily[day],SummaryDaily[Rappi_net_sales],0)</f>
        <v>0</v>
      </c>
      <c r="S723" s="11">
        <f>_xlfn.XLOOKUP(TableDailySummary[[#This Row],[Fecha]],SummaryDaily[day],SummaryDaily[Rappi_orders],0)</f>
        <v>0</v>
      </c>
      <c r="T723" s="11">
        <f>_xlfn.XLOOKUP(TableDailySummary[[#This Row],[Fecha]],SummaryDaily[day],SummaryDaily[Rappi_average_order_value],0)</f>
        <v>0</v>
      </c>
      <c r="U723" s="11">
        <f>_xlfn.XLOOKUP(TableDailySummary[[#This Row],[Fecha]],SummaryDaily[day],SummaryDaily[Corporativo no tienda_net_sales],0)</f>
        <v>0</v>
      </c>
      <c r="V723" s="11">
        <f>_xlfn.XLOOKUP(TableDailySummary[[#This Row],[Fecha]],SummaryDaily[day],SummaryDaily[Corporativo no tienda_orders],0)</f>
        <v>0</v>
      </c>
      <c r="W723" s="11">
        <f>_xlfn.XLOOKUP(TableDailySummary[[#This Row],[Fecha]],SummaryDaily[day],SummaryDaily[Corporativo no tienda_average_order_value],0)</f>
        <v>0</v>
      </c>
      <c r="X723" s="11">
        <f>_xlfn.XLOOKUP(TableDailySummary[[#This Row],[Fecha]],SummaryDaily[day],SummaryDaily[GoogleAdsOperation.Cost],0)</f>
        <v>0</v>
      </c>
      <c r="Y723" s="11">
        <f>SUMIFS(SalesByUTMDaily[google],SalesByUTMDaily[day],TableDailySummary[[#This Row],[Fecha]])</f>
        <v>0</v>
      </c>
      <c r="Z723" s="11">
        <f>_xlfn.XLOOKUP(TableDailySummary[[#This Row],[Fecha]],SummaryDaily[day],SummaryDaily[MetaAdsOperation.spend],0)</f>
        <v>0</v>
      </c>
      <c r="AA723" s="11">
        <f>SUMIFS(SalesByUTMDaily[facebook],SalesByUTMDaily[day],TableDailySummary[[#This Row],[Fecha]])</f>
        <v>0</v>
      </c>
      <c r="AB723" s="11">
        <f>TableDailySummary[[#This Row],[Inversión google ads]]+TableDailySummary[[#This Row],[Inversión meta ads]]</f>
        <v>0</v>
      </c>
      <c r="AC723" s="11">
        <f>TableDailySummary[[#This Row],[Ventas google ads]]+TableDailySummary[[#This Row],[Ventas meta ads]]</f>
        <v>0</v>
      </c>
      <c r="AD723" s="14">
        <f>IFERROR(TableDailySummary[[#This Row],[Ventas publicidad]]/TableDailySummary[[#This Row],[Inversión publicidad]],0)</f>
        <v>0</v>
      </c>
      <c r="AE723" s="14">
        <f>IFERROR(TableDailySummary[[#This Row],[Ventas primer cliente]]/TableDailySummary[[#This Row],[Inversión publicidad]],0)</f>
        <v>0</v>
      </c>
      <c r="AF723" s="14"/>
      <c r="AG723" s="11"/>
      <c r="AM723" s="11">
        <f>_xlfn.XLOOKUP(TableDailySummary[[#This Row],[Fecha]],SummaryDaily[day],SummaryDaily[net_sales_with_cost_recorded],0)</f>
        <v>0</v>
      </c>
      <c r="AN723" s="11">
        <f>_xlfn.XLOOKUP(TableDailySummary[[#This Row],[Fecha]],SummaryDaily[day],SummaryDaily[cost_of_goods_sold],0)</f>
        <v>0</v>
      </c>
      <c r="AO723" s="11">
        <f>_xlfn.XLOOKUP(TableDailySummary[[#This Row],[Fecha]],SummaryDaily[day],SummaryDaily[gross_profit],0)</f>
        <v>0</v>
      </c>
      <c r="AP723" s="18">
        <f>IFERROR(TableDailySummary[[#This Row],[Utilidad bruta]]/TableDailySummary[[#This Row],[Ventas netas con costo registrado]],0)</f>
        <v>0</v>
      </c>
    </row>
    <row r="724" spans="2:42" x14ac:dyDescent="0.2">
      <c r="B724" s="15" cm="1">
        <f t="array" ref="B724">ParamFechaInicioReporte + (ROW(TableDailySummary[#This Row]) - ROW(TableDailySummary[[#Headers],[Dia]]) - 1)</f>
        <v>45251</v>
      </c>
      <c r="C724" s="6">
        <f>TableDailySummary[[#This Row],[Dia]]</f>
        <v>45251</v>
      </c>
      <c r="D724" s="11">
        <f>_xlfn.XLOOKUP(TableDailySummary[[#This Row],[Fecha]],SummaryDaily[day],SummaryDaily[net_sales],0)</f>
        <v>0</v>
      </c>
      <c r="E724" s="11">
        <f>_xlfn.XLOOKUP(TableDailySummary[[#This Row],[Fecha]],SummaryDaily[day],SummaryDaily[orders],0)</f>
        <v>0</v>
      </c>
      <c r="F724" s="11">
        <f>_xlfn.XLOOKUP(TableDailySummary[[#This Row],[Fecha]],SummaryDaily[day],SummaryDaily[average_order_value],0)</f>
        <v>0</v>
      </c>
      <c r="G724" s="24" cm="1">
        <f t="array" ref="G724">_xlfn.XLOOKUP(TableDailySummary[[#This Row],[Fecha]]&amp;"Total site",ConversionRateByReferral[day]&amp;ConversionRateByReferral[referrer_source],ConversionRateByReferral[conversion_rate],0)</f>
        <v>0</v>
      </c>
      <c r="H724" s="11">
        <f>TableDailySummary[[#This Row],[Órden promedio totales]]*TableDailySummary[[#This Row],[CR totales]]</f>
        <v>0</v>
      </c>
      <c r="I724" s="11">
        <f>_xlfn.XLOOKUP(TableDailySummary[[#This Row],[Fecha]],SummaryDaily[day],SummaryDaily[new_net_sales],0)</f>
        <v>0</v>
      </c>
      <c r="J724" s="11">
        <f>_xlfn.XLOOKUP(TableDailySummary[[#This Row],[Fecha]],SummaryDaily[day],SummaryDaily[new_orders],0)</f>
        <v>0</v>
      </c>
      <c r="K724" s="11">
        <f>_xlfn.XLOOKUP(TableDailySummary[[#This Row],[Fecha]],SummaryDaily[day],SummaryDaily[new_average_order_value],0)</f>
        <v>0</v>
      </c>
      <c r="L724" s="11">
        <f>_xlfn.XLOOKUP(TableDailySummary[[#This Row],[Fecha]],SummaryDaily[day],SummaryDaily[Online Store_net_sales],0)</f>
        <v>0</v>
      </c>
      <c r="M724" s="11">
        <f>_xlfn.XLOOKUP(TableDailySummary[[#This Row],[Fecha]],SummaryDaily[day],SummaryDaily[Online Store_orders],0)</f>
        <v>0</v>
      </c>
      <c r="N724" s="11">
        <f>_xlfn.XLOOKUP(TableDailySummary[[#This Row],[Fecha]],SummaryDaily[day],SummaryDaily[Online Store_average_order_value],0)</f>
        <v>0</v>
      </c>
      <c r="O724" s="11">
        <f>_xlfn.XLOOKUP(TableDailySummary[[#This Row],[Fecha]],SummaryDaily[day],SummaryDaily[Tienda 81_net_sales],0)</f>
        <v>0</v>
      </c>
      <c r="P724" s="11">
        <f>_xlfn.XLOOKUP(TableDailySummary[[#This Row],[Fecha]],SummaryDaily[day],SummaryDaily[Tienda 81_orders],0)</f>
        <v>0</v>
      </c>
      <c r="Q724" s="11">
        <f>_xlfn.XLOOKUP(TableDailySummary[[#This Row],[Fecha]],SummaryDaily[day],SummaryDaily[Tienda 81_average_order_value],0)</f>
        <v>0</v>
      </c>
      <c r="R724" s="11">
        <f>_xlfn.XLOOKUP(TableDailySummary[[#This Row],[Fecha]],SummaryDaily[day],SummaryDaily[Rappi_net_sales],0)</f>
        <v>0</v>
      </c>
      <c r="S724" s="11">
        <f>_xlfn.XLOOKUP(TableDailySummary[[#This Row],[Fecha]],SummaryDaily[day],SummaryDaily[Rappi_orders],0)</f>
        <v>0</v>
      </c>
      <c r="T724" s="11">
        <f>_xlfn.XLOOKUP(TableDailySummary[[#This Row],[Fecha]],SummaryDaily[day],SummaryDaily[Rappi_average_order_value],0)</f>
        <v>0</v>
      </c>
      <c r="U724" s="11">
        <f>_xlfn.XLOOKUP(TableDailySummary[[#This Row],[Fecha]],SummaryDaily[day],SummaryDaily[Corporativo no tienda_net_sales],0)</f>
        <v>0</v>
      </c>
      <c r="V724" s="11">
        <f>_xlfn.XLOOKUP(TableDailySummary[[#This Row],[Fecha]],SummaryDaily[day],SummaryDaily[Corporativo no tienda_orders],0)</f>
        <v>0</v>
      </c>
      <c r="W724" s="11">
        <f>_xlfn.XLOOKUP(TableDailySummary[[#This Row],[Fecha]],SummaryDaily[day],SummaryDaily[Corporativo no tienda_average_order_value],0)</f>
        <v>0</v>
      </c>
      <c r="X724" s="11">
        <f>_xlfn.XLOOKUP(TableDailySummary[[#This Row],[Fecha]],SummaryDaily[day],SummaryDaily[GoogleAdsOperation.Cost],0)</f>
        <v>0</v>
      </c>
      <c r="Y724" s="11">
        <f>SUMIFS(SalesByUTMDaily[google],SalesByUTMDaily[day],TableDailySummary[[#This Row],[Fecha]])</f>
        <v>0</v>
      </c>
      <c r="Z724" s="11">
        <f>_xlfn.XLOOKUP(TableDailySummary[[#This Row],[Fecha]],SummaryDaily[day],SummaryDaily[MetaAdsOperation.spend],0)</f>
        <v>0</v>
      </c>
      <c r="AA724" s="11">
        <f>SUMIFS(SalesByUTMDaily[facebook],SalesByUTMDaily[day],TableDailySummary[[#This Row],[Fecha]])</f>
        <v>0</v>
      </c>
      <c r="AB724" s="11">
        <f>TableDailySummary[[#This Row],[Inversión google ads]]+TableDailySummary[[#This Row],[Inversión meta ads]]</f>
        <v>0</v>
      </c>
      <c r="AC724" s="11">
        <f>TableDailySummary[[#This Row],[Ventas google ads]]+TableDailySummary[[#This Row],[Ventas meta ads]]</f>
        <v>0</v>
      </c>
      <c r="AD724" s="14">
        <f>IFERROR(TableDailySummary[[#This Row],[Ventas publicidad]]/TableDailySummary[[#This Row],[Inversión publicidad]],0)</f>
        <v>0</v>
      </c>
      <c r="AE724" s="14">
        <f>IFERROR(TableDailySummary[[#This Row],[Ventas primer cliente]]/TableDailySummary[[#This Row],[Inversión publicidad]],0)</f>
        <v>0</v>
      </c>
      <c r="AF724" s="14"/>
      <c r="AG724" s="11"/>
      <c r="AM724" s="11">
        <f>_xlfn.XLOOKUP(TableDailySummary[[#This Row],[Fecha]],SummaryDaily[day],SummaryDaily[net_sales_with_cost_recorded],0)</f>
        <v>0</v>
      </c>
      <c r="AN724" s="11">
        <f>_xlfn.XLOOKUP(TableDailySummary[[#This Row],[Fecha]],SummaryDaily[day],SummaryDaily[cost_of_goods_sold],0)</f>
        <v>0</v>
      </c>
      <c r="AO724" s="11">
        <f>_xlfn.XLOOKUP(TableDailySummary[[#This Row],[Fecha]],SummaryDaily[day],SummaryDaily[gross_profit],0)</f>
        <v>0</v>
      </c>
      <c r="AP724" s="18">
        <f>IFERROR(TableDailySummary[[#This Row],[Utilidad bruta]]/TableDailySummary[[#This Row],[Ventas netas con costo registrado]],0)</f>
        <v>0</v>
      </c>
    </row>
    <row r="725" spans="2:42" x14ac:dyDescent="0.2">
      <c r="B725" s="15" cm="1">
        <f t="array" ref="B725">ParamFechaInicioReporte + (ROW(TableDailySummary[#This Row]) - ROW(TableDailySummary[[#Headers],[Dia]]) - 1)</f>
        <v>45252</v>
      </c>
      <c r="C725" s="6">
        <f>TableDailySummary[[#This Row],[Dia]]</f>
        <v>45252</v>
      </c>
      <c r="D725" s="11">
        <f>_xlfn.XLOOKUP(TableDailySummary[[#This Row],[Fecha]],SummaryDaily[day],SummaryDaily[net_sales],0)</f>
        <v>0</v>
      </c>
      <c r="E725" s="11">
        <f>_xlfn.XLOOKUP(TableDailySummary[[#This Row],[Fecha]],SummaryDaily[day],SummaryDaily[orders],0)</f>
        <v>0</v>
      </c>
      <c r="F725" s="11">
        <f>_xlfn.XLOOKUP(TableDailySummary[[#This Row],[Fecha]],SummaryDaily[day],SummaryDaily[average_order_value],0)</f>
        <v>0</v>
      </c>
      <c r="G725" s="24" cm="1">
        <f t="array" ref="G725">_xlfn.XLOOKUP(TableDailySummary[[#This Row],[Fecha]]&amp;"Total site",ConversionRateByReferral[day]&amp;ConversionRateByReferral[referrer_source],ConversionRateByReferral[conversion_rate],0)</f>
        <v>0</v>
      </c>
      <c r="H725" s="11">
        <f>TableDailySummary[[#This Row],[Órden promedio totales]]*TableDailySummary[[#This Row],[CR totales]]</f>
        <v>0</v>
      </c>
      <c r="I725" s="11">
        <f>_xlfn.XLOOKUP(TableDailySummary[[#This Row],[Fecha]],SummaryDaily[day],SummaryDaily[new_net_sales],0)</f>
        <v>0</v>
      </c>
      <c r="J725" s="11">
        <f>_xlfn.XLOOKUP(TableDailySummary[[#This Row],[Fecha]],SummaryDaily[day],SummaryDaily[new_orders],0)</f>
        <v>0</v>
      </c>
      <c r="K725" s="11">
        <f>_xlfn.XLOOKUP(TableDailySummary[[#This Row],[Fecha]],SummaryDaily[day],SummaryDaily[new_average_order_value],0)</f>
        <v>0</v>
      </c>
      <c r="L725" s="11">
        <f>_xlfn.XLOOKUP(TableDailySummary[[#This Row],[Fecha]],SummaryDaily[day],SummaryDaily[Online Store_net_sales],0)</f>
        <v>0</v>
      </c>
      <c r="M725" s="11">
        <f>_xlfn.XLOOKUP(TableDailySummary[[#This Row],[Fecha]],SummaryDaily[day],SummaryDaily[Online Store_orders],0)</f>
        <v>0</v>
      </c>
      <c r="N725" s="11">
        <f>_xlfn.XLOOKUP(TableDailySummary[[#This Row],[Fecha]],SummaryDaily[day],SummaryDaily[Online Store_average_order_value],0)</f>
        <v>0</v>
      </c>
      <c r="O725" s="11">
        <f>_xlfn.XLOOKUP(TableDailySummary[[#This Row],[Fecha]],SummaryDaily[day],SummaryDaily[Tienda 81_net_sales],0)</f>
        <v>0</v>
      </c>
      <c r="P725" s="11">
        <f>_xlfn.XLOOKUP(TableDailySummary[[#This Row],[Fecha]],SummaryDaily[day],SummaryDaily[Tienda 81_orders],0)</f>
        <v>0</v>
      </c>
      <c r="Q725" s="11">
        <f>_xlfn.XLOOKUP(TableDailySummary[[#This Row],[Fecha]],SummaryDaily[day],SummaryDaily[Tienda 81_average_order_value],0)</f>
        <v>0</v>
      </c>
      <c r="R725" s="11">
        <f>_xlfn.XLOOKUP(TableDailySummary[[#This Row],[Fecha]],SummaryDaily[day],SummaryDaily[Rappi_net_sales],0)</f>
        <v>0</v>
      </c>
      <c r="S725" s="11">
        <f>_xlfn.XLOOKUP(TableDailySummary[[#This Row],[Fecha]],SummaryDaily[day],SummaryDaily[Rappi_orders],0)</f>
        <v>0</v>
      </c>
      <c r="T725" s="11">
        <f>_xlfn.XLOOKUP(TableDailySummary[[#This Row],[Fecha]],SummaryDaily[day],SummaryDaily[Rappi_average_order_value],0)</f>
        <v>0</v>
      </c>
      <c r="U725" s="11">
        <f>_xlfn.XLOOKUP(TableDailySummary[[#This Row],[Fecha]],SummaryDaily[day],SummaryDaily[Corporativo no tienda_net_sales],0)</f>
        <v>0</v>
      </c>
      <c r="V725" s="11">
        <f>_xlfn.XLOOKUP(TableDailySummary[[#This Row],[Fecha]],SummaryDaily[day],SummaryDaily[Corporativo no tienda_orders],0)</f>
        <v>0</v>
      </c>
      <c r="W725" s="11">
        <f>_xlfn.XLOOKUP(TableDailySummary[[#This Row],[Fecha]],SummaryDaily[day],SummaryDaily[Corporativo no tienda_average_order_value],0)</f>
        <v>0</v>
      </c>
      <c r="X725" s="11">
        <f>_xlfn.XLOOKUP(TableDailySummary[[#This Row],[Fecha]],SummaryDaily[day],SummaryDaily[GoogleAdsOperation.Cost],0)</f>
        <v>0</v>
      </c>
      <c r="Y725" s="11">
        <f>SUMIFS(SalesByUTMDaily[google],SalesByUTMDaily[day],TableDailySummary[[#This Row],[Fecha]])</f>
        <v>0</v>
      </c>
      <c r="Z725" s="11">
        <f>_xlfn.XLOOKUP(TableDailySummary[[#This Row],[Fecha]],SummaryDaily[day],SummaryDaily[MetaAdsOperation.spend],0)</f>
        <v>0</v>
      </c>
      <c r="AA725" s="11">
        <f>SUMIFS(SalesByUTMDaily[facebook],SalesByUTMDaily[day],TableDailySummary[[#This Row],[Fecha]])</f>
        <v>0</v>
      </c>
      <c r="AB725" s="11">
        <f>TableDailySummary[[#This Row],[Inversión google ads]]+TableDailySummary[[#This Row],[Inversión meta ads]]</f>
        <v>0</v>
      </c>
      <c r="AC725" s="11">
        <f>TableDailySummary[[#This Row],[Ventas google ads]]+TableDailySummary[[#This Row],[Ventas meta ads]]</f>
        <v>0</v>
      </c>
      <c r="AD725" s="14">
        <f>IFERROR(TableDailySummary[[#This Row],[Ventas publicidad]]/TableDailySummary[[#This Row],[Inversión publicidad]],0)</f>
        <v>0</v>
      </c>
      <c r="AE725" s="14">
        <f>IFERROR(TableDailySummary[[#This Row],[Ventas primer cliente]]/TableDailySummary[[#This Row],[Inversión publicidad]],0)</f>
        <v>0</v>
      </c>
      <c r="AF725" s="14"/>
      <c r="AG725" s="11"/>
      <c r="AM725" s="11">
        <f>_xlfn.XLOOKUP(TableDailySummary[[#This Row],[Fecha]],SummaryDaily[day],SummaryDaily[net_sales_with_cost_recorded],0)</f>
        <v>0</v>
      </c>
      <c r="AN725" s="11">
        <f>_xlfn.XLOOKUP(TableDailySummary[[#This Row],[Fecha]],SummaryDaily[day],SummaryDaily[cost_of_goods_sold],0)</f>
        <v>0</v>
      </c>
      <c r="AO725" s="11">
        <f>_xlfn.XLOOKUP(TableDailySummary[[#This Row],[Fecha]],SummaryDaily[day],SummaryDaily[gross_profit],0)</f>
        <v>0</v>
      </c>
      <c r="AP725" s="18">
        <f>IFERROR(TableDailySummary[[#This Row],[Utilidad bruta]]/TableDailySummary[[#This Row],[Ventas netas con costo registrado]],0)</f>
        <v>0</v>
      </c>
    </row>
    <row r="726" spans="2:42" x14ac:dyDescent="0.2">
      <c r="B726" s="15" cm="1">
        <f t="array" ref="B726">ParamFechaInicioReporte + (ROW(TableDailySummary[#This Row]) - ROW(TableDailySummary[[#Headers],[Dia]]) - 1)</f>
        <v>45253</v>
      </c>
      <c r="C726" s="6">
        <f>TableDailySummary[[#This Row],[Dia]]</f>
        <v>45253</v>
      </c>
      <c r="D726" s="11">
        <f>_xlfn.XLOOKUP(TableDailySummary[[#This Row],[Fecha]],SummaryDaily[day],SummaryDaily[net_sales],0)</f>
        <v>0</v>
      </c>
      <c r="E726" s="11">
        <f>_xlfn.XLOOKUP(TableDailySummary[[#This Row],[Fecha]],SummaryDaily[day],SummaryDaily[orders],0)</f>
        <v>0</v>
      </c>
      <c r="F726" s="11">
        <f>_xlfn.XLOOKUP(TableDailySummary[[#This Row],[Fecha]],SummaryDaily[day],SummaryDaily[average_order_value],0)</f>
        <v>0</v>
      </c>
      <c r="G726" s="24" cm="1">
        <f t="array" ref="G726">_xlfn.XLOOKUP(TableDailySummary[[#This Row],[Fecha]]&amp;"Total site",ConversionRateByReferral[day]&amp;ConversionRateByReferral[referrer_source],ConversionRateByReferral[conversion_rate],0)</f>
        <v>0</v>
      </c>
      <c r="H726" s="11">
        <f>TableDailySummary[[#This Row],[Órden promedio totales]]*TableDailySummary[[#This Row],[CR totales]]</f>
        <v>0</v>
      </c>
      <c r="I726" s="11">
        <f>_xlfn.XLOOKUP(TableDailySummary[[#This Row],[Fecha]],SummaryDaily[day],SummaryDaily[new_net_sales],0)</f>
        <v>0</v>
      </c>
      <c r="J726" s="11">
        <f>_xlfn.XLOOKUP(TableDailySummary[[#This Row],[Fecha]],SummaryDaily[day],SummaryDaily[new_orders],0)</f>
        <v>0</v>
      </c>
      <c r="K726" s="11">
        <f>_xlfn.XLOOKUP(TableDailySummary[[#This Row],[Fecha]],SummaryDaily[day],SummaryDaily[new_average_order_value],0)</f>
        <v>0</v>
      </c>
      <c r="L726" s="11">
        <f>_xlfn.XLOOKUP(TableDailySummary[[#This Row],[Fecha]],SummaryDaily[day],SummaryDaily[Online Store_net_sales],0)</f>
        <v>0</v>
      </c>
      <c r="M726" s="11">
        <f>_xlfn.XLOOKUP(TableDailySummary[[#This Row],[Fecha]],SummaryDaily[day],SummaryDaily[Online Store_orders],0)</f>
        <v>0</v>
      </c>
      <c r="N726" s="11">
        <f>_xlfn.XLOOKUP(TableDailySummary[[#This Row],[Fecha]],SummaryDaily[day],SummaryDaily[Online Store_average_order_value],0)</f>
        <v>0</v>
      </c>
      <c r="O726" s="11">
        <f>_xlfn.XLOOKUP(TableDailySummary[[#This Row],[Fecha]],SummaryDaily[day],SummaryDaily[Tienda 81_net_sales],0)</f>
        <v>0</v>
      </c>
      <c r="P726" s="11">
        <f>_xlfn.XLOOKUP(TableDailySummary[[#This Row],[Fecha]],SummaryDaily[day],SummaryDaily[Tienda 81_orders],0)</f>
        <v>0</v>
      </c>
      <c r="Q726" s="11">
        <f>_xlfn.XLOOKUP(TableDailySummary[[#This Row],[Fecha]],SummaryDaily[day],SummaryDaily[Tienda 81_average_order_value],0)</f>
        <v>0</v>
      </c>
      <c r="R726" s="11">
        <f>_xlfn.XLOOKUP(TableDailySummary[[#This Row],[Fecha]],SummaryDaily[day],SummaryDaily[Rappi_net_sales],0)</f>
        <v>0</v>
      </c>
      <c r="S726" s="11">
        <f>_xlfn.XLOOKUP(TableDailySummary[[#This Row],[Fecha]],SummaryDaily[day],SummaryDaily[Rappi_orders],0)</f>
        <v>0</v>
      </c>
      <c r="T726" s="11">
        <f>_xlfn.XLOOKUP(TableDailySummary[[#This Row],[Fecha]],SummaryDaily[day],SummaryDaily[Rappi_average_order_value],0)</f>
        <v>0</v>
      </c>
      <c r="U726" s="11">
        <f>_xlfn.XLOOKUP(TableDailySummary[[#This Row],[Fecha]],SummaryDaily[day],SummaryDaily[Corporativo no tienda_net_sales],0)</f>
        <v>0</v>
      </c>
      <c r="V726" s="11">
        <f>_xlfn.XLOOKUP(TableDailySummary[[#This Row],[Fecha]],SummaryDaily[day],SummaryDaily[Corporativo no tienda_orders],0)</f>
        <v>0</v>
      </c>
      <c r="W726" s="11">
        <f>_xlfn.XLOOKUP(TableDailySummary[[#This Row],[Fecha]],SummaryDaily[day],SummaryDaily[Corporativo no tienda_average_order_value],0)</f>
        <v>0</v>
      </c>
      <c r="X726" s="11">
        <f>_xlfn.XLOOKUP(TableDailySummary[[#This Row],[Fecha]],SummaryDaily[day],SummaryDaily[GoogleAdsOperation.Cost],0)</f>
        <v>0</v>
      </c>
      <c r="Y726" s="11">
        <f>SUMIFS(SalesByUTMDaily[google],SalesByUTMDaily[day],TableDailySummary[[#This Row],[Fecha]])</f>
        <v>0</v>
      </c>
      <c r="Z726" s="11">
        <f>_xlfn.XLOOKUP(TableDailySummary[[#This Row],[Fecha]],SummaryDaily[day],SummaryDaily[MetaAdsOperation.spend],0)</f>
        <v>0</v>
      </c>
      <c r="AA726" s="11">
        <f>SUMIFS(SalesByUTMDaily[facebook],SalesByUTMDaily[day],TableDailySummary[[#This Row],[Fecha]])</f>
        <v>0</v>
      </c>
      <c r="AB726" s="11">
        <f>TableDailySummary[[#This Row],[Inversión google ads]]+TableDailySummary[[#This Row],[Inversión meta ads]]</f>
        <v>0</v>
      </c>
      <c r="AC726" s="11">
        <f>TableDailySummary[[#This Row],[Ventas google ads]]+TableDailySummary[[#This Row],[Ventas meta ads]]</f>
        <v>0</v>
      </c>
      <c r="AD726" s="14">
        <f>IFERROR(TableDailySummary[[#This Row],[Ventas publicidad]]/TableDailySummary[[#This Row],[Inversión publicidad]],0)</f>
        <v>0</v>
      </c>
      <c r="AE726" s="14">
        <f>IFERROR(TableDailySummary[[#This Row],[Ventas primer cliente]]/TableDailySummary[[#This Row],[Inversión publicidad]],0)</f>
        <v>0</v>
      </c>
      <c r="AF726" s="14"/>
      <c r="AG726" s="11"/>
      <c r="AM726" s="11">
        <f>_xlfn.XLOOKUP(TableDailySummary[[#This Row],[Fecha]],SummaryDaily[day],SummaryDaily[net_sales_with_cost_recorded],0)</f>
        <v>0</v>
      </c>
      <c r="AN726" s="11">
        <f>_xlfn.XLOOKUP(TableDailySummary[[#This Row],[Fecha]],SummaryDaily[day],SummaryDaily[cost_of_goods_sold],0)</f>
        <v>0</v>
      </c>
      <c r="AO726" s="11">
        <f>_xlfn.XLOOKUP(TableDailySummary[[#This Row],[Fecha]],SummaryDaily[day],SummaryDaily[gross_profit],0)</f>
        <v>0</v>
      </c>
      <c r="AP726" s="18">
        <f>IFERROR(TableDailySummary[[#This Row],[Utilidad bruta]]/TableDailySummary[[#This Row],[Ventas netas con costo registrado]],0)</f>
        <v>0</v>
      </c>
    </row>
    <row r="727" spans="2:42" x14ac:dyDescent="0.2">
      <c r="B727" s="15" cm="1">
        <f t="array" ref="B727">ParamFechaInicioReporte + (ROW(TableDailySummary[#This Row]) - ROW(TableDailySummary[[#Headers],[Dia]]) - 1)</f>
        <v>45254</v>
      </c>
      <c r="C727" s="6">
        <f>TableDailySummary[[#This Row],[Dia]]</f>
        <v>45254</v>
      </c>
      <c r="D727" s="11">
        <f>_xlfn.XLOOKUP(TableDailySummary[[#This Row],[Fecha]],SummaryDaily[day],SummaryDaily[net_sales],0)</f>
        <v>0</v>
      </c>
      <c r="E727" s="11">
        <f>_xlfn.XLOOKUP(TableDailySummary[[#This Row],[Fecha]],SummaryDaily[day],SummaryDaily[orders],0)</f>
        <v>0</v>
      </c>
      <c r="F727" s="11">
        <f>_xlfn.XLOOKUP(TableDailySummary[[#This Row],[Fecha]],SummaryDaily[day],SummaryDaily[average_order_value],0)</f>
        <v>0</v>
      </c>
      <c r="G727" s="24" cm="1">
        <f t="array" ref="G727">_xlfn.XLOOKUP(TableDailySummary[[#This Row],[Fecha]]&amp;"Total site",ConversionRateByReferral[day]&amp;ConversionRateByReferral[referrer_source],ConversionRateByReferral[conversion_rate],0)</f>
        <v>0</v>
      </c>
      <c r="H727" s="11">
        <f>TableDailySummary[[#This Row],[Órden promedio totales]]*TableDailySummary[[#This Row],[CR totales]]</f>
        <v>0</v>
      </c>
      <c r="I727" s="11">
        <f>_xlfn.XLOOKUP(TableDailySummary[[#This Row],[Fecha]],SummaryDaily[day],SummaryDaily[new_net_sales],0)</f>
        <v>0</v>
      </c>
      <c r="J727" s="11">
        <f>_xlfn.XLOOKUP(TableDailySummary[[#This Row],[Fecha]],SummaryDaily[day],SummaryDaily[new_orders],0)</f>
        <v>0</v>
      </c>
      <c r="K727" s="11">
        <f>_xlfn.XLOOKUP(TableDailySummary[[#This Row],[Fecha]],SummaryDaily[day],SummaryDaily[new_average_order_value],0)</f>
        <v>0</v>
      </c>
      <c r="L727" s="11">
        <f>_xlfn.XLOOKUP(TableDailySummary[[#This Row],[Fecha]],SummaryDaily[day],SummaryDaily[Online Store_net_sales],0)</f>
        <v>0</v>
      </c>
      <c r="M727" s="11">
        <f>_xlfn.XLOOKUP(TableDailySummary[[#This Row],[Fecha]],SummaryDaily[day],SummaryDaily[Online Store_orders],0)</f>
        <v>0</v>
      </c>
      <c r="N727" s="11">
        <f>_xlfn.XLOOKUP(TableDailySummary[[#This Row],[Fecha]],SummaryDaily[day],SummaryDaily[Online Store_average_order_value],0)</f>
        <v>0</v>
      </c>
      <c r="O727" s="11">
        <f>_xlfn.XLOOKUP(TableDailySummary[[#This Row],[Fecha]],SummaryDaily[day],SummaryDaily[Tienda 81_net_sales],0)</f>
        <v>0</v>
      </c>
      <c r="P727" s="11">
        <f>_xlfn.XLOOKUP(TableDailySummary[[#This Row],[Fecha]],SummaryDaily[day],SummaryDaily[Tienda 81_orders],0)</f>
        <v>0</v>
      </c>
      <c r="Q727" s="11">
        <f>_xlfn.XLOOKUP(TableDailySummary[[#This Row],[Fecha]],SummaryDaily[day],SummaryDaily[Tienda 81_average_order_value],0)</f>
        <v>0</v>
      </c>
      <c r="R727" s="11">
        <f>_xlfn.XLOOKUP(TableDailySummary[[#This Row],[Fecha]],SummaryDaily[day],SummaryDaily[Rappi_net_sales],0)</f>
        <v>0</v>
      </c>
      <c r="S727" s="11">
        <f>_xlfn.XLOOKUP(TableDailySummary[[#This Row],[Fecha]],SummaryDaily[day],SummaryDaily[Rappi_orders],0)</f>
        <v>0</v>
      </c>
      <c r="T727" s="11">
        <f>_xlfn.XLOOKUP(TableDailySummary[[#This Row],[Fecha]],SummaryDaily[day],SummaryDaily[Rappi_average_order_value],0)</f>
        <v>0</v>
      </c>
      <c r="U727" s="11">
        <f>_xlfn.XLOOKUP(TableDailySummary[[#This Row],[Fecha]],SummaryDaily[day],SummaryDaily[Corporativo no tienda_net_sales],0)</f>
        <v>0</v>
      </c>
      <c r="V727" s="11">
        <f>_xlfn.XLOOKUP(TableDailySummary[[#This Row],[Fecha]],SummaryDaily[day],SummaryDaily[Corporativo no tienda_orders],0)</f>
        <v>0</v>
      </c>
      <c r="W727" s="11">
        <f>_xlfn.XLOOKUP(TableDailySummary[[#This Row],[Fecha]],SummaryDaily[day],SummaryDaily[Corporativo no tienda_average_order_value],0)</f>
        <v>0</v>
      </c>
      <c r="X727" s="11">
        <f>_xlfn.XLOOKUP(TableDailySummary[[#This Row],[Fecha]],SummaryDaily[day],SummaryDaily[GoogleAdsOperation.Cost],0)</f>
        <v>0</v>
      </c>
      <c r="Y727" s="11">
        <f>SUMIFS(SalesByUTMDaily[google],SalesByUTMDaily[day],TableDailySummary[[#This Row],[Fecha]])</f>
        <v>0</v>
      </c>
      <c r="Z727" s="11">
        <f>_xlfn.XLOOKUP(TableDailySummary[[#This Row],[Fecha]],SummaryDaily[day],SummaryDaily[MetaAdsOperation.spend],0)</f>
        <v>0</v>
      </c>
      <c r="AA727" s="11">
        <f>SUMIFS(SalesByUTMDaily[facebook],SalesByUTMDaily[day],TableDailySummary[[#This Row],[Fecha]])</f>
        <v>0</v>
      </c>
      <c r="AB727" s="11">
        <f>TableDailySummary[[#This Row],[Inversión google ads]]+TableDailySummary[[#This Row],[Inversión meta ads]]</f>
        <v>0</v>
      </c>
      <c r="AC727" s="11">
        <f>TableDailySummary[[#This Row],[Ventas google ads]]+TableDailySummary[[#This Row],[Ventas meta ads]]</f>
        <v>0</v>
      </c>
      <c r="AD727" s="14">
        <f>IFERROR(TableDailySummary[[#This Row],[Ventas publicidad]]/TableDailySummary[[#This Row],[Inversión publicidad]],0)</f>
        <v>0</v>
      </c>
      <c r="AE727" s="14">
        <f>IFERROR(TableDailySummary[[#This Row],[Ventas primer cliente]]/TableDailySummary[[#This Row],[Inversión publicidad]],0)</f>
        <v>0</v>
      </c>
      <c r="AF727" s="14"/>
      <c r="AG727" s="11"/>
      <c r="AM727" s="11">
        <f>_xlfn.XLOOKUP(TableDailySummary[[#This Row],[Fecha]],SummaryDaily[day],SummaryDaily[net_sales_with_cost_recorded],0)</f>
        <v>0</v>
      </c>
      <c r="AN727" s="11">
        <f>_xlfn.XLOOKUP(TableDailySummary[[#This Row],[Fecha]],SummaryDaily[day],SummaryDaily[cost_of_goods_sold],0)</f>
        <v>0</v>
      </c>
      <c r="AO727" s="11">
        <f>_xlfn.XLOOKUP(TableDailySummary[[#This Row],[Fecha]],SummaryDaily[day],SummaryDaily[gross_profit],0)</f>
        <v>0</v>
      </c>
      <c r="AP727" s="18">
        <f>IFERROR(TableDailySummary[[#This Row],[Utilidad bruta]]/TableDailySummary[[#This Row],[Ventas netas con costo registrado]],0)</f>
        <v>0</v>
      </c>
    </row>
    <row r="728" spans="2:42" x14ac:dyDescent="0.2">
      <c r="B728" s="15" cm="1">
        <f t="array" ref="B728">ParamFechaInicioReporte + (ROW(TableDailySummary[#This Row]) - ROW(TableDailySummary[[#Headers],[Dia]]) - 1)</f>
        <v>45255</v>
      </c>
      <c r="C728" s="6">
        <f>TableDailySummary[[#This Row],[Dia]]</f>
        <v>45255</v>
      </c>
      <c r="D728" s="11">
        <f>_xlfn.XLOOKUP(TableDailySummary[[#This Row],[Fecha]],SummaryDaily[day],SummaryDaily[net_sales],0)</f>
        <v>0</v>
      </c>
      <c r="E728" s="11">
        <f>_xlfn.XLOOKUP(TableDailySummary[[#This Row],[Fecha]],SummaryDaily[day],SummaryDaily[orders],0)</f>
        <v>0</v>
      </c>
      <c r="F728" s="11">
        <f>_xlfn.XLOOKUP(TableDailySummary[[#This Row],[Fecha]],SummaryDaily[day],SummaryDaily[average_order_value],0)</f>
        <v>0</v>
      </c>
      <c r="G728" s="24" cm="1">
        <f t="array" ref="G728">_xlfn.XLOOKUP(TableDailySummary[[#This Row],[Fecha]]&amp;"Total site",ConversionRateByReferral[day]&amp;ConversionRateByReferral[referrer_source],ConversionRateByReferral[conversion_rate],0)</f>
        <v>0</v>
      </c>
      <c r="H728" s="11">
        <f>TableDailySummary[[#This Row],[Órden promedio totales]]*TableDailySummary[[#This Row],[CR totales]]</f>
        <v>0</v>
      </c>
      <c r="I728" s="11">
        <f>_xlfn.XLOOKUP(TableDailySummary[[#This Row],[Fecha]],SummaryDaily[day],SummaryDaily[new_net_sales],0)</f>
        <v>0</v>
      </c>
      <c r="J728" s="11">
        <f>_xlfn.XLOOKUP(TableDailySummary[[#This Row],[Fecha]],SummaryDaily[day],SummaryDaily[new_orders],0)</f>
        <v>0</v>
      </c>
      <c r="K728" s="11">
        <f>_xlfn.XLOOKUP(TableDailySummary[[#This Row],[Fecha]],SummaryDaily[day],SummaryDaily[new_average_order_value],0)</f>
        <v>0</v>
      </c>
      <c r="L728" s="11">
        <f>_xlfn.XLOOKUP(TableDailySummary[[#This Row],[Fecha]],SummaryDaily[day],SummaryDaily[Online Store_net_sales],0)</f>
        <v>0</v>
      </c>
      <c r="M728" s="11">
        <f>_xlfn.XLOOKUP(TableDailySummary[[#This Row],[Fecha]],SummaryDaily[day],SummaryDaily[Online Store_orders],0)</f>
        <v>0</v>
      </c>
      <c r="N728" s="11">
        <f>_xlfn.XLOOKUP(TableDailySummary[[#This Row],[Fecha]],SummaryDaily[day],SummaryDaily[Online Store_average_order_value],0)</f>
        <v>0</v>
      </c>
      <c r="O728" s="11">
        <f>_xlfn.XLOOKUP(TableDailySummary[[#This Row],[Fecha]],SummaryDaily[day],SummaryDaily[Tienda 81_net_sales],0)</f>
        <v>0</v>
      </c>
      <c r="P728" s="11">
        <f>_xlfn.XLOOKUP(TableDailySummary[[#This Row],[Fecha]],SummaryDaily[day],SummaryDaily[Tienda 81_orders],0)</f>
        <v>0</v>
      </c>
      <c r="Q728" s="11">
        <f>_xlfn.XLOOKUP(TableDailySummary[[#This Row],[Fecha]],SummaryDaily[day],SummaryDaily[Tienda 81_average_order_value],0)</f>
        <v>0</v>
      </c>
      <c r="R728" s="11">
        <f>_xlfn.XLOOKUP(TableDailySummary[[#This Row],[Fecha]],SummaryDaily[day],SummaryDaily[Rappi_net_sales],0)</f>
        <v>0</v>
      </c>
      <c r="S728" s="11">
        <f>_xlfn.XLOOKUP(TableDailySummary[[#This Row],[Fecha]],SummaryDaily[day],SummaryDaily[Rappi_orders],0)</f>
        <v>0</v>
      </c>
      <c r="T728" s="11">
        <f>_xlfn.XLOOKUP(TableDailySummary[[#This Row],[Fecha]],SummaryDaily[day],SummaryDaily[Rappi_average_order_value],0)</f>
        <v>0</v>
      </c>
      <c r="U728" s="11">
        <f>_xlfn.XLOOKUP(TableDailySummary[[#This Row],[Fecha]],SummaryDaily[day],SummaryDaily[Corporativo no tienda_net_sales],0)</f>
        <v>0</v>
      </c>
      <c r="V728" s="11">
        <f>_xlfn.XLOOKUP(TableDailySummary[[#This Row],[Fecha]],SummaryDaily[day],SummaryDaily[Corporativo no tienda_orders],0)</f>
        <v>0</v>
      </c>
      <c r="W728" s="11">
        <f>_xlfn.XLOOKUP(TableDailySummary[[#This Row],[Fecha]],SummaryDaily[day],SummaryDaily[Corporativo no tienda_average_order_value],0)</f>
        <v>0</v>
      </c>
      <c r="X728" s="11">
        <f>_xlfn.XLOOKUP(TableDailySummary[[#This Row],[Fecha]],SummaryDaily[day],SummaryDaily[GoogleAdsOperation.Cost],0)</f>
        <v>0</v>
      </c>
      <c r="Y728" s="11">
        <f>SUMIFS(SalesByUTMDaily[google],SalesByUTMDaily[day],TableDailySummary[[#This Row],[Fecha]])</f>
        <v>0</v>
      </c>
      <c r="Z728" s="11">
        <f>_xlfn.XLOOKUP(TableDailySummary[[#This Row],[Fecha]],SummaryDaily[day],SummaryDaily[MetaAdsOperation.spend],0)</f>
        <v>0</v>
      </c>
      <c r="AA728" s="11">
        <f>SUMIFS(SalesByUTMDaily[facebook],SalesByUTMDaily[day],TableDailySummary[[#This Row],[Fecha]])</f>
        <v>0</v>
      </c>
      <c r="AB728" s="11">
        <f>TableDailySummary[[#This Row],[Inversión google ads]]+TableDailySummary[[#This Row],[Inversión meta ads]]</f>
        <v>0</v>
      </c>
      <c r="AC728" s="11">
        <f>TableDailySummary[[#This Row],[Ventas google ads]]+TableDailySummary[[#This Row],[Ventas meta ads]]</f>
        <v>0</v>
      </c>
      <c r="AD728" s="14">
        <f>IFERROR(TableDailySummary[[#This Row],[Ventas publicidad]]/TableDailySummary[[#This Row],[Inversión publicidad]],0)</f>
        <v>0</v>
      </c>
      <c r="AE728" s="14">
        <f>IFERROR(TableDailySummary[[#This Row],[Ventas primer cliente]]/TableDailySummary[[#This Row],[Inversión publicidad]],0)</f>
        <v>0</v>
      </c>
      <c r="AF728" s="14"/>
      <c r="AG728" s="11"/>
      <c r="AM728" s="11">
        <f>_xlfn.XLOOKUP(TableDailySummary[[#This Row],[Fecha]],SummaryDaily[day],SummaryDaily[net_sales_with_cost_recorded],0)</f>
        <v>0</v>
      </c>
      <c r="AN728" s="11">
        <f>_xlfn.XLOOKUP(TableDailySummary[[#This Row],[Fecha]],SummaryDaily[day],SummaryDaily[cost_of_goods_sold],0)</f>
        <v>0</v>
      </c>
      <c r="AO728" s="11">
        <f>_xlfn.XLOOKUP(TableDailySummary[[#This Row],[Fecha]],SummaryDaily[day],SummaryDaily[gross_profit],0)</f>
        <v>0</v>
      </c>
      <c r="AP728" s="18">
        <f>IFERROR(TableDailySummary[[#This Row],[Utilidad bruta]]/TableDailySummary[[#This Row],[Ventas netas con costo registrado]],0)</f>
        <v>0</v>
      </c>
    </row>
    <row r="729" spans="2:42" x14ac:dyDescent="0.2">
      <c r="B729" s="15" cm="1">
        <f t="array" ref="B729">ParamFechaInicioReporte + (ROW(TableDailySummary[#This Row]) - ROW(TableDailySummary[[#Headers],[Dia]]) - 1)</f>
        <v>45256</v>
      </c>
      <c r="C729" s="6">
        <f>TableDailySummary[[#This Row],[Dia]]</f>
        <v>45256</v>
      </c>
      <c r="D729" s="11">
        <f>_xlfn.XLOOKUP(TableDailySummary[[#This Row],[Fecha]],SummaryDaily[day],SummaryDaily[net_sales],0)</f>
        <v>0</v>
      </c>
      <c r="E729" s="11">
        <f>_xlfn.XLOOKUP(TableDailySummary[[#This Row],[Fecha]],SummaryDaily[day],SummaryDaily[orders],0)</f>
        <v>0</v>
      </c>
      <c r="F729" s="11">
        <f>_xlfn.XLOOKUP(TableDailySummary[[#This Row],[Fecha]],SummaryDaily[day],SummaryDaily[average_order_value],0)</f>
        <v>0</v>
      </c>
      <c r="G729" s="24" cm="1">
        <f t="array" ref="G729">_xlfn.XLOOKUP(TableDailySummary[[#This Row],[Fecha]]&amp;"Total site",ConversionRateByReferral[day]&amp;ConversionRateByReferral[referrer_source],ConversionRateByReferral[conversion_rate],0)</f>
        <v>0</v>
      </c>
      <c r="H729" s="11">
        <f>TableDailySummary[[#This Row],[Órden promedio totales]]*TableDailySummary[[#This Row],[CR totales]]</f>
        <v>0</v>
      </c>
      <c r="I729" s="11">
        <f>_xlfn.XLOOKUP(TableDailySummary[[#This Row],[Fecha]],SummaryDaily[day],SummaryDaily[new_net_sales],0)</f>
        <v>0</v>
      </c>
      <c r="J729" s="11">
        <f>_xlfn.XLOOKUP(TableDailySummary[[#This Row],[Fecha]],SummaryDaily[day],SummaryDaily[new_orders],0)</f>
        <v>0</v>
      </c>
      <c r="K729" s="11">
        <f>_xlfn.XLOOKUP(TableDailySummary[[#This Row],[Fecha]],SummaryDaily[day],SummaryDaily[new_average_order_value],0)</f>
        <v>0</v>
      </c>
      <c r="L729" s="11">
        <f>_xlfn.XLOOKUP(TableDailySummary[[#This Row],[Fecha]],SummaryDaily[day],SummaryDaily[Online Store_net_sales],0)</f>
        <v>0</v>
      </c>
      <c r="M729" s="11">
        <f>_xlfn.XLOOKUP(TableDailySummary[[#This Row],[Fecha]],SummaryDaily[day],SummaryDaily[Online Store_orders],0)</f>
        <v>0</v>
      </c>
      <c r="N729" s="11">
        <f>_xlfn.XLOOKUP(TableDailySummary[[#This Row],[Fecha]],SummaryDaily[day],SummaryDaily[Online Store_average_order_value],0)</f>
        <v>0</v>
      </c>
      <c r="O729" s="11">
        <f>_xlfn.XLOOKUP(TableDailySummary[[#This Row],[Fecha]],SummaryDaily[day],SummaryDaily[Tienda 81_net_sales],0)</f>
        <v>0</v>
      </c>
      <c r="P729" s="11">
        <f>_xlfn.XLOOKUP(TableDailySummary[[#This Row],[Fecha]],SummaryDaily[day],SummaryDaily[Tienda 81_orders],0)</f>
        <v>0</v>
      </c>
      <c r="Q729" s="11">
        <f>_xlfn.XLOOKUP(TableDailySummary[[#This Row],[Fecha]],SummaryDaily[day],SummaryDaily[Tienda 81_average_order_value],0)</f>
        <v>0</v>
      </c>
      <c r="R729" s="11">
        <f>_xlfn.XLOOKUP(TableDailySummary[[#This Row],[Fecha]],SummaryDaily[day],SummaryDaily[Rappi_net_sales],0)</f>
        <v>0</v>
      </c>
      <c r="S729" s="11">
        <f>_xlfn.XLOOKUP(TableDailySummary[[#This Row],[Fecha]],SummaryDaily[day],SummaryDaily[Rappi_orders],0)</f>
        <v>0</v>
      </c>
      <c r="T729" s="11">
        <f>_xlfn.XLOOKUP(TableDailySummary[[#This Row],[Fecha]],SummaryDaily[day],SummaryDaily[Rappi_average_order_value],0)</f>
        <v>0</v>
      </c>
      <c r="U729" s="11">
        <f>_xlfn.XLOOKUP(TableDailySummary[[#This Row],[Fecha]],SummaryDaily[day],SummaryDaily[Corporativo no tienda_net_sales],0)</f>
        <v>0</v>
      </c>
      <c r="V729" s="11">
        <f>_xlfn.XLOOKUP(TableDailySummary[[#This Row],[Fecha]],SummaryDaily[day],SummaryDaily[Corporativo no tienda_orders],0)</f>
        <v>0</v>
      </c>
      <c r="W729" s="11">
        <f>_xlfn.XLOOKUP(TableDailySummary[[#This Row],[Fecha]],SummaryDaily[day],SummaryDaily[Corporativo no tienda_average_order_value],0)</f>
        <v>0</v>
      </c>
      <c r="X729" s="11">
        <f>_xlfn.XLOOKUP(TableDailySummary[[#This Row],[Fecha]],SummaryDaily[day],SummaryDaily[GoogleAdsOperation.Cost],0)</f>
        <v>0</v>
      </c>
      <c r="Y729" s="11">
        <f>SUMIFS(SalesByUTMDaily[google],SalesByUTMDaily[day],TableDailySummary[[#This Row],[Fecha]])</f>
        <v>0</v>
      </c>
      <c r="Z729" s="11">
        <f>_xlfn.XLOOKUP(TableDailySummary[[#This Row],[Fecha]],SummaryDaily[day],SummaryDaily[MetaAdsOperation.spend],0)</f>
        <v>0</v>
      </c>
      <c r="AA729" s="11">
        <f>SUMIFS(SalesByUTMDaily[facebook],SalesByUTMDaily[day],TableDailySummary[[#This Row],[Fecha]])</f>
        <v>0</v>
      </c>
      <c r="AB729" s="11">
        <f>TableDailySummary[[#This Row],[Inversión google ads]]+TableDailySummary[[#This Row],[Inversión meta ads]]</f>
        <v>0</v>
      </c>
      <c r="AC729" s="11">
        <f>TableDailySummary[[#This Row],[Ventas google ads]]+TableDailySummary[[#This Row],[Ventas meta ads]]</f>
        <v>0</v>
      </c>
      <c r="AD729" s="14">
        <f>IFERROR(TableDailySummary[[#This Row],[Ventas publicidad]]/TableDailySummary[[#This Row],[Inversión publicidad]],0)</f>
        <v>0</v>
      </c>
      <c r="AE729" s="14">
        <f>IFERROR(TableDailySummary[[#This Row],[Ventas primer cliente]]/TableDailySummary[[#This Row],[Inversión publicidad]],0)</f>
        <v>0</v>
      </c>
      <c r="AF729" s="14"/>
      <c r="AG729" s="11"/>
      <c r="AM729" s="11">
        <f>_xlfn.XLOOKUP(TableDailySummary[[#This Row],[Fecha]],SummaryDaily[day],SummaryDaily[net_sales_with_cost_recorded],0)</f>
        <v>0</v>
      </c>
      <c r="AN729" s="11">
        <f>_xlfn.XLOOKUP(TableDailySummary[[#This Row],[Fecha]],SummaryDaily[day],SummaryDaily[cost_of_goods_sold],0)</f>
        <v>0</v>
      </c>
      <c r="AO729" s="11">
        <f>_xlfn.XLOOKUP(TableDailySummary[[#This Row],[Fecha]],SummaryDaily[day],SummaryDaily[gross_profit],0)</f>
        <v>0</v>
      </c>
      <c r="AP729" s="18">
        <f>IFERROR(TableDailySummary[[#This Row],[Utilidad bruta]]/TableDailySummary[[#This Row],[Ventas netas con costo registrado]],0)</f>
        <v>0</v>
      </c>
    </row>
    <row r="730" spans="2:42" x14ac:dyDescent="0.2">
      <c r="B730" s="15" cm="1">
        <f t="array" ref="B730">ParamFechaInicioReporte + (ROW(TableDailySummary[#This Row]) - ROW(TableDailySummary[[#Headers],[Dia]]) - 1)</f>
        <v>45257</v>
      </c>
      <c r="C730" s="6">
        <f>TableDailySummary[[#This Row],[Dia]]</f>
        <v>45257</v>
      </c>
      <c r="D730" s="11">
        <f>_xlfn.XLOOKUP(TableDailySummary[[#This Row],[Fecha]],SummaryDaily[day],SummaryDaily[net_sales],0)</f>
        <v>0</v>
      </c>
      <c r="E730" s="11">
        <f>_xlfn.XLOOKUP(TableDailySummary[[#This Row],[Fecha]],SummaryDaily[day],SummaryDaily[orders],0)</f>
        <v>0</v>
      </c>
      <c r="F730" s="11">
        <f>_xlfn.XLOOKUP(TableDailySummary[[#This Row],[Fecha]],SummaryDaily[day],SummaryDaily[average_order_value],0)</f>
        <v>0</v>
      </c>
      <c r="G730" s="24" cm="1">
        <f t="array" ref="G730">_xlfn.XLOOKUP(TableDailySummary[[#This Row],[Fecha]]&amp;"Total site",ConversionRateByReferral[day]&amp;ConversionRateByReferral[referrer_source],ConversionRateByReferral[conversion_rate],0)</f>
        <v>0</v>
      </c>
      <c r="H730" s="11">
        <f>TableDailySummary[[#This Row],[Órden promedio totales]]*TableDailySummary[[#This Row],[CR totales]]</f>
        <v>0</v>
      </c>
      <c r="I730" s="11">
        <f>_xlfn.XLOOKUP(TableDailySummary[[#This Row],[Fecha]],SummaryDaily[day],SummaryDaily[new_net_sales],0)</f>
        <v>0</v>
      </c>
      <c r="J730" s="11">
        <f>_xlfn.XLOOKUP(TableDailySummary[[#This Row],[Fecha]],SummaryDaily[day],SummaryDaily[new_orders],0)</f>
        <v>0</v>
      </c>
      <c r="K730" s="11">
        <f>_xlfn.XLOOKUP(TableDailySummary[[#This Row],[Fecha]],SummaryDaily[day],SummaryDaily[new_average_order_value],0)</f>
        <v>0</v>
      </c>
      <c r="L730" s="11">
        <f>_xlfn.XLOOKUP(TableDailySummary[[#This Row],[Fecha]],SummaryDaily[day],SummaryDaily[Online Store_net_sales],0)</f>
        <v>0</v>
      </c>
      <c r="M730" s="11">
        <f>_xlfn.XLOOKUP(TableDailySummary[[#This Row],[Fecha]],SummaryDaily[day],SummaryDaily[Online Store_orders],0)</f>
        <v>0</v>
      </c>
      <c r="N730" s="11">
        <f>_xlfn.XLOOKUP(TableDailySummary[[#This Row],[Fecha]],SummaryDaily[day],SummaryDaily[Online Store_average_order_value],0)</f>
        <v>0</v>
      </c>
      <c r="O730" s="11">
        <f>_xlfn.XLOOKUP(TableDailySummary[[#This Row],[Fecha]],SummaryDaily[day],SummaryDaily[Tienda 81_net_sales],0)</f>
        <v>0</v>
      </c>
      <c r="P730" s="11">
        <f>_xlfn.XLOOKUP(TableDailySummary[[#This Row],[Fecha]],SummaryDaily[day],SummaryDaily[Tienda 81_orders],0)</f>
        <v>0</v>
      </c>
      <c r="Q730" s="11">
        <f>_xlfn.XLOOKUP(TableDailySummary[[#This Row],[Fecha]],SummaryDaily[day],SummaryDaily[Tienda 81_average_order_value],0)</f>
        <v>0</v>
      </c>
      <c r="R730" s="11">
        <f>_xlfn.XLOOKUP(TableDailySummary[[#This Row],[Fecha]],SummaryDaily[day],SummaryDaily[Rappi_net_sales],0)</f>
        <v>0</v>
      </c>
      <c r="S730" s="11">
        <f>_xlfn.XLOOKUP(TableDailySummary[[#This Row],[Fecha]],SummaryDaily[day],SummaryDaily[Rappi_orders],0)</f>
        <v>0</v>
      </c>
      <c r="T730" s="11">
        <f>_xlfn.XLOOKUP(TableDailySummary[[#This Row],[Fecha]],SummaryDaily[day],SummaryDaily[Rappi_average_order_value],0)</f>
        <v>0</v>
      </c>
      <c r="U730" s="11">
        <f>_xlfn.XLOOKUP(TableDailySummary[[#This Row],[Fecha]],SummaryDaily[day],SummaryDaily[Corporativo no tienda_net_sales],0)</f>
        <v>0</v>
      </c>
      <c r="V730" s="11">
        <f>_xlfn.XLOOKUP(TableDailySummary[[#This Row],[Fecha]],SummaryDaily[day],SummaryDaily[Corporativo no tienda_orders],0)</f>
        <v>0</v>
      </c>
      <c r="W730" s="11">
        <f>_xlfn.XLOOKUP(TableDailySummary[[#This Row],[Fecha]],SummaryDaily[day],SummaryDaily[Corporativo no tienda_average_order_value],0)</f>
        <v>0</v>
      </c>
      <c r="X730" s="11">
        <f>_xlfn.XLOOKUP(TableDailySummary[[#This Row],[Fecha]],SummaryDaily[day],SummaryDaily[GoogleAdsOperation.Cost],0)</f>
        <v>0</v>
      </c>
      <c r="Y730" s="11">
        <f>SUMIFS(SalesByUTMDaily[google],SalesByUTMDaily[day],TableDailySummary[[#This Row],[Fecha]])</f>
        <v>0</v>
      </c>
      <c r="Z730" s="11">
        <f>_xlfn.XLOOKUP(TableDailySummary[[#This Row],[Fecha]],SummaryDaily[day],SummaryDaily[MetaAdsOperation.spend],0)</f>
        <v>0</v>
      </c>
      <c r="AA730" s="11">
        <f>SUMIFS(SalesByUTMDaily[facebook],SalesByUTMDaily[day],TableDailySummary[[#This Row],[Fecha]])</f>
        <v>0</v>
      </c>
      <c r="AB730" s="11">
        <f>TableDailySummary[[#This Row],[Inversión google ads]]+TableDailySummary[[#This Row],[Inversión meta ads]]</f>
        <v>0</v>
      </c>
      <c r="AC730" s="11">
        <f>TableDailySummary[[#This Row],[Ventas google ads]]+TableDailySummary[[#This Row],[Ventas meta ads]]</f>
        <v>0</v>
      </c>
      <c r="AD730" s="14">
        <f>IFERROR(TableDailySummary[[#This Row],[Ventas publicidad]]/TableDailySummary[[#This Row],[Inversión publicidad]],0)</f>
        <v>0</v>
      </c>
      <c r="AE730" s="14">
        <f>IFERROR(TableDailySummary[[#This Row],[Ventas primer cliente]]/TableDailySummary[[#This Row],[Inversión publicidad]],0)</f>
        <v>0</v>
      </c>
      <c r="AF730" s="14"/>
      <c r="AG730" s="11"/>
      <c r="AM730" s="11">
        <f>_xlfn.XLOOKUP(TableDailySummary[[#This Row],[Fecha]],SummaryDaily[day],SummaryDaily[net_sales_with_cost_recorded],0)</f>
        <v>0</v>
      </c>
      <c r="AN730" s="11">
        <f>_xlfn.XLOOKUP(TableDailySummary[[#This Row],[Fecha]],SummaryDaily[day],SummaryDaily[cost_of_goods_sold],0)</f>
        <v>0</v>
      </c>
      <c r="AO730" s="11">
        <f>_xlfn.XLOOKUP(TableDailySummary[[#This Row],[Fecha]],SummaryDaily[day],SummaryDaily[gross_profit],0)</f>
        <v>0</v>
      </c>
      <c r="AP730" s="18">
        <f>IFERROR(TableDailySummary[[#This Row],[Utilidad bruta]]/TableDailySummary[[#This Row],[Ventas netas con costo registrado]],0)</f>
        <v>0</v>
      </c>
    </row>
    <row r="731" spans="2:42" x14ac:dyDescent="0.2">
      <c r="B731" s="15" cm="1">
        <f t="array" ref="B731">ParamFechaInicioReporte + (ROW(TableDailySummary[#This Row]) - ROW(TableDailySummary[[#Headers],[Dia]]) - 1)</f>
        <v>45258</v>
      </c>
      <c r="C731" s="6">
        <f>TableDailySummary[[#This Row],[Dia]]</f>
        <v>45258</v>
      </c>
      <c r="D731" s="11">
        <f>_xlfn.XLOOKUP(TableDailySummary[[#This Row],[Fecha]],SummaryDaily[day],SummaryDaily[net_sales],0)</f>
        <v>0</v>
      </c>
      <c r="E731" s="11">
        <f>_xlfn.XLOOKUP(TableDailySummary[[#This Row],[Fecha]],SummaryDaily[day],SummaryDaily[orders],0)</f>
        <v>0</v>
      </c>
      <c r="F731" s="11">
        <f>_xlfn.XLOOKUP(TableDailySummary[[#This Row],[Fecha]],SummaryDaily[day],SummaryDaily[average_order_value],0)</f>
        <v>0</v>
      </c>
      <c r="G731" s="24" cm="1">
        <f t="array" ref="G731">_xlfn.XLOOKUP(TableDailySummary[[#This Row],[Fecha]]&amp;"Total site",ConversionRateByReferral[day]&amp;ConversionRateByReferral[referrer_source],ConversionRateByReferral[conversion_rate],0)</f>
        <v>0</v>
      </c>
      <c r="H731" s="11">
        <f>TableDailySummary[[#This Row],[Órden promedio totales]]*TableDailySummary[[#This Row],[CR totales]]</f>
        <v>0</v>
      </c>
      <c r="I731" s="11">
        <f>_xlfn.XLOOKUP(TableDailySummary[[#This Row],[Fecha]],SummaryDaily[day],SummaryDaily[new_net_sales],0)</f>
        <v>0</v>
      </c>
      <c r="J731" s="11">
        <f>_xlfn.XLOOKUP(TableDailySummary[[#This Row],[Fecha]],SummaryDaily[day],SummaryDaily[new_orders],0)</f>
        <v>0</v>
      </c>
      <c r="K731" s="11">
        <f>_xlfn.XLOOKUP(TableDailySummary[[#This Row],[Fecha]],SummaryDaily[day],SummaryDaily[new_average_order_value],0)</f>
        <v>0</v>
      </c>
      <c r="L731" s="11">
        <f>_xlfn.XLOOKUP(TableDailySummary[[#This Row],[Fecha]],SummaryDaily[day],SummaryDaily[Online Store_net_sales],0)</f>
        <v>0</v>
      </c>
      <c r="M731" s="11">
        <f>_xlfn.XLOOKUP(TableDailySummary[[#This Row],[Fecha]],SummaryDaily[day],SummaryDaily[Online Store_orders],0)</f>
        <v>0</v>
      </c>
      <c r="N731" s="11">
        <f>_xlfn.XLOOKUP(TableDailySummary[[#This Row],[Fecha]],SummaryDaily[day],SummaryDaily[Online Store_average_order_value],0)</f>
        <v>0</v>
      </c>
      <c r="O731" s="11">
        <f>_xlfn.XLOOKUP(TableDailySummary[[#This Row],[Fecha]],SummaryDaily[day],SummaryDaily[Tienda 81_net_sales],0)</f>
        <v>0</v>
      </c>
      <c r="P731" s="11">
        <f>_xlfn.XLOOKUP(TableDailySummary[[#This Row],[Fecha]],SummaryDaily[day],SummaryDaily[Tienda 81_orders],0)</f>
        <v>0</v>
      </c>
      <c r="Q731" s="11">
        <f>_xlfn.XLOOKUP(TableDailySummary[[#This Row],[Fecha]],SummaryDaily[day],SummaryDaily[Tienda 81_average_order_value],0)</f>
        <v>0</v>
      </c>
      <c r="R731" s="11">
        <f>_xlfn.XLOOKUP(TableDailySummary[[#This Row],[Fecha]],SummaryDaily[day],SummaryDaily[Rappi_net_sales],0)</f>
        <v>0</v>
      </c>
      <c r="S731" s="11">
        <f>_xlfn.XLOOKUP(TableDailySummary[[#This Row],[Fecha]],SummaryDaily[day],SummaryDaily[Rappi_orders],0)</f>
        <v>0</v>
      </c>
      <c r="T731" s="11">
        <f>_xlfn.XLOOKUP(TableDailySummary[[#This Row],[Fecha]],SummaryDaily[day],SummaryDaily[Rappi_average_order_value],0)</f>
        <v>0</v>
      </c>
      <c r="U731" s="11">
        <f>_xlfn.XLOOKUP(TableDailySummary[[#This Row],[Fecha]],SummaryDaily[day],SummaryDaily[Corporativo no tienda_net_sales],0)</f>
        <v>0</v>
      </c>
      <c r="V731" s="11">
        <f>_xlfn.XLOOKUP(TableDailySummary[[#This Row],[Fecha]],SummaryDaily[day],SummaryDaily[Corporativo no tienda_orders],0)</f>
        <v>0</v>
      </c>
      <c r="W731" s="11">
        <f>_xlfn.XLOOKUP(TableDailySummary[[#This Row],[Fecha]],SummaryDaily[day],SummaryDaily[Corporativo no tienda_average_order_value],0)</f>
        <v>0</v>
      </c>
      <c r="X731" s="11">
        <f>_xlfn.XLOOKUP(TableDailySummary[[#This Row],[Fecha]],SummaryDaily[day],SummaryDaily[GoogleAdsOperation.Cost],0)</f>
        <v>0</v>
      </c>
      <c r="Y731" s="11">
        <f>SUMIFS(SalesByUTMDaily[google],SalesByUTMDaily[day],TableDailySummary[[#This Row],[Fecha]])</f>
        <v>0</v>
      </c>
      <c r="Z731" s="11">
        <f>_xlfn.XLOOKUP(TableDailySummary[[#This Row],[Fecha]],SummaryDaily[day],SummaryDaily[MetaAdsOperation.spend],0)</f>
        <v>0</v>
      </c>
      <c r="AA731" s="11">
        <f>SUMIFS(SalesByUTMDaily[facebook],SalesByUTMDaily[day],TableDailySummary[[#This Row],[Fecha]])</f>
        <v>0</v>
      </c>
      <c r="AB731" s="11">
        <f>TableDailySummary[[#This Row],[Inversión google ads]]+TableDailySummary[[#This Row],[Inversión meta ads]]</f>
        <v>0</v>
      </c>
      <c r="AC731" s="11">
        <f>TableDailySummary[[#This Row],[Ventas google ads]]+TableDailySummary[[#This Row],[Ventas meta ads]]</f>
        <v>0</v>
      </c>
      <c r="AD731" s="14">
        <f>IFERROR(TableDailySummary[[#This Row],[Ventas publicidad]]/TableDailySummary[[#This Row],[Inversión publicidad]],0)</f>
        <v>0</v>
      </c>
      <c r="AE731" s="14">
        <f>IFERROR(TableDailySummary[[#This Row],[Ventas primer cliente]]/TableDailySummary[[#This Row],[Inversión publicidad]],0)</f>
        <v>0</v>
      </c>
      <c r="AF731" s="14"/>
      <c r="AG731" s="11"/>
      <c r="AM731" s="11">
        <f>_xlfn.XLOOKUP(TableDailySummary[[#This Row],[Fecha]],SummaryDaily[day],SummaryDaily[net_sales_with_cost_recorded],0)</f>
        <v>0</v>
      </c>
      <c r="AN731" s="11">
        <f>_xlfn.XLOOKUP(TableDailySummary[[#This Row],[Fecha]],SummaryDaily[day],SummaryDaily[cost_of_goods_sold],0)</f>
        <v>0</v>
      </c>
      <c r="AO731" s="11">
        <f>_xlfn.XLOOKUP(TableDailySummary[[#This Row],[Fecha]],SummaryDaily[day],SummaryDaily[gross_profit],0)</f>
        <v>0</v>
      </c>
      <c r="AP731" s="18">
        <f>IFERROR(TableDailySummary[[#This Row],[Utilidad bruta]]/TableDailySummary[[#This Row],[Ventas netas con costo registrado]],0)</f>
        <v>0</v>
      </c>
    </row>
    <row r="732" spans="2:42" x14ac:dyDescent="0.2">
      <c r="B732" s="15" cm="1">
        <f t="array" ref="B732">ParamFechaInicioReporte + (ROW(TableDailySummary[#This Row]) - ROW(TableDailySummary[[#Headers],[Dia]]) - 1)</f>
        <v>45259</v>
      </c>
      <c r="C732" s="6">
        <f>TableDailySummary[[#This Row],[Dia]]</f>
        <v>45259</v>
      </c>
      <c r="D732" s="11">
        <f>_xlfn.XLOOKUP(TableDailySummary[[#This Row],[Fecha]],SummaryDaily[day],SummaryDaily[net_sales],0)</f>
        <v>0</v>
      </c>
      <c r="E732" s="11">
        <f>_xlfn.XLOOKUP(TableDailySummary[[#This Row],[Fecha]],SummaryDaily[day],SummaryDaily[orders],0)</f>
        <v>0</v>
      </c>
      <c r="F732" s="11">
        <f>_xlfn.XLOOKUP(TableDailySummary[[#This Row],[Fecha]],SummaryDaily[day],SummaryDaily[average_order_value],0)</f>
        <v>0</v>
      </c>
      <c r="G732" s="24" cm="1">
        <f t="array" ref="G732">_xlfn.XLOOKUP(TableDailySummary[[#This Row],[Fecha]]&amp;"Total site",ConversionRateByReferral[day]&amp;ConversionRateByReferral[referrer_source],ConversionRateByReferral[conversion_rate],0)</f>
        <v>0</v>
      </c>
      <c r="H732" s="11">
        <f>TableDailySummary[[#This Row],[Órden promedio totales]]*TableDailySummary[[#This Row],[CR totales]]</f>
        <v>0</v>
      </c>
      <c r="I732" s="11">
        <f>_xlfn.XLOOKUP(TableDailySummary[[#This Row],[Fecha]],SummaryDaily[day],SummaryDaily[new_net_sales],0)</f>
        <v>0</v>
      </c>
      <c r="J732" s="11">
        <f>_xlfn.XLOOKUP(TableDailySummary[[#This Row],[Fecha]],SummaryDaily[day],SummaryDaily[new_orders],0)</f>
        <v>0</v>
      </c>
      <c r="K732" s="11">
        <f>_xlfn.XLOOKUP(TableDailySummary[[#This Row],[Fecha]],SummaryDaily[day],SummaryDaily[new_average_order_value],0)</f>
        <v>0</v>
      </c>
      <c r="L732" s="11">
        <f>_xlfn.XLOOKUP(TableDailySummary[[#This Row],[Fecha]],SummaryDaily[day],SummaryDaily[Online Store_net_sales],0)</f>
        <v>0</v>
      </c>
      <c r="M732" s="11">
        <f>_xlfn.XLOOKUP(TableDailySummary[[#This Row],[Fecha]],SummaryDaily[day],SummaryDaily[Online Store_orders],0)</f>
        <v>0</v>
      </c>
      <c r="N732" s="11">
        <f>_xlfn.XLOOKUP(TableDailySummary[[#This Row],[Fecha]],SummaryDaily[day],SummaryDaily[Online Store_average_order_value],0)</f>
        <v>0</v>
      </c>
      <c r="O732" s="11">
        <f>_xlfn.XLOOKUP(TableDailySummary[[#This Row],[Fecha]],SummaryDaily[day],SummaryDaily[Tienda 81_net_sales],0)</f>
        <v>0</v>
      </c>
      <c r="P732" s="11">
        <f>_xlfn.XLOOKUP(TableDailySummary[[#This Row],[Fecha]],SummaryDaily[day],SummaryDaily[Tienda 81_orders],0)</f>
        <v>0</v>
      </c>
      <c r="Q732" s="11">
        <f>_xlfn.XLOOKUP(TableDailySummary[[#This Row],[Fecha]],SummaryDaily[day],SummaryDaily[Tienda 81_average_order_value],0)</f>
        <v>0</v>
      </c>
      <c r="R732" s="11">
        <f>_xlfn.XLOOKUP(TableDailySummary[[#This Row],[Fecha]],SummaryDaily[day],SummaryDaily[Rappi_net_sales],0)</f>
        <v>0</v>
      </c>
      <c r="S732" s="11">
        <f>_xlfn.XLOOKUP(TableDailySummary[[#This Row],[Fecha]],SummaryDaily[day],SummaryDaily[Rappi_orders],0)</f>
        <v>0</v>
      </c>
      <c r="T732" s="11">
        <f>_xlfn.XLOOKUP(TableDailySummary[[#This Row],[Fecha]],SummaryDaily[day],SummaryDaily[Rappi_average_order_value],0)</f>
        <v>0</v>
      </c>
      <c r="U732" s="11">
        <f>_xlfn.XLOOKUP(TableDailySummary[[#This Row],[Fecha]],SummaryDaily[day],SummaryDaily[Corporativo no tienda_net_sales],0)</f>
        <v>0</v>
      </c>
      <c r="V732" s="11">
        <f>_xlfn.XLOOKUP(TableDailySummary[[#This Row],[Fecha]],SummaryDaily[day],SummaryDaily[Corporativo no tienda_orders],0)</f>
        <v>0</v>
      </c>
      <c r="W732" s="11">
        <f>_xlfn.XLOOKUP(TableDailySummary[[#This Row],[Fecha]],SummaryDaily[day],SummaryDaily[Corporativo no tienda_average_order_value],0)</f>
        <v>0</v>
      </c>
      <c r="X732" s="11">
        <f>_xlfn.XLOOKUP(TableDailySummary[[#This Row],[Fecha]],SummaryDaily[day],SummaryDaily[GoogleAdsOperation.Cost],0)</f>
        <v>0</v>
      </c>
      <c r="Y732" s="11">
        <f>SUMIFS(SalesByUTMDaily[google],SalesByUTMDaily[day],TableDailySummary[[#This Row],[Fecha]])</f>
        <v>0</v>
      </c>
      <c r="Z732" s="11">
        <f>_xlfn.XLOOKUP(TableDailySummary[[#This Row],[Fecha]],SummaryDaily[day],SummaryDaily[MetaAdsOperation.spend],0)</f>
        <v>0</v>
      </c>
      <c r="AA732" s="11">
        <f>SUMIFS(SalesByUTMDaily[facebook],SalesByUTMDaily[day],TableDailySummary[[#This Row],[Fecha]])</f>
        <v>0</v>
      </c>
      <c r="AB732" s="11">
        <f>TableDailySummary[[#This Row],[Inversión google ads]]+TableDailySummary[[#This Row],[Inversión meta ads]]</f>
        <v>0</v>
      </c>
      <c r="AC732" s="11">
        <f>TableDailySummary[[#This Row],[Ventas google ads]]+TableDailySummary[[#This Row],[Ventas meta ads]]</f>
        <v>0</v>
      </c>
      <c r="AD732" s="14">
        <f>IFERROR(TableDailySummary[[#This Row],[Ventas publicidad]]/TableDailySummary[[#This Row],[Inversión publicidad]],0)</f>
        <v>0</v>
      </c>
      <c r="AE732" s="14">
        <f>IFERROR(TableDailySummary[[#This Row],[Ventas primer cliente]]/TableDailySummary[[#This Row],[Inversión publicidad]],0)</f>
        <v>0</v>
      </c>
      <c r="AF732" s="14"/>
      <c r="AG732" s="11"/>
      <c r="AM732" s="11">
        <f>_xlfn.XLOOKUP(TableDailySummary[[#This Row],[Fecha]],SummaryDaily[day],SummaryDaily[net_sales_with_cost_recorded],0)</f>
        <v>0</v>
      </c>
      <c r="AN732" s="11">
        <f>_xlfn.XLOOKUP(TableDailySummary[[#This Row],[Fecha]],SummaryDaily[day],SummaryDaily[cost_of_goods_sold],0)</f>
        <v>0</v>
      </c>
      <c r="AO732" s="11">
        <f>_xlfn.XLOOKUP(TableDailySummary[[#This Row],[Fecha]],SummaryDaily[day],SummaryDaily[gross_profit],0)</f>
        <v>0</v>
      </c>
      <c r="AP732" s="18">
        <f>IFERROR(TableDailySummary[[#This Row],[Utilidad bruta]]/TableDailySummary[[#This Row],[Ventas netas con costo registrado]],0)</f>
        <v>0</v>
      </c>
    </row>
    <row r="733" spans="2:42" x14ac:dyDescent="0.2">
      <c r="B733" s="15" cm="1">
        <f t="array" ref="B733">ParamFechaInicioReporte + (ROW(TableDailySummary[#This Row]) - ROW(TableDailySummary[[#Headers],[Dia]]) - 1)</f>
        <v>45260</v>
      </c>
      <c r="C733" s="6">
        <f>TableDailySummary[[#This Row],[Dia]]</f>
        <v>45260</v>
      </c>
      <c r="D733" s="11">
        <f>_xlfn.XLOOKUP(TableDailySummary[[#This Row],[Fecha]],SummaryDaily[day],SummaryDaily[net_sales],0)</f>
        <v>0</v>
      </c>
      <c r="E733" s="11">
        <f>_xlfn.XLOOKUP(TableDailySummary[[#This Row],[Fecha]],SummaryDaily[day],SummaryDaily[orders],0)</f>
        <v>0</v>
      </c>
      <c r="F733" s="11">
        <f>_xlfn.XLOOKUP(TableDailySummary[[#This Row],[Fecha]],SummaryDaily[day],SummaryDaily[average_order_value],0)</f>
        <v>0</v>
      </c>
      <c r="G733" s="24" cm="1">
        <f t="array" ref="G733">_xlfn.XLOOKUP(TableDailySummary[[#This Row],[Fecha]]&amp;"Total site",ConversionRateByReferral[day]&amp;ConversionRateByReferral[referrer_source],ConversionRateByReferral[conversion_rate],0)</f>
        <v>0</v>
      </c>
      <c r="H733" s="11">
        <f>TableDailySummary[[#This Row],[Órden promedio totales]]*TableDailySummary[[#This Row],[CR totales]]</f>
        <v>0</v>
      </c>
      <c r="I733" s="11">
        <f>_xlfn.XLOOKUP(TableDailySummary[[#This Row],[Fecha]],SummaryDaily[day],SummaryDaily[new_net_sales],0)</f>
        <v>0</v>
      </c>
      <c r="J733" s="11">
        <f>_xlfn.XLOOKUP(TableDailySummary[[#This Row],[Fecha]],SummaryDaily[day],SummaryDaily[new_orders],0)</f>
        <v>0</v>
      </c>
      <c r="K733" s="11">
        <f>_xlfn.XLOOKUP(TableDailySummary[[#This Row],[Fecha]],SummaryDaily[day],SummaryDaily[new_average_order_value],0)</f>
        <v>0</v>
      </c>
      <c r="L733" s="11">
        <f>_xlfn.XLOOKUP(TableDailySummary[[#This Row],[Fecha]],SummaryDaily[day],SummaryDaily[Online Store_net_sales],0)</f>
        <v>0</v>
      </c>
      <c r="M733" s="11">
        <f>_xlfn.XLOOKUP(TableDailySummary[[#This Row],[Fecha]],SummaryDaily[day],SummaryDaily[Online Store_orders],0)</f>
        <v>0</v>
      </c>
      <c r="N733" s="11">
        <f>_xlfn.XLOOKUP(TableDailySummary[[#This Row],[Fecha]],SummaryDaily[day],SummaryDaily[Online Store_average_order_value],0)</f>
        <v>0</v>
      </c>
      <c r="O733" s="11">
        <f>_xlfn.XLOOKUP(TableDailySummary[[#This Row],[Fecha]],SummaryDaily[day],SummaryDaily[Tienda 81_net_sales],0)</f>
        <v>0</v>
      </c>
      <c r="P733" s="11">
        <f>_xlfn.XLOOKUP(TableDailySummary[[#This Row],[Fecha]],SummaryDaily[day],SummaryDaily[Tienda 81_orders],0)</f>
        <v>0</v>
      </c>
      <c r="Q733" s="11">
        <f>_xlfn.XLOOKUP(TableDailySummary[[#This Row],[Fecha]],SummaryDaily[day],SummaryDaily[Tienda 81_average_order_value],0)</f>
        <v>0</v>
      </c>
      <c r="R733" s="11">
        <f>_xlfn.XLOOKUP(TableDailySummary[[#This Row],[Fecha]],SummaryDaily[day],SummaryDaily[Rappi_net_sales],0)</f>
        <v>0</v>
      </c>
      <c r="S733" s="11">
        <f>_xlfn.XLOOKUP(TableDailySummary[[#This Row],[Fecha]],SummaryDaily[day],SummaryDaily[Rappi_orders],0)</f>
        <v>0</v>
      </c>
      <c r="T733" s="11">
        <f>_xlfn.XLOOKUP(TableDailySummary[[#This Row],[Fecha]],SummaryDaily[day],SummaryDaily[Rappi_average_order_value],0)</f>
        <v>0</v>
      </c>
      <c r="U733" s="11">
        <f>_xlfn.XLOOKUP(TableDailySummary[[#This Row],[Fecha]],SummaryDaily[day],SummaryDaily[Corporativo no tienda_net_sales],0)</f>
        <v>0</v>
      </c>
      <c r="V733" s="11">
        <f>_xlfn.XLOOKUP(TableDailySummary[[#This Row],[Fecha]],SummaryDaily[day],SummaryDaily[Corporativo no tienda_orders],0)</f>
        <v>0</v>
      </c>
      <c r="W733" s="11">
        <f>_xlfn.XLOOKUP(TableDailySummary[[#This Row],[Fecha]],SummaryDaily[day],SummaryDaily[Corporativo no tienda_average_order_value],0)</f>
        <v>0</v>
      </c>
      <c r="X733" s="11">
        <f>_xlfn.XLOOKUP(TableDailySummary[[#This Row],[Fecha]],SummaryDaily[day],SummaryDaily[GoogleAdsOperation.Cost],0)</f>
        <v>0</v>
      </c>
      <c r="Y733" s="11">
        <f>SUMIFS(SalesByUTMDaily[google],SalesByUTMDaily[day],TableDailySummary[[#This Row],[Fecha]])</f>
        <v>0</v>
      </c>
      <c r="Z733" s="11">
        <f>_xlfn.XLOOKUP(TableDailySummary[[#This Row],[Fecha]],SummaryDaily[day],SummaryDaily[MetaAdsOperation.spend],0)</f>
        <v>0</v>
      </c>
      <c r="AA733" s="11">
        <f>SUMIFS(SalesByUTMDaily[facebook],SalesByUTMDaily[day],TableDailySummary[[#This Row],[Fecha]])</f>
        <v>0</v>
      </c>
      <c r="AB733" s="11">
        <f>TableDailySummary[[#This Row],[Inversión google ads]]+TableDailySummary[[#This Row],[Inversión meta ads]]</f>
        <v>0</v>
      </c>
      <c r="AC733" s="11">
        <f>TableDailySummary[[#This Row],[Ventas google ads]]+TableDailySummary[[#This Row],[Ventas meta ads]]</f>
        <v>0</v>
      </c>
      <c r="AD733" s="14">
        <f>IFERROR(TableDailySummary[[#This Row],[Ventas publicidad]]/TableDailySummary[[#This Row],[Inversión publicidad]],0)</f>
        <v>0</v>
      </c>
      <c r="AE733" s="14">
        <f>IFERROR(TableDailySummary[[#This Row],[Ventas primer cliente]]/TableDailySummary[[#This Row],[Inversión publicidad]],0)</f>
        <v>0</v>
      </c>
      <c r="AF733" s="14"/>
      <c r="AG733" s="11"/>
      <c r="AM733" s="11">
        <f>_xlfn.XLOOKUP(TableDailySummary[[#This Row],[Fecha]],SummaryDaily[day],SummaryDaily[net_sales_with_cost_recorded],0)</f>
        <v>0</v>
      </c>
      <c r="AN733" s="11">
        <f>_xlfn.XLOOKUP(TableDailySummary[[#This Row],[Fecha]],SummaryDaily[day],SummaryDaily[cost_of_goods_sold],0)</f>
        <v>0</v>
      </c>
      <c r="AO733" s="11">
        <f>_xlfn.XLOOKUP(TableDailySummary[[#This Row],[Fecha]],SummaryDaily[day],SummaryDaily[gross_profit],0)</f>
        <v>0</v>
      </c>
      <c r="AP733" s="18">
        <f>IFERROR(TableDailySummary[[#This Row],[Utilidad bruta]]/TableDailySummary[[#This Row],[Ventas netas con costo registrado]],0)</f>
        <v>0</v>
      </c>
    </row>
    <row r="734" spans="2:42" x14ac:dyDescent="0.2">
      <c r="B734" s="15" cm="1">
        <f t="array" ref="B734">ParamFechaInicioReporte + (ROW(TableDailySummary[#This Row]) - ROW(TableDailySummary[[#Headers],[Dia]]) - 1)</f>
        <v>45261</v>
      </c>
      <c r="C734" s="6">
        <f>TableDailySummary[[#This Row],[Dia]]</f>
        <v>45261</v>
      </c>
      <c r="D734" s="11">
        <f>_xlfn.XLOOKUP(TableDailySummary[[#This Row],[Fecha]],SummaryDaily[day],SummaryDaily[net_sales],0)</f>
        <v>0</v>
      </c>
      <c r="E734" s="11">
        <f>_xlfn.XLOOKUP(TableDailySummary[[#This Row],[Fecha]],SummaryDaily[day],SummaryDaily[orders],0)</f>
        <v>0</v>
      </c>
      <c r="F734" s="11">
        <f>_xlfn.XLOOKUP(TableDailySummary[[#This Row],[Fecha]],SummaryDaily[day],SummaryDaily[average_order_value],0)</f>
        <v>0</v>
      </c>
      <c r="G734" s="24" cm="1">
        <f t="array" ref="G734">_xlfn.XLOOKUP(TableDailySummary[[#This Row],[Fecha]]&amp;"Total site",ConversionRateByReferral[day]&amp;ConversionRateByReferral[referrer_source],ConversionRateByReferral[conversion_rate],0)</f>
        <v>0</v>
      </c>
      <c r="H734" s="11">
        <f>TableDailySummary[[#This Row],[Órden promedio totales]]*TableDailySummary[[#This Row],[CR totales]]</f>
        <v>0</v>
      </c>
      <c r="I734" s="11">
        <f>_xlfn.XLOOKUP(TableDailySummary[[#This Row],[Fecha]],SummaryDaily[day],SummaryDaily[new_net_sales],0)</f>
        <v>0</v>
      </c>
      <c r="J734" s="11">
        <f>_xlfn.XLOOKUP(TableDailySummary[[#This Row],[Fecha]],SummaryDaily[day],SummaryDaily[new_orders],0)</f>
        <v>0</v>
      </c>
      <c r="K734" s="11">
        <f>_xlfn.XLOOKUP(TableDailySummary[[#This Row],[Fecha]],SummaryDaily[day],SummaryDaily[new_average_order_value],0)</f>
        <v>0</v>
      </c>
      <c r="L734" s="11">
        <f>_xlfn.XLOOKUP(TableDailySummary[[#This Row],[Fecha]],SummaryDaily[day],SummaryDaily[Online Store_net_sales],0)</f>
        <v>0</v>
      </c>
      <c r="M734" s="11">
        <f>_xlfn.XLOOKUP(TableDailySummary[[#This Row],[Fecha]],SummaryDaily[day],SummaryDaily[Online Store_orders],0)</f>
        <v>0</v>
      </c>
      <c r="N734" s="11">
        <f>_xlfn.XLOOKUP(TableDailySummary[[#This Row],[Fecha]],SummaryDaily[day],SummaryDaily[Online Store_average_order_value],0)</f>
        <v>0</v>
      </c>
      <c r="O734" s="11">
        <f>_xlfn.XLOOKUP(TableDailySummary[[#This Row],[Fecha]],SummaryDaily[day],SummaryDaily[Tienda 81_net_sales],0)</f>
        <v>0</v>
      </c>
      <c r="P734" s="11">
        <f>_xlfn.XLOOKUP(TableDailySummary[[#This Row],[Fecha]],SummaryDaily[day],SummaryDaily[Tienda 81_orders],0)</f>
        <v>0</v>
      </c>
      <c r="Q734" s="11">
        <f>_xlfn.XLOOKUP(TableDailySummary[[#This Row],[Fecha]],SummaryDaily[day],SummaryDaily[Tienda 81_average_order_value],0)</f>
        <v>0</v>
      </c>
      <c r="R734" s="11">
        <f>_xlfn.XLOOKUP(TableDailySummary[[#This Row],[Fecha]],SummaryDaily[day],SummaryDaily[Rappi_net_sales],0)</f>
        <v>0</v>
      </c>
      <c r="S734" s="11">
        <f>_xlfn.XLOOKUP(TableDailySummary[[#This Row],[Fecha]],SummaryDaily[day],SummaryDaily[Rappi_orders],0)</f>
        <v>0</v>
      </c>
      <c r="T734" s="11">
        <f>_xlfn.XLOOKUP(TableDailySummary[[#This Row],[Fecha]],SummaryDaily[day],SummaryDaily[Rappi_average_order_value],0)</f>
        <v>0</v>
      </c>
      <c r="U734" s="11">
        <f>_xlfn.XLOOKUP(TableDailySummary[[#This Row],[Fecha]],SummaryDaily[day],SummaryDaily[Corporativo no tienda_net_sales],0)</f>
        <v>0</v>
      </c>
      <c r="V734" s="11">
        <f>_xlfn.XLOOKUP(TableDailySummary[[#This Row],[Fecha]],SummaryDaily[day],SummaryDaily[Corporativo no tienda_orders],0)</f>
        <v>0</v>
      </c>
      <c r="W734" s="11">
        <f>_xlfn.XLOOKUP(TableDailySummary[[#This Row],[Fecha]],SummaryDaily[day],SummaryDaily[Corporativo no tienda_average_order_value],0)</f>
        <v>0</v>
      </c>
      <c r="X734" s="11">
        <f>_xlfn.XLOOKUP(TableDailySummary[[#This Row],[Fecha]],SummaryDaily[day],SummaryDaily[GoogleAdsOperation.Cost],0)</f>
        <v>0</v>
      </c>
      <c r="Y734" s="11">
        <f>SUMIFS(SalesByUTMDaily[google],SalesByUTMDaily[day],TableDailySummary[[#This Row],[Fecha]])</f>
        <v>0</v>
      </c>
      <c r="Z734" s="11">
        <f>_xlfn.XLOOKUP(TableDailySummary[[#This Row],[Fecha]],SummaryDaily[day],SummaryDaily[MetaAdsOperation.spend],0)</f>
        <v>0</v>
      </c>
      <c r="AA734" s="11">
        <f>SUMIFS(SalesByUTMDaily[facebook],SalesByUTMDaily[day],TableDailySummary[[#This Row],[Fecha]])</f>
        <v>0</v>
      </c>
      <c r="AB734" s="11">
        <f>TableDailySummary[[#This Row],[Inversión google ads]]+TableDailySummary[[#This Row],[Inversión meta ads]]</f>
        <v>0</v>
      </c>
      <c r="AC734" s="11">
        <f>TableDailySummary[[#This Row],[Ventas google ads]]+TableDailySummary[[#This Row],[Ventas meta ads]]</f>
        <v>0</v>
      </c>
      <c r="AD734" s="14">
        <f>IFERROR(TableDailySummary[[#This Row],[Ventas publicidad]]/TableDailySummary[[#This Row],[Inversión publicidad]],0)</f>
        <v>0</v>
      </c>
      <c r="AE734" s="14">
        <f>IFERROR(TableDailySummary[[#This Row],[Ventas primer cliente]]/TableDailySummary[[#This Row],[Inversión publicidad]],0)</f>
        <v>0</v>
      </c>
      <c r="AF734" s="14"/>
      <c r="AG734" s="11"/>
      <c r="AM734" s="11">
        <f>_xlfn.XLOOKUP(TableDailySummary[[#This Row],[Fecha]],SummaryDaily[day],SummaryDaily[net_sales_with_cost_recorded],0)</f>
        <v>0</v>
      </c>
      <c r="AN734" s="11">
        <f>_xlfn.XLOOKUP(TableDailySummary[[#This Row],[Fecha]],SummaryDaily[day],SummaryDaily[cost_of_goods_sold],0)</f>
        <v>0</v>
      </c>
      <c r="AO734" s="11">
        <f>_xlfn.XLOOKUP(TableDailySummary[[#This Row],[Fecha]],SummaryDaily[day],SummaryDaily[gross_profit],0)</f>
        <v>0</v>
      </c>
      <c r="AP734" s="18">
        <f>IFERROR(TableDailySummary[[#This Row],[Utilidad bruta]]/TableDailySummary[[#This Row],[Ventas netas con costo registrado]],0)</f>
        <v>0</v>
      </c>
    </row>
    <row r="735" spans="2:42" x14ac:dyDescent="0.2">
      <c r="B735" s="15" cm="1">
        <f t="array" ref="B735">ParamFechaInicioReporte + (ROW(TableDailySummary[#This Row]) - ROW(TableDailySummary[[#Headers],[Dia]]) - 1)</f>
        <v>45262</v>
      </c>
      <c r="C735" s="6">
        <f>TableDailySummary[[#This Row],[Dia]]</f>
        <v>45262</v>
      </c>
      <c r="D735" s="11">
        <f>_xlfn.XLOOKUP(TableDailySummary[[#This Row],[Fecha]],SummaryDaily[day],SummaryDaily[net_sales],0)</f>
        <v>0</v>
      </c>
      <c r="E735" s="11">
        <f>_xlfn.XLOOKUP(TableDailySummary[[#This Row],[Fecha]],SummaryDaily[day],SummaryDaily[orders],0)</f>
        <v>0</v>
      </c>
      <c r="F735" s="11">
        <f>_xlfn.XLOOKUP(TableDailySummary[[#This Row],[Fecha]],SummaryDaily[day],SummaryDaily[average_order_value],0)</f>
        <v>0</v>
      </c>
      <c r="G735" s="24" cm="1">
        <f t="array" ref="G735">_xlfn.XLOOKUP(TableDailySummary[[#This Row],[Fecha]]&amp;"Total site",ConversionRateByReferral[day]&amp;ConversionRateByReferral[referrer_source],ConversionRateByReferral[conversion_rate],0)</f>
        <v>0</v>
      </c>
      <c r="H735" s="11">
        <f>TableDailySummary[[#This Row],[Órden promedio totales]]*TableDailySummary[[#This Row],[CR totales]]</f>
        <v>0</v>
      </c>
      <c r="I735" s="11">
        <f>_xlfn.XLOOKUP(TableDailySummary[[#This Row],[Fecha]],SummaryDaily[day],SummaryDaily[new_net_sales],0)</f>
        <v>0</v>
      </c>
      <c r="J735" s="11">
        <f>_xlfn.XLOOKUP(TableDailySummary[[#This Row],[Fecha]],SummaryDaily[day],SummaryDaily[new_orders],0)</f>
        <v>0</v>
      </c>
      <c r="K735" s="11">
        <f>_xlfn.XLOOKUP(TableDailySummary[[#This Row],[Fecha]],SummaryDaily[day],SummaryDaily[new_average_order_value],0)</f>
        <v>0</v>
      </c>
      <c r="L735" s="11">
        <f>_xlfn.XLOOKUP(TableDailySummary[[#This Row],[Fecha]],SummaryDaily[day],SummaryDaily[Online Store_net_sales],0)</f>
        <v>0</v>
      </c>
      <c r="M735" s="11">
        <f>_xlfn.XLOOKUP(TableDailySummary[[#This Row],[Fecha]],SummaryDaily[day],SummaryDaily[Online Store_orders],0)</f>
        <v>0</v>
      </c>
      <c r="N735" s="11">
        <f>_xlfn.XLOOKUP(TableDailySummary[[#This Row],[Fecha]],SummaryDaily[day],SummaryDaily[Online Store_average_order_value],0)</f>
        <v>0</v>
      </c>
      <c r="O735" s="11">
        <f>_xlfn.XLOOKUP(TableDailySummary[[#This Row],[Fecha]],SummaryDaily[day],SummaryDaily[Tienda 81_net_sales],0)</f>
        <v>0</v>
      </c>
      <c r="P735" s="11">
        <f>_xlfn.XLOOKUP(TableDailySummary[[#This Row],[Fecha]],SummaryDaily[day],SummaryDaily[Tienda 81_orders],0)</f>
        <v>0</v>
      </c>
      <c r="Q735" s="11">
        <f>_xlfn.XLOOKUP(TableDailySummary[[#This Row],[Fecha]],SummaryDaily[day],SummaryDaily[Tienda 81_average_order_value],0)</f>
        <v>0</v>
      </c>
      <c r="R735" s="11">
        <f>_xlfn.XLOOKUP(TableDailySummary[[#This Row],[Fecha]],SummaryDaily[day],SummaryDaily[Rappi_net_sales],0)</f>
        <v>0</v>
      </c>
      <c r="S735" s="11">
        <f>_xlfn.XLOOKUP(TableDailySummary[[#This Row],[Fecha]],SummaryDaily[day],SummaryDaily[Rappi_orders],0)</f>
        <v>0</v>
      </c>
      <c r="T735" s="11">
        <f>_xlfn.XLOOKUP(TableDailySummary[[#This Row],[Fecha]],SummaryDaily[day],SummaryDaily[Rappi_average_order_value],0)</f>
        <v>0</v>
      </c>
      <c r="U735" s="11">
        <f>_xlfn.XLOOKUP(TableDailySummary[[#This Row],[Fecha]],SummaryDaily[day],SummaryDaily[Corporativo no tienda_net_sales],0)</f>
        <v>0</v>
      </c>
      <c r="V735" s="11">
        <f>_xlfn.XLOOKUP(TableDailySummary[[#This Row],[Fecha]],SummaryDaily[day],SummaryDaily[Corporativo no tienda_orders],0)</f>
        <v>0</v>
      </c>
      <c r="W735" s="11">
        <f>_xlfn.XLOOKUP(TableDailySummary[[#This Row],[Fecha]],SummaryDaily[day],SummaryDaily[Corporativo no tienda_average_order_value],0)</f>
        <v>0</v>
      </c>
      <c r="X735" s="11">
        <f>_xlfn.XLOOKUP(TableDailySummary[[#This Row],[Fecha]],SummaryDaily[day],SummaryDaily[GoogleAdsOperation.Cost],0)</f>
        <v>0</v>
      </c>
      <c r="Y735" s="11">
        <f>SUMIFS(SalesByUTMDaily[google],SalesByUTMDaily[day],TableDailySummary[[#This Row],[Fecha]])</f>
        <v>0</v>
      </c>
      <c r="Z735" s="11">
        <f>_xlfn.XLOOKUP(TableDailySummary[[#This Row],[Fecha]],SummaryDaily[day],SummaryDaily[MetaAdsOperation.spend],0)</f>
        <v>0</v>
      </c>
      <c r="AA735" s="11">
        <f>SUMIFS(SalesByUTMDaily[facebook],SalesByUTMDaily[day],TableDailySummary[[#This Row],[Fecha]])</f>
        <v>0</v>
      </c>
      <c r="AB735" s="11">
        <f>TableDailySummary[[#This Row],[Inversión google ads]]+TableDailySummary[[#This Row],[Inversión meta ads]]</f>
        <v>0</v>
      </c>
      <c r="AC735" s="11">
        <f>TableDailySummary[[#This Row],[Ventas google ads]]+TableDailySummary[[#This Row],[Ventas meta ads]]</f>
        <v>0</v>
      </c>
      <c r="AD735" s="14">
        <f>IFERROR(TableDailySummary[[#This Row],[Ventas publicidad]]/TableDailySummary[[#This Row],[Inversión publicidad]],0)</f>
        <v>0</v>
      </c>
      <c r="AE735" s="14">
        <f>IFERROR(TableDailySummary[[#This Row],[Ventas primer cliente]]/TableDailySummary[[#This Row],[Inversión publicidad]],0)</f>
        <v>0</v>
      </c>
      <c r="AF735" s="14"/>
      <c r="AG735" s="11"/>
      <c r="AM735" s="11">
        <f>_xlfn.XLOOKUP(TableDailySummary[[#This Row],[Fecha]],SummaryDaily[day],SummaryDaily[net_sales_with_cost_recorded],0)</f>
        <v>0</v>
      </c>
      <c r="AN735" s="11">
        <f>_xlfn.XLOOKUP(TableDailySummary[[#This Row],[Fecha]],SummaryDaily[day],SummaryDaily[cost_of_goods_sold],0)</f>
        <v>0</v>
      </c>
      <c r="AO735" s="11">
        <f>_xlfn.XLOOKUP(TableDailySummary[[#This Row],[Fecha]],SummaryDaily[day],SummaryDaily[gross_profit],0)</f>
        <v>0</v>
      </c>
      <c r="AP735" s="18">
        <f>IFERROR(TableDailySummary[[#This Row],[Utilidad bruta]]/TableDailySummary[[#This Row],[Ventas netas con costo registrado]],0)</f>
        <v>0</v>
      </c>
    </row>
    <row r="736" spans="2:42" x14ac:dyDescent="0.2">
      <c r="B736" s="15" cm="1">
        <f t="array" ref="B736">ParamFechaInicioReporte + (ROW(TableDailySummary[#This Row]) - ROW(TableDailySummary[[#Headers],[Dia]]) - 1)</f>
        <v>45263</v>
      </c>
      <c r="C736" s="6">
        <f>TableDailySummary[[#This Row],[Dia]]</f>
        <v>45263</v>
      </c>
      <c r="D736" s="11">
        <f>_xlfn.XLOOKUP(TableDailySummary[[#This Row],[Fecha]],SummaryDaily[day],SummaryDaily[net_sales],0)</f>
        <v>0</v>
      </c>
      <c r="E736" s="11">
        <f>_xlfn.XLOOKUP(TableDailySummary[[#This Row],[Fecha]],SummaryDaily[day],SummaryDaily[orders],0)</f>
        <v>0</v>
      </c>
      <c r="F736" s="11">
        <f>_xlfn.XLOOKUP(TableDailySummary[[#This Row],[Fecha]],SummaryDaily[day],SummaryDaily[average_order_value],0)</f>
        <v>0</v>
      </c>
      <c r="G736" s="24" cm="1">
        <f t="array" ref="G736">_xlfn.XLOOKUP(TableDailySummary[[#This Row],[Fecha]]&amp;"Total site",ConversionRateByReferral[day]&amp;ConversionRateByReferral[referrer_source],ConversionRateByReferral[conversion_rate],0)</f>
        <v>0</v>
      </c>
      <c r="H736" s="11">
        <f>TableDailySummary[[#This Row],[Órden promedio totales]]*TableDailySummary[[#This Row],[CR totales]]</f>
        <v>0</v>
      </c>
      <c r="I736" s="11">
        <f>_xlfn.XLOOKUP(TableDailySummary[[#This Row],[Fecha]],SummaryDaily[day],SummaryDaily[new_net_sales],0)</f>
        <v>0</v>
      </c>
      <c r="J736" s="11">
        <f>_xlfn.XLOOKUP(TableDailySummary[[#This Row],[Fecha]],SummaryDaily[day],SummaryDaily[new_orders],0)</f>
        <v>0</v>
      </c>
      <c r="K736" s="11">
        <f>_xlfn.XLOOKUP(TableDailySummary[[#This Row],[Fecha]],SummaryDaily[day],SummaryDaily[new_average_order_value],0)</f>
        <v>0</v>
      </c>
      <c r="L736" s="11">
        <f>_xlfn.XLOOKUP(TableDailySummary[[#This Row],[Fecha]],SummaryDaily[day],SummaryDaily[Online Store_net_sales],0)</f>
        <v>0</v>
      </c>
      <c r="M736" s="11">
        <f>_xlfn.XLOOKUP(TableDailySummary[[#This Row],[Fecha]],SummaryDaily[day],SummaryDaily[Online Store_orders],0)</f>
        <v>0</v>
      </c>
      <c r="N736" s="11">
        <f>_xlfn.XLOOKUP(TableDailySummary[[#This Row],[Fecha]],SummaryDaily[day],SummaryDaily[Online Store_average_order_value],0)</f>
        <v>0</v>
      </c>
      <c r="O736" s="11">
        <f>_xlfn.XLOOKUP(TableDailySummary[[#This Row],[Fecha]],SummaryDaily[day],SummaryDaily[Tienda 81_net_sales],0)</f>
        <v>0</v>
      </c>
      <c r="P736" s="11">
        <f>_xlfn.XLOOKUP(TableDailySummary[[#This Row],[Fecha]],SummaryDaily[day],SummaryDaily[Tienda 81_orders],0)</f>
        <v>0</v>
      </c>
      <c r="Q736" s="11">
        <f>_xlfn.XLOOKUP(TableDailySummary[[#This Row],[Fecha]],SummaryDaily[day],SummaryDaily[Tienda 81_average_order_value],0)</f>
        <v>0</v>
      </c>
      <c r="R736" s="11">
        <f>_xlfn.XLOOKUP(TableDailySummary[[#This Row],[Fecha]],SummaryDaily[day],SummaryDaily[Rappi_net_sales],0)</f>
        <v>0</v>
      </c>
      <c r="S736" s="11">
        <f>_xlfn.XLOOKUP(TableDailySummary[[#This Row],[Fecha]],SummaryDaily[day],SummaryDaily[Rappi_orders],0)</f>
        <v>0</v>
      </c>
      <c r="T736" s="11">
        <f>_xlfn.XLOOKUP(TableDailySummary[[#This Row],[Fecha]],SummaryDaily[day],SummaryDaily[Rappi_average_order_value],0)</f>
        <v>0</v>
      </c>
      <c r="U736" s="11">
        <f>_xlfn.XLOOKUP(TableDailySummary[[#This Row],[Fecha]],SummaryDaily[day],SummaryDaily[Corporativo no tienda_net_sales],0)</f>
        <v>0</v>
      </c>
      <c r="V736" s="11">
        <f>_xlfn.XLOOKUP(TableDailySummary[[#This Row],[Fecha]],SummaryDaily[day],SummaryDaily[Corporativo no tienda_orders],0)</f>
        <v>0</v>
      </c>
      <c r="W736" s="11">
        <f>_xlfn.XLOOKUP(TableDailySummary[[#This Row],[Fecha]],SummaryDaily[day],SummaryDaily[Corporativo no tienda_average_order_value],0)</f>
        <v>0</v>
      </c>
      <c r="X736" s="11">
        <f>_xlfn.XLOOKUP(TableDailySummary[[#This Row],[Fecha]],SummaryDaily[day],SummaryDaily[GoogleAdsOperation.Cost],0)</f>
        <v>0</v>
      </c>
      <c r="Y736" s="11">
        <f>SUMIFS(SalesByUTMDaily[google],SalesByUTMDaily[day],TableDailySummary[[#This Row],[Fecha]])</f>
        <v>0</v>
      </c>
      <c r="Z736" s="11">
        <f>_xlfn.XLOOKUP(TableDailySummary[[#This Row],[Fecha]],SummaryDaily[day],SummaryDaily[MetaAdsOperation.spend],0)</f>
        <v>0</v>
      </c>
      <c r="AA736" s="11">
        <f>SUMIFS(SalesByUTMDaily[facebook],SalesByUTMDaily[day],TableDailySummary[[#This Row],[Fecha]])</f>
        <v>0</v>
      </c>
      <c r="AB736" s="11">
        <f>TableDailySummary[[#This Row],[Inversión google ads]]+TableDailySummary[[#This Row],[Inversión meta ads]]</f>
        <v>0</v>
      </c>
      <c r="AC736" s="11">
        <f>TableDailySummary[[#This Row],[Ventas google ads]]+TableDailySummary[[#This Row],[Ventas meta ads]]</f>
        <v>0</v>
      </c>
      <c r="AD736" s="14">
        <f>IFERROR(TableDailySummary[[#This Row],[Ventas publicidad]]/TableDailySummary[[#This Row],[Inversión publicidad]],0)</f>
        <v>0</v>
      </c>
      <c r="AE736" s="14">
        <f>IFERROR(TableDailySummary[[#This Row],[Ventas primer cliente]]/TableDailySummary[[#This Row],[Inversión publicidad]],0)</f>
        <v>0</v>
      </c>
      <c r="AF736" s="14"/>
      <c r="AG736" s="11"/>
      <c r="AM736" s="11">
        <f>_xlfn.XLOOKUP(TableDailySummary[[#This Row],[Fecha]],SummaryDaily[day],SummaryDaily[net_sales_with_cost_recorded],0)</f>
        <v>0</v>
      </c>
      <c r="AN736" s="11">
        <f>_xlfn.XLOOKUP(TableDailySummary[[#This Row],[Fecha]],SummaryDaily[day],SummaryDaily[cost_of_goods_sold],0)</f>
        <v>0</v>
      </c>
      <c r="AO736" s="11">
        <f>_xlfn.XLOOKUP(TableDailySummary[[#This Row],[Fecha]],SummaryDaily[day],SummaryDaily[gross_profit],0)</f>
        <v>0</v>
      </c>
      <c r="AP736" s="18">
        <f>IFERROR(TableDailySummary[[#This Row],[Utilidad bruta]]/TableDailySummary[[#This Row],[Ventas netas con costo registrado]],0)</f>
        <v>0</v>
      </c>
    </row>
    <row r="737" spans="2:42" x14ac:dyDescent="0.2">
      <c r="B737" s="15" cm="1">
        <f t="array" ref="B737">ParamFechaInicioReporte + (ROW(TableDailySummary[#This Row]) - ROW(TableDailySummary[[#Headers],[Dia]]) - 1)</f>
        <v>45264</v>
      </c>
      <c r="C737" s="6">
        <f>TableDailySummary[[#This Row],[Dia]]</f>
        <v>45264</v>
      </c>
      <c r="D737" s="11">
        <f>_xlfn.XLOOKUP(TableDailySummary[[#This Row],[Fecha]],SummaryDaily[day],SummaryDaily[net_sales],0)</f>
        <v>0</v>
      </c>
      <c r="E737" s="11">
        <f>_xlfn.XLOOKUP(TableDailySummary[[#This Row],[Fecha]],SummaryDaily[day],SummaryDaily[orders],0)</f>
        <v>0</v>
      </c>
      <c r="F737" s="11">
        <f>_xlfn.XLOOKUP(TableDailySummary[[#This Row],[Fecha]],SummaryDaily[day],SummaryDaily[average_order_value],0)</f>
        <v>0</v>
      </c>
      <c r="G737" s="24" cm="1">
        <f t="array" ref="G737">_xlfn.XLOOKUP(TableDailySummary[[#This Row],[Fecha]]&amp;"Total site",ConversionRateByReferral[day]&amp;ConversionRateByReferral[referrer_source],ConversionRateByReferral[conversion_rate],0)</f>
        <v>0</v>
      </c>
      <c r="H737" s="11">
        <f>TableDailySummary[[#This Row],[Órden promedio totales]]*TableDailySummary[[#This Row],[CR totales]]</f>
        <v>0</v>
      </c>
      <c r="I737" s="11">
        <f>_xlfn.XLOOKUP(TableDailySummary[[#This Row],[Fecha]],SummaryDaily[day],SummaryDaily[new_net_sales],0)</f>
        <v>0</v>
      </c>
      <c r="J737" s="11">
        <f>_xlfn.XLOOKUP(TableDailySummary[[#This Row],[Fecha]],SummaryDaily[day],SummaryDaily[new_orders],0)</f>
        <v>0</v>
      </c>
      <c r="K737" s="11">
        <f>_xlfn.XLOOKUP(TableDailySummary[[#This Row],[Fecha]],SummaryDaily[day],SummaryDaily[new_average_order_value],0)</f>
        <v>0</v>
      </c>
      <c r="L737" s="11">
        <f>_xlfn.XLOOKUP(TableDailySummary[[#This Row],[Fecha]],SummaryDaily[day],SummaryDaily[Online Store_net_sales],0)</f>
        <v>0</v>
      </c>
      <c r="M737" s="11">
        <f>_xlfn.XLOOKUP(TableDailySummary[[#This Row],[Fecha]],SummaryDaily[day],SummaryDaily[Online Store_orders],0)</f>
        <v>0</v>
      </c>
      <c r="N737" s="11">
        <f>_xlfn.XLOOKUP(TableDailySummary[[#This Row],[Fecha]],SummaryDaily[day],SummaryDaily[Online Store_average_order_value],0)</f>
        <v>0</v>
      </c>
      <c r="O737" s="11">
        <f>_xlfn.XLOOKUP(TableDailySummary[[#This Row],[Fecha]],SummaryDaily[day],SummaryDaily[Tienda 81_net_sales],0)</f>
        <v>0</v>
      </c>
      <c r="P737" s="11">
        <f>_xlfn.XLOOKUP(TableDailySummary[[#This Row],[Fecha]],SummaryDaily[day],SummaryDaily[Tienda 81_orders],0)</f>
        <v>0</v>
      </c>
      <c r="Q737" s="11">
        <f>_xlfn.XLOOKUP(TableDailySummary[[#This Row],[Fecha]],SummaryDaily[day],SummaryDaily[Tienda 81_average_order_value],0)</f>
        <v>0</v>
      </c>
      <c r="R737" s="11">
        <f>_xlfn.XLOOKUP(TableDailySummary[[#This Row],[Fecha]],SummaryDaily[day],SummaryDaily[Rappi_net_sales],0)</f>
        <v>0</v>
      </c>
      <c r="S737" s="11">
        <f>_xlfn.XLOOKUP(TableDailySummary[[#This Row],[Fecha]],SummaryDaily[day],SummaryDaily[Rappi_orders],0)</f>
        <v>0</v>
      </c>
      <c r="T737" s="11">
        <f>_xlfn.XLOOKUP(TableDailySummary[[#This Row],[Fecha]],SummaryDaily[day],SummaryDaily[Rappi_average_order_value],0)</f>
        <v>0</v>
      </c>
      <c r="U737" s="11">
        <f>_xlfn.XLOOKUP(TableDailySummary[[#This Row],[Fecha]],SummaryDaily[day],SummaryDaily[Corporativo no tienda_net_sales],0)</f>
        <v>0</v>
      </c>
      <c r="V737" s="11">
        <f>_xlfn.XLOOKUP(TableDailySummary[[#This Row],[Fecha]],SummaryDaily[day],SummaryDaily[Corporativo no tienda_orders],0)</f>
        <v>0</v>
      </c>
      <c r="W737" s="11">
        <f>_xlfn.XLOOKUP(TableDailySummary[[#This Row],[Fecha]],SummaryDaily[day],SummaryDaily[Corporativo no tienda_average_order_value],0)</f>
        <v>0</v>
      </c>
      <c r="X737" s="11">
        <f>_xlfn.XLOOKUP(TableDailySummary[[#This Row],[Fecha]],SummaryDaily[day],SummaryDaily[GoogleAdsOperation.Cost],0)</f>
        <v>0</v>
      </c>
      <c r="Y737" s="11">
        <f>SUMIFS(SalesByUTMDaily[google],SalesByUTMDaily[day],TableDailySummary[[#This Row],[Fecha]])</f>
        <v>0</v>
      </c>
      <c r="Z737" s="11">
        <f>_xlfn.XLOOKUP(TableDailySummary[[#This Row],[Fecha]],SummaryDaily[day],SummaryDaily[MetaAdsOperation.spend],0)</f>
        <v>0</v>
      </c>
      <c r="AA737" s="11">
        <f>SUMIFS(SalesByUTMDaily[facebook],SalesByUTMDaily[day],TableDailySummary[[#This Row],[Fecha]])</f>
        <v>0</v>
      </c>
      <c r="AB737" s="11">
        <f>TableDailySummary[[#This Row],[Inversión google ads]]+TableDailySummary[[#This Row],[Inversión meta ads]]</f>
        <v>0</v>
      </c>
      <c r="AC737" s="11">
        <f>TableDailySummary[[#This Row],[Ventas google ads]]+TableDailySummary[[#This Row],[Ventas meta ads]]</f>
        <v>0</v>
      </c>
      <c r="AD737" s="14">
        <f>IFERROR(TableDailySummary[[#This Row],[Ventas publicidad]]/TableDailySummary[[#This Row],[Inversión publicidad]],0)</f>
        <v>0</v>
      </c>
      <c r="AE737" s="14">
        <f>IFERROR(TableDailySummary[[#This Row],[Ventas primer cliente]]/TableDailySummary[[#This Row],[Inversión publicidad]],0)</f>
        <v>0</v>
      </c>
      <c r="AF737" s="14"/>
      <c r="AG737" s="11"/>
      <c r="AM737" s="11">
        <f>_xlfn.XLOOKUP(TableDailySummary[[#This Row],[Fecha]],SummaryDaily[day],SummaryDaily[net_sales_with_cost_recorded],0)</f>
        <v>0</v>
      </c>
      <c r="AN737" s="11">
        <f>_xlfn.XLOOKUP(TableDailySummary[[#This Row],[Fecha]],SummaryDaily[day],SummaryDaily[cost_of_goods_sold],0)</f>
        <v>0</v>
      </c>
      <c r="AO737" s="11">
        <f>_xlfn.XLOOKUP(TableDailySummary[[#This Row],[Fecha]],SummaryDaily[day],SummaryDaily[gross_profit],0)</f>
        <v>0</v>
      </c>
      <c r="AP737" s="18">
        <f>IFERROR(TableDailySummary[[#This Row],[Utilidad bruta]]/TableDailySummary[[#This Row],[Ventas netas con costo registrado]],0)</f>
        <v>0</v>
      </c>
    </row>
    <row r="738" spans="2:42" x14ac:dyDescent="0.2">
      <c r="B738" s="15" cm="1">
        <f t="array" ref="B738">ParamFechaInicioReporte + (ROW(TableDailySummary[#This Row]) - ROW(TableDailySummary[[#Headers],[Dia]]) - 1)</f>
        <v>45265</v>
      </c>
      <c r="C738" s="6">
        <f>TableDailySummary[[#This Row],[Dia]]</f>
        <v>45265</v>
      </c>
      <c r="D738" s="11">
        <f>_xlfn.XLOOKUP(TableDailySummary[[#This Row],[Fecha]],SummaryDaily[day],SummaryDaily[net_sales],0)</f>
        <v>0</v>
      </c>
      <c r="E738" s="11">
        <f>_xlfn.XLOOKUP(TableDailySummary[[#This Row],[Fecha]],SummaryDaily[day],SummaryDaily[orders],0)</f>
        <v>0</v>
      </c>
      <c r="F738" s="11">
        <f>_xlfn.XLOOKUP(TableDailySummary[[#This Row],[Fecha]],SummaryDaily[day],SummaryDaily[average_order_value],0)</f>
        <v>0</v>
      </c>
      <c r="G738" s="24" cm="1">
        <f t="array" ref="G738">_xlfn.XLOOKUP(TableDailySummary[[#This Row],[Fecha]]&amp;"Total site",ConversionRateByReferral[day]&amp;ConversionRateByReferral[referrer_source],ConversionRateByReferral[conversion_rate],0)</f>
        <v>0</v>
      </c>
      <c r="H738" s="11">
        <f>TableDailySummary[[#This Row],[Órden promedio totales]]*TableDailySummary[[#This Row],[CR totales]]</f>
        <v>0</v>
      </c>
      <c r="I738" s="11">
        <f>_xlfn.XLOOKUP(TableDailySummary[[#This Row],[Fecha]],SummaryDaily[day],SummaryDaily[new_net_sales],0)</f>
        <v>0</v>
      </c>
      <c r="J738" s="11">
        <f>_xlfn.XLOOKUP(TableDailySummary[[#This Row],[Fecha]],SummaryDaily[day],SummaryDaily[new_orders],0)</f>
        <v>0</v>
      </c>
      <c r="K738" s="11">
        <f>_xlfn.XLOOKUP(TableDailySummary[[#This Row],[Fecha]],SummaryDaily[day],SummaryDaily[new_average_order_value],0)</f>
        <v>0</v>
      </c>
      <c r="L738" s="11">
        <f>_xlfn.XLOOKUP(TableDailySummary[[#This Row],[Fecha]],SummaryDaily[day],SummaryDaily[Online Store_net_sales],0)</f>
        <v>0</v>
      </c>
      <c r="M738" s="11">
        <f>_xlfn.XLOOKUP(TableDailySummary[[#This Row],[Fecha]],SummaryDaily[day],SummaryDaily[Online Store_orders],0)</f>
        <v>0</v>
      </c>
      <c r="N738" s="11">
        <f>_xlfn.XLOOKUP(TableDailySummary[[#This Row],[Fecha]],SummaryDaily[day],SummaryDaily[Online Store_average_order_value],0)</f>
        <v>0</v>
      </c>
      <c r="O738" s="11">
        <f>_xlfn.XLOOKUP(TableDailySummary[[#This Row],[Fecha]],SummaryDaily[day],SummaryDaily[Tienda 81_net_sales],0)</f>
        <v>0</v>
      </c>
      <c r="P738" s="11">
        <f>_xlfn.XLOOKUP(TableDailySummary[[#This Row],[Fecha]],SummaryDaily[day],SummaryDaily[Tienda 81_orders],0)</f>
        <v>0</v>
      </c>
      <c r="Q738" s="11">
        <f>_xlfn.XLOOKUP(TableDailySummary[[#This Row],[Fecha]],SummaryDaily[day],SummaryDaily[Tienda 81_average_order_value],0)</f>
        <v>0</v>
      </c>
      <c r="R738" s="11">
        <f>_xlfn.XLOOKUP(TableDailySummary[[#This Row],[Fecha]],SummaryDaily[day],SummaryDaily[Rappi_net_sales],0)</f>
        <v>0</v>
      </c>
      <c r="S738" s="11">
        <f>_xlfn.XLOOKUP(TableDailySummary[[#This Row],[Fecha]],SummaryDaily[day],SummaryDaily[Rappi_orders],0)</f>
        <v>0</v>
      </c>
      <c r="T738" s="11">
        <f>_xlfn.XLOOKUP(TableDailySummary[[#This Row],[Fecha]],SummaryDaily[day],SummaryDaily[Rappi_average_order_value],0)</f>
        <v>0</v>
      </c>
      <c r="U738" s="11">
        <f>_xlfn.XLOOKUP(TableDailySummary[[#This Row],[Fecha]],SummaryDaily[day],SummaryDaily[Corporativo no tienda_net_sales],0)</f>
        <v>0</v>
      </c>
      <c r="V738" s="11">
        <f>_xlfn.XLOOKUP(TableDailySummary[[#This Row],[Fecha]],SummaryDaily[day],SummaryDaily[Corporativo no tienda_orders],0)</f>
        <v>0</v>
      </c>
      <c r="W738" s="11">
        <f>_xlfn.XLOOKUP(TableDailySummary[[#This Row],[Fecha]],SummaryDaily[day],SummaryDaily[Corporativo no tienda_average_order_value],0)</f>
        <v>0</v>
      </c>
      <c r="X738" s="11">
        <f>_xlfn.XLOOKUP(TableDailySummary[[#This Row],[Fecha]],SummaryDaily[day],SummaryDaily[GoogleAdsOperation.Cost],0)</f>
        <v>0</v>
      </c>
      <c r="Y738" s="11">
        <f>SUMIFS(SalesByUTMDaily[google],SalesByUTMDaily[day],TableDailySummary[[#This Row],[Fecha]])</f>
        <v>0</v>
      </c>
      <c r="Z738" s="11">
        <f>_xlfn.XLOOKUP(TableDailySummary[[#This Row],[Fecha]],SummaryDaily[day],SummaryDaily[MetaAdsOperation.spend],0)</f>
        <v>0</v>
      </c>
      <c r="AA738" s="11">
        <f>SUMIFS(SalesByUTMDaily[facebook],SalesByUTMDaily[day],TableDailySummary[[#This Row],[Fecha]])</f>
        <v>0</v>
      </c>
      <c r="AB738" s="11">
        <f>TableDailySummary[[#This Row],[Inversión google ads]]+TableDailySummary[[#This Row],[Inversión meta ads]]</f>
        <v>0</v>
      </c>
      <c r="AC738" s="11">
        <f>TableDailySummary[[#This Row],[Ventas google ads]]+TableDailySummary[[#This Row],[Ventas meta ads]]</f>
        <v>0</v>
      </c>
      <c r="AD738" s="14">
        <f>IFERROR(TableDailySummary[[#This Row],[Ventas publicidad]]/TableDailySummary[[#This Row],[Inversión publicidad]],0)</f>
        <v>0</v>
      </c>
      <c r="AE738" s="14">
        <f>IFERROR(TableDailySummary[[#This Row],[Ventas primer cliente]]/TableDailySummary[[#This Row],[Inversión publicidad]],0)</f>
        <v>0</v>
      </c>
      <c r="AF738" s="14"/>
      <c r="AG738" s="11"/>
      <c r="AM738" s="11">
        <f>_xlfn.XLOOKUP(TableDailySummary[[#This Row],[Fecha]],SummaryDaily[day],SummaryDaily[net_sales_with_cost_recorded],0)</f>
        <v>0</v>
      </c>
      <c r="AN738" s="11">
        <f>_xlfn.XLOOKUP(TableDailySummary[[#This Row],[Fecha]],SummaryDaily[day],SummaryDaily[cost_of_goods_sold],0)</f>
        <v>0</v>
      </c>
      <c r="AO738" s="11">
        <f>_xlfn.XLOOKUP(TableDailySummary[[#This Row],[Fecha]],SummaryDaily[day],SummaryDaily[gross_profit],0)</f>
        <v>0</v>
      </c>
      <c r="AP738" s="18">
        <f>IFERROR(TableDailySummary[[#This Row],[Utilidad bruta]]/TableDailySummary[[#This Row],[Ventas netas con costo registrado]],0)</f>
        <v>0</v>
      </c>
    </row>
    <row r="739" spans="2:42" x14ac:dyDescent="0.2">
      <c r="B739" s="15" cm="1">
        <f t="array" ref="B739">ParamFechaInicioReporte + (ROW(TableDailySummary[#This Row]) - ROW(TableDailySummary[[#Headers],[Dia]]) - 1)</f>
        <v>45266</v>
      </c>
      <c r="C739" s="6">
        <f>TableDailySummary[[#This Row],[Dia]]</f>
        <v>45266</v>
      </c>
      <c r="D739" s="11">
        <f>_xlfn.XLOOKUP(TableDailySummary[[#This Row],[Fecha]],SummaryDaily[day],SummaryDaily[net_sales],0)</f>
        <v>0</v>
      </c>
      <c r="E739" s="11">
        <f>_xlfn.XLOOKUP(TableDailySummary[[#This Row],[Fecha]],SummaryDaily[day],SummaryDaily[orders],0)</f>
        <v>0</v>
      </c>
      <c r="F739" s="11">
        <f>_xlfn.XLOOKUP(TableDailySummary[[#This Row],[Fecha]],SummaryDaily[day],SummaryDaily[average_order_value],0)</f>
        <v>0</v>
      </c>
      <c r="G739" s="24" cm="1">
        <f t="array" ref="G739">_xlfn.XLOOKUP(TableDailySummary[[#This Row],[Fecha]]&amp;"Total site",ConversionRateByReferral[day]&amp;ConversionRateByReferral[referrer_source],ConversionRateByReferral[conversion_rate],0)</f>
        <v>0</v>
      </c>
      <c r="H739" s="11">
        <f>TableDailySummary[[#This Row],[Órden promedio totales]]*TableDailySummary[[#This Row],[CR totales]]</f>
        <v>0</v>
      </c>
      <c r="I739" s="11">
        <f>_xlfn.XLOOKUP(TableDailySummary[[#This Row],[Fecha]],SummaryDaily[day],SummaryDaily[new_net_sales],0)</f>
        <v>0</v>
      </c>
      <c r="J739" s="11">
        <f>_xlfn.XLOOKUP(TableDailySummary[[#This Row],[Fecha]],SummaryDaily[day],SummaryDaily[new_orders],0)</f>
        <v>0</v>
      </c>
      <c r="K739" s="11">
        <f>_xlfn.XLOOKUP(TableDailySummary[[#This Row],[Fecha]],SummaryDaily[day],SummaryDaily[new_average_order_value],0)</f>
        <v>0</v>
      </c>
      <c r="L739" s="11">
        <f>_xlfn.XLOOKUP(TableDailySummary[[#This Row],[Fecha]],SummaryDaily[day],SummaryDaily[Online Store_net_sales],0)</f>
        <v>0</v>
      </c>
      <c r="M739" s="11">
        <f>_xlfn.XLOOKUP(TableDailySummary[[#This Row],[Fecha]],SummaryDaily[day],SummaryDaily[Online Store_orders],0)</f>
        <v>0</v>
      </c>
      <c r="N739" s="11">
        <f>_xlfn.XLOOKUP(TableDailySummary[[#This Row],[Fecha]],SummaryDaily[day],SummaryDaily[Online Store_average_order_value],0)</f>
        <v>0</v>
      </c>
      <c r="O739" s="11">
        <f>_xlfn.XLOOKUP(TableDailySummary[[#This Row],[Fecha]],SummaryDaily[day],SummaryDaily[Tienda 81_net_sales],0)</f>
        <v>0</v>
      </c>
      <c r="P739" s="11">
        <f>_xlfn.XLOOKUP(TableDailySummary[[#This Row],[Fecha]],SummaryDaily[day],SummaryDaily[Tienda 81_orders],0)</f>
        <v>0</v>
      </c>
      <c r="Q739" s="11">
        <f>_xlfn.XLOOKUP(TableDailySummary[[#This Row],[Fecha]],SummaryDaily[day],SummaryDaily[Tienda 81_average_order_value],0)</f>
        <v>0</v>
      </c>
      <c r="R739" s="11">
        <f>_xlfn.XLOOKUP(TableDailySummary[[#This Row],[Fecha]],SummaryDaily[day],SummaryDaily[Rappi_net_sales],0)</f>
        <v>0</v>
      </c>
      <c r="S739" s="11">
        <f>_xlfn.XLOOKUP(TableDailySummary[[#This Row],[Fecha]],SummaryDaily[day],SummaryDaily[Rappi_orders],0)</f>
        <v>0</v>
      </c>
      <c r="T739" s="11">
        <f>_xlfn.XLOOKUP(TableDailySummary[[#This Row],[Fecha]],SummaryDaily[day],SummaryDaily[Rappi_average_order_value],0)</f>
        <v>0</v>
      </c>
      <c r="U739" s="11">
        <f>_xlfn.XLOOKUP(TableDailySummary[[#This Row],[Fecha]],SummaryDaily[day],SummaryDaily[Corporativo no tienda_net_sales],0)</f>
        <v>0</v>
      </c>
      <c r="V739" s="11">
        <f>_xlfn.XLOOKUP(TableDailySummary[[#This Row],[Fecha]],SummaryDaily[day],SummaryDaily[Corporativo no tienda_orders],0)</f>
        <v>0</v>
      </c>
      <c r="W739" s="11">
        <f>_xlfn.XLOOKUP(TableDailySummary[[#This Row],[Fecha]],SummaryDaily[day],SummaryDaily[Corporativo no tienda_average_order_value],0)</f>
        <v>0</v>
      </c>
      <c r="X739" s="11">
        <f>_xlfn.XLOOKUP(TableDailySummary[[#This Row],[Fecha]],SummaryDaily[day],SummaryDaily[GoogleAdsOperation.Cost],0)</f>
        <v>0</v>
      </c>
      <c r="Y739" s="11">
        <f>SUMIFS(SalesByUTMDaily[google],SalesByUTMDaily[day],TableDailySummary[[#This Row],[Fecha]])</f>
        <v>0</v>
      </c>
      <c r="Z739" s="11">
        <f>_xlfn.XLOOKUP(TableDailySummary[[#This Row],[Fecha]],SummaryDaily[day],SummaryDaily[MetaAdsOperation.spend],0)</f>
        <v>0</v>
      </c>
      <c r="AA739" s="11">
        <f>SUMIFS(SalesByUTMDaily[facebook],SalesByUTMDaily[day],TableDailySummary[[#This Row],[Fecha]])</f>
        <v>0</v>
      </c>
      <c r="AB739" s="11">
        <f>TableDailySummary[[#This Row],[Inversión google ads]]+TableDailySummary[[#This Row],[Inversión meta ads]]</f>
        <v>0</v>
      </c>
      <c r="AC739" s="11">
        <f>TableDailySummary[[#This Row],[Ventas google ads]]+TableDailySummary[[#This Row],[Ventas meta ads]]</f>
        <v>0</v>
      </c>
      <c r="AD739" s="14">
        <f>IFERROR(TableDailySummary[[#This Row],[Ventas publicidad]]/TableDailySummary[[#This Row],[Inversión publicidad]],0)</f>
        <v>0</v>
      </c>
      <c r="AE739" s="14">
        <f>IFERROR(TableDailySummary[[#This Row],[Ventas primer cliente]]/TableDailySummary[[#This Row],[Inversión publicidad]],0)</f>
        <v>0</v>
      </c>
      <c r="AF739" s="14"/>
      <c r="AG739" s="11"/>
      <c r="AM739" s="11">
        <f>_xlfn.XLOOKUP(TableDailySummary[[#This Row],[Fecha]],SummaryDaily[day],SummaryDaily[net_sales_with_cost_recorded],0)</f>
        <v>0</v>
      </c>
      <c r="AN739" s="11">
        <f>_xlfn.XLOOKUP(TableDailySummary[[#This Row],[Fecha]],SummaryDaily[day],SummaryDaily[cost_of_goods_sold],0)</f>
        <v>0</v>
      </c>
      <c r="AO739" s="11">
        <f>_xlfn.XLOOKUP(TableDailySummary[[#This Row],[Fecha]],SummaryDaily[day],SummaryDaily[gross_profit],0)</f>
        <v>0</v>
      </c>
      <c r="AP739" s="18">
        <f>IFERROR(TableDailySummary[[#This Row],[Utilidad bruta]]/TableDailySummary[[#This Row],[Ventas netas con costo registrado]],0)</f>
        <v>0</v>
      </c>
    </row>
    <row r="740" spans="2:42" x14ac:dyDescent="0.2">
      <c r="B740" s="15" cm="1">
        <f t="array" ref="B740">ParamFechaInicioReporte + (ROW(TableDailySummary[#This Row]) - ROW(TableDailySummary[[#Headers],[Dia]]) - 1)</f>
        <v>45267</v>
      </c>
      <c r="C740" s="6">
        <f>TableDailySummary[[#This Row],[Dia]]</f>
        <v>45267</v>
      </c>
      <c r="D740" s="11">
        <f>_xlfn.XLOOKUP(TableDailySummary[[#This Row],[Fecha]],SummaryDaily[day],SummaryDaily[net_sales],0)</f>
        <v>0</v>
      </c>
      <c r="E740" s="11">
        <f>_xlfn.XLOOKUP(TableDailySummary[[#This Row],[Fecha]],SummaryDaily[day],SummaryDaily[orders],0)</f>
        <v>0</v>
      </c>
      <c r="F740" s="11">
        <f>_xlfn.XLOOKUP(TableDailySummary[[#This Row],[Fecha]],SummaryDaily[day],SummaryDaily[average_order_value],0)</f>
        <v>0</v>
      </c>
      <c r="G740" s="24" cm="1">
        <f t="array" ref="G740">_xlfn.XLOOKUP(TableDailySummary[[#This Row],[Fecha]]&amp;"Total site",ConversionRateByReferral[day]&amp;ConversionRateByReferral[referrer_source],ConversionRateByReferral[conversion_rate],0)</f>
        <v>0</v>
      </c>
      <c r="H740" s="11">
        <f>TableDailySummary[[#This Row],[Órden promedio totales]]*TableDailySummary[[#This Row],[CR totales]]</f>
        <v>0</v>
      </c>
      <c r="I740" s="11">
        <f>_xlfn.XLOOKUP(TableDailySummary[[#This Row],[Fecha]],SummaryDaily[day],SummaryDaily[new_net_sales],0)</f>
        <v>0</v>
      </c>
      <c r="J740" s="11">
        <f>_xlfn.XLOOKUP(TableDailySummary[[#This Row],[Fecha]],SummaryDaily[day],SummaryDaily[new_orders],0)</f>
        <v>0</v>
      </c>
      <c r="K740" s="11">
        <f>_xlfn.XLOOKUP(TableDailySummary[[#This Row],[Fecha]],SummaryDaily[day],SummaryDaily[new_average_order_value],0)</f>
        <v>0</v>
      </c>
      <c r="L740" s="11">
        <f>_xlfn.XLOOKUP(TableDailySummary[[#This Row],[Fecha]],SummaryDaily[day],SummaryDaily[Online Store_net_sales],0)</f>
        <v>0</v>
      </c>
      <c r="M740" s="11">
        <f>_xlfn.XLOOKUP(TableDailySummary[[#This Row],[Fecha]],SummaryDaily[day],SummaryDaily[Online Store_orders],0)</f>
        <v>0</v>
      </c>
      <c r="N740" s="11">
        <f>_xlfn.XLOOKUP(TableDailySummary[[#This Row],[Fecha]],SummaryDaily[day],SummaryDaily[Online Store_average_order_value],0)</f>
        <v>0</v>
      </c>
      <c r="O740" s="11">
        <f>_xlfn.XLOOKUP(TableDailySummary[[#This Row],[Fecha]],SummaryDaily[day],SummaryDaily[Tienda 81_net_sales],0)</f>
        <v>0</v>
      </c>
      <c r="P740" s="11">
        <f>_xlfn.XLOOKUP(TableDailySummary[[#This Row],[Fecha]],SummaryDaily[day],SummaryDaily[Tienda 81_orders],0)</f>
        <v>0</v>
      </c>
      <c r="Q740" s="11">
        <f>_xlfn.XLOOKUP(TableDailySummary[[#This Row],[Fecha]],SummaryDaily[day],SummaryDaily[Tienda 81_average_order_value],0)</f>
        <v>0</v>
      </c>
      <c r="R740" s="11">
        <f>_xlfn.XLOOKUP(TableDailySummary[[#This Row],[Fecha]],SummaryDaily[day],SummaryDaily[Rappi_net_sales],0)</f>
        <v>0</v>
      </c>
      <c r="S740" s="11">
        <f>_xlfn.XLOOKUP(TableDailySummary[[#This Row],[Fecha]],SummaryDaily[day],SummaryDaily[Rappi_orders],0)</f>
        <v>0</v>
      </c>
      <c r="T740" s="11">
        <f>_xlfn.XLOOKUP(TableDailySummary[[#This Row],[Fecha]],SummaryDaily[day],SummaryDaily[Rappi_average_order_value],0)</f>
        <v>0</v>
      </c>
      <c r="U740" s="11">
        <f>_xlfn.XLOOKUP(TableDailySummary[[#This Row],[Fecha]],SummaryDaily[day],SummaryDaily[Corporativo no tienda_net_sales],0)</f>
        <v>0</v>
      </c>
      <c r="V740" s="11">
        <f>_xlfn.XLOOKUP(TableDailySummary[[#This Row],[Fecha]],SummaryDaily[day],SummaryDaily[Corporativo no tienda_orders],0)</f>
        <v>0</v>
      </c>
      <c r="W740" s="11">
        <f>_xlfn.XLOOKUP(TableDailySummary[[#This Row],[Fecha]],SummaryDaily[day],SummaryDaily[Corporativo no tienda_average_order_value],0)</f>
        <v>0</v>
      </c>
      <c r="X740" s="11">
        <f>_xlfn.XLOOKUP(TableDailySummary[[#This Row],[Fecha]],SummaryDaily[day],SummaryDaily[GoogleAdsOperation.Cost],0)</f>
        <v>0</v>
      </c>
      <c r="Y740" s="11">
        <f>SUMIFS(SalesByUTMDaily[google],SalesByUTMDaily[day],TableDailySummary[[#This Row],[Fecha]])</f>
        <v>0</v>
      </c>
      <c r="Z740" s="11">
        <f>_xlfn.XLOOKUP(TableDailySummary[[#This Row],[Fecha]],SummaryDaily[day],SummaryDaily[MetaAdsOperation.spend],0)</f>
        <v>0</v>
      </c>
      <c r="AA740" s="11">
        <f>SUMIFS(SalesByUTMDaily[facebook],SalesByUTMDaily[day],TableDailySummary[[#This Row],[Fecha]])</f>
        <v>0</v>
      </c>
      <c r="AB740" s="11">
        <f>TableDailySummary[[#This Row],[Inversión google ads]]+TableDailySummary[[#This Row],[Inversión meta ads]]</f>
        <v>0</v>
      </c>
      <c r="AC740" s="11">
        <f>TableDailySummary[[#This Row],[Ventas google ads]]+TableDailySummary[[#This Row],[Ventas meta ads]]</f>
        <v>0</v>
      </c>
      <c r="AD740" s="14">
        <f>IFERROR(TableDailySummary[[#This Row],[Ventas publicidad]]/TableDailySummary[[#This Row],[Inversión publicidad]],0)</f>
        <v>0</v>
      </c>
      <c r="AE740" s="14">
        <f>IFERROR(TableDailySummary[[#This Row],[Ventas primer cliente]]/TableDailySummary[[#This Row],[Inversión publicidad]],0)</f>
        <v>0</v>
      </c>
      <c r="AF740" s="14"/>
      <c r="AG740" s="11"/>
      <c r="AM740" s="11">
        <f>_xlfn.XLOOKUP(TableDailySummary[[#This Row],[Fecha]],SummaryDaily[day],SummaryDaily[net_sales_with_cost_recorded],0)</f>
        <v>0</v>
      </c>
      <c r="AN740" s="11">
        <f>_xlfn.XLOOKUP(TableDailySummary[[#This Row],[Fecha]],SummaryDaily[day],SummaryDaily[cost_of_goods_sold],0)</f>
        <v>0</v>
      </c>
      <c r="AO740" s="11">
        <f>_xlfn.XLOOKUP(TableDailySummary[[#This Row],[Fecha]],SummaryDaily[day],SummaryDaily[gross_profit],0)</f>
        <v>0</v>
      </c>
      <c r="AP740" s="18">
        <f>IFERROR(TableDailySummary[[#This Row],[Utilidad bruta]]/TableDailySummary[[#This Row],[Ventas netas con costo registrado]],0)</f>
        <v>0</v>
      </c>
    </row>
    <row r="741" spans="2:42" x14ac:dyDescent="0.2">
      <c r="B741" s="15" cm="1">
        <f t="array" ref="B741">ParamFechaInicioReporte + (ROW(TableDailySummary[#This Row]) - ROW(TableDailySummary[[#Headers],[Dia]]) - 1)</f>
        <v>45268</v>
      </c>
      <c r="C741" s="6">
        <f>TableDailySummary[[#This Row],[Dia]]</f>
        <v>45268</v>
      </c>
      <c r="D741" s="11">
        <f>_xlfn.XLOOKUP(TableDailySummary[[#This Row],[Fecha]],SummaryDaily[day],SummaryDaily[net_sales],0)</f>
        <v>0</v>
      </c>
      <c r="E741" s="11">
        <f>_xlfn.XLOOKUP(TableDailySummary[[#This Row],[Fecha]],SummaryDaily[day],SummaryDaily[orders],0)</f>
        <v>0</v>
      </c>
      <c r="F741" s="11">
        <f>_xlfn.XLOOKUP(TableDailySummary[[#This Row],[Fecha]],SummaryDaily[day],SummaryDaily[average_order_value],0)</f>
        <v>0</v>
      </c>
      <c r="G741" s="24" cm="1">
        <f t="array" ref="G741">_xlfn.XLOOKUP(TableDailySummary[[#This Row],[Fecha]]&amp;"Total site",ConversionRateByReferral[day]&amp;ConversionRateByReferral[referrer_source],ConversionRateByReferral[conversion_rate],0)</f>
        <v>0</v>
      </c>
      <c r="H741" s="11">
        <f>TableDailySummary[[#This Row],[Órden promedio totales]]*TableDailySummary[[#This Row],[CR totales]]</f>
        <v>0</v>
      </c>
      <c r="I741" s="11">
        <f>_xlfn.XLOOKUP(TableDailySummary[[#This Row],[Fecha]],SummaryDaily[day],SummaryDaily[new_net_sales],0)</f>
        <v>0</v>
      </c>
      <c r="J741" s="11">
        <f>_xlfn.XLOOKUP(TableDailySummary[[#This Row],[Fecha]],SummaryDaily[day],SummaryDaily[new_orders],0)</f>
        <v>0</v>
      </c>
      <c r="K741" s="11">
        <f>_xlfn.XLOOKUP(TableDailySummary[[#This Row],[Fecha]],SummaryDaily[day],SummaryDaily[new_average_order_value],0)</f>
        <v>0</v>
      </c>
      <c r="L741" s="11">
        <f>_xlfn.XLOOKUP(TableDailySummary[[#This Row],[Fecha]],SummaryDaily[day],SummaryDaily[Online Store_net_sales],0)</f>
        <v>0</v>
      </c>
      <c r="M741" s="11">
        <f>_xlfn.XLOOKUP(TableDailySummary[[#This Row],[Fecha]],SummaryDaily[day],SummaryDaily[Online Store_orders],0)</f>
        <v>0</v>
      </c>
      <c r="N741" s="11">
        <f>_xlfn.XLOOKUP(TableDailySummary[[#This Row],[Fecha]],SummaryDaily[day],SummaryDaily[Online Store_average_order_value],0)</f>
        <v>0</v>
      </c>
      <c r="O741" s="11">
        <f>_xlfn.XLOOKUP(TableDailySummary[[#This Row],[Fecha]],SummaryDaily[day],SummaryDaily[Tienda 81_net_sales],0)</f>
        <v>0</v>
      </c>
      <c r="P741" s="11">
        <f>_xlfn.XLOOKUP(TableDailySummary[[#This Row],[Fecha]],SummaryDaily[day],SummaryDaily[Tienda 81_orders],0)</f>
        <v>0</v>
      </c>
      <c r="Q741" s="11">
        <f>_xlfn.XLOOKUP(TableDailySummary[[#This Row],[Fecha]],SummaryDaily[day],SummaryDaily[Tienda 81_average_order_value],0)</f>
        <v>0</v>
      </c>
      <c r="R741" s="11">
        <f>_xlfn.XLOOKUP(TableDailySummary[[#This Row],[Fecha]],SummaryDaily[day],SummaryDaily[Rappi_net_sales],0)</f>
        <v>0</v>
      </c>
      <c r="S741" s="11">
        <f>_xlfn.XLOOKUP(TableDailySummary[[#This Row],[Fecha]],SummaryDaily[day],SummaryDaily[Rappi_orders],0)</f>
        <v>0</v>
      </c>
      <c r="T741" s="11">
        <f>_xlfn.XLOOKUP(TableDailySummary[[#This Row],[Fecha]],SummaryDaily[day],SummaryDaily[Rappi_average_order_value],0)</f>
        <v>0</v>
      </c>
      <c r="U741" s="11">
        <f>_xlfn.XLOOKUP(TableDailySummary[[#This Row],[Fecha]],SummaryDaily[day],SummaryDaily[Corporativo no tienda_net_sales],0)</f>
        <v>0</v>
      </c>
      <c r="V741" s="11">
        <f>_xlfn.XLOOKUP(TableDailySummary[[#This Row],[Fecha]],SummaryDaily[day],SummaryDaily[Corporativo no tienda_orders],0)</f>
        <v>0</v>
      </c>
      <c r="W741" s="11">
        <f>_xlfn.XLOOKUP(TableDailySummary[[#This Row],[Fecha]],SummaryDaily[day],SummaryDaily[Corporativo no tienda_average_order_value],0)</f>
        <v>0</v>
      </c>
      <c r="X741" s="11">
        <f>_xlfn.XLOOKUP(TableDailySummary[[#This Row],[Fecha]],SummaryDaily[day],SummaryDaily[GoogleAdsOperation.Cost],0)</f>
        <v>0</v>
      </c>
      <c r="Y741" s="11">
        <f>SUMIFS(SalesByUTMDaily[google],SalesByUTMDaily[day],TableDailySummary[[#This Row],[Fecha]])</f>
        <v>0</v>
      </c>
      <c r="Z741" s="11">
        <f>_xlfn.XLOOKUP(TableDailySummary[[#This Row],[Fecha]],SummaryDaily[day],SummaryDaily[MetaAdsOperation.spend],0)</f>
        <v>0</v>
      </c>
      <c r="AA741" s="11">
        <f>SUMIFS(SalesByUTMDaily[facebook],SalesByUTMDaily[day],TableDailySummary[[#This Row],[Fecha]])</f>
        <v>0</v>
      </c>
      <c r="AB741" s="11">
        <f>TableDailySummary[[#This Row],[Inversión google ads]]+TableDailySummary[[#This Row],[Inversión meta ads]]</f>
        <v>0</v>
      </c>
      <c r="AC741" s="11">
        <f>TableDailySummary[[#This Row],[Ventas google ads]]+TableDailySummary[[#This Row],[Ventas meta ads]]</f>
        <v>0</v>
      </c>
      <c r="AD741" s="14">
        <f>IFERROR(TableDailySummary[[#This Row],[Ventas publicidad]]/TableDailySummary[[#This Row],[Inversión publicidad]],0)</f>
        <v>0</v>
      </c>
      <c r="AE741" s="14">
        <f>IFERROR(TableDailySummary[[#This Row],[Ventas primer cliente]]/TableDailySummary[[#This Row],[Inversión publicidad]],0)</f>
        <v>0</v>
      </c>
      <c r="AF741" s="14"/>
      <c r="AG741" s="11"/>
      <c r="AM741" s="11">
        <f>_xlfn.XLOOKUP(TableDailySummary[[#This Row],[Fecha]],SummaryDaily[day],SummaryDaily[net_sales_with_cost_recorded],0)</f>
        <v>0</v>
      </c>
      <c r="AN741" s="11">
        <f>_xlfn.XLOOKUP(TableDailySummary[[#This Row],[Fecha]],SummaryDaily[day],SummaryDaily[cost_of_goods_sold],0)</f>
        <v>0</v>
      </c>
      <c r="AO741" s="11">
        <f>_xlfn.XLOOKUP(TableDailySummary[[#This Row],[Fecha]],SummaryDaily[day],SummaryDaily[gross_profit],0)</f>
        <v>0</v>
      </c>
      <c r="AP741" s="18">
        <f>IFERROR(TableDailySummary[[#This Row],[Utilidad bruta]]/TableDailySummary[[#This Row],[Ventas netas con costo registrado]],0)</f>
        <v>0</v>
      </c>
    </row>
    <row r="742" spans="2:42" x14ac:dyDescent="0.2">
      <c r="B742" s="15" cm="1">
        <f t="array" ref="B742">ParamFechaInicioReporte + (ROW(TableDailySummary[#This Row]) - ROW(TableDailySummary[[#Headers],[Dia]]) - 1)</f>
        <v>45269</v>
      </c>
      <c r="C742" s="6">
        <f>TableDailySummary[[#This Row],[Dia]]</f>
        <v>45269</v>
      </c>
      <c r="D742" s="11">
        <f>_xlfn.XLOOKUP(TableDailySummary[[#This Row],[Fecha]],SummaryDaily[day],SummaryDaily[net_sales],0)</f>
        <v>0</v>
      </c>
      <c r="E742" s="11">
        <f>_xlfn.XLOOKUP(TableDailySummary[[#This Row],[Fecha]],SummaryDaily[day],SummaryDaily[orders],0)</f>
        <v>0</v>
      </c>
      <c r="F742" s="11">
        <f>_xlfn.XLOOKUP(TableDailySummary[[#This Row],[Fecha]],SummaryDaily[day],SummaryDaily[average_order_value],0)</f>
        <v>0</v>
      </c>
      <c r="G742" s="24" cm="1">
        <f t="array" ref="G742">_xlfn.XLOOKUP(TableDailySummary[[#This Row],[Fecha]]&amp;"Total site",ConversionRateByReferral[day]&amp;ConversionRateByReferral[referrer_source],ConversionRateByReferral[conversion_rate],0)</f>
        <v>0</v>
      </c>
      <c r="H742" s="11">
        <f>TableDailySummary[[#This Row],[Órden promedio totales]]*TableDailySummary[[#This Row],[CR totales]]</f>
        <v>0</v>
      </c>
      <c r="I742" s="11">
        <f>_xlfn.XLOOKUP(TableDailySummary[[#This Row],[Fecha]],SummaryDaily[day],SummaryDaily[new_net_sales],0)</f>
        <v>0</v>
      </c>
      <c r="J742" s="11">
        <f>_xlfn.XLOOKUP(TableDailySummary[[#This Row],[Fecha]],SummaryDaily[day],SummaryDaily[new_orders],0)</f>
        <v>0</v>
      </c>
      <c r="K742" s="11">
        <f>_xlfn.XLOOKUP(TableDailySummary[[#This Row],[Fecha]],SummaryDaily[day],SummaryDaily[new_average_order_value],0)</f>
        <v>0</v>
      </c>
      <c r="L742" s="11">
        <f>_xlfn.XLOOKUP(TableDailySummary[[#This Row],[Fecha]],SummaryDaily[day],SummaryDaily[Online Store_net_sales],0)</f>
        <v>0</v>
      </c>
      <c r="M742" s="11">
        <f>_xlfn.XLOOKUP(TableDailySummary[[#This Row],[Fecha]],SummaryDaily[day],SummaryDaily[Online Store_orders],0)</f>
        <v>0</v>
      </c>
      <c r="N742" s="11">
        <f>_xlfn.XLOOKUP(TableDailySummary[[#This Row],[Fecha]],SummaryDaily[day],SummaryDaily[Online Store_average_order_value],0)</f>
        <v>0</v>
      </c>
      <c r="O742" s="11">
        <f>_xlfn.XLOOKUP(TableDailySummary[[#This Row],[Fecha]],SummaryDaily[day],SummaryDaily[Tienda 81_net_sales],0)</f>
        <v>0</v>
      </c>
      <c r="P742" s="11">
        <f>_xlfn.XLOOKUP(TableDailySummary[[#This Row],[Fecha]],SummaryDaily[day],SummaryDaily[Tienda 81_orders],0)</f>
        <v>0</v>
      </c>
      <c r="Q742" s="11">
        <f>_xlfn.XLOOKUP(TableDailySummary[[#This Row],[Fecha]],SummaryDaily[day],SummaryDaily[Tienda 81_average_order_value],0)</f>
        <v>0</v>
      </c>
      <c r="R742" s="11">
        <f>_xlfn.XLOOKUP(TableDailySummary[[#This Row],[Fecha]],SummaryDaily[day],SummaryDaily[Rappi_net_sales],0)</f>
        <v>0</v>
      </c>
      <c r="S742" s="11">
        <f>_xlfn.XLOOKUP(TableDailySummary[[#This Row],[Fecha]],SummaryDaily[day],SummaryDaily[Rappi_orders],0)</f>
        <v>0</v>
      </c>
      <c r="T742" s="11">
        <f>_xlfn.XLOOKUP(TableDailySummary[[#This Row],[Fecha]],SummaryDaily[day],SummaryDaily[Rappi_average_order_value],0)</f>
        <v>0</v>
      </c>
      <c r="U742" s="11">
        <f>_xlfn.XLOOKUP(TableDailySummary[[#This Row],[Fecha]],SummaryDaily[day],SummaryDaily[Corporativo no tienda_net_sales],0)</f>
        <v>0</v>
      </c>
      <c r="V742" s="11">
        <f>_xlfn.XLOOKUP(TableDailySummary[[#This Row],[Fecha]],SummaryDaily[day],SummaryDaily[Corporativo no tienda_orders],0)</f>
        <v>0</v>
      </c>
      <c r="W742" s="11">
        <f>_xlfn.XLOOKUP(TableDailySummary[[#This Row],[Fecha]],SummaryDaily[day],SummaryDaily[Corporativo no tienda_average_order_value],0)</f>
        <v>0</v>
      </c>
      <c r="X742" s="11">
        <f>_xlfn.XLOOKUP(TableDailySummary[[#This Row],[Fecha]],SummaryDaily[day],SummaryDaily[GoogleAdsOperation.Cost],0)</f>
        <v>0</v>
      </c>
      <c r="Y742" s="11">
        <f>SUMIFS(SalesByUTMDaily[google],SalesByUTMDaily[day],TableDailySummary[[#This Row],[Fecha]])</f>
        <v>0</v>
      </c>
      <c r="Z742" s="11">
        <f>_xlfn.XLOOKUP(TableDailySummary[[#This Row],[Fecha]],SummaryDaily[day],SummaryDaily[MetaAdsOperation.spend],0)</f>
        <v>0</v>
      </c>
      <c r="AA742" s="11">
        <f>SUMIFS(SalesByUTMDaily[facebook],SalesByUTMDaily[day],TableDailySummary[[#This Row],[Fecha]])</f>
        <v>0</v>
      </c>
      <c r="AB742" s="11">
        <f>TableDailySummary[[#This Row],[Inversión google ads]]+TableDailySummary[[#This Row],[Inversión meta ads]]</f>
        <v>0</v>
      </c>
      <c r="AC742" s="11">
        <f>TableDailySummary[[#This Row],[Ventas google ads]]+TableDailySummary[[#This Row],[Ventas meta ads]]</f>
        <v>0</v>
      </c>
      <c r="AD742" s="14">
        <f>IFERROR(TableDailySummary[[#This Row],[Ventas publicidad]]/TableDailySummary[[#This Row],[Inversión publicidad]],0)</f>
        <v>0</v>
      </c>
      <c r="AE742" s="14">
        <f>IFERROR(TableDailySummary[[#This Row],[Ventas primer cliente]]/TableDailySummary[[#This Row],[Inversión publicidad]],0)</f>
        <v>0</v>
      </c>
      <c r="AF742" s="14"/>
      <c r="AG742" s="11"/>
      <c r="AM742" s="11">
        <f>_xlfn.XLOOKUP(TableDailySummary[[#This Row],[Fecha]],SummaryDaily[day],SummaryDaily[net_sales_with_cost_recorded],0)</f>
        <v>0</v>
      </c>
      <c r="AN742" s="11">
        <f>_xlfn.XLOOKUP(TableDailySummary[[#This Row],[Fecha]],SummaryDaily[day],SummaryDaily[cost_of_goods_sold],0)</f>
        <v>0</v>
      </c>
      <c r="AO742" s="11">
        <f>_xlfn.XLOOKUP(TableDailySummary[[#This Row],[Fecha]],SummaryDaily[day],SummaryDaily[gross_profit],0)</f>
        <v>0</v>
      </c>
      <c r="AP742" s="18">
        <f>IFERROR(TableDailySummary[[#This Row],[Utilidad bruta]]/TableDailySummary[[#This Row],[Ventas netas con costo registrado]],0)</f>
        <v>0</v>
      </c>
    </row>
    <row r="743" spans="2:42" x14ac:dyDescent="0.2">
      <c r="B743" s="15" cm="1">
        <f t="array" ref="B743">ParamFechaInicioReporte + (ROW(TableDailySummary[#This Row]) - ROW(TableDailySummary[[#Headers],[Dia]]) - 1)</f>
        <v>45270</v>
      </c>
      <c r="C743" s="6">
        <f>TableDailySummary[[#This Row],[Dia]]</f>
        <v>45270</v>
      </c>
      <c r="D743" s="11">
        <f>_xlfn.XLOOKUP(TableDailySummary[[#This Row],[Fecha]],SummaryDaily[day],SummaryDaily[net_sales],0)</f>
        <v>0</v>
      </c>
      <c r="E743" s="11">
        <f>_xlfn.XLOOKUP(TableDailySummary[[#This Row],[Fecha]],SummaryDaily[day],SummaryDaily[orders],0)</f>
        <v>0</v>
      </c>
      <c r="F743" s="11">
        <f>_xlfn.XLOOKUP(TableDailySummary[[#This Row],[Fecha]],SummaryDaily[day],SummaryDaily[average_order_value],0)</f>
        <v>0</v>
      </c>
      <c r="G743" s="24" cm="1">
        <f t="array" ref="G743">_xlfn.XLOOKUP(TableDailySummary[[#This Row],[Fecha]]&amp;"Total site",ConversionRateByReferral[day]&amp;ConversionRateByReferral[referrer_source],ConversionRateByReferral[conversion_rate],0)</f>
        <v>0</v>
      </c>
      <c r="H743" s="11">
        <f>TableDailySummary[[#This Row],[Órden promedio totales]]*TableDailySummary[[#This Row],[CR totales]]</f>
        <v>0</v>
      </c>
      <c r="I743" s="11">
        <f>_xlfn.XLOOKUP(TableDailySummary[[#This Row],[Fecha]],SummaryDaily[day],SummaryDaily[new_net_sales],0)</f>
        <v>0</v>
      </c>
      <c r="J743" s="11">
        <f>_xlfn.XLOOKUP(TableDailySummary[[#This Row],[Fecha]],SummaryDaily[day],SummaryDaily[new_orders],0)</f>
        <v>0</v>
      </c>
      <c r="K743" s="11">
        <f>_xlfn.XLOOKUP(TableDailySummary[[#This Row],[Fecha]],SummaryDaily[day],SummaryDaily[new_average_order_value],0)</f>
        <v>0</v>
      </c>
      <c r="L743" s="11">
        <f>_xlfn.XLOOKUP(TableDailySummary[[#This Row],[Fecha]],SummaryDaily[day],SummaryDaily[Online Store_net_sales],0)</f>
        <v>0</v>
      </c>
      <c r="M743" s="11">
        <f>_xlfn.XLOOKUP(TableDailySummary[[#This Row],[Fecha]],SummaryDaily[day],SummaryDaily[Online Store_orders],0)</f>
        <v>0</v>
      </c>
      <c r="N743" s="11">
        <f>_xlfn.XLOOKUP(TableDailySummary[[#This Row],[Fecha]],SummaryDaily[day],SummaryDaily[Online Store_average_order_value],0)</f>
        <v>0</v>
      </c>
      <c r="O743" s="11">
        <f>_xlfn.XLOOKUP(TableDailySummary[[#This Row],[Fecha]],SummaryDaily[day],SummaryDaily[Tienda 81_net_sales],0)</f>
        <v>0</v>
      </c>
      <c r="P743" s="11">
        <f>_xlfn.XLOOKUP(TableDailySummary[[#This Row],[Fecha]],SummaryDaily[day],SummaryDaily[Tienda 81_orders],0)</f>
        <v>0</v>
      </c>
      <c r="Q743" s="11">
        <f>_xlfn.XLOOKUP(TableDailySummary[[#This Row],[Fecha]],SummaryDaily[day],SummaryDaily[Tienda 81_average_order_value],0)</f>
        <v>0</v>
      </c>
      <c r="R743" s="11">
        <f>_xlfn.XLOOKUP(TableDailySummary[[#This Row],[Fecha]],SummaryDaily[day],SummaryDaily[Rappi_net_sales],0)</f>
        <v>0</v>
      </c>
      <c r="S743" s="11">
        <f>_xlfn.XLOOKUP(TableDailySummary[[#This Row],[Fecha]],SummaryDaily[day],SummaryDaily[Rappi_orders],0)</f>
        <v>0</v>
      </c>
      <c r="T743" s="11">
        <f>_xlfn.XLOOKUP(TableDailySummary[[#This Row],[Fecha]],SummaryDaily[day],SummaryDaily[Rappi_average_order_value],0)</f>
        <v>0</v>
      </c>
      <c r="U743" s="11">
        <f>_xlfn.XLOOKUP(TableDailySummary[[#This Row],[Fecha]],SummaryDaily[day],SummaryDaily[Corporativo no tienda_net_sales],0)</f>
        <v>0</v>
      </c>
      <c r="V743" s="11">
        <f>_xlfn.XLOOKUP(TableDailySummary[[#This Row],[Fecha]],SummaryDaily[day],SummaryDaily[Corporativo no tienda_orders],0)</f>
        <v>0</v>
      </c>
      <c r="W743" s="11">
        <f>_xlfn.XLOOKUP(TableDailySummary[[#This Row],[Fecha]],SummaryDaily[day],SummaryDaily[Corporativo no tienda_average_order_value],0)</f>
        <v>0</v>
      </c>
      <c r="X743" s="11">
        <f>_xlfn.XLOOKUP(TableDailySummary[[#This Row],[Fecha]],SummaryDaily[day],SummaryDaily[GoogleAdsOperation.Cost],0)</f>
        <v>0</v>
      </c>
      <c r="Y743" s="11">
        <f>SUMIFS(SalesByUTMDaily[google],SalesByUTMDaily[day],TableDailySummary[[#This Row],[Fecha]])</f>
        <v>0</v>
      </c>
      <c r="Z743" s="11">
        <f>_xlfn.XLOOKUP(TableDailySummary[[#This Row],[Fecha]],SummaryDaily[day],SummaryDaily[MetaAdsOperation.spend],0)</f>
        <v>0</v>
      </c>
      <c r="AA743" s="11">
        <f>SUMIFS(SalesByUTMDaily[facebook],SalesByUTMDaily[day],TableDailySummary[[#This Row],[Fecha]])</f>
        <v>0</v>
      </c>
      <c r="AB743" s="11">
        <f>TableDailySummary[[#This Row],[Inversión google ads]]+TableDailySummary[[#This Row],[Inversión meta ads]]</f>
        <v>0</v>
      </c>
      <c r="AC743" s="11">
        <f>TableDailySummary[[#This Row],[Ventas google ads]]+TableDailySummary[[#This Row],[Ventas meta ads]]</f>
        <v>0</v>
      </c>
      <c r="AD743" s="14">
        <f>IFERROR(TableDailySummary[[#This Row],[Ventas publicidad]]/TableDailySummary[[#This Row],[Inversión publicidad]],0)</f>
        <v>0</v>
      </c>
      <c r="AE743" s="14">
        <f>IFERROR(TableDailySummary[[#This Row],[Ventas primer cliente]]/TableDailySummary[[#This Row],[Inversión publicidad]],0)</f>
        <v>0</v>
      </c>
      <c r="AF743" s="14"/>
      <c r="AG743" s="11"/>
      <c r="AM743" s="11">
        <f>_xlfn.XLOOKUP(TableDailySummary[[#This Row],[Fecha]],SummaryDaily[day],SummaryDaily[net_sales_with_cost_recorded],0)</f>
        <v>0</v>
      </c>
      <c r="AN743" s="11">
        <f>_xlfn.XLOOKUP(TableDailySummary[[#This Row],[Fecha]],SummaryDaily[day],SummaryDaily[cost_of_goods_sold],0)</f>
        <v>0</v>
      </c>
      <c r="AO743" s="11">
        <f>_xlfn.XLOOKUP(TableDailySummary[[#This Row],[Fecha]],SummaryDaily[day],SummaryDaily[gross_profit],0)</f>
        <v>0</v>
      </c>
      <c r="AP743" s="18">
        <f>IFERROR(TableDailySummary[[#This Row],[Utilidad bruta]]/TableDailySummary[[#This Row],[Ventas netas con costo registrado]],0)</f>
        <v>0</v>
      </c>
    </row>
    <row r="744" spans="2:42" x14ac:dyDescent="0.2">
      <c r="B744" s="15" cm="1">
        <f t="array" ref="B744">ParamFechaInicioReporte + (ROW(TableDailySummary[#This Row]) - ROW(TableDailySummary[[#Headers],[Dia]]) - 1)</f>
        <v>45271</v>
      </c>
      <c r="C744" s="6">
        <f>TableDailySummary[[#This Row],[Dia]]</f>
        <v>45271</v>
      </c>
      <c r="D744" s="11">
        <f>_xlfn.XLOOKUP(TableDailySummary[[#This Row],[Fecha]],SummaryDaily[day],SummaryDaily[net_sales],0)</f>
        <v>0</v>
      </c>
      <c r="E744" s="11">
        <f>_xlfn.XLOOKUP(TableDailySummary[[#This Row],[Fecha]],SummaryDaily[day],SummaryDaily[orders],0)</f>
        <v>0</v>
      </c>
      <c r="F744" s="11">
        <f>_xlfn.XLOOKUP(TableDailySummary[[#This Row],[Fecha]],SummaryDaily[day],SummaryDaily[average_order_value],0)</f>
        <v>0</v>
      </c>
      <c r="G744" s="24" cm="1">
        <f t="array" ref="G744">_xlfn.XLOOKUP(TableDailySummary[[#This Row],[Fecha]]&amp;"Total site",ConversionRateByReferral[day]&amp;ConversionRateByReferral[referrer_source],ConversionRateByReferral[conversion_rate],0)</f>
        <v>0</v>
      </c>
      <c r="H744" s="11">
        <f>TableDailySummary[[#This Row],[Órden promedio totales]]*TableDailySummary[[#This Row],[CR totales]]</f>
        <v>0</v>
      </c>
      <c r="I744" s="11">
        <f>_xlfn.XLOOKUP(TableDailySummary[[#This Row],[Fecha]],SummaryDaily[day],SummaryDaily[new_net_sales],0)</f>
        <v>0</v>
      </c>
      <c r="J744" s="11">
        <f>_xlfn.XLOOKUP(TableDailySummary[[#This Row],[Fecha]],SummaryDaily[day],SummaryDaily[new_orders],0)</f>
        <v>0</v>
      </c>
      <c r="K744" s="11">
        <f>_xlfn.XLOOKUP(TableDailySummary[[#This Row],[Fecha]],SummaryDaily[day],SummaryDaily[new_average_order_value],0)</f>
        <v>0</v>
      </c>
      <c r="L744" s="11">
        <f>_xlfn.XLOOKUP(TableDailySummary[[#This Row],[Fecha]],SummaryDaily[day],SummaryDaily[Online Store_net_sales],0)</f>
        <v>0</v>
      </c>
      <c r="M744" s="11">
        <f>_xlfn.XLOOKUP(TableDailySummary[[#This Row],[Fecha]],SummaryDaily[day],SummaryDaily[Online Store_orders],0)</f>
        <v>0</v>
      </c>
      <c r="N744" s="11">
        <f>_xlfn.XLOOKUP(TableDailySummary[[#This Row],[Fecha]],SummaryDaily[day],SummaryDaily[Online Store_average_order_value],0)</f>
        <v>0</v>
      </c>
      <c r="O744" s="11">
        <f>_xlfn.XLOOKUP(TableDailySummary[[#This Row],[Fecha]],SummaryDaily[day],SummaryDaily[Tienda 81_net_sales],0)</f>
        <v>0</v>
      </c>
      <c r="P744" s="11">
        <f>_xlfn.XLOOKUP(TableDailySummary[[#This Row],[Fecha]],SummaryDaily[day],SummaryDaily[Tienda 81_orders],0)</f>
        <v>0</v>
      </c>
      <c r="Q744" s="11">
        <f>_xlfn.XLOOKUP(TableDailySummary[[#This Row],[Fecha]],SummaryDaily[day],SummaryDaily[Tienda 81_average_order_value],0)</f>
        <v>0</v>
      </c>
      <c r="R744" s="11">
        <f>_xlfn.XLOOKUP(TableDailySummary[[#This Row],[Fecha]],SummaryDaily[day],SummaryDaily[Rappi_net_sales],0)</f>
        <v>0</v>
      </c>
      <c r="S744" s="11">
        <f>_xlfn.XLOOKUP(TableDailySummary[[#This Row],[Fecha]],SummaryDaily[day],SummaryDaily[Rappi_orders],0)</f>
        <v>0</v>
      </c>
      <c r="T744" s="11">
        <f>_xlfn.XLOOKUP(TableDailySummary[[#This Row],[Fecha]],SummaryDaily[day],SummaryDaily[Rappi_average_order_value],0)</f>
        <v>0</v>
      </c>
      <c r="U744" s="11">
        <f>_xlfn.XLOOKUP(TableDailySummary[[#This Row],[Fecha]],SummaryDaily[day],SummaryDaily[Corporativo no tienda_net_sales],0)</f>
        <v>0</v>
      </c>
      <c r="V744" s="11">
        <f>_xlfn.XLOOKUP(TableDailySummary[[#This Row],[Fecha]],SummaryDaily[day],SummaryDaily[Corporativo no tienda_orders],0)</f>
        <v>0</v>
      </c>
      <c r="W744" s="11">
        <f>_xlfn.XLOOKUP(TableDailySummary[[#This Row],[Fecha]],SummaryDaily[day],SummaryDaily[Corporativo no tienda_average_order_value],0)</f>
        <v>0</v>
      </c>
      <c r="X744" s="11">
        <f>_xlfn.XLOOKUP(TableDailySummary[[#This Row],[Fecha]],SummaryDaily[day],SummaryDaily[GoogleAdsOperation.Cost],0)</f>
        <v>0</v>
      </c>
      <c r="Y744" s="11">
        <f>SUMIFS(SalesByUTMDaily[google],SalesByUTMDaily[day],TableDailySummary[[#This Row],[Fecha]])</f>
        <v>0</v>
      </c>
      <c r="Z744" s="11">
        <f>_xlfn.XLOOKUP(TableDailySummary[[#This Row],[Fecha]],SummaryDaily[day],SummaryDaily[MetaAdsOperation.spend],0)</f>
        <v>0</v>
      </c>
      <c r="AA744" s="11">
        <f>SUMIFS(SalesByUTMDaily[facebook],SalesByUTMDaily[day],TableDailySummary[[#This Row],[Fecha]])</f>
        <v>0</v>
      </c>
      <c r="AB744" s="11">
        <f>TableDailySummary[[#This Row],[Inversión google ads]]+TableDailySummary[[#This Row],[Inversión meta ads]]</f>
        <v>0</v>
      </c>
      <c r="AC744" s="11">
        <f>TableDailySummary[[#This Row],[Ventas google ads]]+TableDailySummary[[#This Row],[Ventas meta ads]]</f>
        <v>0</v>
      </c>
      <c r="AD744" s="14">
        <f>IFERROR(TableDailySummary[[#This Row],[Ventas publicidad]]/TableDailySummary[[#This Row],[Inversión publicidad]],0)</f>
        <v>0</v>
      </c>
      <c r="AE744" s="14">
        <f>IFERROR(TableDailySummary[[#This Row],[Ventas primer cliente]]/TableDailySummary[[#This Row],[Inversión publicidad]],0)</f>
        <v>0</v>
      </c>
      <c r="AF744" s="14"/>
      <c r="AG744" s="11"/>
      <c r="AM744" s="11">
        <f>_xlfn.XLOOKUP(TableDailySummary[[#This Row],[Fecha]],SummaryDaily[day],SummaryDaily[net_sales_with_cost_recorded],0)</f>
        <v>0</v>
      </c>
      <c r="AN744" s="11">
        <f>_xlfn.XLOOKUP(TableDailySummary[[#This Row],[Fecha]],SummaryDaily[day],SummaryDaily[cost_of_goods_sold],0)</f>
        <v>0</v>
      </c>
      <c r="AO744" s="11">
        <f>_xlfn.XLOOKUP(TableDailySummary[[#This Row],[Fecha]],SummaryDaily[day],SummaryDaily[gross_profit],0)</f>
        <v>0</v>
      </c>
      <c r="AP744" s="18">
        <f>IFERROR(TableDailySummary[[#This Row],[Utilidad bruta]]/TableDailySummary[[#This Row],[Ventas netas con costo registrado]],0)</f>
        <v>0</v>
      </c>
    </row>
    <row r="745" spans="2:42" x14ac:dyDescent="0.2">
      <c r="B745" s="15" cm="1">
        <f t="array" ref="B745">ParamFechaInicioReporte + (ROW(TableDailySummary[#This Row]) - ROW(TableDailySummary[[#Headers],[Dia]]) - 1)</f>
        <v>45272</v>
      </c>
      <c r="C745" s="6">
        <f>TableDailySummary[[#This Row],[Dia]]</f>
        <v>45272</v>
      </c>
      <c r="D745" s="11">
        <f>_xlfn.XLOOKUP(TableDailySummary[[#This Row],[Fecha]],SummaryDaily[day],SummaryDaily[net_sales],0)</f>
        <v>0</v>
      </c>
      <c r="E745" s="11">
        <f>_xlfn.XLOOKUP(TableDailySummary[[#This Row],[Fecha]],SummaryDaily[day],SummaryDaily[orders],0)</f>
        <v>0</v>
      </c>
      <c r="F745" s="11">
        <f>_xlfn.XLOOKUP(TableDailySummary[[#This Row],[Fecha]],SummaryDaily[day],SummaryDaily[average_order_value],0)</f>
        <v>0</v>
      </c>
      <c r="G745" s="24" cm="1">
        <f t="array" ref="G745">_xlfn.XLOOKUP(TableDailySummary[[#This Row],[Fecha]]&amp;"Total site",ConversionRateByReferral[day]&amp;ConversionRateByReferral[referrer_source],ConversionRateByReferral[conversion_rate],0)</f>
        <v>0</v>
      </c>
      <c r="H745" s="11">
        <f>TableDailySummary[[#This Row],[Órden promedio totales]]*TableDailySummary[[#This Row],[CR totales]]</f>
        <v>0</v>
      </c>
      <c r="I745" s="11">
        <f>_xlfn.XLOOKUP(TableDailySummary[[#This Row],[Fecha]],SummaryDaily[day],SummaryDaily[new_net_sales],0)</f>
        <v>0</v>
      </c>
      <c r="J745" s="11">
        <f>_xlfn.XLOOKUP(TableDailySummary[[#This Row],[Fecha]],SummaryDaily[day],SummaryDaily[new_orders],0)</f>
        <v>0</v>
      </c>
      <c r="K745" s="11">
        <f>_xlfn.XLOOKUP(TableDailySummary[[#This Row],[Fecha]],SummaryDaily[day],SummaryDaily[new_average_order_value],0)</f>
        <v>0</v>
      </c>
      <c r="L745" s="11">
        <f>_xlfn.XLOOKUP(TableDailySummary[[#This Row],[Fecha]],SummaryDaily[day],SummaryDaily[Online Store_net_sales],0)</f>
        <v>0</v>
      </c>
      <c r="M745" s="11">
        <f>_xlfn.XLOOKUP(TableDailySummary[[#This Row],[Fecha]],SummaryDaily[day],SummaryDaily[Online Store_orders],0)</f>
        <v>0</v>
      </c>
      <c r="N745" s="11">
        <f>_xlfn.XLOOKUP(TableDailySummary[[#This Row],[Fecha]],SummaryDaily[day],SummaryDaily[Online Store_average_order_value],0)</f>
        <v>0</v>
      </c>
      <c r="O745" s="11">
        <f>_xlfn.XLOOKUP(TableDailySummary[[#This Row],[Fecha]],SummaryDaily[day],SummaryDaily[Tienda 81_net_sales],0)</f>
        <v>0</v>
      </c>
      <c r="P745" s="11">
        <f>_xlfn.XLOOKUP(TableDailySummary[[#This Row],[Fecha]],SummaryDaily[day],SummaryDaily[Tienda 81_orders],0)</f>
        <v>0</v>
      </c>
      <c r="Q745" s="11">
        <f>_xlfn.XLOOKUP(TableDailySummary[[#This Row],[Fecha]],SummaryDaily[day],SummaryDaily[Tienda 81_average_order_value],0)</f>
        <v>0</v>
      </c>
      <c r="R745" s="11">
        <f>_xlfn.XLOOKUP(TableDailySummary[[#This Row],[Fecha]],SummaryDaily[day],SummaryDaily[Rappi_net_sales],0)</f>
        <v>0</v>
      </c>
      <c r="S745" s="11">
        <f>_xlfn.XLOOKUP(TableDailySummary[[#This Row],[Fecha]],SummaryDaily[day],SummaryDaily[Rappi_orders],0)</f>
        <v>0</v>
      </c>
      <c r="T745" s="11">
        <f>_xlfn.XLOOKUP(TableDailySummary[[#This Row],[Fecha]],SummaryDaily[day],SummaryDaily[Rappi_average_order_value],0)</f>
        <v>0</v>
      </c>
      <c r="U745" s="11">
        <f>_xlfn.XLOOKUP(TableDailySummary[[#This Row],[Fecha]],SummaryDaily[day],SummaryDaily[Corporativo no tienda_net_sales],0)</f>
        <v>0</v>
      </c>
      <c r="V745" s="11">
        <f>_xlfn.XLOOKUP(TableDailySummary[[#This Row],[Fecha]],SummaryDaily[day],SummaryDaily[Corporativo no tienda_orders],0)</f>
        <v>0</v>
      </c>
      <c r="W745" s="11">
        <f>_xlfn.XLOOKUP(TableDailySummary[[#This Row],[Fecha]],SummaryDaily[day],SummaryDaily[Corporativo no tienda_average_order_value],0)</f>
        <v>0</v>
      </c>
      <c r="X745" s="11">
        <f>_xlfn.XLOOKUP(TableDailySummary[[#This Row],[Fecha]],SummaryDaily[day],SummaryDaily[GoogleAdsOperation.Cost],0)</f>
        <v>0</v>
      </c>
      <c r="Y745" s="11">
        <f>SUMIFS(SalesByUTMDaily[google],SalesByUTMDaily[day],TableDailySummary[[#This Row],[Fecha]])</f>
        <v>0</v>
      </c>
      <c r="Z745" s="11">
        <f>_xlfn.XLOOKUP(TableDailySummary[[#This Row],[Fecha]],SummaryDaily[day],SummaryDaily[MetaAdsOperation.spend],0)</f>
        <v>0</v>
      </c>
      <c r="AA745" s="11">
        <f>SUMIFS(SalesByUTMDaily[facebook],SalesByUTMDaily[day],TableDailySummary[[#This Row],[Fecha]])</f>
        <v>0</v>
      </c>
      <c r="AB745" s="11">
        <f>TableDailySummary[[#This Row],[Inversión google ads]]+TableDailySummary[[#This Row],[Inversión meta ads]]</f>
        <v>0</v>
      </c>
      <c r="AC745" s="11">
        <f>TableDailySummary[[#This Row],[Ventas google ads]]+TableDailySummary[[#This Row],[Ventas meta ads]]</f>
        <v>0</v>
      </c>
      <c r="AD745" s="14">
        <f>IFERROR(TableDailySummary[[#This Row],[Ventas publicidad]]/TableDailySummary[[#This Row],[Inversión publicidad]],0)</f>
        <v>0</v>
      </c>
      <c r="AE745" s="14">
        <f>IFERROR(TableDailySummary[[#This Row],[Ventas primer cliente]]/TableDailySummary[[#This Row],[Inversión publicidad]],0)</f>
        <v>0</v>
      </c>
      <c r="AF745" s="14"/>
      <c r="AG745" s="11"/>
      <c r="AM745" s="11">
        <f>_xlfn.XLOOKUP(TableDailySummary[[#This Row],[Fecha]],SummaryDaily[day],SummaryDaily[net_sales_with_cost_recorded],0)</f>
        <v>0</v>
      </c>
      <c r="AN745" s="11">
        <f>_xlfn.XLOOKUP(TableDailySummary[[#This Row],[Fecha]],SummaryDaily[day],SummaryDaily[cost_of_goods_sold],0)</f>
        <v>0</v>
      </c>
      <c r="AO745" s="11">
        <f>_xlfn.XLOOKUP(TableDailySummary[[#This Row],[Fecha]],SummaryDaily[day],SummaryDaily[gross_profit],0)</f>
        <v>0</v>
      </c>
      <c r="AP745" s="18">
        <f>IFERROR(TableDailySummary[[#This Row],[Utilidad bruta]]/TableDailySummary[[#This Row],[Ventas netas con costo registrado]],0)</f>
        <v>0</v>
      </c>
    </row>
    <row r="746" spans="2:42" x14ac:dyDescent="0.2">
      <c r="B746" s="15" cm="1">
        <f t="array" ref="B746">ParamFechaInicioReporte + (ROW(TableDailySummary[#This Row]) - ROW(TableDailySummary[[#Headers],[Dia]]) - 1)</f>
        <v>45273</v>
      </c>
      <c r="C746" s="6">
        <f>TableDailySummary[[#This Row],[Dia]]</f>
        <v>45273</v>
      </c>
      <c r="D746" s="11">
        <f>_xlfn.XLOOKUP(TableDailySummary[[#This Row],[Fecha]],SummaryDaily[day],SummaryDaily[net_sales],0)</f>
        <v>0</v>
      </c>
      <c r="E746" s="11">
        <f>_xlfn.XLOOKUP(TableDailySummary[[#This Row],[Fecha]],SummaryDaily[day],SummaryDaily[orders],0)</f>
        <v>0</v>
      </c>
      <c r="F746" s="11">
        <f>_xlfn.XLOOKUP(TableDailySummary[[#This Row],[Fecha]],SummaryDaily[day],SummaryDaily[average_order_value],0)</f>
        <v>0</v>
      </c>
      <c r="G746" s="24" cm="1">
        <f t="array" ref="G746">_xlfn.XLOOKUP(TableDailySummary[[#This Row],[Fecha]]&amp;"Total site",ConversionRateByReferral[day]&amp;ConversionRateByReferral[referrer_source],ConversionRateByReferral[conversion_rate],0)</f>
        <v>0</v>
      </c>
      <c r="H746" s="11">
        <f>TableDailySummary[[#This Row],[Órden promedio totales]]*TableDailySummary[[#This Row],[CR totales]]</f>
        <v>0</v>
      </c>
      <c r="I746" s="11">
        <f>_xlfn.XLOOKUP(TableDailySummary[[#This Row],[Fecha]],SummaryDaily[day],SummaryDaily[new_net_sales],0)</f>
        <v>0</v>
      </c>
      <c r="J746" s="11">
        <f>_xlfn.XLOOKUP(TableDailySummary[[#This Row],[Fecha]],SummaryDaily[day],SummaryDaily[new_orders],0)</f>
        <v>0</v>
      </c>
      <c r="K746" s="11">
        <f>_xlfn.XLOOKUP(TableDailySummary[[#This Row],[Fecha]],SummaryDaily[day],SummaryDaily[new_average_order_value],0)</f>
        <v>0</v>
      </c>
      <c r="L746" s="11">
        <f>_xlfn.XLOOKUP(TableDailySummary[[#This Row],[Fecha]],SummaryDaily[day],SummaryDaily[Online Store_net_sales],0)</f>
        <v>0</v>
      </c>
      <c r="M746" s="11">
        <f>_xlfn.XLOOKUP(TableDailySummary[[#This Row],[Fecha]],SummaryDaily[day],SummaryDaily[Online Store_orders],0)</f>
        <v>0</v>
      </c>
      <c r="N746" s="11">
        <f>_xlfn.XLOOKUP(TableDailySummary[[#This Row],[Fecha]],SummaryDaily[day],SummaryDaily[Online Store_average_order_value],0)</f>
        <v>0</v>
      </c>
      <c r="O746" s="11">
        <f>_xlfn.XLOOKUP(TableDailySummary[[#This Row],[Fecha]],SummaryDaily[day],SummaryDaily[Tienda 81_net_sales],0)</f>
        <v>0</v>
      </c>
      <c r="P746" s="11">
        <f>_xlfn.XLOOKUP(TableDailySummary[[#This Row],[Fecha]],SummaryDaily[day],SummaryDaily[Tienda 81_orders],0)</f>
        <v>0</v>
      </c>
      <c r="Q746" s="11">
        <f>_xlfn.XLOOKUP(TableDailySummary[[#This Row],[Fecha]],SummaryDaily[day],SummaryDaily[Tienda 81_average_order_value],0)</f>
        <v>0</v>
      </c>
      <c r="R746" s="11">
        <f>_xlfn.XLOOKUP(TableDailySummary[[#This Row],[Fecha]],SummaryDaily[day],SummaryDaily[Rappi_net_sales],0)</f>
        <v>0</v>
      </c>
      <c r="S746" s="11">
        <f>_xlfn.XLOOKUP(TableDailySummary[[#This Row],[Fecha]],SummaryDaily[day],SummaryDaily[Rappi_orders],0)</f>
        <v>0</v>
      </c>
      <c r="T746" s="11">
        <f>_xlfn.XLOOKUP(TableDailySummary[[#This Row],[Fecha]],SummaryDaily[day],SummaryDaily[Rappi_average_order_value],0)</f>
        <v>0</v>
      </c>
      <c r="U746" s="11">
        <f>_xlfn.XLOOKUP(TableDailySummary[[#This Row],[Fecha]],SummaryDaily[day],SummaryDaily[Corporativo no tienda_net_sales],0)</f>
        <v>0</v>
      </c>
      <c r="V746" s="11">
        <f>_xlfn.XLOOKUP(TableDailySummary[[#This Row],[Fecha]],SummaryDaily[day],SummaryDaily[Corporativo no tienda_orders],0)</f>
        <v>0</v>
      </c>
      <c r="W746" s="11">
        <f>_xlfn.XLOOKUP(TableDailySummary[[#This Row],[Fecha]],SummaryDaily[day],SummaryDaily[Corporativo no tienda_average_order_value],0)</f>
        <v>0</v>
      </c>
      <c r="X746" s="11">
        <f>_xlfn.XLOOKUP(TableDailySummary[[#This Row],[Fecha]],SummaryDaily[day],SummaryDaily[GoogleAdsOperation.Cost],0)</f>
        <v>0</v>
      </c>
      <c r="Y746" s="11">
        <f>SUMIFS(SalesByUTMDaily[google],SalesByUTMDaily[day],TableDailySummary[[#This Row],[Fecha]])</f>
        <v>0</v>
      </c>
      <c r="Z746" s="11">
        <f>_xlfn.XLOOKUP(TableDailySummary[[#This Row],[Fecha]],SummaryDaily[day],SummaryDaily[MetaAdsOperation.spend],0)</f>
        <v>0</v>
      </c>
      <c r="AA746" s="11">
        <f>SUMIFS(SalesByUTMDaily[facebook],SalesByUTMDaily[day],TableDailySummary[[#This Row],[Fecha]])</f>
        <v>0</v>
      </c>
      <c r="AB746" s="11">
        <f>TableDailySummary[[#This Row],[Inversión google ads]]+TableDailySummary[[#This Row],[Inversión meta ads]]</f>
        <v>0</v>
      </c>
      <c r="AC746" s="11">
        <f>TableDailySummary[[#This Row],[Ventas google ads]]+TableDailySummary[[#This Row],[Ventas meta ads]]</f>
        <v>0</v>
      </c>
      <c r="AD746" s="14">
        <f>IFERROR(TableDailySummary[[#This Row],[Ventas publicidad]]/TableDailySummary[[#This Row],[Inversión publicidad]],0)</f>
        <v>0</v>
      </c>
      <c r="AE746" s="14">
        <f>IFERROR(TableDailySummary[[#This Row],[Ventas primer cliente]]/TableDailySummary[[#This Row],[Inversión publicidad]],0)</f>
        <v>0</v>
      </c>
      <c r="AF746" s="14"/>
      <c r="AG746" s="11"/>
      <c r="AM746" s="11">
        <f>_xlfn.XLOOKUP(TableDailySummary[[#This Row],[Fecha]],SummaryDaily[day],SummaryDaily[net_sales_with_cost_recorded],0)</f>
        <v>0</v>
      </c>
      <c r="AN746" s="11">
        <f>_xlfn.XLOOKUP(TableDailySummary[[#This Row],[Fecha]],SummaryDaily[day],SummaryDaily[cost_of_goods_sold],0)</f>
        <v>0</v>
      </c>
      <c r="AO746" s="11">
        <f>_xlfn.XLOOKUP(TableDailySummary[[#This Row],[Fecha]],SummaryDaily[day],SummaryDaily[gross_profit],0)</f>
        <v>0</v>
      </c>
      <c r="AP746" s="18">
        <f>IFERROR(TableDailySummary[[#This Row],[Utilidad bruta]]/TableDailySummary[[#This Row],[Ventas netas con costo registrado]],0)</f>
        <v>0</v>
      </c>
    </row>
    <row r="747" spans="2:42" x14ac:dyDescent="0.2">
      <c r="B747" s="15" cm="1">
        <f t="array" ref="B747">ParamFechaInicioReporte + (ROW(TableDailySummary[#This Row]) - ROW(TableDailySummary[[#Headers],[Dia]]) - 1)</f>
        <v>45274</v>
      </c>
      <c r="C747" s="6">
        <f>TableDailySummary[[#This Row],[Dia]]</f>
        <v>45274</v>
      </c>
      <c r="D747" s="11">
        <f>_xlfn.XLOOKUP(TableDailySummary[[#This Row],[Fecha]],SummaryDaily[day],SummaryDaily[net_sales],0)</f>
        <v>0</v>
      </c>
      <c r="E747" s="11">
        <f>_xlfn.XLOOKUP(TableDailySummary[[#This Row],[Fecha]],SummaryDaily[day],SummaryDaily[orders],0)</f>
        <v>0</v>
      </c>
      <c r="F747" s="11">
        <f>_xlfn.XLOOKUP(TableDailySummary[[#This Row],[Fecha]],SummaryDaily[day],SummaryDaily[average_order_value],0)</f>
        <v>0</v>
      </c>
      <c r="G747" s="24" cm="1">
        <f t="array" ref="G747">_xlfn.XLOOKUP(TableDailySummary[[#This Row],[Fecha]]&amp;"Total site",ConversionRateByReferral[day]&amp;ConversionRateByReferral[referrer_source],ConversionRateByReferral[conversion_rate],0)</f>
        <v>0</v>
      </c>
      <c r="H747" s="11">
        <f>TableDailySummary[[#This Row],[Órden promedio totales]]*TableDailySummary[[#This Row],[CR totales]]</f>
        <v>0</v>
      </c>
      <c r="I747" s="11">
        <f>_xlfn.XLOOKUP(TableDailySummary[[#This Row],[Fecha]],SummaryDaily[day],SummaryDaily[new_net_sales],0)</f>
        <v>0</v>
      </c>
      <c r="J747" s="11">
        <f>_xlfn.XLOOKUP(TableDailySummary[[#This Row],[Fecha]],SummaryDaily[day],SummaryDaily[new_orders],0)</f>
        <v>0</v>
      </c>
      <c r="K747" s="11">
        <f>_xlfn.XLOOKUP(TableDailySummary[[#This Row],[Fecha]],SummaryDaily[day],SummaryDaily[new_average_order_value],0)</f>
        <v>0</v>
      </c>
      <c r="L747" s="11">
        <f>_xlfn.XLOOKUP(TableDailySummary[[#This Row],[Fecha]],SummaryDaily[day],SummaryDaily[Online Store_net_sales],0)</f>
        <v>0</v>
      </c>
      <c r="M747" s="11">
        <f>_xlfn.XLOOKUP(TableDailySummary[[#This Row],[Fecha]],SummaryDaily[day],SummaryDaily[Online Store_orders],0)</f>
        <v>0</v>
      </c>
      <c r="N747" s="11">
        <f>_xlfn.XLOOKUP(TableDailySummary[[#This Row],[Fecha]],SummaryDaily[day],SummaryDaily[Online Store_average_order_value],0)</f>
        <v>0</v>
      </c>
      <c r="O747" s="11">
        <f>_xlfn.XLOOKUP(TableDailySummary[[#This Row],[Fecha]],SummaryDaily[day],SummaryDaily[Tienda 81_net_sales],0)</f>
        <v>0</v>
      </c>
      <c r="P747" s="11">
        <f>_xlfn.XLOOKUP(TableDailySummary[[#This Row],[Fecha]],SummaryDaily[day],SummaryDaily[Tienda 81_orders],0)</f>
        <v>0</v>
      </c>
      <c r="Q747" s="11">
        <f>_xlfn.XLOOKUP(TableDailySummary[[#This Row],[Fecha]],SummaryDaily[day],SummaryDaily[Tienda 81_average_order_value],0)</f>
        <v>0</v>
      </c>
      <c r="R747" s="11">
        <f>_xlfn.XLOOKUP(TableDailySummary[[#This Row],[Fecha]],SummaryDaily[day],SummaryDaily[Rappi_net_sales],0)</f>
        <v>0</v>
      </c>
      <c r="S747" s="11">
        <f>_xlfn.XLOOKUP(TableDailySummary[[#This Row],[Fecha]],SummaryDaily[day],SummaryDaily[Rappi_orders],0)</f>
        <v>0</v>
      </c>
      <c r="T747" s="11">
        <f>_xlfn.XLOOKUP(TableDailySummary[[#This Row],[Fecha]],SummaryDaily[day],SummaryDaily[Rappi_average_order_value],0)</f>
        <v>0</v>
      </c>
      <c r="U747" s="11">
        <f>_xlfn.XLOOKUP(TableDailySummary[[#This Row],[Fecha]],SummaryDaily[day],SummaryDaily[Corporativo no tienda_net_sales],0)</f>
        <v>0</v>
      </c>
      <c r="V747" s="11">
        <f>_xlfn.XLOOKUP(TableDailySummary[[#This Row],[Fecha]],SummaryDaily[day],SummaryDaily[Corporativo no tienda_orders],0)</f>
        <v>0</v>
      </c>
      <c r="W747" s="11">
        <f>_xlfn.XLOOKUP(TableDailySummary[[#This Row],[Fecha]],SummaryDaily[day],SummaryDaily[Corporativo no tienda_average_order_value],0)</f>
        <v>0</v>
      </c>
      <c r="X747" s="11">
        <f>_xlfn.XLOOKUP(TableDailySummary[[#This Row],[Fecha]],SummaryDaily[day],SummaryDaily[GoogleAdsOperation.Cost],0)</f>
        <v>0</v>
      </c>
      <c r="Y747" s="11">
        <f>SUMIFS(SalesByUTMDaily[google],SalesByUTMDaily[day],TableDailySummary[[#This Row],[Fecha]])</f>
        <v>0</v>
      </c>
      <c r="Z747" s="11">
        <f>_xlfn.XLOOKUP(TableDailySummary[[#This Row],[Fecha]],SummaryDaily[day],SummaryDaily[MetaAdsOperation.spend],0)</f>
        <v>0</v>
      </c>
      <c r="AA747" s="11">
        <f>SUMIFS(SalesByUTMDaily[facebook],SalesByUTMDaily[day],TableDailySummary[[#This Row],[Fecha]])</f>
        <v>0</v>
      </c>
      <c r="AB747" s="11">
        <f>TableDailySummary[[#This Row],[Inversión google ads]]+TableDailySummary[[#This Row],[Inversión meta ads]]</f>
        <v>0</v>
      </c>
      <c r="AC747" s="11">
        <f>TableDailySummary[[#This Row],[Ventas google ads]]+TableDailySummary[[#This Row],[Ventas meta ads]]</f>
        <v>0</v>
      </c>
      <c r="AD747" s="14">
        <f>IFERROR(TableDailySummary[[#This Row],[Ventas publicidad]]/TableDailySummary[[#This Row],[Inversión publicidad]],0)</f>
        <v>0</v>
      </c>
      <c r="AE747" s="14">
        <f>IFERROR(TableDailySummary[[#This Row],[Ventas primer cliente]]/TableDailySummary[[#This Row],[Inversión publicidad]],0)</f>
        <v>0</v>
      </c>
      <c r="AF747" s="14"/>
      <c r="AG747" s="11"/>
      <c r="AM747" s="11">
        <f>_xlfn.XLOOKUP(TableDailySummary[[#This Row],[Fecha]],SummaryDaily[day],SummaryDaily[net_sales_with_cost_recorded],0)</f>
        <v>0</v>
      </c>
      <c r="AN747" s="11">
        <f>_xlfn.XLOOKUP(TableDailySummary[[#This Row],[Fecha]],SummaryDaily[day],SummaryDaily[cost_of_goods_sold],0)</f>
        <v>0</v>
      </c>
      <c r="AO747" s="11">
        <f>_xlfn.XLOOKUP(TableDailySummary[[#This Row],[Fecha]],SummaryDaily[day],SummaryDaily[gross_profit],0)</f>
        <v>0</v>
      </c>
      <c r="AP747" s="18">
        <f>IFERROR(TableDailySummary[[#This Row],[Utilidad bruta]]/TableDailySummary[[#This Row],[Ventas netas con costo registrado]],0)</f>
        <v>0</v>
      </c>
    </row>
    <row r="748" spans="2:42" x14ac:dyDescent="0.2">
      <c r="B748" s="15" cm="1">
        <f t="array" ref="B748">ParamFechaInicioReporte + (ROW(TableDailySummary[#This Row]) - ROW(TableDailySummary[[#Headers],[Dia]]) - 1)</f>
        <v>45275</v>
      </c>
      <c r="C748" s="6">
        <f>TableDailySummary[[#This Row],[Dia]]</f>
        <v>45275</v>
      </c>
      <c r="D748" s="11">
        <f>_xlfn.XLOOKUP(TableDailySummary[[#This Row],[Fecha]],SummaryDaily[day],SummaryDaily[net_sales],0)</f>
        <v>0</v>
      </c>
      <c r="E748" s="11">
        <f>_xlfn.XLOOKUP(TableDailySummary[[#This Row],[Fecha]],SummaryDaily[day],SummaryDaily[orders],0)</f>
        <v>0</v>
      </c>
      <c r="F748" s="11">
        <f>_xlfn.XLOOKUP(TableDailySummary[[#This Row],[Fecha]],SummaryDaily[day],SummaryDaily[average_order_value],0)</f>
        <v>0</v>
      </c>
      <c r="G748" s="24" cm="1">
        <f t="array" ref="G748">_xlfn.XLOOKUP(TableDailySummary[[#This Row],[Fecha]]&amp;"Total site",ConversionRateByReferral[day]&amp;ConversionRateByReferral[referrer_source],ConversionRateByReferral[conversion_rate],0)</f>
        <v>0</v>
      </c>
      <c r="H748" s="11">
        <f>TableDailySummary[[#This Row],[Órden promedio totales]]*TableDailySummary[[#This Row],[CR totales]]</f>
        <v>0</v>
      </c>
      <c r="I748" s="11">
        <f>_xlfn.XLOOKUP(TableDailySummary[[#This Row],[Fecha]],SummaryDaily[day],SummaryDaily[new_net_sales],0)</f>
        <v>0</v>
      </c>
      <c r="J748" s="11">
        <f>_xlfn.XLOOKUP(TableDailySummary[[#This Row],[Fecha]],SummaryDaily[day],SummaryDaily[new_orders],0)</f>
        <v>0</v>
      </c>
      <c r="K748" s="11">
        <f>_xlfn.XLOOKUP(TableDailySummary[[#This Row],[Fecha]],SummaryDaily[day],SummaryDaily[new_average_order_value],0)</f>
        <v>0</v>
      </c>
      <c r="L748" s="11">
        <f>_xlfn.XLOOKUP(TableDailySummary[[#This Row],[Fecha]],SummaryDaily[day],SummaryDaily[Online Store_net_sales],0)</f>
        <v>0</v>
      </c>
      <c r="M748" s="11">
        <f>_xlfn.XLOOKUP(TableDailySummary[[#This Row],[Fecha]],SummaryDaily[day],SummaryDaily[Online Store_orders],0)</f>
        <v>0</v>
      </c>
      <c r="N748" s="11">
        <f>_xlfn.XLOOKUP(TableDailySummary[[#This Row],[Fecha]],SummaryDaily[day],SummaryDaily[Online Store_average_order_value],0)</f>
        <v>0</v>
      </c>
      <c r="O748" s="11">
        <f>_xlfn.XLOOKUP(TableDailySummary[[#This Row],[Fecha]],SummaryDaily[day],SummaryDaily[Tienda 81_net_sales],0)</f>
        <v>0</v>
      </c>
      <c r="P748" s="11">
        <f>_xlfn.XLOOKUP(TableDailySummary[[#This Row],[Fecha]],SummaryDaily[day],SummaryDaily[Tienda 81_orders],0)</f>
        <v>0</v>
      </c>
      <c r="Q748" s="11">
        <f>_xlfn.XLOOKUP(TableDailySummary[[#This Row],[Fecha]],SummaryDaily[day],SummaryDaily[Tienda 81_average_order_value],0)</f>
        <v>0</v>
      </c>
      <c r="R748" s="11">
        <f>_xlfn.XLOOKUP(TableDailySummary[[#This Row],[Fecha]],SummaryDaily[day],SummaryDaily[Rappi_net_sales],0)</f>
        <v>0</v>
      </c>
      <c r="S748" s="11">
        <f>_xlfn.XLOOKUP(TableDailySummary[[#This Row],[Fecha]],SummaryDaily[day],SummaryDaily[Rappi_orders],0)</f>
        <v>0</v>
      </c>
      <c r="T748" s="11">
        <f>_xlfn.XLOOKUP(TableDailySummary[[#This Row],[Fecha]],SummaryDaily[day],SummaryDaily[Rappi_average_order_value],0)</f>
        <v>0</v>
      </c>
      <c r="U748" s="11">
        <f>_xlfn.XLOOKUP(TableDailySummary[[#This Row],[Fecha]],SummaryDaily[day],SummaryDaily[Corporativo no tienda_net_sales],0)</f>
        <v>0</v>
      </c>
      <c r="V748" s="11">
        <f>_xlfn.XLOOKUP(TableDailySummary[[#This Row],[Fecha]],SummaryDaily[day],SummaryDaily[Corporativo no tienda_orders],0)</f>
        <v>0</v>
      </c>
      <c r="W748" s="11">
        <f>_xlfn.XLOOKUP(TableDailySummary[[#This Row],[Fecha]],SummaryDaily[day],SummaryDaily[Corporativo no tienda_average_order_value],0)</f>
        <v>0</v>
      </c>
      <c r="X748" s="11">
        <f>_xlfn.XLOOKUP(TableDailySummary[[#This Row],[Fecha]],SummaryDaily[day],SummaryDaily[GoogleAdsOperation.Cost],0)</f>
        <v>0</v>
      </c>
      <c r="Y748" s="11">
        <f>SUMIFS(SalesByUTMDaily[google],SalesByUTMDaily[day],TableDailySummary[[#This Row],[Fecha]])</f>
        <v>0</v>
      </c>
      <c r="Z748" s="11">
        <f>_xlfn.XLOOKUP(TableDailySummary[[#This Row],[Fecha]],SummaryDaily[day],SummaryDaily[MetaAdsOperation.spend],0)</f>
        <v>0</v>
      </c>
      <c r="AA748" s="11">
        <f>SUMIFS(SalesByUTMDaily[facebook],SalesByUTMDaily[day],TableDailySummary[[#This Row],[Fecha]])</f>
        <v>0</v>
      </c>
      <c r="AB748" s="11">
        <f>TableDailySummary[[#This Row],[Inversión google ads]]+TableDailySummary[[#This Row],[Inversión meta ads]]</f>
        <v>0</v>
      </c>
      <c r="AC748" s="11">
        <f>TableDailySummary[[#This Row],[Ventas google ads]]+TableDailySummary[[#This Row],[Ventas meta ads]]</f>
        <v>0</v>
      </c>
      <c r="AD748" s="14">
        <f>IFERROR(TableDailySummary[[#This Row],[Ventas publicidad]]/TableDailySummary[[#This Row],[Inversión publicidad]],0)</f>
        <v>0</v>
      </c>
      <c r="AE748" s="14">
        <f>IFERROR(TableDailySummary[[#This Row],[Ventas primer cliente]]/TableDailySummary[[#This Row],[Inversión publicidad]],0)</f>
        <v>0</v>
      </c>
      <c r="AF748" s="14"/>
      <c r="AG748" s="11"/>
      <c r="AM748" s="11">
        <f>_xlfn.XLOOKUP(TableDailySummary[[#This Row],[Fecha]],SummaryDaily[day],SummaryDaily[net_sales_with_cost_recorded],0)</f>
        <v>0</v>
      </c>
      <c r="AN748" s="11">
        <f>_xlfn.XLOOKUP(TableDailySummary[[#This Row],[Fecha]],SummaryDaily[day],SummaryDaily[cost_of_goods_sold],0)</f>
        <v>0</v>
      </c>
      <c r="AO748" s="11">
        <f>_xlfn.XLOOKUP(TableDailySummary[[#This Row],[Fecha]],SummaryDaily[day],SummaryDaily[gross_profit],0)</f>
        <v>0</v>
      </c>
      <c r="AP748" s="18">
        <f>IFERROR(TableDailySummary[[#This Row],[Utilidad bruta]]/TableDailySummary[[#This Row],[Ventas netas con costo registrado]],0)</f>
        <v>0</v>
      </c>
    </row>
    <row r="749" spans="2:42" x14ac:dyDescent="0.2">
      <c r="B749" s="15" cm="1">
        <f t="array" ref="B749">ParamFechaInicioReporte + (ROW(TableDailySummary[#This Row]) - ROW(TableDailySummary[[#Headers],[Dia]]) - 1)</f>
        <v>45276</v>
      </c>
      <c r="C749" s="6">
        <f>TableDailySummary[[#This Row],[Dia]]</f>
        <v>45276</v>
      </c>
      <c r="D749" s="11">
        <f>_xlfn.XLOOKUP(TableDailySummary[[#This Row],[Fecha]],SummaryDaily[day],SummaryDaily[net_sales],0)</f>
        <v>0</v>
      </c>
      <c r="E749" s="11">
        <f>_xlfn.XLOOKUP(TableDailySummary[[#This Row],[Fecha]],SummaryDaily[day],SummaryDaily[orders],0)</f>
        <v>0</v>
      </c>
      <c r="F749" s="11">
        <f>_xlfn.XLOOKUP(TableDailySummary[[#This Row],[Fecha]],SummaryDaily[day],SummaryDaily[average_order_value],0)</f>
        <v>0</v>
      </c>
      <c r="G749" s="24" cm="1">
        <f t="array" ref="G749">_xlfn.XLOOKUP(TableDailySummary[[#This Row],[Fecha]]&amp;"Total site",ConversionRateByReferral[day]&amp;ConversionRateByReferral[referrer_source],ConversionRateByReferral[conversion_rate],0)</f>
        <v>0</v>
      </c>
      <c r="H749" s="11">
        <f>TableDailySummary[[#This Row],[Órden promedio totales]]*TableDailySummary[[#This Row],[CR totales]]</f>
        <v>0</v>
      </c>
      <c r="I749" s="11">
        <f>_xlfn.XLOOKUP(TableDailySummary[[#This Row],[Fecha]],SummaryDaily[day],SummaryDaily[new_net_sales],0)</f>
        <v>0</v>
      </c>
      <c r="J749" s="11">
        <f>_xlfn.XLOOKUP(TableDailySummary[[#This Row],[Fecha]],SummaryDaily[day],SummaryDaily[new_orders],0)</f>
        <v>0</v>
      </c>
      <c r="K749" s="11">
        <f>_xlfn.XLOOKUP(TableDailySummary[[#This Row],[Fecha]],SummaryDaily[day],SummaryDaily[new_average_order_value],0)</f>
        <v>0</v>
      </c>
      <c r="L749" s="11">
        <f>_xlfn.XLOOKUP(TableDailySummary[[#This Row],[Fecha]],SummaryDaily[day],SummaryDaily[Online Store_net_sales],0)</f>
        <v>0</v>
      </c>
      <c r="M749" s="11">
        <f>_xlfn.XLOOKUP(TableDailySummary[[#This Row],[Fecha]],SummaryDaily[day],SummaryDaily[Online Store_orders],0)</f>
        <v>0</v>
      </c>
      <c r="N749" s="11">
        <f>_xlfn.XLOOKUP(TableDailySummary[[#This Row],[Fecha]],SummaryDaily[day],SummaryDaily[Online Store_average_order_value],0)</f>
        <v>0</v>
      </c>
      <c r="O749" s="11">
        <f>_xlfn.XLOOKUP(TableDailySummary[[#This Row],[Fecha]],SummaryDaily[day],SummaryDaily[Tienda 81_net_sales],0)</f>
        <v>0</v>
      </c>
      <c r="P749" s="11">
        <f>_xlfn.XLOOKUP(TableDailySummary[[#This Row],[Fecha]],SummaryDaily[day],SummaryDaily[Tienda 81_orders],0)</f>
        <v>0</v>
      </c>
      <c r="Q749" s="11">
        <f>_xlfn.XLOOKUP(TableDailySummary[[#This Row],[Fecha]],SummaryDaily[day],SummaryDaily[Tienda 81_average_order_value],0)</f>
        <v>0</v>
      </c>
      <c r="R749" s="11">
        <f>_xlfn.XLOOKUP(TableDailySummary[[#This Row],[Fecha]],SummaryDaily[day],SummaryDaily[Rappi_net_sales],0)</f>
        <v>0</v>
      </c>
      <c r="S749" s="11">
        <f>_xlfn.XLOOKUP(TableDailySummary[[#This Row],[Fecha]],SummaryDaily[day],SummaryDaily[Rappi_orders],0)</f>
        <v>0</v>
      </c>
      <c r="T749" s="11">
        <f>_xlfn.XLOOKUP(TableDailySummary[[#This Row],[Fecha]],SummaryDaily[day],SummaryDaily[Rappi_average_order_value],0)</f>
        <v>0</v>
      </c>
      <c r="U749" s="11">
        <f>_xlfn.XLOOKUP(TableDailySummary[[#This Row],[Fecha]],SummaryDaily[day],SummaryDaily[Corporativo no tienda_net_sales],0)</f>
        <v>0</v>
      </c>
      <c r="V749" s="11">
        <f>_xlfn.XLOOKUP(TableDailySummary[[#This Row],[Fecha]],SummaryDaily[day],SummaryDaily[Corporativo no tienda_orders],0)</f>
        <v>0</v>
      </c>
      <c r="W749" s="11">
        <f>_xlfn.XLOOKUP(TableDailySummary[[#This Row],[Fecha]],SummaryDaily[day],SummaryDaily[Corporativo no tienda_average_order_value],0)</f>
        <v>0</v>
      </c>
      <c r="X749" s="11">
        <f>_xlfn.XLOOKUP(TableDailySummary[[#This Row],[Fecha]],SummaryDaily[day],SummaryDaily[GoogleAdsOperation.Cost],0)</f>
        <v>0</v>
      </c>
      <c r="Y749" s="11">
        <f>SUMIFS(SalesByUTMDaily[google],SalesByUTMDaily[day],TableDailySummary[[#This Row],[Fecha]])</f>
        <v>0</v>
      </c>
      <c r="Z749" s="11">
        <f>_xlfn.XLOOKUP(TableDailySummary[[#This Row],[Fecha]],SummaryDaily[day],SummaryDaily[MetaAdsOperation.spend],0)</f>
        <v>0</v>
      </c>
      <c r="AA749" s="11">
        <f>SUMIFS(SalesByUTMDaily[facebook],SalesByUTMDaily[day],TableDailySummary[[#This Row],[Fecha]])</f>
        <v>0</v>
      </c>
      <c r="AB749" s="11">
        <f>TableDailySummary[[#This Row],[Inversión google ads]]+TableDailySummary[[#This Row],[Inversión meta ads]]</f>
        <v>0</v>
      </c>
      <c r="AC749" s="11">
        <f>TableDailySummary[[#This Row],[Ventas google ads]]+TableDailySummary[[#This Row],[Ventas meta ads]]</f>
        <v>0</v>
      </c>
      <c r="AD749" s="14">
        <f>IFERROR(TableDailySummary[[#This Row],[Ventas publicidad]]/TableDailySummary[[#This Row],[Inversión publicidad]],0)</f>
        <v>0</v>
      </c>
      <c r="AE749" s="14">
        <f>IFERROR(TableDailySummary[[#This Row],[Ventas primer cliente]]/TableDailySummary[[#This Row],[Inversión publicidad]],0)</f>
        <v>0</v>
      </c>
      <c r="AF749" s="14"/>
      <c r="AG749" s="11"/>
      <c r="AM749" s="11">
        <f>_xlfn.XLOOKUP(TableDailySummary[[#This Row],[Fecha]],SummaryDaily[day],SummaryDaily[net_sales_with_cost_recorded],0)</f>
        <v>0</v>
      </c>
      <c r="AN749" s="11">
        <f>_xlfn.XLOOKUP(TableDailySummary[[#This Row],[Fecha]],SummaryDaily[day],SummaryDaily[cost_of_goods_sold],0)</f>
        <v>0</v>
      </c>
      <c r="AO749" s="11">
        <f>_xlfn.XLOOKUP(TableDailySummary[[#This Row],[Fecha]],SummaryDaily[day],SummaryDaily[gross_profit],0)</f>
        <v>0</v>
      </c>
      <c r="AP749" s="18">
        <f>IFERROR(TableDailySummary[[#This Row],[Utilidad bruta]]/TableDailySummary[[#This Row],[Ventas netas con costo registrado]],0)</f>
        <v>0</v>
      </c>
    </row>
    <row r="750" spans="2:42" x14ac:dyDescent="0.2">
      <c r="B750" s="15" cm="1">
        <f t="array" ref="B750">ParamFechaInicioReporte + (ROW(TableDailySummary[#This Row]) - ROW(TableDailySummary[[#Headers],[Dia]]) - 1)</f>
        <v>45277</v>
      </c>
      <c r="C750" s="6">
        <f>TableDailySummary[[#This Row],[Dia]]</f>
        <v>45277</v>
      </c>
      <c r="D750" s="11">
        <f>_xlfn.XLOOKUP(TableDailySummary[[#This Row],[Fecha]],SummaryDaily[day],SummaryDaily[net_sales],0)</f>
        <v>0</v>
      </c>
      <c r="E750" s="11">
        <f>_xlfn.XLOOKUP(TableDailySummary[[#This Row],[Fecha]],SummaryDaily[day],SummaryDaily[orders],0)</f>
        <v>0</v>
      </c>
      <c r="F750" s="11">
        <f>_xlfn.XLOOKUP(TableDailySummary[[#This Row],[Fecha]],SummaryDaily[day],SummaryDaily[average_order_value],0)</f>
        <v>0</v>
      </c>
      <c r="G750" s="24" cm="1">
        <f t="array" ref="G750">_xlfn.XLOOKUP(TableDailySummary[[#This Row],[Fecha]]&amp;"Total site",ConversionRateByReferral[day]&amp;ConversionRateByReferral[referrer_source],ConversionRateByReferral[conversion_rate],0)</f>
        <v>0</v>
      </c>
      <c r="H750" s="11">
        <f>TableDailySummary[[#This Row],[Órden promedio totales]]*TableDailySummary[[#This Row],[CR totales]]</f>
        <v>0</v>
      </c>
      <c r="I750" s="11">
        <f>_xlfn.XLOOKUP(TableDailySummary[[#This Row],[Fecha]],SummaryDaily[day],SummaryDaily[new_net_sales],0)</f>
        <v>0</v>
      </c>
      <c r="J750" s="11">
        <f>_xlfn.XLOOKUP(TableDailySummary[[#This Row],[Fecha]],SummaryDaily[day],SummaryDaily[new_orders],0)</f>
        <v>0</v>
      </c>
      <c r="K750" s="11">
        <f>_xlfn.XLOOKUP(TableDailySummary[[#This Row],[Fecha]],SummaryDaily[day],SummaryDaily[new_average_order_value],0)</f>
        <v>0</v>
      </c>
      <c r="L750" s="11">
        <f>_xlfn.XLOOKUP(TableDailySummary[[#This Row],[Fecha]],SummaryDaily[day],SummaryDaily[Online Store_net_sales],0)</f>
        <v>0</v>
      </c>
      <c r="M750" s="11">
        <f>_xlfn.XLOOKUP(TableDailySummary[[#This Row],[Fecha]],SummaryDaily[day],SummaryDaily[Online Store_orders],0)</f>
        <v>0</v>
      </c>
      <c r="N750" s="11">
        <f>_xlfn.XLOOKUP(TableDailySummary[[#This Row],[Fecha]],SummaryDaily[day],SummaryDaily[Online Store_average_order_value],0)</f>
        <v>0</v>
      </c>
      <c r="O750" s="11">
        <f>_xlfn.XLOOKUP(TableDailySummary[[#This Row],[Fecha]],SummaryDaily[day],SummaryDaily[Tienda 81_net_sales],0)</f>
        <v>0</v>
      </c>
      <c r="P750" s="11">
        <f>_xlfn.XLOOKUP(TableDailySummary[[#This Row],[Fecha]],SummaryDaily[day],SummaryDaily[Tienda 81_orders],0)</f>
        <v>0</v>
      </c>
      <c r="Q750" s="11">
        <f>_xlfn.XLOOKUP(TableDailySummary[[#This Row],[Fecha]],SummaryDaily[day],SummaryDaily[Tienda 81_average_order_value],0)</f>
        <v>0</v>
      </c>
      <c r="R750" s="11">
        <f>_xlfn.XLOOKUP(TableDailySummary[[#This Row],[Fecha]],SummaryDaily[day],SummaryDaily[Rappi_net_sales],0)</f>
        <v>0</v>
      </c>
      <c r="S750" s="11">
        <f>_xlfn.XLOOKUP(TableDailySummary[[#This Row],[Fecha]],SummaryDaily[day],SummaryDaily[Rappi_orders],0)</f>
        <v>0</v>
      </c>
      <c r="T750" s="11">
        <f>_xlfn.XLOOKUP(TableDailySummary[[#This Row],[Fecha]],SummaryDaily[day],SummaryDaily[Rappi_average_order_value],0)</f>
        <v>0</v>
      </c>
      <c r="U750" s="11">
        <f>_xlfn.XLOOKUP(TableDailySummary[[#This Row],[Fecha]],SummaryDaily[day],SummaryDaily[Corporativo no tienda_net_sales],0)</f>
        <v>0</v>
      </c>
      <c r="V750" s="11">
        <f>_xlfn.XLOOKUP(TableDailySummary[[#This Row],[Fecha]],SummaryDaily[day],SummaryDaily[Corporativo no tienda_orders],0)</f>
        <v>0</v>
      </c>
      <c r="W750" s="11">
        <f>_xlfn.XLOOKUP(TableDailySummary[[#This Row],[Fecha]],SummaryDaily[day],SummaryDaily[Corporativo no tienda_average_order_value],0)</f>
        <v>0</v>
      </c>
      <c r="X750" s="11">
        <f>_xlfn.XLOOKUP(TableDailySummary[[#This Row],[Fecha]],SummaryDaily[day],SummaryDaily[GoogleAdsOperation.Cost],0)</f>
        <v>0</v>
      </c>
      <c r="Y750" s="11">
        <f>SUMIFS(SalesByUTMDaily[google],SalesByUTMDaily[day],TableDailySummary[[#This Row],[Fecha]])</f>
        <v>0</v>
      </c>
      <c r="Z750" s="11">
        <f>_xlfn.XLOOKUP(TableDailySummary[[#This Row],[Fecha]],SummaryDaily[day],SummaryDaily[MetaAdsOperation.spend],0)</f>
        <v>0</v>
      </c>
      <c r="AA750" s="11">
        <f>SUMIFS(SalesByUTMDaily[facebook],SalesByUTMDaily[day],TableDailySummary[[#This Row],[Fecha]])</f>
        <v>0</v>
      </c>
      <c r="AB750" s="11">
        <f>TableDailySummary[[#This Row],[Inversión google ads]]+TableDailySummary[[#This Row],[Inversión meta ads]]</f>
        <v>0</v>
      </c>
      <c r="AC750" s="11">
        <f>TableDailySummary[[#This Row],[Ventas google ads]]+TableDailySummary[[#This Row],[Ventas meta ads]]</f>
        <v>0</v>
      </c>
      <c r="AD750" s="14">
        <f>IFERROR(TableDailySummary[[#This Row],[Ventas publicidad]]/TableDailySummary[[#This Row],[Inversión publicidad]],0)</f>
        <v>0</v>
      </c>
      <c r="AE750" s="14">
        <f>IFERROR(TableDailySummary[[#This Row],[Ventas primer cliente]]/TableDailySummary[[#This Row],[Inversión publicidad]],0)</f>
        <v>0</v>
      </c>
      <c r="AF750" s="14"/>
      <c r="AG750" s="11"/>
      <c r="AM750" s="11">
        <f>_xlfn.XLOOKUP(TableDailySummary[[#This Row],[Fecha]],SummaryDaily[day],SummaryDaily[net_sales_with_cost_recorded],0)</f>
        <v>0</v>
      </c>
      <c r="AN750" s="11">
        <f>_xlfn.XLOOKUP(TableDailySummary[[#This Row],[Fecha]],SummaryDaily[day],SummaryDaily[cost_of_goods_sold],0)</f>
        <v>0</v>
      </c>
      <c r="AO750" s="11">
        <f>_xlfn.XLOOKUP(TableDailySummary[[#This Row],[Fecha]],SummaryDaily[day],SummaryDaily[gross_profit],0)</f>
        <v>0</v>
      </c>
      <c r="AP750" s="18">
        <f>IFERROR(TableDailySummary[[#This Row],[Utilidad bruta]]/TableDailySummary[[#This Row],[Ventas netas con costo registrado]],0)</f>
        <v>0</v>
      </c>
    </row>
    <row r="751" spans="2:42" x14ac:dyDescent="0.2">
      <c r="B751" s="15" cm="1">
        <f t="array" ref="B751">ParamFechaInicioReporte + (ROW(TableDailySummary[#This Row]) - ROW(TableDailySummary[[#Headers],[Dia]]) - 1)</f>
        <v>45278</v>
      </c>
      <c r="C751" s="6">
        <f>TableDailySummary[[#This Row],[Dia]]</f>
        <v>45278</v>
      </c>
      <c r="D751" s="11">
        <f>_xlfn.XLOOKUP(TableDailySummary[[#This Row],[Fecha]],SummaryDaily[day],SummaryDaily[net_sales],0)</f>
        <v>0</v>
      </c>
      <c r="E751" s="11">
        <f>_xlfn.XLOOKUP(TableDailySummary[[#This Row],[Fecha]],SummaryDaily[day],SummaryDaily[orders],0)</f>
        <v>0</v>
      </c>
      <c r="F751" s="11">
        <f>_xlfn.XLOOKUP(TableDailySummary[[#This Row],[Fecha]],SummaryDaily[day],SummaryDaily[average_order_value],0)</f>
        <v>0</v>
      </c>
      <c r="G751" s="24" cm="1">
        <f t="array" ref="G751">_xlfn.XLOOKUP(TableDailySummary[[#This Row],[Fecha]]&amp;"Total site",ConversionRateByReferral[day]&amp;ConversionRateByReferral[referrer_source],ConversionRateByReferral[conversion_rate],0)</f>
        <v>0</v>
      </c>
      <c r="H751" s="11">
        <f>TableDailySummary[[#This Row],[Órden promedio totales]]*TableDailySummary[[#This Row],[CR totales]]</f>
        <v>0</v>
      </c>
      <c r="I751" s="11">
        <f>_xlfn.XLOOKUP(TableDailySummary[[#This Row],[Fecha]],SummaryDaily[day],SummaryDaily[new_net_sales],0)</f>
        <v>0</v>
      </c>
      <c r="J751" s="11">
        <f>_xlfn.XLOOKUP(TableDailySummary[[#This Row],[Fecha]],SummaryDaily[day],SummaryDaily[new_orders],0)</f>
        <v>0</v>
      </c>
      <c r="K751" s="11">
        <f>_xlfn.XLOOKUP(TableDailySummary[[#This Row],[Fecha]],SummaryDaily[day],SummaryDaily[new_average_order_value],0)</f>
        <v>0</v>
      </c>
      <c r="L751" s="11">
        <f>_xlfn.XLOOKUP(TableDailySummary[[#This Row],[Fecha]],SummaryDaily[day],SummaryDaily[Online Store_net_sales],0)</f>
        <v>0</v>
      </c>
      <c r="M751" s="11">
        <f>_xlfn.XLOOKUP(TableDailySummary[[#This Row],[Fecha]],SummaryDaily[day],SummaryDaily[Online Store_orders],0)</f>
        <v>0</v>
      </c>
      <c r="N751" s="11">
        <f>_xlfn.XLOOKUP(TableDailySummary[[#This Row],[Fecha]],SummaryDaily[day],SummaryDaily[Online Store_average_order_value],0)</f>
        <v>0</v>
      </c>
      <c r="O751" s="11">
        <f>_xlfn.XLOOKUP(TableDailySummary[[#This Row],[Fecha]],SummaryDaily[day],SummaryDaily[Tienda 81_net_sales],0)</f>
        <v>0</v>
      </c>
      <c r="P751" s="11">
        <f>_xlfn.XLOOKUP(TableDailySummary[[#This Row],[Fecha]],SummaryDaily[day],SummaryDaily[Tienda 81_orders],0)</f>
        <v>0</v>
      </c>
      <c r="Q751" s="11">
        <f>_xlfn.XLOOKUP(TableDailySummary[[#This Row],[Fecha]],SummaryDaily[day],SummaryDaily[Tienda 81_average_order_value],0)</f>
        <v>0</v>
      </c>
      <c r="R751" s="11">
        <f>_xlfn.XLOOKUP(TableDailySummary[[#This Row],[Fecha]],SummaryDaily[day],SummaryDaily[Rappi_net_sales],0)</f>
        <v>0</v>
      </c>
      <c r="S751" s="11">
        <f>_xlfn.XLOOKUP(TableDailySummary[[#This Row],[Fecha]],SummaryDaily[day],SummaryDaily[Rappi_orders],0)</f>
        <v>0</v>
      </c>
      <c r="T751" s="11">
        <f>_xlfn.XLOOKUP(TableDailySummary[[#This Row],[Fecha]],SummaryDaily[day],SummaryDaily[Rappi_average_order_value],0)</f>
        <v>0</v>
      </c>
      <c r="U751" s="11">
        <f>_xlfn.XLOOKUP(TableDailySummary[[#This Row],[Fecha]],SummaryDaily[day],SummaryDaily[Corporativo no tienda_net_sales],0)</f>
        <v>0</v>
      </c>
      <c r="V751" s="11">
        <f>_xlfn.XLOOKUP(TableDailySummary[[#This Row],[Fecha]],SummaryDaily[day],SummaryDaily[Corporativo no tienda_orders],0)</f>
        <v>0</v>
      </c>
      <c r="W751" s="11">
        <f>_xlfn.XLOOKUP(TableDailySummary[[#This Row],[Fecha]],SummaryDaily[day],SummaryDaily[Corporativo no tienda_average_order_value],0)</f>
        <v>0</v>
      </c>
      <c r="X751" s="11">
        <f>_xlfn.XLOOKUP(TableDailySummary[[#This Row],[Fecha]],SummaryDaily[day],SummaryDaily[GoogleAdsOperation.Cost],0)</f>
        <v>0</v>
      </c>
      <c r="Y751" s="11">
        <f>SUMIFS(SalesByUTMDaily[google],SalesByUTMDaily[day],TableDailySummary[[#This Row],[Fecha]])</f>
        <v>0</v>
      </c>
      <c r="Z751" s="11">
        <f>_xlfn.XLOOKUP(TableDailySummary[[#This Row],[Fecha]],SummaryDaily[day],SummaryDaily[MetaAdsOperation.spend],0)</f>
        <v>0</v>
      </c>
      <c r="AA751" s="11">
        <f>SUMIFS(SalesByUTMDaily[facebook],SalesByUTMDaily[day],TableDailySummary[[#This Row],[Fecha]])</f>
        <v>0</v>
      </c>
      <c r="AB751" s="11">
        <f>TableDailySummary[[#This Row],[Inversión google ads]]+TableDailySummary[[#This Row],[Inversión meta ads]]</f>
        <v>0</v>
      </c>
      <c r="AC751" s="11">
        <f>TableDailySummary[[#This Row],[Ventas google ads]]+TableDailySummary[[#This Row],[Ventas meta ads]]</f>
        <v>0</v>
      </c>
      <c r="AD751" s="14">
        <f>IFERROR(TableDailySummary[[#This Row],[Ventas publicidad]]/TableDailySummary[[#This Row],[Inversión publicidad]],0)</f>
        <v>0</v>
      </c>
      <c r="AE751" s="14">
        <f>IFERROR(TableDailySummary[[#This Row],[Ventas primer cliente]]/TableDailySummary[[#This Row],[Inversión publicidad]],0)</f>
        <v>0</v>
      </c>
      <c r="AF751" s="14"/>
      <c r="AG751" s="11"/>
      <c r="AM751" s="11">
        <f>_xlfn.XLOOKUP(TableDailySummary[[#This Row],[Fecha]],SummaryDaily[day],SummaryDaily[net_sales_with_cost_recorded],0)</f>
        <v>0</v>
      </c>
      <c r="AN751" s="11">
        <f>_xlfn.XLOOKUP(TableDailySummary[[#This Row],[Fecha]],SummaryDaily[day],SummaryDaily[cost_of_goods_sold],0)</f>
        <v>0</v>
      </c>
      <c r="AO751" s="11">
        <f>_xlfn.XLOOKUP(TableDailySummary[[#This Row],[Fecha]],SummaryDaily[day],SummaryDaily[gross_profit],0)</f>
        <v>0</v>
      </c>
      <c r="AP751" s="18">
        <f>IFERROR(TableDailySummary[[#This Row],[Utilidad bruta]]/TableDailySummary[[#This Row],[Ventas netas con costo registrado]],0)</f>
        <v>0</v>
      </c>
    </row>
    <row r="752" spans="2:42" x14ac:dyDescent="0.2">
      <c r="B752" s="15" cm="1">
        <f t="array" ref="B752">ParamFechaInicioReporte + (ROW(TableDailySummary[#This Row]) - ROW(TableDailySummary[[#Headers],[Dia]]) - 1)</f>
        <v>45279</v>
      </c>
      <c r="C752" s="6">
        <f>TableDailySummary[[#This Row],[Dia]]</f>
        <v>45279</v>
      </c>
      <c r="D752" s="11">
        <f>_xlfn.XLOOKUP(TableDailySummary[[#This Row],[Fecha]],SummaryDaily[day],SummaryDaily[net_sales],0)</f>
        <v>0</v>
      </c>
      <c r="E752" s="11">
        <f>_xlfn.XLOOKUP(TableDailySummary[[#This Row],[Fecha]],SummaryDaily[day],SummaryDaily[orders],0)</f>
        <v>0</v>
      </c>
      <c r="F752" s="11">
        <f>_xlfn.XLOOKUP(TableDailySummary[[#This Row],[Fecha]],SummaryDaily[day],SummaryDaily[average_order_value],0)</f>
        <v>0</v>
      </c>
      <c r="G752" s="24" cm="1">
        <f t="array" ref="G752">_xlfn.XLOOKUP(TableDailySummary[[#This Row],[Fecha]]&amp;"Total site",ConversionRateByReferral[day]&amp;ConversionRateByReferral[referrer_source],ConversionRateByReferral[conversion_rate],0)</f>
        <v>0</v>
      </c>
      <c r="H752" s="11">
        <f>TableDailySummary[[#This Row],[Órden promedio totales]]*TableDailySummary[[#This Row],[CR totales]]</f>
        <v>0</v>
      </c>
      <c r="I752" s="11">
        <f>_xlfn.XLOOKUP(TableDailySummary[[#This Row],[Fecha]],SummaryDaily[day],SummaryDaily[new_net_sales],0)</f>
        <v>0</v>
      </c>
      <c r="J752" s="11">
        <f>_xlfn.XLOOKUP(TableDailySummary[[#This Row],[Fecha]],SummaryDaily[day],SummaryDaily[new_orders],0)</f>
        <v>0</v>
      </c>
      <c r="K752" s="11">
        <f>_xlfn.XLOOKUP(TableDailySummary[[#This Row],[Fecha]],SummaryDaily[day],SummaryDaily[new_average_order_value],0)</f>
        <v>0</v>
      </c>
      <c r="L752" s="11">
        <f>_xlfn.XLOOKUP(TableDailySummary[[#This Row],[Fecha]],SummaryDaily[day],SummaryDaily[Online Store_net_sales],0)</f>
        <v>0</v>
      </c>
      <c r="M752" s="11">
        <f>_xlfn.XLOOKUP(TableDailySummary[[#This Row],[Fecha]],SummaryDaily[day],SummaryDaily[Online Store_orders],0)</f>
        <v>0</v>
      </c>
      <c r="N752" s="11">
        <f>_xlfn.XLOOKUP(TableDailySummary[[#This Row],[Fecha]],SummaryDaily[day],SummaryDaily[Online Store_average_order_value],0)</f>
        <v>0</v>
      </c>
      <c r="O752" s="11">
        <f>_xlfn.XLOOKUP(TableDailySummary[[#This Row],[Fecha]],SummaryDaily[day],SummaryDaily[Tienda 81_net_sales],0)</f>
        <v>0</v>
      </c>
      <c r="P752" s="11">
        <f>_xlfn.XLOOKUP(TableDailySummary[[#This Row],[Fecha]],SummaryDaily[day],SummaryDaily[Tienda 81_orders],0)</f>
        <v>0</v>
      </c>
      <c r="Q752" s="11">
        <f>_xlfn.XLOOKUP(TableDailySummary[[#This Row],[Fecha]],SummaryDaily[day],SummaryDaily[Tienda 81_average_order_value],0)</f>
        <v>0</v>
      </c>
      <c r="R752" s="11">
        <f>_xlfn.XLOOKUP(TableDailySummary[[#This Row],[Fecha]],SummaryDaily[day],SummaryDaily[Rappi_net_sales],0)</f>
        <v>0</v>
      </c>
      <c r="S752" s="11">
        <f>_xlfn.XLOOKUP(TableDailySummary[[#This Row],[Fecha]],SummaryDaily[day],SummaryDaily[Rappi_orders],0)</f>
        <v>0</v>
      </c>
      <c r="T752" s="11">
        <f>_xlfn.XLOOKUP(TableDailySummary[[#This Row],[Fecha]],SummaryDaily[day],SummaryDaily[Rappi_average_order_value],0)</f>
        <v>0</v>
      </c>
      <c r="U752" s="11">
        <f>_xlfn.XLOOKUP(TableDailySummary[[#This Row],[Fecha]],SummaryDaily[day],SummaryDaily[Corporativo no tienda_net_sales],0)</f>
        <v>0</v>
      </c>
      <c r="V752" s="11">
        <f>_xlfn.XLOOKUP(TableDailySummary[[#This Row],[Fecha]],SummaryDaily[day],SummaryDaily[Corporativo no tienda_orders],0)</f>
        <v>0</v>
      </c>
      <c r="W752" s="11">
        <f>_xlfn.XLOOKUP(TableDailySummary[[#This Row],[Fecha]],SummaryDaily[day],SummaryDaily[Corporativo no tienda_average_order_value],0)</f>
        <v>0</v>
      </c>
      <c r="X752" s="11">
        <f>_xlfn.XLOOKUP(TableDailySummary[[#This Row],[Fecha]],SummaryDaily[day],SummaryDaily[GoogleAdsOperation.Cost],0)</f>
        <v>0</v>
      </c>
      <c r="Y752" s="11">
        <f>SUMIFS(SalesByUTMDaily[google],SalesByUTMDaily[day],TableDailySummary[[#This Row],[Fecha]])</f>
        <v>0</v>
      </c>
      <c r="Z752" s="11">
        <f>_xlfn.XLOOKUP(TableDailySummary[[#This Row],[Fecha]],SummaryDaily[day],SummaryDaily[MetaAdsOperation.spend],0)</f>
        <v>0</v>
      </c>
      <c r="AA752" s="11">
        <f>SUMIFS(SalesByUTMDaily[facebook],SalesByUTMDaily[day],TableDailySummary[[#This Row],[Fecha]])</f>
        <v>0</v>
      </c>
      <c r="AB752" s="11">
        <f>TableDailySummary[[#This Row],[Inversión google ads]]+TableDailySummary[[#This Row],[Inversión meta ads]]</f>
        <v>0</v>
      </c>
      <c r="AC752" s="11">
        <f>TableDailySummary[[#This Row],[Ventas google ads]]+TableDailySummary[[#This Row],[Ventas meta ads]]</f>
        <v>0</v>
      </c>
      <c r="AD752" s="14">
        <f>IFERROR(TableDailySummary[[#This Row],[Ventas publicidad]]/TableDailySummary[[#This Row],[Inversión publicidad]],0)</f>
        <v>0</v>
      </c>
      <c r="AE752" s="14">
        <f>IFERROR(TableDailySummary[[#This Row],[Ventas primer cliente]]/TableDailySummary[[#This Row],[Inversión publicidad]],0)</f>
        <v>0</v>
      </c>
      <c r="AF752" s="14"/>
      <c r="AG752" s="11"/>
      <c r="AM752" s="11">
        <f>_xlfn.XLOOKUP(TableDailySummary[[#This Row],[Fecha]],SummaryDaily[day],SummaryDaily[net_sales_with_cost_recorded],0)</f>
        <v>0</v>
      </c>
      <c r="AN752" s="11">
        <f>_xlfn.XLOOKUP(TableDailySummary[[#This Row],[Fecha]],SummaryDaily[day],SummaryDaily[cost_of_goods_sold],0)</f>
        <v>0</v>
      </c>
      <c r="AO752" s="11">
        <f>_xlfn.XLOOKUP(TableDailySummary[[#This Row],[Fecha]],SummaryDaily[day],SummaryDaily[gross_profit],0)</f>
        <v>0</v>
      </c>
      <c r="AP752" s="18">
        <f>IFERROR(TableDailySummary[[#This Row],[Utilidad bruta]]/TableDailySummary[[#This Row],[Ventas netas con costo registrado]],0)</f>
        <v>0</v>
      </c>
    </row>
    <row r="753" spans="2:42" x14ac:dyDescent="0.2">
      <c r="B753" s="15" cm="1">
        <f t="array" ref="B753">ParamFechaInicioReporte + (ROW(TableDailySummary[#This Row]) - ROW(TableDailySummary[[#Headers],[Dia]]) - 1)</f>
        <v>45280</v>
      </c>
      <c r="C753" s="6">
        <f>TableDailySummary[[#This Row],[Dia]]</f>
        <v>45280</v>
      </c>
      <c r="D753" s="11">
        <f>_xlfn.XLOOKUP(TableDailySummary[[#This Row],[Fecha]],SummaryDaily[day],SummaryDaily[net_sales],0)</f>
        <v>0</v>
      </c>
      <c r="E753" s="11">
        <f>_xlfn.XLOOKUP(TableDailySummary[[#This Row],[Fecha]],SummaryDaily[day],SummaryDaily[orders],0)</f>
        <v>0</v>
      </c>
      <c r="F753" s="11">
        <f>_xlfn.XLOOKUP(TableDailySummary[[#This Row],[Fecha]],SummaryDaily[day],SummaryDaily[average_order_value],0)</f>
        <v>0</v>
      </c>
      <c r="G753" s="24" cm="1">
        <f t="array" ref="G753">_xlfn.XLOOKUP(TableDailySummary[[#This Row],[Fecha]]&amp;"Total site",ConversionRateByReferral[day]&amp;ConversionRateByReferral[referrer_source],ConversionRateByReferral[conversion_rate],0)</f>
        <v>0</v>
      </c>
      <c r="H753" s="11">
        <f>TableDailySummary[[#This Row],[Órden promedio totales]]*TableDailySummary[[#This Row],[CR totales]]</f>
        <v>0</v>
      </c>
      <c r="I753" s="11">
        <f>_xlfn.XLOOKUP(TableDailySummary[[#This Row],[Fecha]],SummaryDaily[day],SummaryDaily[new_net_sales],0)</f>
        <v>0</v>
      </c>
      <c r="J753" s="11">
        <f>_xlfn.XLOOKUP(TableDailySummary[[#This Row],[Fecha]],SummaryDaily[day],SummaryDaily[new_orders],0)</f>
        <v>0</v>
      </c>
      <c r="K753" s="11">
        <f>_xlfn.XLOOKUP(TableDailySummary[[#This Row],[Fecha]],SummaryDaily[day],SummaryDaily[new_average_order_value],0)</f>
        <v>0</v>
      </c>
      <c r="L753" s="11">
        <f>_xlfn.XLOOKUP(TableDailySummary[[#This Row],[Fecha]],SummaryDaily[day],SummaryDaily[Online Store_net_sales],0)</f>
        <v>0</v>
      </c>
      <c r="M753" s="11">
        <f>_xlfn.XLOOKUP(TableDailySummary[[#This Row],[Fecha]],SummaryDaily[day],SummaryDaily[Online Store_orders],0)</f>
        <v>0</v>
      </c>
      <c r="N753" s="11">
        <f>_xlfn.XLOOKUP(TableDailySummary[[#This Row],[Fecha]],SummaryDaily[day],SummaryDaily[Online Store_average_order_value],0)</f>
        <v>0</v>
      </c>
      <c r="O753" s="11">
        <f>_xlfn.XLOOKUP(TableDailySummary[[#This Row],[Fecha]],SummaryDaily[day],SummaryDaily[Tienda 81_net_sales],0)</f>
        <v>0</v>
      </c>
      <c r="P753" s="11">
        <f>_xlfn.XLOOKUP(TableDailySummary[[#This Row],[Fecha]],SummaryDaily[day],SummaryDaily[Tienda 81_orders],0)</f>
        <v>0</v>
      </c>
      <c r="Q753" s="11">
        <f>_xlfn.XLOOKUP(TableDailySummary[[#This Row],[Fecha]],SummaryDaily[day],SummaryDaily[Tienda 81_average_order_value],0)</f>
        <v>0</v>
      </c>
      <c r="R753" s="11">
        <f>_xlfn.XLOOKUP(TableDailySummary[[#This Row],[Fecha]],SummaryDaily[day],SummaryDaily[Rappi_net_sales],0)</f>
        <v>0</v>
      </c>
      <c r="S753" s="11">
        <f>_xlfn.XLOOKUP(TableDailySummary[[#This Row],[Fecha]],SummaryDaily[day],SummaryDaily[Rappi_orders],0)</f>
        <v>0</v>
      </c>
      <c r="T753" s="11">
        <f>_xlfn.XLOOKUP(TableDailySummary[[#This Row],[Fecha]],SummaryDaily[day],SummaryDaily[Rappi_average_order_value],0)</f>
        <v>0</v>
      </c>
      <c r="U753" s="11">
        <f>_xlfn.XLOOKUP(TableDailySummary[[#This Row],[Fecha]],SummaryDaily[day],SummaryDaily[Corporativo no tienda_net_sales],0)</f>
        <v>0</v>
      </c>
      <c r="V753" s="11">
        <f>_xlfn.XLOOKUP(TableDailySummary[[#This Row],[Fecha]],SummaryDaily[day],SummaryDaily[Corporativo no tienda_orders],0)</f>
        <v>0</v>
      </c>
      <c r="W753" s="11">
        <f>_xlfn.XLOOKUP(TableDailySummary[[#This Row],[Fecha]],SummaryDaily[day],SummaryDaily[Corporativo no tienda_average_order_value],0)</f>
        <v>0</v>
      </c>
      <c r="X753" s="11">
        <f>_xlfn.XLOOKUP(TableDailySummary[[#This Row],[Fecha]],SummaryDaily[day],SummaryDaily[GoogleAdsOperation.Cost],0)</f>
        <v>0</v>
      </c>
      <c r="Y753" s="11">
        <f>SUMIFS(SalesByUTMDaily[google],SalesByUTMDaily[day],TableDailySummary[[#This Row],[Fecha]])</f>
        <v>0</v>
      </c>
      <c r="Z753" s="11">
        <f>_xlfn.XLOOKUP(TableDailySummary[[#This Row],[Fecha]],SummaryDaily[day],SummaryDaily[MetaAdsOperation.spend],0)</f>
        <v>0</v>
      </c>
      <c r="AA753" s="11">
        <f>SUMIFS(SalesByUTMDaily[facebook],SalesByUTMDaily[day],TableDailySummary[[#This Row],[Fecha]])</f>
        <v>0</v>
      </c>
      <c r="AB753" s="11">
        <f>TableDailySummary[[#This Row],[Inversión google ads]]+TableDailySummary[[#This Row],[Inversión meta ads]]</f>
        <v>0</v>
      </c>
      <c r="AC753" s="11">
        <f>TableDailySummary[[#This Row],[Ventas google ads]]+TableDailySummary[[#This Row],[Ventas meta ads]]</f>
        <v>0</v>
      </c>
      <c r="AD753" s="14">
        <f>IFERROR(TableDailySummary[[#This Row],[Ventas publicidad]]/TableDailySummary[[#This Row],[Inversión publicidad]],0)</f>
        <v>0</v>
      </c>
      <c r="AE753" s="14">
        <f>IFERROR(TableDailySummary[[#This Row],[Ventas primer cliente]]/TableDailySummary[[#This Row],[Inversión publicidad]],0)</f>
        <v>0</v>
      </c>
      <c r="AF753" s="14"/>
      <c r="AG753" s="11"/>
      <c r="AM753" s="11">
        <f>_xlfn.XLOOKUP(TableDailySummary[[#This Row],[Fecha]],SummaryDaily[day],SummaryDaily[net_sales_with_cost_recorded],0)</f>
        <v>0</v>
      </c>
      <c r="AN753" s="11">
        <f>_xlfn.XLOOKUP(TableDailySummary[[#This Row],[Fecha]],SummaryDaily[day],SummaryDaily[cost_of_goods_sold],0)</f>
        <v>0</v>
      </c>
      <c r="AO753" s="11">
        <f>_xlfn.XLOOKUP(TableDailySummary[[#This Row],[Fecha]],SummaryDaily[day],SummaryDaily[gross_profit],0)</f>
        <v>0</v>
      </c>
      <c r="AP753" s="18">
        <f>IFERROR(TableDailySummary[[#This Row],[Utilidad bruta]]/TableDailySummary[[#This Row],[Ventas netas con costo registrado]],0)</f>
        <v>0</v>
      </c>
    </row>
    <row r="754" spans="2:42" x14ac:dyDescent="0.2">
      <c r="B754" s="15" cm="1">
        <f t="array" ref="B754">ParamFechaInicioReporte + (ROW(TableDailySummary[#This Row]) - ROW(TableDailySummary[[#Headers],[Dia]]) - 1)</f>
        <v>45281</v>
      </c>
      <c r="C754" s="6">
        <f>TableDailySummary[[#This Row],[Dia]]</f>
        <v>45281</v>
      </c>
      <c r="D754" s="11">
        <f>_xlfn.XLOOKUP(TableDailySummary[[#This Row],[Fecha]],SummaryDaily[day],SummaryDaily[net_sales],0)</f>
        <v>0</v>
      </c>
      <c r="E754" s="11">
        <f>_xlfn.XLOOKUP(TableDailySummary[[#This Row],[Fecha]],SummaryDaily[day],SummaryDaily[orders],0)</f>
        <v>0</v>
      </c>
      <c r="F754" s="11">
        <f>_xlfn.XLOOKUP(TableDailySummary[[#This Row],[Fecha]],SummaryDaily[day],SummaryDaily[average_order_value],0)</f>
        <v>0</v>
      </c>
      <c r="G754" s="24" cm="1">
        <f t="array" ref="G754">_xlfn.XLOOKUP(TableDailySummary[[#This Row],[Fecha]]&amp;"Total site",ConversionRateByReferral[day]&amp;ConversionRateByReferral[referrer_source],ConversionRateByReferral[conversion_rate],0)</f>
        <v>0</v>
      </c>
      <c r="H754" s="11">
        <f>TableDailySummary[[#This Row],[Órden promedio totales]]*TableDailySummary[[#This Row],[CR totales]]</f>
        <v>0</v>
      </c>
      <c r="I754" s="11">
        <f>_xlfn.XLOOKUP(TableDailySummary[[#This Row],[Fecha]],SummaryDaily[day],SummaryDaily[new_net_sales],0)</f>
        <v>0</v>
      </c>
      <c r="J754" s="11">
        <f>_xlfn.XLOOKUP(TableDailySummary[[#This Row],[Fecha]],SummaryDaily[day],SummaryDaily[new_orders],0)</f>
        <v>0</v>
      </c>
      <c r="K754" s="11">
        <f>_xlfn.XLOOKUP(TableDailySummary[[#This Row],[Fecha]],SummaryDaily[day],SummaryDaily[new_average_order_value],0)</f>
        <v>0</v>
      </c>
      <c r="L754" s="11">
        <f>_xlfn.XLOOKUP(TableDailySummary[[#This Row],[Fecha]],SummaryDaily[day],SummaryDaily[Online Store_net_sales],0)</f>
        <v>0</v>
      </c>
      <c r="M754" s="11">
        <f>_xlfn.XLOOKUP(TableDailySummary[[#This Row],[Fecha]],SummaryDaily[day],SummaryDaily[Online Store_orders],0)</f>
        <v>0</v>
      </c>
      <c r="N754" s="11">
        <f>_xlfn.XLOOKUP(TableDailySummary[[#This Row],[Fecha]],SummaryDaily[day],SummaryDaily[Online Store_average_order_value],0)</f>
        <v>0</v>
      </c>
      <c r="O754" s="11">
        <f>_xlfn.XLOOKUP(TableDailySummary[[#This Row],[Fecha]],SummaryDaily[day],SummaryDaily[Tienda 81_net_sales],0)</f>
        <v>0</v>
      </c>
      <c r="P754" s="11">
        <f>_xlfn.XLOOKUP(TableDailySummary[[#This Row],[Fecha]],SummaryDaily[day],SummaryDaily[Tienda 81_orders],0)</f>
        <v>0</v>
      </c>
      <c r="Q754" s="11">
        <f>_xlfn.XLOOKUP(TableDailySummary[[#This Row],[Fecha]],SummaryDaily[day],SummaryDaily[Tienda 81_average_order_value],0)</f>
        <v>0</v>
      </c>
      <c r="R754" s="11">
        <f>_xlfn.XLOOKUP(TableDailySummary[[#This Row],[Fecha]],SummaryDaily[day],SummaryDaily[Rappi_net_sales],0)</f>
        <v>0</v>
      </c>
      <c r="S754" s="11">
        <f>_xlfn.XLOOKUP(TableDailySummary[[#This Row],[Fecha]],SummaryDaily[day],SummaryDaily[Rappi_orders],0)</f>
        <v>0</v>
      </c>
      <c r="T754" s="11">
        <f>_xlfn.XLOOKUP(TableDailySummary[[#This Row],[Fecha]],SummaryDaily[day],SummaryDaily[Rappi_average_order_value],0)</f>
        <v>0</v>
      </c>
      <c r="U754" s="11">
        <f>_xlfn.XLOOKUP(TableDailySummary[[#This Row],[Fecha]],SummaryDaily[day],SummaryDaily[Corporativo no tienda_net_sales],0)</f>
        <v>0</v>
      </c>
      <c r="V754" s="11">
        <f>_xlfn.XLOOKUP(TableDailySummary[[#This Row],[Fecha]],SummaryDaily[day],SummaryDaily[Corporativo no tienda_orders],0)</f>
        <v>0</v>
      </c>
      <c r="W754" s="11">
        <f>_xlfn.XLOOKUP(TableDailySummary[[#This Row],[Fecha]],SummaryDaily[day],SummaryDaily[Corporativo no tienda_average_order_value],0)</f>
        <v>0</v>
      </c>
      <c r="X754" s="11">
        <f>_xlfn.XLOOKUP(TableDailySummary[[#This Row],[Fecha]],SummaryDaily[day],SummaryDaily[GoogleAdsOperation.Cost],0)</f>
        <v>0</v>
      </c>
      <c r="Y754" s="11">
        <f>SUMIFS(SalesByUTMDaily[google],SalesByUTMDaily[day],TableDailySummary[[#This Row],[Fecha]])</f>
        <v>0</v>
      </c>
      <c r="Z754" s="11">
        <f>_xlfn.XLOOKUP(TableDailySummary[[#This Row],[Fecha]],SummaryDaily[day],SummaryDaily[MetaAdsOperation.spend],0)</f>
        <v>0</v>
      </c>
      <c r="AA754" s="11">
        <f>SUMIFS(SalesByUTMDaily[facebook],SalesByUTMDaily[day],TableDailySummary[[#This Row],[Fecha]])</f>
        <v>0</v>
      </c>
      <c r="AB754" s="11">
        <f>TableDailySummary[[#This Row],[Inversión google ads]]+TableDailySummary[[#This Row],[Inversión meta ads]]</f>
        <v>0</v>
      </c>
      <c r="AC754" s="11">
        <f>TableDailySummary[[#This Row],[Ventas google ads]]+TableDailySummary[[#This Row],[Ventas meta ads]]</f>
        <v>0</v>
      </c>
      <c r="AD754" s="14">
        <f>IFERROR(TableDailySummary[[#This Row],[Ventas publicidad]]/TableDailySummary[[#This Row],[Inversión publicidad]],0)</f>
        <v>0</v>
      </c>
      <c r="AE754" s="14">
        <f>IFERROR(TableDailySummary[[#This Row],[Ventas primer cliente]]/TableDailySummary[[#This Row],[Inversión publicidad]],0)</f>
        <v>0</v>
      </c>
      <c r="AF754" s="14"/>
      <c r="AG754" s="11"/>
      <c r="AM754" s="11">
        <f>_xlfn.XLOOKUP(TableDailySummary[[#This Row],[Fecha]],SummaryDaily[day],SummaryDaily[net_sales_with_cost_recorded],0)</f>
        <v>0</v>
      </c>
      <c r="AN754" s="11">
        <f>_xlfn.XLOOKUP(TableDailySummary[[#This Row],[Fecha]],SummaryDaily[day],SummaryDaily[cost_of_goods_sold],0)</f>
        <v>0</v>
      </c>
      <c r="AO754" s="11">
        <f>_xlfn.XLOOKUP(TableDailySummary[[#This Row],[Fecha]],SummaryDaily[day],SummaryDaily[gross_profit],0)</f>
        <v>0</v>
      </c>
      <c r="AP754" s="18">
        <f>IFERROR(TableDailySummary[[#This Row],[Utilidad bruta]]/TableDailySummary[[#This Row],[Ventas netas con costo registrado]],0)</f>
        <v>0</v>
      </c>
    </row>
    <row r="755" spans="2:42" x14ac:dyDescent="0.2">
      <c r="B755" s="15" cm="1">
        <f t="array" ref="B755">ParamFechaInicioReporte + (ROW(TableDailySummary[#This Row]) - ROW(TableDailySummary[[#Headers],[Dia]]) - 1)</f>
        <v>45282</v>
      </c>
      <c r="C755" s="6">
        <f>TableDailySummary[[#This Row],[Dia]]</f>
        <v>45282</v>
      </c>
      <c r="D755" s="11">
        <f>_xlfn.XLOOKUP(TableDailySummary[[#This Row],[Fecha]],SummaryDaily[day],SummaryDaily[net_sales],0)</f>
        <v>0</v>
      </c>
      <c r="E755" s="11">
        <f>_xlfn.XLOOKUP(TableDailySummary[[#This Row],[Fecha]],SummaryDaily[day],SummaryDaily[orders],0)</f>
        <v>0</v>
      </c>
      <c r="F755" s="11">
        <f>_xlfn.XLOOKUP(TableDailySummary[[#This Row],[Fecha]],SummaryDaily[day],SummaryDaily[average_order_value],0)</f>
        <v>0</v>
      </c>
      <c r="G755" s="24" cm="1">
        <f t="array" ref="G755">_xlfn.XLOOKUP(TableDailySummary[[#This Row],[Fecha]]&amp;"Total site",ConversionRateByReferral[day]&amp;ConversionRateByReferral[referrer_source],ConversionRateByReferral[conversion_rate],0)</f>
        <v>0</v>
      </c>
      <c r="H755" s="11">
        <f>TableDailySummary[[#This Row],[Órden promedio totales]]*TableDailySummary[[#This Row],[CR totales]]</f>
        <v>0</v>
      </c>
      <c r="I755" s="11">
        <f>_xlfn.XLOOKUP(TableDailySummary[[#This Row],[Fecha]],SummaryDaily[day],SummaryDaily[new_net_sales],0)</f>
        <v>0</v>
      </c>
      <c r="J755" s="11">
        <f>_xlfn.XLOOKUP(TableDailySummary[[#This Row],[Fecha]],SummaryDaily[day],SummaryDaily[new_orders],0)</f>
        <v>0</v>
      </c>
      <c r="K755" s="11">
        <f>_xlfn.XLOOKUP(TableDailySummary[[#This Row],[Fecha]],SummaryDaily[day],SummaryDaily[new_average_order_value],0)</f>
        <v>0</v>
      </c>
      <c r="L755" s="11">
        <f>_xlfn.XLOOKUP(TableDailySummary[[#This Row],[Fecha]],SummaryDaily[day],SummaryDaily[Online Store_net_sales],0)</f>
        <v>0</v>
      </c>
      <c r="M755" s="11">
        <f>_xlfn.XLOOKUP(TableDailySummary[[#This Row],[Fecha]],SummaryDaily[day],SummaryDaily[Online Store_orders],0)</f>
        <v>0</v>
      </c>
      <c r="N755" s="11">
        <f>_xlfn.XLOOKUP(TableDailySummary[[#This Row],[Fecha]],SummaryDaily[day],SummaryDaily[Online Store_average_order_value],0)</f>
        <v>0</v>
      </c>
      <c r="O755" s="11">
        <f>_xlfn.XLOOKUP(TableDailySummary[[#This Row],[Fecha]],SummaryDaily[day],SummaryDaily[Tienda 81_net_sales],0)</f>
        <v>0</v>
      </c>
      <c r="P755" s="11">
        <f>_xlfn.XLOOKUP(TableDailySummary[[#This Row],[Fecha]],SummaryDaily[day],SummaryDaily[Tienda 81_orders],0)</f>
        <v>0</v>
      </c>
      <c r="Q755" s="11">
        <f>_xlfn.XLOOKUP(TableDailySummary[[#This Row],[Fecha]],SummaryDaily[day],SummaryDaily[Tienda 81_average_order_value],0)</f>
        <v>0</v>
      </c>
      <c r="R755" s="11">
        <f>_xlfn.XLOOKUP(TableDailySummary[[#This Row],[Fecha]],SummaryDaily[day],SummaryDaily[Rappi_net_sales],0)</f>
        <v>0</v>
      </c>
      <c r="S755" s="11">
        <f>_xlfn.XLOOKUP(TableDailySummary[[#This Row],[Fecha]],SummaryDaily[day],SummaryDaily[Rappi_orders],0)</f>
        <v>0</v>
      </c>
      <c r="T755" s="11">
        <f>_xlfn.XLOOKUP(TableDailySummary[[#This Row],[Fecha]],SummaryDaily[day],SummaryDaily[Rappi_average_order_value],0)</f>
        <v>0</v>
      </c>
      <c r="U755" s="11">
        <f>_xlfn.XLOOKUP(TableDailySummary[[#This Row],[Fecha]],SummaryDaily[day],SummaryDaily[Corporativo no tienda_net_sales],0)</f>
        <v>0</v>
      </c>
      <c r="V755" s="11">
        <f>_xlfn.XLOOKUP(TableDailySummary[[#This Row],[Fecha]],SummaryDaily[day],SummaryDaily[Corporativo no tienda_orders],0)</f>
        <v>0</v>
      </c>
      <c r="W755" s="11">
        <f>_xlfn.XLOOKUP(TableDailySummary[[#This Row],[Fecha]],SummaryDaily[day],SummaryDaily[Corporativo no tienda_average_order_value],0)</f>
        <v>0</v>
      </c>
      <c r="X755" s="11">
        <f>_xlfn.XLOOKUP(TableDailySummary[[#This Row],[Fecha]],SummaryDaily[day],SummaryDaily[GoogleAdsOperation.Cost],0)</f>
        <v>0</v>
      </c>
      <c r="Y755" s="11">
        <f>SUMIFS(SalesByUTMDaily[google],SalesByUTMDaily[day],TableDailySummary[[#This Row],[Fecha]])</f>
        <v>0</v>
      </c>
      <c r="Z755" s="11">
        <f>_xlfn.XLOOKUP(TableDailySummary[[#This Row],[Fecha]],SummaryDaily[day],SummaryDaily[MetaAdsOperation.spend],0)</f>
        <v>0</v>
      </c>
      <c r="AA755" s="11">
        <f>SUMIFS(SalesByUTMDaily[facebook],SalesByUTMDaily[day],TableDailySummary[[#This Row],[Fecha]])</f>
        <v>0</v>
      </c>
      <c r="AB755" s="11">
        <f>TableDailySummary[[#This Row],[Inversión google ads]]+TableDailySummary[[#This Row],[Inversión meta ads]]</f>
        <v>0</v>
      </c>
      <c r="AC755" s="11">
        <f>TableDailySummary[[#This Row],[Ventas google ads]]+TableDailySummary[[#This Row],[Ventas meta ads]]</f>
        <v>0</v>
      </c>
      <c r="AD755" s="14">
        <f>IFERROR(TableDailySummary[[#This Row],[Ventas publicidad]]/TableDailySummary[[#This Row],[Inversión publicidad]],0)</f>
        <v>0</v>
      </c>
      <c r="AE755" s="14">
        <f>IFERROR(TableDailySummary[[#This Row],[Ventas primer cliente]]/TableDailySummary[[#This Row],[Inversión publicidad]],0)</f>
        <v>0</v>
      </c>
      <c r="AF755" s="14"/>
      <c r="AG755" s="11"/>
      <c r="AM755" s="11">
        <f>_xlfn.XLOOKUP(TableDailySummary[[#This Row],[Fecha]],SummaryDaily[day],SummaryDaily[net_sales_with_cost_recorded],0)</f>
        <v>0</v>
      </c>
      <c r="AN755" s="11">
        <f>_xlfn.XLOOKUP(TableDailySummary[[#This Row],[Fecha]],SummaryDaily[day],SummaryDaily[cost_of_goods_sold],0)</f>
        <v>0</v>
      </c>
      <c r="AO755" s="11">
        <f>_xlfn.XLOOKUP(TableDailySummary[[#This Row],[Fecha]],SummaryDaily[day],SummaryDaily[gross_profit],0)</f>
        <v>0</v>
      </c>
      <c r="AP755" s="18">
        <f>IFERROR(TableDailySummary[[#This Row],[Utilidad bruta]]/TableDailySummary[[#This Row],[Ventas netas con costo registrado]],0)</f>
        <v>0</v>
      </c>
    </row>
    <row r="756" spans="2:42" x14ac:dyDescent="0.2">
      <c r="B756" s="15" cm="1">
        <f t="array" ref="B756">ParamFechaInicioReporte + (ROW(TableDailySummary[#This Row]) - ROW(TableDailySummary[[#Headers],[Dia]]) - 1)</f>
        <v>45283</v>
      </c>
      <c r="C756" s="6">
        <f>TableDailySummary[[#This Row],[Dia]]</f>
        <v>45283</v>
      </c>
      <c r="D756" s="11">
        <f>_xlfn.XLOOKUP(TableDailySummary[[#This Row],[Fecha]],SummaryDaily[day],SummaryDaily[net_sales],0)</f>
        <v>0</v>
      </c>
      <c r="E756" s="11">
        <f>_xlfn.XLOOKUP(TableDailySummary[[#This Row],[Fecha]],SummaryDaily[day],SummaryDaily[orders],0)</f>
        <v>0</v>
      </c>
      <c r="F756" s="11">
        <f>_xlfn.XLOOKUP(TableDailySummary[[#This Row],[Fecha]],SummaryDaily[day],SummaryDaily[average_order_value],0)</f>
        <v>0</v>
      </c>
      <c r="G756" s="24" cm="1">
        <f t="array" ref="G756">_xlfn.XLOOKUP(TableDailySummary[[#This Row],[Fecha]]&amp;"Total site",ConversionRateByReferral[day]&amp;ConversionRateByReferral[referrer_source],ConversionRateByReferral[conversion_rate],0)</f>
        <v>0</v>
      </c>
      <c r="H756" s="11">
        <f>TableDailySummary[[#This Row],[Órden promedio totales]]*TableDailySummary[[#This Row],[CR totales]]</f>
        <v>0</v>
      </c>
      <c r="I756" s="11">
        <f>_xlfn.XLOOKUP(TableDailySummary[[#This Row],[Fecha]],SummaryDaily[day],SummaryDaily[new_net_sales],0)</f>
        <v>0</v>
      </c>
      <c r="J756" s="11">
        <f>_xlfn.XLOOKUP(TableDailySummary[[#This Row],[Fecha]],SummaryDaily[day],SummaryDaily[new_orders],0)</f>
        <v>0</v>
      </c>
      <c r="K756" s="11">
        <f>_xlfn.XLOOKUP(TableDailySummary[[#This Row],[Fecha]],SummaryDaily[day],SummaryDaily[new_average_order_value],0)</f>
        <v>0</v>
      </c>
      <c r="L756" s="11">
        <f>_xlfn.XLOOKUP(TableDailySummary[[#This Row],[Fecha]],SummaryDaily[day],SummaryDaily[Online Store_net_sales],0)</f>
        <v>0</v>
      </c>
      <c r="M756" s="11">
        <f>_xlfn.XLOOKUP(TableDailySummary[[#This Row],[Fecha]],SummaryDaily[day],SummaryDaily[Online Store_orders],0)</f>
        <v>0</v>
      </c>
      <c r="N756" s="11">
        <f>_xlfn.XLOOKUP(TableDailySummary[[#This Row],[Fecha]],SummaryDaily[day],SummaryDaily[Online Store_average_order_value],0)</f>
        <v>0</v>
      </c>
      <c r="O756" s="11">
        <f>_xlfn.XLOOKUP(TableDailySummary[[#This Row],[Fecha]],SummaryDaily[day],SummaryDaily[Tienda 81_net_sales],0)</f>
        <v>0</v>
      </c>
      <c r="P756" s="11">
        <f>_xlfn.XLOOKUP(TableDailySummary[[#This Row],[Fecha]],SummaryDaily[day],SummaryDaily[Tienda 81_orders],0)</f>
        <v>0</v>
      </c>
      <c r="Q756" s="11">
        <f>_xlfn.XLOOKUP(TableDailySummary[[#This Row],[Fecha]],SummaryDaily[day],SummaryDaily[Tienda 81_average_order_value],0)</f>
        <v>0</v>
      </c>
      <c r="R756" s="11">
        <f>_xlfn.XLOOKUP(TableDailySummary[[#This Row],[Fecha]],SummaryDaily[day],SummaryDaily[Rappi_net_sales],0)</f>
        <v>0</v>
      </c>
      <c r="S756" s="11">
        <f>_xlfn.XLOOKUP(TableDailySummary[[#This Row],[Fecha]],SummaryDaily[day],SummaryDaily[Rappi_orders],0)</f>
        <v>0</v>
      </c>
      <c r="T756" s="11">
        <f>_xlfn.XLOOKUP(TableDailySummary[[#This Row],[Fecha]],SummaryDaily[day],SummaryDaily[Rappi_average_order_value],0)</f>
        <v>0</v>
      </c>
      <c r="U756" s="11">
        <f>_xlfn.XLOOKUP(TableDailySummary[[#This Row],[Fecha]],SummaryDaily[day],SummaryDaily[Corporativo no tienda_net_sales],0)</f>
        <v>0</v>
      </c>
      <c r="V756" s="11">
        <f>_xlfn.XLOOKUP(TableDailySummary[[#This Row],[Fecha]],SummaryDaily[day],SummaryDaily[Corporativo no tienda_orders],0)</f>
        <v>0</v>
      </c>
      <c r="W756" s="11">
        <f>_xlfn.XLOOKUP(TableDailySummary[[#This Row],[Fecha]],SummaryDaily[day],SummaryDaily[Corporativo no tienda_average_order_value],0)</f>
        <v>0</v>
      </c>
      <c r="X756" s="11">
        <f>_xlfn.XLOOKUP(TableDailySummary[[#This Row],[Fecha]],SummaryDaily[day],SummaryDaily[GoogleAdsOperation.Cost],0)</f>
        <v>0</v>
      </c>
      <c r="Y756" s="11">
        <f>SUMIFS(SalesByUTMDaily[google],SalesByUTMDaily[day],TableDailySummary[[#This Row],[Fecha]])</f>
        <v>0</v>
      </c>
      <c r="Z756" s="11">
        <f>_xlfn.XLOOKUP(TableDailySummary[[#This Row],[Fecha]],SummaryDaily[day],SummaryDaily[MetaAdsOperation.spend],0)</f>
        <v>0</v>
      </c>
      <c r="AA756" s="11">
        <f>SUMIFS(SalesByUTMDaily[facebook],SalesByUTMDaily[day],TableDailySummary[[#This Row],[Fecha]])</f>
        <v>0</v>
      </c>
      <c r="AB756" s="11">
        <f>TableDailySummary[[#This Row],[Inversión google ads]]+TableDailySummary[[#This Row],[Inversión meta ads]]</f>
        <v>0</v>
      </c>
      <c r="AC756" s="11">
        <f>TableDailySummary[[#This Row],[Ventas google ads]]+TableDailySummary[[#This Row],[Ventas meta ads]]</f>
        <v>0</v>
      </c>
      <c r="AD756" s="14">
        <f>IFERROR(TableDailySummary[[#This Row],[Ventas publicidad]]/TableDailySummary[[#This Row],[Inversión publicidad]],0)</f>
        <v>0</v>
      </c>
      <c r="AE756" s="14">
        <f>IFERROR(TableDailySummary[[#This Row],[Ventas primer cliente]]/TableDailySummary[[#This Row],[Inversión publicidad]],0)</f>
        <v>0</v>
      </c>
      <c r="AF756" s="14"/>
      <c r="AG756" s="11"/>
      <c r="AM756" s="11">
        <f>_xlfn.XLOOKUP(TableDailySummary[[#This Row],[Fecha]],SummaryDaily[day],SummaryDaily[net_sales_with_cost_recorded],0)</f>
        <v>0</v>
      </c>
      <c r="AN756" s="11">
        <f>_xlfn.XLOOKUP(TableDailySummary[[#This Row],[Fecha]],SummaryDaily[day],SummaryDaily[cost_of_goods_sold],0)</f>
        <v>0</v>
      </c>
      <c r="AO756" s="11">
        <f>_xlfn.XLOOKUP(TableDailySummary[[#This Row],[Fecha]],SummaryDaily[day],SummaryDaily[gross_profit],0)</f>
        <v>0</v>
      </c>
      <c r="AP756" s="18">
        <f>IFERROR(TableDailySummary[[#This Row],[Utilidad bruta]]/TableDailySummary[[#This Row],[Ventas netas con costo registrado]],0)</f>
        <v>0</v>
      </c>
    </row>
    <row r="757" spans="2:42" x14ac:dyDescent="0.2">
      <c r="B757" s="15" cm="1">
        <f t="array" ref="B757">ParamFechaInicioReporte + (ROW(TableDailySummary[#This Row]) - ROW(TableDailySummary[[#Headers],[Dia]]) - 1)</f>
        <v>45284</v>
      </c>
      <c r="C757" s="6">
        <f>TableDailySummary[[#This Row],[Dia]]</f>
        <v>45284</v>
      </c>
      <c r="D757" s="11">
        <f>_xlfn.XLOOKUP(TableDailySummary[[#This Row],[Fecha]],SummaryDaily[day],SummaryDaily[net_sales],0)</f>
        <v>0</v>
      </c>
      <c r="E757" s="11">
        <f>_xlfn.XLOOKUP(TableDailySummary[[#This Row],[Fecha]],SummaryDaily[day],SummaryDaily[orders],0)</f>
        <v>0</v>
      </c>
      <c r="F757" s="11">
        <f>_xlfn.XLOOKUP(TableDailySummary[[#This Row],[Fecha]],SummaryDaily[day],SummaryDaily[average_order_value],0)</f>
        <v>0</v>
      </c>
      <c r="G757" s="24" cm="1">
        <f t="array" ref="G757">_xlfn.XLOOKUP(TableDailySummary[[#This Row],[Fecha]]&amp;"Total site",ConversionRateByReferral[day]&amp;ConversionRateByReferral[referrer_source],ConversionRateByReferral[conversion_rate],0)</f>
        <v>0</v>
      </c>
      <c r="H757" s="11">
        <f>TableDailySummary[[#This Row],[Órden promedio totales]]*TableDailySummary[[#This Row],[CR totales]]</f>
        <v>0</v>
      </c>
      <c r="I757" s="11">
        <f>_xlfn.XLOOKUP(TableDailySummary[[#This Row],[Fecha]],SummaryDaily[day],SummaryDaily[new_net_sales],0)</f>
        <v>0</v>
      </c>
      <c r="J757" s="11">
        <f>_xlfn.XLOOKUP(TableDailySummary[[#This Row],[Fecha]],SummaryDaily[day],SummaryDaily[new_orders],0)</f>
        <v>0</v>
      </c>
      <c r="K757" s="11">
        <f>_xlfn.XLOOKUP(TableDailySummary[[#This Row],[Fecha]],SummaryDaily[day],SummaryDaily[new_average_order_value],0)</f>
        <v>0</v>
      </c>
      <c r="L757" s="11">
        <f>_xlfn.XLOOKUP(TableDailySummary[[#This Row],[Fecha]],SummaryDaily[day],SummaryDaily[Online Store_net_sales],0)</f>
        <v>0</v>
      </c>
      <c r="M757" s="11">
        <f>_xlfn.XLOOKUP(TableDailySummary[[#This Row],[Fecha]],SummaryDaily[day],SummaryDaily[Online Store_orders],0)</f>
        <v>0</v>
      </c>
      <c r="N757" s="11">
        <f>_xlfn.XLOOKUP(TableDailySummary[[#This Row],[Fecha]],SummaryDaily[day],SummaryDaily[Online Store_average_order_value],0)</f>
        <v>0</v>
      </c>
      <c r="O757" s="11">
        <f>_xlfn.XLOOKUP(TableDailySummary[[#This Row],[Fecha]],SummaryDaily[day],SummaryDaily[Tienda 81_net_sales],0)</f>
        <v>0</v>
      </c>
      <c r="P757" s="11">
        <f>_xlfn.XLOOKUP(TableDailySummary[[#This Row],[Fecha]],SummaryDaily[day],SummaryDaily[Tienda 81_orders],0)</f>
        <v>0</v>
      </c>
      <c r="Q757" s="11">
        <f>_xlfn.XLOOKUP(TableDailySummary[[#This Row],[Fecha]],SummaryDaily[day],SummaryDaily[Tienda 81_average_order_value],0)</f>
        <v>0</v>
      </c>
      <c r="R757" s="11">
        <f>_xlfn.XLOOKUP(TableDailySummary[[#This Row],[Fecha]],SummaryDaily[day],SummaryDaily[Rappi_net_sales],0)</f>
        <v>0</v>
      </c>
      <c r="S757" s="11">
        <f>_xlfn.XLOOKUP(TableDailySummary[[#This Row],[Fecha]],SummaryDaily[day],SummaryDaily[Rappi_orders],0)</f>
        <v>0</v>
      </c>
      <c r="T757" s="11">
        <f>_xlfn.XLOOKUP(TableDailySummary[[#This Row],[Fecha]],SummaryDaily[day],SummaryDaily[Rappi_average_order_value],0)</f>
        <v>0</v>
      </c>
      <c r="U757" s="11">
        <f>_xlfn.XLOOKUP(TableDailySummary[[#This Row],[Fecha]],SummaryDaily[day],SummaryDaily[Corporativo no tienda_net_sales],0)</f>
        <v>0</v>
      </c>
      <c r="V757" s="11">
        <f>_xlfn.XLOOKUP(TableDailySummary[[#This Row],[Fecha]],SummaryDaily[day],SummaryDaily[Corporativo no tienda_orders],0)</f>
        <v>0</v>
      </c>
      <c r="W757" s="11">
        <f>_xlfn.XLOOKUP(TableDailySummary[[#This Row],[Fecha]],SummaryDaily[day],SummaryDaily[Corporativo no tienda_average_order_value],0)</f>
        <v>0</v>
      </c>
      <c r="X757" s="11">
        <f>_xlfn.XLOOKUP(TableDailySummary[[#This Row],[Fecha]],SummaryDaily[day],SummaryDaily[GoogleAdsOperation.Cost],0)</f>
        <v>0</v>
      </c>
      <c r="Y757" s="11">
        <f>SUMIFS(SalesByUTMDaily[google],SalesByUTMDaily[day],TableDailySummary[[#This Row],[Fecha]])</f>
        <v>0</v>
      </c>
      <c r="Z757" s="11">
        <f>_xlfn.XLOOKUP(TableDailySummary[[#This Row],[Fecha]],SummaryDaily[day],SummaryDaily[MetaAdsOperation.spend],0)</f>
        <v>0</v>
      </c>
      <c r="AA757" s="11">
        <f>SUMIFS(SalesByUTMDaily[facebook],SalesByUTMDaily[day],TableDailySummary[[#This Row],[Fecha]])</f>
        <v>0</v>
      </c>
      <c r="AB757" s="11">
        <f>TableDailySummary[[#This Row],[Inversión google ads]]+TableDailySummary[[#This Row],[Inversión meta ads]]</f>
        <v>0</v>
      </c>
      <c r="AC757" s="11">
        <f>TableDailySummary[[#This Row],[Ventas google ads]]+TableDailySummary[[#This Row],[Ventas meta ads]]</f>
        <v>0</v>
      </c>
      <c r="AD757" s="14">
        <f>IFERROR(TableDailySummary[[#This Row],[Ventas publicidad]]/TableDailySummary[[#This Row],[Inversión publicidad]],0)</f>
        <v>0</v>
      </c>
      <c r="AE757" s="14">
        <f>IFERROR(TableDailySummary[[#This Row],[Ventas primer cliente]]/TableDailySummary[[#This Row],[Inversión publicidad]],0)</f>
        <v>0</v>
      </c>
      <c r="AF757" s="14"/>
      <c r="AG757" s="11"/>
      <c r="AM757" s="11">
        <f>_xlfn.XLOOKUP(TableDailySummary[[#This Row],[Fecha]],SummaryDaily[day],SummaryDaily[net_sales_with_cost_recorded],0)</f>
        <v>0</v>
      </c>
      <c r="AN757" s="11">
        <f>_xlfn.XLOOKUP(TableDailySummary[[#This Row],[Fecha]],SummaryDaily[day],SummaryDaily[cost_of_goods_sold],0)</f>
        <v>0</v>
      </c>
      <c r="AO757" s="11">
        <f>_xlfn.XLOOKUP(TableDailySummary[[#This Row],[Fecha]],SummaryDaily[day],SummaryDaily[gross_profit],0)</f>
        <v>0</v>
      </c>
      <c r="AP757" s="18">
        <f>IFERROR(TableDailySummary[[#This Row],[Utilidad bruta]]/TableDailySummary[[#This Row],[Ventas netas con costo registrado]],0)</f>
        <v>0</v>
      </c>
    </row>
    <row r="758" spans="2:42" x14ac:dyDescent="0.2">
      <c r="B758" s="15" cm="1">
        <f t="array" ref="B758">ParamFechaInicioReporte + (ROW(TableDailySummary[#This Row]) - ROW(TableDailySummary[[#Headers],[Dia]]) - 1)</f>
        <v>45285</v>
      </c>
      <c r="C758" s="6">
        <f>TableDailySummary[[#This Row],[Dia]]</f>
        <v>45285</v>
      </c>
      <c r="D758" s="11">
        <f>_xlfn.XLOOKUP(TableDailySummary[[#This Row],[Fecha]],SummaryDaily[day],SummaryDaily[net_sales],0)</f>
        <v>0</v>
      </c>
      <c r="E758" s="11">
        <f>_xlfn.XLOOKUP(TableDailySummary[[#This Row],[Fecha]],SummaryDaily[day],SummaryDaily[orders],0)</f>
        <v>0</v>
      </c>
      <c r="F758" s="11">
        <f>_xlfn.XLOOKUP(TableDailySummary[[#This Row],[Fecha]],SummaryDaily[day],SummaryDaily[average_order_value],0)</f>
        <v>0</v>
      </c>
      <c r="G758" s="24" cm="1">
        <f t="array" ref="G758">_xlfn.XLOOKUP(TableDailySummary[[#This Row],[Fecha]]&amp;"Total site",ConversionRateByReferral[day]&amp;ConversionRateByReferral[referrer_source],ConversionRateByReferral[conversion_rate],0)</f>
        <v>0</v>
      </c>
      <c r="H758" s="11">
        <f>TableDailySummary[[#This Row],[Órden promedio totales]]*TableDailySummary[[#This Row],[CR totales]]</f>
        <v>0</v>
      </c>
      <c r="I758" s="11">
        <f>_xlfn.XLOOKUP(TableDailySummary[[#This Row],[Fecha]],SummaryDaily[day],SummaryDaily[new_net_sales],0)</f>
        <v>0</v>
      </c>
      <c r="J758" s="11">
        <f>_xlfn.XLOOKUP(TableDailySummary[[#This Row],[Fecha]],SummaryDaily[day],SummaryDaily[new_orders],0)</f>
        <v>0</v>
      </c>
      <c r="K758" s="11">
        <f>_xlfn.XLOOKUP(TableDailySummary[[#This Row],[Fecha]],SummaryDaily[day],SummaryDaily[new_average_order_value],0)</f>
        <v>0</v>
      </c>
      <c r="L758" s="11">
        <f>_xlfn.XLOOKUP(TableDailySummary[[#This Row],[Fecha]],SummaryDaily[day],SummaryDaily[Online Store_net_sales],0)</f>
        <v>0</v>
      </c>
      <c r="M758" s="11">
        <f>_xlfn.XLOOKUP(TableDailySummary[[#This Row],[Fecha]],SummaryDaily[day],SummaryDaily[Online Store_orders],0)</f>
        <v>0</v>
      </c>
      <c r="N758" s="11">
        <f>_xlfn.XLOOKUP(TableDailySummary[[#This Row],[Fecha]],SummaryDaily[day],SummaryDaily[Online Store_average_order_value],0)</f>
        <v>0</v>
      </c>
      <c r="O758" s="11">
        <f>_xlfn.XLOOKUP(TableDailySummary[[#This Row],[Fecha]],SummaryDaily[day],SummaryDaily[Tienda 81_net_sales],0)</f>
        <v>0</v>
      </c>
      <c r="P758" s="11">
        <f>_xlfn.XLOOKUP(TableDailySummary[[#This Row],[Fecha]],SummaryDaily[day],SummaryDaily[Tienda 81_orders],0)</f>
        <v>0</v>
      </c>
      <c r="Q758" s="11">
        <f>_xlfn.XLOOKUP(TableDailySummary[[#This Row],[Fecha]],SummaryDaily[day],SummaryDaily[Tienda 81_average_order_value],0)</f>
        <v>0</v>
      </c>
      <c r="R758" s="11">
        <f>_xlfn.XLOOKUP(TableDailySummary[[#This Row],[Fecha]],SummaryDaily[day],SummaryDaily[Rappi_net_sales],0)</f>
        <v>0</v>
      </c>
      <c r="S758" s="11">
        <f>_xlfn.XLOOKUP(TableDailySummary[[#This Row],[Fecha]],SummaryDaily[day],SummaryDaily[Rappi_orders],0)</f>
        <v>0</v>
      </c>
      <c r="T758" s="11">
        <f>_xlfn.XLOOKUP(TableDailySummary[[#This Row],[Fecha]],SummaryDaily[day],SummaryDaily[Rappi_average_order_value],0)</f>
        <v>0</v>
      </c>
      <c r="U758" s="11">
        <f>_xlfn.XLOOKUP(TableDailySummary[[#This Row],[Fecha]],SummaryDaily[day],SummaryDaily[Corporativo no tienda_net_sales],0)</f>
        <v>0</v>
      </c>
      <c r="V758" s="11">
        <f>_xlfn.XLOOKUP(TableDailySummary[[#This Row],[Fecha]],SummaryDaily[day],SummaryDaily[Corporativo no tienda_orders],0)</f>
        <v>0</v>
      </c>
      <c r="W758" s="11">
        <f>_xlfn.XLOOKUP(TableDailySummary[[#This Row],[Fecha]],SummaryDaily[day],SummaryDaily[Corporativo no tienda_average_order_value],0)</f>
        <v>0</v>
      </c>
      <c r="X758" s="11">
        <f>_xlfn.XLOOKUP(TableDailySummary[[#This Row],[Fecha]],SummaryDaily[day],SummaryDaily[GoogleAdsOperation.Cost],0)</f>
        <v>0</v>
      </c>
      <c r="Y758" s="11">
        <f>SUMIFS(SalesByUTMDaily[google],SalesByUTMDaily[day],TableDailySummary[[#This Row],[Fecha]])</f>
        <v>0</v>
      </c>
      <c r="Z758" s="11">
        <f>_xlfn.XLOOKUP(TableDailySummary[[#This Row],[Fecha]],SummaryDaily[day],SummaryDaily[MetaAdsOperation.spend],0)</f>
        <v>0</v>
      </c>
      <c r="AA758" s="11">
        <f>SUMIFS(SalesByUTMDaily[facebook],SalesByUTMDaily[day],TableDailySummary[[#This Row],[Fecha]])</f>
        <v>0</v>
      </c>
      <c r="AB758" s="11">
        <f>TableDailySummary[[#This Row],[Inversión google ads]]+TableDailySummary[[#This Row],[Inversión meta ads]]</f>
        <v>0</v>
      </c>
      <c r="AC758" s="11">
        <f>TableDailySummary[[#This Row],[Ventas google ads]]+TableDailySummary[[#This Row],[Ventas meta ads]]</f>
        <v>0</v>
      </c>
      <c r="AD758" s="14">
        <f>IFERROR(TableDailySummary[[#This Row],[Ventas publicidad]]/TableDailySummary[[#This Row],[Inversión publicidad]],0)</f>
        <v>0</v>
      </c>
      <c r="AE758" s="14">
        <f>IFERROR(TableDailySummary[[#This Row],[Ventas primer cliente]]/TableDailySummary[[#This Row],[Inversión publicidad]],0)</f>
        <v>0</v>
      </c>
      <c r="AF758" s="14"/>
      <c r="AG758" s="11"/>
      <c r="AM758" s="11">
        <f>_xlfn.XLOOKUP(TableDailySummary[[#This Row],[Fecha]],SummaryDaily[day],SummaryDaily[net_sales_with_cost_recorded],0)</f>
        <v>0</v>
      </c>
      <c r="AN758" s="11">
        <f>_xlfn.XLOOKUP(TableDailySummary[[#This Row],[Fecha]],SummaryDaily[day],SummaryDaily[cost_of_goods_sold],0)</f>
        <v>0</v>
      </c>
      <c r="AO758" s="11">
        <f>_xlfn.XLOOKUP(TableDailySummary[[#This Row],[Fecha]],SummaryDaily[day],SummaryDaily[gross_profit],0)</f>
        <v>0</v>
      </c>
      <c r="AP758" s="18">
        <f>IFERROR(TableDailySummary[[#This Row],[Utilidad bruta]]/TableDailySummary[[#This Row],[Ventas netas con costo registrado]],0)</f>
        <v>0</v>
      </c>
    </row>
    <row r="759" spans="2:42" x14ac:dyDescent="0.2">
      <c r="B759" s="15" cm="1">
        <f t="array" ref="B759">ParamFechaInicioReporte + (ROW(TableDailySummary[#This Row]) - ROW(TableDailySummary[[#Headers],[Dia]]) - 1)</f>
        <v>45286</v>
      </c>
      <c r="C759" s="6">
        <f>TableDailySummary[[#This Row],[Dia]]</f>
        <v>45286</v>
      </c>
      <c r="D759" s="11">
        <f>_xlfn.XLOOKUP(TableDailySummary[[#This Row],[Fecha]],SummaryDaily[day],SummaryDaily[net_sales],0)</f>
        <v>0</v>
      </c>
      <c r="E759" s="11">
        <f>_xlfn.XLOOKUP(TableDailySummary[[#This Row],[Fecha]],SummaryDaily[day],SummaryDaily[orders],0)</f>
        <v>0</v>
      </c>
      <c r="F759" s="11">
        <f>_xlfn.XLOOKUP(TableDailySummary[[#This Row],[Fecha]],SummaryDaily[day],SummaryDaily[average_order_value],0)</f>
        <v>0</v>
      </c>
      <c r="G759" s="24" cm="1">
        <f t="array" ref="G759">_xlfn.XLOOKUP(TableDailySummary[[#This Row],[Fecha]]&amp;"Total site",ConversionRateByReferral[day]&amp;ConversionRateByReferral[referrer_source],ConversionRateByReferral[conversion_rate],0)</f>
        <v>0</v>
      </c>
      <c r="H759" s="11">
        <f>TableDailySummary[[#This Row],[Órden promedio totales]]*TableDailySummary[[#This Row],[CR totales]]</f>
        <v>0</v>
      </c>
      <c r="I759" s="11">
        <f>_xlfn.XLOOKUP(TableDailySummary[[#This Row],[Fecha]],SummaryDaily[day],SummaryDaily[new_net_sales],0)</f>
        <v>0</v>
      </c>
      <c r="J759" s="11">
        <f>_xlfn.XLOOKUP(TableDailySummary[[#This Row],[Fecha]],SummaryDaily[day],SummaryDaily[new_orders],0)</f>
        <v>0</v>
      </c>
      <c r="K759" s="11">
        <f>_xlfn.XLOOKUP(TableDailySummary[[#This Row],[Fecha]],SummaryDaily[day],SummaryDaily[new_average_order_value],0)</f>
        <v>0</v>
      </c>
      <c r="L759" s="11">
        <f>_xlfn.XLOOKUP(TableDailySummary[[#This Row],[Fecha]],SummaryDaily[day],SummaryDaily[Online Store_net_sales],0)</f>
        <v>0</v>
      </c>
      <c r="M759" s="11">
        <f>_xlfn.XLOOKUP(TableDailySummary[[#This Row],[Fecha]],SummaryDaily[day],SummaryDaily[Online Store_orders],0)</f>
        <v>0</v>
      </c>
      <c r="N759" s="11">
        <f>_xlfn.XLOOKUP(TableDailySummary[[#This Row],[Fecha]],SummaryDaily[day],SummaryDaily[Online Store_average_order_value],0)</f>
        <v>0</v>
      </c>
      <c r="O759" s="11">
        <f>_xlfn.XLOOKUP(TableDailySummary[[#This Row],[Fecha]],SummaryDaily[day],SummaryDaily[Tienda 81_net_sales],0)</f>
        <v>0</v>
      </c>
      <c r="P759" s="11">
        <f>_xlfn.XLOOKUP(TableDailySummary[[#This Row],[Fecha]],SummaryDaily[day],SummaryDaily[Tienda 81_orders],0)</f>
        <v>0</v>
      </c>
      <c r="Q759" s="11">
        <f>_xlfn.XLOOKUP(TableDailySummary[[#This Row],[Fecha]],SummaryDaily[day],SummaryDaily[Tienda 81_average_order_value],0)</f>
        <v>0</v>
      </c>
      <c r="R759" s="11">
        <f>_xlfn.XLOOKUP(TableDailySummary[[#This Row],[Fecha]],SummaryDaily[day],SummaryDaily[Rappi_net_sales],0)</f>
        <v>0</v>
      </c>
      <c r="S759" s="11">
        <f>_xlfn.XLOOKUP(TableDailySummary[[#This Row],[Fecha]],SummaryDaily[day],SummaryDaily[Rappi_orders],0)</f>
        <v>0</v>
      </c>
      <c r="T759" s="11">
        <f>_xlfn.XLOOKUP(TableDailySummary[[#This Row],[Fecha]],SummaryDaily[day],SummaryDaily[Rappi_average_order_value],0)</f>
        <v>0</v>
      </c>
      <c r="U759" s="11">
        <f>_xlfn.XLOOKUP(TableDailySummary[[#This Row],[Fecha]],SummaryDaily[day],SummaryDaily[Corporativo no tienda_net_sales],0)</f>
        <v>0</v>
      </c>
      <c r="V759" s="11">
        <f>_xlfn.XLOOKUP(TableDailySummary[[#This Row],[Fecha]],SummaryDaily[day],SummaryDaily[Corporativo no tienda_orders],0)</f>
        <v>0</v>
      </c>
      <c r="W759" s="11">
        <f>_xlfn.XLOOKUP(TableDailySummary[[#This Row],[Fecha]],SummaryDaily[day],SummaryDaily[Corporativo no tienda_average_order_value],0)</f>
        <v>0</v>
      </c>
      <c r="X759" s="11">
        <f>_xlfn.XLOOKUP(TableDailySummary[[#This Row],[Fecha]],SummaryDaily[day],SummaryDaily[GoogleAdsOperation.Cost],0)</f>
        <v>0</v>
      </c>
      <c r="Y759" s="11">
        <f>SUMIFS(SalesByUTMDaily[google],SalesByUTMDaily[day],TableDailySummary[[#This Row],[Fecha]])</f>
        <v>0</v>
      </c>
      <c r="Z759" s="11">
        <f>_xlfn.XLOOKUP(TableDailySummary[[#This Row],[Fecha]],SummaryDaily[day],SummaryDaily[MetaAdsOperation.spend],0)</f>
        <v>0</v>
      </c>
      <c r="AA759" s="11">
        <f>SUMIFS(SalesByUTMDaily[facebook],SalesByUTMDaily[day],TableDailySummary[[#This Row],[Fecha]])</f>
        <v>0</v>
      </c>
      <c r="AB759" s="11">
        <f>TableDailySummary[[#This Row],[Inversión google ads]]+TableDailySummary[[#This Row],[Inversión meta ads]]</f>
        <v>0</v>
      </c>
      <c r="AC759" s="11">
        <f>TableDailySummary[[#This Row],[Ventas google ads]]+TableDailySummary[[#This Row],[Ventas meta ads]]</f>
        <v>0</v>
      </c>
      <c r="AD759" s="14">
        <f>IFERROR(TableDailySummary[[#This Row],[Ventas publicidad]]/TableDailySummary[[#This Row],[Inversión publicidad]],0)</f>
        <v>0</v>
      </c>
      <c r="AE759" s="14">
        <f>IFERROR(TableDailySummary[[#This Row],[Ventas primer cliente]]/TableDailySummary[[#This Row],[Inversión publicidad]],0)</f>
        <v>0</v>
      </c>
      <c r="AF759" s="14"/>
      <c r="AG759" s="11"/>
      <c r="AM759" s="11">
        <f>_xlfn.XLOOKUP(TableDailySummary[[#This Row],[Fecha]],SummaryDaily[day],SummaryDaily[net_sales_with_cost_recorded],0)</f>
        <v>0</v>
      </c>
      <c r="AN759" s="11">
        <f>_xlfn.XLOOKUP(TableDailySummary[[#This Row],[Fecha]],SummaryDaily[day],SummaryDaily[cost_of_goods_sold],0)</f>
        <v>0</v>
      </c>
      <c r="AO759" s="11">
        <f>_xlfn.XLOOKUP(TableDailySummary[[#This Row],[Fecha]],SummaryDaily[day],SummaryDaily[gross_profit],0)</f>
        <v>0</v>
      </c>
      <c r="AP759" s="18">
        <f>IFERROR(TableDailySummary[[#This Row],[Utilidad bruta]]/TableDailySummary[[#This Row],[Ventas netas con costo registrado]],0)</f>
        <v>0</v>
      </c>
    </row>
    <row r="760" spans="2:42" x14ac:dyDescent="0.2">
      <c r="B760" s="15" cm="1">
        <f t="array" ref="B760">ParamFechaInicioReporte + (ROW(TableDailySummary[#This Row]) - ROW(TableDailySummary[[#Headers],[Dia]]) - 1)</f>
        <v>45287</v>
      </c>
      <c r="C760" s="6">
        <f>TableDailySummary[[#This Row],[Dia]]</f>
        <v>45287</v>
      </c>
      <c r="D760" s="11">
        <f>_xlfn.XLOOKUP(TableDailySummary[[#This Row],[Fecha]],SummaryDaily[day],SummaryDaily[net_sales],0)</f>
        <v>0</v>
      </c>
      <c r="E760" s="11">
        <f>_xlfn.XLOOKUP(TableDailySummary[[#This Row],[Fecha]],SummaryDaily[day],SummaryDaily[orders],0)</f>
        <v>0</v>
      </c>
      <c r="F760" s="11">
        <f>_xlfn.XLOOKUP(TableDailySummary[[#This Row],[Fecha]],SummaryDaily[day],SummaryDaily[average_order_value],0)</f>
        <v>0</v>
      </c>
      <c r="G760" s="24" cm="1">
        <f t="array" ref="G760">_xlfn.XLOOKUP(TableDailySummary[[#This Row],[Fecha]]&amp;"Total site",ConversionRateByReferral[day]&amp;ConversionRateByReferral[referrer_source],ConversionRateByReferral[conversion_rate],0)</f>
        <v>0</v>
      </c>
      <c r="H760" s="11">
        <f>TableDailySummary[[#This Row],[Órden promedio totales]]*TableDailySummary[[#This Row],[CR totales]]</f>
        <v>0</v>
      </c>
      <c r="I760" s="11">
        <f>_xlfn.XLOOKUP(TableDailySummary[[#This Row],[Fecha]],SummaryDaily[day],SummaryDaily[new_net_sales],0)</f>
        <v>0</v>
      </c>
      <c r="J760" s="11">
        <f>_xlfn.XLOOKUP(TableDailySummary[[#This Row],[Fecha]],SummaryDaily[day],SummaryDaily[new_orders],0)</f>
        <v>0</v>
      </c>
      <c r="K760" s="11">
        <f>_xlfn.XLOOKUP(TableDailySummary[[#This Row],[Fecha]],SummaryDaily[day],SummaryDaily[new_average_order_value],0)</f>
        <v>0</v>
      </c>
      <c r="L760" s="11">
        <f>_xlfn.XLOOKUP(TableDailySummary[[#This Row],[Fecha]],SummaryDaily[day],SummaryDaily[Online Store_net_sales],0)</f>
        <v>0</v>
      </c>
      <c r="M760" s="11">
        <f>_xlfn.XLOOKUP(TableDailySummary[[#This Row],[Fecha]],SummaryDaily[day],SummaryDaily[Online Store_orders],0)</f>
        <v>0</v>
      </c>
      <c r="N760" s="11">
        <f>_xlfn.XLOOKUP(TableDailySummary[[#This Row],[Fecha]],SummaryDaily[day],SummaryDaily[Online Store_average_order_value],0)</f>
        <v>0</v>
      </c>
      <c r="O760" s="11">
        <f>_xlfn.XLOOKUP(TableDailySummary[[#This Row],[Fecha]],SummaryDaily[day],SummaryDaily[Tienda 81_net_sales],0)</f>
        <v>0</v>
      </c>
      <c r="P760" s="11">
        <f>_xlfn.XLOOKUP(TableDailySummary[[#This Row],[Fecha]],SummaryDaily[day],SummaryDaily[Tienda 81_orders],0)</f>
        <v>0</v>
      </c>
      <c r="Q760" s="11">
        <f>_xlfn.XLOOKUP(TableDailySummary[[#This Row],[Fecha]],SummaryDaily[day],SummaryDaily[Tienda 81_average_order_value],0)</f>
        <v>0</v>
      </c>
      <c r="R760" s="11">
        <f>_xlfn.XLOOKUP(TableDailySummary[[#This Row],[Fecha]],SummaryDaily[day],SummaryDaily[Rappi_net_sales],0)</f>
        <v>0</v>
      </c>
      <c r="S760" s="11">
        <f>_xlfn.XLOOKUP(TableDailySummary[[#This Row],[Fecha]],SummaryDaily[day],SummaryDaily[Rappi_orders],0)</f>
        <v>0</v>
      </c>
      <c r="T760" s="11">
        <f>_xlfn.XLOOKUP(TableDailySummary[[#This Row],[Fecha]],SummaryDaily[day],SummaryDaily[Rappi_average_order_value],0)</f>
        <v>0</v>
      </c>
      <c r="U760" s="11">
        <f>_xlfn.XLOOKUP(TableDailySummary[[#This Row],[Fecha]],SummaryDaily[day],SummaryDaily[Corporativo no tienda_net_sales],0)</f>
        <v>0</v>
      </c>
      <c r="V760" s="11">
        <f>_xlfn.XLOOKUP(TableDailySummary[[#This Row],[Fecha]],SummaryDaily[day],SummaryDaily[Corporativo no tienda_orders],0)</f>
        <v>0</v>
      </c>
      <c r="W760" s="11">
        <f>_xlfn.XLOOKUP(TableDailySummary[[#This Row],[Fecha]],SummaryDaily[day],SummaryDaily[Corporativo no tienda_average_order_value],0)</f>
        <v>0</v>
      </c>
      <c r="X760" s="11">
        <f>_xlfn.XLOOKUP(TableDailySummary[[#This Row],[Fecha]],SummaryDaily[day],SummaryDaily[GoogleAdsOperation.Cost],0)</f>
        <v>0</v>
      </c>
      <c r="Y760" s="11">
        <f>SUMIFS(SalesByUTMDaily[google],SalesByUTMDaily[day],TableDailySummary[[#This Row],[Fecha]])</f>
        <v>0</v>
      </c>
      <c r="Z760" s="11">
        <f>_xlfn.XLOOKUP(TableDailySummary[[#This Row],[Fecha]],SummaryDaily[day],SummaryDaily[MetaAdsOperation.spend],0)</f>
        <v>0</v>
      </c>
      <c r="AA760" s="11">
        <f>SUMIFS(SalesByUTMDaily[facebook],SalesByUTMDaily[day],TableDailySummary[[#This Row],[Fecha]])</f>
        <v>0</v>
      </c>
      <c r="AB760" s="11">
        <f>TableDailySummary[[#This Row],[Inversión google ads]]+TableDailySummary[[#This Row],[Inversión meta ads]]</f>
        <v>0</v>
      </c>
      <c r="AC760" s="11">
        <f>TableDailySummary[[#This Row],[Ventas google ads]]+TableDailySummary[[#This Row],[Ventas meta ads]]</f>
        <v>0</v>
      </c>
      <c r="AD760" s="14">
        <f>IFERROR(TableDailySummary[[#This Row],[Ventas publicidad]]/TableDailySummary[[#This Row],[Inversión publicidad]],0)</f>
        <v>0</v>
      </c>
      <c r="AE760" s="14">
        <f>IFERROR(TableDailySummary[[#This Row],[Ventas primer cliente]]/TableDailySummary[[#This Row],[Inversión publicidad]],0)</f>
        <v>0</v>
      </c>
      <c r="AF760" s="14"/>
      <c r="AG760" s="11"/>
      <c r="AM760" s="11">
        <f>_xlfn.XLOOKUP(TableDailySummary[[#This Row],[Fecha]],SummaryDaily[day],SummaryDaily[net_sales_with_cost_recorded],0)</f>
        <v>0</v>
      </c>
      <c r="AN760" s="11">
        <f>_xlfn.XLOOKUP(TableDailySummary[[#This Row],[Fecha]],SummaryDaily[day],SummaryDaily[cost_of_goods_sold],0)</f>
        <v>0</v>
      </c>
      <c r="AO760" s="11">
        <f>_xlfn.XLOOKUP(TableDailySummary[[#This Row],[Fecha]],SummaryDaily[day],SummaryDaily[gross_profit],0)</f>
        <v>0</v>
      </c>
      <c r="AP760" s="18">
        <f>IFERROR(TableDailySummary[[#This Row],[Utilidad bruta]]/TableDailySummary[[#This Row],[Ventas netas con costo registrado]],0)</f>
        <v>0</v>
      </c>
    </row>
    <row r="761" spans="2:42" x14ac:dyDescent="0.2">
      <c r="B761" s="15" cm="1">
        <f t="array" ref="B761">ParamFechaInicioReporte + (ROW(TableDailySummary[#This Row]) - ROW(TableDailySummary[[#Headers],[Dia]]) - 1)</f>
        <v>45288</v>
      </c>
      <c r="C761" s="6">
        <f>TableDailySummary[[#This Row],[Dia]]</f>
        <v>45288</v>
      </c>
      <c r="D761" s="11">
        <f>_xlfn.XLOOKUP(TableDailySummary[[#This Row],[Fecha]],SummaryDaily[day],SummaryDaily[net_sales],0)</f>
        <v>0</v>
      </c>
      <c r="E761" s="11">
        <f>_xlfn.XLOOKUP(TableDailySummary[[#This Row],[Fecha]],SummaryDaily[day],SummaryDaily[orders],0)</f>
        <v>0</v>
      </c>
      <c r="F761" s="11">
        <f>_xlfn.XLOOKUP(TableDailySummary[[#This Row],[Fecha]],SummaryDaily[day],SummaryDaily[average_order_value],0)</f>
        <v>0</v>
      </c>
      <c r="G761" s="24" cm="1">
        <f t="array" ref="G761">_xlfn.XLOOKUP(TableDailySummary[[#This Row],[Fecha]]&amp;"Total site",ConversionRateByReferral[day]&amp;ConversionRateByReferral[referrer_source],ConversionRateByReferral[conversion_rate],0)</f>
        <v>0</v>
      </c>
      <c r="H761" s="11">
        <f>TableDailySummary[[#This Row],[Órden promedio totales]]*TableDailySummary[[#This Row],[CR totales]]</f>
        <v>0</v>
      </c>
      <c r="I761" s="11">
        <f>_xlfn.XLOOKUP(TableDailySummary[[#This Row],[Fecha]],SummaryDaily[day],SummaryDaily[new_net_sales],0)</f>
        <v>0</v>
      </c>
      <c r="J761" s="11">
        <f>_xlfn.XLOOKUP(TableDailySummary[[#This Row],[Fecha]],SummaryDaily[day],SummaryDaily[new_orders],0)</f>
        <v>0</v>
      </c>
      <c r="K761" s="11">
        <f>_xlfn.XLOOKUP(TableDailySummary[[#This Row],[Fecha]],SummaryDaily[day],SummaryDaily[new_average_order_value],0)</f>
        <v>0</v>
      </c>
      <c r="L761" s="11">
        <f>_xlfn.XLOOKUP(TableDailySummary[[#This Row],[Fecha]],SummaryDaily[day],SummaryDaily[Online Store_net_sales],0)</f>
        <v>0</v>
      </c>
      <c r="M761" s="11">
        <f>_xlfn.XLOOKUP(TableDailySummary[[#This Row],[Fecha]],SummaryDaily[day],SummaryDaily[Online Store_orders],0)</f>
        <v>0</v>
      </c>
      <c r="N761" s="11">
        <f>_xlfn.XLOOKUP(TableDailySummary[[#This Row],[Fecha]],SummaryDaily[day],SummaryDaily[Online Store_average_order_value],0)</f>
        <v>0</v>
      </c>
      <c r="O761" s="11">
        <f>_xlfn.XLOOKUP(TableDailySummary[[#This Row],[Fecha]],SummaryDaily[day],SummaryDaily[Tienda 81_net_sales],0)</f>
        <v>0</v>
      </c>
      <c r="P761" s="11">
        <f>_xlfn.XLOOKUP(TableDailySummary[[#This Row],[Fecha]],SummaryDaily[day],SummaryDaily[Tienda 81_orders],0)</f>
        <v>0</v>
      </c>
      <c r="Q761" s="11">
        <f>_xlfn.XLOOKUP(TableDailySummary[[#This Row],[Fecha]],SummaryDaily[day],SummaryDaily[Tienda 81_average_order_value],0)</f>
        <v>0</v>
      </c>
      <c r="R761" s="11">
        <f>_xlfn.XLOOKUP(TableDailySummary[[#This Row],[Fecha]],SummaryDaily[day],SummaryDaily[Rappi_net_sales],0)</f>
        <v>0</v>
      </c>
      <c r="S761" s="11">
        <f>_xlfn.XLOOKUP(TableDailySummary[[#This Row],[Fecha]],SummaryDaily[day],SummaryDaily[Rappi_orders],0)</f>
        <v>0</v>
      </c>
      <c r="T761" s="11">
        <f>_xlfn.XLOOKUP(TableDailySummary[[#This Row],[Fecha]],SummaryDaily[day],SummaryDaily[Rappi_average_order_value],0)</f>
        <v>0</v>
      </c>
      <c r="U761" s="11">
        <f>_xlfn.XLOOKUP(TableDailySummary[[#This Row],[Fecha]],SummaryDaily[day],SummaryDaily[Corporativo no tienda_net_sales],0)</f>
        <v>0</v>
      </c>
      <c r="V761" s="11">
        <f>_xlfn.XLOOKUP(TableDailySummary[[#This Row],[Fecha]],SummaryDaily[day],SummaryDaily[Corporativo no tienda_orders],0)</f>
        <v>0</v>
      </c>
      <c r="W761" s="11">
        <f>_xlfn.XLOOKUP(TableDailySummary[[#This Row],[Fecha]],SummaryDaily[day],SummaryDaily[Corporativo no tienda_average_order_value],0)</f>
        <v>0</v>
      </c>
      <c r="X761" s="11">
        <f>_xlfn.XLOOKUP(TableDailySummary[[#This Row],[Fecha]],SummaryDaily[day],SummaryDaily[GoogleAdsOperation.Cost],0)</f>
        <v>0</v>
      </c>
      <c r="Y761" s="11">
        <f>SUMIFS(SalesByUTMDaily[google],SalesByUTMDaily[day],TableDailySummary[[#This Row],[Fecha]])</f>
        <v>0</v>
      </c>
      <c r="Z761" s="11">
        <f>_xlfn.XLOOKUP(TableDailySummary[[#This Row],[Fecha]],SummaryDaily[day],SummaryDaily[MetaAdsOperation.spend],0)</f>
        <v>0</v>
      </c>
      <c r="AA761" s="11">
        <f>SUMIFS(SalesByUTMDaily[facebook],SalesByUTMDaily[day],TableDailySummary[[#This Row],[Fecha]])</f>
        <v>0</v>
      </c>
      <c r="AB761" s="11">
        <f>TableDailySummary[[#This Row],[Inversión google ads]]+TableDailySummary[[#This Row],[Inversión meta ads]]</f>
        <v>0</v>
      </c>
      <c r="AC761" s="11">
        <f>TableDailySummary[[#This Row],[Ventas google ads]]+TableDailySummary[[#This Row],[Ventas meta ads]]</f>
        <v>0</v>
      </c>
      <c r="AD761" s="14">
        <f>IFERROR(TableDailySummary[[#This Row],[Ventas publicidad]]/TableDailySummary[[#This Row],[Inversión publicidad]],0)</f>
        <v>0</v>
      </c>
      <c r="AE761" s="14">
        <f>IFERROR(TableDailySummary[[#This Row],[Ventas primer cliente]]/TableDailySummary[[#This Row],[Inversión publicidad]],0)</f>
        <v>0</v>
      </c>
      <c r="AF761" s="14"/>
      <c r="AG761" s="11"/>
      <c r="AM761" s="11">
        <f>_xlfn.XLOOKUP(TableDailySummary[[#This Row],[Fecha]],SummaryDaily[day],SummaryDaily[net_sales_with_cost_recorded],0)</f>
        <v>0</v>
      </c>
      <c r="AN761" s="11">
        <f>_xlfn.XLOOKUP(TableDailySummary[[#This Row],[Fecha]],SummaryDaily[day],SummaryDaily[cost_of_goods_sold],0)</f>
        <v>0</v>
      </c>
      <c r="AO761" s="11">
        <f>_xlfn.XLOOKUP(TableDailySummary[[#This Row],[Fecha]],SummaryDaily[day],SummaryDaily[gross_profit],0)</f>
        <v>0</v>
      </c>
      <c r="AP761" s="18">
        <f>IFERROR(TableDailySummary[[#This Row],[Utilidad bruta]]/TableDailySummary[[#This Row],[Ventas netas con costo registrado]],0)</f>
        <v>0</v>
      </c>
    </row>
    <row r="762" spans="2:42" x14ac:dyDescent="0.2">
      <c r="B762" s="15" cm="1">
        <f t="array" ref="B762">ParamFechaInicioReporte + (ROW(TableDailySummary[#This Row]) - ROW(TableDailySummary[[#Headers],[Dia]]) - 1)</f>
        <v>45289</v>
      </c>
      <c r="C762" s="6">
        <f>TableDailySummary[[#This Row],[Dia]]</f>
        <v>45289</v>
      </c>
      <c r="D762" s="11">
        <f>_xlfn.XLOOKUP(TableDailySummary[[#This Row],[Fecha]],SummaryDaily[day],SummaryDaily[net_sales],0)</f>
        <v>0</v>
      </c>
      <c r="E762" s="11">
        <f>_xlfn.XLOOKUP(TableDailySummary[[#This Row],[Fecha]],SummaryDaily[day],SummaryDaily[orders],0)</f>
        <v>0</v>
      </c>
      <c r="F762" s="11">
        <f>_xlfn.XLOOKUP(TableDailySummary[[#This Row],[Fecha]],SummaryDaily[day],SummaryDaily[average_order_value],0)</f>
        <v>0</v>
      </c>
      <c r="G762" s="24" cm="1">
        <f t="array" ref="G762">_xlfn.XLOOKUP(TableDailySummary[[#This Row],[Fecha]]&amp;"Total site",ConversionRateByReferral[day]&amp;ConversionRateByReferral[referrer_source],ConversionRateByReferral[conversion_rate],0)</f>
        <v>0</v>
      </c>
      <c r="H762" s="11">
        <f>TableDailySummary[[#This Row],[Órden promedio totales]]*TableDailySummary[[#This Row],[CR totales]]</f>
        <v>0</v>
      </c>
      <c r="I762" s="11">
        <f>_xlfn.XLOOKUP(TableDailySummary[[#This Row],[Fecha]],SummaryDaily[day],SummaryDaily[new_net_sales],0)</f>
        <v>0</v>
      </c>
      <c r="J762" s="11">
        <f>_xlfn.XLOOKUP(TableDailySummary[[#This Row],[Fecha]],SummaryDaily[day],SummaryDaily[new_orders],0)</f>
        <v>0</v>
      </c>
      <c r="K762" s="11">
        <f>_xlfn.XLOOKUP(TableDailySummary[[#This Row],[Fecha]],SummaryDaily[day],SummaryDaily[new_average_order_value],0)</f>
        <v>0</v>
      </c>
      <c r="L762" s="11">
        <f>_xlfn.XLOOKUP(TableDailySummary[[#This Row],[Fecha]],SummaryDaily[day],SummaryDaily[Online Store_net_sales],0)</f>
        <v>0</v>
      </c>
      <c r="M762" s="11">
        <f>_xlfn.XLOOKUP(TableDailySummary[[#This Row],[Fecha]],SummaryDaily[day],SummaryDaily[Online Store_orders],0)</f>
        <v>0</v>
      </c>
      <c r="N762" s="11">
        <f>_xlfn.XLOOKUP(TableDailySummary[[#This Row],[Fecha]],SummaryDaily[day],SummaryDaily[Online Store_average_order_value],0)</f>
        <v>0</v>
      </c>
      <c r="O762" s="11">
        <f>_xlfn.XLOOKUP(TableDailySummary[[#This Row],[Fecha]],SummaryDaily[day],SummaryDaily[Tienda 81_net_sales],0)</f>
        <v>0</v>
      </c>
      <c r="P762" s="11">
        <f>_xlfn.XLOOKUP(TableDailySummary[[#This Row],[Fecha]],SummaryDaily[day],SummaryDaily[Tienda 81_orders],0)</f>
        <v>0</v>
      </c>
      <c r="Q762" s="11">
        <f>_xlfn.XLOOKUP(TableDailySummary[[#This Row],[Fecha]],SummaryDaily[day],SummaryDaily[Tienda 81_average_order_value],0)</f>
        <v>0</v>
      </c>
      <c r="R762" s="11">
        <f>_xlfn.XLOOKUP(TableDailySummary[[#This Row],[Fecha]],SummaryDaily[day],SummaryDaily[Rappi_net_sales],0)</f>
        <v>0</v>
      </c>
      <c r="S762" s="11">
        <f>_xlfn.XLOOKUP(TableDailySummary[[#This Row],[Fecha]],SummaryDaily[day],SummaryDaily[Rappi_orders],0)</f>
        <v>0</v>
      </c>
      <c r="T762" s="11">
        <f>_xlfn.XLOOKUP(TableDailySummary[[#This Row],[Fecha]],SummaryDaily[day],SummaryDaily[Rappi_average_order_value],0)</f>
        <v>0</v>
      </c>
      <c r="U762" s="11">
        <f>_xlfn.XLOOKUP(TableDailySummary[[#This Row],[Fecha]],SummaryDaily[day],SummaryDaily[Corporativo no tienda_net_sales],0)</f>
        <v>0</v>
      </c>
      <c r="V762" s="11">
        <f>_xlfn.XLOOKUP(TableDailySummary[[#This Row],[Fecha]],SummaryDaily[day],SummaryDaily[Corporativo no tienda_orders],0)</f>
        <v>0</v>
      </c>
      <c r="W762" s="11">
        <f>_xlfn.XLOOKUP(TableDailySummary[[#This Row],[Fecha]],SummaryDaily[day],SummaryDaily[Corporativo no tienda_average_order_value],0)</f>
        <v>0</v>
      </c>
      <c r="X762" s="11">
        <f>_xlfn.XLOOKUP(TableDailySummary[[#This Row],[Fecha]],SummaryDaily[day],SummaryDaily[GoogleAdsOperation.Cost],0)</f>
        <v>0</v>
      </c>
      <c r="Y762" s="11">
        <f>SUMIFS(SalesByUTMDaily[google],SalesByUTMDaily[day],TableDailySummary[[#This Row],[Fecha]])</f>
        <v>0</v>
      </c>
      <c r="Z762" s="11">
        <f>_xlfn.XLOOKUP(TableDailySummary[[#This Row],[Fecha]],SummaryDaily[day],SummaryDaily[MetaAdsOperation.spend],0)</f>
        <v>0</v>
      </c>
      <c r="AA762" s="11">
        <f>SUMIFS(SalesByUTMDaily[facebook],SalesByUTMDaily[day],TableDailySummary[[#This Row],[Fecha]])</f>
        <v>0</v>
      </c>
      <c r="AB762" s="11">
        <f>TableDailySummary[[#This Row],[Inversión google ads]]+TableDailySummary[[#This Row],[Inversión meta ads]]</f>
        <v>0</v>
      </c>
      <c r="AC762" s="11">
        <f>TableDailySummary[[#This Row],[Ventas google ads]]+TableDailySummary[[#This Row],[Ventas meta ads]]</f>
        <v>0</v>
      </c>
      <c r="AD762" s="14">
        <f>IFERROR(TableDailySummary[[#This Row],[Ventas publicidad]]/TableDailySummary[[#This Row],[Inversión publicidad]],0)</f>
        <v>0</v>
      </c>
      <c r="AE762" s="14">
        <f>IFERROR(TableDailySummary[[#This Row],[Ventas primer cliente]]/TableDailySummary[[#This Row],[Inversión publicidad]],0)</f>
        <v>0</v>
      </c>
      <c r="AF762" s="14"/>
      <c r="AG762" s="11"/>
      <c r="AM762" s="11">
        <f>_xlfn.XLOOKUP(TableDailySummary[[#This Row],[Fecha]],SummaryDaily[day],SummaryDaily[net_sales_with_cost_recorded],0)</f>
        <v>0</v>
      </c>
      <c r="AN762" s="11">
        <f>_xlfn.XLOOKUP(TableDailySummary[[#This Row],[Fecha]],SummaryDaily[day],SummaryDaily[cost_of_goods_sold],0)</f>
        <v>0</v>
      </c>
      <c r="AO762" s="11">
        <f>_xlfn.XLOOKUP(TableDailySummary[[#This Row],[Fecha]],SummaryDaily[day],SummaryDaily[gross_profit],0)</f>
        <v>0</v>
      </c>
      <c r="AP762" s="18">
        <f>IFERROR(TableDailySummary[[#This Row],[Utilidad bruta]]/TableDailySummary[[#This Row],[Ventas netas con costo registrado]],0)</f>
        <v>0</v>
      </c>
    </row>
    <row r="763" spans="2:42" x14ac:dyDescent="0.2">
      <c r="B763" s="15" cm="1">
        <f t="array" ref="B763">ParamFechaInicioReporte + (ROW(TableDailySummary[#This Row]) - ROW(TableDailySummary[[#Headers],[Dia]]) - 1)</f>
        <v>45290</v>
      </c>
      <c r="C763" s="6">
        <f>TableDailySummary[[#This Row],[Dia]]</f>
        <v>45290</v>
      </c>
      <c r="D763" s="11">
        <f>_xlfn.XLOOKUP(TableDailySummary[[#This Row],[Fecha]],SummaryDaily[day],SummaryDaily[net_sales],0)</f>
        <v>0</v>
      </c>
      <c r="E763" s="11">
        <f>_xlfn.XLOOKUP(TableDailySummary[[#This Row],[Fecha]],SummaryDaily[day],SummaryDaily[orders],0)</f>
        <v>0</v>
      </c>
      <c r="F763" s="11">
        <f>_xlfn.XLOOKUP(TableDailySummary[[#This Row],[Fecha]],SummaryDaily[day],SummaryDaily[average_order_value],0)</f>
        <v>0</v>
      </c>
      <c r="G763" s="24" cm="1">
        <f t="array" ref="G763">_xlfn.XLOOKUP(TableDailySummary[[#This Row],[Fecha]]&amp;"Total site",ConversionRateByReferral[day]&amp;ConversionRateByReferral[referrer_source],ConversionRateByReferral[conversion_rate],0)</f>
        <v>0</v>
      </c>
      <c r="H763" s="11">
        <f>TableDailySummary[[#This Row],[Órden promedio totales]]*TableDailySummary[[#This Row],[CR totales]]</f>
        <v>0</v>
      </c>
      <c r="I763" s="11">
        <f>_xlfn.XLOOKUP(TableDailySummary[[#This Row],[Fecha]],SummaryDaily[day],SummaryDaily[new_net_sales],0)</f>
        <v>0</v>
      </c>
      <c r="J763" s="11">
        <f>_xlfn.XLOOKUP(TableDailySummary[[#This Row],[Fecha]],SummaryDaily[day],SummaryDaily[new_orders],0)</f>
        <v>0</v>
      </c>
      <c r="K763" s="11">
        <f>_xlfn.XLOOKUP(TableDailySummary[[#This Row],[Fecha]],SummaryDaily[day],SummaryDaily[new_average_order_value],0)</f>
        <v>0</v>
      </c>
      <c r="L763" s="11">
        <f>_xlfn.XLOOKUP(TableDailySummary[[#This Row],[Fecha]],SummaryDaily[day],SummaryDaily[Online Store_net_sales],0)</f>
        <v>0</v>
      </c>
      <c r="M763" s="11">
        <f>_xlfn.XLOOKUP(TableDailySummary[[#This Row],[Fecha]],SummaryDaily[day],SummaryDaily[Online Store_orders],0)</f>
        <v>0</v>
      </c>
      <c r="N763" s="11">
        <f>_xlfn.XLOOKUP(TableDailySummary[[#This Row],[Fecha]],SummaryDaily[day],SummaryDaily[Online Store_average_order_value],0)</f>
        <v>0</v>
      </c>
      <c r="O763" s="11">
        <f>_xlfn.XLOOKUP(TableDailySummary[[#This Row],[Fecha]],SummaryDaily[day],SummaryDaily[Tienda 81_net_sales],0)</f>
        <v>0</v>
      </c>
      <c r="P763" s="11">
        <f>_xlfn.XLOOKUP(TableDailySummary[[#This Row],[Fecha]],SummaryDaily[day],SummaryDaily[Tienda 81_orders],0)</f>
        <v>0</v>
      </c>
      <c r="Q763" s="11">
        <f>_xlfn.XLOOKUP(TableDailySummary[[#This Row],[Fecha]],SummaryDaily[day],SummaryDaily[Tienda 81_average_order_value],0)</f>
        <v>0</v>
      </c>
      <c r="R763" s="11">
        <f>_xlfn.XLOOKUP(TableDailySummary[[#This Row],[Fecha]],SummaryDaily[day],SummaryDaily[Rappi_net_sales],0)</f>
        <v>0</v>
      </c>
      <c r="S763" s="11">
        <f>_xlfn.XLOOKUP(TableDailySummary[[#This Row],[Fecha]],SummaryDaily[day],SummaryDaily[Rappi_orders],0)</f>
        <v>0</v>
      </c>
      <c r="T763" s="11">
        <f>_xlfn.XLOOKUP(TableDailySummary[[#This Row],[Fecha]],SummaryDaily[day],SummaryDaily[Rappi_average_order_value],0)</f>
        <v>0</v>
      </c>
      <c r="U763" s="11">
        <f>_xlfn.XLOOKUP(TableDailySummary[[#This Row],[Fecha]],SummaryDaily[day],SummaryDaily[Corporativo no tienda_net_sales],0)</f>
        <v>0</v>
      </c>
      <c r="V763" s="11">
        <f>_xlfn.XLOOKUP(TableDailySummary[[#This Row],[Fecha]],SummaryDaily[day],SummaryDaily[Corporativo no tienda_orders],0)</f>
        <v>0</v>
      </c>
      <c r="W763" s="11">
        <f>_xlfn.XLOOKUP(TableDailySummary[[#This Row],[Fecha]],SummaryDaily[day],SummaryDaily[Corporativo no tienda_average_order_value],0)</f>
        <v>0</v>
      </c>
      <c r="X763" s="11">
        <f>_xlfn.XLOOKUP(TableDailySummary[[#This Row],[Fecha]],SummaryDaily[day],SummaryDaily[GoogleAdsOperation.Cost],0)</f>
        <v>0</v>
      </c>
      <c r="Y763" s="11">
        <f>SUMIFS(SalesByUTMDaily[google],SalesByUTMDaily[day],TableDailySummary[[#This Row],[Fecha]])</f>
        <v>0</v>
      </c>
      <c r="Z763" s="11">
        <f>_xlfn.XLOOKUP(TableDailySummary[[#This Row],[Fecha]],SummaryDaily[day],SummaryDaily[MetaAdsOperation.spend],0)</f>
        <v>0</v>
      </c>
      <c r="AA763" s="11">
        <f>SUMIFS(SalesByUTMDaily[facebook],SalesByUTMDaily[day],TableDailySummary[[#This Row],[Fecha]])</f>
        <v>0</v>
      </c>
      <c r="AB763" s="11">
        <f>TableDailySummary[[#This Row],[Inversión google ads]]+TableDailySummary[[#This Row],[Inversión meta ads]]</f>
        <v>0</v>
      </c>
      <c r="AC763" s="11">
        <f>TableDailySummary[[#This Row],[Ventas google ads]]+TableDailySummary[[#This Row],[Ventas meta ads]]</f>
        <v>0</v>
      </c>
      <c r="AD763" s="14">
        <f>IFERROR(TableDailySummary[[#This Row],[Ventas publicidad]]/TableDailySummary[[#This Row],[Inversión publicidad]],0)</f>
        <v>0</v>
      </c>
      <c r="AE763" s="14">
        <f>IFERROR(TableDailySummary[[#This Row],[Ventas primer cliente]]/TableDailySummary[[#This Row],[Inversión publicidad]],0)</f>
        <v>0</v>
      </c>
      <c r="AF763" s="14"/>
      <c r="AG763" s="11"/>
      <c r="AM763" s="11">
        <f>_xlfn.XLOOKUP(TableDailySummary[[#This Row],[Fecha]],SummaryDaily[day],SummaryDaily[net_sales_with_cost_recorded],0)</f>
        <v>0</v>
      </c>
      <c r="AN763" s="11">
        <f>_xlfn.XLOOKUP(TableDailySummary[[#This Row],[Fecha]],SummaryDaily[day],SummaryDaily[cost_of_goods_sold],0)</f>
        <v>0</v>
      </c>
      <c r="AO763" s="11">
        <f>_xlfn.XLOOKUP(TableDailySummary[[#This Row],[Fecha]],SummaryDaily[day],SummaryDaily[gross_profit],0)</f>
        <v>0</v>
      </c>
      <c r="AP763" s="18">
        <f>IFERROR(TableDailySummary[[#This Row],[Utilidad bruta]]/TableDailySummary[[#This Row],[Ventas netas con costo registrado]],0)</f>
        <v>0</v>
      </c>
    </row>
    <row r="764" spans="2:42" x14ac:dyDescent="0.2">
      <c r="B764" s="15" cm="1">
        <f t="array" ref="B764">ParamFechaInicioReporte + (ROW(TableDailySummary[#This Row]) - ROW(TableDailySummary[[#Headers],[Dia]]) - 1)</f>
        <v>45291</v>
      </c>
      <c r="C764" s="6">
        <f>TableDailySummary[[#This Row],[Dia]]</f>
        <v>45291</v>
      </c>
      <c r="D764" s="11">
        <f>_xlfn.XLOOKUP(TableDailySummary[[#This Row],[Fecha]],SummaryDaily[day],SummaryDaily[net_sales],0)</f>
        <v>0</v>
      </c>
      <c r="E764" s="11">
        <f>_xlfn.XLOOKUP(TableDailySummary[[#This Row],[Fecha]],SummaryDaily[day],SummaryDaily[orders],0)</f>
        <v>0</v>
      </c>
      <c r="F764" s="11">
        <f>_xlfn.XLOOKUP(TableDailySummary[[#This Row],[Fecha]],SummaryDaily[day],SummaryDaily[average_order_value],0)</f>
        <v>0</v>
      </c>
      <c r="G764" s="24" cm="1">
        <f t="array" ref="G764">_xlfn.XLOOKUP(TableDailySummary[[#This Row],[Fecha]]&amp;"Total site",ConversionRateByReferral[day]&amp;ConversionRateByReferral[referrer_source],ConversionRateByReferral[conversion_rate],0)</f>
        <v>0</v>
      </c>
      <c r="H764" s="11">
        <f>TableDailySummary[[#This Row],[Órden promedio totales]]*TableDailySummary[[#This Row],[CR totales]]</f>
        <v>0</v>
      </c>
      <c r="I764" s="11">
        <f>_xlfn.XLOOKUP(TableDailySummary[[#This Row],[Fecha]],SummaryDaily[day],SummaryDaily[new_net_sales],0)</f>
        <v>0</v>
      </c>
      <c r="J764" s="11">
        <f>_xlfn.XLOOKUP(TableDailySummary[[#This Row],[Fecha]],SummaryDaily[day],SummaryDaily[new_orders],0)</f>
        <v>0</v>
      </c>
      <c r="K764" s="11">
        <f>_xlfn.XLOOKUP(TableDailySummary[[#This Row],[Fecha]],SummaryDaily[day],SummaryDaily[new_average_order_value],0)</f>
        <v>0</v>
      </c>
      <c r="L764" s="11">
        <f>_xlfn.XLOOKUP(TableDailySummary[[#This Row],[Fecha]],SummaryDaily[day],SummaryDaily[Online Store_net_sales],0)</f>
        <v>0</v>
      </c>
      <c r="M764" s="11">
        <f>_xlfn.XLOOKUP(TableDailySummary[[#This Row],[Fecha]],SummaryDaily[day],SummaryDaily[Online Store_orders],0)</f>
        <v>0</v>
      </c>
      <c r="N764" s="11">
        <f>_xlfn.XLOOKUP(TableDailySummary[[#This Row],[Fecha]],SummaryDaily[day],SummaryDaily[Online Store_average_order_value],0)</f>
        <v>0</v>
      </c>
      <c r="O764" s="11">
        <f>_xlfn.XLOOKUP(TableDailySummary[[#This Row],[Fecha]],SummaryDaily[day],SummaryDaily[Tienda 81_net_sales],0)</f>
        <v>0</v>
      </c>
      <c r="P764" s="11">
        <f>_xlfn.XLOOKUP(TableDailySummary[[#This Row],[Fecha]],SummaryDaily[day],SummaryDaily[Tienda 81_orders],0)</f>
        <v>0</v>
      </c>
      <c r="Q764" s="11">
        <f>_xlfn.XLOOKUP(TableDailySummary[[#This Row],[Fecha]],SummaryDaily[day],SummaryDaily[Tienda 81_average_order_value],0)</f>
        <v>0</v>
      </c>
      <c r="R764" s="11">
        <f>_xlfn.XLOOKUP(TableDailySummary[[#This Row],[Fecha]],SummaryDaily[day],SummaryDaily[Rappi_net_sales],0)</f>
        <v>0</v>
      </c>
      <c r="S764" s="11">
        <f>_xlfn.XLOOKUP(TableDailySummary[[#This Row],[Fecha]],SummaryDaily[day],SummaryDaily[Rappi_orders],0)</f>
        <v>0</v>
      </c>
      <c r="T764" s="11">
        <f>_xlfn.XLOOKUP(TableDailySummary[[#This Row],[Fecha]],SummaryDaily[day],SummaryDaily[Rappi_average_order_value],0)</f>
        <v>0</v>
      </c>
      <c r="U764" s="11">
        <f>_xlfn.XLOOKUP(TableDailySummary[[#This Row],[Fecha]],SummaryDaily[day],SummaryDaily[Corporativo no tienda_net_sales],0)</f>
        <v>0</v>
      </c>
      <c r="V764" s="11">
        <f>_xlfn.XLOOKUP(TableDailySummary[[#This Row],[Fecha]],SummaryDaily[day],SummaryDaily[Corporativo no tienda_orders],0)</f>
        <v>0</v>
      </c>
      <c r="W764" s="11">
        <f>_xlfn.XLOOKUP(TableDailySummary[[#This Row],[Fecha]],SummaryDaily[day],SummaryDaily[Corporativo no tienda_average_order_value],0)</f>
        <v>0</v>
      </c>
      <c r="X764" s="11">
        <f>_xlfn.XLOOKUP(TableDailySummary[[#This Row],[Fecha]],SummaryDaily[day],SummaryDaily[GoogleAdsOperation.Cost],0)</f>
        <v>0</v>
      </c>
      <c r="Y764" s="11">
        <f>SUMIFS(SalesByUTMDaily[google],SalesByUTMDaily[day],TableDailySummary[[#This Row],[Fecha]])</f>
        <v>0</v>
      </c>
      <c r="Z764" s="11">
        <f>_xlfn.XLOOKUP(TableDailySummary[[#This Row],[Fecha]],SummaryDaily[day],SummaryDaily[MetaAdsOperation.spend],0)</f>
        <v>0</v>
      </c>
      <c r="AA764" s="11">
        <f>SUMIFS(SalesByUTMDaily[facebook],SalesByUTMDaily[day],TableDailySummary[[#This Row],[Fecha]])</f>
        <v>0</v>
      </c>
      <c r="AB764" s="11">
        <f>TableDailySummary[[#This Row],[Inversión google ads]]+TableDailySummary[[#This Row],[Inversión meta ads]]</f>
        <v>0</v>
      </c>
      <c r="AC764" s="11">
        <f>TableDailySummary[[#This Row],[Ventas google ads]]+TableDailySummary[[#This Row],[Ventas meta ads]]</f>
        <v>0</v>
      </c>
      <c r="AD764" s="14">
        <f>IFERROR(TableDailySummary[[#This Row],[Ventas publicidad]]/TableDailySummary[[#This Row],[Inversión publicidad]],0)</f>
        <v>0</v>
      </c>
      <c r="AE764" s="14">
        <f>IFERROR(TableDailySummary[[#This Row],[Ventas primer cliente]]/TableDailySummary[[#This Row],[Inversión publicidad]],0)</f>
        <v>0</v>
      </c>
      <c r="AF764" s="14"/>
      <c r="AG764" s="11"/>
      <c r="AM764" s="11">
        <f>_xlfn.XLOOKUP(TableDailySummary[[#This Row],[Fecha]],SummaryDaily[day],SummaryDaily[net_sales_with_cost_recorded],0)</f>
        <v>0</v>
      </c>
      <c r="AN764" s="11">
        <f>_xlfn.XLOOKUP(TableDailySummary[[#This Row],[Fecha]],SummaryDaily[day],SummaryDaily[cost_of_goods_sold],0)</f>
        <v>0</v>
      </c>
      <c r="AO764" s="11">
        <f>_xlfn.XLOOKUP(TableDailySummary[[#This Row],[Fecha]],SummaryDaily[day],SummaryDaily[gross_profit],0)</f>
        <v>0</v>
      </c>
      <c r="AP764" s="18">
        <f>IFERROR(TableDailySummary[[#This Row],[Utilidad bruta]]/TableDailySummary[[#This Row],[Ventas netas con costo registrado]],0)</f>
        <v>0</v>
      </c>
    </row>
    <row r="765" spans="2:42" x14ac:dyDescent="0.2">
      <c r="B765" s="15" cm="1">
        <f t="array" ref="B765">ParamFechaInicioReporte + (ROW(TableDailySummary[#This Row]) - ROW(TableDailySummary[[#Headers],[Dia]]) - 1)</f>
        <v>45292</v>
      </c>
      <c r="C765" s="6">
        <f>TableDailySummary[[#This Row],[Dia]]</f>
        <v>45292</v>
      </c>
      <c r="D765" s="11">
        <f>_xlfn.XLOOKUP(TableDailySummary[[#This Row],[Fecha]],SummaryDaily[day],SummaryDaily[net_sales],0)</f>
        <v>0</v>
      </c>
      <c r="E765" s="11">
        <f>_xlfn.XLOOKUP(TableDailySummary[[#This Row],[Fecha]],SummaryDaily[day],SummaryDaily[orders],0)</f>
        <v>0</v>
      </c>
      <c r="F765" s="11">
        <f>_xlfn.XLOOKUP(TableDailySummary[[#This Row],[Fecha]],SummaryDaily[day],SummaryDaily[average_order_value],0)</f>
        <v>0</v>
      </c>
      <c r="G765" s="24" cm="1">
        <f t="array" ref="G765">_xlfn.XLOOKUP(TableDailySummary[[#This Row],[Fecha]]&amp;"Total site",ConversionRateByReferral[day]&amp;ConversionRateByReferral[referrer_source],ConversionRateByReferral[conversion_rate],0)</f>
        <v>0</v>
      </c>
      <c r="H765" s="11">
        <f>TableDailySummary[[#This Row],[Órden promedio totales]]*TableDailySummary[[#This Row],[CR totales]]</f>
        <v>0</v>
      </c>
      <c r="I765" s="11">
        <f>_xlfn.XLOOKUP(TableDailySummary[[#This Row],[Fecha]],SummaryDaily[day],SummaryDaily[new_net_sales],0)</f>
        <v>0</v>
      </c>
      <c r="J765" s="11">
        <f>_xlfn.XLOOKUP(TableDailySummary[[#This Row],[Fecha]],SummaryDaily[day],SummaryDaily[new_orders],0)</f>
        <v>0</v>
      </c>
      <c r="K765" s="11">
        <f>_xlfn.XLOOKUP(TableDailySummary[[#This Row],[Fecha]],SummaryDaily[day],SummaryDaily[new_average_order_value],0)</f>
        <v>0</v>
      </c>
      <c r="L765" s="11">
        <f>_xlfn.XLOOKUP(TableDailySummary[[#This Row],[Fecha]],SummaryDaily[day],SummaryDaily[Online Store_net_sales],0)</f>
        <v>0</v>
      </c>
      <c r="M765" s="11">
        <f>_xlfn.XLOOKUP(TableDailySummary[[#This Row],[Fecha]],SummaryDaily[day],SummaryDaily[Online Store_orders],0)</f>
        <v>0</v>
      </c>
      <c r="N765" s="11">
        <f>_xlfn.XLOOKUP(TableDailySummary[[#This Row],[Fecha]],SummaryDaily[day],SummaryDaily[Online Store_average_order_value],0)</f>
        <v>0</v>
      </c>
      <c r="O765" s="11">
        <f>_xlfn.XLOOKUP(TableDailySummary[[#This Row],[Fecha]],SummaryDaily[day],SummaryDaily[Tienda 81_net_sales],0)</f>
        <v>0</v>
      </c>
      <c r="P765" s="11">
        <f>_xlfn.XLOOKUP(TableDailySummary[[#This Row],[Fecha]],SummaryDaily[day],SummaryDaily[Tienda 81_orders],0)</f>
        <v>0</v>
      </c>
      <c r="Q765" s="11">
        <f>_xlfn.XLOOKUP(TableDailySummary[[#This Row],[Fecha]],SummaryDaily[day],SummaryDaily[Tienda 81_average_order_value],0)</f>
        <v>0</v>
      </c>
      <c r="R765" s="11">
        <f>_xlfn.XLOOKUP(TableDailySummary[[#This Row],[Fecha]],SummaryDaily[day],SummaryDaily[Rappi_net_sales],0)</f>
        <v>0</v>
      </c>
      <c r="S765" s="11">
        <f>_xlfn.XLOOKUP(TableDailySummary[[#This Row],[Fecha]],SummaryDaily[day],SummaryDaily[Rappi_orders],0)</f>
        <v>0</v>
      </c>
      <c r="T765" s="11">
        <f>_xlfn.XLOOKUP(TableDailySummary[[#This Row],[Fecha]],SummaryDaily[day],SummaryDaily[Rappi_average_order_value],0)</f>
        <v>0</v>
      </c>
      <c r="U765" s="11">
        <f>_xlfn.XLOOKUP(TableDailySummary[[#This Row],[Fecha]],SummaryDaily[day],SummaryDaily[Corporativo no tienda_net_sales],0)</f>
        <v>0</v>
      </c>
      <c r="V765" s="11">
        <f>_xlfn.XLOOKUP(TableDailySummary[[#This Row],[Fecha]],SummaryDaily[day],SummaryDaily[Corporativo no tienda_orders],0)</f>
        <v>0</v>
      </c>
      <c r="W765" s="11">
        <f>_xlfn.XLOOKUP(TableDailySummary[[#This Row],[Fecha]],SummaryDaily[day],SummaryDaily[Corporativo no tienda_average_order_value],0)</f>
        <v>0</v>
      </c>
      <c r="X765" s="11">
        <f>_xlfn.XLOOKUP(TableDailySummary[[#This Row],[Fecha]],SummaryDaily[day],SummaryDaily[GoogleAdsOperation.Cost],0)</f>
        <v>0</v>
      </c>
      <c r="Y765" s="11">
        <f>SUMIFS(SalesByUTMDaily[google],SalesByUTMDaily[day],TableDailySummary[[#This Row],[Fecha]])</f>
        <v>0</v>
      </c>
      <c r="Z765" s="11">
        <f>_xlfn.XLOOKUP(TableDailySummary[[#This Row],[Fecha]],SummaryDaily[day],SummaryDaily[MetaAdsOperation.spend],0)</f>
        <v>0</v>
      </c>
      <c r="AA765" s="11">
        <f>SUMIFS(SalesByUTMDaily[facebook],SalesByUTMDaily[day],TableDailySummary[[#This Row],[Fecha]])</f>
        <v>0</v>
      </c>
      <c r="AB765" s="11">
        <f>TableDailySummary[[#This Row],[Inversión google ads]]+TableDailySummary[[#This Row],[Inversión meta ads]]</f>
        <v>0</v>
      </c>
      <c r="AC765" s="11">
        <f>TableDailySummary[[#This Row],[Ventas google ads]]+TableDailySummary[[#This Row],[Ventas meta ads]]</f>
        <v>0</v>
      </c>
      <c r="AD765" s="14">
        <f>IFERROR(TableDailySummary[[#This Row],[Ventas publicidad]]/TableDailySummary[[#This Row],[Inversión publicidad]],0)</f>
        <v>0</v>
      </c>
      <c r="AE765" s="14">
        <f>IFERROR(TableDailySummary[[#This Row],[Ventas primer cliente]]/TableDailySummary[[#This Row],[Inversión publicidad]],0)</f>
        <v>0</v>
      </c>
      <c r="AF765" s="14"/>
      <c r="AG765" s="11"/>
      <c r="AM765" s="11">
        <f>_xlfn.XLOOKUP(TableDailySummary[[#This Row],[Fecha]],SummaryDaily[day],SummaryDaily[net_sales_with_cost_recorded],0)</f>
        <v>0</v>
      </c>
      <c r="AN765" s="11">
        <f>_xlfn.XLOOKUP(TableDailySummary[[#This Row],[Fecha]],SummaryDaily[day],SummaryDaily[cost_of_goods_sold],0)</f>
        <v>0</v>
      </c>
      <c r="AO765" s="11">
        <f>_xlfn.XLOOKUP(TableDailySummary[[#This Row],[Fecha]],SummaryDaily[day],SummaryDaily[gross_profit],0)</f>
        <v>0</v>
      </c>
      <c r="AP765" s="18">
        <f>IFERROR(TableDailySummary[[#This Row],[Utilidad bruta]]/TableDailySummary[[#This Row],[Ventas netas con costo registrado]],0)</f>
        <v>0</v>
      </c>
    </row>
    <row r="766" spans="2:42" x14ac:dyDescent="0.2">
      <c r="B766" s="15" cm="1">
        <f t="array" ref="B766">ParamFechaInicioReporte + (ROW(TableDailySummary[#This Row]) - ROW(TableDailySummary[[#Headers],[Dia]]) - 1)</f>
        <v>45293</v>
      </c>
      <c r="C766" s="6">
        <f>TableDailySummary[[#This Row],[Dia]]</f>
        <v>45293</v>
      </c>
      <c r="D766" s="11">
        <f>_xlfn.XLOOKUP(TableDailySummary[[#This Row],[Fecha]],SummaryDaily[day],SummaryDaily[net_sales],0)</f>
        <v>0</v>
      </c>
      <c r="E766" s="11">
        <f>_xlfn.XLOOKUP(TableDailySummary[[#This Row],[Fecha]],SummaryDaily[day],SummaryDaily[orders],0)</f>
        <v>0</v>
      </c>
      <c r="F766" s="11">
        <f>_xlfn.XLOOKUP(TableDailySummary[[#This Row],[Fecha]],SummaryDaily[day],SummaryDaily[average_order_value],0)</f>
        <v>0</v>
      </c>
      <c r="G766" s="24" cm="1">
        <f t="array" ref="G766">_xlfn.XLOOKUP(TableDailySummary[[#This Row],[Fecha]]&amp;"Total site",ConversionRateByReferral[day]&amp;ConversionRateByReferral[referrer_source],ConversionRateByReferral[conversion_rate],0)</f>
        <v>0</v>
      </c>
      <c r="H766" s="11">
        <f>TableDailySummary[[#This Row],[Órden promedio totales]]*TableDailySummary[[#This Row],[CR totales]]</f>
        <v>0</v>
      </c>
      <c r="I766" s="11">
        <f>_xlfn.XLOOKUP(TableDailySummary[[#This Row],[Fecha]],SummaryDaily[day],SummaryDaily[new_net_sales],0)</f>
        <v>0</v>
      </c>
      <c r="J766" s="11">
        <f>_xlfn.XLOOKUP(TableDailySummary[[#This Row],[Fecha]],SummaryDaily[day],SummaryDaily[new_orders],0)</f>
        <v>0</v>
      </c>
      <c r="K766" s="11">
        <f>_xlfn.XLOOKUP(TableDailySummary[[#This Row],[Fecha]],SummaryDaily[day],SummaryDaily[new_average_order_value],0)</f>
        <v>0</v>
      </c>
      <c r="L766" s="11">
        <f>_xlfn.XLOOKUP(TableDailySummary[[#This Row],[Fecha]],SummaryDaily[day],SummaryDaily[Online Store_net_sales],0)</f>
        <v>0</v>
      </c>
      <c r="M766" s="11">
        <f>_xlfn.XLOOKUP(TableDailySummary[[#This Row],[Fecha]],SummaryDaily[day],SummaryDaily[Online Store_orders],0)</f>
        <v>0</v>
      </c>
      <c r="N766" s="11">
        <f>_xlfn.XLOOKUP(TableDailySummary[[#This Row],[Fecha]],SummaryDaily[day],SummaryDaily[Online Store_average_order_value],0)</f>
        <v>0</v>
      </c>
      <c r="O766" s="11">
        <f>_xlfn.XLOOKUP(TableDailySummary[[#This Row],[Fecha]],SummaryDaily[day],SummaryDaily[Tienda 81_net_sales],0)</f>
        <v>0</v>
      </c>
      <c r="P766" s="11">
        <f>_xlfn.XLOOKUP(TableDailySummary[[#This Row],[Fecha]],SummaryDaily[day],SummaryDaily[Tienda 81_orders],0)</f>
        <v>0</v>
      </c>
      <c r="Q766" s="11">
        <f>_xlfn.XLOOKUP(TableDailySummary[[#This Row],[Fecha]],SummaryDaily[day],SummaryDaily[Tienda 81_average_order_value],0)</f>
        <v>0</v>
      </c>
      <c r="R766" s="11">
        <f>_xlfn.XLOOKUP(TableDailySummary[[#This Row],[Fecha]],SummaryDaily[day],SummaryDaily[Rappi_net_sales],0)</f>
        <v>0</v>
      </c>
      <c r="S766" s="11">
        <f>_xlfn.XLOOKUP(TableDailySummary[[#This Row],[Fecha]],SummaryDaily[day],SummaryDaily[Rappi_orders],0)</f>
        <v>0</v>
      </c>
      <c r="T766" s="11">
        <f>_xlfn.XLOOKUP(TableDailySummary[[#This Row],[Fecha]],SummaryDaily[day],SummaryDaily[Rappi_average_order_value],0)</f>
        <v>0</v>
      </c>
      <c r="U766" s="11">
        <f>_xlfn.XLOOKUP(TableDailySummary[[#This Row],[Fecha]],SummaryDaily[day],SummaryDaily[Corporativo no tienda_net_sales],0)</f>
        <v>0</v>
      </c>
      <c r="V766" s="11">
        <f>_xlfn.XLOOKUP(TableDailySummary[[#This Row],[Fecha]],SummaryDaily[day],SummaryDaily[Corporativo no tienda_orders],0)</f>
        <v>0</v>
      </c>
      <c r="W766" s="11">
        <f>_xlfn.XLOOKUP(TableDailySummary[[#This Row],[Fecha]],SummaryDaily[day],SummaryDaily[Corporativo no tienda_average_order_value],0)</f>
        <v>0</v>
      </c>
      <c r="X766" s="11">
        <f>_xlfn.XLOOKUP(TableDailySummary[[#This Row],[Fecha]],SummaryDaily[day],SummaryDaily[GoogleAdsOperation.Cost],0)</f>
        <v>0</v>
      </c>
      <c r="Y766" s="11">
        <f>SUMIFS(SalesByUTMDaily[google],SalesByUTMDaily[day],TableDailySummary[[#This Row],[Fecha]])</f>
        <v>0</v>
      </c>
      <c r="Z766" s="11">
        <f>_xlfn.XLOOKUP(TableDailySummary[[#This Row],[Fecha]],SummaryDaily[day],SummaryDaily[MetaAdsOperation.spend],0)</f>
        <v>0</v>
      </c>
      <c r="AA766" s="11">
        <f>SUMIFS(SalesByUTMDaily[facebook],SalesByUTMDaily[day],TableDailySummary[[#This Row],[Fecha]])</f>
        <v>0</v>
      </c>
      <c r="AB766" s="11">
        <f>TableDailySummary[[#This Row],[Inversión google ads]]+TableDailySummary[[#This Row],[Inversión meta ads]]</f>
        <v>0</v>
      </c>
      <c r="AC766" s="11">
        <f>TableDailySummary[[#This Row],[Ventas google ads]]+TableDailySummary[[#This Row],[Ventas meta ads]]</f>
        <v>0</v>
      </c>
      <c r="AD766" s="14">
        <f>IFERROR(TableDailySummary[[#This Row],[Ventas publicidad]]/TableDailySummary[[#This Row],[Inversión publicidad]],0)</f>
        <v>0</v>
      </c>
      <c r="AE766" s="14">
        <f>IFERROR(TableDailySummary[[#This Row],[Ventas primer cliente]]/TableDailySummary[[#This Row],[Inversión publicidad]],0)</f>
        <v>0</v>
      </c>
      <c r="AF766" s="14"/>
      <c r="AG766" s="11"/>
      <c r="AM766" s="11">
        <f>_xlfn.XLOOKUP(TableDailySummary[[#This Row],[Fecha]],SummaryDaily[day],SummaryDaily[net_sales_with_cost_recorded],0)</f>
        <v>0</v>
      </c>
      <c r="AN766" s="11">
        <f>_xlfn.XLOOKUP(TableDailySummary[[#This Row],[Fecha]],SummaryDaily[day],SummaryDaily[cost_of_goods_sold],0)</f>
        <v>0</v>
      </c>
      <c r="AO766" s="11">
        <f>_xlfn.XLOOKUP(TableDailySummary[[#This Row],[Fecha]],SummaryDaily[day],SummaryDaily[gross_profit],0)</f>
        <v>0</v>
      </c>
      <c r="AP766" s="18">
        <f>IFERROR(TableDailySummary[[#This Row],[Utilidad bruta]]/TableDailySummary[[#This Row],[Ventas netas con costo registrado]],0)</f>
        <v>0</v>
      </c>
    </row>
    <row r="767" spans="2:42" x14ac:dyDescent="0.2">
      <c r="B767" s="15" cm="1">
        <f t="array" ref="B767">ParamFechaInicioReporte + (ROW(TableDailySummary[#This Row]) - ROW(TableDailySummary[[#Headers],[Dia]]) - 1)</f>
        <v>45294</v>
      </c>
      <c r="C767" s="6">
        <f>TableDailySummary[[#This Row],[Dia]]</f>
        <v>45294</v>
      </c>
      <c r="D767" s="11">
        <f>_xlfn.XLOOKUP(TableDailySummary[[#This Row],[Fecha]],SummaryDaily[day],SummaryDaily[net_sales],0)</f>
        <v>0</v>
      </c>
      <c r="E767" s="11">
        <f>_xlfn.XLOOKUP(TableDailySummary[[#This Row],[Fecha]],SummaryDaily[day],SummaryDaily[orders],0)</f>
        <v>0</v>
      </c>
      <c r="F767" s="11">
        <f>_xlfn.XLOOKUP(TableDailySummary[[#This Row],[Fecha]],SummaryDaily[day],SummaryDaily[average_order_value],0)</f>
        <v>0</v>
      </c>
      <c r="G767" s="24" cm="1">
        <f t="array" ref="G767">_xlfn.XLOOKUP(TableDailySummary[[#This Row],[Fecha]]&amp;"Total site",ConversionRateByReferral[day]&amp;ConversionRateByReferral[referrer_source],ConversionRateByReferral[conversion_rate],0)</f>
        <v>0</v>
      </c>
      <c r="H767" s="11">
        <f>TableDailySummary[[#This Row],[Órden promedio totales]]*TableDailySummary[[#This Row],[CR totales]]</f>
        <v>0</v>
      </c>
      <c r="I767" s="11">
        <f>_xlfn.XLOOKUP(TableDailySummary[[#This Row],[Fecha]],SummaryDaily[day],SummaryDaily[new_net_sales],0)</f>
        <v>0</v>
      </c>
      <c r="J767" s="11">
        <f>_xlfn.XLOOKUP(TableDailySummary[[#This Row],[Fecha]],SummaryDaily[day],SummaryDaily[new_orders],0)</f>
        <v>0</v>
      </c>
      <c r="K767" s="11">
        <f>_xlfn.XLOOKUP(TableDailySummary[[#This Row],[Fecha]],SummaryDaily[day],SummaryDaily[new_average_order_value],0)</f>
        <v>0</v>
      </c>
      <c r="L767" s="11">
        <f>_xlfn.XLOOKUP(TableDailySummary[[#This Row],[Fecha]],SummaryDaily[day],SummaryDaily[Online Store_net_sales],0)</f>
        <v>0</v>
      </c>
      <c r="M767" s="11">
        <f>_xlfn.XLOOKUP(TableDailySummary[[#This Row],[Fecha]],SummaryDaily[day],SummaryDaily[Online Store_orders],0)</f>
        <v>0</v>
      </c>
      <c r="N767" s="11">
        <f>_xlfn.XLOOKUP(TableDailySummary[[#This Row],[Fecha]],SummaryDaily[day],SummaryDaily[Online Store_average_order_value],0)</f>
        <v>0</v>
      </c>
      <c r="O767" s="11">
        <f>_xlfn.XLOOKUP(TableDailySummary[[#This Row],[Fecha]],SummaryDaily[day],SummaryDaily[Tienda 81_net_sales],0)</f>
        <v>0</v>
      </c>
      <c r="P767" s="11">
        <f>_xlfn.XLOOKUP(TableDailySummary[[#This Row],[Fecha]],SummaryDaily[day],SummaryDaily[Tienda 81_orders],0)</f>
        <v>0</v>
      </c>
      <c r="Q767" s="11">
        <f>_xlfn.XLOOKUP(TableDailySummary[[#This Row],[Fecha]],SummaryDaily[day],SummaryDaily[Tienda 81_average_order_value],0)</f>
        <v>0</v>
      </c>
      <c r="R767" s="11">
        <f>_xlfn.XLOOKUP(TableDailySummary[[#This Row],[Fecha]],SummaryDaily[day],SummaryDaily[Rappi_net_sales],0)</f>
        <v>0</v>
      </c>
      <c r="S767" s="11">
        <f>_xlfn.XLOOKUP(TableDailySummary[[#This Row],[Fecha]],SummaryDaily[day],SummaryDaily[Rappi_orders],0)</f>
        <v>0</v>
      </c>
      <c r="T767" s="11">
        <f>_xlfn.XLOOKUP(TableDailySummary[[#This Row],[Fecha]],SummaryDaily[day],SummaryDaily[Rappi_average_order_value],0)</f>
        <v>0</v>
      </c>
      <c r="U767" s="11">
        <f>_xlfn.XLOOKUP(TableDailySummary[[#This Row],[Fecha]],SummaryDaily[day],SummaryDaily[Corporativo no tienda_net_sales],0)</f>
        <v>0</v>
      </c>
      <c r="V767" s="11">
        <f>_xlfn.XLOOKUP(TableDailySummary[[#This Row],[Fecha]],SummaryDaily[day],SummaryDaily[Corporativo no tienda_orders],0)</f>
        <v>0</v>
      </c>
      <c r="W767" s="11">
        <f>_xlfn.XLOOKUP(TableDailySummary[[#This Row],[Fecha]],SummaryDaily[day],SummaryDaily[Corporativo no tienda_average_order_value],0)</f>
        <v>0</v>
      </c>
      <c r="X767" s="11">
        <f>_xlfn.XLOOKUP(TableDailySummary[[#This Row],[Fecha]],SummaryDaily[day],SummaryDaily[GoogleAdsOperation.Cost],0)</f>
        <v>0</v>
      </c>
      <c r="Y767" s="11">
        <f>SUMIFS(SalesByUTMDaily[google],SalesByUTMDaily[day],TableDailySummary[[#This Row],[Fecha]])</f>
        <v>0</v>
      </c>
      <c r="Z767" s="11">
        <f>_xlfn.XLOOKUP(TableDailySummary[[#This Row],[Fecha]],SummaryDaily[day],SummaryDaily[MetaAdsOperation.spend],0)</f>
        <v>0</v>
      </c>
      <c r="AA767" s="11">
        <f>SUMIFS(SalesByUTMDaily[facebook],SalesByUTMDaily[day],TableDailySummary[[#This Row],[Fecha]])</f>
        <v>0</v>
      </c>
      <c r="AB767" s="11">
        <f>TableDailySummary[[#This Row],[Inversión google ads]]+TableDailySummary[[#This Row],[Inversión meta ads]]</f>
        <v>0</v>
      </c>
      <c r="AC767" s="11">
        <f>TableDailySummary[[#This Row],[Ventas google ads]]+TableDailySummary[[#This Row],[Ventas meta ads]]</f>
        <v>0</v>
      </c>
      <c r="AD767" s="14">
        <f>IFERROR(TableDailySummary[[#This Row],[Ventas publicidad]]/TableDailySummary[[#This Row],[Inversión publicidad]],0)</f>
        <v>0</v>
      </c>
      <c r="AE767" s="14">
        <f>IFERROR(TableDailySummary[[#This Row],[Ventas primer cliente]]/TableDailySummary[[#This Row],[Inversión publicidad]],0)</f>
        <v>0</v>
      </c>
      <c r="AF767" s="14"/>
      <c r="AG767" s="11"/>
      <c r="AM767" s="11">
        <f>_xlfn.XLOOKUP(TableDailySummary[[#This Row],[Fecha]],SummaryDaily[day],SummaryDaily[net_sales_with_cost_recorded],0)</f>
        <v>0</v>
      </c>
      <c r="AN767" s="11">
        <f>_xlfn.XLOOKUP(TableDailySummary[[#This Row],[Fecha]],SummaryDaily[day],SummaryDaily[cost_of_goods_sold],0)</f>
        <v>0</v>
      </c>
      <c r="AO767" s="11">
        <f>_xlfn.XLOOKUP(TableDailySummary[[#This Row],[Fecha]],SummaryDaily[day],SummaryDaily[gross_profit],0)</f>
        <v>0</v>
      </c>
      <c r="AP767" s="18">
        <f>IFERROR(TableDailySummary[[#This Row],[Utilidad bruta]]/TableDailySummary[[#This Row],[Ventas netas con costo registrado]],0)</f>
        <v>0</v>
      </c>
    </row>
    <row r="768" spans="2:42" x14ac:dyDescent="0.2">
      <c r="B768" s="15" cm="1">
        <f t="array" ref="B768">ParamFechaInicioReporte + (ROW(TableDailySummary[#This Row]) - ROW(TableDailySummary[[#Headers],[Dia]]) - 1)</f>
        <v>45295</v>
      </c>
      <c r="C768" s="6">
        <f>TableDailySummary[[#This Row],[Dia]]</f>
        <v>45295</v>
      </c>
      <c r="D768" s="11">
        <f>_xlfn.XLOOKUP(TableDailySummary[[#This Row],[Fecha]],SummaryDaily[day],SummaryDaily[net_sales],0)</f>
        <v>0</v>
      </c>
      <c r="E768" s="11">
        <f>_xlfn.XLOOKUP(TableDailySummary[[#This Row],[Fecha]],SummaryDaily[day],SummaryDaily[orders],0)</f>
        <v>0</v>
      </c>
      <c r="F768" s="11">
        <f>_xlfn.XLOOKUP(TableDailySummary[[#This Row],[Fecha]],SummaryDaily[day],SummaryDaily[average_order_value],0)</f>
        <v>0</v>
      </c>
      <c r="G768" s="24" cm="1">
        <f t="array" ref="G768">_xlfn.XLOOKUP(TableDailySummary[[#This Row],[Fecha]]&amp;"Total site",ConversionRateByReferral[day]&amp;ConversionRateByReferral[referrer_source],ConversionRateByReferral[conversion_rate],0)</f>
        <v>0</v>
      </c>
      <c r="H768" s="11">
        <f>TableDailySummary[[#This Row],[Órden promedio totales]]*TableDailySummary[[#This Row],[CR totales]]</f>
        <v>0</v>
      </c>
      <c r="I768" s="11">
        <f>_xlfn.XLOOKUP(TableDailySummary[[#This Row],[Fecha]],SummaryDaily[day],SummaryDaily[new_net_sales],0)</f>
        <v>0</v>
      </c>
      <c r="J768" s="11">
        <f>_xlfn.XLOOKUP(TableDailySummary[[#This Row],[Fecha]],SummaryDaily[day],SummaryDaily[new_orders],0)</f>
        <v>0</v>
      </c>
      <c r="K768" s="11">
        <f>_xlfn.XLOOKUP(TableDailySummary[[#This Row],[Fecha]],SummaryDaily[day],SummaryDaily[new_average_order_value],0)</f>
        <v>0</v>
      </c>
      <c r="L768" s="11">
        <f>_xlfn.XLOOKUP(TableDailySummary[[#This Row],[Fecha]],SummaryDaily[day],SummaryDaily[Online Store_net_sales],0)</f>
        <v>0</v>
      </c>
      <c r="M768" s="11">
        <f>_xlfn.XLOOKUP(TableDailySummary[[#This Row],[Fecha]],SummaryDaily[day],SummaryDaily[Online Store_orders],0)</f>
        <v>0</v>
      </c>
      <c r="N768" s="11">
        <f>_xlfn.XLOOKUP(TableDailySummary[[#This Row],[Fecha]],SummaryDaily[day],SummaryDaily[Online Store_average_order_value],0)</f>
        <v>0</v>
      </c>
      <c r="O768" s="11">
        <f>_xlfn.XLOOKUP(TableDailySummary[[#This Row],[Fecha]],SummaryDaily[day],SummaryDaily[Tienda 81_net_sales],0)</f>
        <v>0</v>
      </c>
      <c r="P768" s="11">
        <f>_xlfn.XLOOKUP(TableDailySummary[[#This Row],[Fecha]],SummaryDaily[day],SummaryDaily[Tienda 81_orders],0)</f>
        <v>0</v>
      </c>
      <c r="Q768" s="11">
        <f>_xlfn.XLOOKUP(TableDailySummary[[#This Row],[Fecha]],SummaryDaily[day],SummaryDaily[Tienda 81_average_order_value],0)</f>
        <v>0</v>
      </c>
      <c r="R768" s="11">
        <f>_xlfn.XLOOKUP(TableDailySummary[[#This Row],[Fecha]],SummaryDaily[day],SummaryDaily[Rappi_net_sales],0)</f>
        <v>0</v>
      </c>
      <c r="S768" s="11">
        <f>_xlfn.XLOOKUP(TableDailySummary[[#This Row],[Fecha]],SummaryDaily[day],SummaryDaily[Rappi_orders],0)</f>
        <v>0</v>
      </c>
      <c r="T768" s="11">
        <f>_xlfn.XLOOKUP(TableDailySummary[[#This Row],[Fecha]],SummaryDaily[day],SummaryDaily[Rappi_average_order_value],0)</f>
        <v>0</v>
      </c>
      <c r="U768" s="11">
        <f>_xlfn.XLOOKUP(TableDailySummary[[#This Row],[Fecha]],SummaryDaily[day],SummaryDaily[Corporativo no tienda_net_sales],0)</f>
        <v>0</v>
      </c>
      <c r="V768" s="11">
        <f>_xlfn.XLOOKUP(TableDailySummary[[#This Row],[Fecha]],SummaryDaily[day],SummaryDaily[Corporativo no tienda_orders],0)</f>
        <v>0</v>
      </c>
      <c r="W768" s="11">
        <f>_xlfn.XLOOKUP(TableDailySummary[[#This Row],[Fecha]],SummaryDaily[day],SummaryDaily[Corporativo no tienda_average_order_value],0)</f>
        <v>0</v>
      </c>
      <c r="X768" s="11">
        <f>_xlfn.XLOOKUP(TableDailySummary[[#This Row],[Fecha]],SummaryDaily[day],SummaryDaily[GoogleAdsOperation.Cost],0)</f>
        <v>0</v>
      </c>
      <c r="Y768" s="11">
        <f>SUMIFS(SalesByUTMDaily[google],SalesByUTMDaily[day],TableDailySummary[[#This Row],[Fecha]])</f>
        <v>0</v>
      </c>
      <c r="Z768" s="11">
        <f>_xlfn.XLOOKUP(TableDailySummary[[#This Row],[Fecha]],SummaryDaily[day],SummaryDaily[MetaAdsOperation.spend],0)</f>
        <v>0</v>
      </c>
      <c r="AA768" s="11">
        <f>SUMIFS(SalesByUTMDaily[facebook],SalesByUTMDaily[day],TableDailySummary[[#This Row],[Fecha]])</f>
        <v>0</v>
      </c>
      <c r="AB768" s="11">
        <f>TableDailySummary[[#This Row],[Inversión google ads]]+TableDailySummary[[#This Row],[Inversión meta ads]]</f>
        <v>0</v>
      </c>
      <c r="AC768" s="11">
        <f>TableDailySummary[[#This Row],[Ventas google ads]]+TableDailySummary[[#This Row],[Ventas meta ads]]</f>
        <v>0</v>
      </c>
      <c r="AD768" s="14">
        <f>IFERROR(TableDailySummary[[#This Row],[Ventas publicidad]]/TableDailySummary[[#This Row],[Inversión publicidad]],0)</f>
        <v>0</v>
      </c>
      <c r="AE768" s="14">
        <f>IFERROR(TableDailySummary[[#This Row],[Ventas primer cliente]]/TableDailySummary[[#This Row],[Inversión publicidad]],0)</f>
        <v>0</v>
      </c>
      <c r="AF768" s="14"/>
      <c r="AG768" s="11"/>
      <c r="AM768" s="11">
        <f>_xlfn.XLOOKUP(TableDailySummary[[#This Row],[Fecha]],SummaryDaily[day],SummaryDaily[net_sales_with_cost_recorded],0)</f>
        <v>0</v>
      </c>
      <c r="AN768" s="11">
        <f>_xlfn.XLOOKUP(TableDailySummary[[#This Row],[Fecha]],SummaryDaily[day],SummaryDaily[cost_of_goods_sold],0)</f>
        <v>0</v>
      </c>
      <c r="AO768" s="11">
        <f>_xlfn.XLOOKUP(TableDailySummary[[#This Row],[Fecha]],SummaryDaily[day],SummaryDaily[gross_profit],0)</f>
        <v>0</v>
      </c>
      <c r="AP768" s="18">
        <f>IFERROR(TableDailySummary[[#This Row],[Utilidad bruta]]/TableDailySummary[[#This Row],[Ventas netas con costo registrado]],0)</f>
        <v>0</v>
      </c>
    </row>
    <row r="769" spans="2:42" x14ac:dyDescent="0.2">
      <c r="B769" s="15" cm="1">
        <f t="array" ref="B769">ParamFechaInicioReporte + (ROW(TableDailySummary[#This Row]) - ROW(TableDailySummary[[#Headers],[Dia]]) - 1)</f>
        <v>45296</v>
      </c>
      <c r="C769" s="6">
        <f>TableDailySummary[[#This Row],[Dia]]</f>
        <v>45296</v>
      </c>
      <c r="D769" s="11">
        <f>_xlfn.XLOOKUP(TableDailySummary[[#This Row],[Fecha]],SummaryDaily[day],SummaryDaily[net_sales],0)</f>
        <v>0</v>
      </c>
      <c r="E769" s="11">
        <f>_xlfn.XLOOKUP(TableDailySummary[[#This Row],[Fecha]],SummaryDaily[day],SummaryDaily[orders],0)</f>
        <v>0</v>
      </c>
      <c r="F769" s="11">
        <f>_xlfn.XLOOKUP(TableDailySummary[[#This Row],[Fecha]],SummaryDaily[day],SummaryDaily[average_order_value],0)</f>
        <v>0</v>
      </c>
      <c r="G769" s="24" cm="1">
        <f t="array" ref="G769">_xlfn.XLOOKUP(TableDailySummary[[#This Row],[Fecha]]&amp;"Total site",ConversionRateByReferral[day]&amp;ConversionRateByReferral[referrer_source],ConversionRateByReferral[conversion_rate],0)</f>
        <v>0</v>
      </c>
      <c r="H769" s="11">
        <f>TableDailySummary[[#This Row],[Órden promedio totales]]*TableDailySummary[[#This Row],[CR totales]]</f>
        <v>0</v>
      </c>
      <c r="I769" s="11">
        <f>_xlfn.XLOOKUP(TableDailySummary[[#This Row],[Fecha]],SummaryDaily[day],SummaryDaily[new_net_sales],0)</f>
        <v>0</v>
      </c>
      <c r="J769" s="11">
        <f>_xlfn.XLOOKUP(TableDailySummary[[#This Row],[Fecha]],SummaryDaily[day],SummaryDaily[new_orders],0)</f>
        <v>0</v>
      </c>
      <c r="K769" s="11">
        <f>_xlfn.XLOOKUP(TableDailySummary[[#This Row],[Fecha]],SummaryDaily[day],SummaryDaily[new_average_order_value],0)</f>
        <v>0</v>
      </c>
      <c r="L769" s="11">
        <f>_xlfn.XLOOKUP(TableDailySummary[[#This Row],[Fecha]],SummaryDaily[day],SummaryDaily[Online Store_net_sales],0)</f>
        <v>0</v>
      </c>
      <c r="M769" s="11">
        <f>_xlfn.XLOOKUP(TableDailySummary[[#This Row],[Fecha]],SummaryDaily[day],SummaryDaily[Online Store_orders],0)</f>
        <v>0</v>
      </c>
      <c r="N769" s="11">
        <f>_xlfn.XLOOKUP(TableDailySummary[[#This Row],[Fecha]],SummaryDaily[day],SummaryDaily[Online Store_average_order_value],0)</f>
        <v>0</v>
      </c>
      <c r="O769" s="11">
        <f>_xlfn.XLOOKUP(TableDailySummary[[#This Row],[Fecha]],SummaryDaily[day],SummaryDaily[Tienda 81_net_sales],0)</f>
        <v>0</v>
      </c>
      <c r="P769" s="11">
        <f>_xlfn.XLOOKUP(TableDailySummary[[#This Row],[Fecha]],SummaryDaily[day],SummaryDaily[Tienda 81_orders],0)</f>
        <v>0</v>
      </c>
      <c r="Q769" s="11">
        <f>_xlfn.XLOOKUP(TableDailySummary[[#This Row],[Fecha]],SummaryDaily[day],SummaryDaily[Tienda 81_average_order_value],0)</f>
        <v>0</v>
      </c>
      <c r="R769" s="11">
        <f>_xlfn.XLOOKUP(TableDailySummary[[#This Row],[Fecha]],SummaryDaily[day],SummaryDaily[Rappi_net_sales],0)</f>
        <v>0</v>
      </c>
      <c r="S769" s="11">
        <f>_xlfn.XLOOKUP(TableDailySummary[[#This Row],[Fecha]],SummaryDaily[day],SummaryDaily[Rappi_orders],0)</f>
        <v>0</v>
      </c>
      <c r="T769" s="11">
        <f>_xlfn.XLOOKUP(TableDailySummary[[#This Row],[Fecha]],SummaryDaily[day],SummaryDaily[Rappi_average_order_value],0)</f>
        <v>0</v>
      </c>
      <c r="U769" s="11">
        <f>_xlfn.XLOOKUP(TableDailySummary[[#This Row],[Fecha]],SummaryDaily[day],SummaryDaily[Corporativo no tienda_net_sales],0)</f>
        <v>0</v>
      </c>
      <c r="V769" s="11">
        <f>_xlfn.XLOOKUP(TableDailySummary[[#This Row],[Fecha]],SummaryDaily[day],SummaryDaily[Corporativo no tienda_orders],0)</f>
        <v>0</v>
      </c>
      <c r="W769" s="11">
        <f>_xlfn.XLOOKUP(TableDailySummary[[#This Row],[Fecha]],SummaryDaily[day],SummaryDaily[Corporativo no tienda_average_order_value],0)</f>
        <v>0</v>
      </c>
      <c r="X769" s="11">
        <f>_xlfn.XLOOKUP(TableDailySummary[[#This Row],[Fecha]],SummaryDaily[day],SummaryDaily[GoogleAdsOperation.Cost],0)</f>
        <v>0</v>
      </c>
      <c r="Y769" s="11">
        <f>SUMIFS(SalesByUTMDaily[google],SalesByUTMDaily[day],TableDailySummary[[#This Row],[Fecha]])</f>
        <v>0</v>
      </c>
      <c r="Z769" s="11">
        <f>_xlfn.XLOOKUP(TableDailySummary[[#This Row],[Fecha]],SummaryDaily[day],SummaryDaily[MetaAdsOperation.spend],0)</f>
        <v>0</v>
      </c>
      <c r="AA769" s="11">
        <f>SUMIFS(SalesByUTMDaily[facebook],SalesByUTMDaily[day],TableDailySummary[[#This Row],[Fecha]])</f>
        <v>0</v>
      </c>
      <c r="AB769" s="11">
        <f>TableDailySummary[[#This Row],[Inversión google ads]]+TableDailySummary[[#This Row],[Inversión meta ads]]</f>
        <v>0</v>
      </c>
      <c r="AC769" s="11">
        <f>TableDailySummary[[#This Row],[Ventas google ads]]+TableDailySummary[[#This Row],[Ventas meta ads]]</f>
        <v>0</v>
      </c>
      <c r="AD769" s="14">
        <f>IFERROR(TableDailySummary[[#This Row],[Ventas publicidad]]/TableDailySummary[[#This Row],[Inversión publicidad]],0)</f>
        <v>0</v>
      </c>
      <c r="AE769" s="14">
        <f>IFERROR(TableDailySummary[[#This Row],[Ventas primer cliente]]/TableDailySummary[[#This Row],[Inversión publicidad]],0)</f>
        <v>0</v>
      </c>
      <c r="AF769" s="14"/>
      <c r="AG769" s="11"/>
      <c r="AM769" s="11">
        <f>_xlfn.XLOOKUP(TableDailySummary[[#This Row],[Fecha]],SummaryDaily[day],SummaryDaily[net_sales_with_cost_recorded],0)</f>
        <v>0</v>
      </c>
      <c r="AN769" s="11">
        <f>_xlfn.XLOOKUP(TableDailySummary[[#This Row],[Fecha]],SummaryDaily[day],SummaryDaily[cost_of_goods_sold],0)</f>
        <v>0</v>
      </c>
      <c r="AO769" s="11">
        <f>_xlfn.XLOOKUP(TableDailySummary[[#This Row],[Fecha]],SummaryDaily[day],SummaryDaily[gross_profit],0)</f>
        <v>0</v>
      </c>
      <c r="AP769" s="18">
        <f>IFERROR(TableDailySummary[[#This Row],[Utilidad bruta]]/TableDailySummary[[#This Row],[Ventas netas con costo registrado]],0)</f>
        <v>0</v>
      </c>
    </row>
    <row r="770" spans="2:42" x14ac:dyDescent="0.2">
      <c r="B770" s="15" cm="1">
        <f t="array" ref="B770">ParamFechaInicioReporte + (ROW(TableDailySummary[#This Row]) - ROW(TableDailySummary[[#Headers],[Dia]]) - 1)</f>
        <v>45297</v>
      </c>
      <c r="C770" s="6">
        <f>TableDailySummary[[#This Row],[Dia]]</f>
        <v>45297</v>
      </c>
      <c r="D770" s="11">
        <f>_xlfn.XLOOKUP(TableDailySummary[[#This Row],[Fecha]],SummaryDaily[day],SummaryDaily[net_sales],0)</f>
        <v>0</v>
      </c>
      <c r="E770" s="11">
        <f>_xlfn.XLOOKUP(TableDailySummary[[#This Row],[Fecha]],SummaryDaily[day],SummaryDaily[orders],0)</f>
        <v>0</v>
      </c>
      <c r="F770" s="11">
        <f>_xlfn.XLOOKUP(TableDailySummary[[#This Row],[Fecha]],SummaryDaily[day],SummaryDaily[average_order_value],0)</f>
        <v>0</v>
      </c>
      <c r="G770" s="24" cm="1">
        <f t="array" ref="G770">_xlfn.XLOOKUP(TableDailySummary[[#This Row],[Fecha]]&amp;"Total site",ConversionRateByReferral[day]&amp;ConversionRateByReferral[referrer_source],ConversionRateByReferral[conversion_rate],0)</f>
        <v>0</v>
      </c>
      <c r="H770" s="11">
        <f>TableDailySummary[[#This Row],[Órden promedio totales]]*TableDailySummary[[#This Row],[CR totales]]</f>
        <v>0</v>
      </c>
      <c r="I770" s="11">
        <f>_xlfn.XLOOKUP(TableDailySummary[[#This Row],[Fecha]],SummaryDaily[day],SummaryDaily[new_net_sales],0)</f>
        <v>0</v>
      </c>
      <c r="J770" s="11">
        <f>_xlfn.XLOOKUP(TableDailySummary[[#This Row],[Fecha]],SummaryDaily[day],SummaryDaily[new_orders],0)</f>
        <v>0</v>
      </c>
      <c r="K770" s="11">
        <f>_xlfn.XLOOKUP(TableDailySummary[[#This Row],[Fecha]],SummaryDaily[day],SummaryDaily[new_average_order_value],0)</f>
        <v>0</v>
      </c>
      <c r="L770" s="11">
        <f>_xlfn.XLOOKUP(TableDailySummary[[#This Row],[Fecha]],SummaryDaily[day],SummaryDaily[Online Store_net_sales],0)</f>
        <v>0</v>
      </c>
      <c r="M770" s="11">
        <f>_xlfn.XLOOKUP(TableDailySummary[[#This Row],[Fecha]],SummaryDaily[day],SummaryDaily[Online Store_orders],0)</f>
        <v>0</v>
      </c>
      <c r="N770" s="11">
        <f>_xlfn.XLOOKUP(TableDailySummary[[#This Row],[Fecha]],SummaryDaily[day],SummaryDaily[Online Store_average_order_value],0)</f>
        <v>0</v>
      </c>
      <c r="O770" s="11">
        <f>_xlfn.XLOOKUP(TableDailySummary[[#This Row],[Fecha]],SummaryDaily[day],SummaryDaily[Tienda 81_net_sales],0)</f>
        <v>0</v>
      </c>
      <c r="P770" s="11">
        <f>_xlfn.XLOOKUP(TableDailySummary[[#This Row],[Fecha]],SummaryDaily[day],SummaryDaily[Tienda 81_orders],0)</f>
        <v>0</v>
      </c>
      <c r="Q770" s="11">
        <f>_xlfn.XLOOKUP(TableDailySummary[[#This Row],[Fecha]],SummaryDaily[day],SummaryDaily[Tienda 81_average_order_value],0)</f>
        <v>0</v>
      </c>
      <c r="R770" s="11">
        <f>_xlfn.XLOOKUP(TableDailySummary[[#This Row],[Fecha]],SummaryDaily[day],SummaryDaily[Rappi_net_sales],0)</f>
        <v>0</v>
      </c>
      <c r="S770" s="11">
        <f>_xlfn.XLOOKUP(TableDailySummary[[#This Row],[Fecha]],SummaryDaily[day],SummaryDaily[Rappi_orders],0)</f>
        <v>0</v>
      </c>
      <c r="T770" s="11">
        <f>_xlfn.XLOOKUP(TableDailySummary[[#This Row],[Fecha]],SummaryDaily[day],SummaryDaily[Rappi_average_order_value],0)</f>
        <v>0</v>
      </c>
      <c r="U770" s="11">
        <f>_xlfn.XLOOKUP(TableDailySummary[[#This Row],[Fecha]],SummaryDaily[day],SummaryDaily[Corporativo no tienda_net_sales],0)</f>
        <v>0</v>
      </c>
      <c r="V770" s="11">
        <f>_xlfn.XLOOKUP(TableDailySummary[[#This Row],[Fecha]],SummaryDaily[day],SummaryDaily[Corporativo no tienda_orders],0)</f>
        <v>0</v>
      </c>
      <c r="W770" s="11">
        <f>_xlfn.XLOOKUP(TableDailySummary[[#This Row],[Fecha]],SummaryDaily[day],SummaryDaily[Corporativo no tienda_average_order_value],0)</f>
        <v>0</v>
      </c>
      <c r="X770" s="11">
        <f>_xlfn.XLOOKUP(TableDailySummary[[#This Row],[Fecha]],SummaryDaily[day],SummaryDaily[GoogleAdsOperation.Cost],0)</f>
        <v>0</v>
      </c>
      <c r="Y770" s="11">
        <f>SUMIFS(SalesByUTMDaily[google],SalesByUTMDaily[day],TableDailySummary[[#This Row],[Fecha]])</f>
        <v>0</v>
      </c>
      <c r="Z770" s="11">
        <f>_xlfn.XLOOKUP(TableDailySummary[[#This Row],[Fecha]],SummaryDaily[day],SummaryDaily[MetaAdsOperation.spend],0)</f>
        <v>0</v>
      </c>
      <c r="AA770" s="11">
        <f>SUMIFS(SalesByUTMDaily[facebook],SalesByUTMDaily[day],TableDailySummary[[#This Row],[Fecha]])</f>
        <v>0</v>
      </c>
      <c r="AB770" s="11">
        <f>TableDailySummary[[#This Row],[Inversión google ads]]+TableDailySummary[[#This Row],[Inversión meta ads]]</f>
        <v>0</v>
      </c>
      <c r="AC770" s="11">
        <f>TableDailySummary[[#This Row],[Ventas google ads]]+TableDailySummary[[#This Row],[Ventas meta ads]]</f>
        <v>0</v>
      </c>
      <c r="AD770" s="14">
        <f>IFERROR(TableDailySummary[[#This Row],[Ventas publicidad]]/TableDailySummary[[#This Row],[Inversión publicidad]],0)</f>
        <v>0</v>
      </c>
      <c r="AE770" s="14">
        <f>IFERROR(TableDailySummary[[#This Row],[Ventas primer cliente]]/TableDailySummary[[#This Row],[Inversión publicidad]],0)</f>
        <v>0</v>
      </c>
      <c r="AF770" s="14"/>
      <c r="AG770" s="11"/>
      <c r="AM770" s="11">
        <f>_xlfn.XLOOKUP(TableDailySummary[[#This Row],[Fecha]],SummaryDaily[day],SummaryDaily[net_sales_with_cost_recorded],0)</f>
        <v>0</v>
      </c>
      <c r="AN770" s="11">
        <f>_xlfn.XLOOKUP(TableDailySummary[[#This Row],[Fecha]],SummaryDaily[day],SummaryDaily[cost_of_goods_sold],0)</f>
        <v>0</v>
      </c>
      <c r="AO770" s="11">
        <f>_xlfn.XLOOKUP(TableDailySummary[[#This Row],[Fecha]],SummaryDaily[day],SummaryDaily[gross_profit],0)</f>
        <v>0</v>
      </c>
      <c r="AP770" s="18">
        <f>IFERROR(TableDailySummary[[#This Row],[Utilidad bruta]]/TableDailySummary[[#This Row],[Ventas netas con costo registrado]],0)</f>
        <v>0</v>
      </c>
    </row>
    <row r="771" spans="2:42" x14ac:dyDescent="0.2">
      <c r="B771" s="15" cm="1">
        <f t="array" ref="B771">ParamFechaInicioReporte + (ROW(TableDailySummary[#This Row]) - ROW(TableDailySummary[[#Headers],[Dia]]) - 1)</f>
        <v>45298</v>
      </c>
      <c r="C771" s="6">
        <f>TableDailySummary[[#This Row],[Dia]]</f>
        <v>45298</v>
      </c>
      <c r="D771" s="11">
        <f>_xlfn.XLOOKUP(TableDailySummary[[#This Row],[Fecha]],SummaryDaily[day],SummaryDaily[net_sales],0)</f>
        <v>0</v>
      </c>
      <c r="E771" s="11">
        <f>_xlfn.XLOOKUP(TableDailySummary[[#This Row],[Fecha]],SummaryDaily[day],SummaryDaily[orders],0)</f>
        <v>0</v>
      </c>
      <c r="F771" s="11">
        <f>_xlfn.XLOOKUP(TableDailySummary[[#This Row],[Fecha]],SummaryDaily[day],SummaryDaily[average_order_value],0)</f>
        <v>0</v>
      </c>
      <c r="G771" s="24" cm="1">
        <f t="array" ref="G771">_xlfn.XLOOKUP(TableDailySummary[[#This Row],[Fecha]]&amp;"Total site",ConversionRateByReferral[day]&amp;ConversionRateByReferral[referrer_source],ConversionRateByReferral[conversion_rate],0)</f>
        <v>0</v>
      </c>
      <c r="H771" s="11">
        <f>TableDailySummary[[#This Row],[Órden promedio totales]]*TableDailySummary[[#This Row],[CR totales]]</f>
        <v>0</v>
      </c>
      <c r="I771" s="11">
        <f>_xlfn.XLOOKUP(TableDailySummary[[#This Row],[Fecha]],SummaryDaily[day],SummaryDaily[new_net_sales],0)</f>
        <v>0</v>
      </c>
      <c r="J771" s="11">
        <f>_xlfn.XLOOKUP(TableDailySummary[[#This Row],[Fecha]],SummaryDaily[day],SummaryDaily[new_orders],0)</f>
        <v>0</v>
      </c>
      <c r="K771" s="11">
        <f>_xlfn.XLOOKUP(TableDailySummary[[#This Row],[Fecha]],SummaryDaily[day],SummaryDaily[new_average_order_value],0)</f>
        <v>0</v>
      </c>
      <c r="L771" s="11">
        <f>_xlfn.XLOOKUP(TableDailySummary[[#This Row],[Fecha]],SummaryDaily[day],SummaryDaily[Online Store_net_sales],0)</f>
        <v>0</v>
      </c>
      <c r="M771" s="11">
        <f>_xlfn.XLOOKUP(TableDailySummary[[#This Row],[Fecha]],SummaryDaily[day],SummaryDaily[Online Store_orders],0)</f>
        <v>0</v>
      </c>
      <c r="N771" s="11">
        <f>_xlfn.XLOOKUP(TableDailySummary[[#This Row],[Fecha]],SummaryDaily[day],SummaryDaily[Online Store_average_order_value],0)</f>
        <v>0</v>
      </c>
      <c r="O771" s="11">
        <f>_xlfn.XLOOKUP(TableDailySummary[[#This Row],[Fecha]],SummaryDaily[day],SummaryDaily[Tienda 81_net_sales],0)</f>
        <v>0</v>
      </c>
      <c r="P771" s="11">
        <f>_xlfn.XLOOKUP(TableDailySummary[[#This Row],[Fecha]],SummaryDaily[day],SummaryDaily[Tienda 81_orders],0)</f>
        <v>0</v>
      </c>
      <c r="Q771" s="11">
        <f>_xlfn.XLOOKUP(TableDailySummary[[#This Row],[Fecha]],SummaryDaily[day],SummaryDaily[Tienda 81_average_order_value],0)</f>
        <v>0</v>
      </c>
      <c r="R771" s="11">
        <f>_xlfn.XLOOKUP(TableDailySummary[[#This Row],[Fecha]],SummaryDaily[day],SummaryDaily[Rappi_net_sales],0)</f>
        <v>0</v>
      </c>
      <c r="S771" s="11">
        <f>_xlfn.XLOOKUP(TableDailySummary[[#This Row],[Fecha]],SummaryDaily[day],SummaryDaily[Rappi_orders],0)</f>
        <v>0</v>
      </c>
      <c r="T771" s="11">
        <f>_xlfn.XLOOKUP(TableDailySummary[[#This Row],[Fecha]],SummaryDaily[day],SummaryDaily[Rappi_average_order_value],0)</f>
        <v>0</v>
      </c>
      <c r="U771" s="11">
        <f>_xlfn.XLOOKUP(TableDailySummary[[#This Row],[Fecha]],SummaryDaily[day],SummaryDaily[Corporativo no tienda_net_sales],0)</f>
        <v>0</v>
      </c>
      <c r="V771" s="11">
        <f>_xlfn.XLOOKUP(TableDailySummary[[#This Row],[Fecha]],SummaryDaily[day],SummaryDaily[Corporativo no tienda_orders],0)</f>
        <v>0</v>
      </c>
      <c r="W771" s="11">
        <f>_xlfn.XLOOKUP(TableDailySummary[[#This Row],[Fecha]],SummaryDaily[day],SummaryDaily[Corporativo no tienda_average_order_value],0)</f>
        <v>0</v>
      </c>
      <c r="X771" s="11">
        <f>_xlfn.XLOOKUP(TableDailySummary[[#This Row],[Fecha]],SummaryDaily[day],SummaryDaily[GoogleAdsOperation.Cost],0)</f>
        <v>0</v>
      </c>
      <c r="Y771" s="11">
        <f>SUMIFS(SalesByUTMDaily[google],SalesByUTMDaily[day],TableDailySummary[[#This Row],[Fecha]])</f>
        <v>0</v>
      </c>
      <c r="Z771" s="11">
        <f>_xlfn.XLOOKUP(TableDailySummary[[#This Row],[Fecha]],SummaryDaily[day],SummaryDaily[MetaAdsOperation.spend],0)</f>
        <v>0</v>
      </c>
      <c r="AA771" s="11">
        <f>SUMIFS(SalesByUTMDaily[facebook],SalesByUTMDaily[day],TableDailySummary[[#This Row],[Fecha]])</f>
        <v>0</v>
      </c>
      <c r="AB771" s="11">
        <f>TableDailySummary[[#This Row],[Inversión google ads]]+TableDailySummary[[#This Row],[Inversión meta ads]]</f>
        <v>0</v>
      </c>
      <c r="AC771" s="11">
        <f>TableDailySummary[[#This Row],[Ventas google ads]]+TableDailySummary[[#This Row],[Ventas meta ads]]</f>
        <v>0</v>
      </c>
      <c r="AD771" s="14">
        <f>IFERROR(TableDailySummary[[#This Row],[Ventas publicidad]]/TableDailySummary[[#This Row],[Inversión publicidad]],0)</f>
        <v>0</v>
      </c>
      <c r="AE771" s="14">
        <f>IFERROR(TableDailySummary[[#This Row],[Ventas primer cliente]]/TableDailySummary[[#This Row],[Inversión publicidad]],0)</f>
        <v>0</v>
      </c>
      <c r="AF771" s="14"/>
      <c r="AG771" s="11"/>
      <c r="AM771" s="11">
        <f>_xlfn.XLOOKUP(TableDailySummary[[#This Row],[Fecha]],SummaryDaily[day],SummaryDaily[net_sales_with_cost_recorded],0)</f>
        <v>0</v>
      </c>
      <c r="AN771" s="11">
        <f>_xlfn.XLOOKUP(TableDailySummary[[#This Row],[Fecha]],SummaryDaily[day],SummaryDaily[cost_of_goods_sold],0)</f>
        <v>0</v>
      </c>
      <c r="AO771" s="11">
        <f>_xlfn.XLOOKUP(TableDailySummary[[#This Row],[Fecha]],SummaryDaily[day],SummaryDaily[gross_profit],0)</f>
        <v>0</v>
      </c>
      <c r="AP771" s="18">
        <f>IFERROR(TableDailySummary[[#This Row],[Utilidad bruta]]/TableDailySummary[[#This Row],[Ventas netas con costo registrado]],0)</f>
        <v>0</v>
      </c>
    </row>
    <row r="772" spans="2:42" x14ac:dyDescent="0.2">
      <c r="B772" s="15" cm="1">
        <f t="array" ref="B772">ParamFechaInicioReporte + (ROW(TableDailySummary[#This Row]) - ROW(TableDailySummary[[#Headers],[Dia]]) - 1)</f>
        <v>45299</v>
      </c>
      <c r="C772" s="6">
        <f>TableDailySummary[[#This Row],[Dia]]</f>
        <v>45299</v>
      </c>
      <c r="D772" s="11">
        <f>_xlfn.XLOOKUP(TableDailySummary[[#This Row],[Fecha]],SummaryDaily[day],SummaryDaily[net_sales],0)</f>
        <v>0</v>
      </c>
      <c r="E772" s="11">
        <f>_xlfn.XLOOKUP(TableDailySummary[[#This Row],[Fecha]],SummaryDaily[day],SummaryDaily[orders],0)</f>
        <v>0</v>
      </c>
      <c r="F772" s="11">
        <f>_xlfn.XLOOKUP(TableDailySummary[[#This Row],[Fecha]],SummaryDaily[day],SummaryDaily[average_order_value],0)</f>
        <v>0</v>
      </c>
      <c r="G772" s="24" cm="1">
        <f t="array" ref="G772">_xlfn.XLOOKUP(TableDailySummary[[#This Row],[Fecha]]&amp;"Total site",ConversionRateByReferral[day]&amp;ConversionRateByReferral[referrer_source],ConversionRateByReferral[conversion_rate],0)</f>
        <v>0</v>
      </c>
      <c r="H772" s="11">
        <f>TableDailySummary[[#This Row],[Órden promedio totales]]*TableDailySummary[[#This Row],[CR totales]]</f>
        <v>0</v>
      </c>
      <c r="I772" s="11">
        <f>_xlfn.XLOOKUP(TableDailySummary[[#This Row],[Fecha]],SummaryDaily[day],SummaryDaily[new_net_sales],0)</f>
        <v>0</v>
      </c>
      <c r="J772" s="11">
        <f>_xlfn.XLOOKUP(TableDailySummary[[#This Row],[Fecha]],SummaryDaily[day],SummaryDaily[new_orders],0)</f>
        <v>0</v>
      </c>
      <c r="K772" s="11">
        <f>_xlfn.XLOOKUP(TableDailySummary[[#This Row],[Fecha]],SummaryDaily[day],SummaryDaily[new_average_order_value],0)</f>
        <v>0</v>
      </c>
      <c r="L772" s="11">
        <f>_xlfn.XLOOKUP(TableDailySummary[[#This Row],[Fecha]],SummaryDaily[day],SummaryDaily[Online Store_net_sales],0)</f>
        <v>0</v>
      </c>
      <c r="M772" s="11">
        <f>_xlfn.XLOOKUP(TableDailySummary[[#This Row],[Fecha]],SummaryDaily[day],SummaryDaily[Online Store_orders],0)</f>
        <v>0</v>
      </c>
      <c r="N772" s="11">
        <f>_xlfn.XLOOKUP(TableDailySummary[[#This Row],[Fecha]],SummaryDaily[day],SummaryDaily[Online Store_average_order_value],0)</f>
        <v>0</v>
      </c>
      <c r="O772" s="11">
        <f>_xlfn.XLOOKUP(TableDailySummary[[#This Row],[Fecha]],SummaryDaily[day],SummaryDaily[Tienda 81_net_sales],0)</f>
        <v>0</v>
      </c>
      <c r="P772" s="11">
        <f>_xlfn.XLOOKUP(TableDailySummary[[#This Row],[Fecha]],SummaryDaily[day],SummaryDaily[Tienda 81_orders],0)</f>
        <v>0</v>
      </c>
      <c r="Q772" s="11">
        <f>_xlfn.XLOOKUP(TableDailySummary[[#This Row],[Fecha]],SummaryDaily[day],SummaryDaily[Tienda 81_average_order_value],0)</f>
        <v>0</v>
      </c>
      <c r="R772" s="11">
        <f>_xlfn.XLOOKUP(TableDailySummary[[#This Row],[Fecha]],SummaryDaily[day],SummaryDaily[Rappi_net_sales],0)</f>
        <v>0</v>
      </c>
      <c r="S772" s="11">
        <f>_xlfn.XLOOKUP(TableDailySummary[[#This Row],[Fecha]],SummaryDaily[day],SummaryDaily[Rappi_orders],0)</f>
        <v>0</v>
      </c>
      <c r="T772" s="11">
        <f>_xlfn.XLOOKUP(TableDailySummary[[#This Row],[Fecha]],SummaryDaily[day],SummaryDaily[Rappi_average_order_value],0)</f>
        <v>0</v>
      </c>
      <c r="U772" s="11">
        <f>_xlfn.XLOOKUP(TableDailySummary[[#This Row],[Fecha]],SummaryDaily[day],SummaryDaily[Corporativo no tienda_net_sales],0)</f>
        <v>0</v>
      </c>
      <c r="V772" s="11">
        <f>_xlfn.XLOOKUP(TableDailySummary[[#This Row],[Fecha]],SummaryDaily[day],SummaryDaily[Corporativo no tienda_orders],0)</f>
        <v>0</v>
      </c>
      <c r="W772" s="11">
        <f>_xlfn.XLOOKUP(TableDailySummary[[#This Row],[Fecha]],SummaryDaily[day],SummaryDaily[Corporativo no tienda_average_order_value],0)</f>
        <v>0</v>
      </c>
      <c r="X772" s="11">
        <f>_xlfn.XLOOKUP(TableDailySummary[[#This Row],[Fecha]],SummaryDaily[day],SummaryDaily[GoogleAdsOperation.Cost],0)</f>
        <v>0</v>
      </c>
      <c r="Y772" s="11">
        <f>SUMIFS(SalesByUTMDaily[google],SalesByUTMDaily[day],TableDailySummary[[#This Row],[Fecha]])</f>
        <v>0</v>
      </c>
      <c r="Z772" s="11">
        <f>_xlfn.XLOOKUP(TableDailySummary[[#This Row],[Fecha]],SummaryDaily[day],SummaryDaily[MetaAdsOperation.spend],0)</f>
        <v>0</v>
      </c>
      <c r="AA772" s="11">
        <f>SUMIFS(SalesByUTMDaily[facebook],SalesByUTMDaily[day],TableDailySummary[[#This Row],[Fecha]])</f>
        <v>0</v>
      </c>
      <c r="AB772" s="11">
        <f>TableDailySummary[[#This Row],[Inversión google ads]]+TableDailySummary[[#This Row],[Inversión meta ads]]</f>
        <v>0</v>
      </c>
      <c r="AC772" s="11">
        <f>TableDailySummary[[#This Row],[Ventas google ads]]+TableDailySummary[[#This Row],[Ventas meta ads]]</f>
        <v>0</v>
      </c>
      <c r="AD772" s="14">
        <f>IFERROR(TableDailySummary[[#This Row],[Ventas publicidad]]/TableDailySummary[[#This Row],[Inversión publicidad]],0)</f>
        <v>0</v>
      </c>
      <c r="AE772" s="14">
        <f>IFERROR(TableDailySummary[[#This Row],[Ventas primer cliente]]/TableDailySummary[[#This Row],[Inversión publicidad]],0)</f>
        <v>0</v>
      </c>
      <c r="AF772" s="14"/>
      <c r="AG772" s="11"/>
      <c r="AM772" s="11">
        <f>_xlfn.XLOOKUP(TableDailySummary[[#This Row],[Fecha]],SummaryDaily[day],SummaryDaily[net_sales_with_cost_recorded],0)</f>
        <v>0</v>
      </c>
      <c r="AN772" s="11">
        <f>_xlfn.XLOOKUP(TableDailySummary[[#This Row],[Fecha]],SummaryDaily[day],SummaryDaily[cost_of_goods_sold],0)</f>
        <v>0</v>
      </c>
      <c r="AO772" s="11">
        <f>_xlfn.XLOOKUP(TableDailySummary[[#This Row],[Fecha]],SummaryDaily[day],SummaryDaily[gross_profit],0)</f>
        <v>0</v>
      </c>
      <c r="AP772" s="18">
        <f>IFERROR(TableDailySummary[[#This Row],[Utilidad bruta]]/TableDailySummary[[#This Row],[Ventas netas con costo registrado]],0)</f>
        <v>0</v>
      </c>
    </row>
    <row r="773" spans="2:42" x14ac:dyDescent="0.2">
      <c r="B773" s="15" cm="1">
        <f t="array" ref="B773">ParamFechaInicioReporte + (ROW(TableDailySummary[#This Row]) - ROW(TableDailySummary[[#Headers],[Dia]]) - 1)</f>
        <v>45300</v>
      </c>
      <c r="C773" s="6">
        <f>TableDailySummary[[#This Row],[Dia]]</f>
        <v>45300</v>
      </c>
      <c r="D773" s="11">
        <f>_xlfn.XLOOKUP(TableDailySummary[[#This Row],[Fecha]],SummaryDaily[day],SummaryDaily[net_sales],0)</f>
        <v>0</v>
      </c>
      <c r="E773" s="11">
        <f>_xlfn.XLOOKUP(TableDailySummary[[#This Row],[Fecha]],SummaryDaily[day],SummaryDaily[orders],0)</f>
        <v>0</v>
      </c>
      <c r="F773" s="11">
        <f>_xlfn.XLOOKUP(TableDailySummary[[#This Row],[Fecha]],SummaryDaily[day],SummaryDaily[average_order_value],0)</f>
        <v>0</v>
      </c>
      <c r="G773" s="24" cm="1">
        <f t="array" ref="G773">_xlfn.XLOOKUP(TableDailySummary[[#This Row],[Fecha]]&amp;"Total site",ConversionRateByReferral[day]&amp;ConversionRateByReferral[referrer_source],ConversionRateByReferral[conversion_rate],0)</f>
        <v>0</v>
      </c>
      <c r="H773" s="11">
        <f>TableDailySummary[[#This Row],[Órden promedio totales]]*TableDailySummary[[#This Row],[CR totales]]</f>
        <v>0</v>
      </c>
      <c r="I773" s="11">
        <f>_xlfn.XLOOKUP(TableDailySummary[[#This Row],[Fecha]],SummaryDaily[day],SummaryDaily[new_net_sales],0)</f>
        <v>0</v>
      </c>
      <c r="J773" s="11">
        <f>_xlfn.XLOOKUP(TableDailySummary[[#This Row],[Fecha]],SummaryDaily[day],SummaryDaily[new_orders],0)</f>
        <v>0</v>
      </c>
      <c r="K773" s="11">
        <f>_xlfn.XLOOKUP(TableDailySummary[[#This Row],[Fecha]],SummaryDaily[day],SummaryDaily[new_average_order_value],0)</f>
        <v>0</v>
      </c>
      <c r="L773" s="11">
        <f>_xlfn.XLOOKUP(TableDailySummary[[#This Row],[Fecha]],SummaryDaily[day],SummaryDaily[Online Store_net_sales],0)</f>
        <v>0</v>
      </c>
      <c r="M773" s="11">
        <f>_xlfn.XLOOKUP(TableDailySummary[[#This Row],[Fecha]],SummaryDaily[day],SummaryDaily[Online Store_orders],0)</f>
        <v>0</v>
      </c>
      <c r="N773" s="11">
        <f>_xlfn.XLOOKUP(TableDailySummary[[#This Row],[Fecha]],SummaryDaily[day],SummaryDaily[Online Store_average_order_value],0)</f>
        <v>0</v>
      </c>
      <c r="O773" s="11">
        <f>_xlfn.XLOOKUP(TableDailySummary[[#This Row],[Fecha]],SummaryDaily[day],SummaryDaily[Tienda 81_net_sales],0)</f>
        <v>0</v>
      </c>
      <c r="P773" s="11">
        <f>_xlfn.XLOOKUP(TableDailySummary[[#This Row],[Fecha]],SummaryDaily[day],SummaryDaily[Tienda 81_orders],0)</f>
        <v>0</v>
      </c>
      <c r="Q773" s="11">
        <f>_xlfn.XLOOKUP(TableDailySummary[[#This Row],[Fecha]],SummaryDaily[day],SummaryDaily[Tienda 81_average_order_value],0)</f>
        <v>0</v>
      </c>
      <c r="R773" s="11">
        <f>_xlfn.XLOOKUP(TableDailySummary[[#This Row],[Fecha]],SummaryDaily[day],SummaryDaily[Rappi_net_sales],0)</f>
        <v>0</v>
      </c>
      <c r="S773" s="11">
        <f>_xlfn.XLOOKUP(TableDailySummary[[#This Row],[Fecha]],SummaryDaily[day],SummaryDaily[Rappi_orders],0)</f>
        <v>0</v>
      </c>
      <c r="T773" s="11">
        <f>_xlfn.XLOOKUP(TableDailySummary[[#This Row],[Fecha]],SummaryDaily[day],SummaryDaily[Rappi_average_order_value],0)</f>
        <v>0</v>
      </c>
      <c r="U773" s="11">
        <f>_xlfn.XLOOKUP(TableDailySummary[[#This Row],[Fecha]],SummaryDaily[day],SummaryDaily[Corporativo no tienda_net_sales],0)</f>
        <v>0</v>
      </c>
      <c r="V773" s="11">
        <f>_xlfn.XLOOKUP(TableDailySummary[[#This Row],[Fecha]],SummaryDaily[day],SummaryDaily[Corporativo no tienda_orders],0)</f>
        <v>0</v>
      </c>
      <c r="W773" s="11">
        <f>_xlfn.XLOOKUP(TableDailySummary[[#This Row],[Fecha]],SummaryDaily[day],SummaryDaily[Corporativo no tienda_average_order_value],0)</f>
        <v>0</v>
      </c>
      <c r="X773" s="11">
        <f>_xlfn.XLOOKUP(TableDailySummary[[#This Row],[Fecha]],SummaryDaily[day],SummaryDaily[GoogleAdsOperation.Cost],0)</f>
        <v>0</v>
      </c>
      <c r="Y773" s="11">
        <f>SUMIFS(SalesByUTMDaily[google],SalesByUTMDaily[day],TableDailySummary[[#This Row],[Fecha]])</f>
        <v>0</v>
      </c>
      <c r="Z773" s="11">
        <f>_xlfn.XLOOKUP(TableDailySummary[[#This Row],[Fecha]],SummaryDaily[day],SummaryDaily[MetaAdsOperation.spend],0)</f>
        <v>0</v>
      </c>
      <c r="AA773" s="11">
        <f>SUMIFS(SalesByUTMDaily[facebook],SalesByUTMDaily[day],TableDailySummary[[#This Row],[Fecha]])</f>
        <v>0</v>
      </c>
      <c r="AB773" s="11">
        <f>TableDailySummary[[#This Row],[Inversión google ads]]+TableDailySummary[[#This Row],[Inversión meta ads]]</f>
        <v>0</v>
      </c>
      <c r="AC773" s="11">
        <f>TableDailySummary[[#This Row],[Ventas google ads]]+TableDailySummary[[#This Row],[Ventas meta ads]]</f>
        <v>0</v>
      </c>
      <c r="AD773" s="14">
        <f>IFERROR(TableDailySummary[[#This Row],[Ventas publicidad]]/TableDailySummary[[#This Row],[Inversión publicidad]],0)</f>
        <v>0</v>
      </c>
      <c r="AE773" s="14">
        <f>IFERROR(TableDailySummary[[#This Row],[Ventas primer cliente]]/TableDailySummary[[#This Row],[Inversión publicidad]],0)</f>
        <v>0</v>
      </c>
      <c r="AF773" s="14"/>
      <c r="AG773" s="11"/>
      <c r="AM773" s="11">
        <f>_xlfn.XLOOKUP(TableDailySummary[[#This Row],[Fecha]],SummaryDaily[day],SummaryDaily[net_sales_with_cost_recorded],0)</f>
        <v>0</v>
      </c>
      <c r="AN773" s="11">
        <f>_xlfn.XLOOKUP(TableDailySummary[[#This Row],[Fecha]],SummaryDaily[day],SummaryDaily[cost_of_goods_sold],0)</f>
        <v>0</v>
      </c>
      <c r="AO773" s="11">
        <f>_xlfn.XLOOKUP(TableDailySummary[[#This Row],[Fecha]],SummaryDaily[day],SummaryDaily[gross_profit],0)</f>
        <v>0</v>
      </c>
      <c r="AP773" s="18">
        <f>IFERROR(TableDailySummary[[#This Row],[Utilidad bruta]]/TableDailySummary[[#This Row],[Ventas netas con costo registrado]],0)</f>
        <v>0</v>
      </c>
    </row>
    <row r="774" spans="2:42" x14ac:dyDescent="0.2">
      <c r="B774" s="15" cm="1">
        <f t="array" ref="B774">ParamFechaInicioReporte + (ROW(TableDailySummary[#This Row]) - ROW(TableDailySummary[[#Headers],[Dia]]) - 1)</f>
        <v>45301</v>
      </c>
      <c r="C774" s="6">
        <f>TableDailySummary[[#This Row],[Dia]]</f>
        <v>45301</v>
      </c>
      <c r="D774" s="11">
        <f>_xlfn.XLOOKUP(TableDailySummary[[#This Row],[Fecha]],SummaryDaily[day],SummaryDaily[net_sales],0)</f>
        <v>0</v>
      </c>
      <c r="E774" s="11">
        <f>_xlfn.XLOOKUP(TableDailySummary[[#This Row],[Fecha]],SummaryDaily[day],SummaryDaily[orders],0)</f>
        <v>0</v>
      </c>
      <c r="F774" s="11">
        <f>_xlfn.XLOOKUP(TableDailySummary[[#This Row],[Fecha]],SummaryDaily[day],SummaryDaily[average_order_value],0)</f>
        <v>0</v>
      </c>
      <c r="G774" s="24" cm="1">
        <f t="array" ref="G774">_xlfn.XLOOKUP(TableDailySummary[[#This Row],[Fecha]]&amp;"Total site",ConversionRateByReferral[day]&amp;ConversionRateByReferral[referrer_source],ConversionRateByReferral[conversion_rate],0)</f>
        <v>0</v>
      </c>
      <c r="H774" s="11">
        <f>TableDailySummary[[#This Row],[Órden promedio totales]]*TableDailySummary[[#This Row],[CR totales]]</f>
        <v>0</v>
      </c>
      <c r="I774" s="11">
        <f>_xlfn.XLOOKUP(TableDailySummary[[#This Row],[Fecha]],SummaryDaily[day],SummaryDaily[new_net_sales],0)</f>
        <v>0</v>
      </c>
      <c r="J774" s="11">
        <f>_xlfn.XLOOKUP(TableDailySummary[[#This Row],[Fecha]],SummaryDaily[day],SummaryDaily[new_orders],0)</f>
        <v>0</v>
      </c>
      <c r="K774" s="11">
        <f>_xlfn.XLOOKUP(TableDailySummary[[#This Row],[Fecha]],SummaryDaily[day],SummaryDaily[new_average_order_value],0)</f>
        <v>0</v>
      </c>
      <c r="L774" s="11">
        <f>_xlfn.XLOOKUP(TableDailySummary[[#This Row],[Fecha]],SummaryDaily[day],SummaryDaily[Online Store_net_sales],0)</f>
        <v>0</v>
      </c>
      <c r="M774" s="11">
        <f>_xlfn.XLOOKUP(TableDailySummary[[#This Row],[Fecha]],SummaryDaily[day],SummaryDaily[Online Store_orders],0)</f>
        <v>0</v>
      </c>
      <c r="N774" s="11">
        <f>_xlfn.XLOOKUP(TableDailySummary[[#This Row],[Fecha]],SummaryDaily[day],SummaryDaily[Online Store_average_order_value],0)</f>
        <v>0</v>
      </c>
      <c r="O774" s="11">
        <f>_xlfn.XLOOKUP(TableDailySummary[[#This Row],[Fecha]],SummaryDaily[day],SummaryDaily[Tienda 81_net_sales],0)</f>
        <v>0</v>
      </c>
      <c r="P774" s="11">
        <f>_xlfn.XLOOKUP(TableDailySummary[[#This Row],[Fecha]],SummaryDaily[day],SummaryDaily[Tienda 81_orders],0)</f>
        <v>0</v>
      </c>
      <c r="Q774" s="11">
        <f>_xlfn.XLOOKUP(TableDailySummary[[#This Row],[Fecha]],SummaryDaily[day],SummaryDaily[Tienda 81_average_order_value],0)</f>
        <v>0</v>
      </c>
      <c r="R774" s="11">
        <f>_xlfn.XLOOKUP(TableDailySummary[[#This Row],[Fecha]],SummaryDaily[day],SummaryDaily[Rappi_net_sales],0)</f>
        <v>0</v>
      </c>
      <c r="S774" s="11">
        <f>_xlfn.XLOOKUP(TableDailySummary[[#This Row],[Fecha]],SummaryDaily[day],SummaryDaily[Rappi_orders],0)</f>
        <v>0</v>
      </c>
      <c r="T774" s="11">
        <f>_xlfn.XLOOKUP(TableDailySummary[[#This Row],[Fecha]],SummaryDaily[day],SummaryDaily[Rappi_average_order_value],0)</f>
        <v>0</v>
      </c>
      <c r="U774" s="11">
        <f>_xlfn.XLOOKUP(TableDailySummary[[#This Row],[Fecha]],SummaryDaily[day],SummaryDaily[Corporativo no tienda_net_sales],0)</f>
        <v>0</v>
      </c>
      <c r="V774" s="11">
        <f>_xlfn.XLOOKUP(TableDailySummary[[#This Row],[Fecha]],SummaryDaily[day],SummaryDaily[Corporativo no tienda_orders],0)</f>
        <v>0</v>
      </c>
      <c r="W774" s="11">
        <f>_xlfn.XLOOKUP(TableDailySummary[[#This Row],[Fecha]],SummaryDaily[day],SummaryDaily[Corporativo no tienda_average_order_value],0)</f>
        <v>0</v>
      </c>
      <c r="X774" s="11">
        <f>_xlfn.XLOOKUP(TableDailySummary[[#This Row],[Fecha]],SummaryDaily[day],SummaryDaily[GoogleAdsOperation.Cost],0)</f>
        <v>0</v>
      </c>
      <c r="Y774" s="11">
        <f>SUMIFS(SalesByUTMDaily[google],SalesByUTMDaily[day],TableDailySummary[[#This Row],[Fecha]])</f>
        <v>0</v>
      </c>
      <c r="Z774" s="11">
        <f>_xlfn.XLOOKUP(TableDailySummary[[#This Row],[Fecha]],SummaryDaily[day],SummaryDaily[MetaAdsOperation.spend],0)</f>
        <v>0</v>
      </c>
      <c r="AA774" s="11">
        <f>SUMIFS(SalesByUTMDaily[facebook],SalesByUTMDaily[day],TableDailySummary[[#This Row],[Fecha]])</f>
        <v>0</v>
      </c>
      <c r="AB774" s="11">
        <f>TableDailySummary[[#This Row],[Inversión google ads]]+TableDailySummary[[#This Row],[Inversión meta ads]]</f>
        <v>0</v>
      </c>
      <c r="AC774" s="11">
        <f>TableDailySummary[[#This Row],[Ventas google ads]]+TableDailySummary[[#This Row],[Ventas meta ads]]</f>
        <v>0</v>
      </c>
      <c r="AD774" s="14">
        <f>IFERROR(TableDailySummary[[#This Row],[Ventas publicidad]]/TableDailySummary[[#This Row],[Inversión publicidad]],0)</f>
        <v>0</v>
      </c>
      <c r="AE774" s="14">
        <f>IFERROR(TableDailySummary[[#This Row],[Ventas primer cliente]]/TableDailySummary[[#This Row],[Inversión publicidad]],0)</f>
        <v>0</v>
      </c>
      <c r="AF774" s="14"/>
      <c r="AG774" s="11"/>
      <c r="AM774" s="11">
        <f>_xlfn.XLOOKUP(TableDailySummary[[#This Row],[Fecha]],SummaryDaily[day],SummaryDaily[net_sales_with_cost_recorded],0)</f>
        <v>0</v>
      </c>
      <c r="AN774" s="11">
        <f>_xlfn.XLOOKUP(TableDailySummary[[#This Row],[Fecha]],SummaryDaily[day],SummaryDaily[cost_of_goods_sold],0)</f>
        <v>0</v>
      </c>
      <c r="AO774" s="11">
        <f>_xlfn.XLOOKUP(TableDailySummary[[#This Row],[Fecha]],SummaryDaily[day],SummaryDaily[gross_profit],0)</f>
        <v>0</v>
      </c>
      <c r="AP774" s="18">
        <f>IFERROR(TableDailySummary[[#This Row],[Utilidad bruta]]/TableDailySummary[[#This Row],[Ventas netas con costo registrado]],0)</f>
        <v>0</v>
      </c>
    </row>
    <row r="775" spans="2:42" x14ac:dyDescent="0.2">
      <c r="B775" s="15" cm="1">
        <f t="array" ref="B775">ParamFechaInicioReporte + (ROW(TableDailySummary[#This Row]) - ROW(TableDailySummary[[#Headers],[Dia]]) - 1)</f>
        <v>45302</v>
      </c>
      <c r="C775" s="6">
        <f>TableDailySummary[[#This Row],[Dia]]</f>
        <v>45302</v>
      </c>
      <c r="D775" s="11">
        <f>_xlfn.XLOOKUP(TableDailySummary[[#This Row],[Fecha]],SummaryDaily[day],SummaryDaily[net_sales],0)</f>
        <v>0</v>
      </c>
      <c r="E775" s="11">
        <f>_xlfn.XLOOKUP(TableDailySummary[[#This Row],[Fecha]],SummaryDaily[day],SummaryDaily[orders],0)</f>
        <v>0</v>
      </c>
      <c r="F775" s="11">
        <f>_xlfn.XLOOKUP(TableDailySummary[[#This Row],[Fecha]],SummaryDaily[day],SummaryDaily[average_order_value],0)</f>
        <v>0</v>
      </c>
      <c r="G775" s="24" cm="1">
        <f t="array" ref="G775">_xlfn.XLOOKUP(TableDailySummary[[#This Row],[Fecha]]&amp;"Total site",ConversionRateByReferral[day]&amp;ConversionRateByReferral[referrer_source],ConversionRateByReferral[conversion_rate],0)</f>
        <v>0</v>
      </c>
      <c r="H775" s="11">
        <f>TableDailySummary[[#This Row],[Órden promedio totales]]*TableDailySummary[[#This Row],[CR totales]]</f>
        <v>0</v>
      </c>
      <c r="I775" s="11">
        <f>_xlfn.XLOOKUP(TableDailySummary[[#This Row],[Fecha]],SummaryDaily[day],SummaryDaily[new_net_sales],0)</f>
        <v>0</v>
      </c>
      <c r="J775" s="11">
        <f>_xlfn.XLOOKUP(TableDailySummary[[#This Row],[Fecha]],SummaryDaily[day],SummaryDaily[new_orders],0)</f>
        <v>0</v>
      </c>
      <c r="K775" s="11">
        <f>_xlfn.XLOOKUP(TableDailySummary[[#This Row],[Fecha]],SummaryDaily[day],SummaryDaily[new_average_order_value],0)</f>
        <v>0</v>
      </c>
      <c r="L775" s="11">
        <f>_xlfn.XLOOKUP(TableDailySummary[[#This Row],[Fecha]],SummaryDaily[day],SummaryDaily[Online Store_net_sales],0)</f>
        <v>0</v>
      </c>
      <c r="M775" s="11">
        <f>_xlfn.XLOOKUP(TableDailySummary[[#This Row],[Fecha]],SummaryDaily[day],SummaryDaily[Online Store_orders],0)</f>
        <v>0</v>
      </c>
      <c r="N775" s="11">
        <f>_xlfn.XLOOKUP(TableDailySummary[[#This Row],[Fecha]],SummaryDaily[day],SummaryDaily[Online Store_average_order_value],0)</f>
        <v>0</v>
      </c>
      <c r="O775" s="11">
        <f>_xlfn.XLOOKUP(TableDailySummary[[#This Row],[Fecha]],SummaryDaily[day],SummaryDaily[Tienda 81_net_sales],0)</f>
        <v>0</v>
      </c>
      <c r="P775" s="11">
        <f>_xlfn.XLOOKUP(TableDailySummary[[#This Row],[Fecha]],SummaryDaily[day],SummaryDaily[Tienda 81_orders],0)</f>
        <v>0</v>
      </c>
      <c r="Q775" s="11">
        <f>_xlfn.XLOOKUP(TableDailySummary[[#This Row],[Fecha]],SummaryDaily[day],SummaryDaily[Tienda 81_average_order_value],0)</f>
        <v>0</v>
      </c>
      <c r="R775" s="11">
        <f>_xlfn.XLOOKUP(TableDailySummary[[#This Row],[Fecha]],SummaryDaily[day],SummaryDaily[Rappi_net_sales],0)</f>
        <v>0</v>
      </c>
      <c r="S775" s="11">
        <f>_xlfn.XLOOKUP(TableDailySummary[[#This Row],[Fecha]],SummaryDaily[day],SummaryDaily[Rappi_orders],0)</f>
        <v>0</v>
      </c>
      <c r="T775" s="11">
        <f>_xlfn.XLOOKUP(TableDailySummary[[#This Row],[Fecha]],SummaryDaily[day],SummaryDaily[Rappi_average_order_value],0)</f>
        <v>0</v>
      </c>
      <c r="U775" s="11">
        <f>_xlfn.XLOOKUP(TableDailySummary[[#This Row],[Fecha]],SummaryDaily[day],SummaryDaily[Corporativo no tienda_net_sales],0)</f>
        <v>0</v>
      </c>
      <c r="V775" s="11">
        <f>_xlfn.XLOOKUP(TableDailySummary[[#This Row],[Fecha]],SummaryDaily[day],SummaryDaily[Corporativo no tienda_orders],0)</f>
        <v>0</v>
      </c>
      <c r="W775" s="11">
        <f>_xlfn.XLOOKUP(TableDailySummary[[#This Row],[Fecha]],SummaryDaily[day],SummaryDaily[Corporativo no tienda_average_order_value],0)</f>
        <v>0</v>
      </c>
      <c r="X775" s="11">
        <f>_xlfn.XLOOKUP(TableDailySummary[[#This Row],[Fecha]],SummaryDaily[day],SummaryDaily[GoogleAdsOperation.Cost],0)</f>
        <v>0</v>
      </c>
      <c r="Y775" s="11">
        <f>SUMIFS(SalesByUTMDaily[google],SalesByUTMDaily[day],TableDailySummary[[#This Row],[Fecha]])</f>
        <v>0</v>
      </c>
      <c r="Z775" s="11">
        <f>_xlfn.XLOOKUP(TableDailySummary[[#This Row],[Fecha]],SummaryDaily[day],SummaryDaily[MetaAdsOperation.spend],0)</f>
        <v>0</v>
      </c>
      <c r="AA775" s="11">
        <f>SUMIFS(SalesByUTMDaily[facebook],SalesByUTMDaily[day],TableDailySummary[[#This Row],[Fecha]])</f>
        <v>0</v>
      </c>
      <c r="AB775" s="11">
        <f>TableDailySummary[[#This Row],[Inversión google ads]]+TableDailySummary[[#This Row],[Inversión meta ads]]</f>
        <v>0</v>
      </c>
      <c r="AC775" s="11">
        <f>TableDailySummary[[#This Row],[Ventas google ads]]+TableDailySummary[[#This Row],[Ventas meta ads]]</f>
        <v>0</v>
      </c>
      <c r="AD775" s="14">
        <f>IFERROR(TableDailySummary[[#This Row],[Ventas publicidad]]/TableDailySummary[[#This Row],[Inversión publicidad]],0)</f>
        <v>0</v>
      </c>
      <c r="AE775" s="14">
        <f>IFERROR(TableDailySummary[[#This Row],[Ventas primer cliente]]/TableDailySummary[[#This Row],[Inversión publicidad]],0)</f>
        <v>0</v>
      </c>
      <c r="AF775" s="14"/>
      <c r="AG775" s="11"/>
      <c r="AM775" s="11">
        <f>_xlfn.XLOOKUP(TableDailySummary[[#This Row],[Fecha]],SummaryDaily[day],SummaryDaily[net_sales_with_cost_recorded],0)</f>
        <v>0</v>
      </c>
      <c r="AN775" s="11">
        <f>_xlfn.XLOOKUP(TableDailySummary[[#This Row],[Fecha]],SummaryDaily[day],SummaryDaily[cost_of_goods_sold],0)</f>
        <v>0</v>
      </c>
      <c r="AO775" s="11">
        <f>_xlfn.XLOOKUP(TableDailySummary[[#This Row],[Fecha]],SummaryDaily[day],SummaryDaily[gross_profit],0)</f>
        <v>0</v>
      </c>
      <c r="AP775" s="18">
        <f>IFERROR(TableDailySummary[[#This Row],[Utilidad bruta]]/TableDailySummary[[#This Row],[Ventas netas con costo registrado]],0)</f>
        <v>0</v>
      </c>
    </row>
    <row r="776" spans="2:42" x14ac:dyDescent="0.2">
      <c r="B776" s="15" cm="1">
        <f t="array" ref="B776">ParamFechaInicioReporte + (ROW(TableDailySummary[#This Row]) - ROW(TableDailySummary[[#Headers],[Dia]]) - 1)</f>
        <v>45303</v>
      </c>
      <c r="C776" s="6">
        <f>TableDailySummary[[#This Row],[Dia]]</f>
        <v>45303</v>
      </c>
      <c r="D776" s="11">
        <f>_xlfn.XLOOKUP(TableDailySummary[[#This Row],[Fecha]],SummaryDaily[day],SummaryDaily[net_sales],0)</f>
        <v>0</v>
      </c>
      <c r="E776" s="11">
        <f>_xlfn.XLOOKUP(TableDailySummary[[#This Row],[Fecha]],SummaryDaily[day],SummaryDaily[orders],0)</f>
        <v>0</v>
      </c>
      <c r="F776" s="11">
        <f>_xlfn.XLOOKUP(TableDailySummary[[#This Row],[Fecha]],SummaryDaily[day],SummaryDaily[average_order_value],0)</f>
        <v>0</v>
      </c>
      <c r="G776" s="24" cm="1">
        <f t="array" ref="G776">_xlfn.XLOOKUP(TableDailySummary[[#This Row],[Fecha]]&amp;"Total site",ConversionRateByReferral[day]&amp;ConversionRateByReferral[referrer_source],ConversionRateByReferral[conversion_rate],0)</f>
        <v>0</v>
      </c>
      <c r="H776" s="11">
        <f>TableDailySummary[[#This Row],[Órden promedio totales]]*TableDailySummary[[#This Row],[CR totales]]</f>
        <v>0</v>
      </c>
      <c r="I776" s="11">
        <f>_xlfn.XLOOKUP(TableDailySummary[[#This Row],[Fecha]],SummaryDaily[day],SummaryDaily[new_net_sales],0)</f>
        <v>0</v>
      </c>
      <c r="J776" s="11">
        <f>_xlfn.XLOOKUP(TableDailySummary[[#This Row],[Fecha]],SummaryDaily[day],SummaryDaily[new_orders],0)</f>
        <v>0</v>
      </c>
      <c r="K776" s="11">
        <f>_xlfn.XLOOKUP(TableDailySummary[[#This Row],[Fecha]],SummaryDaily[day],SummaryDaily[new_average_order_value],0)</f>
        <v>0</v>
      </c>
      <c r="L776" s="11">
        <f>_xlfn.XLOOKUP(TableDailySummary[[#This Row],[Fecha]],SummaryDaily[day],SummaryDaily[Online Store_net_sales],0)</f>
        <v>0</v>
      </c>
      <c r="M776" s="11">
        <f>_xlfn.XLOOKUP(TableDailySummary[[#This Row],[Fecha]],SummaryDaily[day],SummaryDaily[Online Store_orders],0)</f>
        <v>0</v>
      </c>
      <c r="N776" s="11">
        <f>_xlfn.XLOOKUP(TableDailySummary[[#This Row],[Fecha]],SummaryDaily[day],SummaryDaily[Online Store_average_order_value],0)</f>
        <v>0</v>
      </c>
      <c r="O776" s="11">
        <f>_xlfn.XLOOKUP(TableDailySummary[[#This Row],[Fecha]],SummaryDaily[day],SummaryDaily[Tienda 81_net_sales],0)</f>
        <v>0</v>
      </c>
      <c r="P776" s="11">
        <f>_xlfn.XLOOKUP(TableDailySummary[[#This Row],[Fecha]],SummaryDaily[day],SummaryDaily[Tienda 81_orders],0)</f>
        <v>0</v>
      </c>
      <c r="Q776" s="11">
        <f>_xlfn.XLOOKUP(TableDailySummary[[#This Row],[Fecha]],SummaryDaily[day],SummaryDaily[Tienda 81_average_order_value],0)</f>
        <v>0</v>
      </c>
      <c r="R776" s="11">
        <f>_xlfn.XLOOKUP(TableDailySummary[[#This Row],[Fecha]],SummaryDaily[day],SummaryDaily[Rappi_net_sales],0)</f>
        <v>0</v>
      </c>
      <c r="S776" s="11">
        <f>_xlfn.XLOOKUP(TableDailySummary[[#This Row],[Fecha]],SummaryDaily[day],SummaryDaily[Rappi_orders],0)</f>
        <v>0</v>
      </c>
      <c r="T776" s="11">
        <f>_xlfn.XLOOKUP(TableDailySummary[[#This Row],[Fecha]],SummaryDaily[day],SummaryDaily[Rappi_average_order_value],0)</f>
        <v>0</v>
      </c>
      <c r="U776" s="11">
        <f>_xlfn.XLOOKUP(TableDailySummary[[#This Row],[Fecha]],SummaryDaily[day],SummaryDaily[Corporativo no tienda_net_sales],0)</f>
        <v>0</v>
      </c>
      <c r="V776" s="11">
        <f>_xlfn.XLOOKUP(TableDailySummary[[#This Row],[Fecha]],SummaryDaily[day],SummaryDaily[Corporativo no tienda_orders],0)</f>
        <v>0</v>
      </c>
      <c r="W776" s="11">
        <f>_xlfn.XLOOKUP(TableDailySummary[[#This Row],[Fecha]],SummaryDaily[day],SummaryDaily[Corporativo no tienda_average_order_value],0)</f>
        <v>0</v>
      </c>
      <c r="X776" s="11">
        <f>_xlfn.XLOOKUP(TableDailySummary[[#This Row],[Fecha]],SummaryDaily[day],SummaryDaily[GoogleAdsOperation.Cost],0)</f>
        <v>0</v>
      </c>
      <c r="Y776" s="11">
        <f>SUMIFS(SalesByUTMDaily[google],SalesByUTMDaily[day],TableDailySummary[[#This Row],[Fecha]])</f>
        <v>0</v>
      </c>
      <c r="Z776" s="11">
        <f>_xlfn.XLOOKUP(TableDailySummary[[#This Row],[Fecha]],SummaryDaily[day],SummaryDaily[MetaAdsOperation.spend],0)</f>
        <v>0</v>
      </c>
      <c r="AA776" s="11">
        <f>SUMIFS(SalesByUTMDaily[facebook],SalesByUTMDaily[day],TableDailySummary[[#This Row],[Fecha]])</f>
        <v>0</v>
      </c>
      <c r="AB776" s="11">
        <f>TableDailySummary[[#This Row],[Inversión google ads]]+TableDailySummary[[#This Row],[Inversión meta ads]]</f>
        <v>0</v>
      </c>
      <c r="AC776" s="11">
        <f>TableDailySummary[[#This Row],[Ventas google ads]]+TableDailySummary[[#This Row],[Ventas meta ads]]</f>
        <v>0</v>
      </c>
      <c r="AD776" s="14">
        <f>IFERROR(TableDailySummary[[#This Row],[Ventas publicidad]]/TableDailySummary[[#This Row],[Inversión publicidad]],0)</f>
        <v>0</v>
      </c>
      <c r="AE776" s="14">
        <f>IFERROR(TableDailySummary[[#This Row],[Ventas primer cliente]]/TableDailySummary[[#This Row],[Inversión publicidad]],0)</f>
        <v>0</v>
      </c>
      <c r="AF776" s="14"/>
      <c r="AG776" s="11"/>
      <c r="AM776" s="11">
        <f>_xlfn.XLOOKUP(TableDailySummary[[#This Row],[Fecha]],SummaryDaily[day],SummaryDaily[net_sales_with_cost_recorded],0)</f>
        <v>0</v>
      </c>
      <c r="AN776" s="11">
        <f>_xlfn.XLOOKUP(TableDailySummary[[#This Row],[Fecha]],SummaryDaily[day],SummaryDaily[cost_of_goods_sold],0)</f>
        <v>0</v>
      </c>
      <c r="AO776" s="11">
        <f>_xlfn.XLOOKUP(TableDailySummary[[#This Row],[Fecha]],SummaryDaily[day],SummaryDaily[gross_profit],0)</f>
        <v>0</v>
      </c>
      <c r="AP776" s="18">
        <f>IFERROR(TableDailySummary[[#This Row],[Utilidad bruta]]/TableDailySummary[[#This Row],[Ventas netas con costo registrado]],0)</f>
        <v>0</v>
      </c>
    </row>
    <row r="777" spans="2:42" x14ac:dyDescent="0.2">
      <c r="B777" s="15" cm="1">
        <f t="array" ref="B777">ParamFechaInicioReporte + (ROW(TableDailySummary[#This Row]) - ROW(TableDailySummary[[#Headers],[Dia]]) - 1)</f>
        <v>45304</v>
      </c>
      <c r="C777" s="6">
        <f>TableDailySummary[[#This Row],[Dia]]</f>
        <v>45304</v>
      </c>
      <c r="D777" s="11">
        <f>_xlfn.XLOOKUP(TableDailySummary[[#This Row],[Fecha]],SummaryDaily[day],SummaryDaily[net_sales],0)</f>
        <v>0</v>
      </c>
      <c r="E777" s="11">
        <f>_xlfn.XLOOKUP(TableDailySummary[[#This Row],[Fecha]],SummaryDaily[day],SummaryDaily[orders],0)</f>
        <v>0</v>
      </c>
      <c r="F777" s="11">
        <f>_xlfn.XLOOKUP(TableDailySummary[[#This Row],[Fecha]],SummaryDaily[day],SummaryDaily[average_order_value],0)</f>
        <v>0</v>
      </c>
      <c r="G777" s="24" cm="1">
        <f t="array" ref="G777">_xlfn.XLOOKUP(TableDailySummary[[#This Row],[Fecha]]&amp;"Total site",ConversionRateByReferral[day]&amp;ConversionRateByReferral[referrer_source],ConversionRateByReferral[conversion_rate],0)</f>
        <v>0</v>
      </c>
      <c r="H777" s="11">
        <f>TableDailySummary[[#This Row],[Órden promedio totales]]*TableDailySummary[[#This Row],[CR totales]]</f>
        <v>0</v>
      </c>
      <c r="I777" s="11">
        <f>_xlfn.XLOOKUP(TableDailySummary[[#This Row],[Fecha]],SummaryDaily[day],SummaryDaily[new_net_sales],0)</f>
        <v>0</v>
      </c>
      <c r="J777" s="11">
        <f>_xlfn.XLOOKUP(TableDailySummary[[#This Row],[Fecha]],SummaryDaily[day],SummaryDaily[new_orders],0)</f>
        <v>0</v>
      </c>
      <c r="K777" s="11">
        <f>_xlfn.XLOOKUP(TableDailySummary[[#This Row],[Fecha]],SummaryDaily[day],SummaryDaily[new_average_order_value],0)</f>
        <v>0</v>
      </c>
      <c r="L777" s="11">
        <f>_xlfn.XLOOKUP(TableDailySummary[[#This Row],[Fecha]],SummaryDaily[day],SummaryDaily[Online Store_net_sales],0)</f>
        <v>0</v>
      </c>
      <c r="M777" s="11">
        <f>_xlfn.XLOOKUP(TableDailySummary[[#This Row],[Fecha]],SummaryDaily[day],SummaryDaily[Online Store_orders],0)</f>
        <v>0</v>
      </c>
      <c r="N777" s="11">
        <f>_xlfn.XLOOKUP(TableDailySummary[[#This Row],[Fecha]],SummaryDaily[day],SummaryDaily[Online Store_average_order_value],0)</f>
        <v>0</v>
      </c>
      <c r="O777" s="11">
        <f>_xlfn.XLOOKUP(TableDailySummary[[#This Row],[Fecha]],SummaryDaily[day],SummaryDaily[Tienda 81_net_sales],0)</f>
        <v>0</v>
      </c>
      <c r="P777" s="11">
        <f>_xlfn.XLOOKUP(TableDailySummary[[#This Row],[Fecha]],SummaryDaily[day],SummaryDaily[Tienda 81_orders],0)</f>
        <v>0</v>
      </c>
      <c r="Q777" s="11">
        <f>_xlfn.XLOOKUP(TableDailySummary[[#This Row],[Fecha]],SummaryDaily[day],SummaryDaily[Tienda 81_average_order_value],0)</f>
        <v>0</v>
      </c>
      <c r="R777" s="11">
        <f>_xlfn.XLOOKUP(TableDailySummary[[#This Row],[Fecha]],SummaryDaily[day],SummaryDaily[Rappi_net_sales],0)</f>
        <v>0</v>
      </c>
      <c r="S777" s="11">
        <f>_xlfn.XLOOKUP(TableDailySummary[[#This Row],[Fecha]],SummaryDaily[day],SummaryDaily[Rappi_orders],0)</f>
        <v>0</v>
      </c>
      <c r="T777" s="11">
        <f>_xlfn.XLOOKUP(TableDailySummary[[#This Row],[Fecha]],SummaryDaily[day],SummaryDaily[Rappi_average_order_value],0)</f>
        <v>0</v>
      </c>
      <c r="U777" s="11">
        <f>_xlfn.XLOOKUP(TableDailySummary[[#This Row],[Fecha]],SummaryDaily[day],SummaryDaily[Corporativo no tienda_net_sales],0)</f>
        <v>0</v>
      </c>
      <c r="V777" s="11">
        <f>_xlfn.XLOOKUP(TableDailySummary[[#This Row],[Fecha]],SummaryDaily[day],SummaryDaily[Corporativo no tienda_orders],0)</f>
        <v>0</v>
      </c>
      <c r="W777" s="11">
        <f>_xlfn.XLOOKUP(TableDailySummary[[#This Row],[Fecha]],SummaryDaily[day],SummaryDaily[Corporativo no tienda_average_order_value],0)</f>
        <v>0</v>
      </c>
      <c r="X777" s="11">
        <f>_xlfn.XLOOKUP(TableDailySummary[[#This Row],[Fecha]],SummaryDaily[day],SummaryDaily[GoogleAdsOperation.Cost],0)</f>
        <v>0</v>
      </c>
      <c r="Y777" s="11">
        <f>SUMIFS(SalesByUTMDaily[google],SalesByUTMDaily[day],TableDailySummary[[#This Row],[Fecha]])</f>
        <v>0</v>
      </c>
      <c r="Z777" s="11">
        <f>_xlfn.XLOOKUP(TableDailySummary[[#This Row],[Fecha]],SummaryDaily[day],SummaryDaily[MetaAdsOperation.spend],0)</f>
        <v>0</v>
      </c>
      <c r="AA777" s="11">
        <f>SUMIFS(SalesByUTMDaily[facebook],SalesByUTMDaily[day],TableDailySummary[[#This Row],[Fecha]])</f>
        <v>0</v>
      </c>
      <c r="AB777" s="11">
        <f>TableDailySummary[[#This Row],[Inversión google ads]]+TableDailySummary[[#This Row],[Inversión meta ads]]</f>
        <v>0</v>
      </c>
      <c r="AC777" s="11">
        <f>TableDailySummary[[#This Row],[Ventas google ads]]+TableDailySummary[[#This Row],[Ventas meta ads]]</f>
        <v>0</v>
      </c>
      <c r="AD777" s="14">
        <f>IFERROR(TableDailySummary[[#This Row],[Ventas publicidad]]/TableDailySummary[[#This Row],[Inversión publicidad]],0)</f>
        <v>0</v>
      </c>
      <c r="AE777" s="14">
        <f>IFERROR(TableDailySummary[[#This Row],[Ventas primer cliente]]/TableDailySummary[[#This Row],[Inversión publicidad]],0)</f>
        <v>0</v>
      </c>
      <c r="AF777" s="14"/>
      <c r="AG777" s="11"/>
      <c r="AM777" s="11">
        <f>_xlfn.XLOOKUP(TableDailySummary[[#This Row],[Fecha]],SummaryDaily[day],SummaryDaily[net_sales_with_cost_recorded],0)</f>
        <v>0</v>
      </c>
      <c r="AN777" s="11">
        <f>_xlfn.XLOOKUP(TableDailySummary[[#This Row],[Fecha]],SummaryDaily[day],SummaryDaily[cost_of_goods_sold],0)</f>
        <v>0</v>
      </c>
      <c r="AO777" s="11">
        <f>_xlfn.XLOOKUP(TableDailySummary[[#This Row],[Fecha]],SummaryDaily[day],SummaryDaily[gross_profit],0)</f>
        <v>0</v>
      </c>
      <c r="AP777" s="18">
        <f>IFERROR(TableDailySummary[[#This Row],[Utilidad bruta]]/TableDailySummary[[#This Row],[Ventas netas con costo registrado]],0)</f>
        <v>0</v>
      </c>
    </row>
    <row r="778" spans="2:42" x14ac:dyDescent="0.2">
      <c r="B778" s="15" cm="1">
        <f t="array" ref="B778">ParamFechaInicioReporte + (ROW(TableDailySummary[#This Row]) - ROW(TableDailySummary[[#Headers],[Dia]]) - 1)</f>
        <v>45305</v>
      </c>
      <c r="C778" s="6">
        <f>TableDailySummary[[#This Row],[Dia]]</f>
        <v>45305</v>
      </c>
      <c r="D778" s="11">
        <f>_xlfn.XLOOKUP(TableDailySummary[[#This Row],[Fecha]],SummaryDaily[day],SummaryDaily[net_sales],0)</f>
        <v>0</v>
      </c>
      <c r="E778" s="11">
        <f>_xlfn.XLOOKUP(TableDailySummary[[#This Row],[Fecha]],SummaryDaily[day],SummaryDaily[orders],0)</f>
        <v>0</v>
      </c>
      <c r="F778" s="11">
        <f>_xlfn.XLOOKUP(TableDailySummary[[#This Row],[Fecha]],SummaryDaily[day],SummaryDaily[average_order_value],0)</f>
        <v>0</v>
      </c>
      <c r="G778" s="24" cm="1">
        <f t="array" ref="G778">_xlfn.XLOOKUP(TableDailySummary[[#This Row],[Fecha]]&amp;"Total site",ConversionRateByReferral[day]&amp;ConversionRateByReferral[referrer_source],ConversionRateByReferral[conversion_rate],0)</f>
        <v>0</v>
      </c>
      <c r="H778" s="11">
        <f>TableDailySummary[[#This Row],[Órden promedio totales]]*TableDailySummary[[#This Row],[CR totales]]</f>
        <v>0</v>
      </c>
      <c r="I778" s="11">
        <f>_xlfn.XLOOKUP(TableDailySummary[[#This Row],[Fecha]],SummaryDaily[day],SummaryDaily[new_net_sales],0)</f>
        <v>0</v>
      </c>
      <c r="J778" s="11">
        <f>_xlfn.XLOOKUP(TableDailySummary[[#This Row],[Fecha]],SummaryDaily[day],SummaryDaily[new_orders],0)</f>
        <v>0</v>
      </c>
      <c r="K778" s="11">
        <f>_xlfn.XLOOKUP(TableDailySummary[[#This Row],[Fecha]],SummaryDaily[day],SummaryDaily[new_average_order_value],0)</f>
        <v>0</v>
      </c>
      <c r="L778" s="11">
        <f>_xlfn.XLOOKUP(TableDailySummary[[#This Row],[Fecha]],SummaryDaily[day],SummaryDaily[Online Store_net_sales],0)</f>
        <v>0</v>
      </c>
      <c r="M778" s="11">
        <f>_xlfn.XLOOKUP(TableDailySummary[[#This Row],[Fecha]],SummaryDaily[day],SummaryDaily[Online Store_orders],0)</f>
        <v>0</v>
      </c>
      <c r="N778" s="11">
        <f>_xlfn.XLOOKUP(TableDailySummary[[#This Row],[Fecha]],SummaryDaily[day],SummaryDaily[Online Store_average_order_value],0)</f>
        <v>0</v>
      </c>
      <c r="O778" s="11">
        <f>_xlfn.XLOOKUP(TableDailySummary[[#This Row],[Fecha]],SummaryDaily[day],SummaryDaily[Tienda 81_net_sales],0)</f>
        <v>0</v>
      </c>
      <c r="P778" s="11">
        <f>_xlfn.XLOOKUP(TableDailySummary[[#This Row],[Fecha]],SummaryDaily[day],SummaryDaily[Tienda 81_orders],0)</f>
        <v>0</v>
      </c>
      <c r="Q778" s="11">
        <f>_xlfn.XLOOKUP(TableDailySummary[[#This Row],[Fecha]],SummaryDaily[day],SummaryDaily[Tienda 81_average_order_value],0)</f>
        <v>0</v>
      </c>
      <c r="R778" s="11">
        <f>_xlfn.XLOOKUP(TableDailySummary[[#This Row],[Fecha]],SummaryDaily[day],SummaryDaily[Rappi_net_sales],0)</f>
        <v>0</v>
      </c>
      <c r="S778" s="11">
        <f>_xlfn.XLOOKUP(TableDailySummary[[#This Row],[Fecha]],SummaryDaily[day],SummaryDaily[Rappi_orders],0)</f>
        <v>0</v>
      </c>
      <c r="T778" s="11">
        <f>_xlfn.XLOOKUP(TableDailySummary[[#This Row],[Fecha]],SummaryDaily[day],SummaryDaily[Rappi_average_order_value],0)</f>
        <v>0</v>
      </c>
      <c r="U778" s="11">
        <f>_xlfn.XLOOKUP(TableDailySummary[[#This Row],[Fecha]],SummaryDaily[day],SummaryDaily[Corporativo no tienda_net_sales],0)</f>
        <v>0</v>
      </c>
      <c r="V778" s="11">
        <f>_xlfn.XLOOKUP(TableDailySummary[[#This Row],[Fecha]],SummaryDaily[day],SummaryDaily[Corporativo no tienda_orders],0)</f>
        <v>0</v>
      </c>
      <c r="W778" s="11">
        <f>_xlfn.XLOOKUP(TableDailySummary[[#This Row],[Fecha]],SummaryDaily[day],SummaryDaily[Corporativo no tienda_average_order_value],0)</f>
        <v>0</v>
      </c>
      <c r="X778" s="11">
        <f>_xlfn.XLOOKUP(TableDailySummary[[#This Row],[Fecha]],SummaryDaily[day],SummaryDaily[GoogleAdsOperation.Cost],0)</f>
        <v>0</v>
      </c>
      <c r="Y778" s="11">
        <f>SUMIFS(SalesByUTMDaily[google],SalesByUTMDaily[day],TableDailySummary[[#This Row],[Fecha]])</f>
        <v>0</v>
      </c>
      <c r="Z778" s="11">
        <f>_xlfn.XLOOKUP(TableDailySummary[[#This Row],[Fecha]],SummaryDaily[day],SummaryDaily[MetaAdsOperation.spend],0)</f>
        <v>0</v>
      </c>
      <c r="AA778" s="11">
        <f>SUMIFS(SalesByUTMDaily[facebook],SalesByUTMDaily[day],TableDailySummary[[#This Row],[Fecha]])</f>
        <v>0</v>
      </c>
      <c r="AB778" s="11">
        <f>TableDailySummary[[#This Row],[Inversión google ads]]+TableDailySummary[[#This Row],[Inversión meta ads]]</f>
        <v>0</v>
      </c>
      <c r="AC778" s="11">
        <f>TableDailySummary[[#This Row],[Ventas google ads]]+TableDailySummary[[#This Row],[Ventas meta ads]]</f>
        <v>0</v>
      </c>
      <c r="AD778" s="14">
        <f>IFERROR(TableDailySummary[[#This Row],[Ventas publicidad]]/TableDailySummary[[#This Row],[Inversión publicidad]],0)</f>
        <v>0</v>
      </c>
      <c r="AE778" s="14">
        <f>IFERROR(TableDailySummary[[#This Row],[Ventas primer cliente]]/TableDailySummary[[#This Row],[Inversión publicidad]],0)</f>
        <v>0</v>
      </c>
      <c r="AF778" s="14"/>
      <c r="AG778" s="11"/>
      <c r="AM778" s="11">
        <f>_xlfn.XLOOKUP(TableDailySummary[[#This Row],[Fecha]],SummaryDaily[day],SummaryDaily[net_sales_with_cost_recorded],0)</f>
        <v>0</v>
      </c>
      <c r="AN778" s="11">
        <f>_xlfn.XLOOKUP(TableDailySummary[[#This Row],[Fecha]],SummaryDaily[day],SummaryDaily[cost_of_goods_sold],0)</f>
        <v>0</v>
      </c>
      <c r="AO778" s="11">
        <f>_xlfn.XLOOKUP(TableDailySummary[[#This Row],[Fecha]],SummaryDaily[day],SummaryDaily[gross_profit],0)</f>
        <v>0</v>
      </c>
      <c r="AP778" s="18">
        <f>IFERROR(TableDailySummary[[#This Row],[Utilidad bruta]]/TableDailySummary[[#This Row],[Ventas netas con costo registrado]],0)</f>
        <v>0</v>
      </c>
    </row>
    <row r="779" spans="2:42" x14ac:dyDescent="0.2">
      <c r="B779" s="15" cm="1">
        <f t="array" ref="B779">ParamFechaInicioReporte + (ROW(TableDailySummary[#This Row]) - ROW(TableDailySummary[[#Headers],[Dia]]) - 1)</f>
        <v>45306</v>
      </c>
      <c r="C779" s="6">
        <f>TableDailySummary[[#This Row],[Dia]]</f>
        <v>45306</v>
      </c>
      <c r="D779" s="11">
        <f>_xlfn.XLOOKUP(TableDailySummary[[#This Row],[Fecha]],SummaryDaily[day],SummaryDaily[net_sales],0)</f>
        <v>0</v>
      </c>
      <c r="E779" s="11">
        <f>_xlfn.XLOOKUP(TableDailySummary[[#This Row],[Fecha]],SummaryDaily[day],SummaryDaily[orders],0)</f>
        <v>0</v>
      </c>
      <c r="F779" s="11">
        <f>_xlfn.XLOOKUP(TableDailySummary[[#This Row],[Fecha]],SummaryDaily[day],SummaryDaily[average_order_value],0)</f>
        <v>0</v>
      </c>
      <c r="G779" s="24" cm="1">
        <f t="array" ref="G779">_xlfn.XLOOKUP(TableDailySummary[[#This Row],[Fecha]]&amp;"Total site",ConversionRateByReferral[day]&amp;ConversionRateByReferral[referrer_source],ConversionRateByReferral[conversion_rate],0)</f>
        <v>0</v>
      </c>
      <c r="H779" s="11">
        <f>TableDailySummary[[#This Row],[Órden promedio totales]]*TableDailySummary[[#This Row],[CR totales]]</f>
        <v>0</v>
      </c>
      <c r="I779" s="11">
        <f>_xlfn.XLOOKUP(TableDailySummary[[#This Row],[Fecha]],SummaryDaily[day],SummaryDaily[new_net_sales],0)</f>
        <v>0</v>
      </c>
      <c r="J779" s="11">
        <f>_xlfn.XLOOKUP(TableDailySummary[[#This Row],[Fecha]],SummaryDaily[day],SummaryDaily[new_orders],0)</f>
        <v>0</v>
      </c>
      <c r="K779" s="11">
        <f>_xlfn.XLOOKUP(TableDailySummary[[#This Row],[Fecha]],SummaryDaily[day],SummaryDaily[new_average_order_value],0)</f>
        <v>0</v>
      </c>
      <c r="L779" s="11">
        <f>_xlfn.XLOOKUP(TableDailySummary[[#This Row],[Fecha]],SummaryDaily[day],SummaryDaily[Online Store_net_sales],0)</f>
        <v>0</v>
      </c>
      <c r="M779" s="11">
        <f>_xlfn.XLOOKUP(TableDailySummary[[#This Row],[Fecha]],SummaryDaily[day],SummaryDaily[Online Store_orders],0)</f>
        <v>0</v>
      </c>
      <c r="N779" s="11">
        <f>_xlfn.XLOOKUP(TableDailySummary[[#This Row],[Fecha]],SummaryDaily[day],SummaryDaily[Online Store_average_order_value],0)</f>
        <v>0</v>
      </c>
      <c r="O779" s="11">
        <f>_xlfn.XLOOKUP(TableDailySummary[[#This Row],[Fecha]],SummaryDaily[day],SummaryDaily[Tienda 81_net_sales],0)</f>
        <v>0</v>
      </c>
      <c r="P779" s="11">
        <f>_xlfn.XLOOKUP(TableDailySummary[[#This Row],[Fecha]],SummaryDaily[day],SummaryDaily[Tienda 81_orders],0)</f>
        <v>0</v>
      </c>
      <c r="Q779" s="11">
        <f>_xlfn.XLOOKUP(TableDailySummary[[#This Row],[Fecha]],SummaryDaily[day],SummaryDaily[Tienda 81_average_order_value],0)</f>
        <v>0</v>
      </c>
      <c r="R779" s="11">
        <f>_xlfn.XLOOKUP(TableDailySummary[[#This Row],[Fecha]],SummaryDaily[day],SummaryDaily[Rappi_net_sales],0)</f>
        <v>0</v>
      </c>
      <c r="S779" s="11">
        <f>_xlfn.XLOOKUP(TableDailySummary[[#This Row],[Fecha]],SummaryDaily[day],SummaryDaily[Rappi_orders],0)</f>
        <v>0</v>
      </c>
      <c r="T779" s="11">
        <f>_xlfn.XLOOKUP(TableDailySummary[[#This Row],[Fecha]],SummaryDaily[day],SummaryDaily[Rappi_average_order_value],0)</f>
        <v>0</v>
      </c>
      <c r="U779" s="11">
        <f>_xlfn.XLOOKUP(TableDailySummary[[#This Row],[Fecha]],SummaryDaily[day],SummaryDaily[Corporativo no tienda_net_sales],0)</f>
        <v>0</v>
      </c>
      <c r="V779" s="11">
        <f>_xlfn.XLOOKUP(TableDailySummary[[#This Row],[Fecha]],SummaryDaily[day],SummaryDaily[Corporativo no tienda_orders],0)</f>
        <v>0</v>
      </c>
      <c r="W779" s="11">
        <f>_xlfn.XLOOKUP(TableDailySummary[[#This Row],[Fecha]],SummaryDaily[day],SummaryDaily[Corporativo no tienda_average_order_value],0)</f>
        <v>0</v>
      </c>
      <c r="X779" s="11">
        <f>_xlfn.XLOOKUP(TableDailySummary[[#This Row],[Fecha]],SummaryDaily[day],SummaryDaily[GoogleAdsOperation.Cost],0)</f>
        <v>0</v>
      </c>
      <c r="Y779" s="11">
        <f>SUMIFS(SalesByUTMDaily[google],SalesByUTMDaily[day],TableDailySummary[[#This Row],[Fecha]])</f>
        <v>0</v>
      </c>
      <c r="Z779" s="11">
        <f>_xlfn.XLOOKUP(TableDailySummary[[#This Row],[Fecha]],SummaryDaily[day],SummaryDaily[MetaAdsOperation.spend],0)</f>
        <v>0</v>
      </c>
      <c r="AA779" s="11">
        <f>SUMIFS(SalesByUTMDaily[facebook],SalesByUTMDaily[day],TableDailySummary[[#This Row],[Fecha]])</f>
        <v>0</v>
      </c>
      <c r="AB779" s="11">
        <f>TableDailySummary[[#This Row],[Inversión google ads]]+TableDailySummary[[#This Row],[Inversión meta ads]]</f>
        <v>0</v>
      </c>
      <c r="AC779" s="11">
        <f>TableDailySummary[[#This Row],[Ventas google ads]]+TableDailySummary[[#This Row],[Ventas meta ads]]</f>
        <v>0</v>
      </c>
      <c r="AD779" s="14">
        <f>IFERROR(TableDailySummary[[#This Row],[Ventas publicidad]]/TableDailySummary[[#This Row],[Inversión publicidad]],0)</f>
        <v>0</v>
      </c>
      <c r="AE779" s="14">
        <f>IFERROR(TableDailySummary[[#This Row],[Ventas primer cliente]]/TableDailySummary[[#This Row],[Inversión publicidad]],0)</f>
        <v>0</v>
      </c>
      <c r="AF779" s="14"/>
      <c r="AG779" s="11"/>
      <c r="AM779" s="11">
        <f>_xlfn.XLOOKUP(TableDailySummary[[#This Row],[Fecha]],SummaryDaily[day],SummaryDaily[net_sales_with_cost_recorded],0)</f>
        <v>0</v>
      </c>
      <c r="AN779" s="11">
        <f>_xlfn.XLOOKUP(TableDailySummary[[#This Row],[Fecha]],SummaryDaily[day],SummaryDaily[cost_of_goods_sold],0)</f>
        <v>0</v>
      </c>
      <c r="AO779" s="11">
        <f>_xlfn.XLOOKUP(TableDailySummary[[#This Row],[Fecha]],SummaryDaily[day],SummaryDaily[gross_profit],0)</f>
        <v>0</v>
      </c>
      <c r="AP779" s="18">
        <f>IFERROR(TableDailySummary[[#This Row],[Utilidad bruta]]/TableDailySummary[[#This Row],[Ventas netas con costo registrado]],0)</f>
        <v>0</v>
      </c>
    </row>
    <row r="780" spans="2:42" x14ac:dyDescent="0.2">
      <c r="B780" s="15" cm="1">
        <f t="array" ref="B780">ParamFechaInicioReporte + (ROW(TableDailySummary[#This Row]) - ROW(TableDailySummary[[#Headers],[Dia]]) - 1)</f>
        <v>45307</v>
      </c>
      <c r="C780" s="6">
        <f>TableDailySummary[[#This Row],[Dia]]</f>
        <v>45307</v>
      </c>
      <c r="D780" s="11">
        <f>_xlfn.XLOOKUP(TableDailySummary[[#This Row],[Fecha]],SummaryDaily[day],SummaryDaily[net_sales],0)</f>
        <v>0</v>
      </c>
      <c r="E780" s="11">
        <f>_xlfn.XLOOKUP(TableDailySummary[[#This Row],[Fecha]],SummaryDaily[day],SummaryDaily[orders],0)</f>
        <v>0</v>
      </c>
      <c r="F780" s="11">
        <f>_xlfn.XLOOKUP(TableDailySummary[[#This Row],[Fecha]],SummaryDaily[day],SummaryDaily[average_order_value],0)</f>
        <v>0</v>
      </c>
      <c r="G780" s="24" cm="1">
        <f t="array" ref="G780">_xlfn.XLOOKUP(TableDailySummary[[#This Row],[Fecha]]&amp;"Total site",ConversionRateByReferral[day]&amp;ConversionRateByReferral[referrer_source],ConversionRateByReferral[conversion_rate],0)</f>
        <v>0</v>
      </c>
      <c r="H780" s="11">
        <f>TableDailySummary[[#This Row],[Órden promedio totales]]*TableDailySummary[[#This Row],[CR totales]]</f>
        <v>0</v>
      </c>
      <c r="I780" s="11">
        <f>_xlfn.XLOOKUP(TableDailySummary[[#This Row],[Fecha]],SummaryDaily[day],SummaryDaily[new_net_sales],0)</f>
        <v>0</v>
      </c>
      <c r="J780" s="11">
        <f>_xlfn.XLOOKUP(TableDailySummary[[#This Row],[Fecha]],SummaryDaily[day],SummaryDaily[new_orders],0)</f>
        <v>0</v>
      </c>
      <c r="K780" s="11">
        <f>_xlfn.XLOOKUP(TableDailySummary[[#This Row],[Fecha]],SummaryDaily[day],SummaryDaily[new_average_order_value],0)</f>
        <v>0</v>
      </c>
      <c r="L780" s="11">
        <f>_xlfn.XLOOKUP(TableDailySummary[[#This Row],[Fecha]],SummaryDaily[day],SummaryDaily[Online Store_net_sales],0)</f>
        <v>0</v>
      </c>
      <c r="M780" s="11">
        <f>_xlfn.XLOOKUP(TableDailySummary[[#This Row],[Fecha]],SummaryDaily[day],SummaryDaily[Online Store_orders],0)</f>
        <v>0</v>
      </c>
      <c r="N780" s="11">
        <f>_xlfn.XLOOKUP(TableDailySummary[[#This Row],[Fecha]],SummaryDaily[day],SummaryDaily[Online Store_average_order_value],0)</f>
        <v>0</v>
      </c>
      <c r="O780" s="11">
        <f>_xlfn.XLOOKUP(TableDailySummary[[#This Row],[Fecha]],SummaryDaily[day],SummaryDaily[Tienda 81_net_sales],0)</f>
        <v>0</v>
      </c>
      <c r="P780" s="11">
        <f>_xlfn.XLOOKUP(TableDailySummary[[#This Row],[Fecha]],SummaryDaily[day],SummaryDaily[Tienda 81_orders],0)</f>
        <v>0</v>
      </c>
      <c r="Q780" s="11">
        <f>_xlfn.XLOOKUP(TableDailySummary[[#This Row],[Fecha]],SummaryDaily[day],SummaryDaily[Tienda 81_average_order_value],0)</f>
        <v>0</v>
      </c>
      <c r="R780" s="11">
        <f>_xlfn.XLOOKUP(TableDailySummary[[#This Row],[Fecha]],SummaryDaily[day],SummaryDaily[Rappi_net_sales],0)</f>
        <v>0</v>
      </c>
      <c r="S780" s="11">
        <f>_xlfn.XLOOKUP(TableDailySummary[[#This Row],[Fecha]],SummaryDaily[day],SummaryDaily[Rappi_orders],0)</f>
        <v>0</v>
      </c>
      <c r="T780" s="11">
        <f>_xlfn.XLOOKUP(TableDailySummary[[#This Row],[Fecha]],SummaryDaily[day],SummaryDaily[Rappi_average_order_value],0)</f>
        <v>0</v>
      </c>
      <c r="U780" s="11">
        <f>_xlfn.XLOOKUP(TableDailySummary[[#This Row],[Fecha]],SummaryDaily[day],SummaryDaily[Corporativo no tienda_net_sales],0)</f>
        <v>0</v>
      </c>
      <c r="V780" s="11">
        <f>_xlfn.XLOOKUP(TableDailySummary[[#This Row],[Fecha]],SummaryDaily[day],SummaryDaily[Corporativo no tienda_orders],0)</f>
        <v>0</v>
      </c>
      <c r="W780" s="11">
        <f>_xlfn.XLOOKUP(TableDailySummary[[#This Row],[Fecha]],SummaryDaily[day],SummaryDaily[Corporativo no tienda_average_order_value],0)</f>
        <v>0</v>
      </c>
      <c r="X780" s="11">
        <f>_xlfn.XLOOKUP(TableDailySummary[[#This Row],[Fecha]],SummaryDaily[day],SummaryDaily[GoogleAdsOperation.Cost],0)</f>
        <v>0</v>
      </c>
      <c r="Y780" s="11">
        <f>SUMIFS(SalesByUTMDaily[google],SalesByUTMDaily[day],TableDailySummary[[#This Row],[Fecha]])</f>
        <v>0</v>
      </c>
      <c r="Z780" s="11">
        <f>_xlfn.XLOOKUP(TableDailySummary[[#This Row],[Fecha]],SummaryDaily[day],SummaryDaily[MetaAdsOperation.spend],0)</f>
        <v>0</v>
      </c>
      <c r="AA780" s="11">
        <f>SUMIFS(SalesByUTMDaily[facebook],SalesByUTMDaily[day],TableDailySummary[[#This Row],[Fecha]])</f>
        <v>0</v>
      </c>
      <c r="AB780" s="11">
        <f>TableDailySummary[[#This Row],[Inversión google ads]]+TableDailySummary[[#This Row],[Inversión meta ads]]</f>
        <v>0</v>
      </c>
      <c r="AC780" s="11">
        <f>TableDailySummary[[#This Row],[Ventas google ads]]+TableDailySummary[[#This Row],[Ventas meta ads]]</f>
        <v>0</v>
      </c>
      <c r="AD780" s="14">
        <f>IFERROR(TableDailySummary[[#This Row],[Ventas publicidad]]/TableDailySummary[[#This Row],[Inversión publicidad]],0)</f>
        <v>0</v>
      </c>
      <c r="AE780" s="14">
        <f>IFERROR(TableDailySummary[[#This Row],[Ventas primer cliente]]/TableDailySummary[[#This Row],[Inversión publicidad]],0)</f>
        <v>0</v>
      </c>
      <c r="AF780" s="14"/>
      <c r="AG780" s="11"/>
      <c r="AM780" s="11">
        <f>_xlfn.XLOOKUP(TableDailySummary[[#This Row],[Fecha]],SummaryDaily[day],SummaryDaily[net_sales_with_cost_recorded],0)</f>
        <v>0</v>
      </c>
      <c r="AN780" s="11">
        <f>_xlfn.XLOOKUP(TableDailySummary[[#This Row],[Fecha]],SummaryDaily[day],SummaryDaily[cost_of_goods_sold],0)</f>
        <v>0</v>
      </c>
      <c r="AO780" s="11">
        <f>_xlfn.XLOOKUP(TableDailySummary[[#This Row],[Fecha]],SummaryDaily[day],SummaryDaily[gross_profit],0)</f>
        <v>0</v>
      </c>
      <c r="AP780" s="18">
        <f>IFERROR(TableDailySummary[[#This Row],[Utilidad bruta]]/TableDailySummary[[#This Row],[Ventas netas con costo registrado]],0)</f>
        <v>0</v>
      </c>
    </row>
    <row r="781" spans="2:42" x14ac:dyDescent="0.2">
      <c r="B781" s="15" cm="1">
        <f t="array" ref="B781">ParamFechaInicioReporte + (ROW(TableDailySummary[#This Row]) - ROW(TableDailySummary[[#Headers],[Dia]]) - 1)</f>
        <v>45308</v>
      </c>
      <c r="C781" s="6">
        <f>TableDailySummary[[#This Row],[Dia]]</f>
        <v>45308</v>
      </c>
      <c r="D781" s="11">
        <f>_xlfn.XLOOKUP(TableDailySummary[[#This Row],[Fecha]],SummaryDaily[day],SummaryDaily[net_sales],0)</f>
        <v>0</v>
      </c>
      <c r="E781" s="11">
        <f>_xlfn.XLOOKUP(TableDailySummary[[#This Row],[Fecha]],SummaryDaily[day],SummaryDaily[orders],0)</f>
        <v>0</v>
      </c>
      <c r="F781" s="11">
        <f>_xlfn.XLOOKUP(TableDailySummary[[#This Row],[Fecha]],SummaryDaily[day],SummaryDaily[average_order_value],0)</f>
        <v>0</v>
      </c>
      <c r="G781" s="24" cm="1">
        <f t="array" ref="G781">_xlfn.XLOOKUP(TableDailySummary[[#This Row],[Fecha]]&amp;"Total site",ConversionRateByReferral[day]&amp;ConversionRateByReferral[referrer_source],ConversionRateByReferral[conversion_rate],0)</f>
        <v>0</v>
      </c>
      <c r="H781" s="11">
        <f>TableDailySummary[[#This Row],[Órden promedio totales]]*TableDailySummary[[#This Row],[CR totales]]</f>
        <v>0</v>
      </c>
      <c r="I781" s="11">
        <f>_xlfn.XLOOKUP(TableDailySummary[[#This Row],[Fecha]],SummaryDaily[day],SummaryDaily[new_net_sales],0)</f>
        <v>0</v>
      </c>
      <c r="J781" s="11">
        <f>_xlfn.XLOOKUP(TableDailySummary[[#This Row],[Fecha]],SummaryDaily[day],SummaryDaily[new_orders],0)</f>
        <v>0</v>
      </c>
      <c r="K781" s="11">
        <f>_xlfn.XLOOKUP(TableDailySummary[[#This Row],[Fecha]],SummaryDaily[day],SummaryDaily[new_average_order_value],0)</f>
        <v>0</v>
      </c>
      <c r="L781" s="11">
        <f>_xlfn.XLOOKUP(TableDailySummary[[#This Row],[Fecha]],SummaryDaily[day],SummaryDaily[Online Store_net_sales],0)</f>
        <v>0</v>
      </c>
      <c r="M781" s="11">
        <f>_xlfn.XLOOKUP(TableDailySummary[[#This Row],[Fecha]],SummaryDaily[day],SummaryDaily[Online Store_orders],0)</f>
        <v>0</v>
      </c>
      <c r="N781" s="11">
        <f>_xlfn.XLOOKUP(TableDailySummary[[#This Row],[Fecha]],SummaryDaily[day],SummaryDaily[Online Store_average_order_value],0)</f>
        <v>0</v>
      </c>
      <c r="O781" s="11">
        <f>_xlfn.XLOOKUP(TableDailySummary[[#This Row],[Fecha]],SummaryDaily[day],SummaryDaily[Tienda 81_net_sales],0)</f>
        <v>0</v>
      </c>
      <c r="P781" s="11">
        <f>_xlfn.XLOOKUP(TableDailySummary[[#This Row],[Fecha]],SummaryDaily[day],SummaryDaily[Tienda 81_orders],0)</f>
        <v>0</v>
      </c>
      <c r="Q781" s="11">
        <f>_xlfn.XLOOKUP(TableDailySummary[[#This Row],[Fecha]],SummaryDaily[day],SummaryDaily[Tienda 81_average_order_value],0)</f>
        <v>0</v>
      </c>
      <c r="R781" s="11">
        <f>_xlfn.XLOOKUP(TableDailySummary[[#This Row],[Fecha]],SummaryDaily[day],SummaryDaily[Rappi_net_sales],0)</f>
        <v>0</v>
      </c>
      <c r="S781" s="11">
        <f>_xlfn.XLOOKUP(TableDailySummary[[#This Row],[Fecha]],SummaryDaily[day],SummaryDaily[Rappi_orders],0)</f>
        <v>0</v>
      </c>
      <c r="T781" s="11">
        <f>_xlfn.XLOOKUP(TableDailySummary[[#This Row],[Fecha]],SummaryDaily[day],SummaryDaily[Rappi_average_order_value],0)</f>
        <v>0</v>
      </c>
      <c r="U781" s="11">
        <f>_xlfn.XLOOKUP(TableDailySummary[[#This Row],[Fecha]],SummaryDaily[day],SummaryDaily[Corporativo no tienda_net_sales],0)</f>
        <v>0</v>
      </c>
      <c r="V781" s="11">
        <f>_xlfn.XLOOKUP(TableDailySummary[[#This Row],[Fecha]],SummaryDaily[day],SummaryDaily[Corporativo no tienda_orders],0)</f>
        <v>0</v>
      </c>
      <c r="W781" s="11">
        <f>_xlfn.XLOOKUP(TableDailySummary[[#This Row],[Fecha]],SummaryDaily[day],SummaryDaily[Corporativo no tienda_average_order_value],0)</f>
        <v>0</v>
      </c>
      <c r="X781" s="11">
        <f>_xlfn.XLOOKUP(TableDailySummary[[#This Row],[Fecha]],SummaryDaily[day],SummaryDaily[GoogleAdsOperation.Cost],0)</f>
        <v>0</v>
      </c>
      <c r="Y781" s="11">
        <f>SUMIFS(SalesByUTMDaily[google],SalesByUTMDaily[day],TableDailySummary[[#This Row],[Fecha]])</f>
        <v>0</v>
      </c>
      <c r="Z781" s="11">
        <f>_xlfn.XLOOKUP(TableDailySummary[[#This Row],[Fecha]],SummaryDaily[day],SummaryDaily[MetaAdsOperation.spend],0)</f>
        <v>0</v>
      </c>
      <c r="AA781" s="11">
        <f>SUMIFS(SalesByUTMDaily[facebook],SalesByUTMDaily[day],TableDailySummary[[#This Row],[Fecha]])</f>
        <v>0</v>
      </c>
      <c r="AB781" s="11">
        <f>TableDailySummary[[#This Row],[Inversión google ads]]+TableDailySummary[[#This Row],[Inversión meta ads]]</f>
        <v>0</v>
      </c>
      <c r="AC781" s="11">
        <f>TableDailySummary[[#This Row],[Ventas google ads]]+TableDailySummary[[#This Row],[Ventas meta ads]]</f>
        <v>0</v>
      </c>
      <c r="AD781" s="14">
        <f>IFERROR(TableDailySummary[[#This Row],[Ventas publicidad]]/TableDailySummary[[#This Row],[Inversión publicidad]],0)</f>
        <v>0</v>
      </c>
      <c r="AE781" s="14">
        <f>IFERROR(TableDailySummary[[#This Row],[Ventas primer cliente]]/TableDailySummary[[#This Row],[Inversión publicidad]],0)</f>
        <v>0</v>
      </c>
      <c r="AF781" s="14"/>
      <c r="AG781" s="11"/>
      <c r="AM781" s="11">
        <f>_xlfn.XLOOKUP(TableDailySummary[[#This Row],[Fecha]],SummaryDaily[day],SummaryDaily[net_sales_with_cost_recorded],0)</f>
        <v>0</v>
      </c>
      <c r="AN781" s="11">
        <f>_xlfn.XLOOKUP(TableDailySummary[[#This Row],[Fecha]],SummaryDaily[day],SummaryDaily[cost_of_goods_sold],0)</f>
        <v>0</v>
      </c>
      <c r="AO781" s="11">
        <f>_xlfn.XLOOKUP(TableDailySummary[[#This Row],[Fecha]],SummaryDaily[day],SummaryDaily[gross_profit],0)</f>
        <v>0</v>
      </c>
      <c r="AP781" s="18">
        <f>IFERROR(TableDailySummary[[#This Row],[Utilidad bruta]]/TableDailySummary[[#This Row],[Ventas netas con costo registrado]],0)</f>
        <v>0</v>
      </c>
    </row>
    <row r="782" spans="2:42" x14ac:dyDescent="0.2">
      <c r="B782" s="15" cm="1">
        <f t="array" ref="B782">ParamFechaInicioReporte + (ROW(TableDailySummary[#This Row]) - ROW(TableDailySummary[[#Headers],[Dia]]) - 1)</f>
        <v>45309</v>
      </c>
      <c r="C782" s="6">
        <f>TableDailySummary[[#This Row],[Dia]]</f>
        <v>45309</v>
      </c>
      <c r="D782" s="11">
        <f>_xlfn.XLOOKUP(TableDailySummary[[#This Row],[Fecha]],SummaryDaily[day],SummaryDaily[net_sales],0)</f>
        <v>0</v>
      </c>
      <c r="E782" s="11">
        <f>_xlfn.XLOOKUP(TableDailySummary[[#This Row],[Fecha]],SummaryDaily[day],SummaryDaily[orders],0)</f>
        <v>0</v>
      </c>
      <c r="F782" s="11">
        <f>_xlfn.XLOOKUP(TableDailySummary[[#This Row],[Fecha]],SummaryDaily[day],SummaryDaily[average_order_value],0)</f>
        <v>0</v>
      </c>
      <c r="G782" s="24" cm="1">
        <f t="array" ref="G782">_xlfn.XLOOKUP(TableDailySummary[[#This Row],[Fecha]]&amp;"Total site",ConversionRateByReferral[day]&amp;ConversionRateByReferral[referrer_source],ConversionRateByReferral[conversion_rate],0)</f>
        <v>0</v>
      </c>
      <c r="H782" s="11">
        <f>TableDailySummary[[#This Row],[Órden promedio totales]]*TableDailySummary[[#This Row],[CR totales]]</f>
        <v>0</v>
      </c>
      <c r="I782" s="11">
        <f>_xlfn.XLOOKUP(TableDailySummary[[#This Row],[Fecha]],SummaryDaily[day],SummaryDaily[new_net_sales],0)</f>
        <v>0</v>
      </c>
      <c r="J782" s="11">
        <f>_xlfn.XLOOKUP(TableDailySummary[[#This Row],[Fecha]],SummaryDaily[day],SummaryDaily[new_orders],0)</f>
        <v>0</v>
      </c>
      <c r="K782" s="11">
        <f>_xlfn.XLOOKUP(TableDailySummary[[#This Row],[Fecha]],SummaryDaily[day],SummaryDaily[new_average_order_value],0)</f>
        <v>0</v>
      </c>
      <c r="L782" s="11">
        <f>_xlfn.XLOOKUP(TableDailySummary[[#This Row],[Fecha]],SummaryDaily[day],SummaryDaily[Online Store_net_sales],0)</f>
        <v>0</v>
      </c>
      <c r="M782" s="11">
        <f>_xlfn.XLOOKUP(TableDailySummary[[#This Row],[Fecha]],SummaryDaily[day],SummaryDaily[Online Store_orders],0)</f>
        <v>0</v>
      </c>
      <c r="N782" s="11">
        <f>_xlfn.XLOOKUP(TableDailySummary[[#This Row],[Fecha]],SummaryDaily[day],SummaryDaily[Online Store_average_order_value],0)</f>
        <v>0</v>
      </c>
      <c r="O782" s="11">
        <f>_xlfn.XLOOKUP(TableDailySummary[[#This Row],[Fecha]],SummaryDaily[day],SummaryDaily[Tienda 81_net_sales],0)</f>
        <v>0</v>
      </c>
      <c r="P782" s="11">
        <f>_xlfn.XLOOKUP(TableDailySummary[[#This Row],[Fecha]],SummaryDaily[day],SummaryDaily[Tienda 81_orders],0)</f>
        <v>0</v>
      </c>
      <c r="Q782" s="11">
        <f>_xlfn.XLOOKUP(TableDailySummary[[#This Row],[Fecha]],SummaryDaily[day],SummaryDaily[Tienda 81_average_order_value],0)</f>
        <v>0</v>
      </c>
      <c r="R782" s="11">
        <f>_xlfn.XLOOKUP(TableDailySummary[[#This Row],[Fecha]],SummaryDaily[day],SummaryDaily[Rappi_net_sales],0)</f>
        <v>0</v>
      </c>
      <c r="S782" s="11">
        <f>_xlfn.XLOOKUP(TableDailySummary[[#This Row],[Fecha]],SummaryDaily[day],SummaryDaily[Rappi_orders],0)</f>
        <v>0</v>
      </c>
      <c r="T782" s="11">
        <f>_xlfn.XLOOKUP(TableDailySummary[[#This Row],[Fecha]],SummaryDaily[day],SummaryDaily[Rappi_average_order_value],0)</f>
        <v>0</v>
      </c>
      <c r="U782" s="11">
        <f>_xlfn.XLOOKUP(TableDailySummary[[#This Row],[Fecha]],SummaryDaily[day],SummaryDaily[Corporativo no tienda_net_sales],0)</f>
        <v>0</v>
      </c>
      <c r="V782" s="11">
        <f>_xlfn.XLOOKUP(TableDailySummary[[#This Row],[Fecha]],SummaryDaily[day],SummaryDaily[Corporativo no tienda_orders],0)</f>
        <v>0</v>
      </c>
      <c r="W782" s="11">
        <f>_xlfn.XLOOKUP(TableDailySummary[[#This Row],[Fecha]],SummaryDaily[day],SummaryDaily[Corporativo no tienda_average_order_value],0)</f>
        <v>0</v>
      </c>
      <c r="X782" s="11">
        <f>_xlfn.XLOOKUP(TableDailySummary[[#This Row],[Fecha]],SummaryDaily[day],SummaryDaily[GoogleAdsOperation.Cost],0)</f>
        <v>0</v>
      </c>
      <c r="Y782" s="11">
        <f>SUMIFS(SalesByUTMDaily[google],SalesByUTMDaily[day],TableDailySummary[[#This Row],[Fecha]])</f>
        <v>0</v>
      </c>
      <c r="Z782" s="11">
        <f>_xlfn.XLOOKUP(TableDailySummary[[#This Row],[Fecha]],SummaryDaily[day],SummaryDaily[MetaAdsOperation.spend],0)</f>
        <v>0</v>
      </c>
      <c r="AA782" s="11">
        <f>SUMIFS(SalesByUTMDaily[facebook],SalesByUTMDaily[day],TableDailySummary[[#This Row],[Fecha]])</f>
        <v>0</v>
      </c>
      <c r="AB782" s="11">
        <f>TableDailySummary[[#This Row],[Inversión google ads]]+TableDailySummary[[#This Row],[Inversión meta ads]]</f>
        <v>0</v>
      </c>
      <c r="AC782" s="11">
        <f>TableDailySummary[[#This Row],[Ventas google ads]]+TableDailySummary[[#This Row],[Ventas meta ads]]</f>
        <v>0</v>
      </c>
      <c r="AD782" s="14">
        <f>IFERROR(TableDailySummary[[#This Row],[Ventas publicidad]]/TableDailySummary[[#This Row],[Inversión publicidad]],0)</f>
        <v>0</v>
      </c>
      <c r="AE782" s="14">
        <f>IFERROR(TableDailySummary[[#This Row],[Ventas primer cliente]]/TableDailySummary[[#This Row],[Inversión publicidad]],0)</f>
        <v>0</v>
      </c>
      <c r="AF782" s="14"/>
      <c r="AG782" s="11"/>
      <c r="AM782" s="11">
        <f>_xlfn.XLOOKUP(TableDailySummary[[#This Row],[Fecha]],SummaryDaily[day],SummaryDaily[net_sales_with_cost_recorded],0)</f>
        <v>0</v>
      </c>
      <c r="AN782" s="11">
        <f>_xlfn.XLOOKUP(TableDailySummary[[#This Row],[Fecha]],SummaryDaily[day],SummaryDaily[cost_of_goods_sold],0)</f>
        <v>0</v>
      </c>
      <c r="AO782" s="11">
        <f>_xlfn.XLOOKUP(TableDailySummary[[#This Row],[Fecha]],SummaryDaily[day],SummaryDaily[gross_profit],0)</f>
        <v>0</v>
      </c>
      <c r="AP782" s="18">
        <f>IFERROR(TableDailySummary[[#This Row],[Utilidad bruta]]/TableDailySummary[[#This Row],[Ventas netas con costo registrado]],0)</f>
        <v>0</v>
      </c>
    </row>
    <row r="783" spans="2:42" x14ac:dyDescent="0.2">
      <c r="B783" s="15" cm="1">
        <f t="array" ref="B783">ParamFechaInicioReporte + (ROW(TableDailySummary[#This Row]) - ROW(TableDailySummary[[#Headers],[Dia]]) - 1)</f>
        <v>45310</v>
      </c>
      <c r="C783" s="6">
        <f>TableDailySummary[[#This Row],[Dia]]</f>
        <v>45310</v>
      </c>
      <c r="D783" s="11">
        <f>_xlfn.XLOOKUP(TableDailySummary[[#This Row],[Fecha]],SummaryDaily[day],SummaryDaily[net_sales],0)</f>
        <v>0</v>
      </c>
      <c r="E783" s="11">
        <f>_xlfn.XLOOKUP(TableDailySummary[[#This Row],[Fecha]],SummaryDaily[day],SummaryDaily[orders],0)</f>
        <v>0</v>
      </c>
      <c r="F783" s="11">
        <f>_xlfn.XLOOKUP(TableDailySummary[[#This Row],[Fecha]],SummaryDaily[day],SummaryDaily[average_order_value],0)</f>
        <v>0</v>
      </c>
      <c r="G783" s="24" cm="1">
        <f t="array" ref="G783">_xlfn.XLOOKUP(TableDailySummary[[#This Row],[Fecha]]&amp;"Total site",ConversionRateByReferral[day]&amp;ConversionRateByReferral[referrer_source],ConversionRateByReferral[conversion_rate],0)</f>
        <v>0</v>
      </c>
      <c r="H783" s="11">
        <f>TableDailySummary[[#This Row],[Órden promedio totales]]*TableDailySummary[[#This Row],[CR totales]]</f>
        <v>0</v>
      </c>
      <c r="I783" s="11">
        <f>_xlfn.XLOOKUP(TableDailySummary[[#This Row],[Fecha]],SummaryDaily[day],SummaryDaily[new_net_sales],0)</f>
        <v>0</v>
      </c>
      <c r="J783" s="11">
        <f>_xlfn.XLOOKUP(TableDailySummary[[#This Row],[Fecha]],SummaryDaily[day],SummaryDaily[new_orders],0)</f>
        <v>0</v>
      </c>
      <c r="K783" s="11">
        <f>_xlfn.XLOOKUP(TableDailySummary[[#This Row],[Fecha]],SummaryDaily[day],SummaryDaily[new_average_order_value],0)</f>
        <v>0</v>
      </c>
      <c r="L783" s="11">
        <f>_xlfn.XLOOKUP(TableDailySummary[[#This Row],[Fecha]],SummaryDaily[day],SummaryDaily[Online Store_net_sales],0)</f>
        <v>0</v>
      </c>
      <c r="M783" s="11">
        <f>_xlfn.XLOOKUP(TableDailySummary[[#This Row],[Fecha]],SummaryDaily[day],SummaryDaily[Online Store_orders],0)</f>
        <v>0</v>
      </c>
      <c r="N783" s="11">
        <f>_xlfn.XLOOKUP(TableDailySummary[[#This Row],[Fecha]],SummaryDaily[day],SummaryDaily[Online Store_average_order_value],0)</f>
        <v>0</v>
      </c>
      <c r="O783" s="11">
        <f>_xlfn.XLOOKUP(TableDailySummary[[#This Row],[Fecha]],SummaryDaily[day],SummaryDaily[Tienda 81_net_sales],0)</f>
        <v>0</v>
      </c>
      <c r="P783" s="11">
        <f>_xlfn.XLOOKUP(TableDailySummary[[#This Row],[Fecha]],SummaryDaily[day],SummaryDaily[Tienda 81_orders],0)</f>
        <v>0</v>
      </c>
      <c r="Q783" s="11">
        <f>_xlfn.XLOOKUP(TableDailySummary[[#This Row],[Fecha]],SummaryDaily[day],SummaryDaily[Tienda 81_average_order_value],0)</f>
        <v>0</v>
      </c>
      <c r="R783" s="11">
        <f>_xlfn.XLOOKUP(TableDailySummary[[#This Row],[Fecha]],SummaryDaily[day],SummaryDaily[Rappi_net_sales],0)</f>
        <v>0</v>
      </c>
      <c r="S783" s="11">
        <f>_xlfn.XLOOKUP(TableDailySummary[[#This Row],[Fecha]],SummaryDaily[day],SummaryDaily[Rappi_orders],0)</f>
        <v>0</v>
      </c>
      <c r="T783" s="11">
        <f>_xlfn.XLOOKUP(TableDailySummary[[#This Row],[Fecha]],SummaryDaily[day],SummaryDaily[Rappi_average_order_value],0)</f>
        <v>0</v>
      </c>
      <c r="U783" s="11">
        <f>_xlfn.XLOOKUP(TableDailySummary[[#This Row],[Fecha]],SummaryDaily[day],SummaryDaily[Corporativo no tienda_net_sales],0)</f>
        <v>0</v>
      </c>
      <c r="V783" s="11">
        <f>_xlfn.XLOOKUP(TableDailySummary[[#This Row],[Fecha]],SummaryDaily[day],SummaryDaily[Corporativo no tienda_orders],0)</f>
        <v>0</v>
      </c>
      <c r="W783" s="11">
        <f>_xlfn.XLOOKUP(TableDailySummary[[#This Row],[Fecha]],SummaryDaily[day],SummaryDaily[Corporativo no tienda_average_order_value],0)</f>
        <v>0</v>
      </c>
      <c r="X783" s="11">
        <f>_xlfn.XLOOKUP(TableDailySummary[[#This Row],[Fecha]],SummaryDaily[day],SummaryDaily[GoogleAdsOperation.Cost],0)</f>
        <v>0</v>
      </c>
      <c r="Y783" s="11">
        <f>SUMIFS(SalesByUTMDaily[google],SalesByUTMDaily[day],TableDailySummary[[#This Row],[Fecha]])</f>
        <v>0</v>
      </c>
      <c r="Z783" s="11">
        <f>_xlfn.XLOOKUP(TableDailySummary[[#This Row],[Fecha]],SummaryDaily[day],SummaryDaily[MetaAdsOperation.spend],0)</f>
        <v>0</v>
      </c>
      <c r="AA783" s="11">
        <f>SUMIFS(SalesByUTMDaily[facebook],SalesByUTMDaily[day],TableDailySummary[[#This Row],[Fecha]])</f>
        <v>0</v>
      </c>
      <c r="AB783" s="11">
        <f>TableDailySummary[[#This Row],[Inversión google ads]]+TableDailySummary[[#This Row],[Inversión meta ads]]</f>
        <v>0</v>
      </c>
      <c r="AC783" s="11">
        <f>TableDailySummary[[#This Row],[Ventas google ads]]+TableDailySummary[[#This Row],[Ventas meta ads]]</f>
        <v>0</v>
      </c>
      <c r="AD783" s="14">
        <f>IFERROR(TableDailySummary[[#This Row],[Ventas publicidad]]/TableDailySummary[[#This Row],[Inversión publicidad]],0)</f>
        <v>0</v>
      </c>
      <c r="AE783" s="14">
        <f>IFERROR(TableDailySummary[[#This Row],[Ventas primer cliente]]/TableDailySummary[[#This Row],[Inversión publicidad]],0)</f>
        <v>0</v>
      </c>
      <c r="AF783" s="14"/>
      <c r="AG783" s="11"/>
      <c r="AM783" s="11">
        <f>_xlfn.XLOOKUP(TableDailySummary[[#This Row],[Fecha]],SummaryDaily[day],SummaryDaily[net_sales_with_cost_recorded],0)</f>
        <v>0</v>
      </c>
      <c r="AN783" s="11">
        <f>_xlfn.XLOOKUP(TableDailySummary[[#This Row],[Fecha]],SummaryDaily[day],SummaryDaily[cost_of_goods_sold],0)</f>
        <v>0</v>
      </c>
      <c r="AO783" s="11">
        <f>_xlfn.XLOOKUP(TableDailySummary[[#This Row],[Fecha]],SummaryDaily[day],SummaryDaily[gross_profit],0)</f>
        <v>0</v>
      </c>
      <c r="AP783" s="18">
        <f>IFERROR(TableDailySummary[[#This Row],[Utilidad bruta]]/TableDailySummary[[#This Row],[Ventas netas con costo registrado]],0)</f>
        <v>0</v>
      </c>
    </row>
    <row r="784" spans="2:42" x14ac:dyDescent="0.2">
      <c r="B784" s="15" cm="1">
        <f t="array" ref="B784">ParamFechaInicioReporte + (ROW(TableDailySummary[#This Row]) - ROW(TableDailySummary[[#Headers],[Dia]]) - 1)</f>
        <v>45311</v>
      </c>
      <c r="C784" s="6">
        <f>TableDailySummary[[#This Row],[Dia]]</f>
        <v>45311</v>
      </c>
      <c r="D784" s="11">
        <f>_xlfn.XLOOKUP(TableDailySummary[[#This Row],[Fecha]],SummaryDaily[day],SummaryDaily[net_sales],0)</f>
        <v>0</v>
      </c>
      <c r="E784" s="11">
        <f>_xlfn.XLOOKUP(TableDailySummary[[#This Row],[Fecha]],SummaryDaily[day],SummaryDaily[orders],0)</f>
        <v>0</v>
      </c>
      <c r="F784" s="11">
        <f>_xlfn.XLOOKUP(TableDailySummary[[#This Row],[Fecha]],SummaryDaily[day],SummaryDaily[average_order_value],0)</f>
        <v>0</v>
      </c>
      <c r="G784" s="24" cm="1">
        <f t="array" ref="G784">_xlfn.XLOOKUP(TableDailySummary[[#This Row],[Fecha]]&amp;"Total site",ConversionRateByReferral[day]&amp;ConversionRateByReferral[referrer_source],ConversionRateByReferral[conversion_rate],0)</f>
        <v>0</v>
      </c>
      <c r="H784" s="11">
        <f>TableDailySummary[[#This Row],[Órden promedio totales]]*TableDailySummary[[#This Row],[CR totales]]</f>
        <v>0</v>
      </c>
      <c r="I784" s="11">
        <f>_xlfn.XLOOKUP(TableDailySummary[[#This Row],[Fecha]],SummaryDaily[day],SummaryDaily[new_net_sales],0)</f>
        <v>0</v>
      </c>
      <c r="J784" s="11">
        <f>_xlfn.XLOOKUP(TableDailySummary[[#This Row],[Fecha]],SummaryDaily[day],SummaryDaily[new_orders],0)</f>
        <v>0</v>
      </c>
      <c r="K784" s="11">
        <f>_xlfn.XLOOKUP(TableDailySummary[[#This Row],[Fecha]],SummaryDaily[day],SummaryDaily[new_average_order_value],0)</f>
        <v>0</v>
      </c>
      <c r="L784" s="11">
        <f>_xlfn.XLOOKUP(TableDailySummary[[#This Row],[Fecha]],SummaryDaily[day],SummaryDaily[Online Store_net_sales],0)</f>
        <v>0</v>
      </c>
      <c r="M784" s="11">
        <f>_xlfn.XLOOKUP(TableDailySummary[[#This Row],[Fecha]],SummaryDaily[day],SummaryDaily[Online Store_orders],0)</f>
        <v>0</v>
      </c>
      <c r="N784" s="11">
        <f>_xlfn.XLOOKUP(TableDailySummary[[#This Row],[Fecha]],SummaryDaily[day],SummaryDaily[Online Store_average_order_value],0)</f>
        <v>0</v>
      </c>
      <c r="O784" s="11">
        <f>_xlfn.XLOOKUP(TableDailySummary[[#This Row],[Fecha]],SummaryDaily[day],SummaryDaily[Tienda 81_net_sales],0)</f>
        <v>0</v>
      </c>
      <c r="P784" s="11">
        <f>_xlfn.XLOOKUP(TableDailySummary[[#This Row],[Fecha]],SummaryDaily[day],SummaryDaily[Tienda 81_orders],0)</f>
        <v>0</v>
      </c>
      <c r="Q784" s="11">
        <f>_xlfn.XLOOKUP(TableDailySummary[[#This Row],[Fecha]],SummaryDaily[day],SummaryDaily[Tienda 81_average_order_value],0)</f>
        <v>0</v>
      </c>
      <c r="R784" s="11">
        <f>_xlfn.XLOOKUP(TableDailySummary[[#This Row],[Fecha]],SummaryDaily[day],SummaryDaily[Rappi_net_sales],0)</f>
        <v>0</v>
      </c>
      <c r="S784" s="11">
        <f>_xlfn.XLOOKUP(TableDailySummary[[#This Row],[Fecha]],SummaryDaily[day],SummaryDaily[Rappi_orders],0)</f>
        <v>0</v>
      </c>
      <c r="T784" s="11">
        <f>_xlfn.XLOOKUP(TableDailySummary[[#This Row],[Fecha]],SummaryDaily[day],SummaryDaily[Rappi_average_order_value],0)</f>
        <v>0</v>
      </c>
      <c r="U784" s="11">
        <f>_xlfn.XLOOKUP(TableDailySummary[[#This Row],[Fecha]],SummaryDaily[day],SummaryDaily[Corporativo no tienda_net_sales],0)</f>
        <v>0</v>
      </c>
      <c r="V784" s="11">
        <f>_xlfn.XLOOKUP(TableDailySummary[[#This Row],[Fecha]],SummaryDaily[day],SummaryDaily[Corporativo no tienda_orders],0)</f>
        <v>0</v>
      </c>
      <c r="W784" s="11">
        <f>_xlfn.XLOOKUP(TableDailySummary[[#This Row],[Fecha]],SummaryDaily[day],SummaryDaily[Corporativo no tienda_average_order_value],0)</f>
        <v>0</v>
      </c>
      <c r="X784" s="11">
        <f>_xlfn.XLOOKUP(TableDailySummary[[#This Row],[Fecha]],SummaryDaily[day],SummaryDaily[GoogleAdsOperation.Cost],0)</f>
        <v>0</v>
      </c>
      <c r="Y784" s="11">
        <f>SUMIFS(SalesByUTMDaily[google],SalesByUTMDaily[day],TableDailySummary[[#This Row],[Fecha]])</f>
        <v>0</v>
      </c>
      <c r="Z784" s="11">
        <f>_xlfn.XLOOKUP(TableDailySummary[[#This Row],[Fecha]],SummaryDaily[day],SummaryDaily[MetaAdsOperation.spend],0)</f>
        <v>0</v>
      </c>
      <c r="AA784" s="11">
        <f>SUMIFS(SalesByUTMDaily[facebook],SalesByUTMDaily[day],TableDailySummary[[#This Row],[Fecha]])</f>
        <v>0</v>
      </c>
      <c r="AB784" s="11">
        <f>TableDailySummary[[#This Row],[Inversión google ads]]+TableDailySummary[[#This Row],[Inversión meta ads]]</f>
        <v>0</v>
      </c>
      <c r="AC784" s="11">
        <f>TableDailySummary[[#This Row],[Ventas google ads]]+TableDailySummary[[#This Row],[Ventas meta ads]]</f>
        <v>0</v>
      </c>
      <c r="AD784" s="14">
        <f>IFERROR(TableDailySummary[[#This Row],[Ventas publicidad]]/TableDailySummary[[#This Row],[Inversión publicidad]],0)</f>
        <v>0</v>
      </c>
      <c r="AE784" s="14">
        <f>IFERROR(TableDailySummary[[#This Row],[Ventas primer cliente]]/TableDailySummary[[#This Row],[Inversión publicidad]],0)</f>
        <v>0</v>
      </c>
      <c r="AF784" s="14"/>
      <c r="AG784" s="11"/>
      <c r="AM784" s="11">
        <f>_xlfn.XLOOKUP(TableDailySummary[[#This Row],[Fecha]],SummaryDaily[day],SummaryDaily[net_sales_with_cost_recorded],0)</f>
        <v>0</v>
      </c>
      <c r="AN784" s="11">
        <f>_xlfn.XLOOKUP(TableDailySummary[[#This Row],[Fecha]],SummaryDaily[day],SummaryDaily[cost_of_goods_sold],0)</f>
        <v>0</v>
      </c>
      <c r="AO784" s="11">
        <f>_xlfn.XLOOKUP(TableDailySummary[[#This Row],[Fecha]],SummaryDaily[day],SummaryDaily[gross_profit],0)</f>
        <v>0</v>
      </c>
      <c r="AP784" s="18">
        <f>IFERROR(TableDailySummary[[#This Row],[Utilidad bruta]]/TableDailySummary[[#This Row],[Ventas netas con costo registrado]],0)</f>
        <v>0</v>
      </c>
    </row>
    <row r="785" spans="2:42" x14ac:dyDescent="0.2">
      <c r="B785" s="15" cm="1">
        <f t="array" ref="B785">ParamFechaInicioReporte + (ROW(TableDailySummary[#This Row]) - ROW(TableDailySummary[[#Headers],[Dia]]) - 1)</f>
        <v>45312</v>
      </c>
      <c r="C785" s="6">
        <f>TableDailySummary[[#This Row],[Dia]]</f>
        <v>45312</v>
      </c>
      <c r="D785" s="11">
        <f>_xlfn.XLOOKUP(TableDailySummary[[#This Row],[Fecha]],SummaryDaily[day],SummaryDaily[net_sales],0)</f>
        <v>0</v>
      </c>
      <c r="E785" s="11">
        <f>_xlfn.XLOOKUP(TableDailySummary[[#This Row],[Fecha]],SummaryDaily[day],SummaryDaily[orders],0)</f>
        <v>0</v>
      </c>
      <c r="F785" s="11">
        <f>_xlfn.XLOOKUP(TableDailySummary[[#This Row],[Fecha]],SummaryDaily[day],SummaryDaily[average_order_value],0)</f>
        <v>0</v>
      </c>
      <c r="G785" s="24" cm="1">
        <f t="array" ref="G785">_xlfn.XLOOKUP(TableDailySummary[[#This Row],[Fecha]]&amp;"Total site",ConversionRateByReferral[day]&amp;ConversionRateByReferral[referrer_source],ConversionRateByReferral[conversion_rate],0)</f>
        <v>0</v>
      </c>
      <c r="H785" s="11">
        <f>TableDailySummary[[#This Row],[Órden promedio totales]]*TableDailySummary[[#This Row],[CR totales]]</f>
        <v>0</v>
      </c>
      <c r="I785" s="11">
        <f>_xlfn.XLOOKUP(TableDailySummary[[#This Row],[Fecha]],SummaryDaily[day],SummaryDaily[new_net_sales],0)</f>
        <v>0</v>
      </c>
      <c r="J785" s="11">
        <f>_xlfn.XLOOKUP(TableDailySummary[[#This Row],[Fecha]],SummaryDaily[day],SummaryDaily[new_orders],0)</f>
        <v>0</v>
      </c>
      <c r="K785" s="11">
        <f>_xlfn.XLOOKUP(TableDailySummary[[#This Row],[Fecha]],SummaryDaily[day],SummaryDaily[new_average_order_value],0)</f>
        <v>0</v>
      </c>
      <c r="L785" s="11">
        <f>_xlfn.XLOOKUP(TableDailySummary[[#This Row],[Fecha]],SummaryDaily[day],SummaryDaily[Online Store_net_sales],0)</f>
        <v>0</v>
      </c>
      <c r="M785" s="11">
        <f>_xlfn.XLOOKUP(TableDailySummary[[#This Row],[Fecha]],SummaryDaily[day],SummaryDaily[Online Store_orders],0)</f>
        <v>0</v>
      </c>
      <c r="N785" s="11">
        <f>_xlfn.XLOOKUP(TableDailySummary[[#This Row],[Fecha]],SummaryDaily[day],SummaryDaily[Online Store_average_order_value],0)</f>
        <v>0</v>
      </c>
      <c r="O785" s="11">
        <f>_xlfn.XLOOKUP(TableDailySummary[[#This Row],[Fecha]],SummaryDaily[day],SummaryDaily[Tienda 81_net_sales],0)</f>
        <v>0</v>
      </c>
      <c r="P785" s="11">
        <f>_xlfn.XLOOKUP(TableDailySummary[[#This Row],[Fecha]],SummaryDaily[day],SummaryDaily[Tienda 81_orders],0)</f>
        <v>0</v>
      </c>
      <c r="Q785" s="11">
        <f>_xlfn.XLOOKUP(TableDailySummary[[#This Row],[Fecha]],SummaryDaily[day],SummaryDaily[Tienda 81_average_order_value],0)</f>
        <v>0</v>
      </c>
      <c r="R785" s="11">
        <f>_xlfn.XLOOKUP(TableDailySummary[[#This Row],[Fecha]],SummaryDaily[day],SummaryDaily[Rappi_net_sales],0)</f>
        <v>0</v>
      </c>
      <c r="S785" s="11">
        <f>_xlfn.XLOOKUP(TableDailySummary[[#This Row],[Fecha]],SummaryDaily[day],SummaryDaily[Rappi_orders],0)</f>
        <v>0</v>
      </c>
      <c r="T785" s="11">
        <f>_xlfn.XLOOKUP(TableDailySummary[[#This Row],[Fecha]],SummaryDaily[day],SummaryDaily[Rappi_average_order_value],0)</f>
        <v>0</v>
      </c>
      <c r="U785" s="11">
        <f>_xlfn.XLOOKUP(TableDailySummary[[#This Row],[Fecha]],SummaryDaily[day],SummaryDaily[Corporativo no tienda_net_sales],0)</f>
        <v>0</v>
      </c>
      <c r="V785" s="11">
        <f>_xlfn.XLOOKUP(TableDailySummary[[#This Row],[Fecha]],SummaryDaily[day],SummaryDaily[Corporativo no tienda_orders],0)</f>
        <v>0</v>
      </c>
      <c r="W785" s="11">
        <f>_xlfn.XLOOKUP(TableDailySummary[[#This Row],[Fecha]],SummaryDaily[day],SummaryDaily[Corporativo no tienda_average_order_value],0)</f>
        <v>0</v>
      </c>
      <c r="X785" s="11">
        <f>_xlfn.XLOOKUP(TableDailySummary[[#This Row],[Fecha]],SummaryDaily[day],SummaryDaily[GoogleAdsOperation.Cost],0)</f>
        <v>0</v>
      </c>
      <c r="Y785" s="11">
        <f>SUMIFS(SalesByUTMDaily[google],SalesByUTMDaily[day],TableDailySummary[[#This Row],[Fecha]])</f>
        <v>0</v>
      </c>
      <c r="Z785" s="11">
        <f>_xlfn.XLOOKUP(TableDailySummary[[#This Row],[Fecha]],SummaryDaily[day],SummaryDaily[MetaAdsOperation.spend],0)</f>
        <v>0</v>
      </c>
      <c r="AA785" s="11">
        <f>SUMIFS(SalesByUTMDaily[facebook],SalesByUTMDaily[day],TableDailySummary[[#This Row],[Fecha]])</f>
        <v>0</v>
      </c>
      <c r="AB785" s="11">
        <f>TableDailySummary[[#This Row],[Inversión google ads]]+TableDailySummary[[#This Row],[Inversión meta ads]]</f>
        <v>0</v>
      </c>
      <c r="AC785" s="11">
        <f>TableDailySummary[[#This Row],[Ventas google ads]]+TableDailySummary[[#This Row],[Ventas meta ads]]</f>
        <v>0</v>
      </c>
      <c r="AD785" s="14">
        <f>IFERROR(TableDailySummary[[#This Row],[Ventas publicidad]]/TableDailySummary[[#This Row],[Inversión publicidad]],0)</f>
        <v>0</v>
      </c>
      <c r="AE785" s="14">
        <f>IFERROR(TableDailySummary[[#This Row],[Ventas primer cliente]]/TableDailySummary[[#This Row],[Inversión publicidad]],0)</f>
        <v>0</v>
      </c>
      <c r="AF785" s="14"/>
      <c r="AG785" s="11"/>
      <c r="AM785" s="11">
        <f>_xlfn.XLOOKUP(TableDailySummary[[#This Row],[Fecha]],SummaryDaily[day],SummaryDaily[net_sales_with_cost_recorded],0)</f>
        <v>0</v>
      </c>
      <c r="AN785" s="11">
        <f>_xlfn.XLOOKUP(TableDailySummary[[#This Row],[Fecha]],SummaryDaily[day],SummaryDaily[cost_of_goods_sold],0)</f>
        <v>0</v>
      </c>
      <c r="AO785" s="11">
        <f>_xlfn.XLOOKUP(TableDailySummary[[#This Row],[Fecha]],SummaryDaily[day],SummaryDaily[gross_profit],0)</f>
        <v>0</v>
      </c>
      <c r="AP785" s="18">
        <f>IFERROR(TableDailySummary[[#This Row],[Utilidad bruta]]/TableDailySummary[[#This Row],[Ventas netas con costo registrado]],0)</f>
        <v>0</v>
      </c>
    </row>
    <row r="786" spans="2:42" x14ac:dyDescent="0.2">
      <c r="B786" s="15" cm="1">
        <f t="array" ref="B786">ParamFechaInicioReporte + (ROW(TableDailySummary[#This Row]) - ROW(TableDailySummary[[#Headers],[Dia]]) - 1)</f>
        <v>45313</v>
      </c>
      <c r="C786" s="6">
        <f>TableDailySummary[[#This Row],[Dia]]</f>
        <v>45313</v>
      </c>
      <c r="D786" s="11">
        <f>_xlfn.XLOOKUP(TableDailySummary[[#This Row],[Fecha]],SummaryDaily[day],SummaryDaily[net_sales],0)</f>
        <v>0</v>
      </c>
      <c r="E786" s="11">
        <f>_xlfn.XLOOKUP(TableDailySummary[[#This Row],[Fecha]],SummaryDaily[day],SummaryDaily[orders],0)</f>
        <v>0</v>
      </c>
      <c r="F786" s="11">
        <f>_xlfn.XLOOKUP(TableDailySummary[[#This Row],[Fecha]],SummaryDaily[day],SummaryDaily[average_order_value],0)</f>
        <v>0</v>
      </c>
      <c r="G786" s="24" cm="1">
        <f t="array" ref="G786">_xlfn.XLOOKUP(TableDailySummary[[#This Row],[Fecha]]&amp;"Total site",ConversionRateByReferral[day]&amp;ConversionRateByReferral[referrer_source],ConversionRateByReferral[conversion_rate],0)</f>
        <v>0</v>
      </c>
      <c r="H786" s="11">
        <f>TableDailySummary[[#This Row],[Órden promedio totales]]*TableDailySummary[[#This Row],[CR totales]]</f>
        <v>0</v>
      </c>
      <c r="I786" s="11">
        <f>_xlfn.XLOOKUP(TableDailySummary[[#This Row],[Fecha]],SummaryDaily[day],SummaryDaily[new_net_sales],0)</f>
        <v>0</v>
      </c>
      <c r="J786" s="11">
        <f>_xlfn.XLOOKUP(TableDailySummary[[#This Row],[Fecha]],SummaryDaily[day],SummaryDaily[new_orders],0)</f>
        <v>0</v>
      </c>
      <c r="K786" s="11">
        <f>_xlfn.XLOOKUP(TableDailySummary[[#This Row],[Fecha]],SummaryDaily[day],SummaryDaily[new_average_order_value],0)</f>
        <v>0</v>
      </c>
      <c r="L786" s="11">
        <f>_xlfn.XLOOKUP(TableDailySummary[[#This Row],[Fecha]],SummaryDaily[day],SummaryDaily[Online Store_net_sales],0)</f>
        <v>0</v>
      </c>
      <c r="M786" s="11">
        <f>_xlfn.XLOOKUP(TableDailySummary[[#This Row],[Fecha]],SummaryDaily[day],SummaryDaily[Online Store_orders],0)</f>
        <v>0</v>
      </c>
      <c r="N786" s="11">
        <f>_xlfn.XLOOKUP(TableDailySummary[[#This Row],[Fecha]],SummaryDaily[day],SummaryDaily[Online Store_average_order_value],0)</f>
        <v>0</v>
      </c>
      <c r="O786" s="11">
        <f>_xlfn.XLOOKUP(TableDailySummary[[#This Row],[Fecha]],SummaryDaily[day],SummaryDaily[Tienda 81_net_sales],0)</f>
        <v>0</v>
      </c>
      <c r="P786" s="11">
        <f>_xlfn.XLOOKUP(TableDailySummary[[#This Row],[Fecha]],SummaryDaily[day],SummaryDaily[Tienda 81_orders],0)</f>
        <v>0</v>
      </c>
      <c r="Q786" s="11">
        <f>_xlfn.XLOOKUP(TableDailySummary[[#This Row],[Fecha]],SummaryDaily[day],SummaryDaily[Tienda 81_average_order_value],0)</f>
        <v>0</v>
      </c>
      <c r="R786" s="11">
        <f>_xlfn.XLOOKUP(TableDailySummary[[#This Row],[Fecha]],SummaryDaily[day],SummaryDaily[Rappi_net_sales],0)</f>
        <v>0</v>
      </c>
      <c r="S786" s="11">
        <f>_xlfn.XLOOKUP(TableDailySummary[[#This Row],[Fecha]],SummaryDaily[day],SummaryDaily[Rappi_orders],0)</f>
        <v>0</v>
      </c>
      <c r="T786" s="11">
        <f>_xlfn.XLOOKUP(TableDailySummary[[#This Row],[Fecha]],SummaryDaily[day],SummaryDaily[Rappi_average_order_value],0)</f>
        <v>0</v>
      </c>
      <c r="U786" s="11">
        <f>_xlfn.XLOOKUP(TableDailySummary[[#This Row],[Fecha]],SummaryDaily[day],SummaryDaily[Corporativo no tienda_net_sales],0)</f>
        <v>0</v>
      </c>
      <c r="V786" s="11">
        <f>_xlfn.XLOOKUP(TableDailySummary[[#This Row],[Fecha]],SummaryDaily[day],SummaryDaily[Corporativo no tienda_orders],0)</f>
        <v>0</v>
      </c>
      <c r="W786" s="11">
        <f>_xlfn.XLOOKUP(TableDailySummary[[#This Row],[Fecha]],SummaryDaily[day],SummaryDaily[Corporativo no tienda_average_order_value],0)</f>
        <v>0</v>
      </c>
      <c r="X786" s="11">
        <f>_xlfn.XLOOKUP(TableDailySummary[[#This Row],[Fecha]],SummaryDaily[day],SummaryDaily[GoogleAdsOperation.Cost],0)</f>
        <v>0</v>
      </c>
      <c r="Y786" s="11">
        <f>SUMIFS(SalesByUTMDaily[google],SalesByUTMDaily[day],TableDailySummary[[#This Row],[Fecha]])</f>
        <v>0</v>
      </c>
      <c r="Z786" s="11">
        <f>_xlfn.XLOOKUP(TableDailySummary[[#This Row],[Fecha]],SummaryDaily[day],SummaryDaily[MetaAdsOperation.spend],0)</f>
        <v>0</v>
      </c>
      <c r="AA786" s="11">
        <f>SUMIFS(SalesByUTMDaily[facebook],SalesByUTMDaily[day],TableDailySummary[[#This Row],[Fecha]])</f>
        <v>0</v>
      </c>
      <c r="AB786" s="11">
        <f>TableDailySummary[[#This Row],[Inversión google ads]]+TableDailySummary[[#This Row],[Inversión meta ads]]</f>
        <v>0</v>
      </c>
      <c r="AC786" s="11">
        <f>TableDailySummary[[#This Row],[Ventas google ads]]+TableDailySummary[[#This Row],[Ventas meta ads]]</f>
        <v>0</v>
      </c>
      <c r="AD786" s="14">
        <f>IFERROR(TableDailySummary[[#This Row],[Ventas publicidad]]/TableDailySummary[[#This Row],[Inversión publicidad]],0)</f>
        <v>0</v>
      </c>
      <c r="AE786" s="14">
        <f>IFERROR(TableDailySummary[[#This Row],[Ventas primer cliente]]/TableDailySummary[[#This Row],[Inversión publicidad]],0)</f>
        <v>0</v>
      </c>
      <c r="AF786" s="14"/>
      <c r="AG786" s="11"/>
      <c r="AM786" s="11">
        <f>_xlfn.XLOOKUP(TableDailySummary[[#This Row],[Fecha]],SummaryDaily[day],SummaryDaily[net_sales_with_cost_recorded],0)</f>
        <v>0</v>
      </c>
      <c r="AN786" s="11">
        <f>_xlfn.XLOOKUP(TableDailySummary[[#This Row],[Fecha]],SummaryDaily[day],SummaryDaily[cost_of_goods_sold],0)</f>
        <v>0</v>
      </c>
      <c r="AO786" s="11">
        <f>_xlfn.XLOOKUP(TableDailySummary[[#This Row],[Fecha]],SummaryDaily[day],SummaryDaily[gross_profit],0)</f>
        <v>0</v>
      </c>
      <c r="AP786" s="18">
        <f>IFERROR(TableDailySummary[[#This Row],[Utilidad bruta]]/TableDailySummary[[#This Row],[Ventas netas con costo registrado]],0)</f>
        <v>0</v>
      </c>
    </row>
    <row r="787" spans="2:42" x14ac:dyDescent="0.2">
      <c r="B787" s="15" cm="1">
        <f t="array" ref="B787">ParamFechaInicioReporte + (ROW(TableDailySummary[#This Row]) - ROW(TableDailySummary[[#Headers],[Dia]]) - 1)</f>
        <v>45314</v>
      </c>
      <c r="C787" s="6">
        <f>TableDailySummary[[#This Row],[Dia]]</f>
        <v>45314</v>
      </c>
      <c r="D787" s="11">
        <f>_xlfn.XLOOKUP(TableDailySummary[[#This Row],[Fecha]],SummaryDaily[day],SummaryDaily[net_sales],0)</f>
        <v>0</v>
      </c>
      <c r="E787" s="11">
        <f>_xlfn.XLOOKUP(TableDailySummary[[#This Row],[Fecha]],SummaryDaily[day],SummaryDaily[orders],0)</f>
        <v>0</v>
      </c>
      <c r="F787" s="11">
        <f>_xlfn.XLOOKUP(TableDailySummary[[#This Row],[Fecha]],SummaryDaily[day],SummaryDaily[average_order_value],0)</f>
        <v>0</v>
      </c>
      <c r="G787" s="24" cm="1">
        <f t="array" ref="G787">_xlfn.XLOOKUP(TableDailySummary[[#This Row],[Fecha]]&amp;"Total site",ConversionRateByReferral[day]&amp;ConversionRateByReferral[referrer_source],ConversionRateByReferral[conversion_rate],0)</f>
        <v>0</v>
      </c>
      <c r="H787" s="11">
        <f>TableDailySummary[[#This Row],[Órden promedio totales]]*TableDailySummary[[#This Row],[CR totales]]</f>
        <v>0</v>
      </c>
      <c r="I787" s="11">
        <f>_xlfn.XLOOKUP(TableDailySummary[[#This Row],[Fecha]],SummaryDaily[day],SummaryDaily[new_net_sales],0)</f>
        <v>0</v>
      </c>
      <c r="J787" s="11">
        <f>_xlfn.XLOOKUP(TableDailySummary[[#This Row],[Fecha]],SummaryDaily[day],SummaryDaily[new_orders],0)</f>
        <v>0</v>
      </c>
      <c r="K787" s="11">
        <f>_xlfn.XLOOKUP(TableDailySummary[[#This Row],[Fecha]],SummaryDaily[day],SummaryDaily[new_average_order_value],0)</f>
        <v>0</v>
      </c>
      <c r="L787" s="11">
        <f>_xlfn.XLOOKUP(TableDailySummary[[#This Row],[Fecha]],SummaryDaily[day],SummaryDaily[Online Store_net_sales],0)</f>
        <v>0</v>
      </c>
      <c r="M787" s="11">
        <f>_xlfn.XLOOKUP(TableDailySummary[[#This Row],[Fecha]],SummaryDaily[day],SummaryDaily[Online Store_orders],0)</f>
        <v>0</v>
      </c>
      <c r="N787" s="11">
        <f>_xlfn.XLOOKUP(TableDailySummary[[#This Row],[Fecha]],SummaryDaily[day],SummaryDaily[Online Store_average_order_value],0)</f>
        <v>0</v>
      </c>
      <c r="O787" s="11">
        <f>_xlfn.XLOOKUP(TableDailySummary[[#This Row],[Fecha]],SummaryDaily[day],SummaryDaily[Tienda 81_net_sales],0)</f>
        <v>0</v>
      </c>
      <c r="P787" s="11">
        <f>_xlfn.XLOOKUP(TableDailySummary[[#This Row],[Fecha]],SummaryDaily[day],SummaryDaily[Tienda 81_orders],0)</f>
        <v>0</v>
      </c>
      <c r="Q787" s="11">
        <f>_xlfn.XLOOKUP(TableDailySummary[[#This Row],[Fecha]],SummaryDaily[day],SummaryDaily[Tienda 81_average_order_value],0)</f>
        <v>0</v>
      </c>
      <c r="R787" s="11">
        <f>_xlfn.XLOOKUP(TableDailySummary[[#This Row],[Fecha]],SummaryDaily[day],SummaryDaily[Rappi_net_sales],0)</f>
        <v>0</v>
      </c>
      <c r="S787" s="11">
        <f>_xlfn.XLOOKUP(TableDailySummary[[#This Row],[Fecha]],SummaryDaily[day],SummaryDaily[Rappi_orders],0)</f>
        <v>0</v>
      </c>
      <c r="T787" s="11">
        <f>_xlfn.XLOOKUP(TableDailySummary[[#This Row],[Fecha]],SummaryDaily[day],SummaryDaily[Rappi_average_order_value],0)</f>
        <v>0</v>
      </c>
      <c r="U787" s="11">
        <f>_xlfn.XLOOKUP(TableDailySummary[[#This Row],[Fecha]],SummaryDaily[day],SummaryDaily[Corporativo no tienda_net_sales],0)</f>
        <v>0</v>
      </c>
      <c r="V787" s="11">
        <f>_xlfn.XLOOKUP(TableDailySummary[[#This Row],[Fecha]],SummaryDaily[day],SummaryDaily[Corporativo no tienda_orders],0)</f>
        <v>0</v>
      </c>
      <c r="W787" s="11">
        <f>_xlfn.XLOOKUP(TableDailySummary[[#This Row],[Fecha]],SummaryDaily[day],SummaryDaily[Corporativo no tienda_average_order_value],0)</f>
        <v>0</v>
      </c>
      <c r="X787" s="11">
        <f>_xlfn.XLOOKUP(TableDailySummary[[#This Row],[Fecha]],SummaryDaily[day],SummaryDaily[GoogleAdsOperation.Cost],0)</f>
        <v>0</v>
      </c>
      <c r="Y787" s="11">
        <f>SUMIFS(SalesByUTMDaily[google],SalesByUTMDaily[day],TableDailySummary[[#This Row],[Fecha]])</f>
        <v>0</v>
      </c>
      <c r="Z787" s="11">
        <f>_xlfn.XLOOKUP(TableDailySummary[[#This Row],[Fecha]],SummaryDaily[day],SummaryDaily[MetaAdsOperation.spend],0)</f>
        <v>0</v>
      </c>
      <c r="AA787" s="11">
        <f>SUMIFS(SalesByUTMDaily[facebook],SalesByUTMDaily[day],TableDailySummary[[#This Row],[Fecha]])</f>
        <v>0</v>
      </c>
      <c r="AB787" s="11">
        <f>TableDailySummary[[#This Row],[Inversión google ads]]+TableDailySummary[[#This Row],[Inversión meta ads]]</f>
        <v>0</v>
      </c>
      <c r="AC787" s="11">
        <f>TableDailySummary[[#This Row],[Ventas google ads]]+TableDailySummary[[#This Row],[Ventas meta ads]]</f>
        <v>0</v>
      </c>
      <c r="AD787" s="14">
        <f>IFERROR(TableDailySummary[[#This Row],[Ventas publicidad]]/TableDailySummary[[#This Row],[Inversión publicidad]],0)</f>
        <v>0</v>
      </c>
      <c r="AE787" s="14">
        <f>IFERROR(TableDailySummary[[#This Row],[Ventas primer cliente]]/TableDailySummary[[#This Row],[Inversión publicidad]],0)</f>
        <v>0</v>
      </c>
      <c r="AF787" s="14"/>
      <c r="AG787" s="11"/>
      <c r="AM787" s="11">
        <f>_xlfn.XLOOKUP(TableDailySummary[[#This Row],[Fecha]],SummaryDaily[day],SummaryDaily[net_sales_with_cost_recorded],0)</f>
        <v>0</v>
      </c>
      <c r="AN787" s="11">
        <f>_xlfn.XLOOKUP(TableDailySummary[[#This Row],[Fecha]],SummaryDaily[day],SummaryDaily[cost_of_goods_sold],0)</f>
        <v>0</v>
      </c>
      <c r="AO787" s="11">
        <f>_xlfn.XLOOKUP(TableDailySummary[[#This Row],[Fecha]],SummaryDaily[day],SummaryDaily[gross_profit],0)</f>
        <v>0</v>
      </c>
      <c r="AP787" s="18">
        <f>IFERROR(TableDailySummary[[#This Row],[Utilidad bruta]]/TableDailySummary[[#This Row],[Ventas netas con costo registrado]],0)</f>
        <v>0</v>
      </c>
    </row>
    <row r="788" spans="2:42" x14ac:dyDescent="0.2">
      <c r="B788" s="15" cm="1">
        <f t="array" ref="B788">ParamFechaInicioReporte + (ROW(TableDailySummary[#This Row]) - ROW(TableDailySummary[[#Headers],[Dia]]) - 1)</f>
        <v>45315</v>
      </c>
      <c r="C788" s="6">
        <f>TableDailySummary[[#This Row],[Dia]]</f>
        <v>45315</v>
      </c>
      <c r="D788" s="11">
        <f>_xlfn.XLOOKUP(TableDailySummary[[#This Row],[Fecha]],SummaryDaily[day],SummaryDaily[net_sales],0)</f>
        <v>0</v>
      </c>
      <c r="E788" s="11">
        <f>_xlfn.XLOOKUP(TableDailySummary[[#This Row],[Fecha]],SummaryDaily[day],SummaryDaily[orders],0)</f>
        <v>0</v>
      </c>
      <c r="F788" s="11">
        <f>_xlfn.XLOOKUP(TableDailySummary[[#This Row],[Fecha]],SummaryDaily[day],SummaryDaily[average_order_value],0)</f>
        <v>0</v>
      </c>
      <c r="G788" s="24" cm="1">
        <f t="array" ref="G788">_xlfn.XLOOKUP(TableDailySummary[[#This Row],[Fecha]]&amp;"Total site",ConversionRateByReferral[day]&amp;ConversionRateByReferral[referrer_source],ConversionRateByReferral[conversion_rate],0)</f>
        <v>0</v>
      </c>
      <c r="H788" s="11">
        <f>TableDailySummary[[#This Row],[Órden promedio totales]]*TableDailySummary[[#This Row],[CR totales]]</f>
        <v>0</v>
      </c>
      <c r="I788" s="11">
        <f>_xlfn.XLOOKUP(TableDailySummary[[#This Row],[Fecha]],SummaryDaily[day],SummaryDaily[new_net_sales],0)</f>
        <v>0</v>
      </c>
      <c r="J788" s="11">
        <f>_xlfn.XLOOKUP(TableDailySummary[[#This Row],[Fecha]],SummaryDaily[day],SummaryDaily[new_orders],0)</f>
        <v>0</v>
      </c>
      <c r="K788" s="11">
        <f>_xlfn.XLOOKUP(TableDailySummary[[#This Row],[Fecha]],SummaryDaily[day],SummaryDaily[new_average_order_value],0)</f>
        <v>0</v>
      </c>
      <c r="L788" s="11">
        <f>_xlfn.XLOOKUP(TableDailySummary[[#This Row],[Fecha]],SummaryDaily[day],SummaryDaily[Online Store_net_sales],0)</f>
        <v>0</v>
      </c>
      <c r="M788" s="11">
        <f>_xlfn.XLOOKUP(TableDailySummary[[#This Row],[Fecha]],SummaryDaily[day],SummaryDaily[Online Store_orders],0)</f>
        <v>0</v>
      </c>
      <c r="N788" s="11">
        <f>_xlfn.XLOOKUP(TableDailySummary[[#This Row],[Fecha]],SummaryDaily[day],SummaryDaily[Online Store_average_order_value],0)</f>
        <v>0</v>
      </c>
      <c r="O788" s="11">
        <f>_xlfn.XLOOKUP(TableDailySummary[[#This Row],[Fecha]],SummaryDaily[day],SummaryDaily[Tienda 81_net_sales],0)</f>
        <v>0</v>
      </c>
      <c r="P788" s="11">
        <f>_xlfn.XLOOKUP(TableDailySummary[[#This Row],[Fecha]],SummaryDaily[day],SummaryDaily[Tienda 81_orders],0)</f>
        <v>0</v>
      </c>
      <c r="Q788" s="11">
        <f>_xlfn.XLOOKUP(TableDailySummary[[#This Row],[Fecha]],SummaryDaily[day],SummaryDaily[Tienda 81_average_order_value],0)</f>
        <v>0</v>
      </c>
      <c r="R788" s="11">
        <f>_xlfn.XLOOKUP(TableDailySummary[[#This Row],[Fecha]],SummaryDaily[day],SummaryDaily[Rappi_net_sales],0)</f>
        <v>0</v>
      </c>
      <c r="S788" s="11">
        <f>_xlfn.XLOOKUP(TableDailySummary[[#This Row],[Fecha]],SummaryDaily[day],SummaryDaily[Rappi_orders],0)</f>
        <v>0</v>
      </c>
      <c r="T788" s="11">
        <f>_xlfn.XLOOKUP(TableDailySummary[[#This Row],[Fecha]],SummaryDaily[day],SummaryDaily[Rappi_average_order_value],0)</f>
        <v>0</v>
      </c>
      <c r="U788" s="11">
        <f>_xlfn.XLOOKUP(TableDailySummary[[#This Row],[Fecha]],SummaryDaily[day],SummaryDaily[Corporativo no tienda_net_sales],0)</f>
        <v>0</v>
      </c>
      <c r="V788" s="11">
        <f>_xlfn.XLOOKUP(TableDailySummary[[#This Row],[Fecha]],SummaryDaily[day],SummaryDaily[Corporativo no tienda_orders],0)</f>
        <v>0</v>
      </c>
      <c r="W788" s="11">
        <f>_xlfn.XLOOKUP(TableDailySummary[[#This Row],[Fecha]],SummaryDaily[day],SummaryDaily[Corporativo no tienda_average_order_value],0)</f>
        <v>0</v>
      </c>
      <c r="X788" s="11">
        <f>_xlfn.XLOOKUP(TableDailySummary[[#This Row],[Fecha]],SummaryDaily[day],SummaryDaily[GoogleAdsOperation.Cost],0)</f>
        <v>0</v>
      </c>
      <c r="Y788" s="11">
        <f>SUMIFS(SalesByUTMDaily[google],SalesByUTMDaily[day],TableDailySummary[[#This Row],[Fecha]])</f>
        <v>0</v>
      </c>
      <c r="Z788" s="11">
        <f>_xlfn.XLOOKUP(TableDailySummary[[#This Row],[Fecha]],SummaryDaily[day],SummaryDaily[MetaAdsOperation.spend],0)</f>
        <v>0</v>
      </c>
      <c r="AA788" s="11">
        <f>SUMIFS(SalesByUTMDaily[facebook],SalesByUTMDaily[day],TableDailySummary[[#This Row],[Fecha]])</f>
        <v>0</v>
      </c>
      <c r="AB788" s="11">
        <f>TableDailySummary[[#This Row],[Inversión google ads]]+TableDailySummary[[#This Row],[Inversión meta ads]]</f>
        <v>0</v>
      </c>
      <c r="AC788" s="11">
        <f>TableDailySummary[[#This Row],[Ventas google ads]]+TableDailySummary[[#This Row],[Ventas meta ads]]</f>
        <v>0</v>
      </c>
      <c r="AD788" s="14">
        <f>IFERROR(TableDailySummary[[#This Row],[Ventas publicidad]]/TableDailySummary[[#This Row],[Inversión publicidad]],0)</f>
        <v>0</v>
      </c>
      <c r="AE788" s="14">
        <f>IFERROR(TableDailySummary[[#This Row],[Ventas primer cliente]]/TableDailySummary[[#This Row],[Inversión publicidad]],0)</f>
        <v>0</v>
      </c>
      <c r="AF788" s="14"/>
      <c r="AG788" s="11"/>
      <c r="AM788" s="11">
        <f>_xlfn.XLOOKUP(TableDailySummary[[#This Row],[Fecha]],SummaryDaily[day],SummaryDaily[net_sales_with_cost_recorded],0)</f>
        <v>0</v>
      </c>
      <c r="AN788" s="11">
        <f>_xlfn.XLOOKUP(TableDailySummary[[#This Row],[Fecha]],SummaryDaily[day],SummaryDaily[cost_of_goods_sold],0)</f>
        <v>0</v>
      </c>
      <c r="AO788" s="11">
        <f>_xlfn.XLOOKUP(TableDailySummary[[#This Row],[Fecha]],SummaryDaily[day],SummaryDaily[gross_profit],0)</f>
        <v>0</v>
      </c>
      <c r="AP788" s="18">
        <f>IFERROR(TableDailySummary[[#This Row],[Utilidad bruta]]/TableDailySummary[[#This Row],[Ventas netas con costo registrado]],0)</f>
        <v>0</v>
      </c>
    </row>
    <row r="789" spans="2:42" x14ac:dyDescent="0.2">
      <c r="B789" s="15" cm="1">
        <f t="array" ref="B789">ParamFechaInicioReporte + (ROW(TableDailySummary[#This Row]) - ROW(TableDailySummary[[#Headers],[Dia]]) - 1)</f>
        <v>45316</v>
      </c>
      <c r="C789" s="6">
        <f>TableDailySummary[[#This Row],[Dia]]</f>
        <v>45316</v>
      </c>
      <c r="D789" s="11">
        <f>_xlfn.XLOOKUP(TableDailySummary[[#This Row],[Fecha]],SummaryDaily[day],SummaryDaily[net_sales],0)</f>
        <v>0</v>
      </c>
      <c r="E789" s="11">
        <f>_xlfn.XLOOKUP(TableDailySummary[[#This Row],[Fecha]],SummaryDaily[day],SummaryDaily[orders],0)</f>
        <v>0</v>
      </c>
      <c r="F789" s="11">
        <f>_xlfn.XLOOKUP(TableDailySummary[[#This Row],[Fecha]],SummaryDaily[day],SummaryDaily[average_order_value],0)</f>
        <v>0</v>
      </c>
      <c r="G789" s="24" cm="1">
        <f t="array" ref="G789">_xlfn.XLOOKUP(TableDailySummary[[#This Row],[Fecha]]&amp;"Total site",ConversionRateByReferral[day]&amp;ConversionRateByReferral[referrer_source],ConversionRateByReferral[conversion_rate],0)</f>
        <v>0</v>
      </c>
      <c r="H789" s="11">
        <f>TableDailySummary[[#This Row],[Órden promedio totales]]*TableDailySummary[[#This Row],[CR totales]]</f>
        <v>0</v>
      </c>
      <c r="I789" s="11">
        <f>_xlfn.XLOOKUP(TableDailySummary[[#This Row],[Fecha]],SummaryDaily[day],SummaryDaily[new_net_sales],0)</f>
        <v>0</v>
      </c>
      <c r="J789" s="11">
        <f>_xlfn.XLOOKUP(TableDailySummary[[#This Row],[Fecha]],SummaryDaily[day],SummaryDaily[new_orders],0)</f>
        <v>0</v>
      </c>
      <c r="K789" s="11">
        <f>_xlfn.XLOOKUP(TableDailySummary[[#This Row],[Fecha]],SummaryDaily[day],SummaryDaily[new_average_order_value],0)</f>
        <v>0</v>
      </c>
      <c r="L789" s="11">
        <f>_xlfn.XLOOKUP(TableDailySummary[[#This Row],[Fecha]],SummaryDaily[day],SummaryDaily[Online Store_net_sales],0)</f>
        <v>0</v>
      </c>
      <c r="M789" s="11">
        <f>_xlfn.XLOOKUP(TableDailySummary[[#This Row],[Fecha]],SummaryDaily[day],SummaryDaily[Online Store_orders],0)</f>
        <v>0</v>
      </c>
      <c r="N789" s="11">
        <f>_xlfn.XLOOKUP(TableDailySummary[[#This Row],[Fecha]],SummaryDaily[day],SummaryDaily[Online Store_average_order_value],0)</f>
        <v>0</v>
      </c>
      <c r="O789" s="11">
        <f>_xlfn.XLOOKUP(TableDailySummary[[#This Row],[Fecha]],SummaryDaily[day],SummaryDaily[Tienda 81_net_sales],0)</f>
        <v>0</v>
      </c>
      <c r="P789" s="11">
        <f>_xlfn.XLOOKUP(TableDailySummary[[#This Row],[Fecha]],SummaryDaily[day],SummaryDaily[Tienda 81_orders],0)</f>
        <v>0</v>
      </c>
      <c r="Q789" s="11">
        <f>_xlfn.XLOOKUP(TableDailySummary[[#This Row],[Fecha]],SummaryDaily[day],SummaryDaily[Tienda 81_average_order_value],0)</f>
        <v>0</v>
      </c>
      <c r="R789" s="11">
        <f>_xlfn.XLOOKUP(TableDailySummary[[#This Row],[Fecha]],SummaryDaily[day],SummaryDaily[Rappi_net_sales],0)</f>
        <v>0</v>
      </c>
      <c r="S789" s="11">
        <f>_xlfn.XLOOKUP(TableDailySummary[[#This Row],[Fecha]],SummaryDaily[day],SummaryDaily[Rappi_orders],0)</f>
        <v>0</v>
      </c>
      <c r="T789" s="11">
        <f>_xlfn.XLOOKUP(TableDailySummary[[#This Row],[Fecha]],SummaryDaily[day],SummaryDaily[Rappi_average_order_value],0)</f>
        <v>0</v>
      </c>
      <c r="U789" s="11">
        <f>_xlfn.XLOOKUP(TableDailySummary[[#This Row],[Fecha]],SummaryDaily[day],SummaryDaily[Corporativo no tienda_net_sales],0)</f>
        <v>0</v>
      </c>
      <c r="V789" s="11">
        <f>_xlfn.XLOOKUP(TableDailySummary[[#This Row],[Fecha]],SummaryDaily[day],SummaryDaily[Corporativo no tienda_orders],0)</f>
        <v>0</v>
      </c>
      <c r="W789" s="11">
        <f>_xlfn.XLOOKUP(TableDailySummary[[#This Row],[Fecha]],SummaryDaily[day],SummaryDaily[Corporativo no tienda_average_order_value],0)</f>
        <v>0</v>
      </c>
      <c r="X789" s="11">
        <f>_xlfn.XLOOKUP(TableDailySummary[[#This Row],[Fecha]],SummaryDaily[day],SummaryDaily[GoogleAdsOperation.Cost],0)</f>
        <v>0</v>
      </c>
      <c r="Y789" s="11">
        <f>SUMIFS(SalesByUTMDaily[google],SalesByUTMDaily[day],TableDailySummary[[#This Row],[Fecha]])</f>
        <v>0</v>
      </c>
      <c r="Z789" s="11">
        <f>_xlfn.XLOOKUP(TableDailySummary[[#This Row],[Fecha]],SummaryDaily[day],SummaryDaily[MetaAdsOperation.spend],0)</f>
        <v>0</v>
      </c>
      <c r="AA789" s="11">
        <f>SUMIFS(SalesByUTMDaily[facebook],SalesByUTMDaily[day],TableDailySummary[[#This Row],[Fecha]])</f>
        <v>0</v>
      </c>
      <c r="AB789" s="11">
        <f>TableDailySummary[[#This Row],[Inversión google ads]]+TableDailySummary[[#This Row],[Inversión meta ads]]</f>
        <v>0</v>
      </c>
      <c r="AC789" s="11">
        <f>TableDailySummary[[#This Row],[Ventas google ads]]+TableDailySummary[[#This Row],[Ventas meta ads]]</f>
        <v>0</v>
      </c>
      <c r="AD789" s="14">
        <f>IFERROR(TableDailySummary[[#This Row],[Ventas publicidad]]/TableDailySummary[[#This Row],[Inversión publicidad]],0)</f>
        <v>0</v>
      </c>
      <c r="AE789" s="14">
        <f>IFERROR(TableDailySummary[[#This Row],[Ventas primer cliente]]/TableDailySummary[[#This Row],[Inversión publicidad]],0)</f>
        <v>0</v>
      </c>
      <c r="AF789" s="14"/>
      <c r="AG789" s="11"/>
      <c r="AM789" s="11">
        <f>_xlfn.XLOOKUP(TableDailySummary[[#This Row],[Fecha]],SummaryDaily[day],SummaryDaily[net_sales_with_cost_recorded],0)</f>
        <v>0</v>
      </c>
      <c r="AN789" s="11">
        <f>_xlfn.XLOOKUP(TableDailySummary[[#This Row],[Fecha]],SummaryDaily[day],SummaryDaily[cost_of_goods_sold],0)</f>
        <v>0</v>
      </c>
      <c r="AO789" s="11">
        <f>_xlfn.XLOOKUP(TableDailySummary[[#This Row],[Fecha]],SummaryDaily[day],SummaryDaily[gross_profit],0)</f>
        <v>0</v>
      </c>
      <c r="AP789" s="18">
        <f>IFERROR(TableDailySummary[[#This Row],[Utilidad bruta]]/TableDailySummary[[#This Row],[Ventas netas con costo registrado]],0)</f>
        <v>0</v>
      </c>
    </row>
    <row r="790" spans="2:42" x14ac:dyDescent="0.2">
      <c r="B790" s="15" cm="1">
        <f t="array" ref="B790">ParamFechaInicioReporte + (ROW(TableDailySummary[#This Row]) - ROW(TableDailySummary[[#Headers],[Dia]]) - 1)</f>
        <v>45317</v>
      </c>
      <c r="C790" s="6">
        <f>TableDailySummary[[#This Row],[Dia]]</f>
        <v>45317</v>
      </c>
      <c r="D790" s="11">
        <f>_xlfn.XLOOKUP(TableDailySummary[[#This Row],[Fecha]],SummaryDaily[day],SummaryDaily[net_sales],0)</f>
        <v>0</v>
      </c>
      <c r="E790" s="11">
        <f>_xlfn.XLOOKUP(TableDailySummary[[#This Row],[Fecha]],SummaryDaily[day],SummaryDaily[orders],0)</f>
        <v>0</v>
      </c>
      <c r="F790" s="11">
        <f>_xlfn.XLOOKUP(TableDailySummary[[#This Row],[Fecha]],SummaryDaily[day],SummaryDaily[average_order_value],0)</f>
        <v>0</v>
      </c>
      <c r="G790" s="24" cm="1">
        <f t="array" ref="G790">_xlfn.XLOOKUP(TableDailySummary[[#This Row],[Fecha]]&amp;"Total site",ConversionRateByReferral[day]&amp;ConversionRateByReferral[referrer_source],ConversionRateByReferral[conversion_rate],0)</f>
        <v>0</v>
      </c>
      <c r="H790" s="11">
        <f>TableDailySummary[[#This Row],[Órden promedio totales]]*TableDailySummary[[#This Row],[CR totales]]</f>
        <v>0</v>
      </c>
      <c r="I790" s="11">
        <f>_xlfn.XLOOKUP(TableDailySummary[[#This Row],[Fecha]],SummaryDaily[day],SummaryDaily[new_net_sales],0)</f>
        <v>0</v>
      </c>
      <c r="J790" s="11">
        <f>_xlfn.XLOOKUP(TableDailySummary[[#This Row],[Fecha]],SummaryDaily[day],SummaryDaily[new_orders],0)</f>
        <v>0</v>
      </c>
      <c r="K790" s="11">
        <f>_xlfn.XLOOKUP(TableDailySummary[[#This Row],[Fecha]],SummaryDaily[day],SummaryDaily[new_average_order_value],0)</f>
        <v>0</v>
      </c>
      <c r="L790" s="11">
        <f>_xlfn.XLOOKUP(TableDailySummary[[#This Row],[Fecha]],SummaryDaily[day],SummaryDaily[Online Store_net_sales],0)</f>
        <v>0</v>
      </c>
      <c r="M790" s="11">
        <f>_xlfn.XLOOKUP(TableDailySummary[[#This Row],[Fecha]],SummaryDaily[day],SummaryDaily[Online Store_orders],0)</f>
        <v>0</v>
      </c>
      <c r="N790" s="11">
        <f>_xlfn.XLOOKUP(TableDailySummary[[#This Row],[Fecha]],SummaryDaily[day],SummaryDaily[Online Store_average_order_value],0)</f>
        <v>0</v>
      </c>
      <c r="O790" s="11">
        <f>_xlfn.XLOOKUP(TableDailySummary[[#This Row],[Fecha]],SummaryDaily[day],SummaryDaily[Tienda 81_net_sales],0)</f>
        <v>0</v>
      </c>
      <c r="P790" s="11">
        <f>_xlfn.XLOOKUP(TableDailySummary[[#This Row],[Fecha]],SummaryDaily[day],SummaryDaily[Tienda 81_orders],0)</f>
        <v>0</v>
      </c>
      <c r="Q790" s="11">
        <f>_xlfn.XLOOKUP(TableDailySummary[[#This Row],[Fecha]],SummaryDaily[day],SummaryDaily[Tienda 81_average_order_value],0)</f>
        <v>0</v>
      </c>
      <c r="R790" s="11">
        <f>_xlfn.XLOOKUP(TableDailySummary[[#This Row],[Fecha]],SummaryDaily[day],SummaryDaily[Rappi_net_sales],0)</f>
        <v>0</v>
      </c>
      <c r="S790" s="11">
        <f>_xlfn.XLOOKUP(TableDailySummary[[#This Row],[Fecha]],SummaryDaily[day],SummaryDaily[Rappi_orders],0)</f>
        <v>0</v>
      </c>
      <c r="T790" s="11">
        <f>_xlfn.XLOOKUP(TableDailySummary[[#This Row],[Fecha]],SummaryDaily[day],SummaryDaily[Rappi_average_order_value],0)</f>
        <v>0</v>
      </c>
      <c r="U790" s="11">
        <f>_xlfn.XLOOKUP(TableDailySummary[[#This Row],[Fecha]],SummaryDaily[day],SummaryDaily[Corporativo no tienda_net_sales],0)</f>
        <v>0</v>
      </c>
      <c r="V790" s="11">
        <f>_xlfn.XLOOKUP(TableDailySummary[[#This Row],[Fecha]],SummaryDaily[day],SummaryDaily[Corporativo no tienda_orders],0)</f>
        <v>0</v>
      </c>
      <c r="W790" s="11">
        <f>_xlfn.XLOOKUP(TableDailySummary[[#This Row],[Fecha]],SummaryDaily[day],SummaryDaily[Corporativo no tienda_average_order_value],0)</f>
        <v>0</v>
      </c>
      <c r="X790" s="11">
        <f>_xlfn.XLOOKUP(TableDailySummary[[#This Row],[Fecha]],SummaryDaily[day],SummaryDaily[GoogleAdsOperation.Cost],0)</f>
        <v>0</v>
      </c>
      <c r="Y790" s="11">
        <f>SUMIFS(SalesByUTMDaily[google],SalesByUTMDaily[day],TableDailySummary[[#This Row],[Fecha]])</f>
        <v>0</v>
      </c>
      <c r="Z790" s="11">
        <f>_xlfn.XLOOKUP(TableDailySummary[[#This Row],[Fecha]],SummaryDaily[day],SummaryDaily[MetaAdsOperation.spend],0)</f>
        <v>0</v>
      </c>
      <c r="AA790" s="11">
        <f>SUMIFS(SalesByUTMDaily[facebook],SalesByUTMDaily[day],TableDailySummary[[#This Row],[Fecha]])</f>
        <v>0</v>
      </c>
      <c r="AB790" s="11">
        <f>TableDailySummary[[#This Row],[Inversión google ads]]+TableDailySummary[[#This Row],[Inversión meta ads]]</f>
        <v>0</v>
      </c>
      <c r="AC790" s="11">
        <f>TableDailySummary[[#This Row],[Ventas google ads]]+TableDailySummary[[#This Row],[Ventas meta ads]]</f>
        <v>0</v>
      </c>
      <c r="AD790" s="14">
        <f>IFERROR(TableDailySummary[[#This Row],[Ventas publicidad]]/TableDailySummary[[#This Row],[Inversión publicidad]],0)</f>
        <v>0</v>
      </c>
      <c r="AE790" s="14">
        <f>IFERROR(TableDailySummary[[#This Row],[Ventas primer cliente]]/TableDailySummary[[#This Row],[Inversión publicidad]],0)</f>
        <v>0</v>
      </c>
      <c r="AF790" s="14"/>
      <c r="AG790" s="11"/>
      <c r="AM790" s="11">
        <f>_xlfn.XLOOKUP(TableDailySummary[[#This Row],[Fecha]],SummaryDaily[day],SummaryDaily[net_sales_with_cost_recorded],0)</f>
        <v>0</v>
      </c>
      <c r="AN790" s="11">
        <f>_xlfn.XLOOKUP(TableDailySummary[[#This Row],[Fecha]],SummaryDaily[day],SummaryDaily[cost_of_goods_sold],0)</f>
        <v>0</v>
      </c>
      <c r="AO790" s="11">
        <f>_xlfn.XLOOKUP(TableDailySummary[[#This Row],[Fecha]],SummaryDaily[day],SummaryDaily[gross_profit],0)</f>
        <v>0</v>
      </c>
      <c r="AP790" s="18">
        <f>IFERROR(TableDailySummary[[#This Row],[Utilidad bruta]]/TableDailySummary[[#This Row],[Ventas netas con costo registrado]],0)</f>
        <v>0</v>
      </c>
    </row>
    <row r="791" spans="2:42" x14ac:dyDescent="0.2">
      <c r="B791" s="15" cm="1">
        <f t="array" ref="B791">ParamFechaInicioReporte + (ROW(TableDailySummary[#This Row]) - ROW(TableDailySummary[[#Headers],[Dia]]) - 1)</f>
        <v>45318</v>
      </c>
      <c r="C791" s="6">
        <f>TableDailySummary[[#This Row],[Dia]]</f>
        <v>45318</v>
      </c>
      <c r="D791" s="11">
        <f>_xlfn.XLOOKUP(TableDailySummary[[#This Row],[Fecha]],SummaryDaily[day],SummaryDaily[net_sales],0)</f>
        <v>0</v>
      </c>
      <c r="E791" s="11">
        <f>_xlfn.XLOOKUP(TableDailySummary[[#This Row],[Fecha]],SummaryDaily[day],SummaryDaily[orders],0)</f>
        <v>0</v>
      </c>
      <c r="F791" s="11">
        <f>_xlfn.XLOOKUP(TableDailySummary[[#This Row],[Fecha]],SummaryDaily[day],SummaryDaily[average_order_value],0)</f>
        <v>0</v>
      </c>
      <c r="G791" s="24" cm="1">
        <f t="array" ref="G791">_xlfn.XLOOKUP(TableDailySummary[[#This Row],[Fecha]]&amp;"Total site",ConversionRateByReferral[day]&amp;ConversionRateByReferral[referrer_source],ConversionRateByReferral[conversion_rate],0)</f>
        <v>0</v>
      </c>
      <c r="H791" s="11">
        <f>TableDailySummary[[#This Row],[Órden promedio totales]]*TableDailySummary[[#This Row],[CR totales]]</f>
        <v>0</v>
      </c>
      <c r="I791" s="11">
        <f>_xlfn.XLOOKUP(TableDailySummary[[#This Row],[Fecha]],SummaryDaily[day],SummaryDaily[new_net_sales],0)</f>
        <v>0</v>
      </c>
      <c r="J791" s="11">
        <f>_xlfn.XLOOKUP(TableDailySummary[[#This Row],[Fecha]],SummaryDaily[day],SummaryDaily[new_orders],0)</f>
        <v>0</v>
      </c>
      <c r="K791" s="11">
        <f>_xlfn.XLOOKUP(TableDailySummary[[#This Row],[Fecha]],SummaryDaily[day],SummaryDaily[new_average_order_value],0)</f>
        <v>0</v>
      </c>
      <c r="L791" s="11">
        <f>_xlfn.XLOOKUP(TableDailySummary[[#This Row],[Fecha]],SummaryDaily[day],SummaryDaily[Online Store_net_sales],0)</f>
        <v>0</v>
      </c>
      <c r="M791" s="11">
        <f>_xlfn.XLOOKUP(TableDailySummary[[#This Row],[Fecha]],SummaryDaily[day],SummaryDaily[Online Store_orders],0)</f>
        <v>0</v>
      </c>
      <c r="N791" s="11">
        <f>_xlfn.XLOOKUP(TableDailySummary[[#This Row],[Fecha]],SummaryDaily[day],SummaryDaily[Online Store_average_order_value],0)</f>
        <v>0</v>
      </c>
      <c r="O791" s="11">
        <f>_xlfn.XLOOKUP(TableDailySummary[[#This Row],[Fecha]],SummaryDaily[day],SummaryDaily[Tienda 81_net_sales],0)</f>
        <v>0</v>
      </c>
      <c r="P791" s="11">
        <f>_xlfn.XLOOKUP(TableDailySummary[[#This Row],[Fecha]],SummaryDaily[day],SummaryDaily[Tienda 81_orders],0)</f>
        <v>0</v>
      </c>
      <c r="Q791" s="11">
        <f>_xlfn.XLOOKUP(TableDailySummary[[#This Row],[Fecha]],SummaryDaily[day],SummaryDaily[Tienda 81_average_order_value],0)</f>
        <v>0</v>
      </c>
      <c r="R791" s="11">
        <f>_xlfn.XLOOKUP(TableDailySummary[[#This Row],[Fecha]],SummaryDaily[day],SummaryDaily[Rappi_net_sales],0)</f>
        <v>0</v>
      </c>
      <c r="S791" s="11">
        <f>_xlfn.XLOOKUP(TableDailySummary[[#This Row],[Fecha]],SummaryDaily[day],SummaryDaily[Rappi_orders],0)</f>
        <v>0</v>
      </c>
      <c r="T791" s="11">
        <f>_xlfn.XLOOKUP(TableDailySummary[[#This Row],[Fecha]],SummaryDaily[day],SummaryDaily[Rappi_average_order_value],0)</f>
        <v>0</v>
      </c>
      <c r="U791" s="11">
        <f>_xlfn.XLOOKUP(TableDailySummary[[#This Row],[Fecha]],SummaryDaily[day],SummaryDaily[Corporativo no tienda_net_sales],0)</f>
        <v>0</v>
      </c>
      <c r="V791" s="11">
        <f>_xlfn.XLOOKUP(TableDailySummary[[#This Row],[Fecha]],SummaryDaily[day],SummaryDaily[Corporativo no tienda_orders],0)</f>
        <v>0</v>
      </c>
      <c r="W791" s="11">
        <f>_xlfn.XLOOKUP(TableDailySummary[[#This Row],[Fecha]],SummaryDaily[day],SummaryDaily[Corporativo no tienda_average_order_value],0)</f>
        <v>0</v>
      </c>
      <c r="X791" s="11">
        <f>_xlfn.XLOOKUP(TableDailySummary[[#This Row],[Fecha]],SummaryDaily[day],SummaryDaily[GoogleAdsOperation.Cost],0)</f>
        <v>0</v>
      </c>
      <c r="Y791" s="11">
        <f>SUMIFS(SalesByUTMDaily[google],SalesByUTMDaily[day],TableDailySummary[[#This Row],[Fecha]])</f>
        <v>0</v>
      </c>
      <c r="Z791" s="11">
        <f>_xlfn.XLOOKUP(TableDailySummary[[#This Row],[Fecha]],SummaryDaily[day],SummaryDaily[MetaAdsOperation.spend],0)</f>
        <v>0</v>
      </c>
      <c r="AA791" s="11">
        <f>SUMIFS(SalesByUTMDaily[facebook],SalesByUTMDaily[day],TableDailySummary[[#This Row],[Fecha]])</f>
        <v>0</v>
      </c>
      <c r="AB791" s="11">
        <f>TableDailySummary[[#This Row],[Inversión google ads]]+TableDailySummary[[#This Row],[Inversión meta ads]]</f>
        <v>0</v>
      </c>
      <c r="AC791" s="11">
        <f>TableDailySummary[[#This Row],[Ventas google ads]]+TableDailySummary[[#This Row],[Ventas meta ads]]</f>
        <v>0</v>
      </c>
      <c r="AD791" s="14">
        <f>IFERROR(TableDailySummary[[#This Row],[Ventas publicidad]]/TableDailySummary[[#This Row],[Inversión publicidad]],0)</f>
        <v>0</v>
      </c>
      <c r="AE791" s="14">
        <f>IFERROR(TableDailySummary[[#This Row],[Ventas primer cliente]]/TableDailySummary[[#This Row],[Inversión publicidad]],0)</f>
        <v>0</v>
      </c>
      <c r="AF791" s="14"/>
      <c r="AG791" s="11"/>
      <c r="AM791" s="11">
        <f>_xlfn.XLOOKUP(TableDailySummary[[#This Row],[Fecha]],SummaryDaily[day],SummaryDaily[net_sales_with_cost_recorded],0)</f>
        <v>0</v>
      </c>
      <c r="AN791" s="11">
        <f>_xlfn.XLOOKUP(TableDailySummary[[#This Row],[Fecha]],SummaryDaily[day],SummaryDaily[cost_of_goods_sold],0)</f>
        <v>0</v>
      </c>
      <c r="AO791" s="11">
        <f>_xlfn.XLOOKUP(TableDailySummary[[#This Row],[Fecha]],SummaryDaily[day],SummaryDaily[gross_profit],0)</f>
        <v>0</v>
      </c>
      <c r="AP791" s="18">
        <f>IFERROR(TableDailySummary[[#This Row],[Utilidad bruta]]/TableDailySummary[[#This Row],[Ventas netas con costo registrado]],0)</f>
        <v>0</v>
      </c>
    </row>
    <row r="792" spans="2:42" x14ac:dyDescent="0.2">
      <c r="B792" s="15" cm="1">
        <f t="array" ref="B792">ParamFechaInicioReporte + (ROW(TableDailySummary[#This Row]) - ROW(TableDailySummary[[#Headers],[Dia]]) - 1)</f>
        <v>45319</v>
      </c>
      <c r="C792" s="6">
        <f>TableDailySummary[[#This Row],[Dia]]</f>
        <v>45319</v>
      </c>
      <c r="D792" s="11">
        <f>_xlfn.XLOOKUP(TableDailySummary[[#This Row],[Fecha]],SummaryDaily[day],SummaryDaily[net_sales],0)</f>
        <v>0</v>
      </c>
      <c r="E792" s="11">
        <f>_xlfn.XLOOKUP(TableDailySummary[[#This Row],[Fecha]],SummaryDaily[day],SummaryDaily[orders],0)</f>
        <v>0</v>
      </c>
      <c r="F792" s="11">
        <f>_xlfn.XLOOKUP(TableDailySummary[[#This Row],[Fecha]],SummaryDaily[day],SummaryDaily[average_order_value],0)</f>
        <v>0</v>
      </c>
      <c r="G792" s="24" cm="1">
        <f t="array" ref="G792">_xlfn.XLOOKUP(TableDailySummary[[#This Row],[Fecha]]&amp;"Total site",ConversionRateByReferral[day]&amp;ConversionRateByReferral[referrer_source],ConversionRateByReferral[conversion_rate],0)</f>
        <v>0</v>
      </c>
      <c r="H792" s="11">
        <f>TableDailySummary[[#This Row],[Órden promedio totales]]*TableDailySummary[[#This Row],[CR totales]]</f>
        <v>0</v>
      </c>
      <c r="I792" s="11">
        <f>_xlfn.XLOOKUP(TableDailySummary[[#This Row],[Fecha]],SummaryDaily[day],SummaryDaily[new_net_sales],0)</f>
        <v>0</v>
      </c>
      <c r="J792" s="11">
        <f>_xlfn.XLOOKUP(TableDailySummary[[#This Row],[Fecha]],SummaryDaily[day],SummaryDaily[new_orders],0)</f>
        <v>0</v>
      </c>
      <c r="K792" s="11">
        <f>_xlfn.XLOOKUP(TableDailySummary[[#This Row],[Fecha]],SummaryDaily[day],SummaryDaily[new_average_order_value],0)</f>
        <v>0</v>
      </c>
      <c r="L792" s="11">
        <f>_xlfn.XLOOKUP(TableDailySummary[[#This Row],[Fecha]],SummaryDaily[day],SummaryDaily[Online Store_net_sales],0)</f>
        <v>0</v>
      </c>
      <c r="M792" s="11">
        <f>_xlfn.XLOOKUP(TableDailySummary[[#This Row],[Fecha]],SummaryDaily[day],SummaryDaily[Online Store_orders],0)</f>
        <v>0</v>
      </c>
      <c r="N792" s="11">
        <f>_xlfn.XLOOKUP(TableDailySummary[[#This Row],[Fecha]],SummaryDaily[day],SummaryDaily[Online Store_average_order_value],0)</f>
        <v>0</v>
      </c>
      <c r="O792" s="11">
        <f>_xlfn.XLOOKUP(TableDailySummary[[#This Row],[Fecha]],SummaryDaily[day],SummaryDaily[Tienda 81_net_sales],0)</f>
        <v>0</v>
      </c>
      <c r="P792" s="11">
        <f>_xlfn.XLOOKUP(TableDailySummary[[#This Row],[Fecha]],SummaryDaily[day],SummaryDaily[Tienda 81_orders],0)</f>
        <v>0</v>
      </c>
      <c r="Q792" s="11">
        <f>_xlfn.XLOOKUP(TableDailySummary[[#This Row],[Fecha]],SummaryDaily[day],SummaryDaily[Tienda 81_average_order_value],0)</f>
        <v>0</v>
      </c>
      <c r="R792" s="11">
        <f>_xlfn.XLOOKUP(TableDailySummary[[#This Row],[Fecha]],SummaryDaily[day],SummaryDaily[Rappi_net_sales],0)</f>
        <v>0</v>
      </c>
      <c r="S792" s="11">
        <f>_xlfn.XLOOKUP(TableDailySummary[[#This Row],[Fecha]],SummaryDaily[day],SummaryDaily[Rappi_orders],0)</f>
        <v>0</v>
      </c>
      <c r="T792" s="11">
        <f>_xlfn.XLOOKUP(TableDailySummary[[#This Row],[Fecha]],SummaryDaily[day],SummaryDaily[Rappi_average_order_value],0)</f>
        <v>0</v>
      </c>
      <c r="U792" s="11">
        <f>_xlfn.XLOOKUP(TableDailySummary[[#This Row],[Fecha]],SummaryDaily[day],SummaryDaily[Corporativo no tienda_net_sales],0)</f>
        <v>0</v>
      </c>
      <c r="V792" s="11">
        <f>_xlfn.XLOOKUP(TableDailySummary[[#This Row],[Fecha]],SummaryDaily[day],SummaryDaily[Corporativo no tienda_orders],0)</f>
        <v>0</v>
      </c>
      <c r="W792" s="11">
        <f>_xlfn.XLOOKUP(TableDailySummary[[#This Row],[Fecha]],SummaryDaily[day],SummaryDaily[Corporativo no tienda_average_order_value],0)</f>
        <v>0</v>
      </c>
      <c r="X792" s="11">
        <f>_xlfn.XLOOKUP(TableDailySummary[[#This Row],[Fecha]],SummaryDaily[day],SummaryDaily[GoogleAdsOperation.Cost],0)</f>
        <v>0</v>
      </c>
      <c r="Y792" s="11">
        <f>SUMIFS(SalesByUTMDaily[google],SalesByUTMDaily[day],TableDailySummary[[#This Row],[Fecha]])</f>
        <v>0</v>
      </c>
      <c r="Z792" s="11">
        <f>_xlfn.XLOOKUP(TableDailySummary[[#This Row],[Fecha]],SummaryDaily[day],SummaryDaily[MetaAdsOperation.spend],0)</f>
        <v>0</v>
      </c>
      <c r="AA792" s="11">
        <f>SUMIFS(SalesByUTMDaily[facebook],SalesByUTMDaily[day],TableDailySummary[[#This Row],[Fecha]])</f>
        <v>0</v>
      </c>
      <c r="AB792" s="11">
        <f>TableDailySummary[[#This Row],[Inversión google ads]]+TableDailySummary[[#This Row],[Inversión meta ads]]</f>
        <v>0</v>
      </c>
      <c r="AC792" s="11">
        <f>TableDailySummary[[#This Row],[Ventas google ads]]+TableDailySummary[[#This Row],[Ventas meta ads]]</f>
        <v>0</v>
      </c>
      <c r="AD792" s="14">
        <f>IFERROR(TableDailySummary[[#This Row],[Ventas publicidad]]/TableDailySummary[[#This Row],[Inversión publicidad]],0)</f>
        <v>0</v>
      </c>
      <c r="AE792" s="14">
        <f>IFERROR(TableDailySummary[[#This Row],[Ventas primer cliente]]/TableDailySummary[[#This Row],[Inversión publicidad]],0)</f>
        <v>0</v>
      </c>
      <c r="AF792" s="14"/>
      <c r="AG792" s="11"/>
      <c r="AM792" s="11">
        <f>_xlfn.XLOOKUP(TableDailySummary[[#This Row],[Fecha]],SummaryDaily[day],SummaryDaily[net_sales_with_cost_recorded],0)</f>
        <v>0</v>
      </c>
      <c r="AN792" s="11">
        <f>_xlfn.XLOOKUP(TableDailySummary[[#This Row],[Fecha]],SummaryDaily[day],SummaryDaily[cost_of_goods_sold],0)</f>
        <v>0</v>
      </c>
      <c r="AO792" s="11">
        <f>_xlfn.XLOOKUP(TableDailySummary[[#This Row],[Fecha]],SummaryDaily[day],SummaryDaily[gross_profit],0)</f>
        <v>0</v>
      </c>
      <c r="AP792" s="18">
        <f>IFERROR(TableDailySummary[[#This Row],[Utilidad bruta]]/TableDailySummary[[#This Row],[Ventas netas con costo registrado]],0)</f>
        <v>0</v>
      </c>
    </row>
    <row r="793" spans="2:42" x14ac:dyDescent="0.2">
      <c r="B793" s="15" cm="1">
        <f t="array" ref="B793">ParamFechaInicioReporte + (ROW(TableDailySummary[#This Row]) - ROW(TableDailySummary[[#Headers],[Dia]]) - 1)</f>
        <v>45320</v>
      </c>
      <c r="C793" s="6">
        <f>TableDailySummary[[#This Row],[Dia]]</f>
        <v>45320</v>
      </c>
      <c r="D793" s="11">
        <f>_xlfn.XLOOKUP(TableDailySummary[[#This Row],[Fecha]],SummaryDaily[day],SummaryDaily[net_sales],0)</f>
        <v>0</v>
      </c>
      <c r="E793" s="11">
        <f>_xlfn.XLOOKUP(TableDailySummary[[#This Row],[Fecha]],SummaryDaily[day],SummaryDaily[orders],0)</f>
        <v>0</v>
      </c>
      <c r="F793" s="11">
        <f>_xlfn.XLOOKUP(TableDailySummary[[#This Row],[Fecha]],SummaryDaily[day],SummaryDaily[average_order_value],0)</f>
        <v>0</v>
      </c>
      <c r="G793" s="24" cm="1">
        <f t="array" ref="G793">_xlfn.XLOOKUP(TableDailySummary[[#This Row],[Fecha]]&amp;"Total site",ConversionRateByReferral[day]&amp;ConversionRateByReferral[referrer_source],ConversionRateByReferral[conversion_rate],0)</f>
        <v>0</v>
      </c>
      <c r="H793" s="11">
        <f>TableDailySummary[[#This Row],[Órden promedio totales]]*TableDailySummary[[#This Row],[CR totales]]</f>
        <v>0</v>
      </c>
      <c r="I793" s="11">
        <f>_xlfn.XLOOKUP(TableDailySummary[[#This Row],[Fecha]],SummaryDaily[day],SummaryDaily[new_net_sales],0)</f>
        <v>0</v>
      </c>
      <c r="J793" s="11">
        <f>_xlfn.XLOOKUP(TableDailySummary[[#This Row],[Fecha]],SummaryDaily[day],SummaryDaily[new_orders],0)</f>
        <v>0</v>
      </c>
      <c r="K793" s="11">
        <f>_xlfn.XLOOKUP(TableDailySummary[[#This Row],[Fecha]],SummaryDaily[day],SummaryDaily[new_average_order_value],0)</f>
        <v>0</v>
      </c>
      <c r="L793" s="11">
        <f>_xlfn.XLOOKUP(TableDailySummary[[#This Row],[Fecha]],SummaryDaily[day],SummaryDaily[Online Store_net_sales],0)</f>
        <v>0</v>
      </c>
      <c r="M793" s="11">
        <f>_xlfn.XLOOKUP(TableDailySummary[[#This Row],[Fecha]],SummaryDaily[day],SummaryDaily[Online Store_orders],0)</f>
        <v>0</v>
      </c>
      <c r="N793" s="11">
        <f>_xlfn.XLOOKUP(TableDailySummary[[#This Row],[Fecha]],SummaryDaily[day],SummaryDaily[Online Store_average_order_value],0)</f>
        <v>0</v>
      </c>
      <c r="O793" s="11">
        <f>_xlfn.XLOOKUP(TableDailySummary[[#This Row],[Fecha]],SummaryDaily[day],SummaryDaily[Tienda 81_net_sales],0)</f>
        <v>0</v>
      </c>
      <c r="P793" s="11">
        <f>_xlfn.XLOOKUP(TableDailySummary[[#This Row],[Fecha]],SummaryDaily[day],SummaryDaily[Tienda 81_orders],0)</f>
        <v>0</v>
      </c>
      <c r="Q793" s="11">
        <f>_xlfn.XLOOKUP(TableDailySummary[[#This Row],[Fecha]],SummaryDaily[day],SummaryDaily[Tienda 81_average_order_value],0)</f>
        <v>0</v>
      </c>
      <c r="R793" s="11">
        <f>_xlfn.XLOOKUP(TableDailySummary[[#This Row],[Fecha]],SummaryDaily[day],SummaryDaily[Rappi_net_sales],0)</f>
        <v>0</v>
      </c>
      <c r="S793" s="11">
        <f>_xlfn.XLOOKUP(TableDailySummary[[#This Row],[Fecha]],SummaryDaily[day],SummaryDaily[Rappi_orders],0)</f>
        <v>0</v>
      </c>
      <c r="T793" s="11">
        <f>_xlfn.XLOOKUP(TableDailySummary[[#This Row],[Fecha]],SummaryDaily[day],SummaryDaily[Rappi_average_order_value],0)</f>
        <v>0</v>
      </c>
      <c r="U793" s="11">
        <f>_xlfn.XLOOKUP(TableDailySummary[[#This Row],[Fecha]],SummaryDaily[day],SummaryDaily[Corporativo no tienda_net_sales],0)</f>
        <v>0</v>
      </c>
      <c r="V793" s="11">
        <f>_xlfn.XLOOKUP(TableDailySummary[[#This Row],[Fecha]],SummaryDaily[day],SummaryDaily[Corporativo no tienda_orders],0)</f>
        <v>0</v>
      </c>
      <c r="W793" s="11">
        <f>_xlfn.XLOOKUP(TableDailySummary[[#This Row],[Fecha]],SummaryDaily[day],SummaryDaily[Corporativo no tienda_average_order_value],0)</f>
        <v>0</v>
      </c>
      <c r="X793" s="11">
        <f>_xlfn.XLOOKUP(TableDailySummary[[#This Row],[Fecha]],SummaryDaily[day],SummaryDaily[GoogleAdsOperation.Cost],0)</f>
        <v>0</v>
      </c>
      <c r="Y793" s="11">
        <f>SUMIFS(SalesByUTMDaily[google],SalesByUTMDaily[day],TableDailySummary[[#This Row],[Fecha]])</f>
        <v>0</v>
      </c>
      <c r="Z793" s="11">
        <f>_xlfn.XLOOKUP(TableDailySummary[[#This Row],[Fecha]],SummaryDaily[day],SummaryDaily[MetaAdsOperation.spend],0)</f>
        <v>0</v>
      </c>
      <c r="AA793" s="11">
        <f>SUMIFS(SalesByUTMDaily[facebook],SalesByUTMDaily[day],TableDailySummary[[#This Row],[Fecha]])</f>
        <v>0</v>
      </c>
      <c r="AB793" s="11">
        <f>TableDailySummary[[#This Row],[Inversión google ads]]+TableDailySummary[[#This Row],[Inversión meta ads]]</f>
        <v>0</v>
      </c>
      <c r="AC793" s="11">
        <f>TableDailySummary[[#This Row],[Ventas google ads]]+TableDailySummary[[#This Row],[Ventas meta ads]]</f>
        <v>0</v>
      </c>
      <c r="AD793" s="14">
        <f>IFERROR(TableDailySummary[[#This Row],[Ventas publicidad]]/TableDailySummary[[#This Row],[Inversión publicidad]],0)</f>
        <v>0</v>
      </c>
      <c r="AE793" s="14">
        <f>IFERROR(TableDailySummary[[#This Row],[Ventas primer cliente]]/TableDailySummary[[#This Row],[Inversión publicidad]],0)</f>
        <v>0</v>
      </c>
      <c r="AF793" s="14"/>
      <c r="AG793" s="11"/>
      <c r="AM793" s="11">
        <f>_xlfn.XLOOKUP(TableDailySummary[[#This Row],[Fecha]],SummaryDaily[day],SummaryDaily[net_sales_with_cost_recorded],0)</f>
        <v>0</v>
      </c>
      <c r="AN793" s="11">
        <f>_xlfn.XLOOKUP(TableDailySummary[[#This Row],[Fecha]],SummaryDaily[day],SummaryDaily[cost_of_goods_sold],0)</f>
        <v>0</v>
      </c>
      <c r="AO793" s="11">
        <f>_xlfn.XLOOKUP(TableDailySummary[[#This Row],[Fecha]],SummaryDaily[day],SummaryDaily[gross_profit],0)</f>
        <v>0</v>
      </c>
      <c r="AP793" s="18">
        <f>IFERROR(TableDailySummary[[#This Row],[Utilidad bruta]]/TableDailySummary[[#This Row],[Ventas netas con costo registrado]],0)</f>
        <v>0</v>
      </c>
    </row>
    <row r="794" spans="2:42" x14ac:dyDescent="0.2">
      <c r="B794" s="15" cm="1">
        <f t="array" ref="B794">ParamFechaInicioReporte + (ROW(TableDailySummary[#This Row]) - ROW(TableDailySummary[[#Headers],[Dia]]) - 1)</f>
        <v>45321</v>
      </c>
      <c r="C794" s="6">
        <f>TableDailySummary[[#This Row],[Dia]]</f>
        <v>45321</v>
      </c>
      <c r="D794" s="11">
        <f>_xlfn.XLOOKUP(TableDailySummary[[#This Row],[Fecha]],SummaryDaily[day],SummaryDaily[net_sales],0)</f>
        <v>0</v>
      </c>
      <c r="E794" s="11">
        <f>_xlfn.XLOOKUP(TableDailySummary[[#This Row],[Fecha]],SummaryDaily[day],SummaryDaily[orders],0)</f>
        <v>0</v>
      </c>
      <c r="F794" s="11">
        <f>_xlfn.XLOOKUP(TableDailySummary[[#This Row],[Fecha]],SummaryDaily[day],SummaryDaily[average_order_value],0)</f>
        <v>0</v>
      </c>
      <c r="G794" s="24" cm="1">
        <f t="array" ref="G794">_xlfn.XLOOKUP(TableDailySummary[[#This Row],[Fecha]]&amp;"Total site",ConversionRateByReferral[day]&amp;ConversionRateByReferral[referrer_source],ConversionRateByReferral[conversion_rate],0)</f>
        <v>0</v>
      </c>
      <c r="H794" s="11">
        <f>TableDailySummary[[#This Row],[Órden promedio totales]]*TableDailySummary[[#This Row],[CR totales]]</f>
        <v>0</v>
      </c>
      <c r="I794" s="11">
        <f>_xlfn.XLOOKUP(TableDailySummary[[#This Row],[Fecha]],SummaryDaily[day],SummaryDaily[new_net_sales],0)</f>
        <v>0</v>
      </c>
      <c r="J794" s="11">
        <f>_xlfn.XLOOKUP(TableDailySummary[[#This Row],[Fecha]],SummaryDaily[day],SummaryDaily[new_orders],0)</f>
        <v>0</v>
      </c>
      <c r="K794" s="11">
        <f>_xlfn.XLOOKUP(TableDailySummary[[#This Row],[Fecha]],SummaryDaily[day],SummaryDaily[new_average_order_value],0)</f>
        <v>0</v>
      </c>
      <c r="L794" s="11">
        <f>_xlfn.XLOOKUP(TableDailySummary[[#This Row],[Fecha]],SummaryDaily[day],SummaryDaily[Online Store_net_sales],0)</f>
        <v>0</v>
      </c>
      <c r="M794" s="11">
        <f>_xlfn.XLOOKUP(TableDailySummary[[#This Row],[Fecha]],SummaryDaily[day],SummaryDaily[Online Store_orders],0)</f>
        <v>0</v>
      </c>
      <c r="N794" s="11">
        <f>_xlfn.XLOOKUP(TableDailySummary[[#This Row],[Fecha]],SummaryDaily[day],SummaryDaily[Online Store_average_order_value],0)</f>
        <v>0</v>
      </c>
      <c r="O794" s="11">
        <f>_xlfn.XLOOKUP(TableDailySummary[[#This Row],[Fecha]],SummaryDaily[day],SummaryDaily[Tienda 81_net_sales],0)</f>
        <v>0</v>
      </c>
      <c r="P794" s="11">
        <f>_xlfn.XLOOKUP(TableDailySummary[[#This Row],[Fecha]],SummaryDaily[day],SummaryDaily[Tienda 81_orders],0)</f>
        <v>0</v>
      </c>
      <c r="Q794" s="11">
        <f>_xlfn.XLOOKUP(TableDailySummary[[#This Row],[Fecha]],SummaryDaily[day],SummaryDaily[Tienda 81_average_order_value],0)</f>
        <v>0</v>
      </c>
      <c r="R794" s="11">
        <f>_xlfn.XLOOKUP(TableDailySummary[[#This Row],[Fecha]],SummaryDaily[day],SummaryDaily[Rappi_net_sales],0)</f>
        <v>0</v>
      </c>
      <c r="S794" s="11">
        <f>_xlfn.XLOOKUP(TableDailySummary[[#This Row],[Fecha]],SummaryDaily[day],SummaryDaily[Rappi_orders],0)</f>
        <v>0</v>
      </c>
      <c r="T794" s="11">
        <f>_xlfn.XLOOKUP(TableDailySummary[[#This Row],[Fecha]],SummaryDaily[day],SummaryDaily[Rappi_average_order_value],0)</f>
        <v>0</v>
      </c>
      <c r="U794" s="11">
        <f>_xlfn.XLOOKUP(TableDailySummary[[#This Row],[Fecha]],SummaryDaily[day],SummaryDaily[Corporativo no tienda_net_sales],0)</f>
        <v>0</v>
      </c>
      <c r="V794" s="11">
        <f>_xlfn.XLOOKUP(TableDailySummary[[#This Row],[Fecha]],SummaryDaily[day],SummaryDaily[Corporativo no tienda_orders],0)</f>
        <v>0</v>
      </c>
      <c r="W794" s="11">
        <f>_xlfn.XLOOKUP(TableDailySummary[[#This Row],[Fecha]],SummaryDaily[day],SummaryDaily[Corporativo no tienda_average_order_value],0)</f>
        <v>0</v>
      </c>
      <c r="X794" s="11">
        <f>_xlfn.XLOOKUP(TableDailySummary[[#This Row],[Fecha]],SummaryDaily[day],SummaryDaily[GoogleAdsOperation.Cost],0)</f>
        <v>0</v>
      </c>
      <c r="Y794" s="11">
        <f>SUMIFS(SalesByUTMDaily[google],SalesByUTMDaily[day],TableDailySummary[[#This Row],[Fecha]])</f>
        <v>0</v>
      </c>
      <c r="Z794" s="11">
        <f>_xlfn.XLOOKUP(TableDailySummary[[#This Row],[Fecha]],SummaryDaily[day],SummaryDaily[MetaAdsOperation.spend],0)</f>
        <v>0</v>
      </c>
      <c r="AA794" s="11">
        <f>SUMIFS(SalesByUTMDaily[facebook],SalesByUTMDaily[day],TableDailySummary[[#This Row],[Fecha]])</f>
        <v>0</v>
      </c>
      <c r="AB794" s="11">
        <f>TableDailySummary[[#This Row],[Inversión google ads]]+TableDailySummary[[#This Row],[Inversión meta ads]]</f>
        <v>0</v>
      </c>
      <c r="AC794" s="11">
        <f>TableDailySummary[[#This Row],[Ventas google ads]]+TableDailySummary[[#This Row],[Ventas meta ads]]</f>
        <v>0</v>
      </c>
      <c r="AD794" s="14">
        <f>IFERROR(TableDailySummary[[#This Row],[Ventas publicidad]]/TableDailySummary[[#This Row],[Inversión publicidad]],0)</f>
        <v>0</v>
      </c>
      <c r="AE794" s="14">
        <f>IFERROR(TableDailySummary[[#This Row],[Ventas primer cliente]]/TableDailySummary[[#This Row],[Inversión publicidad]],0)</f>
        <v>0</v>
      </c>
      <c r="AF794" s="14"/>
      <c r="AG794" s="11"/>
      <c r="AM794" s="11">
        <f>_xlfn.XLOOKUP(TableDailySummary[[#This Row],[Fecha]],SummaryDaily[day],SummaryDaily[net_sales_with_cost_recorded],0)</f>
        <v>0</v>
      </c>
      <c r="AN794" s="11">
        <f>_xlfn.XLOOKUP(TableDailySummary[[#This Row],[Fecha]],SummaryDaily[day],SummaryDaily[cost_of_goods_sold],0)</f>
        <v>0</v>
      </c>
      <c r="AO794" s="11">
        <f>_xlfn.XLOOKUP(TableDailySummary[[#This Row],[Fecha]],SummaryDaily[day],SummaryDaily[gross_profit],0)</f>
        <v>0</v>
      </c>
      <c r="AP794" s="18">
        <f>IFERROR(TableDailySummary[[#This Row],[Utilidad bruta]]/TableDailySummary[[#This Row],[Ventas netas con costo registrado]],0)</f>
        <v>0</v>
      </c>
    </row>
    <row r="795" spans="2:42" x14ac:dyDescent="0.2">
      <c r="B795" s="15" cm="1">
        <f t="array" ref="B795">ParamFechaInicioReporte + (ROW(TableDailySummary[#This Row]) - ROW(TableDailySummary[[#Headers],[Dia]]) - 1)</f>
        <v>45322</v>
      </c>
      <c r="C795" s="6">
        <f>TableDailySummary[[#This Row],[Dia]]</f>
        <v>45322</v>
      </c>
      <c r="D795" s="11">
        <f>_xlfn.XLOOKUP(TableDailySummary[[#This Row],[Fecha]],SummaryDaily[day],SummaryDaily[net_sales],0)</f>
        <v>0</v>
      </c>
      <c r="E795" s="11">
        <f>_xlfn.XLOOKUP(TableDailySummary[[#This Row],[Fecha]],SummaryDaily[day],SummaryDaily[orders],0)</f>
        <v>0</v>
      </c>
      <c r="F795" s="11">
        <f>_xlfn.XLOOKUP(TableDailySummary[[#This Row],[Fecha]],SummaryDaily[day],SummaryDaily[average_order_value],0)</f>
        <v>0</v>
      </c>
      <c r="G795" s="24" cm="1">
        <f t="array" ref="G795">_xlfn.XLOOKUP(TableDailySummary[[#This Row],[Fecha]]&amp;"Total site",ConversionRateByReferral[day]&amp;ConversionRateByReferral[referrer_source],ConversionRateByReferral[conversion_rate],0)</f>
        <v>0</v>
      </c>
      <c r="H795" s="11">
        <f>TableDailySummary[[#This Row],[Órden promedio totales]]*TableDailySummary[[#This Row],[CR totales]]</f>
        <v>0</v>
      </c>
      <c r="I795" s="11">
        <f>_xlfn.XLOOKUP(TableDailySummary[[#This Row],[Fecha]],SummaryDaily[day],SummaryDaily[new_net_sales],0)</f>
        <v>0</v>
      </c>
      <c r="J795" s="11">
        <f>_xlfn.XLOOKUP(TableDailySummary[[#This Row],[Fecha]],SummaryDaily[day],SummaryDaily[new_orders],0)</f>
        <v>0</v>
      </c>
      <c r="K795" s="11">
        <f>_xlfn.XLOOKUP(TableDailySummary[[#This Row],[Fecha]],SummaryDaily[day],SummaryDaily[new_average_order_value],0)</f>
        <v>0</v>
      </c>
      <c r="L795" s="11">
        <f>_xlfn.XLOOKUP(TableDailySummary[[#This Row],[Fecha]],SummaryDaily[day],SummaryDaily[Online Store_net_sales],0)</f>
        <v>0</v>
      </c>
      <c r="M795" s="11">
        <f>_xlfn.XLOOKUP(TableDailySummary[[#This Row],[Fecha]],SummaryDaily[day],SummaryDaily[Online Store_orders],0)</f>
        <v>0</v>
      </c>
      <c r="N795" s="11">
        <f>_xlfn.XLOOKUP(TableDailySummary[[#This Row],[Fecha]],SummaryDaily[day],SummaryDaily[Online Store_average_order_value],0)</f>
        <v>0</v>
      </c>
      <c r="O795" s="11">
        <f>_xlfn.XLOOKUP(TableDailySummary[[#This Row],[Fecha]],SummaryDaily[day],SummaryDaily[Tienda 81_net_sales],0)</f>
        <v>0</v>
      </c>
      <c r="P795" s="11">
        <f>_xlfn.XLOOKUP(TableDailySummary[[#This Row],[Fecha]],SummaryDaily[day],SummaryDaily[Tienda 81_orders],0)</f>
        <v>0</v>
      </c>
      <c r="Q795" s="11">
        <f>_xlfn.XLOOKUP(TableDailySummary[[#This Row],[Fecha]],SummaryDaily[day],SummaryDaily[Tienda 81_average_order_value],0)</f>
        <v>0</v>
      </c>
      <c r="R795" s="11">
        <f>_xlfn.XLOOKUP(TableDailySummary[[#This Row],[Fecha]],SummaryDaily[day],SummaryDaily[Rappi_net_sales],0)</f>
        <v>0</v>
      </c>
      <c r="S795" s="11">
        <f>_xlfn.XLOOKUP(TableDailySummary[[#This Row],[Fecha]],SummaryDaily[day],SummaryDaily[Rappi_orders],0)</f>
        <v>0</v>
      </c>
      <c r="T795" s="11">
        <f>_xlfn.XLOOKUP(TableDailySummary[[#This Row],[Fecha]],SummaryDaily[day],SummaryDaily[Rappi_average_order_value],0)</f>
        <v>0</v>
      </c>
      <c r="U795" s="11">
        <f>_xlfn.XLOOKUP(TableDailySummary[[#This Row],[Fecha]],SummaryDaily[day],SummaryDaily[Corporativo no tienda_net_sales],0)</f>
        <v>0</v>
      </c>
      <c r="V795" s="11">
        <f>_xlfn.XLOOKUP(TableDailySummary[[#This Row],[Fecha]],SummaryDaily[day],SummaryDaily[Corporativo no tienda_orders],0)</f>
        <v>0</v>
      </c>
      <c r="W795" s="11">
        <f>_xlfn.XLOOKUP(TableDailySummary[[#This Row],[Fecha]],SummaryDaily[day],SummaryDaily[Corporativo no tienda_average_order_value],0)</f>
        <v>0</v>
      </c>
      <c r="X795" s="11">
        <f>_xlfn.XLOOKUP(TableDailySummary[[#This Row],[Fecha]],SummaryDaily[day],SummaryDaily[GoogleAdsOperation.Cost],0)</f>
        <v>0</v>
      </c>
      <c r="Y795" s="11">
        <f>SUMIFS(SalesByUTMDaily[google],SalesByUTMDaily[day],TableDailySummary[[#This Row],[Fecha]])</f>
        <v>0</v>
      </c>
      <c r="Z795" s="11">
        <f>_xlfn.XLOOKUP(TableDailySummary[[#This Row],[Fecha]],SummaryDaily[day],SummaryDaily[MetaAdsOperation.spend],0)</f>
        <v>0</v>
      </c>
      <c r="AA795" s="11">
        <f>SUMIFS(SalesByUTMDaily[facebook],SalesByUTMDaily[day],TableDailySummary[[#This Row],[Fecha]])</f>
        <v>0</v>
      </c>
      <c r="AB795" s="11">
        <f>TableDailySummary[[#This Row],[Inversión google ads]]+TableDailySummary[[#This Row],[Inversión meta ads]]</f>
        <v>0</v>
      </c>
      <c r="AC795" s="11">
        <f>TableDailySummary[[#This Row],[Ventas google ads]]+TableDailySummary[[#This Row],[Ventas meta ads]]</f>
        <v>0</v>
      </c>
      <c r="AD795" s="14">
        <f>IFERROR(TableDailySummary[[#This Row],[Ventas publicidad]]/TableDailySummary[[#This Row],[Inversión publicidad]],0)</f>
        <v>0</v>
      </c>
      <c r="AE795" s="14">
        <f>IFERROR(TableDailySummary[[#This Row],[Ventas primer cliente]]/TableDailySummary[[#This Row],[Inversión publicidad]],0)</f>
        <v>0</v>
      </c>
      <c r="AF795" s="14"/>
      <c r="AG795" s="11"/>
      <c r="AM795" s="11">
        <f>_xlfn.XLOOKUP(TableDailySummary[[#This Row],[Fecha]],SummaryDaily[day],SummaryDaily[net_sales_with_cost_recorded],0)</f>
        <v>0</v>
      </c>
      <c r="AN795" s="11">
        <f>_xlfn.XLOOKUP(TableDailySummary[[#This Row],[Fecha]],SummaryDaily[day],SummaryDaily[cost_of_goods_sold],0)</f>
        <v>0</v>
      </c>
      <c r="AO795" s="11">
        <f>_xlfn.XLOOKUP(TableDailySummary[[#This Row],[Fecha]],SummaryDaily[day],SummaryDaily[gross_profit],0)</f>
        <v>0</v>
      </c>
      <c r="AP795" s="18">
        <f>IFERROR(TableDailySummary[[#This Row],[Utilidad bruta]]/TableDailySummary[[#This Row],[Ventas netas con costo registrado]],0)</f>
        <v>0</v>
      </c>
    </row>
    <row r="796" spans="2:42" x14ac:dyDescent="0.2">
      <c r="B796" s="15" cm="1">
        <f t="array" ref="B796">ParamFechaInicioReporte + (ROW(TableDailySummary[#This Row]) - ROW(TableDailySummary[[#Headers],[Dia]]) - 1)</f>
        <v>45323</v>
      </c>
      <c r="C796" s="6">
        <f>TableDailySummary[[#This Row],[Dia]]</f>
        <v>45323</v>
      </c>
      <c r="D796" s="11">
        <f>_xlfn.XLOOKUP(TableDailySummary[[#This Row],[Fecha]],SummaryDaily[day],SummaryDaily[net_sales],0)</f>
        <v>0</v>
      </c>
      <c r="E796" s="11">
        <f>_xlfn.XLOOKUP(TableDailySummary[[#This Row],[Fecha]],SummaryDaily[day],SummaryDaily[orders],0)</f>
        <v>0</v>
      </c>
      <c r="F796" s="11">
        <f>_xlfn.XLOOKUP(TableDailySummary[[#This Row],[Fecha]],SummaryDaily[day],SummaryDaily[average_order_value],0)</f>
        <v>0</v>
      </c>
      <c r="G796" s="24" cm="1">
        <f t="array" ref="G796">_xlfn.XLOOKUP(TableDailySummary[[#This Row],[Fecha]]&amp;"Total site",ConversionRateByReferral[day]&amp;ConversionRateByReferral[referrer_source],ConversionRateByReferral[conversion_rate],0)</f>
        <v>0</v>
      </c>
      <c r="H796" s="11">
        <f>TableDailySummary[[#This Row],[Órden promedio totales]]*TableDailySummary[[#This Row],[CR totales]]</f>
        <v>0</v>
      </c>
      <c r="I796" s="11">
        <f>_xlfn.XLOOKUP(TableDailySummary[[#This Row],[Fecha]],SummaryDaily[day],SummaryDaily[new_net_sales],0)</f>
        <v>0</v>
      </c>
      <c r="J796" s="11">
        <f>_xlfn.XLOOKUP(TableDailySummary[[#This Row],[Fecha]],SummaryDaily[day],SummaryDaily[new_orders],0)</f>
        <v>0</v>
      </c>
      <c r="K796" s="11">
        <f>_xlfn.XLOOKUP(TableDailySummary[[#This Row],[Fecha]],SummaryDaily[day],SummaryDaily[new_average_order_value],0)</f>
        <v>0</v>
      </c>
      <c r="L796" s="11">
        <f>_xlfn.XLOOKUP(TableDailySummary[[#This Row],[Fecha]],SummaryDaily[day],SummaryDaily[Online Store_net_sales],0)</f>
        <v>0</v>
      </c>
      <c r="M796" s="11">
        <f>_xlfn.XLOOKUP(TableDailySummary[[#This Row],[Fecha]],SummaryDaily[day],SummaryDaily[Online Store_orders],0)</f>
        <v>0</v>
      </c>
      <c r="N796" s="11">
        <f>_xlfn.XLOOKUP(TableDailySummary[[#This Row],[Fecha]],SummaryDaily[day],SummaryDaily[Online Store_average_order_value],0)</f>
        <v>0</v>
      </c>
      <c r="O796" s="11">
        <f>_xlfn.XLOOKUP(TableDailySummary[[#This Row],[Fecha]],SummaryDaily[day],SummaryDaily[Tienda 81_net_sales],0)</f>
        <v>0</v>
      </c>
      <c r="P796" s="11">
        <f>_xlfn.XLOOKUP(TableDailySummary[[#This Row],[Fecha]],SummaryDaily[day],SummaryDaily[Tienda 81_orders],0)</f>
        <v>0</v>
      </c>
      <c r="Q796" s="11">
        <f>_xlfn.XLOOKUP(TableDailySummary[[#This Row],[Fecha]],SummaryDaily[day],SummaryDaily[Tienda 81_average_order_value],0)</f>
        <v>0</v>
      </c>
      <c r="R796" s="11">
        <f>_xlfn.XLOOKUP(TableDailySummary[[#This Row],[Fecha]],SummaryDaily[day],SummaryDaily[Rappi_net_sales],0)</f>
        <v>0</v>
      </c>
      <c r="S796" s="11">
        <f>_xlfn.XLOOKUP(TableDailySummary[[#This Row],[Fecha]],SummaryDaily[day],SummaryDaily[Rappi_orders],0)</f>
        <v>0</v>
      </c>
      <c r="T796" s="11">
        <f>_xlfn.XLOOKUP(TableDailySummary[[#This Row],[Fecha]],SummaryDaily[day],SummaryDaily[Rappi_average_order_value],0)</f>
        <v>0</v>
      </c>
      <c r="U796" s="11">
        <f>_xlfn.XLOOKUP(TableDailySummary[[#This Row],[Fecha]],SummaryDaily[day],SummaryDaily[Corporativo no tienda_net_sales],0)</f>
        <v>0</v>
      </c>
      <c r="V796" s="11">
        <f>_xlfn.XLOOKUP(TableDailySummary[[#This Row],[Fecha]],SummaryDaily[day],SummaryDaily[Corporativo no tienda_orders],0)</f>
        <v>0</v>
      </c>
      <c r="W796" s="11">
        <f>_xlfn.XLOOKUP(TableDailySummary[[#This Row],[Fecha]],SummaryDaily[day],SummaryDaily[Corporativo no tienda_average_order_value],0)</f>
        <v>0</v>
      </c>
      <c r="X796" s="11">
        <f>_xlfn.XLOOKUP(TableDailySummary[[#This Row],[Fecha]],SummaryDaily[day],SummaryDaily[GoogleAdsOperation.Cost],0)</f>
        <v>0</v>
      </c>
      <c r="Y796" s="11">
        <f>SUMIFS(SalesByUTMDaily[google],SalesByUTMDaily[day],TableDailySummary[[#This Row],[Fecha]])</f>
        <v>0</v>
      </c>
      <c r="Z796" s="11">
        <f>_xlfn.XLOOKUP(TableDailySummary[[#This Row],[Fecha]],SummaryDaily[day],SummaryDaily[MetaAdsOperation.spend],0)</f>
        <v>0</v>
      </c>
      <c r="AA796" s="11">
        <f>SUMIFS(SalesByUTMDaily[facebook],SalesByUTMDaily[day],TableDailySummary[[#This Row],[Fecha]])</f>
        <v>0</v>
      </c>
      <c r="AB796" s="11">
        <f>TableDailySummary[[#This Row],[Inversión google ads]]+TableDailySummary[[#This Row],[Inversión meta ads]]</f>
        <v>0</v>
      </c>
      <c r="AC796" s="11">
        <f>TableDailySummary[[#This Row],[Ventas google ads]]+TableDailySummary[[#This Row],[Ventas meta ads]]</f>
        <v>0</v>
      </c>
      <c r="AD796" s="14">
        <f>IFERROR(TableDailySummary[[#This Row],[Ventas publicidad]]/TableDailySummary[[#This Row],[Inversión publicidad]],0)</f>
        <v>0</v>
      </c>
      <c r="AE796" s="14">
        <f>IFERROR(TableDailySummary[[#This Row],[Ventas primer cliente]]/TableDailySummary[[#This Row],[Inversión publicidad]],0)</f>
        <v>0</v>
      </c>
      <c r="AF796" s="14"/>
      <c r="AG796" s="11"/>
      <c r="AM796" s="11">
        <f>_xlfn.XLOOKUP(TableDailySummary[[#This Row],[Fecha]],SummaryDaily[day],SummaryDaily[net_sales_with_cost_recorded],0)</f>
        <v>0</v>
      </c>
      <c r="AN796" s="11">
        <f>_xlfn.XLOOKUP(TableDailySummary[[#This Row],[Fecha]],SummaryDaily[day],SummaryDaily[cost_of_goods_sold],0)</f>
        <v>0</v>
      </c>
      <c r="AO796" s="11">
        <f>_xlfn.XLOOKUP(TableDailySummary[[#This Row],[Fecha]],SummaryDaily[day],SummaryDaily[gross_profit],0)</f>
        <v>0</v>
      </c>
      <c r="AP796" s="18">
        <f>IFERROR(TableDailySummary[[#This Row],[Utilidad bruta]]/TableDailySummary[[#This Row],[Ventas netas con costo registrado]],0)</f>
        <v>0</v>
      </c>
    </row>
    <row r="797" spans="2:42" x14ac:dyDescent="0.2">
      <c r="B797" s="15" cm="1">
        <f t="array" ref="B797">ParamFechaInicioReporte + (ROW(TableDailySummary[#This Row]) - ROW(TableDailySummary[[#Headers],[Dia]]) - 1)</f>
        <v>45324</v>
      </c>
      <c r="C797" s="6">
        <f>TableDailySummary[[#This Row],[Dia]]</f>
        <v>45324</v>
      </c>
      <c r="D797" s="11">
        <f>_xlfn.XLOOKUP(TableDailySummary[[#This Row],[Fecha]],SummaryDaily[day],SummaryDaily[net_sales],0)</f>
        <v>0</v>
      </c>
      <c r="E797" s="11">
        <f>_xlfn.XLOOKUP(TableDailySummary[[#This Row],[Fecha]],SummaryDaily[day],SummaryDaily[orders],0)</f>
        <v>0</v>
      </c>
      <c r="F797" s="11">
        <f>_xlfn.XLOOKUP(TableDailySummary[[#This Row],[Fecha]],SummaryDaily[day],SummaryDaily[average_order_value],0)</f>
        <v>0</v>
      </c>
      <c r="G797" s="24" cm="1">
        <f t="array" ref="G797">_xlfn.XLOOKUP(TableDailySummary[[#This Row],[Fecha]]&amp;"Total site",ConversionRateByReferral[day]&amp;ConversionRateByReferral[referrer_source],ConversionRateByReferral[conversion_rate],0)</f>
        <v>0</v>
      </c>
      <c r="H797" s="11">
        <f>TableDailySummary[[#This Row],[Órden promedio totales]]*TableDailySummary[[#This Row],[CR totales]]</f>
        <v>0</v>
      </c>
      <c r="I797" s="11">
        <f>_xlfn.XLOOKUP(TableDailySummary[[#This Row],[Fecha]],SummaryDaily[day],SummaryDaily[new_net_sales],0)</f>
        <v>0</v>
      </c>
      <c r="J797" s="11">
        <f>_xlfn.XLOOKUP(TableDailySummary[[#This Row],[Fecha]],SummaryDaily[day],SummaryDaily[new_orders],0)</f>
        <v>0</v>
      </c>
      <c r="K797" s="11">
        <f>_xlfn.XLOOKUP(TableDailySummary[[#This Row],[Fecha]],SummaryDaily[day],SummaryDaily[new_average_order_value],0)</f>
        <v>0</v>
      </c>
      <c r="L797" s="11">
        <f>_xlfn.XLOOKUP(TableDailySummary[[#This Row],[Fecha]],SummaryDaily[day],SummaryDaily[Online Store_net_sales],0)</f>
        <v>0</v>
      </c>
      <c r="M797" s="11">
        <f>_xlfn.XLOOKUP(TableDailySummary[[#This Row],[Fecha]],SummaryDaily[day],SummaryDaily[Online Store_orders],0)</f>
        <v>0</v>
      </c>
      <c r="N797" s="11">
        <f>_xlfn.XLOOKUP(TableDailySummary[[#This Row],[Fecha]],SummaryDaily[day],SummaryDaily[Online Store_average_order_value],0)</f>
        <v>0</v>
      </c>
      <c r="O797" s="11">
        <f>_xlfn.XLOOKUP(TableDailySummary[[#This Row],[Fecha]],SummaryDaily[day],SummaryDaily[Tienda 81_net_sales],0)</f>
        <v>0</v>
      </c>
      <c r="P797" s="11">
        <f>_xlfn.XLOOKUP(TableDailySummary[[#This Row],[Fecha]],SummaryDaily[day],SummaryDaily[Tienda 81_orders],0)</f>
        <v>0</v>
      </c>
      <c r="Q797" s="11">
        <f>_xlfn.XLOOKUP(TableDailySummary[[#This Row],[Fecha]],SummaryDaily[day],SummaryDaily[Tienda 81_average_order_value],0)</f>
        <v>0</v>
      </c>
      <c r="R797" s="11">
        <f>_xlfn.XLOOKUP(TableDailySummary[[#This Row],[Fecha]],SummaryDaily[day],SummaryDaily[Rappi_net_sales],0)</f>
        <v>0</v>
      </c>
      <c r="S797" s="11">
        <f>_xlfn.XLOOKUP(TableDailySummary[[#This Row],[Fecha]],SummaryDaily[day],SummaryDaily[Rappi_orders],0)</f>
        <v>0</v>
      </c>
      <c r="T797" s="11">
        <f>_xlfn.XLOOKUP(TableDailySummary[[#This Row],[Fecha]],SummaryDaily[day],SummaryDaily[Rappi_average_order_value],0)</f>
        <v>0</v>
      </c>
      <c r="U797" s="11">
        <f>_xlfn.XLOOKUP(TableDailySummary[[#This Row],[Fecha]],SummaryDaily[day],SummaryDaily[Corporativo no tienda_net_sales],0)</f>
        <v>0</v>
      </c>
      <c r="V797" s="11">
        <f>_xlfn.XLOOKUP(TableDailySummary[[#This Row],[Fecha]],SummaryDaily[day],SummaryDaily[Corporativo no tienda_orders],0)</f>
        <v>0</v>
      </c>
      <c r="W797" s="11">
        <f>_xlfn.XLOOKUP(TableDailySummary[[#This Row],[Fecha]],SummaryDaily[day],SummaryDaily[Corporativo no tienda_average_order_value],0)</f>
        <v>0</v>
      </c>
      <c r="X797" s="11">
        <f>_xlfn.XLOOKUP(TableDailySummary[[#This Row],[Fecha]],SummaryDaily[day],SummaryDaily[GoogleAdsOperation.Cost],0)</f>
        <v>0</v>
      </c>
      <c r="Y797" s="11">
        <f>SUMIFS(SalesByUTMDaily[google],SalesByUTMDaily[day],TableDailySummary[[#This Row],[Fecha]])</f>
        <v>0</v>
      </c>
      <c r="Z797" s="11">
        <f>_xlfn.XLOOKUP(TableDailySummary[[#This Row],[Fecha]],SummaryDaily[day],SummaryDaily[MetaAdsOperation.spend],0)</f>
        <v>0</v>
      </c>
      <c r="AA797" s="11">
        <f>SUMIFS(SalesByUTMDaily[facebook],SalesByUTMDaily[day],TableDailySummary[[#This Row],[Fecha]])</f>
        <v>0</v>
      </c>
      <c r="AB797" s="11">
        <f>TableDailySummary[[#This Row],[Inversión google ads]]+TableDailySummary[[#This Row],[Inversión meta ads]]</f>
        <v>0</v>
      </c>
      <c r="AC797" s="11">
        <f>TableDailySummary[[#This Row],[Ventas google ads]]+TableDailySummary[[#This Row],[Ventas meta ads]]</f>
        <v>0</v>
      </c>
      <c r="AD797" s="14">
        <f>IFERROR(TableDailySummary[[#This Row],[Ventas publicidad]]/TableDailySummary[[#This Row],[Inversión publicidad]],0)</f>
        <v>0</v>
      </c>
      <c r="AE797" s="14">
        <f>IFERROR(TableDailySummary[[#This Row],[Ventas primer cliente]]/TableDailySummary[[#This Row],[Inversión publicidad]],0)</f>
        <v>0</v>
      </c>
      <c r="AF797" s="14"/>
      <c r="AG797" s="11"/>
      <c r="AM797" s="11">
        <f>_xlfn.XLOOKUP(TableDailySummary[[#This Row],[Fecha]],SummaryDaily[day],SummaryDaily[net_sales_with_cost_recorded],0)</f>
        <v>0</v>
      </c>
      <c r="AN797" s="11">
        <f>_xlfn.XLOOKUP(TableDailySummary[[#This Row],[Fecha]],SummaryDaily[day],SummaryDaily[cost_of_goods_sold],0)</f>
        <v>0</v>
      </c>
      <c r="AO797" s="11">
        <f>_xlfn.XLOOKUP(TableDailySummary[[#This Row],[Fecha]],SummaryDaily[day],SummaryDaily[gross_profit],0)</f>
        <v>0</v>
      </c>
      <c r="AP797" s="18">
        <f>IFERROR(TableDailySummary[[#This Row],[Utilidad bruta]]/TableDailySummary[[#This Row],[Ventas netas con costo registrado]],0)</f>
        <v>0</v>
      </c>
    </row>
    <row r="798" spans="2:42" x14ac:dyDescent="0.2">
      <c r="B798" s="15" cm="1">
        <f t="array" ref="B798">ParamFechaInicioReporte + (ROW(TableDailySummary[#This Row]) - ROW(TableDailySummary[[#Headers],[Dia]]) - 1)</f>
        <v>45325</v>
      </c>
      <c r="C798" s="6">
        <f>TableDailySummary[[#This Row],[Dia]]</f>
        <v>45325</v>
      </c>
      <c r="D798" s="11">
        <f>_xlfn.XLOOKUP(TableDailySummary[[#This Row],[Fecha]],SummaryDaily[day],SummaryDaily[net_sales],0)</f>
        <v>0</v>
      </c>
      <c r="E798" s="11">
        <f>_xlfn.XLOOKUP(TableDailySummary[[#This Row],[Fecha]],SummaryDaily[day],SummaryDaily[orders],0)</f>
        <v>0</v>
      </c>
      <c r="F798" s="11">
        <f>_xlfn.XLOOKUP(TableDailySummary[[#This Row],[Fecha]],SummaryDaily[day],SummaryDaily[average_order_value],0)</f>
        <v>0</v>
      </c>
      <c r="G798" s="24" cm="1">
        <f t="array" ref="G798">_xlfn.XLOOKUP(TableDailySummary[[#This Row],[Fecha]]&amp;"Total site",ConversionRateByReferral[day]&amp;ConversionRateByReferral[referrer_source],ConversionRateByReferral[conversion_rate],0)</f>
        <v>0</v>
      </c>
      <c r="H798" s="11">
        <f>TableDailySummary[[#This Row],[Órden promedio totales]]*TableDailySummary[[#This Row],[CR totales]]</f>
        <v>0</v>
      </c>
      <c r="I798" s="11">
        <f>_xlfn.XLOOKUP(TableDailySummary[[#This Row],[Fecha]],SummaryDaily[day],SummaryDaily[new_net_sales],0)</f>
        <v>0</v>
      </c>
      <c r="J798" s="11">
        <f>_xlfn.XLOOKUP(TableDailySummary[[#This Row],[Fecha]],SummaryDaily[day],SummaryDaily[new_orders],0)</f>
        <v>0</v>
      </c>
      <c r="K798" s="11">
        <f>_xlfn.XLOOKUP(TableDailySummary[[#This Row],[Fecha]],SummaryDaily[day],SummaryDaily[new_average_order_value],0)</f>
        <v>0</v>
      </c>
      <c r="L798" s="11">
        <f>_xlfn.XLOOKUP(TableDailySummary[[#This Row],[Fecha]],SummaryDaily[day],SummaryDaily[Online Store_net_sales],0)</f>
        <v>0</v>
      </c>
      <c r="M798" s="11">
        <f>_xlfn.XLOOKUP(TableDailySummary[[#This Row],[Fecha]],SummaryDaily[day],SummaryDaily[Online Store_orders],0)</f>
        <v>0</v>
      </c>
      <c r="N798" s="11">
        <f>_xlfn.XLOOKUP(TableDailySummary[[#This Row],[Fecha]],SummaryDaily[day],SummaryDaily[Online Store_average_order_value],0)</f>
        <v>0</v>
      </c>
      <c r="O798" s="11">
        <f>_xlfn.XLOOKUP(TableDailySummary[[#This Row],[Fecha]],SummaryDaily[day],SummaryDaily[Tienda 81_net_sales],0)</f>
        <v>0</v>
      </c>
      <c r="P798" s="11">
        <f>_xlfn.XLOOKUP(TableDailySummary[[#This Row],[Fecha]],SummaryDaily[day],SummaryDaily[Tienda 81_orders],0)</f>
        <v>0</v>
      </c>
      <c r="Q798" s="11">
        <f>_xlfn.XLOOKUP(TableDailySummary[[#This Row],[Fecha]],SummaryDaily[day],SummaryDaily[Tienda 81_average_order_value],0)</f>
        <v>0</v>
      </c>
      <c r="R798" s="11">
        <f>_xlfn.XLOOKUP(TableDailySummary[[#This Row],[Fecha]],SummaryDaily[day],SummaryDaily[Rappi_net_sales],0)</f>
        <v>0</v>
      </c>
      <c r="S798" s="11">
        <f>_xlfn.XLOOKUP(TableDailySummary[[#This Row],[Fecha]],SummaryDaily[day],SummaryDaily[Rappi_orders],0)</f>
        <v>0</v>
      </c>
      <c r="T798" s="11">
        <f>_xlfn.XLOOKUP(TableDailySummary[[#This Row],[Fecha]],SummaryDaily[day],SummaryDaily[Rappi_average_order_value],0)</f>
        <v>0</v>
      </c>
      <c r="U798" s="11">
        <f>_xlfn.XLOOKUP(TableDailySummary[[#This Row],[Fecha]],SummaryDaily[day],SummaryDaily[Corporativo no tienda_net_sales],0)</f>
        <v>0</v>
      </c>
      <c r="V798" s="11">
        <f>_xlfn.XLOOKUP(TableDailySummary[[#This Row],[Fecha]],SummaryDaily[day],SummaryDaily[Corporativo no tienda_orders],0)</f>
        <v>0</v>
      </c>
      <c r="W798" s="11">
        <f>_xlfn.XLOOKUP(TableDailySummary[[#This Row],[Fecha]],SummaryDaily[day],SummaryDaily[Corporativo no tienda_average_order_value],0)</f>
        <v>0</v>
      </c>
      <c r="X798" s="11">
        <f>_xlfn.XLOOKUP(TableDailySummary[[#This Row],[Fecha]],SummaryDaily[day],SummaryDaily[GoogleAdsOperation.Cost],0)</f>
        <v>0</v>
      </c>
      <c r="Y798" s="11">
        <f>SUMIFS(SalesByUTMDaily[google],SalesByUTMDaily[day],TableDailySummary[[#This Row],[Fecha]])</f>
        <v>0</v>
      </c>
      <c r="Z798" s="11">
        <f>_xlfn.XLOOKUP(TableDailySummary[[#This Row],[Fecha]],SummaryDaily[day],SummaryDaily[MetaAdsOperation.spend],0)</f>
        <v>0</v>
      </c>
      <c r="AA798" s="11">
        <f>SUMIFS(SalesByUTMDaily[facebook],SalesByUTMDaily[day],TableDailySummary[[#This Row],[Fecha]])</f>
        <v>0</v>
      </c>
      <c r="AB798" s="11">
        <f>TableDailySummary[[#This Row],[Inversión google ads]]+TableDailySummary[[#This Row],[Inversión meta ads]]</f>
        <v>0</v>
      </c>
      <c r="AC798" s="11">
        <f>TableDailySummary[[#This Row],[Ventas google ads]]+TableDailySummary[[#This Row],[Ventas meta ads]]</f>
        <v>0</v>
      </c>
      <c r="AD798" s="14">
        <f>IFERROR(TableDailySummary[[#This Row],[Ventas publicidad]]/TableDailySummary[[#This Row],[Inversión publicidad]],0)</f>
        <v>0</v>
      </c>
      <c r="AE798" s="14">
        <f>IFERROR(TableDailySummary[[#This Row],[Ventas primer cliente]]/TableDailySummary[[#This Row],[Inversión publicidad]],0)</f>
        <v>0</v>
      </c>
      <c r="AF798" s="14"/>
      <c r="AG798" s="11"/>
      <c r="AM798" s="11">
        <f>_xlfn.XLOOKUP(TableDailySummary[[#This Row],[Fecha]],SummaryDaily[day],SummaryDaily[net_sales_with_cost_recorded],0)</f>
        <v>0</v>
      </c>
      <c r="AN798" s="11">
        <f>_xlfn.XLOOKUP(TableDailySummary[[#This Row],[Fecha]],SummaryDaily[day],SummaryDaily[cost_of_goods_sold],0)</f>
        <v>0</v>
      </c>
      <c r="AO798" s="11">
        <f>_xlfn.XLOOKUP(TableDailySummary[[#This Row],[Fecha]],SummaryDaily[day],SummaryDaily[gross_profit],0)</f>
        <v>0</v>
      </c>
      <c r="AP798" s="18">
        <f>IFERROR(TableDailySummary[[#This Row],[Utilidad bruta]]/TableDailySummary[[#This Row],[Ventas netas con costo registrado]],0)</f>
        <v>0</v>
      </c>
    </row>
    <row r="799" spans="2:42" x14ac:dyDescent="0.2">
      <c r="B799" s="15" cm="1">
        <f t="array" ref="B799">ParamFechaInicioReporte + (ROW(TableDailySummary[#This Row]) - ROW(TableDailySummary[[#Headers],[Dia]]) - 1)</f>
        <v>45326</v>
      </c>
      <c r="C799" s="6">
        <f>TableDailySummary[[#This Row],[Dia]]</f>
        <v>45326</v>
      </c>
      <c r="D799" s="11">
        <f>_xlfn.XLOOKUP(TableDailySummary[[#This Row],[Fecha]],SummaryDaily[day],SummaryDaily[net_sales],0)</f>
        <v>0</v>
      </c>
      <c r="E799" s="11">
        <f>_xlfn.XLOOKUP(TableDailySummary[[#This Row],[Fecha]],SummaryDaily[day],SummaryDaily[orders],0)</f>
        <v>0</v>
      </c>
      <c r="F799" s="11">
        <f>_xlfn.XLOOKUP(TableDailySummary[[#This Row],[Fecha]],SummaryDaily[day],SummaryDaily[average_order_value],0)</f>
        <v>0</v>
      </c>
      <c r="G799" s="24" cm="1">
        <f t="array" ref="G799">_xlfn.XLOOKUP(TableDailySummary[[#This Row],[Fecha]]&amp;"Total site",ConversionRateByReferral[day]&amp;ConversionRateByReferral[referrer_source],ConversionRateByReferral[conversion_rate],0)</f>
        <v>0</v>
      </c>
      <c r="H799" s="11">
        <f>TableDailySummary[[#This Row],[Órden promedio totales]]*TableDailySummary[[#This Row],[CR totales]]</f>
        <v>0</v>
      </c>
      <c r="I799" s="11">
        <f>_xlfn.XLOOKUP(TableDailySummary[[#This Row],[Fecha]],SummaryDaily[day],SummaryDaily[new_net_sales],0)</f>
        <v>0</v>
      </c>
      <c r="J799" s="11">
        <f>_xlfn.XLOOKUP(TableDailySummary[[#This Row],[Fecha]],SummaryDaily[day],SummaryDaily[new_orders],0)</f>
        <v>0</v>
      </c>
      <c r="K799" s="11">
        <f>_xlfn.XLOOKUP(TableDailySummary[[#This Row],[Fecha]],SummaryDaily[day],SummaryDaily[new_average_order_value],0)</f>
        <v>0</v>
      </c>
      <c r="L799" s="11">
        <f>_xlfn.XLOOKUP(TableDailySummary[[#This Row],[Fecha]],SummaryDaily[day],SummaryDaily[Online Store_net_sales],0)</f>
        <v>0</v>
      </c>
      <c r="M799" s="11">
        <f>_xlfn.XLOOKUP(TableDailySummary[[#This Row],[Fecha]],SummaryDaily[day],SummaryDaily[Online Store_orders],0)</f>
        <v>0</v>
      </c>
      <c r="N799" s="11">
        <f>_xlfn.XLOOKUP(TableDailySummary[[#This Row],[Fecha]],SummaryDaily[day],SummaryDaily[Online Store_average_order_value],0)</f>
        <v>0</v>
      </c>
      <c r="O799" s="11">
        <f>_xlfn.XLOOKUP(TableDailySummary[[#This Row],[Fecha]],SummaryDaily[day],SummaryDaily[Tienda 81_net_sales],0)</f>
        <v>0</v>
      </c>
      <c r="P799" s="11">
        <f>_xlfn.XLOOKUP(TableDailySummary[[#This Row],[Fecha]],SummaryDaily[day],SummaryDaily[Tienda 81_orders],0)</f>
        <v>0</v>
      </c>
      <c r="Q799" s="11">
        <f>_xlfn.XLOOKUP(TableDailySummary[[#This Row],[Fecha]],SummaryDaily[day],SummaryDaily[Tienda 81_average_order_value],0)</f>
        <v>0</v>
      </c>
      <c r="R799" s="11">
        <f>_xlfn.XLOOKUP(TableDailySummary[[#This Row],[Fecha]],SummaryDaily[day],SummaryDaily[Rappi_net_sales],0)</f>
        <v>0</v>
      </c>
      <c r="S799" s="11">
        <f>_xlfn.XLOOKUP(TableDailySummary[[#This Row],[Fecha]],SummaryDaily[day],SummaryDaily[Rappi_orders],0)</f>
        <v>0</v>
      </c>
      <c r="T799" s="11">
        <f>_xlfn.XLOOKUP(TableDailySummary[[#This Row],[Fecha]],SummaryDaily[day],SummaryDaily[Rappi_average_order_value],0)</f>
        <v>0</v>
      </c>
      <c r="U799" s="11">
        <f>_xlfn.XLOOKUP(TableDailySummary[[#This Row],[Fecha]],SummaryDaily[day],SummaryDaily[Corporativo no tienda_net_sales],0)</f>
        <v>0</v>
      </c>
      <c r="V799" s="11">
        <f>_xlfn.XLOOKUP(TableDailySummary[[#This Row],[Fecha]],SummaryDaily[day],SummaryDaily[Corporativo no tienda_orders],0)</f>
        <v>0</v>
      </c>
      <c r="W799" s="11">
        <f>_xlfn.XLOOKUP(TableDailySummary[[#This Row],[Fecha]],SummaryDaily[day],SummaryDaily[Corporativo no tienda_average_order_value],0)</f>
        <v>0</v>
      </c>
      <c r="X799" s="11">
        <f>_xlfn.XLOOKUP(TableDailySummary[[#This Row],[Fecha]],SummaryDaily[day],SummaryDaily[GoogleAdsOperation.Cost],0)</f>
        <v>0</v>
      </c>
      <c r="Y799" s="11">
        <f>SUMIFS(SalesByUTMDaily[google],SalesByUTMDaily[day],TableDailySummary[[#This Row],[Fecha]])</f>
        <v>0</v>
      </c>
      <c r="Z799" s="11">
        <f>_xlfn.XLOOKUP(TableDailySummary[[#This Row],[Fecha]],SummaryDaily[day],SummaryDaily[MetaAdsOperation.spend],0)</f>
        <v>0</v>
      </c>
      <c r="AA799" s="11">
        <f>SUMIFS(SalesByUTMDaily[facebook],SalesByUTMDaily[day],TableDailySummary[[#This Row],[Fecha]])</f>
        <v>0</v>
      </c>
      <c r="AB799" s="11">
        <f>TableDailySummary[[#This Row],[Inversión google ads]]+TableDailySummary[[#This Row],[Inversión meta ads]]</f>
        <v>0</v>
      </c>
      <c r="AC799" s="11">
        <f>TableDailySummary[[#This Row],[Ventas google ads]]+TableDailySummary[[#This Row],[Ventas meta ads]]</f>
        <v>0</v>
      </c>
      <c r="AD799" s="14">
        <f>IFERROR(TableDailySummary[[#This Row],[Ventas publicidad]]/TableDailySummary[[#This Row],[Inversión publicidad]],0)</f>
        <v>0</v>
      </c>
      <c r="AE799" s="14">
        <f>IFERROR(TableDailySummary[[#This Row],[Ventas primer cliente]]/TableDailySummary[[#This Row],[Inversión publicidad]],0)</f>
        <v>0</v>
      </c>
      <c r="AF799" s="14"/>
      <c r="AG799" s="11"/>
      <c r="AM799" s="11">
        <f>_xlfn.XLOOKUP(TableDailySummary[[#This Row],[Fecha]],SummaryDaily[day],SummaryDaily[net_sales_with_cost_recorded],0)</f>
        <v>0</v>
      </c>
      <c r="AN799" s="11">
        <f>_xlfn.XLOOKUP(TableDailySummary[[#This Row],[Fecha]],SummaryDaily[day],SummaryDaily[cost_of_goods_sold],0)</f>
        <v>0</v>
      </c>
      <c r="AO799" s="11">
        <f>_xlfn.XLOOKUP(TableDailySummary[[#This Row],[Fecha]],SummaryDaily[day],SummaryDaily[gross_profit],0)</f>
        <v>0</v>
      </c>
      <c r="AP799" s="18">
        <f>IFERROR(TableDailySummary[[#This Row],[Utilidad bruta]]/TableDailySummary[[#This Row],[Ventas netas con costo registrado]],0)</f>
        <v>0</v>
      </c>
    </row>
    <row r="800" spans="2:42" x14ac:dyDescent="0.2">
      <c r="B800" s="15" cm="1">
        <f t="array" ref="B800">ParamFechaInicioReporte + (ROW(TableDailySummary[#This Row]) - ROW(TableDailySummary[[#Headers],[Dia]]) - 1)</f>
        <v>45327</v>
      </c>
      <c r="C800" s="6">
        <f>TableDailySummary[[#This Row],[Dia]]</f>
        <v>45327</v>
      </c>
      <c r="D800" s="11">
        <f>_xlfn.XLOOKUP(TableDailySummary[[#This Row],[Fecha]],SummaryDaily[day],SummaryDaily[net_sales],0)</f>
        <v>0</v>
      </c>
      <c r="E800" s="11">
        <f>_xlfn.XLOOKUP(TableDailySummary[[#This Row],[Fecha]],SummaryDaily[day],SummaryDaily[orders],0)</f>
        <v>0</v>
      </c>
      <c r="F800" s="11">
        <f>_xlfn.XLOOKUP(TableDailySummary[[#This Row],[Fecha]],SummaryDaily[day],SummaryDaily[average_order_value],0)</f>
        <v>0</v>
      </c>
      <c r="G800" s="24" cm="1">
        <f t="array" ref="G800">_xlfn.XLOOKUP(TableDailySummary[[#This Row],[Fecha]]&amp;"Total site",ConversionRateByReferral[day]&amp;ConversionRateByReferral[referrer_source],ConversionRateByReferral[conversion_rate],0)</f>
        <v>0</v>
      </c>
      <c r="H800" s="11">
        <f>TableDailySummary[[#This Row],[Órden promedio totales]]*TableDailySummary[[#This Row],[CR totales]]</f>
        <v>0</v>
      </c>
      <c r="I800" s="11">
        <f>_xlfn.XLOOKUP(TableDailySummary[[#This Row],[Fecha]],SummaryDaily[day],SummaryDaily[new_net_sales],0)</f>
        <v>0</v>
      </c>
      <c r="J800" s="11">
        <f>_xlfn.XLOOKUP(TableDailySummary[[#This Row],[Fecha]],SummaryDaily[day],SummaryDaily[new_orders],0)</f>
        <v>0</v>
      </c>
      <c r="K800" s="11">
        <f>_xlfn.XLOOKUP(TableDailySummary[[#This Row],[Fecha]],SummaryDaily[day],SummaryDaily[new_average_order_value],0)</f>
        <v>0</v>
      </c>
      <c r="L800" s="11">
        <f>_xlfn.XLOOKUP(TableDailySummary[[#This Row],[Fecha]],SummaryDaily[day],SummaryDaily[Online Store_net_sales],0)</f>
        <v>0</v>
      </c>
      <c r="M800" s="11">
        <f>_xlfn.XLOOKUP(TableDailySummary[[#This Row],[Fecha]],SummaryDaily[day],SummaryDaily[Online Store_orders],0)</f>
        <v>0</v>
      </c>
      <c r="N800" s="11">
        <f>_xlfn.XLOOKUP(TableDailySummary[[#This Row],[Fecha]],SummaryDaily[day],SummaryDaily[Online Store_average_order_value],0)</f>
        <v>0</v>
      </c>
      <c r="O800" s="11">
        <f>_xlfn.XLOOKUP(TableDailySummary[[#This Row],[Fecha]],SummaryDaily[day],SummaryDaily[Tienda 81_net_sales],0)</f>
        <v>0</v>
      </c>
      <c r="P800" s="11">
        <f>_xlfn.XLOOKUP(TableDailySummary[[#This Row],[Fecha]],SummaryDaily[day],SummaryDaily[Tienda 81_orders],0)</f>
        <v>0</v>
      </c>
      <c r="Q800" s="11">
        <f>_xlfn.XLOOKUP(TableDailySummary[[#This Row],[Fecha]],SummaryDaily[day],SummaryDaily[Tienda 81_average_order_value],0)</f>
        <v>0</v>
      </c>
      <c r="R800" s="11">
        <f>_xlfn.XLOOKUP(TableDailySummary[[#This Row],[Fecha]],SummaryDaily[day],SummaryDaily[Rappi_net_sales],0)</f>
        <v>0</v>
      </c>
      <c r="S800" s="11">
        <f>_xlfn.XLOOKUP(TableDailySummary[[#This Row],[Fecha]],SummaryDaily[day],SummaryDaily[Rappi_orders],0)</f>
        <v>0</v>
      </c>
      <c r="T800" s="11">
        <f>_xlfn.XLOOKUP(TableDailySummary[[#This Row],[Fecha]],SummaryDaily[day],SummaryDaily[Rappi_average_order_value],0)</f>
        <v>0</v>
      </c>
      <c r="U800" s="11">
        <f>_xlfn.XLOOKUP(TableDailySummary[[#This Row],[Fecha]],SummaryDaily[day],SummaryDaily[Corporativo no tienda_net_sales],0)</f>
        <v>0</v>
      </c>
      <c r="V800" s="11">
        <f>_xlfn.XLOOKUP(TableDailySummary[[#This Row],[Fecha]],SummaryDaily[day],SummaryDaily[Corporativo no tienda_orders],0)</f>
        <v>0</v>
      </c>
      <c r="W800" s="11">
        <f>_xlfn.XLOOKUP(TableDailySummary[[#This Row],[Fecha]],SummaryDaily[day],SummaryDaily[Corporativo no tienda_average_order_value],0)</f>
        <v>0</v>
      </c>
      <c r="X800" s="11">
        <f>_xlfn.XLOOKUP(TableDailySummary[[#This Row],[Fecha]],SummaryDaily[day],SummaryDaily[GoogleAdsOperation.Cost],0)</f>
        <v>0</v>
      </c>
      <c r="Y800" s="11">
        <f>SUMIFS(SalesByUTMDaily[google],SalesByUTMDaily[day],TableDailySummary[[#This Row],[Fecha]])</f>
        <v>0</v>
      </c>
      <c r="Z800" s="11">
        <f>_xlfn.XLOOKUP(TableDailySummary[[#This Row],[Fecha]],SummaryDaily[day],SummaryDaily[MetaAdsOperation.spend],0)</f>
        <v>0</v>
      </c>
      <c r="AA800" s="11">
        <f>SUMIFS(SalesByUTMDaily[facebook],SalesByUTMDaily[day],TableDailySummary[[#This Row],[Fecha]])</f>
        <v>0</v>
      </c>
      <c r="AB800" s="11">
        <f>TableDailySummary[[#This Row],[Inversión google ads]]+TableDailySummary[[#This Row],[Inversión meta ads]]</f>
        <v>0</v>
      </c>
      <c r="AC800" s="11">
        <f>TableDailySummary[[#This Row],[Ventas google ads]]+TableDailySummary[[#This Row],[Ventas meta ads]]</f>
        <v>0</v>
      </c>
      <c r="AD800" s="14">
        <f>IFERROR(TableDailySummary[[#This Row],[Ventas publicidad]]/TableDailySummary[[#This Row],[Inversión publicidad]],0)</f>
        <v>0</v>
      </c>
      <c r="AE800" s="14">
        <f>IFERROR(TableDailySummary[[#This Row],[Ventas primer cliente]]/TableDailySummary[[#This Row],[Inversión publicidad]],0)</f>
        <v>0</v>
      </c>
      <c r="AF800" s="14"/>
      <c r="AG800" s="11"/>
      <c r="AM800" s="11">
        <f>_xlfn.XLOOKUP(TableDailySummary[[#This Row],[Fecha]],SummaryDaily[day],SummaryDaily[net_sales_with_cost_recorded],0)</f>
        <v>0</v>
      </c>
      <c r="AN800" s="11">
        <f>_xlfn.XLOOKUP(TableDailySummary[[#This Row],[Fecha]],SummaryDaily[day],SummaryDaily[cost_of_goods_sold],0)</f>
        <v>0</v>
      </c>
      <c r="AO800" s="11">
        <f>_xlfn.XLOOKUP(TableDailySummary[[#This Row],[Fecha]],SummaryDaily[day],SummaryDaily[gross_profit],0)</f>
        <v>0</v>
      </c>
      <c r="AP800" s="18">
        <f>IFERROR(TableDailySummary[[#This Row],[Utilidad bruta]]/TableDailySummary[[#This Row],[Ventas netas con costo registrado]],0)</f>
        <v>0</v>
      </c>
    </row>
    <row r="801" spans="2:42" x14ac:dyDescent="0.2">
      <c r="B801" s="15" cm="1">
        <f t="array" ref="B801">ParamFechaInicioReporte + (ROW(TableDailySummary[#This Row]) - ROW(TableDailySummary[[#Headers],[Dia]]) - 1)</f>
        <v>45328</v>
      </c>
      <c r="C801" s="6">
        <f>TableDailySummary[[#This Row],[Dia]]</f>
        <v>45328</v>
      </c>
      <c r="D801" s="11">
        <f>_xlfn.XLOOKUP(TableDailySummary[[#This Row],[Fecha]],SummaryDaily[day],SummaryDaily[net_sales],0)</f>
        <v>0</v>
      </c>
      <c r="E801" s="11">
        <f>_xlfn.XLOOKUP(TableDailySummary[[#This Row],[Fecha]],SummaryDaily[day],SummaryDaily[orders],0)</f>
        <v>0</v>
      </c>
      <c r="F801" s="11">
        <f>_xlfn.XLOOKUP(TableDailySummary[[#This Row],[Fecha]],SummaryDaily[day],SummaryDaily[average_order_value],0)</f>
        <v>0</v>
      </c>
      <c r="G801" s="24" cm="1">
        <f t="array" ref="G801">_xlfn.XLOOKUP(TableDailySummary[[#This Row],[Fecha]]&amp;"Total site",ConversionRateByReferral[day]&amp;ConversionRateByReferral[referrer_source],ConversionRateByReferral[conversion_rate],0)</f>
        <v>0</v>
      </c>
      <c r="H801" s="11">
        <f>TableDailySummary[[#This Row],[Órden promedio totales]]*TableDailySummary[[#This Row],[CR totales]]</f>
        <v>0</v>
      </c>
      <c r="I801" s="11">
        <f>_xlfn.XLOOKUP(TableDailySummary[[#This Row],[Fecha]],SummaryDaily[day],SummaryDaily[new_net_sales],0)</f>
        <v>0</v>
      </c>
      <c r="J801" s="11">
        <f>_xlfn.XLOOKUP(TableDailySummary[[#This Row],[Fecha]],SummaryDaily[day],SummaryDaily[new_orders],0)</f>
        <v>0</v>
      </c>
      <c r="K801" s="11">
        <f>_xlfn.XLOOKUP(TableDailySummary[[#This Row],[Fecha]],SummaryDaily[day],SummaryDaily[new_average_order_value],0)</f>
        <v>0</v>
      </c>
      <c r="L801" s="11">
        <f>_xlfn.XLOOKUP(TableDailySummary[[#This Row],[Fecha]],SummaryDaily[day],SummaryDaily[Online Store_net_sales],0)</f>
        <v>0</v>
      </c>
      <c r="M801" s="11">
        <f>_xlfn.XLOOKUP(TableDailySummary[[#This Row],[Fecha]],SummaryDaily[day],SummaryDaily[Online Store_orders],0)</f>
        <v>0</v>
      </c>
      <c r="N801" s="11">
        <f>_xlfn.XLOOKUP(TableDailySummary[[#This Row],[Fecha]],SummaryDaily[day],SummaryDaily[Online Store_average_order_value],0)</f>
        <v>0</v>
      </c>
      <c r="O801" s="11">
        <f>_xlfn.XLOOKUP(TableDailySummary[[#This Row],[Fecha]],SummaryDaily[day],SummaryDaily[Tienda 81_net_sales],0)</f>
        <v>0</v>
      </c>
      <c r="P801" s="11">
        <f>_xlfn.XLOOKUP(TableDailySummary[[#This Row],[Fecha]],SummaryDaily[day],SummaryDaily[Tienda 81_orders],0)</f>
        <v>0</v>
      </c>
      <c r="Q801" s="11">
        <f>_xlfn.XLOOKUP(TableDailySummary[[#This Row],[Fecha]],SummaryDaily[day],SummaryDaily[Tienda 81_average_order_value],0)</f>
        <v>0</v>
      </c>
      <c r="R801" s="11">
        <f>_xlfn.XLOOKUP(TableDailySummary[[#This Row],[Fecha]],SummaryDaily[day],SummaryDaily[Rappi_net_sales],0)</f>
        <v>0</v>
      </c>
      <c r="S801" s="11">
        <f>_xlfn.XLOOKUP(TableDailySummary[[#This Row],[Fecha]],SummaryDaily[day],SummaryDaily[Rappi_orders],0)</f>
        <v>0</v>
      </c>
      <c r="T801" s="11">
        <f>_xlfn.XLOOKUP(TableDailySummary[[#This Row],[Fecha]],SummaryDaily[day],SummaryDaily[Rappi_average_order_value],0)</f>
        <v>0</v>
      </c>
      <c r="U801" s="11">
        <f>_xlfn.XLOOKUP(TableDailySummary[[#This Row],[Fecha]],SummaryDaily[day],SummaryDaily[Corporativo no tienda_net_sales],0)</f>
        <v>0</v>
      </c>
      <c r="V801" s="11">
        <f>_xlfn.XLOOKUP(TableDailySummary[[#This Row],[Fecha]],SummaryDaily[day],SummaryDaily[Corporativo no tienda_orders],0)</f>
        <v>0</v>
      </c>
      <c r="W801" s="11">
        <f>_xlfn.XLOOKUP(TableDailySummary[[#This Row],[Fecha]],SummaryDaily[day],SummaryDaily[Corporativo no tienda_average_order_value],0)</f>
        <v>0</v>
      </c>
      <c r="X801" s="11">
        <f>_xlfn.XLOOKUP(TableDailySummary[[#This Row],[Fecha]],SummaryDaily[day],SummaryDaily[GoogleAdsOperation.Cost],0)</f>
        <v>0</v>
      </c>
      <c r="Y801" s="11">
        <f>SUMIFS(SalesByUTMDaily[google],SalesByUTMDaily[day],TableDailySummary[[#This Row],[Fecha]])</f>
        <v>0</v>
      </c>
      <c r="Z801" s="11">
        <f>_xlfn.XLOOKUP(TableDailySummary[[#This Row],[Fecha]],SummaryDaily[day],SummaryDaily[MetaAdsOperation.spend],0)</f>
        <v>0</v>
      </c>
      <c r="AA801" s="11">
        <f>SUMIFS(SalesByUTMDaily[facebook],SalesByUTMDaily[day],TableDailySummary[[#This Row],[Fecha]])</f>
        <v>0</v>
      </c>
      <c r="AB801" s="11">
        <f>TableDailySummary[[#This Row],[Inversión google ads]]+TableDailySummary[[#This Row],[Inversión meta ads]]</f>
        <v>0</v>
      </c>
      <c r="AC801" s="11">
        <f>TableDailySummary[[#This Row],[Ventas google ads]]+TableDailySummary[[#This Row],[Ventas meta ads]]</f>
        <v>0</v>
      </c>
      <c r="AD801" s="14">
        <f>IFERROR(TableDailySummary[[#This Row],[Ventas publicidad]]/TableDailySummary[[#This Row],[Inversión publicidad]],0)</f>
        <v>0</v>
      </c>
      <c r="AE801" s="14">
        <f>IFERROR(TableDailySummary[[#This Row],[Ventas primer cliente]]/TableDailySummary[[#This Row],[Inversión publicidad]],0)</f>
        <v>0</v>
      </c>
      <c r="AF801" s="14"/>
      <c r="AG801" s="11"/>
      <c r="AM801" s="11">
        <f>_xlfn.XLOOKUP(TableDailySummary[[#This Row],[Fecha]],SummaryDaily[day],SummaryDaily[net_sales_with_cost_recorded],0)</f>
        <v>0</v>
      </c>
      <c r="AN801" s="11">
        <f>_xlfn.XLOOKUP(TableDailySummary[[#This Row],[Fecha]],SummaryDaily[day],SummaryDaily[cost_of_goods_sold],0)</f>
        <v>0</v>
      </c>
      <c r="AO801" s="11">
        <f>_xlfn.XLOOKUP(TableDailySummary[[#This Row],[Fecha]],SummaryDaily[day],SummaryDaily[gross_profit],0)</f>
        <v>0</v>
      </c>
      <c r="AP801" s="18">
        <f>IFERROR(TableDailySummary[[#This Row],[Utilidad bruta]]/TableDailySummary[[#This Row],[Ventas netas con costo registrado]],0)</f>
        <v>0</v>
      </c>
    </row>
    <row r="802" spans="2:42" x14ac:dyDescent="0.2">
      <c r="B802" s="15" cm="1">
        <f t="array" ref="B802">ParamFechaInicioReporte + (ROW(TableDailySummary[#This Row]) - ROW(TableDailySummary[[#Headers],[Dia]]) - 1)</f>
        <v>45329</v>
      </c>
      <c r="C802" s="6">
        <f>TableDailySummary[[#This Row],[Dia]]</f>
        <v>45329</v>
      </c>
      <c r="D802" s="11">
        <f>_xlfn.XLOOKUP(TableDailySummary[[#This Row],[Fecha]],SummaryDaily[day],SummaryDaily[net_sales],0)</f>
        <v>0</v>
      </c>
      <c r="E802" s="11">
        <f>_xlfn.XLOOKUP(TableDailySummary[[#This Row],[Fecha]],SummaryDaily[day],SummaryDaily[orders],0)</f>
        <v>0</v>
      </c>
      <c r="F802" s="11">
        <f>_xlfn.XLOOKUP(TableDailySummary[[#This Row],[Fecha]],SummaryDaily[day],SummaryDaily[average_order_value],0)</f>
        <v>0</v>
      </c>
      <c r="G802" s="24" cm="1">
        <f t="array" ref="G802">_xlfn.XLOOKUP(TableDailySummary[[#This Row],[Fecha]]&amp;"Total site",ConversionRateByReferral[day]&amp;ConversionRateByReferral[referrer_source],ConversionRateByReferral[conversion_rate],0)</f>
        <v>0</v>
      </c>
      <c r="H802" s="11">
        <f>TableDailySummary[[#This Row],[Órden promedio totales]]*TableDailySummary[[#This Row],[CR totales]]</f>
        <v>0</v>
      </c>
      <c r="I802" s="11">
        <f>_xlfn.XLOOKUP(TableDailySummary[[#This Row],[Fecha]],SummaryDaily[day],SummaryDaily[new_net_sales],0)</f>
        <v>0</v>
      </c>
      <c r="J802" s="11">
        <f>_xlfn.XLOOKUP(TableDailySummary[[#This Row],[Fecha]],SummaryDaily[day],SummaryDaily[new_orders],0)</f>
        <v>0</v>
      </c>
      <c r="K802" s="11">
        <f>_xlfn.XLOOKUP(TableDailySummary[[#This Row],[Fecha]],SummaryDaily[day],SummaryDaily[new_average_order_value],0)</f>
        <v>0</v>
      </c>
      <c r="L802" s="11">
        <f>_xlfn.XLOOKUP(TableDailySummary[[#This Row],[Fecha]],SummaryDaily[day],SummaryDaily[Online Store_net_sales],0)</f>
        <v>0</v>
      </c>
      <c r="M802" s="11">
        <f>_xlfn.XLOOKUP(TableDailySummary[[#This Row],[Fecha]],SummaryDaily[day],SummaryDaily[Online Store_orders],0)</f>
        <v>0</v>
      </c>
      <c r="N802" s="11">
        <f>_xlfn.XLOOKUP(TableDailySummary[[#This Row],[Fecha]],SummaryDaily[day],SummaryDaily[Online Store_average_order_value],0)</f>
        <v>0</v>
      </c>
      <c r="O802" s="11">
        <f>_xlfn.XLOOKUP(TableDailySummary[[#This Row],[Fecha]],SummaryDaily[day],SummaryDaily[Tienda 81_net_sales],0)</f>
        <v>0</v>
      </c>
      <c r="P802" s="11">
        <f>_xlfn.XLOOKUP(TableDailySummary[[#This Row],[Fecha]],SummaryDaily[day],SummaryDaily[Tienda 81_orders],0)</f>
        <v>0</v>
      </c>
      <c r="Q802" s="11">
        <f>_xlfn.XLOOKUP(TableDailySummary[[#This Row],[Fecha]],SummaryDaily[day],SummaryDaily[Tienda 81_average_order_value],0)</f>
        <v>0</v>
      </c>
      <c r="R802" s="11">
        <f>_xlfn.XLOOKUP(TableDailySummary[[#This Row],[Fecha]],SummaryDaily[day],SummaryDaily[Rappi_net_sales],0)</f>
        <v>0</v>
      </c>
      <c r="S802" s="11">
        <f>_xlfn.XLOOKUP(TableDailySummary[[#This Row],[Fecha]],SummaryDaily[day],SummaryDaily[Rappi_orders],0)</f>
        <v>0</v>
      </c>
      <c r="T802" s="11">
        <f>_xlfn.XLOOKUP(TableDailySummary[[#This Row],[Fecha]],SummaryDaily[day],SummaryDaily[Rappi_average_order_value],0)</f>
        <v>0</v>
      </c>
      <c r="U802" s="11">
        <f>_xlfn.XLOOKUP(TableDailySummary[[#This Row],[Fecha]],SummaryDaily[day],SummaryDaily[Corporativo no tienda_net_sales],0)</f>
        <v>0</v>
      </c>
      <c r="V802" s="11">
        <f>_xlfn.XLOOKUP(TableDailySummary[[#This Row],[Fecha]],SummaryDaily[day],SummaryDaily[Corporativo no tienda_orders],0)</f>
        <v>0</v>
      </c>
      <c r="W802" s="11">
        <f>_xlfn.XLOOKUP(TableDailySummary[[#This Row],[Fecha]],SummaryDaily[day],SummaryDaily[Corporativo no tienda_average_order_value],0)</f>
        <v>0</v>
      </c>
      <c r="X802" s="11">
        <f>_xlfn.XLOOKUP(TableDailySummary[[#This Row],[Fecha]],SummaryDaily[day],SummaryDaily[GoogleAdsOperation.Cost],0)</f>
        <v>0</v>
      </c>
      <c r="Y802" s="11">
        <f>SUMIFS(SalesByUTMDaily[google],SalesByUTMDaily[day],TableDailySummary[[#This Row],[Fecha]])</f>
        <v>0</v>
      </c>
      <c r="Z802" s="11">
        <f>_xlfn.XLOOKUP(TableDailySummary[[#This Row],[Fecha]],SummaryDaily[day],SummaryDaily[MetaAdsOperation.spend],0)</f>
        <v>0</v>
      </c>
      <c r="AA802" s="11">
        <f>SUMIFS(SalesByUTMDaily[facebook],SalesByUTMDaily[day],TableDailySummary[[#This Row],[Fecha]])</f>
        <v>0</v>
      </c>
      <c r="AB802" s="11">
        <f>TableDailySummary[[#This Row],[Inversión google ads]]+TableDailySummary[[#This Row],[Inversión meta ads]]</f>
        <v>0</v>
      </c>
      <c r="AC802" s="11">
        <f>TableDailySummary[[#This Row],[Ventas google ads]]+TableDailySummary[[#This Row],[Ventas meta ads]]</f>
        <v>0</v>
      </c>
      <c r="AD802" s="14">
        <f>IFERROR(TableDailySummary[[#This Row],[Ventas publicidad]]/TableDailySummary[[#This Row],[Inversión publicidad]],0)</f>
        <v>0</v>
      </c>
      <c r="AE802" s="14">
        <f>IFERROR(TableDailySummary[[#This Row],[Ventas primer cliente]]/TableDailySummary[[#This Row],[Inversión publicidad]],0)</f>
        <v>0</v>
      </c>
      <c r="AF802" s="14"/>
      <c r="AG802" s="11"/>
      <c r="AM802" s="11">
        <f>_xlfn.XLOOKUP(TableDailySummary[[#This Row],[Fecha]],SummaryDaily[day],SummaryDaily[net_sales_with_cost_recorded],0)</f>
        <v>0</v>
      </c>
      <c r="AN802" s="11">
        <f>_xlfn.XLOOKUP(TableDailySummary[[#This Row],[Fecha]],SummaryDaily[day],SummaryDaily[cost_of_goods_sold],0)</f>
        <v>0</v>
      </c>
      <c r="AO802" s="11">
        <f>_xlfn.XLOOKUP(TableDailySummary[[#This Row],[Fecha]],SummaryDaily[day],SummaryDaily[gross_profit],0)</f>
        <v>0</v>
      </c>
      <c r="AP802" s="18">
        <f>IFERROR(TableDailySummary[[#This Row],[Utilidad bruta]]/TableDailySummary[[#This Row],[Ventas netas con costo registrado]],0)</f>
        <v>0</v>
      </c>
    </row>
    <row r="803" spans="2:42" x14ac:dyDescent="0.2">
      <c r="B803" s="15" cm="1">
        <f t="array" ref="B803">ParamFechaInicioReporte + (ROW(TableDailySummary[#This Row]) - ROW(TableDailySummary[[#Headers],[Dia]]) - 1)</f>
        <v>45330</v>
      </c>
      <c r="C803" s="6">
        <f>TableDailySummary[[#This Row],[Dia]]</f>
        <v>45330</v>
      </c>
      <c r="D803" s="11">
        <f>_xlfn.XLOOKUP(TableDailySummary[[#This Row],[Fecha]],SummaryDaily[day],SummaryDaily[net_sales],0)</f>
        <v>0</v>
      </c>
      <c r="E803" s="11">
        <f>_xlfn.XLOOKUP(TableDailySummary[[#This Row],[Fecha]],SummaryDaily[day],SummaryDaily[orders],0)</f>
        <v>0</v>
      </c>
      <c r="F803" s="11">
        <f>_xlfn.XLOOKUP(TableDailySummary[[#This Row],[Fecha]],SummaryDaily[day],SummaryDaily[average_order_value],0)</f>
        <v>0</v>
      </c>
      <c r="G803" s="24" cm="1">
        <f t="array" ref="G803">_xlfn.XLOOKUP(TableDailySummary[[#This Row],[Fecha]]&amp;"Total site",ConversionRateByReferral[day]&amp;ConversionRateByReferral[referrer_source],ConversionRateByReferral[conversion_rate],0)</f>
        <v>0</v>
      </c>
      <c r="H803" s="11">
        <f>TableDailySummary[[#This Row],[Órden promedio totales]]*TableDailySummary[[#This Row],[CR totales]]</f>
        <v>0</v>
      </c>
      <c r="I803" s="11">
        <f>_xlfn.XLOOKUP(TableDailySummary[[#This Row],[Fecha]],SummaryDaily[day],SummaryDaily[new_net_sales],0)</f>
        <v>0</v>
      </c>
      <c r="J803" s="11">
        <f>_xlfn.XLOOKUP(TableDailySummary[[#This Row],[Fecha]],SummaryDaily[day],SummaryDaily[new_orders],0)</f>
        <v>0</v>
      </c>
      <c r="K803" s="11">
        <f>_xlfn.XLOOKUP(TableDailySummary[[#This Row],[Fecha]],SummaryDaily[day],SummaryDaily[new_average_order_value],0)</f>
        <v>0</v>
      </c>
      <c r="L803" s="11">
        <f>_xlfn.XLOOKUP(TableDailySummary[[#This Row],[Fecha]],SummaryDaily[day],SummaryDaily[Online Store_net_sales],0)</f>
        <v>0</v>
      </c>
      <c r="M803" s="11">
        <f>_xlfn.XLOOKUP(TableDailySummary[[#This Row],[Fecha]],SummaryDaily[day],SummaryDaily[Online Store_orders],0)</f>
        <v>0</v>
      </c>
      <c r="N803" s="11">
        <f>_xlfn.XLOOKUP(TableDailySummary[[#This Row],[Fecha]],SummaryDaily[day],SummaryDaily[Online Store_average_order_value],0)</f>
        <v>0</v>
      </c>
      <c r="O803" s="11">
        <f>_xlfn.XLOOKUP(TableDailySummary[[#This Row],[Fecha]],SummaryDaily[day],SummaryDaily[Tienda 81_net_sales],0)</f>
        <v>0</v>
      </c>
      <c r="P803" s="11">
        <f>_xlfn.XLOOKUP(TableDailySummary[[#This Row],[Fecha]],SummaryDaily[day],SummaryDaily[Tienda 81_orders],0)</f>
        <v>0</v>
      </c>
      <c r="Q803" s="11">
        <f>_xlfn.XLOOKUP(TableDailySummary[[#This Row],[Fecha]],SummaryDaily[day],SummaryDaily[Tienda 81_average_order_value],0)</f>
        <v>0</v>
      </c>
      <c r="R803" s="11">
        <f>_xlfn.XLOOKUP(TableDailySummary[[#This Row],[Fecha]],SummaryDaily[day],SummaryDaily[Rappi_net_sales],0)</f>
        <v>0</v>
      </c>
      <c r="S803" s="11">
        <f>_xlfn.XLOOKUP(TableDailySummary[[#This Row],[Fecha]],SummaryDaily[day],SummaryDaily[Rappi_orders],0)</f>
        <v>0</v>
      </c>
      <c r="T803" s="11">
        <f>_xlfn.XLOOKUP(TableDailySummary[[#This Row],[Fecha]],SummaryDaily[day],SummaryDaily[Rappi_average_order_value],0)</f>
        <v>0</v>
      </c>
      <c r="U803" s="11">
        <f>_xlfn.XLOOKUP(TableDailySummary[[#This Row],[Fecha]],SummaryDaily[day],SummaryDaily[Corporativo no tienda_net_sales],0)</f>
        <v>0</v>
      </c>
      <c r="V803" s="11">
        <f>_xlfn.XLOOKUP(TableDailySummary[[#This Row],[Fecha]],SummaryDaily[day],SummaryDaily[Corporativo no tienda_orders],0)</f>
        <v>0</v>
      </c>
      <c r="W803" s="11">
        <f>_xlfn.XLOOKUP(TableDailySummary[[#This Row],[Fecha]],SummaryDaily[day],SummaryDaily[Corporativo no tienda_average_order_value],0)</f>
        <v>0</v>
      </c>
      <c r="X803" s="11">
        <f>_xlfn.XLOOKUP(TableDailySummary[[#This Row],[Fecha]],SummaryDaily[day],SummaryDaily[GoogleAdsOperation.Cost],0)</f>
        <v>0</v>
      </c>
      <c r="Y803" s="11">
        <f>SUMIFS(SalesByUTMDaily[google],SalesByUTMDaily[day],TableDailySummary[[#This Row],[Fecha]])</f>
        <v>0</v>
      </c>
      <c r="Z803" s="11">
        <f>_xlfn.XLOOKUP(TableDailySummary[[#This Row],[Fecha]],SummaryDaily[day],SummaryDaily[MetaAdsOperation.spend],0)</f>
        <v>0</v>
      </c>
      <c r="AA803" s="11">
        <f>SUMIFS(SalesByUTMDaily[facebook],SalesByUTMDaily[day],TableDailySummary[[#This Row],[Fecha]])</f>
        <v>0</v>
      </c>
      <c r="AB803" s="11">
        <f>TableDailySummary[[#This Row],[Inversión google ads]]+TableDailySummary[[#This Row],[Inversión meta ads]]</f>
        <v>0</v>
      </c>
      <c r="AC803" s="11">
        <f>TableDailySummary[[#This Row],[Ventas google ads]]+TableDailySummary[[#This Row],[Ventas meta ads]]</f>
        <v>0</v>
      </c>
      <c r="AD803" s="14">
        <f>IFERROR(TableDailySummary[[#This Row],[Ventas publicidad]]/TableDailySummary[[#This Row],[Inversión publicidad]],0)</f>
        <v>0</v>
      </c>
      <c r="AE803" s="14">
        <f>IFERROR(TableDailySummary[[#This Row],[Ventas primer cliente]]/TableDailySummary[[#This Row],[Inversión publicidad]],0)</f>
        <v>0</v>
      </c>
      <c r="AF803" s="14"/>
      <c r="AG803" s="11"/>
      <c r="AM803" s="11">
        <f>_xlfn.XLOOKUP(TableDailySummary[[#This Row],[Fecha]],SummaryDaily[day],SummaryDaily[net_sales_with_cost_recorded],0)</f>
        <v>0</v>
      </c>
      <c r="AN803" s="11">
        <f>_xlfn.XLOOKUP(TableDailySummary[[#This Row],[Fecha]],SummaryDaily[day],SummaryDaily[cost_of_goods_sold],0)</f>
        <v>0</v>
      </c>
      <c r="AO803" s="11">
        <f>_xlfn.XLOOKUP(TableDailySummary[[#This Row],[Fecha]],SummaryDaily[day],SummaryDaily[gross_profit],0)</f>
        <v>0</v>
      </c>
      <c r="AP803" s="18">
        <f>IFERROR(TableDailySummary[[#This Row],[Utilidad bruta]]/TableDailySummary[[#This Row],[Ventas netas con costo registrado]],0)</f>
        <v>0</v>
      </c>
    </row>
    <row r="804" spans="2:42" x14ac:dyDescent="0.2">
      <c r="B804" s="15" cm="1">
        <f t="array" ref="B804">ParamFechaInicioReporte + (ROW(TableDailySummary[#This Row]) - ROW(TableDailySummary[[#Headers],[Dia]]) - 1)</f>
        <v>45331</v>
      </c>
      <c r="C804" s="6">
        <f>TableDailySummary[[#This Row],[Dia]]</f>
        <v>45331</v>
      </c>
      <c r="D804" s="11">
        <f>_xlfn.XLOOKUP(TableDailySummary[[#This Row],[Fecha]],SummaryDaily[day],SummaryDaily[net_sales],0)</f>
        <v>0</v>
      </c>
      <c r="E804" s="11">
        <f>_xlfn.XLOOKUP(TableDailySummary[[#This Row],[Fecha]],SummaryDaily[day],SummaryDaily[orders],0)</f>
        <v>0</v>
      </c>
      <c r="F804" s="11">
        <f>_xlfn.XLOOKUP(TableDailySummary[[#This Row],[Fecha]],SummaryDaily[day],SummaryDaily[average_order_value],0)</f>
        <v>0</v>
      </c>
      <c r="G804" s="24" cm="1">
        <f t="array" ref="G804">_xlfn.XLOOKUP(TableDailySummary[[#This Row],[Fecha]]&amp;"Total site",ConversionRateByReferral[day]&amp;ConversionRateByReferral[referrer_source],ConversionRateByReferral[conversion_rate],0)</f>
        <v>0</v>
      </c>
      <c r="H804" s="11">
        <f>TableDailySummary[[#This Row],[Órden promedio totales]]*TableDailySummary[[#This Row],[CR totales]]</f>
        <v>0</v>
      </c>
      <c r="I804" s="11">
        <f>_xlfn.XLOOKUP(TableDailySummary[[#This Row],[Fecha]],SummaryDaily[day],SummaryDaily[new_net_sales],0)</f>
        <v>0</v>
      </c>
      <c r="J804" s="11">
        <f>_xlfn.XLOOKUP(TableDailySummary[[#This Row],[Fecha]],SummaryDaily[day],SummaryDaily[new_orders],0)</f>
        <v>0</v>
      </c>
      <c r="K804" s="11">
        <f>_xlfn.XLOOKUP(TableDailySummary[[#This Row],[Fecha]],SummaryDaily[day],SummaryDaily[new_average_order_value],0)</f>
        <v>0</v>
      </c>
      <c r="L804" s="11">
        <f>_xlfn.XLOOKUP(TableDailySummary[[#This Row],[Fecha]],SummaryDaily[day],SummaryDaily[Online Store_net_sales],0)</f>
        <v>0</v>
      </c>
      <c r="M804" s="11">
        <f>_xlfn.XLOOKUP(TableDailySummary[[#This Row],[Fecha]],SummaryDaily[day],SummaryDaily[Online Store_orders],0)</f>
        <v>0</v>
      </c>
      <c r="N804" s="11">
        <f>_xlfn.XLOOKUP(TableDailySummary[[#This Row],[Fecha]],SummaryDaily[day],SummaryDaily[Online Store_average_order_value],0)</f>
        <v>0</v>
      </c>
      <c r="O804" s="11">
        <f>_xlfn.XLOOKUP(TableDailySummary[[#This Row],[Fecha]],SummaryDaily[day],SummaryDaily[Tienda 81_net_sales],0)</f>
        <v>0</v>
      </c>
      <c r="P804" s="11">
        <f>_xlfn.XLOOKUP(TableDailySummary[[#This Row],[Fecha]],SummaryDaily[day],SummaryDaily[Tienda 81_orders],0)</f>
        <v>0</v>
      </c>
      <c r="Q804" s="11">
        <f>_xlfn.XLOOKUP(TableDailySummary[[#This Row],[Fecha]],SummaryDaily[day],SummaryDaily[Tienda 81_average_order_value],0)</f>
        <v>0</v>
      </c>
      <c r="R804" s="11">
        <f>_xlfn.XLOOKUP(TableDailySummary[[#This Row],[Fecha]],SummaryDaily[day],SummaryDaily[Rappi_net_sales],0)</f>
        <v>0</v>
      </c>
      <c r="S804" s="11">
        <f>_xlfn.XLOOKUP(TableDailySummary[[#This Row],[Fecha]],SummaryDaily[day],SummaryDaily[Rappi_orders],0)</f>
        <v>0</v>
      </c>
      <c r="T804" s="11">
        <f>_xlfn.XLOOKUP(TableDailySummary[[#This Row],[Fecha]],SummaryDaily[day],SummaryDaily[Rappi_average_order_value],0)</f>
        <v>0</v>
      </c>
      <c r="U804" s="11">
        <f>_xlfn.XLOOKUP(TableDailySummary[[#This Row],[Fecha]],SummaryDaily[day],SummaryDaily[Corporativo no tienda_net_sales],0)</f>
        <v>0</v>
      </c>
      <c r="V804" s="11">
        <f>_xlfn.XLOOKUP(TableDailySummary[[#This Row],[Fecha]],SummaryDaily[day],SummaryDaily[Corporativo no tienda_orders],0)</f>
        <v>0</v>
      </c>
      <c r="W804" s="11">
        <f>_xlfn.XLOOKUP(TableDailySummary[[#This Row],[Fecha]],SummaryDaily[day],SummaryDaily[Corporativo no tienda_average_order_value],0)</f>
        <v>0</v>
      </c>
      <c r="X804" s="11">
        <f>_xlfn.XLOOKUP(TableDailySummary[[#This Row],[Fecha]],SummaryDaily[day],SummaryDaily[GoogleAdsOperation.Cost],0)</f>
        <v>0</v>
      </c>
      <c r="Y804" s="11">
        <f>SUMIFS(SalesByUTMDaily[google],SalesByUTMDaily[day],TableDailySummary[[#This Row],[Fecha]])</f>
        <v>0</v>
      </c>
      <c r="Z804" s="11">
        <f>_xlfn.XLOOKUP(TableDailySummary[[#This Row],[Fecha]],SummaryDaily[day],SummaryDaily[MetaAdsOperation.spend],0)</f>
        <v>0</v>
      </c>
      <c r="AA804" s="11">
        <f>SUMIFS(SalesByUTMDaily[facebook],SalesByUTMDaily[day],TableDailySummary[[#This Row],[Fecha]])</f>
        <v>0</v>
      </c>
      <c r="AB804" s="11">
        <f>TableDailySummary[[#This Row],[Inversión google ads]]+TableDailySummary[[#This Row],[Inversión meta ads]]</f>
        <v>0</v>
      </c>
      <c r="AC804" s="11">
        <f>TableDailySummary[[#This Row],[Ventas google ads]]+TableDailySummary[[#This Row],[Ventas meta ads]]</f>
        <v>0</v>
      </c>
      <c r="AD804" s="14">
        <f>IFERROR(TableDailySummary[[#This Row],[Ventas publicidad]]/TableDailySummary[[#This Row],[Inversión publicidad]],0)</f>
        <v>0</v>
      </c>
      <c r="AE804" s="14">
        <f>IFERROR(TableDailySummary[[#This Row],[Ventas primer cliente]]/TableDailySummary[[#This Row],[Inversión publicidad]],0)</f>
        <v>0</v>
      </c>
      <c r="AF804" s="14"/>
      <c r="AG804" s="11"/>
      <c r="AM804" s="11">
        <f>_xlfn.XLOOKUP(TableDailySummary[[#This Row],[Fecha]],SummaryDaily[day],SummaryDaily[net_sales_with_cost_recorded],0)</f>
        <v>0</v>
      </c>
      <c r="AN804" s="11">
        <f>_xlfn.XLOOKUP(TableDailySummary[[#This Row],[Fecha]],SummaryDaily[day],SummaryDaily[cost_of_goods_sold],0)</f>
        <v>0</v>
      </c>
      <c r="AO804" s="11">
        <f>_xlfn.XLOOKUP(TableDailySummary[[#This Row],[Fecha]],SummaryDaily[day],SummaryDaily[gross_profit],0)</f>
        <v>0</v>
      </c>
      <c r="AP804" s="18">
        <f>IFERROR(TableDailySummary[[#This Row],[Utilidad bruta]]/TableDailySummary[[#This Row],[Ventas netas con costo registrado]],0)</f>
        <v>0</v>
      </c>
    </row>
    <row r="805" spans="2:42" x14ac:dyDescent="0.2">
      <c r="B805" s="15" cm="1">
        <f t="array" ref="B805">ParamFechaInicioReporte + (ROW(TableDailySummary[#This Row]) - ROW(TableDailySummary[[#Headers],[Dia]]) - 1)</f>
        <v>45332</v>
      </c>
      <c r="C805" s="6">
        <f>TableDailySummary[[#This Row],[Dia]]</f>
        <v>45332</v>
      </c>
      <c r="D805" s="11">
        <f>_xlfn.XLOOKUP(TableDailySummary[[#This Row],[Fecha]],SummaryDaily[day],SummaryDaily[net_sales],0)</f>
        <v>0</v>
      </c>
      <c r="E805" s="11">
        <f>_xlfn.XLOOKUP(TableDailySummary[[#This Row],[Fecha]],SummaryDaily[day],SummaryDaily[orders],0)</f>
        <v>0</v>
      </c>
      <c r="F805" s="11">
        <f>_xlfn.XLOOKUP(TableDailySummary[[#This Row],[Fecha]],SummaryDaily[day],SummaryDaily[average_order_value],0)</f>
        <v>0</v>
      </c>
      <c r="G805" s="24" cm="1">
        <f t="array" ref="G805">_xlfn.XLOOKUP(TableDailySummary[[#This Row],[Fecha]]&amp;"Total site",ConversionRateByReferral[day]&amp;ConversionRateByReferral[referrer_source],ConversionRateByReferral[conversion_rate],0)</f>
        <v>0</v>
      </c>
      <c r="H805" s="11">
        <f>TableDailySummary[[#This Row],[Órden promedio totales]]*TableDailySummary[[#This Row],[CR totales]]</f>
        <v>0</v>
      </c>
      <c r="I805" s="11">
        <f>_xlfn.XLOOKUP(TableDailySummary[[#This Row],[Fecha]],SummaryDaily[day],SummaryDaily[new_net_sales],0)</f>
        <v>0</v>
      </c>
      <c r="J805" s="11">
        <f>_xlfn.XLOOKUP(TableDailySummary[[#This Row],[Fecha]],SummaryDaily[day],SummaryDaily[new_orders],0)</f>
        <v>0</v>
      </c>
      <c r="K805" s="11">
        <f>_xlfn.XLOOKUP(TableDailySummary[[#This Row],[Fecha]],SummaryDaily[day],SummaryDaily[new_average_order_value],0)</f>
        <v>0</v>
      </c>
      <c r="L805" s="11">
        <f>_xlfn.XLOOKUP(TableDailySummary[[#This Row],[Fecha]],SummaryDaily[day],SummaryDaily[Online Store_net_sales],0)</f>
        <v>0</v>
      </c>
      <c r="M805" s="11">
        <f>_xlfn.XLOOKUP(TableDailySummary[[#This Row],[Fecha]],SummaryDaily[day],SummaryDaily[Online Store_orders],0)</f>
        <v>0</v>
      </c>
      <c r="N805" s="11">
        <f>_xlfn.XLOOKUP(TableDailySummary[[#This Row],[Fecha]],SummaryDaily[day],SummaryDaily[Online Store_average_order_value],0)</f>
        <v>0</v>
      </c>
      <c r="O805" s="11">
        <f>_xlfn.XLOOKUP(TableDailySummary[[#This Row],[Fecha]],SummaryDaily[day],SummaryDaily[Tienda 81_net_sales],0)</f>
        <v>0</v>
      </c>
      <c r="P805" s="11">
        <f>_xlfn.XLOOKUP(TableDailySummary[[#This Row],[Fecha]],SummaryDaily[day],SummaryDaily[Tienda 81_orders],0)</f>
        <v>0</v>
      </c>
      <c r="Q805" s="11">
        <f>_xlfn.XLOOKUP(TableDailySummary[[#This Row],[Fecha]],SummaryDaily[day],SummaryDaily[Tienda 81_average_order_value],0)</f>
        <v>0</v>
      </c>
      <c r="R805" s="11">
        <f>_xlfn.XLOOKUP(TableDailySummary[[#This Row],[Fecha]],SummaryDaily[day],SummaryDaily[Rappi_net_sales],0)</f>
        <v>0</v>
      </c>
      <c r="S805" s="11">
        <f>_xlfn.XLOOKUP(TableDailySummary[[#This Row],[Fecha]],SummaryDaily[day],SummaryDaily[Rappi_orders],0)</f>
        <v>0</v>
      </c>
      <c r="T805" s="11">
        <f>_xlfn.XLOOKUP(TableDailySummary[[#This Row],[Fecha]],SummaryDaily[day],SummaryDaily[Rappi_average_order_value],0)</f>
        <v>0</v>
      </c>
      <c r="U805" s="11">
        <f>_xlfn.XLOOKUP(TableDailySummary[[#This Row],[Fecha]],SummaryDaily[day],SummaryDaily[Corporativo no tienda_net_sales],0)</f>
        <v>0</v>
      </c>
      <c r="V805" s="11">
        <f>_xlfn.XLOOKUP(TableDailySummary[[#This Row],[Fecha]],SummaryDaily[day],SummaryDaily[Corporativo no tienda_orders],0)</f>
        <v>0</v>
      </c>
      <c r="W805" s="11">
        <f>_xlfn.XLOOKUP(TableDailySummary[[#This Row],[Fecha]],SummaryDaily[day],SummaryDaily[Corporativo no tienda_average_order_value],0)</f>
        <v>0</v>
      </c>
      <c r="X805" s="11">
        <f>_xlfn.XLOOKUP(TableDailySummary[[#This Row],[Fecha]],SummaryDaily[day],SummaryDaily[GoogleAdsOperation.Cost],0)</f>
        <v>0</v>
      </c>
      <c r="Y805" s="11">
        <f>SUMIFS(SalesByUTMDaily[google],SalesByUTMDaily[day],TableDailySummary[[#This Row],[Fecha]])</f>
        <v>0</v>
      </c>
      <c r="Z805" s="11">
        <f>_xlfn.XLOOKUP(TableDailySummary[[#This Row],[Fecha]],SummaryDaily[day],SummaryDaily[MetaAdsOperation.spend],0)</f>
        <v>0</v>
      </c>
      <c r="AA805" s="11">
        <f>SUMIFS(SalesByUTMDaily[facebook],SalesByUTMDaily[day],TableDailySummary[[#This Row],[Fecha]])</f>
        <v>0</v>
      </c>
      <c r="AB805" s="11">
        <f>TableDailySummary[[#This Row],[Inversión google ads]]+TableDailySummary[[#This Row],[Inversión meta ads]]</f>
        <v>0</v>
      </c>
      <c r="AC805" s="11">
        <f>TableDailySummary[[#This Row],[Ventas google ads]]+TableDailySummary[[#This Row],[Ventas meta ads]]</f>
        <v>0</v>
      </c>
      <c r="AD805" s="14">
        <f>IFERROR(TableDailySummary[[#This Row],[Ventas publicidad]]/TableDailySummary[[#This Row],[Inversión publicidad]],0)</f>
        <v>0</v>
      </c>
      <c r="AE805" s="14">
        <f>IFERROR(TableDailySummary[[#This Row],[Ventas primer cliente]]/TableDailySummary[[#This Row],[Inversión publicidad]],0)</f>
        <v>0</v>
      </c>
      <c r="AF805" s="14"/>
      <c r="AG805" s="11"/>
      <c r="AM805" s="11">
        <f>_xlfn.XLOOKUP(TableDailySummary[[#This Row],[Fecha]],SummaryDaily[day],SummaryDaily[net_sales_with_cost_recorded],0)</f>
        <v>0</v>
      </c>
      <c r="AN805" s="11">
        <f>_xlfn.XLOOKUP(TableDailySummary[[#This Row],[Fecha]],SummaryDaily[day],SummaryDaily[cost_of_goods_sold],0)</f>
        <v>0</v>
      </c>
      <c r="AO805" s="11">
        <f>_xlfn.XLOOKUP(TableDailySummary[[#This Row],[Fecha]],SummaryDaily[day],SummaryDaily[gross_profit],0)</f>
        <v>0</v>
      </c>
      <c r="AP805" s="18">
        <f>IFERROR(TableDailySummary[[#This Row],[Utilidad bruta]]/TableDailySummary[[#This Row],[Ventas netas con costo registrado]],0)</f>
        <v>0</v>
      </c>
    </row>
    <row r="806" spans="2:42" x14ac:dyDescent="0.2">
      <c r="B806" s="15" cm="1">
        <f t="array" ref="B806">ParamFechaInicioReporte + (ROW(TableDailySummary[#This Row]) - ROW(TableDailySummary[[#Headers],[Dia]]) - 1)</f>
        <v>45333</v>
      </c>
      <c r="C806" s="6">
        <f>TableDailySummary[[#This Row],[Dia]]</f>
        <v>45333</v>
      </c>
      <c r="D806" s="11">
        <f>_xlfn.XLOOKUP(TableDailySummary[[#This Row],[Fecha]],SummaryDaily[day],SummaryDaily[net_sales],0)</f>
        <v>0</v>
      </c>
      <c r="E806" s="11">
        <f>_xlfn.XLOOKUP(TableDailySummary[[#This Row],[Fecha]],SummaryDaily[day],SummaryDaily[orders],0)</f>
        <v>0</v>
      </c>
      <c r="F806" s="11">
        <f>_xlfn.XLOOKUP(TableDailySummary[[#This Row],[Fecha]],SummaryDaily[day],SummaryDaily[average_order_value],0)</f>
        <v>0</v>
      </c>
      <c r="G806" s="24" cm="1">
        <f t="array" ref="G806">_xlfn.XLOOKUP(TableDailySummary[[#This Row],[Fecha]]&amp;"Total site",ConversionRateByReferral[day]&amp;ConversionRateByReferral[referrer_source],ConversionRateByReferral[conversion_rate],0)</f>
        <v>0</v>
      </c>
      <c r="H806" s="11">
        <f>TableDailySummary[[#This Row],[Órden promedio totales]]*TableDailySummary[[#This Row],[CR totales]]</f>
        <v>0</v>
      </c>
      <c r="I806" s="11">
        <f>_xlfn.XLOOKUP(TableDailySummary[[#This Row],[Fecha]],SummaryDaily[day],SummaryDaily[new_net_sales],0)</f>
        <v>0</v>
      </c>
      <c r="J806" s="11">
        <f>_xlfn.XLOOKUP(TableDailySummary[[#This Row],[Fecha]],SummaryDaily[day],SummaryDaily[new_orders],0)</f>
        <v>0</v>
      </c>
      <c r="K806" s="11">
        <f>_xlfn.XLOOKUP(TableDailySummary[[#This Row],[Fecha]],SummaryDaily[day],SummaryDaily[new_average_order_value],0)</f>
        <v>0</v>
      </c>
      <c r="L806" s="11">
        <f>_xlfn.XLOOKUP(TableDailySummary[[#This Row],[Fecha]],SummaryDaily[day],SummaryDaily[Online Store_net_sales],0)</f>
        <v>0</v>
      </c>
      <c r="M806" s="11">
        <f>_xlfn.XLOOKUP(TableDailySummary[[#This Row],[Fecha]],SummaryDaily[day],SummaryDaily[Online Store_orders],0)</f>
        <v>0</v>
      </c>
      <c r="N806" s="11">
        <f>_xlfn.XLOOKUP(TableDailySummary[[#This Row],[Fecha]],SummaryDaily[day],SummaryDaily[Online Store_average_order_value],0)</f>
        <v>0</v>
      </c>
      <c r="O806" s="11">
        <f>_xlfn.XLOOKUP(TableDailySummary[[#This Row],[Fecha]],SummaryDaily[day],SummaryDaily[Tienda 81_net_sales],0)</f>
        <v>0</v>
      </c>
      <c r="P806" s="11">
        <f>_xlfn.XLOOKUP(TableDailySummary[[#This Row],[Fecha]],SummaryDaily[day],SummaryDaily[Tienda 81_orders],0)</f>
        <v>0</v>
      </c>
      <c r="Q806" s="11">
        <f>_xlfn.XLOOKUP(TableDailySummary[[#This Row],[Fecha]],SummaryDaily[day],SummaryDaily[Tienda 81_average_order_value],0)</f>
        <v>0</v>
      </c>
      <c r="R806" s="11">
        <f>_xlfn.XLOOKUP(TableDailySummary[[#This Row],[Fecha]],SummaryDaily[day],SummaryDaily[Rappi_net_sales],0)</f>
        <v>0</v>
      </c>
      <c r="S806" s="11">
        <f>_xlfn.XLOOKUP(TableDailySummary[[#This Row],[Fecha]],SummaryDaily[day],SummaryDaily[Rappi_orders],0)</f>
        <v>0</v>
      </c>
      <c r="T806" s="11">
        <f>_xlfn.XLOOKUP(TableDailySummary[[#This Row],[Fecha]],SummaryDaily[day],SummaryDaily[Rappi_average_order_value],0)</f>
        <v>0</v>
      </c>
      <c r="U806" s="11">
        <f>_xlfn.XLOOKUP(TableDailySummary[[#This Row],[Fecha]],SummaryDaily[day],SummaryDaily[Corporativo no tienda_net_sales],0)</f>
        <v>0</v>
      </c>
      <c r="V806" s="11">
        <f>_xlfn.XLOOKUP(TableDailySummary[[#This Row],[Fecha]],SummaryDaily[day],SummaryDaily[Corporativo no tienda_orders],0)</f>
        <v>0</v>
      </c>
      <c r="W806" s="11">
        <f>_xlfn.XLOOKUP(TableDailySummary[[#This Row],[Fecha]],SummaryDaily[day],SummaryDaily[Corporativo no tienda_average_order_value],0)</f>
        <v>0</v>
      </c>
      <c r="X806" s="11">
        <f>_xlfn.XLOOKUP(TableDailySummary[[#This Row],[Fecha]],SummaryDaily[day],SummaryDaily[GoogleAdsOperation.Cost],0)</f>
        <v>0</v>
      </c>
      <c r="Y806" s="11">
        <f>SUMIFS(SalesByUTMDaily[google],SalesByUTMDaily[day],TableDailySummary[[#This Row],[Fecha]])</f>
        <v>0</v>
      </c>
      <c r="Z806" s="11">
        <f>_xlfn.XLOOKUP(TableDailySummary[[#This Row],[Fecha]],SummaryDaily[day],SummaryDaily[MetaAdsOperation.spend],0)</f>
        <v>0</v>
      </c>
      <c r="AA806" s="11">
        <f>SUMIFS(SalesByUTMDaily[facebook],SalesByUTMDaily[day],TableDailySummary[[#This Row],[Fecha]])</f>
        <v>0</v>
      </c>
      <c r="AB806" s="11">
        <f>TableDailySummary[[#This Row],[Inversión google ads]]+TableDailySummary[[#This Row],[Inversión meta ads]]</f>
        <v>0</v>
      </c>
      <c r="AC806" s="11">
        <f>TableDailySummary[[#This Row],[Ventas google ads]]+TableDailySummary[[#This Row],[Ventas meta ads]]</f>
        <v>0</v>
      </c>
      <c r="AD806" s="14">
        <f>IFERROR(TableDailySummary[[#This Row],[Ventas publicidad]]/TableDailySummary[[#This Row],[Inversión publicidad]],0)</f>
        <v>0</v>
      </c>
      <c r="AE806" s="14">
        <f>IFERROR(TableDailySummary[[#This Row],[Ventas primer cliente]]/TableDailySummary[[#This Row],[Inversión publicidad]],0)</f>
        <v>0</v>
      </c>
      <c r="AF806" s="14"/>
      <c r="AG806" s="11"/>
      <c r="AM806" s="11">
        <f>_xlfn.XLOOKUP(TableDailySummary[[#This Row],[Fecha]],SummaryDaily[day],SummaryDaily[net_sales_with_cost_recorded],0)</f>
        <v>0</v>
      </c>
      <c r="AN806" s="11">
        <f>_xlfn.XLOOKUP(TableDailySummary[[#This Row],[Fecha]],SummaryDaily[day],SummaryDaily[cost_of_goods_sold],0)</f>
        <v>0</v>
      </c>
      <c r="AO806" s="11">
        <f>_xlfn.XLOOKUP(TableDailySummary[[#This Row],[Fecha]],SummaryDaily[day],SummaryDaily[gross_profit],0)</f>
        <v>0</v>
      </c>
      <c r="AP806" s="18">
        <f>IFERROR(TableDailySummary[[#This Row],[Utilidad bruta]]/TableDailySummary[[#This Row],[Ventas netas con costo registrado]],0)</f>
        <v>0</v>
      </c>
    </row>
    <row r="807" spans="2:42" x14ac:dyDescent="0.2">
      <c r="B807" s="15" cm="1">
        <f t="array" ref="B807">ParamFechaInicioReporte + (ROW(TableDailySummary[#This Row]) - ROW(TableDailySummary[[#Headers],[Dia]]) - 1)</f>
        <v>45334</v>
      </c>
      <c r="C807" s="6">
        <f>TableDailySummary[[#This Row],[Dia]]</f>
        <v>45334</v>
      </c>
      <c r="D807" s="11">
        <f>_xlfn.XLOOKUP(TableDailySummary[[#This Row],[Fecha]],SummaryDaily[day],SummaryDaily[net_sales],0)</f>
        <v>0</v>
      </c>
      <c r="E807" s="11">
        <f>_xlfn.XLOOKUP(TableDailySummary[[#This Row],[Fecha]],SummaryDaily[day],SummaryDaily[orders],0)</f>
        <v>0</v>
      </c>
      <c r="F807" s="11">
        <f>_xlfn.XLOOKUP(TableDailySummary[[#This Row],[Fecha]],SummaryDaily[day],SummaryDaily[average_order_value],0)</f>
        <v>0</v>
      </c>
      <c r="G807" s="24" cm="1">
        <f t="array" ref="G807">_xlfn.XLOOKUP(TableDailySummary[[#This Row],[Fecha]]&amp;"Total site",ConversionRateByReferral[day]&amp;ConversionRateByReferral[referrer_source],ConversionRateByReferral[conversion_rate],0)</f>
        <v>0</v>
      </c>
      <c r="H807" s="11">
        <f>TableDailySummary[[#This Row],[Órden promedio totales]]*TableDailySummary[[#This Row],[CR totales]]</f>
        <v>0</v>
      </c>
      <c r="I807" s="11">
        <f>_xlfn.XLOOKUP(TableDailySummary[[#This Row],[Fecha]],SummaryDaily[day],SummaryDaily[new_net_sales],0)</f>
        <v>0</v>
      </c>
      <c r="J807" s="11">
        <f>_xlfn.XLOOKUP(TableDailySummary[[#This Row],[Fecha]],SummaryDaily[day],SummaryDaily[new_orders],0)</f>
        <v>0</v>
      </c>
      <c r="K807" s="11">
        <f>_xlfn.XLOOKUP(TableDailySummary[[#This Row],[Fecha]],SummaryDaily[day],SummaryDaily[new_average_order_value],0)</f>
        <v>0</v>
      </c>
      <c r="L807" s="11">
        <f>_xlfn.XLOOKUP(TableDailySummary[[#This Row],[Fecha]],SummaryDaily[day],SummaryDaily[Online Store_net_sales],0)</f>
        <v>0</v>
      </c>
      <c r="M807" s="11">
        <f>_xlfn.XLOOKUP(TableDailySummary[[#This Row],[Fecha]],SummaryDaily[day],SummaryDaily[Online Store_orders],0)</f>
        <v>0</v>
      </c>
      <c r="N807" s="11">
        <f>_xlfn.XLOOKUP(TableDailySummary[[#This Row],[Fecha]],SummaryDaily[day],SummaryDaily[Online Store_average_order_value],0)</f>
        <v>0</v>
      </c>
      <c r="O807" s="11">
        <f>_xlfn.XLOOKUP(TableDailySummary[[#This Row],[Fecha]],SummaryDaily[day],SummaryDaily[Tienda 81_net_sales],0)</f>
        <v>0</v>
      </c>
      <c r="P807" s="11">
        <f>_xlfn.XLOOKUP(TableDailySummary[[#This Row],[Fecha]],SummaryDaily[day],SummaryDaily[Tienda 81_orders],0)</f>
        <v>0</v>
      </c>
      <c r="Q807" s="11">
        <f>_xlfn.XLOOKUP(TableDailySummary[[#This Row],[Fecha]],SummaryDaily[day],SummaryDaily[Tienda 81_average_order_value],0)</f>
        <v>0</v>
      </c>
      <c r="R807" s="11">
        <f>_xlfn.XLOOKUP(TableDailySummary[[#This Row],[Fecha]],SummaryDaily[day],SummaryDaily[Rappi_net_sales],0)</f>
        <v>0</v>
      </c>
      <c r="S807" s="11">
        <f>_xlfn.XLOOKUP(TableDailySummary[[#This Row],[Fecha]],SummaryDaily[day],SummaryDaily[Rappi_orders],0)</f>
        <v>0</v>
      </c>
      <c r="T807" s="11">
        <f>_xlfn.XLOOKUP(TableDailySummary[[#This Row],[Fecha]],SummaryDaily[day],SummaryDaily[Rappi_average_order_value],0)</f>
        <v>0</v>
      </c>
      <c r="U807" s="11">
        <f>_xlfn.XLOOKUP(TableDailySummary[[#This Row],[Fecha]],SummaryDaily[day],SummaryDaily[Corporativo no tienda_net_sales],0)</f>
        <v>0</v>
      </c>
      <c r="V807" s="11">
        <f>_xlfn.XLOOKUP(TableDailySummary[[#This Row],[Fecha]],SummaryDaily[day],SummaryDaily[Corporativo no tienda_orders],0)</f>
        <v>0</v>
      </c>
      <c r="W807" s="11">
        <f>_xlfn.XLOOKUP(TableDailySummary[[#This Row],[Fecha]],SummaryDaily[day],SummaryDaily[Corporativo no tienda_average_order_value],0)</f>
        <v>0</v>
      </c>
      <c r="X807" s="11">
        <f>_xlfn.XLOOKUP(TableDailySummary[[#This Row],[Fecha]],SummaryDaily[day],SummaryDaily[GoogleAdsOperation.Cost],0)</f>
        <v>0</v>
      </c>
      <c r="Y807" s="11">
        <f>SUMIFS(SalesByUTMDaily[google],SalesByUTMDaily[day],TableDailySummary[[#This Row],[Fecha]])</f>
        <v>0</v>
      </c>
      <c r="Z807" s="11">
        <f>_xlfn.XLOOKUP(TableDailySummary[[#This Row],[Fecha]],SummaryDaily[day],SummaryDaily[MetaAdsOperation.spend],0)</f>
        <v>0</v>
      </c>
      <c r="AA807" s="11">
        <f>SUMIFS(SalesByUTMDaily[facebook],SalesByUTMDaily[day],TableDailySummary[[#This Row],[Fecha]])</f>
        <v>0</v>
      </c>
      <c r="AB807" s="11">
        <f>TableDailySummary[[#This Row],[Inversión google ads]]+TableDailySummary[[#This Row],[Inversión meta ads]]</f>
        <v>0</v>
      </c>
      <c r="AC807" s="11">
        <f>TableDailySummary[[#This Row],[Ventas google ads]]+TableDailySummary[[#This Row],[Ventas meta ads]]</f>
        <v>0</v>
      </c>
      <c r="AD807" s="14">
        <f>IFERROR(TableDailySummary[[#This Row],[Ventas publicidad]]/TableDailySummary[[#This Row],[Inversión publicidad]],0)</f>
        <v>0</v>
      </c>
      <c r="AE807" s="14">
        <f>IFERROR(TableDailySummary[[#This Row],[Ventas primer cliente]]/TableDailySummary[[#This Row],[Inversión publicidad]],0)</f>
        <v>0</v>
      </c>
      <c r="AF807" s="14"/>
      <c r="AG807" s="11"/>
      <c r="AM807" s="11">
        <f>_xlfn.XLOOKUP(TableDailySummary[[#This Row],[Fecha]],SummaryDaily[day],SummaryDaily[net_sales_with_cost_recorded],0)</f>
        <v>0</v>
      </c>
      <c r="AN807" s="11">
        <f>_xlfn.XLOOKUP(TableDailySummary[[#This Row],[Fecha]],SummaryDaily[day],SummaryDaily[cost_of_goods_sold],0)</f>
        <v>0</v>
      </c>
      <c r="AO807" s="11">
        <f>_xlfn.XLOOKUP(TableDailySummary[[#This Row],[Fecha]],SummaryDaily[day],SummaryDaily[gross_profit],0)</f>
        <v>0</v>
      </c>
      <c r="AP807" s="18">
        <f>IFERROR(TableDailySummary[[#This Row],[Utilidad bruta]]/TableDailySummary[[#This Row],[Ventas netas con costo registrado]],0)</f>
        <v>0</v>
      </c>
    </row>
    <row r="808" spans="2:42" x14ac:dyDescent="0.2">
      <c r="B808" s="15" cm="1">
        <f t="array" ref="B808">ParamFechaInicioReporte + (ROW(TableDailySummary[#This Row]) - ROW(TableDailySummary[[#Headers],[Dia]]) - 1)</f>
        <v>45335</v>
      </c>
      <c r="C808" s="6">
        <f>TableDailySummary[[#This Row],[Dia]]</f>
        <v>45335</v>
      </c>
      <c r="D808" s="11">
        <f>_xlfn.XLOOKUP(TableDailySummary[[#This Row],[Fecha]],SummaryDaily[day],SummaryDaily[net_sales],0)</f>
        <v>0</v>
      </c>
      <c r="E808" s="11">
        <f>_xlfn.XLOOKUP(TableDailySummary[[#This Row],[Fecha]],SummaryDaily[day],SummaryDaily[orders],0)</f>
        <v>0</v>
      </c>
      <c r="F808" s="11">
        <f>_xlfn.XLOOKUP(TableDailySummary[[#This Row],[Fecha]],SummaryDaily[day],SummaryDaily[average_order_value],0)</f>
        <v>0</v>
      </c>
      <c r="G808" s="24" cm="1">
        <f t="array" ref="G808">_xlfn.XLOOKUP(TableDailySummary[[#This Row],[Fecha]]&amp;"Total site",ConversionRateByReferral[day]&amp;ConversionRateByReferral[referrer_source],ConversionRateByReferral[conversion_rate],0)</f>
        <v>0</v>
      </c>
      <c r="H808" s="11">
        <f>TableDailySummary[[#This Row],[Órden promedio totales]]*TableDailySummary[[#This Row],[CR totales]]</f>
        <v>0</v>
      </c>
      <c r="I808" s="11">
        <f>_xlfn.XLOOKUP(TableDailySummary[[#This Row],[Fecha]],SummaryDaily[day],SummaryDaily[new_net_sales],0)</f>
        <v>0</v>
      </c>
      <c r="J808" s="11">
        <f>_xlfn.XLOOKUP(TableDailySummary[[#This Row],[Fecha]],SummaryDaily[day],SummaryDaily[new_orders],0)</f>
        <v>0</v>
      </c>
      <c r="K808" s="11">
        <f>_xlfn.XLOOKUP(TableDailySummary[[#This Row],[Fecha]],SummaryDaily[day],SummaryDaily[new_average_order_value],0)</f>
        <v>0</v>
      </c>
      <c r="L808" s="11">
        <f>_xlfn.XLOOKUP(TableDailySummary[[#This Row],[Fecha]],SummaryDaily[day],SummaryDaily[Online Store_net_sales],0)</f>
        <v>0</v>
      </c>
      <c r="M808" s="11">
        <f>_xlfn.XLOOKUP(TableDailySummary[[#This Row],[Fecha]],SummaryDaily[day],SummaryDaily[Online Store_orders],0)</f>
        <v>0</v>
      </c>
      <c r="N808" s="11">
        <f>_xlfn.XLOOKUP(TableDailySummary[[#This Row],[Fecha]],SummaryDaily[day],SummaryDaily[Online Store_average_order_value],0)</f>
        <v>0</v>
      </c>
      <c r="O808" s="11">
        <f>_xlfn.XLOOKUP(TableDailySummary[[#This Row],[Fecha]],SummaryDaily[day],SummaryDaily[Tienda 81_net_sales],0)</f>
        <v>0</v>
      </c>
      <c r="P808" s="11">
        <f>_xlfn.XLOOKUP(TableDailySummary[[#This Row],[Fecha]],SummaryDaily[day],SummaryDaily[Tienda 81_orders],0)</f>
        <v>0</v>
      </c>
      <c r="Q808" s="11">
        <f>_xlfn.XLOOKUP(TableDailySummary[[#This Row],[Fecha]],SummaryDaily[day],SummaryDaily[Tienda 81_average_order_value],0)</f>
        <v>0</v>
      </c>
      <c r="R808" s="11">
        <f>_xlfn.XLOOKUP(TableDailySummary[[#This Row],[Fecha]],SummaryDaily[day],SummaryDaily[Rappi_net_sales],0)</f>
        <v>0</v>
      </c>
      <c r="S808" s="11">
        <f>_xlfn.XLOOKUP(TableDailySummary[[#This Row],[Fecha]],SummaryDaily[day],SummaryDaily[Rappi_orders],0)</f>
        <v>0</v>
      </c>
      <c r="T808" s="11">
        <f>_xlfn.XLOOKUP(TableDailySummary[[#This Row],[Fecha]],SummaryDaily[day],SummaryDaily[Rappi_average_order_value],0)</f>
        <v>0</v>
      </c>
      <c r="U808" s="11">
        <f>_xlfn.XLOOKUP(TableDailySummary[[#This Row],[Fecha]],SummaryDaily[day],SummaryDaily[Corporativo no tienda_net_sales],0)</f>
        <v>0</v>
      </c>
      <c r="V808" s="11">
        <f>_xlfn.XLOOKUP(TableDailySummary[[#This Row],[Fecha]],SummaryDaily[day],SummaryDaily[Corporativo no tienda_orders],0)</f>
        <v>0</v>
      </c>
      <c r="W808" s="11">
        <f>_xlfn.XLOOKUP(TableDailySummary[[#This Row],[Fecha]],SummaryDaily[day],SummaryDaily[Corporativo no tienda_average_order_value],0)</f>
        <v>0</v>
      </c>
      <c r="X808" s="11">
        <f>_xlfn.XLOOKUP(TableDailySummary[[#This Row],[Fecha]],SummaryDaily[day],SummaryDaily[GoogleAdsOperation.Cost],0)</f>
        <v>0</v>
      </c>
      <c r="Y808" s="11">
        <f>SUMIFS(SalesByUTMDaily[google],SalesByUTMDaily[day],TableDailySummary[[#This Row],[Fecha]])</f>
        <v>0</v>
      </c>
      <c r="Z808" s="11">
        <f>_xlfn.XLOOKUP(TableDailySummary[[#This Row],[Fecha]],SummaryDaily[day],SummaryDaily[MetaAdsOperation.spend],0)</f>
        <v>0</v>
      </c>
      <c r="AA808" s="11">
        <f>SUMIFS(SalesByUTMDaily[facebook],SalesByUTMDaily[day],TableDailySummary[[#This Row],[Fecha]])</f>
        <v>0</v>
      </c>
      <c r="AB808" s="11">
        <f>TableDailySummary[[#This Row],[Inversión google ads]]+TableDailySummary[[#This Row],[Inversión meta ads]]</f>
        <v>0</v>
      </c>
      <c r="AC808" s="11">
        <f>TableDailySummary[[#This Row],[Ventas google ads]]+TableDailySummary[[#This Row],[Ventas meta ads]]</f>
        <v>0</v>
      </c>
      <c r="AD808" s="14">
        <f>IFERROR(TableDailySummary[[#This Row],[Ventas publicidad]]/TableDailySummary[[#This Row],[Inversión publicidad]],0)</f>
        <v>0</v>
      </c>
      <c r="AE808" s="14">
        <f>IFERROR(TableDailySummary[[#This Row],[Ventas primer cliente]]/TableDailySummary[[#This Row],[Inversión publicidad]],0)</f>
        <v>0</v>
      </c>
      <c r="AF808" s="14"/>
      <c r="AG808" s="11"/>
      <c r="AM808" s="11">
        <f>_xlfn.XLOOKUP(TableDailySummary[[#This Row],[Fecha]],SummaryDaily[day],SummaryDaily[net_sales_with_cost_recorded],0)</f>
        <v>0</v>
      </c>
      <c r="AN808" s="11">
        <f>_xlfn.XLOOKUP(TableDailySummary[[#This Row],[Fecha]],SummaryDaily[day],SummaryDaily[cost_of_goods_sold],0)</f>
        <v>0</v>
      </c>
      <c r="AO808" s="11">
        <f>_xlfn.XLOOKUP(TableDailySummary[[#This Row],[Fecha]],SummaryDaily[day],SummaryDaily[gross_profit],0)</f>
        <v>0</v>
      </c>
      <c r="AP808" s="18">
        <f>IFERROR(TableDailySummary[[#This Row],[Utilidad bruta]]/TableDailySummary[[#This Row],[Ventas netas con costo registrado]],0)</f>
        <v>0</v>
      </c>
    </row>
    <row r="809" spans="2:42" x14ac:dyDescent="0.2">
      <c r="B809" s="15" cm="1">
        <f t="array" ref="B809">ParamFechaInicioReporte + (ROW(TableDailySummary[#This Row]) - ROW(TableDailySummary[[#Headers],[Dia]]) - 1)</f>
        <v>45336</v>
      </c>
      <c r="C809" s="6">
        <f>TableDailySummary[[#This Row],[Dia]]</f>
        <v>45336</v>
      </c>
      <c r="D809" s="11">
        <f>_xlfn.XLOOKUP(TableDailySummary[[#This Row],[Fecha]],SummaryDaily[day],SummaryDaily[net_sales],0)</f>
        <v>0</v>
      </c>
      <c r="E809" s="11">
        <f>_xlfn.XLOOKUP(TableDailySummary[[#This Row],[Fecha]],SummaryDaily[day],SummaryDaily[orders],0)</f>
        <v>0</v>
      </c>
      <c r="F809" s="11">
        <f>_xlfn.XLOOKUP(TableDailySummary[[#This Row],[Fecha]],SummaryDaily[day],SummaryDaily[average_order_value],0)</f>
        <v>0</v>
      </c>
      <c r="G809" s="24" cm="1">
        <f t="array" ref="G809">_xlfn.XLOOKUP(TableDailySummary[[#This Row],[Fecha]]&amp;"Total site",ConversionRateByReferral[day]&amp;ConversionRateByReferral[referrer_source],ConversionRateByReferral[conversion_rate],0)</f>
        <v>0</v>
      </c>
      <c r="H809" s="11">
        <f>TableDailySummary[[#This Row],[Órden promedio totales]]*TableDailySummary[[#This Row],[CR totales]]</f>
        <v>0</v>
      </c>
      <c r="I809" s="11">
        <f>_xlfn.XLOOKUP(TableDailySummary[[#This Row],[Fecha]],SummaryDaily[day],SummaryDaily[new_net_sales],0)</f>
        <v>0</v>
      </c>
      <c r="J809" s="11">
        <f>_xlfn.XLOOKUP(TableDailySummary[[#This Row],[Fecha]],SummaryDaily[day],SummaryDaily[new_orders],0)</f>
        <v>0</v>
      </c>
      <c r="K809" s="11">
        <f>_xlfn.XLOOKUP(TableDailySummary[[#This Row],[Fecha]],SummaryDaily[day],SummaryDaily[new_average_order_value],0)</f>
        <v>0</v>
      </c>
      <c r="L809" s="11">
        <f>_xlfn.XLOOKUP(TableDailySummary[[#This Row],[Fecha]],SummaryDaily[day],SummaryDaily[Online Store_net_sales],0)</f>
        <v>0</v>
      </c>
      <c r="M809" s="11">
        <f>_xlfn.XLOOKUP(TableDailySummary[[#This Row],[Fecha]],SummaryDaily[day],SummaryDaily[Online Store_orders],0)</f>
        <v>0</v>
      </c>
      <c r="N809" s="11">
        <f>_xlfn.XLOOKUP(TableDailySummary[[#This Row],[Fecha]],SummaryDaily[day],SummaryDaily[Online Store_average_order_value],0)</f>
        <v>0</v>
      </c>
      <c r="O809" s="11">
        <f>_xlfn.XLOOKUP(TableDailySummary[[#This Row],[Fecha]],SummaryDaily[day],SummaryDaily[Tienda 81_net_sales],0)</f>
        <v>0</v>
      </c>
      <c r="P809" s="11">
        <f>_xlfn.XLOOKUP(TableDailySummary[[#This Row],[Fecha]],SummaryDaily[day],SummaryDaily[Tienda 81_orders],0)</f>
        <v>0</v>
      </c>
      <c r="Q809" s="11">
        <f>_xlfn.XLOOKUP(TableDailySummary[[#This Row],[Fecha]],SummaryDaily[day],SummaryDaily[Tienda 81_average_order_value],0)</f>
        <v>0</v>
      </c>
      <c r="R809" s="11">
        <f>_xlfn.XLOOKUP(TableDailySummary[[#This Row],[Fecha]],SummaryDaily[day],SummaryDaily[Rappi_net_sales],0)</f>
        <v>0</v>
      </c>
      <c r="S809" s="11">
        <f>_xlfn.XLOOKUP(TableDailySummary[[#This Row],[Fecha]],SummaryDaily[day],SummaryDaily[Rappi_orders],0)</f>
        <v>0</v>
      </c>
      <c r="T809" s="11">
        <f>_xlfn.XLOOKUP(TableDailySummary[[#This Row],[Fecha]],SummaryDaily[day],SummaryDaily[Rappi_average_order_value],0)</f>
        <v>0</v>
      </c>
      <c r="U809" s="11">
        <f>_xlfn.XLOOKUP(TableDailySummary[[#This Row],[Fecha]],SummaryDaily[day],SummaryDaily[Corporativo no tienda_net_sales],0)</f>
        <v>0</v>
      </c>
      <c r="V809" s="11">
        <f>_xlfn.XLOOKUP(TableDailySummary[[#This Row],[Fecha]],SummaryDaily[day],SummaryDaily[Corporativo no tienda_orders],0)</f>
        <v>0</v>
      </c>
      <c r="W809" s="11">
        <f>_xlfn.XLOOKUP(TableDailySummary[[#This Row],[Fecha]],SummaryDaily[day],SummaryDaily[Corporativo no tienda_average_order_value],0)</f>
        <v>0</v>
      </c>
      <c r="X809" s="11">
        <f>_xlfn.XLOOKUP(TableDailySummary[[#This Row],[Fecha]],SummaryDaily[day],SummaryDaily[GoogleAdsOperation.Cost],0)</f>
        <v>0</v>
      </c>
      <c r="Y809" s="11">
        <f>SUMIFS(SalesByUTMDaily[google],SalesByUTMDaily[day],TableDailySummary[[#This Row],[Fecha]])</f>
        <v>0</v>
      </c>
      <c r="Z809" s="11">
        <f>_xlfn.XLOOKUP(TableDailySummary[[#This Row],[Fecha]],SummaryDaily[day],SummaryDaily[MetaAdsOperation.spend],0)</f>
        <v>0</v>
      </c>
      <c r="AA809" s="11">
        <f>SUMIFS(SalesByUTMDaily[facebook],SalesByUTMDaily[day],TableDailySummary[[#This Row],[Fecha]])</f>
        <v>0</v>
      </c>
      <c r="AB809" s="11">
        <f>TableDailySummary[[#This Row],[Inversión google ads]]+TableDailySummary[[#This Row],[Inversión meta ads]]</f>
        <v>0</v>
      </c>
      <c r="AC809" s="11">
        <f>TableDailySummary[[#This Row],[Ventas google ads]]+TableDailySummary[[#This Row],[Ventas meta ads]]</f>
        <v>0</v>
      </c>
      <c r="AD809" s="14">
        <f>IFERROR(TableDailySummary[[#This Row],[Ventas publicidad]]/TableDailySummary[[#This Row],[Inversión publicidad]],0)</f>
        <v>0</v>
      </c>
      <c r="AE809" s="14">
        <f>IFERROR(TableDailySummary[[#This Row],[Ventas primer cliente]]/TableDailySummary[[#This Row],[Inversión publicidad]],0)</f>
        <v>0</v>
      </c>
      <c r="AF809" s="14"/>
      <c r="AG809" s="11"/>
      <c r="AM809" s="11">
        <f>_xlfn.XLOOKUP(TableDailySummary[[#This Row],[Fecha]],SummaryDaily[day],SummaryDaily[net_sales_with_cost_recorded],0)</f>
        <v>0</v>
      </c>
      <c r="AN809" s="11">
        <f>_xlfn.XLOOKUP(TableDailySummary[[#This Row],[Fecha]],SummaryDaily[day],SummaryDaily[cost_of_goods_sold],0)</f>
        <v>0</v>
      </c>
      <c r="AO809" s="11">
        <f>_xlfn.XLOOKUP(TableDailySummary[[#This Row],[Fecha]],SummaryDaily[day],SummaryDaily[gross_profit],0)</f>
        <v>0</v>
      </c>
      <c r="AP809" s="18">
        <f>IFERROR(TableDailySummary[[#This Row],[Utilidad bruta]]/TableDailySummary[[#This Row],[Ventas netas con costo registrado]],0)</f>
        <v>0</v>
      </c>
    </row>
    <row r="810" spans="2:42" x14ac:dyDescent="0.2">
      <c r="B810" s="15" cm="1">
        <f t="array" ref="B810">ParamFechaInicioReporte + (ROW(TableDailySummary[#This Row]) - ROW(TableDailySummary[[#Headers],[Dia]]) - 1)</f>
        <v>45337</v>
      </c>
      <c r="C810" s="6">
        <f>TableDailySummary[[#This Row],[Dia]]</f>
        <v>45337</v>
      </c>
      <c r="D810" s="11">
        <f>_xlfn.XLOOKUP(TableDailySummary[[#This Row],[Fecha]],SummaryDaily[day],SummaryDaily[net_sales],0)</f>
        <v>0</v>
      </c>
      <c r="E810" s="11">
        <f>_xlfn.XLOOKUP(TableDailySummary[[#This Row],[Fecha]],SummaryDaily[day],SummaryDaily[orders],0)</f>
        <v>0</v>
      </c>
      <c r="F810" s="11">
        <f>_xlfn.XLOOKUP(TableDailySummary[[#This Row],[Fecha]],SummaryDaily[day],SummaryDaily[average_order_value],0)</f>
        <v>0</v>
      </c>
      <c r="G810" s="24" cm="1">
        <f t="array" ref="G810">_xlfn.XLOOKUP(TableDailySummary[[#This Row],[Fecha]]&amp;"Total site",ConversionRateByReferral[day]&amp;ConversionRateByReferral[referrer_source],ConversionRateByReferral[conversion_rate],0)</f>
        <v>0</v>
      </c>
      <c r="H810" s="11">
        <f>TableDailySummary[[#This Row],[Órden promedio totales]]*TableDailySummary[[#This Row],[CR totales]]</f>
        <v>0</v>
      </c>
      <c r="I810" s="11">
        <f>_xlfn.XLOOKUP(TableDailySummary[[#This Row],[Fecha]],SummaryDaily[day],SummaryDaily[new_net_sales],0)</f>
        <v>0</v>
      </c>
      <c r="J810" s="11">
        <f>_xlfn.XLOOKUP(TableDailySummary[[#This Row],[Fecha]],SummaryDaily[day],SummaryDaily[new_orders],0)</f>
        <v>0</v>
      </c>
      <c r="K810" s="11">
        <f>_xlfn.XLOOKUP(TableDailySummary[[#This Row],[Fecha]],SummaryDaily[day],SummaryDaily[new_average_order_value],0)</f>
        <v>0</v>
      </c>
      <c r="L810" s="11">
        <f>_xlfn.XLOOKUP(TableDailySummary[[#This Row],[Fecha]],SummaryDaily[day],SummaryDaily[Online Store_net_sales],0)</f>
        <v>0</v>
      </c>
      <c r="M810" s="11">
        <f>_xlfn.XLOOKUP(TableDailySummary[[#This Row],[Fecha]],SummaryDaily[day],SummaryDaily[Online Store_orders],0)</f>
        <v>0</v>
      </c>
      <c r="N810" s="11">
        <f>_xlfn.XLOOKUP(TableDailySummary[[#This Row],[Fecha]],SummaryDaily[day],SummaryDaily[Online Store_average_order_value],0)</f>
        <v>0</v>
      </c>
      <c r="O810" s="11">
        <f>_xlfn.XLOOKUP(TableDailySummary[[#This Row],[Fecha]],SummaryDaily[day],SummaryDaily[Tienda 81_net_sales],0)</f>
        <v>0</v>
      </c>
      <c r="P810" s="11">
        <f>_xlfn.XLOOKUP(TableDailySummary[[#This Row],[Fecha]],SummaryDaily[day],SummaryDaily[Tienda 81_orders],0)</f>
        <v>0</v>
      </c>
      <c r="Q810" s="11">
        <f>_xlfn.XLOOKUP(TableDailySummary[[#This Row],[Fecha]],SummaryDaily[day],SummaryDaily[Tienda 81_average_order_value],0)</f>
        <v>0</v>
      </c>
      <c r="R810" s="11">
        <f>_xlfn.XLOOKUP(TableDailySummary[[#This Row],[Fecha]],SummaryDaily[day],SummaryDaily[Rappi_net_sales],0)</f>
        <v>0</v>
      </c>
      <c r="S810" s="11">
        <f>_xlfn.XLOOKUP(TableDailySummary[[#This Row],[Fecha]],SummaryDaily[day],SummaryDaily[Rappi_orders],0)</f>
        <v>0</v>
      </c>
      <c r="T810" s="11">
        <f>_xlfn.XLOOKUP(TableDailySummary[[#This Row],[Fecha]],SummaryDaily[day],SummaryDaily[Rappi_average_order_value],0)</f>
        <v>0</v>
      </c>
      <c r="U810" s="11">
        <f>_xlfn.XLOOKUP(TableDailySummary[[#This Row],[Fecha]],SummaryDaily[day],SummaryDaily[Corporativo no tienda_net_sales],0)</f>
        <v>0</v>
      </c>
      <c r="V810" s="11">
        <f>_xlfn.XLOOKUP(TableDailySummary[[#This Row],[Fecha]],SummaryDaily[day],SummaryDaily[Corporativo no tienda_orders],0)</f>
        <v>0</v>
      </c>
      <c r="W810" s="11">
        <f>_xlfn.XLOOKUP(TableDailySummary[[#This Row],[Fecha]],SummaryDaily[day],SummaryDaily[Corporativo no tienda_average_order_value],0)</f>
        <v>0</v>
      </c>
      <c r="X810" s="11">
        <f>_xlfn.XLOOKUP(TableDailySummary[[#This Row],[Fecha]],SummaryDaily[day],SummaryDaily[GoogleAdsOperation.Cost],0)</f>
        <v>0</v>
      </c>
      <c r="Y810" s="11">
        <f>SUMIFS(SalesByUTMDaily[google],SalesByUTMDaily[day],TableDailySummary[[#This Row],[Fecha]])</f>
        <v>0</v>
      </c>
      <c r="Z810" s="11">
        <f>_xlfn.XLOOKUP(TableDailySummary[[#This Row],[Fecha]],SummaryDaily[day],SummaryDaily[MetaAdsOperation.spend],0)</f>
        <v>0</v>
      </c>
      <c r="AA810" s="11">
        <f>SUMIFS(SalesByUTMDaily[facebook],SalesByUTMDaily[day],TableDailySummary[[#This Row],[Fecha]])</f>
        <v>0</v>
      </c>
      <c r="AB810" s="11">
        <f>TableDailySummary[[#This Row],[Inversión google ads]]+TableDailySummary[[#This Row],[Inversión meta ads]]</f>
        <v>0</v>
      </c>
      <c r="AC810" s="11">
        <f>TableDailySummary[[#This Row],[Ventas google ads]]+TableDailySummary[[#This Row],[Ventas meta ads]]</f>
        <v>0</v>
      </c>
      <c r="AD810" s="14">
        <f>IFERROR(TableDailySummary[[#This Row],[Ventas publicidad]]/TableDailySummary[[#This Row],[Inversión publicidad]],0)</f>
        <v>0</v>
      </c>
      <c r="AE810" s="14">
        <f>IFERROR(TableDailySummary[[#This Row],[Ventas primer cliente]]/TableDailySummary[[#This Row],[Inversión publicidad]],0)</f>
        <v>0</v>
      </c>
      <c r="AF810" s="14"/>
      <c r="AG810" s="11"/>
      <c r="AM810" s="11">
        <f>_xlfn.XLOOKUP(TableDailySummary[[#This Row],[Fecha]],SummaryDaily[day],SummaryDaily[net_sales_with_cost_recorded],0)</f>
        <v>0</v>
      </c>
      <c r="AN810" s="11">
        <f>_xlfn.XLOOKUP(TableDailySummary[[#This Row],[Fecha]],SummaryDaily[day],SummaryDaily[cost_of_goods_sold],0)</f>
        <v>0</v>
      </c>
      <c r="AO810" s="11">
        <f>_xlfn.XLOOKUP(TableDailySummary[[#This Row],[Fecha]],SummaryDaily[day],SummaryDaily[gross_profit],0)</f>
        <v>0</v>
      </c>
      <c r="AP810" s="18">
        <f>IFERROR(TableDailySummary[[#This Row],[Utilidad bruta]]/TableDailySummary[[#This Row],[Ventas netas con costo registrado]],0)</f>
        <v>0</v>
      </c>
    </row>
    <row r="811" spans="2:42" x14ac:dyDescent="0.2">
      <c r="B811" s="15" cm="1">
        <f t="array" ref="B811">ParamFechaInicioReporte + (ROW(TableDailySummary[#This Row]) - ROW(TableDailySummary[[#Headers],[Dia]]) - 1)</f>
        <v>45338</v>
      </c>
      <c r="C811" s="6">
        <f>TableDailySummary[[#This Row],[Dia]]</f>
        <v>45338</v>
      </c>
      <c r="D811" s="11">
        <f>_xlfn.XLOOKUP(TableDailySummary[[#This Row],[Fecha]],SummaryDaily[day],SummaryDaily[net_sales],0)</f>
        <v>0</v>
      </c>
      <c r="E811" s="11">
        <f>_xlfn.XLOOKUP(TableDailySummary[[#This Row],[Fecha]],SummaryDaily[day],SummaryDaily[orders],0)</f>
        <v>0</v>
      </c>
      <c r="F811" s="11">
        <f>_xlfn.XLOOKUP(TableDailySummary[[#This Row],[Fecha]],SummaryDaily[day],SummaryDaily[average_order_value],0)</f>
        <v>0</v>
      </c>
      <c r="G811" s="24" cm="1">
        <f t="array" ref="G811">_xlfn.XLOOKUP(TableDailySummary[[#This Row],[Fecha]]&amp;"Total site",ConversionRateByReferral[day]&amp;ConversionRateByReferral[referrer_source],ConversionRateByReferral[conversion_rate],0)</f>
        <v>0</v>
      </c>
      <c r="H811" s="11">
        <f>TableDailySummary[[#This Row],[Órden promedio totales]]*TableDailySummary[[#This Row],[CR totales]]</f>
        <v>0</v>
      </c>
      <c r="I811" s="11">
        <f>_xlfn.XLOOKUP(TableDailySummary[[#This Row],[Fecha]],SummaryDaily[day],SummaryDaily[new_net_sales],0)</f>
        <v>0</v>
      </c>
      <c r="J811" s="11">
        <f>_xlfn.XLOOKUP(TableDailySummary[[#This Row],[Fecha]],SummaryDaily[day],SummaryDaily[new_orders],0)</f>
        <v>0</v>
      </c>
      <c r="K811" s="11">
        <f>_xlfn.XLOOKUP(TableDailySummary[[#This Row],[Fecha]],SummaryDaily[day],SummaryDaily[new_average_order_value],0)</f>
        <v>0</v>
      </c>
      <c r="L811" s="11">
        <f>_xlfn.XLOOKUP(TableDailySummary[[#This Row],[Fecha]],SummaryDaily[day],SummaryDaily[Online Store_net_sales],0)</f>
        <v>0</v>
      </c>
      <c r="M811" s="11">
        <f>_xlfn.XLOOKUP(TableDailySummary[[#This Row],[Fecha]],SummaryDaily[day],SummaryDaily[Online Store_orders],0)</f>
        <v>0</v>
      </c>
      <c r="N811" s="11">
        <f>_xlfn.XLOOKUP(TableDailySummary[[#This Row],[Fecha]],SummaryDaily[day],SummaryDaily[Online Store_average_order_value],0)</f>
        <v>0</v>
      </c>
      <c r="O811" s="11">
        <f>_xlfn.XLOOKUP(TableDailySummary[[#This Row],[Fecha]],SummaryDaily[day],SummaryDaily[Tienda 81_net_sales],0)</f>
        <v>0</v>
      </c>
      <c r="P811" s="11">
        <f>_xlfn.XLOOKUP(TableDailySummary[[#This Row],[Fecha]],SummaryDaily[day],SummaryDaily[Tienda 81_orders],0)</f>
        <v>0</v>
      </c>
      <c r="Q811" s="11">
        <f>_xlfn.XLOOKUP(TableDailySummary[[#This Row],[Fecha]],SummaryDaily[day],SummaryDaily[Tienda 81_average_order_value],0)</f>
        <v>0</v>
      </c>
      <c r="R811" s="11">
        <f>_xlfn.XLOOKUP(TableDailySummary[[#This Row],[Fecha]],SummaryDaily[day],SummaryDaily[Rappi_net_sales],0)</f>
        <v>0</v>
      </c>
      <c r="S811" s="11">
        <f>_xlfn.XLOOKUP(TableDailySummary[[#This Row],[Fecha]],SummaryDaily[day],SummaryDaily[Rappi_orders],0)</f>
        <v>0</v>
      </c>
      <c r="T811" s="11">
        <f>_xlfn.XLOOKUP(TableDailySummary[[#This Row],[Fecha]],SummaryDaily[day],SummaryDaily[Rappi_average_order_value],0)</f>
        <v>0</v>
      </c>
      <c r="U811" s="11">
        <f>_xlfn.XLOOKUP(TableDailySummary[[#This Row],[Fecha]],SummaryDaily[day],SummaryDaily[Corporativo no tienda_net_sales],0)</f>
        <v>0</v>
      </c>
      <c r="V811" s="11">
        <f>_xlfn.XLOOKUP(TableDailySummary[[#This Row],[Fecha]],SummaryDaily[day],SummaryDaily[Corporativo no tienda_orders],0)</f>
        <v>0</v>
      </c>
      <c r="W811" s="11">
        <f>_xlfn.XLOOKUP(TableDailySummary[[#This Row],[Fecha]],SummaryDaily[day],SummaryDaily[Corporativo no tienda_average_order_value],0)</f>
        <v>0</v>
      </c>
      <c r="X811" s="11">
        <f>_xlfn.XLOOKUP(TableDailySummary[[#This Row],[Fecha]],SummaryDaily[day],SummaryDaily[GoogleAdsOperation.Cost],0)</f>
        <v>0</v>
      </c>
      <c r="Y811" s="11">
        <f>SUMIFS(SalesByUTMDaily[google],SalesByUTMDaily[day],TableDailySummary[[#This Row],[Fecha]])</f>
        <v>0</v>
      </c>
      <c r="Z811" s="11">
        <f>_xlfn.XLOOKUP(TableDailySummary[[#This Row],[Fecha]],SummaryDaily[day],SummaryDaily[MetaAdsOperation.spend],0)</f>
        <v>0</v>
      </c>
      <c r="AA811" s="11">
        <f>SUMIFS(SalesByUTMDaily[facebook],SalesByUTMDaily[day],TableDailySummary[[#This Row],[Fecha]])</f>
        <v>0</v>
      </c>
      <c r="AB811" s="11">
        <f>TableDailySummary[[#This Row],[Inversión google ads]]+TableDailySummary[[#This Row],[Inversión meta ads]]</f>
        <v>0</v>
      </c>
      <c r="AC811" s="11">
        <f>TableDailySummary[[#This Row],[Ventas google ads]]+TableDailySummary[[#This Row],[Ventas meta ads]]</f>
        <v>0</v>
      </c>
      <c r="AD811" s="14">
        <f>IFERROR(TableDailySummary[[#This Row],[Ventas publicidad]]/TableDailySummary[[#This Row],[Inversión publicidad]],0)</f>
        <v>0</v>
      </c>
      <c r="AE811" s="14">
        <f>IFERROR(TableDailySummary[[#This Row],[Ventas primer cliente]]/TableDailySummary[[#This Row],[Inversión publicidad]],0)</f>
        <v>0</v>
      </c>
      <c r="AF811" s="14"/>
      <c r="AG811" s="11"/>
      <c r="AM811" s="11">
        <f>_xlfn.XLOOKUP(TableDailySummary[[#This Row],[Fecha]],SummaryDaily[day],SummaryDaily[net_sales_with_cost_recorded],0)</f>
        <v>0</v>
      </c>
      <c r="AN811" s="11">
        <f>_xlfn.XLOOKUP(TableDailySummary[[#This Row],[Fecha]],SummaryDaily[day],SummaryDaily[cost_of_goods_sold],0)</f>
        <v>0</v>
      </c>
      <c r="AO811" s="11">
        <f>_xlfn.XLOOKUP(TableDailySummary[[#This Row],[Fecha]],SummaryDaily[day],SummaryDaily[gross_profit],0)</f>
        <v>0</v>
      </c>
      <c r="AP811" s="18">
        <f>IFERROR(TableDailySummary[[#This Row],[Utilidad bruta]]/TableDailySummary[[#This Row],[Ventas netas con costo registrado]],0)</f>
        <v>0</v>
      </c>
    </row>
    <row r="812" spans="2:42" x14ac:dyDescent="0.2">
      <c r="B812" s="15" cm="1">
        <f t="array" ref="B812">ParamFechaInicioReporte + (ROW(TableDailySummary[#This Row]) - ROW(TableDailySummary[[#Headers],[Dia]]) - 1)</f>
        <v>45339</v>
      </c>
      <c r="C812" s="6">
        <f>TableDailySummary[[#This Row],[Dia]]</f>
        <v>45339</v>
      </c>
      <c r="D812" s="11">
        <f>_xlfn.XLOOKUP(TableDailySummary[[#This Row],[Fecha]],SummaryDaily[day],SummaryDaily[net_sales],0)</f>
        <v>0</v>
      </c>
      <c r="E812" s="11">
        <f>_xlfn.XLOOKUP(TableDailySummary[[#This Row],[Fecha]],SummaryDaily[day],SummaryDaily[orders],0)</f>
        <v>0</v>
      </c>
      <c r="F812" s="11">
        <f>_xlfn.XLOOKUP(TableDailySummary[[#This Row],[Fecha]],SummaryDaily[day],SummaryDaily[average_order_value],0)</f>
        <v>0</v>
      </c>
      <c r="G812" s="24" cm="1">
        <f t="array" ref="G812">_xlfn.XLOOKUP(TableDailySummary[[#This Row],[Fecha]]&amp;"Total site",ConversionRateByReferral[day]&amp;ConversionRateByReferral[referrer_source],ConversionRateByReferral[conversion_rate],0)</f>
        <v>0</v>
      </c>
      <c r="H812" s="11">
        <f>TableDailySummary[[#This Row],[Órden promedio totales]]*TableDailySummary[[#This Row],[CR totales]]</f>
        <v>0</v>
      </c>
      <c r="I812" s="11">
        <f>_xlfn.XLOOKUP(TableDailySummary[[#This Row],[Fecha]],SummaryDaily[day],SummaryDaily[new_net_sales],0)</f>
        <v>0</v>
      </c>
      <c r="J812" s="11">
        <f>_xlfn.XLOOKUP(TableDailySummary[[#This Row],[Fecha]],SummaryDaily[day],SummaryDaily[new_orders],0)</f>
        <v>0</v>
      </c>
      <c r="K812" s="11">
        <f>_xlfn.XLOOKUP(TableDailySummary[[#This Row],[Fecha]],SummaryDaily[day],SummaryDaily[new_average_order_value],0)</f>
        <v>0</v>
      </c>
      <c r="L812" s="11">
        <f>_xlfn.XLOOKUP(TableDailySummary[[#This Row],[Fecha]],SummaryDaily[day],SummaryDaily[Online Store_net_sales],0)</f>
        <v>0</v>
      </c>
      <c r="M812" s="11">
        <f>_xlfn.XLOOKUP(TableDailySummary[[#This Row],[Fecha]],SummaryDaily[day],SummaryDaily[Online Store_orders],0)</f>
        <v>0</v>
      </c>
      <c r="N812" s="11">
        <f>_xlfn.XLOOKUP(TableDailySummary[[#This Row],[Fecha]],SummaryDaily[day],SummaryDaily[Online Store_average_order_value],0)</f>
        <v>0</v>
      </c>
      <c r="O812" s="11">
        <f>_xlfn.XLOOKUP(TableDailySummary[[#This Row],[Fecha]],SummaryDaily[day],SummaryDaily[Tienda 81_net_sales],0)</f>
        <v>0</v>
      </c>
      <c r="P812" s="11">
        <f>_xlfn.XLOOKUP(TableDailySummary[[#This Row],[Fecha]],SummaryDaily[day],SummaryDaily[Tienda 81_orders],0)</f>
        <v>0</v>
      </c>
      <c r="Q812" s="11">
        <f>_xlfn.XLOOKUP(TableDailySummary[[#This Row],[Fecha]],SummaryDaily[day],SummaryDaily[Tienda 81_average_order_value],0)</f>
        <v>0</v>
      </c>
      <c r="R812" s="11">
        <f>_xlfn.XLOOKUP(TableDailySummary[[#This Row],[Fecha]],SummaryDaily[day],SummaryDaily[Rappi_net_sales],0)</f>
        <v>0</v>
      </c>
      <c r="S812" s="11">
        <f>_xlfn.XLOOKUP(TableDailySummary[[#This Row],[Fecha]],SummaryDaily[day],SummaryDaily[Rappi_orders],0)</f>
        <v>0</v>
      </c>
      <c r="T812" s="11">
        <f>_xlfn.XLOOKUP(TableDailySummary[[#This Row],[Fecha]],SummaryDaily[day],SummaryDaily[Rappi_average_order_value],0)</f>
        <v>0</v>
      </c>
      <c r="U812" s="11">
        <f>_xlfn.XLOOKUP(TableDailySummary[[#This Row],[Fecha]],SummaryDaily[day],SummaryDaily[Corporativo no tienda_net_sales],0)</f>
        <v>0</v>
      </c>
      <c r="V812" s="11">
        <f>_xlfn.XLOOKUP(TableDailySummary[[#This Row],[Fecha]],SummaryDaily[day],SummaryDaily[Corporativo no tienda_orders],0)</f>
        <v>0</v>
      </c>
      <c r="W812" s="11">
        <f>_xlfn.XLOOKUP(TableDailySummary[[#This Row],[Fecha]],SummaryDaily[day],SummaryDaily[Corporativo no tienda_average_order_value],0)</f>
        <v>0</v>
      </c>
      <c r="X812" s="11">
        <f>_xlfn.XLOOKUP(TableDailySummary[[#This Row],[Fecha]],SummaryDaily[day],SummaryDaily[GoogleAdsOperation.Cost],0)</f>
        <v>0</v>
      </c>
      <c r="Y812" s="11">
        <f>SUMIFS(SalesByUTMDaily[google],SalesByUTMDaily[day],TableDailySummary[[#This Row],[Fecha]])</f>
        <v>0</v>
      </c>
      <c r="Z812" s="11">
        <f>_xlfn.XLOOKUP(TableDailySummary[[#This Row],[Fecha]],SummaryDaily[day],SummaryDaily[MetaAdsOperation.spend],0)</f>
        <v>0</v>
      </c>
      <c r="AA812" s="11">
        <f>SUMIFS(SalesByUTMDaily[facebook],SalesByUTMDaily[day],TableDailySummary[[#This Row],[Fecha]])</f>
        <v>0</v>
      </c>
      <c r="AB812" s="11">
        <f>TableDailySummary[[#This Row],[Inversión google ads]]+TableDailySummary[[#This Row],[Inversión meta ads]]</f>
        <v>0</v>
      </c>
      <c r="AC812" s="11">
        <f>TableDailySummary[[#This Row],[Ventas google ads]]+TableDailySummary[[#This Row],[Ventas meta ads]]</f>
        <v>0</v>
      </c>
      <c r="AD812" s="14">
        <f>IFERROR(TableDailySummary[[#This Row],[Ventas publicidad]]/TableDailySummary[[#This Row],[Inversión publicidad]],0)</f>
        <v>0</v>
      </c>
      <c r="AE812" s="14">
        <f>IFERROR(TableDailySummary[[#This Row],[Ventas primer cliente]]/TableDailySummary[[#This Row],[Inversión publicidad]],0)</f>
        <v>0</v>
      </c>
      <c r="AF812" s="14"/>
      <c r="AG812" s="11"/>
      <c r="AM812" s="11">
        <f>_xlfn.XLOOKUP(TableDailySummary[[#This Row],[Fecha]],SummaryDaily[day],SummaryDaily[net_sales_with_cost_recorded],0)</f>
        <v>0</v>
      </c>
      <c r="AN812" s="11">
        <f>_xlfn.XLOOKUP(TableDailySummary[[#This Row],[Fecha]],SummaryDaily[day],SummaryDaily[cost_of_goods_sold],0)</f>
        <v>0</v>
      </c>
      <c r="AO812" s="11">
        <f>_xlfn.XLOOKUP(TableDailySummary[[#This Row],[Fecha]],SummaryDaily[day],SummaryDaily[gross_profit],0)</f>
        <v>0</v>
      </c>
      <c r="AP812" s="18">
        <f>IFERROR(TableDailySummary[[#This Row],[Utilidad bruta]]/TableDailySummary[[#This Row],[Ventas netas con costo registrado]],0)</f>
        <v>0</v>
      </c>
    </row>
    <row r="813" spans="2:42" x14ac:dyDescent="0.2">
      <c r="B813" s="15" cm="1">
        <f t="array" ref="B813">ParamFechaInicioReporte + (ROW(TableDailySummary[#This Row]) - ROW(TableDailySummary[[#Headers],[Dia]]) - 1)</f>
        <v>45340</v>
      </c>
      <c r="C813" s="6">
        <f>TableDailySummary[[#This Row],[Dia]]</f>
        <v>45340</v>
      </c>
      <c r="D813" s="11">
        <f>_xlfn.XLOOKUP(TableDailySummary[[#This Row],[Fecha]],SummaryDaily[day],SummaryDaily[net_sales],0)</f>
        <v>0</v>
      </c>
      <c r="E813" s="11">
        <f>_xlfn.XLOOKUP(TableDailySummary[[#This Row],[Fecha]],SummaryDaily[day],SummaryDaily[orders],0)</f>
        <v>0</v>
      </c>
      <c r="F813" s="11">
        <f>_xlfn.XLOOKUP(TableDailySummary[[#This Row],[Fecha]],SummaryDaily[day],SummaryDaily[average_order_value],0)</f>
        <v>0</v>
      </c>
      <c r="G813" s="24" cm="1">
        <f t="array" ref="G813">_xlfn.XLOOKUP(TableDailySummary[[#This Row],[Fecha]]&amp;"Total site",ConversionRateByReferral[day]&amp;ConversionRateByReferral[referrer_source],ConversionRateByReferral[conversion_rate],0)</f>
        <v>0</v>
      </c>
      <c r="H813" s="11">
        <f>TableDailySummary[[#This Row],[Órden promedio totales]]*TableDailySummary[[#This Row],[CR totales]]</f>
        <v>0</v>
      </c>
      <c r="I813" s="11">
        <f>_xlfn.XLOOKUP(TableDailySummary[[#This Row],[Fecha]],SummaryDaily[day],SummaryDaily[new_net_sales],0)</f>
        <v>0</v>
      </c>
      <c r="J813" s="11">
        <f>_xlfn.XLOOKUP(TableDailySummary[[#This Row],[Fecha]],SummaryDaily[day],SummaryDaily[new_orders],0)</f>
        <v>0</v>
      </c>
      <c r="K813" s="11">
        <f>_xlfn.XLOOKUP(TableDailySummary[[#This Row],[Fecha]],SummaryDaily[day],SummaryDaily[new_average_order_value],0)</f>
        <v>0</v>
      </c>
      <c r="L813" s="11">
        <f>_xlfn.XLOOKUP(TableDailySummary[[#This Row],[Fecha]],SummaryDaily[day],SummaryDaily[Online Store_net_sales],0)</f>
        <v>0</v>
      </c>
      <c r="M813" s="11">
        <f>_xlfn.XLOOKUP(TableDailySummary[[#This Row],[Fecha]],SummaryDaily[day],SummaryDaily[Online Store_orders],0)</f>
        <v>0</v>
      </c>
      <c r="N813" s="11">
        <f>_xlfn.XLOOKUP(TableDailySummary[[#This Row],[Fecha]],SummaryDaily[day],SummaryDaily[Online Store_average_order_value],0)</f>
        <v>0</v>
      </c>
      <c r="O813" s="11">
        <f>_xlfn.XLOOKUP(TableDailySummary[[#This Row],[Fecha]],SummaryDaily[day],SummaryDaily[Tienda 81_net_sales],0)</f>
        <v>0</v>
      </c>
      <c r="P813" s="11">
        <f>_xlfn.XLOOKUP(TableDailySummary[[#This Row],[Fecha]],SummaryDaily[day],SummaryDaily[Tienda 81_orders],0)</f>
        <v>0</v>
      </c>
      <c r="Q813" s="11">
        <f>_xlfn.XLOOKUP(TableDailySummary[[#This Row],[Fecha]],SummaryDaily[day],SummaryDaily[Tienda 81_average_order_value],0)</f>
        <v>0</v>
      </c>
      <c r="R813" s="11">
        <f>_xlfn.XLOOKUP(TableDailySummary[[#This Row],[Fecha]],SummaryDaily[day],SummaryDaily[Rappi_net_sales],0)</f>
        <v>0</v>
      </c>
      <c r="S813" s="11">
        <f>_xlfn.XLOOKUP(TableDailySummary[[#This Row],[Fecha]],SummaryDaily[day],SummaryDaily[Rappi_orders],0)</f>
        <v>0</v>
      </c>
      <c r="T813" s="11">
        <f>_xlfn.XLOOKUP(TableDailySummary[[#This Row],[Fecha]],SummaryDaily[day],SummaryDaily[Rappi_average_order_value],0)</f>
        <v>0</v>
      </c>
      <c r="U813" s="11">
        <f>_xlfn.XLOOKUP(TableDailySummary[[#This Row],[Fecha]],SummaryDaily[day],SummaryDaily[Corporativo no tienda_net_sales],0)</f>
        <v>0</v>
      </c>
      <c r="V813" s="11">
        <f>_xlfn.XLOOKUP(TableDailySummary[[#This Row],[Fecha]],SummaryDaily[day],SummaryDaily[Corporativo no tienda_orders],0)</f>
        <v>0</v>
      </c>
      <c r="W813" s="11">
        <f>_xlfn.XLOOKUP(TableDailySummary[[#This Row],[Fecha]],SummaryDaily[day],SummaryDaily[Corporativo no tienda_average_order_value],0)</f>
        <v>0</v>
      </c>
      <c r="X813" s="11">
        <f>_xlfn.XLOOKUP(TableDailySummary[[#This Row],[Fecha]],SummaryDaily[day],SummaryDaily[GoogleAdsOperation.Cost],0)</f>
        <v>0</v>
      </c>
      <c r="Y813" s="11">
        <f>SUMIFS(SalesByUTMDaily[google],SalesByUTMDaily[day],TableDailySummary[[#This Row],[Fecha]])</f>
        <v>0</v>
      </c>
      <c r="Z813" s="11">
        <f>_xlfn.XLOOKUP(TableDailySummary[[#This Row],[Fecha]],SummaryDaily[day],SummaryDaily[MetaAdsOperation.spend],0)</f>
        <v>0</v>
      </c>
      <c r="AA813" s="11">
        <f>SUMIFS(SalesByUTMDaily[facebook],SalesByUTMDaily[day],TableDailySummary[[#This Row],[Fecha]])</f>
        <v>0</v>
      </c>
      <c r="AB813" s="11">
        <f>TableDailySummary[[#This Row],[Inversión google ads]]+TableDailySummary[[#This Row],[Inversión meta ads]]</f>
        <v>0</v>
      </c>
      <c r="AC813" s="11">
        <f>TableDailySummary[[#This Row],[Ventas google ads]]+TableDailySummary[[#This Row],[Ventas meta ads]]</f>
        <v>0</v>
      </c>
      <c r="AD813" s="14">
        <f>IFERROR(TableDailySummary[[#This Row],[Ventas publicidad]]/TableDailySummary[[#This Row],[Inversión publicidad]],0)</f>
        <v>0</v>
      </c>
      <c r="AE813" s="14">
        <f>IFERROR(TableDailySummary[[#This Row],[Ventas primer cliente]]/TableDailySummary[[#This Row],[Inversión publicidad]],0)</f>
        <v>0</v>
      </c>
      <c r="AF813" s="14"/>
      <c r="AG813" s="11"/>
      <c r="AM813" s="11">
        <f>_xlfn.XLOOKUP(TableDailySummary[[#This Row],[Fecha]],SummaryDaily[day],SummaryDaily[net_sales_with_cost_recorded],0)</f>
        <v>0</v>
      </c>
      <c r="AN813" s="11">
        <f>_xlfn.XLOOKUP(TableDailySummary[[#This Row],[Fecha]],SummaryDaily[day],SummaryDaily[cost_of_goods_sold],0)</f>
        <v>0</v>
      </c>
      <c r="AO813" s="11">
        <f>_xlfn.XLOOKUP(TableDailySummary[[#This Row],[Fecha]],SummaryDaily[day],SummaryDaily[gross_profit],0)</f>
        <v>0</v>
      </c>
      <c r="AP813" s="18">
        <f>IFERROR(TableDailySummary[[#This Row],[Utilidad bruta]]/TableDailySummary[[#This Row],[Ventas netas con costo registrado]],0)</f>
        <v>0</v>
      </c>
    </row>
    <row r="814" spans="2:42" x14ac:dyDescent="0.2">
      <c r="B814" s="15" cm="1">
        <f t="array" ref="B814">ParamFechaInicioReporte + (ROW(TableDailySummary[#This Row]) - ROW(TableDailySummary[[#Headers],[Dia]]) - 1)</f>
        <v>45341</v>
      </c>
      <c r="C814" s="6">
        <f>TableDailySummary[[#This Row],[Dia]]</f>
        <v>45341</v>
      </c>
      <c r="D814" s="11">
        <f>_xlfn.XLOOKUP(TableDailySummary[[#This Row],[Fecha]],SummaryDaily[day],SummaryDaily[net_sales],0)</f>
        <v>0</v>
      </c>
      <c r="E814" s="11">
        <f>_xlfn.XLOOKUP(TableDailySummary[[#This Row],[Fecha]],SummaryDaily[day],SummaryDaily[orders],0)</f>
        <v>0</v>
      </c>
      <c r="F814" s="11">
        <f>_xlfn.XLOOKUP(TableDailySummary[[#This Row],[Fecha]],SummaryDaily[day],SummaryDaily[average_order_value],0)</f>
        <v>0</v>
      </c>
      <c r="G814" s="24" cm="1">
        <f t="array" ref="G814">_xlfn.XLOOKUP(TableDailySummary[[#This Row],[Fecha]]&amp;"Total site",ConversionRateByReferral[day]&amp;ConversionRateByReferral[referrer_source],ConversionRateByReferral[conversion_rate],0)</f>
        <v>0</v>
      </c>
      <c r="H814" s="11">
        <f>TableDailySummary[[#This Row],[Órden promedio totales]]*TableDailySummary[[#This Row],[CR totales]]</f>
        <v>0</v>
      </c>
      <c r="I814" s="11">
        <f>_xlfn.XLOOKUP(TableDailySummary[[#This Row],[Fecha]],SummaryDaily[day],SummaryDaily[new_net_sales],0)</f>
        <v>0</v>
      </c>
      <c r="J814" s="11">
        <f>_xlfn.XLOOKUP(TableDailySummary[[#This Row],[Fecha]],SummaryDaily[day],SummaryDaily[new_orders],0)</f>
        <v>0</v>
      </c>
      <c r="K814" s="11">
        <f>_xlfn.XLOOKUP(TableDailySummary[[#This Row],[Fecha]],SummaryDaily[day],SummaryDaily[new_average_order_value],0)</f>
        <v>0</v>
      </c>
      <c r="L814" s="11">
        <f>_xlfn.XLOOKUP(TableDailySummary[[#This Row],[Fecha]],SummaryDaily[day],SummaryDaily[Online Store_net_sales],0)</f>
        <v>0</v>
      </c>
      <c r="M814" s="11">
        <f>_xlfn.XLOOKUP(TableDailySummary[[#This Row],[Fecha]],SummaryDaily[day],SummaryDaily[Online Store_orders],0)</f>
        <v>0</v>
      </c>
      <c r="N814" s="11">
        <f>_xlfn.XLOOKUP(TableDailySummary[[#This Row],[Fecha]],SummaryDaily[day],SummaryDaily[Online Store_average_order_value],0)</f>
        <v>0</v>
      </c>
      <c r="O814" s="11">
        <f>_xlfn.XLOOKUP(TableDailySummary[[#This Row],[Fecha]],SummaryDaily[day],SummaryDaily[Tienda 81_net_sales],0)</f>
        <v>0</v>
      </c>
      <c r="P814" s="11">
        <f>_xlfn.XLOOKUP(TableDailySummary[[#This Row],[Fecha]],SummaryDaily[day],SummaryDaily[Tienda 81_orders],0)</f>
        <v>0</v>
      </c>
      <c r="Q814" s="11">
        <f>_xlfn.XLOOKUP(TableDailySummary[[#This Row],[Fecha]],SummaryDaily[day],SummaryDaily[Tienda 81_average_order_value],0)</f>
        <v>0</v>
      </c>
      <c r="R814" s="11">
        <f>_xlfn.XLOOKUP(TableDailySummary[[#This Row],[Fecha]],SummaryDaily[day],SummaryDaily[Rappi_net_sales],0)</f>
        <v>0</v>
      </c>
      <c r="S814" s="11">
        <f>_xlfn.XLOOKUP(TableDailySummary[[#This Row],[Fecha]],SummaryDaily[day],SummaryDaily[Rappi_orders],0)</f>
        <v>0</v>
      </c>
      <c r="T814" s="11">
        <f>_xlfn.XLOOKUP(TableDailySummary[[#This Row],[Fecha]],SummaryDaily[day],SummaryDaily[Rappi_average_order_value],0)</f>
        <v>0</v>
      </c>
      <c r="U814" s="11">
        <f>_xlfn.XLOOKUP(TableDailySummary[[#This Row],[Fecha]],SummaryDaily[day],SummaryDaily[Corporativo no tienda_net_sales],0)</f>
        <v>0</v>
      </c>
      <c r="V814" s="11">
        <f>_xlfn.XLOOKUP(TableDailySummary[[#This Row],[Fecha]],SummaryDaily[day],SummaryDaily[Corporativo no tienda_orders],0)</f>
        <v>0</v>
      </c>
      <c r="W814" s="11">
        <f>_xlfn.XLOOKUP(TableDailySummary[[#This Row],[Fecha]],SummaryDaily[day],SummaryDaily[Corporativo no tienda_average_order_value],0)</f>
        <v>0</v>
      </c>
      <c r="X814" s="11">
        <f>_xlfn.XLOOKUP(TableDailySummary[[#This Row],[Fecha]],SummaryDaily[day],SummaryDaily[GoogleAdsOperation.Cost],0)</f>
        <v>0</v>
      </c>
      <c r="Y814" s="11">
        <f>SUMIFS(SalesByUTMDaily[google],SalesByUTMDaily[day],TableDailySummary[[#This Row],[Fecha]])</f>
        <v>0</v>
      </c>
      <c r="Z814" s="11">
        <f>_xlfn.XLOOKUP(TableDailySummary[[#This Row],[Fecha]],SummaryDaily[day],SummaryDaily[MetaAdsOperation.spend],0)</f>
        <v>0</v>
      </c>
      <c r="AA814" s="11">
        <f>SUMIFS(SalesByUTMDaily[facebook],SalesByUTMDaily[day],TableDailySummary[[#This Row],[Fecha]])</f>
        <v>0</v>
      </c>
      <c r="AB814" s="11">
        <f>TableDailySummary[[#This Row],[Inversión google ads]]+TableDailySummary[[#This Row],[Inversión meta ads]]</f>
        <v>0</v>
      </c>
      <c r="AC814" s="11">
        <f>TableDailySummary[[#This Row],[Ventas google ads]]+TableDailySummary[[#This Row],[Ventas meta ads]]</f>
        <v>0</v>
      </c>
      <c r="AD814" s="14">
        <f>IFERROR(TableDailySummary[[#This Row],[Ventas publicidad]]/TableDailySummary[[#This Row],[Inversión publicidad]],0)</f>
        <v>0</v>
      </c>
      <c r="AE814" s="14">
        <f>IFERROR(TableDailySummary[[#This Row],[Ventas primer cliente]]/TableDailySummary[[#This Row],[Inversión publicidad]],0)</f>
        <v>0</v>
      </c>
      <c r="AF814" s="14"/>
      <c r="AG814" s="11"/>
      <c r="AM814" s="11">
        <f>_xlfn.XLOOKUP(TableDailySummary[[#This Row],[Fecha]],SummaryDaily[day],SummaryDaily[net_sales_with_cost_recorded],0)</f>
        <v>0</v>
      </c>
      <c r="AN814" s="11">
        <f>_xlfn.XLOOKUP(TableDailySummary[[#This Row],[Fecha]],SummaryDaily[day],SummaryDaily[cost_of_goods_sold],0)</f>
        <v>0</v>
      </c>
      <c r="AO814" s="11">
        <f>_xlfn.XLOOKUP(TableDailySummary[[#This Row],[Fecha]],SummaryDaily[day],SummaryDaily[gross_profit],0)</f>
        <v>0</v>
      </c>
      <c r="AP814" s="18">
        <f>IFERROR(TableDailySummary[[#This Row],[Utilidad bruta]]/TableDailySummary[[#This Row],[Ventas netas con costo registrado]],0)</f>
        <v>0</v>
      </c>
    </row>
    <row r="815" spans="2:42" x14ac:dyDescent="0.2">
      <c r="B815" s="15" cm="1">
        <f t="array" ref="B815">ParamFechaInicioReporte + (ROW(TableDailySummary[#This Row]) - ROW(TableDailySummary[[#Headers],[Dia]]) - 1)</f>
        <v>45342</v>
      </c>
      <c r="C815" s="6">
        <f>TableDailySummary[[#This Row],[Dia]]</f>
        <v>45342</v>
      </c>
      <c r="D815" s="11">
        <f>_xlfn.XLOOKUP(TableDailySummary[[#This Row],[Fecha]],SummaryDaily[day],SummaryDaily[net_sales],0)</f>
        <v>0</v>
      </c>
      <c r="E815" s="11">
        <f>_xlfn.XLOOKUP(TableDailySummary[[#This Row],[Fecha]],SummaryDaily[day],SummaryDaily[orders],0)</f>
        <v>0</v>
      </c>
      <c r="F815" s="11">
        <f>_xlfn.XLOOKUP(TableDailySummary[[#This Row],[Fecha]],SummaryDaily[day],SummaryDaily[average_order_value],0)</f>
        <v>0</v>
      </c>
      <c r="G815" s="24" cm="1">
        <f t="array" ref="G815">_xlfn.XLOOKUP(TableDailySummary[[#This Row],[Fecha]]&amp;"Total site",ConversionRateByReferral[day]&amp;ConversionRateByReferral[referrer_source],ConversionRateByReferral[conversion_rate],0)</f>
        <v>0</v>
      </c>
      <c r="H815" s="11">
        <f>TableDailySummary[[#This Row],[Órden promedio totales]]*TableDailySummary[[#This Row],[CR totales]]</f>
        <v>0</v>
      </c>
      <c r="I815" s="11">
        <f>_xlfn.XLOOKUP(TableDailySummary[[#This Row],[Fecha]],SummaryDaily[day],SummaryDaily[new_net_sales],0)</f>
        <v>0</v>
      </c>
      <c r="J815" s="11">
        <f>_xlfn.XLOOKUP(TableDailySummary[[#This Row],[Fecha]],SummaryDaily[day],SummaryDaily[new_orders],0)</f>
        <v>0</v>
      </c>
      <c r="K815" s="11">
        <f>_xlfn.XLOOKUP(TableDailySummary[[#This Row],[Fecha]],SummaryDaily[day],SummaryDaily[new_average_order_value],0)</f>
        <v>0</v>
      </c>
      <c r="L815" s="11">
        <f>_xlfn.XLOOKUP(TableDailySummary[[#This Row],[Fecha]],SummaryDaily[day],SummaryDaily[Online Store_net_sales],0)</f>
        <v>0</v>
      </c>
      <c r="M815" s="11">
        <f>_xlfn.XLOOKUP(TableDailySummary[[#This Row],[Fecha]],SummaryDaily[day],SummaryDaily[Online Store_orders],0)</f>
        <v>0</v>
      </c>
      <c r="N815" s="11">
        <f>_xlfn.XLOOKUP(TableDailySummary[[#This Row],[Fecha]],SummaryDaily[day],SummaryDaily[Online Store_average_order_value],0)</f>
        <v>0</v>
      </c>
      <c r="O815" s="11">
        <f>_xlfn.XLOOKUP(TableDailySummary[[#This Row],[Fecha]],SummaryDaily[day],SummaryDaily[Tienda 81_net_sales],0)</f>
        <v>0</v>
      </c>
      <c r="P815" s="11">
        <f>_xlfn.XLOOKUP(TableDailySummary[[#This Row],[Fecha]],SummaryDaily[day],SummaryDaily[Tienda 81_orders],0)</f>
        <v>0</v>
      </c>
      <c r="Q815" s="11">
        <f>_xlfn.XLOOKUP(TableDailySummary[[#This Row],[Fecha]],SummaryDaily[day],SummaryDaily[Tienda 81_average_order_value],0)</f>
        <v>0</v>
      </c>
      <c r="R815" s="11">
        <f>_xlfn.XLOOKUP(TableDailySummary[[#This Row],[Fecha]],SummaryDaily[day],SummaryDaily[Rappi_net_sales],0)</f>
        <v>0</v>
      </c>
      <c r="S815" s="11">
        <f>_xlfn.XLOOKUP(TableDailySummary[[#This Row],[Fecha]],SummaryDaily[day],SummaryDaily[Rappi_orders],0)</f>
        <v>0</v>
      </c>
      <c r="T815" s="11">
        <f>_xlfn.XLOOKUP(TableDailySummary[[#This Row],[Fecha]],SummaryDaily[day],SummaryDaily[Rappi_average_order_value],0)</f>
        <v>0</v>
      </c>
      <c r="U815" s="11">
        <f>_xlfn.XLOOKUP(TableDailySummary[[#This Row],[Fecha]],SummaryDaily[day],SummaryDaily[Corporativo no tienda_net_sales],0)</f>
        <v>0</v>
      </c>
      <c r="V815" s="11">
        <f>_xlfn.XLOOKUP(TableDailySummary[[#This Row],[Fecha]],SummaryDaily[day],SummaryDaily[Corporativo no tienda_orders],0)</f>
        <v>0</v>
      </c>
      <c r="W815" s="11">
        <f>_xlfn.XLOOKUP(TableDailySummary[[#This Row],[Fecha]],SummaryDaily[day],SummaryDaily[Corporativo no tienda_average_order_value],0)</f>
        <v>0</v>
      </c>
      <c r="X815" s="11">
        <f>_xlfn.XLOOKUP(TableDailySummary[[#This Row],[Fecha]],SummaryDaily[day],SummaryDaily[GoogleAdsOperation.Cost],0)</f>
        <v>0</v>
      </c>
      <c r="Y815" s="11">
        <f>SUMIFS(SalesByUTMDaily[google],SalesByUTMDaily[day],TableDailySummary[[#This Row],[Fecha]])</f>
        <v>0</v>
      </c>
      <c r="Z815" s="11">
        <f>_xlfn.XLOOKUP(TableDailySummary[[#This Row],[Fecha]],SummaryDaily[day],SummaryDaily[MetaAdsOperation.spend],0)</f>
        <v>0</v>
      </c>
      <c r="AA815" s="11">
        <f>SUMIFS(SalesByUTMDaily[facebook],SalesByUTMDaily[day],TableDailySummary[[#This Row],[Fecha]])</f>
        <v>0</v>
      </c>
      <c r="AB815" s="11">
        <f>TableDailySummary[[#This Row],[Inversión google ads]]+TableDailySummary[[#This Row],[Inversión meta ads]]</f>
        <v>0</v>
      </c>
      <c r="AC815" s="11">
        <f>TableDailySummary[[#This Row],[Ventas google ads]]+TableDailySummary[[#This Row],[Ventas meta ads]]</f>
        <v>0</v>
      </c>
      <c r="AD815" s="14">
        <f>IFERROR(TableDailySummary[[#This Row],[Ventas publicidad]]/TableDailySummary[[#This Row],[Inversión publicidad]],0)</f>
        <v>0</v>
      </c>
      <c r="AE815" s="14">
        <f>IFERROR(TableDailySummary[[#This Row],[Ventas primer cliente]]/TableDailySummary[[#This Row],[Inversión publicidad]],0)</f>
        <v>0</v>
      </c>
      <c r="AF815" s="14"/>
      <c r="AG815" s="11"/>
      <c r="AM815" s="11">
        <f>_xlfn.XLOOKUP(TableDailySummary[[#This Row],[Fecha]],SummaryDaily[day],SummaryDaily[net_sales_with_cost_recorded],0)</f>
        <v>0</v>
      </c>
      <c r="AN815" s="11">
        <f>_xlfn.XLOOKUP(TableDailySummary[[#This Row],[Fecha]],SummaryDaily[day],SummaryDaily[cost_of_goods_sold],0)</f>
        <v>0</v>
      </c>
      <c r="AO815" s="11">
        <f>_xlfn.XLOOKUP(TableDailySummary[[#This Row],[Fecha]],SummaryDaily[day],SummaryDaily[gross_profit],0)</f>
        <v>0</v>
      </c>
      <c r="AP815" s="18">
        <f>IFERROR(TableDailySummary[[#This Row],[Utilidad bruta]]/TableDailySummary[[#This Row],[Ventas netas con costo registrado]],0)</f>
        <v>0</v>
      </c>
    </row>
    <row r="816" spans="2:42" x14ac:dyDescent="0.2">
      <c r="B816" s="15" cm="1">
        <f t="array" ref="B816">ParamFechaInicioReporte + (ROW(TableDailySummary[#This Row]) - ROW(TableDailySummary[[#Headers],[Dia]]) - 1)</f>
        <v>45343</v>
      </c>
      <c r="C816" s="6">
        <f>TableDailySummary[[#This Row],[Dia]]</f>
        <v>45343</v>
      </c>
      <c r="D816" s="11">
        <f>_xlfn.XLOOKUP(TableDailySummary[[#This Row],[Fecha]],SummaryDaily[day],SummaryDaily[net_sales],0)</f>
        <v>0</v>
      </c>
      <c r="E816" s="11">
        <f>_xlfn.XLOOKUP(TableDailySummary[[#This Row],[Fecha]],SummaryDaily[day],SummaryDaily[orders],0)</f>
        <v>0</v>
      </c>
      <c r="F816" s="11">
        <f>_xlfn.XLOOKUP(TableDailySummary[[#This Row],[Fecha]],SummaryDaily[day],SummaryDaily[average_order_value],0)</f>
        <v>0</v>
      </c>
      <c r="G816" s="24" cm="1">
        <f t="array" ref="G816">_xlfn.XLOOKUP(TableDailySummary[[#This Row],[Fecha]]&amp;"Total site",ConversionRateByReferral[day]&amp;ConversionRateByReferral[referrer_source],ConversionRateByReferral[conversion_rate],0)</f>
        <v>0</v>
      </c>
      <c r="H816" s="11">
        <f>TableDailySummary[[#This Row],[Órden promedio totales]]*TableDailySummary[[#This Row],[CR totales]]</f>
        <v>0</v>
      </c>
      <c r="I816" s="11">
        <f>_xlfn.XLOOKUP(TableDailySummary[[#This Row],[Fecha]],SummaryDaily[day],SummaryDaily[new_net_sales],0)</f>
        <v>0</v>
      </c>
      <c r="J816" s="11">
        <f>_xlfn.XLOOKUP(TableDailySummary[[#This Row],[Fecha]],SummaryDaily[day],SummaryDaily[new_orders],0)</f>
        <v>0</v>
      </c>
      <c r="K816" s="11">
        <f>_xlfn.XLOOKUP(TableDailySummary[[#This Row],[Fecha]],SummaryDaily[day],SummaryDaily[new_average_order_value],0)</f>
        <v>0</v>
      </c>
      <c r="L816" s="11">
        <f>_xlfn.XLOOKUP(TableDailySummary[[#This Row],[Fecha]],SummaryDaily[day],SummaryDaily[Online Store_net_sales],0)</f>
        <v>0</v>
      </c>
      <c r="M816" s="11">
        <f>_xlfn.XLOOKUP(TableDailySummary[[#This Row],[Fecha]],SummaryDaily[day],SummaryDaily[Online Store_orders],0)</f>
        <v>0</v>
      </c>
      <c r="N816" s="11">
        <f>_xlfn.XLOOKUP(TableDailySummary[[#This Row],[Fecha]],SummaryDaily[day],SummaryDaily[Online Store_average_order_value],0)</f>
        <v>0</v>
      </c>
      <c r="O816" s="11">
        <f>_xlfn.XLOOKUP(TableDailySummary[[#This Row],[Fecha]],SummaryDaily[day],SummaryDaily[Tienda 81_net_sales],0)</f>
        <v>0</v>
      </c>
      <c r="P816" s="11">
        <f>_xlfn.XLOOKUP(TableDailySummary[[#This Row],[Fecha]],SummaryDaily[day],SummaryDaily[Tienda 81_orders],0)</f>
        <v>0</v>
      </c>
      <c r="Q816" s="11">
        <f>_xlfn.XLOOKUP(TableDailySummary[[#This Row],[Fecha]],SummaryDaily[day],SummaryDaily[Tienda 81_average_order_value],0)</f>
        <v>0</v>
      </c>
      <c r="R816" s="11">
        <f>_xlfn.XLOOKUP(TableDailySummary[[#This Row],[Fecha]],SummaryDaily[day],SummaryDaily[Rappi_net_sales],0)</f>
        <v>0</v>
      </c>
      <c r="S816" s="11">
        <f>_xlfn.XLOOKUP(TableDailySummary[[#This Row],[Fecha]],SummaryDaily[day],SummaryDaily[Rappi_orders],0)</f>
        <v>0</v>
      </c>
      <c r="T816" s="11">
        <f>_xlfn.XLOOKUP(TableDailySummary[[#This Row],[Fecha]],SummaryDaily[day],SummaryDaily[Rappi_average_order_value],0)</f>
        <v>0</v>
      </c>
      <c r="U816" s="11">
        <f>_xlfn.XLOOKUP(TableDailySummary[[#This Row],[Fecha]],SummaryDaily[day],SummaryDaily[Corporativo no tienda_net_sales],0)</f>
        <v>0</v>
      </c>
      <c r="V816" s="11">
        <f>_xlfn.XLOOKUP(TableDailySummary[[#This Row],[Fecha]],SummaryDaily[day],SummaryDaily[Corporativo no tienda_orders],0)</f>
        <v>0</v>
      </c>
      <c r="W816" s="11">
        <f>_xlfn.XLOOKUP(TableDailySummary[[#This Row],[Fecha]],SummaryDaily[day],SummaryDaily[Corporativo no tienda_average_order_value],0)</f>
        <v>0</v>
      </c>
      <c r="X816" s="11">
        <f>_xlfn.XLOOKUP(TableDailySummary[[#This Row],[Fecha]],SummaryDaily[day],SummaryDaily[GoogleAdsOperation.Cost],0)</f>
        <v>0</v>
      </c>
      <c r="Y816" s="11">
        <f>SUMIFS(SalesByUTMDaily[google],SalesByUTMDaily[day],TableDailySummary[[#This Row],[Fecha]])</f>
        <v>0</v>
      </c>
      <c r="Z816" s="11">
        <f>_xlfn.XLOOKUP(TableDailySummary[[#This Row],[Fecha]],SummaryDaily[day],SummaryDaily[MetaAdsOperation.spend],0)</f>
        <v>0</v>
      </c>
      <c r="AA816" s="11">
        <f>SUMIFS(SalesByUTMDaily[facebook],SalesByUTMDaily[day],TableDailySummary[[#This Row],[Fecha]])</f>
        <v>0</v>
      </c>
      <c r="AB816" s="11">
        <f>TableDailySummary[[#This Row],[Inversión google ads]]+TableDailySummary[[#This Row],[Inversión meta ads]]</f>
        <v>0</v>
      </c>
      <c r="AC816" s="11">
        <f>TableDailySummary[[#This Row],[Ventas google ads]]+TableDailySummary[[#This Row],[Ventas meta ads]]</f>
        <v>0</v>
      </c>
      <c r="AD816" s="14">
        <f>IFERROR(TableDailySummary[[#This Row],[Ventas publicidad]]/TableDailySummary[[#This Row],[Inversión publicidad]],0)</f>
        <v>0</v>
      </c>
      <c r="AE816" s="14">
        <f>IFERROR(TableDailySummary[[#This Row],[Ventas primer cliente]]/TableDailySummary[[#This Row],[Inversión publicidad]],0)</f>
        <v>0</v>
      </c>
      <c r="AF816" s="14"/>
      <c r="AG816" s="11"/>
      <c r="AM816" s="11">
        <f>_xlfn.XLOOKUP(TableDailySummary[[#This Row],[Fecha]],SummaryDaily[day],SummaryDaily[net_sales_with_cost_recorded],0)</f>
        <v>0</v>
      </c>
      <c r="AN816" s="11">
        <f>_xlfn.XLOOKUP(TableDailySummary[[#This Row],[Fecha]],SummaryDaily[day],SummaryDaily[cost_of_goods_sold],0)</f>
        <v>0</v>
      </c>
      <c r="AO816" s="11">
        <f>_xlfn.XLOOKUP(TableDailySummary[[#This Row],[Fecha]],SummaryDaily[day],SummaryDaily[gross_profit],0)</f>
        <v>0</v>
      </c>
      <c r="AP816" s="18">
        <f>IFERROR(TableDailySummary[[#This Row],[Utilidad bruta]]/TableDailySummary[[#This Row],[Ventas netas con costo registrado]],0)</f>
        <v>0</v>
      </c>
    </row>
    <row r="817" spans="2:42" x14ac:dyDescent="0.2">
      <c r="B817" s="15" cm="1">
        <f t="array" ref="B817">ParamFechaInicioReporte + (ROW(TableDailySummary[#This Row]) - ROW(TableDailySummary[[#Headers],[Dia]]) - 1)</f>
        <v>45344</v>
      </c>
      <c r="C817" s="6">
        <f>TableDailySummary[[#This Row],[Dia]]</f>
        <v>45344</v>
      </c>
      <c r="D817" s="11">
        <f>_xlfn.XLOOKUP(TableDailySummary[[#This Row],[Fecha]],SummaryDaily[day],SummaryDaily[net_sales],0)</f>
        <v>0</v>
      </c>
      <c r="E817" s="11">
        <f>_xlfn.XLOOKUP(TableDailySummary[[#This Row],[Fecha]],SummaryDaily[day],SummaryDaily[orders],0)</f>
        <v>0</v>
      </c>
      <c r="F817" s="11">
        <f>_xlfn.XLOOKUP(TableDailySummary[[#This Row],[Fecha]],SummaryDaily[day],SummaryDaily[average_order_value],0)</f>
        <v>0</v>
      </c>
      <c r="G817" s="24" cm="1">
        <f t="array" ref="G817">_xlfn.XLOOKUP(TableDailySummary[[#This Row],[Fecha]]&amp;"Total site",ConversionRateByReferral[day]&amp;ConversionRateByReferral[referrer_source],ConversionRateByReferral[conversion_rate],0)</f>
        <v>0</v>
      </c>
      <c r="H817" s="11">
        <f>TableDailySummary[[#This Row],[Órden promedio totales]]*TableDailySummary[[#This Row],[CR totales]]</f>
        <v>0</v>
      </c>
      <c r="I817" s="11">
        <f>_xlfn.XLOOKUP(TableDailySummary[[#This Row],[Fecha]],SummaryDaily[day],SummaryDaily[new_net_sales],0)</f>
        <v>0</v>
      </c>
      <c r="J817" s="11">
        <f>_xlfn.XLOOKUP(TableDailySummary[[#This Row],[Fecha]],SummaryDaily[day],SummaryDaily[new_orders],0)</f>
        <v>0</v>
      </c>
      <c r="K817" s="11">
        <f>_xlfn.XLOOKUP(TableDailySummary[[#This Row],[Fecha]],SummaryDaily[day],SummaryDaily[new_average_order_value],0)</f>
        <v>0</v>
      </c>
      <c r="L817" s="11">
        <f>_xlfn.XLOOKUP(TableDailySummary[[#This Row],[Fecha]],SummaryDaily[day],SummaryDaily[Online Store_net_sales],0)</f>
        <v>0</v>
      </c>
      <c r="M817" s="11">
        <f>_xlfn.XLOOKUP(TableDailySummary[[#This Row],[Fecha]],SummaryDaily[day],SummaryDaily[Online Store_orders],0)</f>
        <v>0</v>
      </c>
      <c r="N817" s="11">
        <f>_xlfn.XLOOKUP(TableDailySummary[[#This Row],[Fecha]],SummaryDaily[day],SummaryDaily[Online Store_average_order_value],0)</f>
        <v>0</v>
      </c>
      <c r="O817" s="11">
        <f>_xlfn.XLOOKUP(TableDailySummary[[#This Row],[Fecha]],SummaryDaily[day],SummaryDaily[Tienda 81_net_sales],0)</f>
        <v>0</v>
      </c>
      <c r="P817" s="11">
        <f>_xlfn.XLOOKUP(TableDailySummary[[#This Row],[Fecha]],SummaryDaily[day],SummaryDaily[Tienda 81_orders],0)</f>
        <v>0</v>
      </c>
      <c r="Q817" s="11">
        <f>_xlfn.XLOOKUP(TableDailySummary[[#This Row],[Fecha]],SummaryDaily[day],SummaryDaily[Tienda 81_average_order_value],0)</f>
        <v>0</v>
      </c>
      <c r="R817" s="11">
        <f>_xlfn.XLOOKUP(TableDailySummary[[#This Row],[Fecha]],SummaryDaily[day],SummaryDaily[Rappi_net_sales],0)</f>
        <v>0</v>
      </c>
      <c r="S817" s="11">
        <f>_xlfn.XLOOKUP(TableDailySummary[[#This Row],[Fecha]],SummaryDaily[day],SummaryDaily[Rappi_orders],0)</f>
        <v>0</v>
      </c>
      <c r="T817" s="11">
        <f>_xlfn.XLOOKUP(TableDailySummary[[#This Row],[Fecha]],SummaryDaily[day],SummaryDaily[Rappi_average_order_value],0)</f>
        <v>0</v>
      </c>
      <c r="U817" s="11">
        <f>_xlfn.XLOOKUP(TableDailySummary[[#This Row],[Fecha]],SummaryDaily[day],SummaryDaily[Corporativo no tienda_net_sales],0)</f>
        <v>0</v>
      </c>
      <c r="V817" s="11">
        <f>_xlfn.XLOOKUP(TableDailySummary[[#This Row],[Fecha]],SummaryDaily[day],SummaryDaily[Corporativo no tienda_orders],0)</f>
        <v>0</v>
      </c>
      <c r="W817" s="11">
        <f>_xlfn.XLOOKUP(TableDailySummary[[#This Row],[Fecha]],SummaryDaily[day],SummaryDaily[Corporativo no tienda_average_order_value],0)</f>
        <v>0</v>
      </c>
      <c r="X817" s="11">
        <f>_xlfn.XLOOKUP(TableDailySummary[[#This Row],[Fecha]],SummaryDaily[day],SummaryDaily[GoogleAdsOperation.Cost],0)</f>
        <v>0</v>
      </c>
      <c r="Y817" s="11">
        <f>SUMIFS(SalesByUTMDaily[google],SalesByUTMDaily[day],TableDailySummary[[#This Row],[Fecha]])</f>
        <v>0</v>
      </c>
      <c r="Z817" s="11">
        <f>_xlfn.XLOOKUP(TableDailySummary[[#This Row],[Fecha]],SummaryDaily[day],SummaryDaily[MetaAdsOperation.spend],0)</f>
        <v>0</v>
      </c>
      <c r="AA817" s="11">
        <f>SUMIFS(SalesByUTMDaily[facebook],SalesByUTMDaily[day],TableDailySummary[[#This Row],[Fecha]])</f>
        <v>0</v>
      </c>
      <c r="AB817" s="11">
        <f>TableDailySummary[[#This Row],[Inversión google ads]]+TableDailySummary[[#This Row],[Inversión meta ads]]</f>
        <v>0</v>
      </c>
      <c r="AC817" s="11">
        <f>TableDailySummary[[#This Row],[Ventas google ads]]+TableDailySummary[[#This Row],[Ventas meta ads]]</f>
        <v>0</v>
      </c>
      <c r="AD817" s="14">
        <f>IFERROR(TableDailySummary[[#This Row],[Ventas publicidad]]/TableDailySummary[[#This Row],[Inversión publicidad]],0)</f>
        <v>0</v>
      </c>
      <c r="AE817" s="14">
        <f>IFERROR(TableDailySummary[[#This Row],[Ventas primer cliente]]/TableDailySummary[[#This Row],[Inversión publicidad]],0)</f>
        <v>0</v>
      </c>
      <c r="AF817" s="14"/>
      <c r="AG817" s="11"/>
      <c r="AM817" s="11">
        <f>_xlfn.XLOOKUP(TableDailySummary[[#This Row],[Fecha]],SummaryDaily[day],SummaryDaily[net_sales_with_cost_recorded],0)</f>
        <v>0</v>
      </c>
      <c r="AN817" s="11">
        <f>_xlfn.XLOOKUP(TableDailySummary[[#This Row],[Fecha]],SummaryDaily[day],SummaryDaily[cost_of_goods_sold],0)</f>
        <v>0</v>
      </c>
      <c r="AO817" s="11">
        <f>_xlfn.XLOOKUP(TableDailySummary[[#This Row],[Fecha]],SummaryDaily[day],SummaryDaily[gross_profit],0)</f>
        <v>0</v>
      </c>
      <c r="AP817" s="18">
        <f>IFERROR(TableDailySummary[[#This Row],[Utilidad bruta]]/TableDailySummary[[#This Row],[Ventas netas con costo registrado]],0)</f>
        <v>0</v>
      </c>
    </row>
    <row r="818" spans="2:42" x14ac:dyDescent="0.2">
      <c r="B818" s="15" cm="1">
        <f t="array" ref="B818">ParamFechaInicioReporte + (ROW(TableDailySummary[#This Row]) - ROW(TableDailySummary[[#Headers],[Dia]]) - 1)</f>
        <v>45345</v>
      </c>
      <c r="C818" s="6">
        <f>TableDailySummary[[#This Row],[Dia]]</f>
        <v>45345</v>
      </c>
      <c r="D818" s="11">
        <f>_xlfn.XLOOKUP(TableDailySummary[[#This Row],[Fecha]],SummaryDaily[day],SummaryDaily[net_sales],0)</f>
        <v>0</v>
      </c>
      <c r="E818" s="11">
        <f>_xlfn.XLOOKUP(TableDailySummary[[#This Row],[Fecha]],SummaryDaily[day],SummaryDaily[orders],0)</f>
        <v>0</v>
      </c>
      <c r="F818" s="11">
        <f>_xlfn.XLOOKUP(TableDailySummary[[#This Row],[Fecha]],SummaryDaily[day],SummaryDaily[average_order_value],0)</f>
        <v>0</v>
      </c>
      <c r="G818" s="24" cm="1">
        <f t="array" ref="G818">_xlfn.XLOOKUP(TableDailySummary[[#This Row],[Fecha]]&amp;"Total site",ConversionRateByReferral[day]&amp;ConversionRateByReferral[referrer_source],ConversionRateByReferral[conversion_rate],0)</f>
        <v>0</v>
      </c>
      <c r="H818" s="11">
        <f>TableDailySummary[[#This Row],[Órden promedio totales]]*TableDailySummary[[#This Row],[CR totales]]</f>
        <v>0</v>
      </c>
      <c r="I818" s="11">
        <f>_xlfn.XLOOKUP(TableDailySummary[[#This Row],[Fecha]],SummaryDaily[day],SummaryDaily[new_net_sales],0)</f>
        <v>0</v>
      </c>
      <c r="J818" s="11">
        <f>_xlfn.XLOOKUP(TableDailySummary[[#This Row],[Fecha]],SummaryDaily[day],SummaryDaily[new_orders],0)</f>
        <v>0</v>
      </c>
      <c r="K818" s="11">
        <f>_xlfn.XLOOKUP(TableDailySummary[[#This Row],[Fecha]],SummaryDaily[day],SummaryDaily[new_average_order_value],0)</f>
        <v>0</v>
      </c>
      <c r="L818" s="11">
        <f>_xlfn.XLOOKUP(TableDailySummary[[#This Row],[Fecha]],SummaryDaily[day],SummaryDaily[Online Store_net_sales],0)</f>
        <v>0</v>
      </c>
      <c r="M818" s="11">
        <f>_xlfn.XLOOKUP(TableDailySummary[[#This Row],[Fecha]],SummaryDaily[day],SummaryDaily[Online Store_orders],0)</f>
        <v>0</v>
      </c>
      <c r="N818" s="11">
        <f>_xlfn.XLOOKUP(TableDailySummary[[#This Row],[Fecha]],SummaryDaily[day],SummaryDaily[Online Store_average_order_value],0)</f>
        <v>0</v>
      </c>
      <c r="O818" s="11">
        <f>_xlfn.XLOOKUP(TableDailySummary[[#This Row],[Fecha]],SummaryDaily[day],SummaryDaily[Tienda 81_net_sales],0)</f>
        <v>0</v>
      </c>
      <c r="P818" s="11">
        <f>_xlfn.XLOOKUP(TableDailySummary[[#This Row],[Fecha]],SummaryDaily[day],SummaryDaily[Tienda 81_orders],0)</f>
        <v>0</v>
      </c>
      <c r="Q818" s="11">
        <f>_xlfn.XLOOKUP(TableDailySummary[[#This Row],[Fecha]],SummaryDaily[day],SummaryDaily[Tienda 81_average_order_value],0)</f>
        <v>0</v>
      </c>
      <c r="R818" s="11">
        <f>_xlfn.XLOOKUP(TableDailySummary[[#This Row],[Fecha]],SummaryDaily[day],SummaryDaily[Rappi_net_sales],0)</f>
        <v>0</v>
      </c>
      <c r="S818" s="11">
        <f>_xlfn.XLOOKUP(TableDailySummary[[#This Row],[Fecha]],SummaryDaily[day],SummaryDaily[Rappi_orders],0)</f>
        <v>0</v>
      </c>
      <c r="T818" s="11">
        <f>_xlfn.XLOOKUP(TableDailySummary[[#This Row],[Fecha]],SummaryDaily[day],SummaryDaily[Rappi_average_order_value],0)</f>
        <v>0</v>
      </c>
      <c r="U818" s="11">
        <f>_xlfn.XLOOKUP(TableDailySummary[[#This Row],[Fecha]],SummaryDaily[day],SummaryDaily[Corporativo no tienda_net_sales],0)</f>
        <v>0</v>
      </c>
      <c r="V818" s="11">
        <f>_xlfn.XLOOKUP(TableDailySummary[[#This Row],[Fecha]],SummaryDaily[day],SummaryDaily[Corporativo no tienda_orders],0)</f>
        <v>0</v>
      </c>
      <c r="W818" s="11">
        <f>_xlfn.XLOOKUP(TableDailySummary[[#This Row],[Fecha]],SummaryDaily[day],SummaryDaily[Corporativo no tienda_average_order_value],0)</f>
        <v>0</v>
      </c>
      <c r="X818" s="11">
        <f>_xlfn.XLOOKUP(TableDailySummary[[#This Row],[Fecha]],SummaryDaily[day],SummaryDaily[GoogleAdsOperation.Cost],0)</f>
        <v>0</v>
      </c>
      <c r="Y818" s="11">
        <f>SUMIFS(SalesByUTMDaily[google],SalesByUTMDaily[day],TableDailySummary[[#This Row],[Fecha]])</f>
        <v>0</v>
      </c>
      <c r="Z818" s="11">
        <f>_xlfn.XLOOKUP(TableDailySummary[[#This Row],[Fecha]],SummaryDaily[day],SummaryDaily[MetaAdsOperation.spend],0)</f>
        <v>0</v>
      </c>
      <c r="AA818" s="11">
        <f>SUMIFS(SalesByUTMDaily[facebook],SalesByUTMDaily[day],TableDailySummary[[#This Row],[Fecha]])</f>
        <v>0</v>
      </c>
      <c r="AB818" s="11">
        <f>TableDailySummary[[#This Row],[Inversión google ads]]+TableDailySummary[[#This Row],[Inversión meta ads]]</f>
        <v>0</v>
      </c>
      <c r="AC818" s="11">
        <f>TableDailySummary[[#This Row],[Ventas google ads]]+TableDailySummary[[#This Row],[Ventas meta ads]]</f>
        <v>0</v>
      </c>
      <c r="AD818" s="14">
        <f>IFERROR(TableDailySummary[[#This Row],[Ventas publicidad]]/TableDailySummary[[#This Row],[Inversión publicidad]],0)</f>
        <v>0</v>
      </c>
      <c r="AE818" s="14">
        <f>IFERROR(TableDailySummary[[#This Row],[Ventas primer cliente]]/TableDailySummary[[#This Row],[Inversión publicidad]],0)</f>
        <v>0</v>
      </c>
      <c r="AF818" s="14"/>
      <c r="AG818" s="11"/>
      <c r="AM818" s="11">
        <f>_xlfn.XLOOKUP(TableDailySummary[[#This Row],[Fecha]],SummaryDaily[day],SummaryDaily[net_sales_with_cost_recorded],0)</f>
        <v>0</v>
      </c>
      <c r="AN818" s="11">
        <f>_xlfn.XLOOKUP(TableDailySummary[[#This Row],[Fecha]],SummaryDaily[day],SummaryDaily[cost_of_goods_sold],0)</f>
        <v>0</v>
      </c>
      <c r="AO818" s="11">
        <f>_xlfn.XLOOKUP(TableDailySummary[[#This Row],[Fecha]],SummaryDaily[day],SummaryDaily[gross_profit],0)</f>
        <v>0</v>
      </c>
      <c r="AP818" s="18">
        <f>IFERROR(TableDailySummary[[#This Row],[Utilidad bruta]]/TableDailySummary[[#This Row],[Ventas netas con costo registrado]],0)</f>
        <v>0</v>
      </c>
    </row>
    <row r="819" spans="2:42" x14ac:dyDescent="0.2">
      <c r="B819" s="15" cm="1">
        <f t="array" ref="B819">ParamFechaInicioReporte + (ROW(TableDailySummary[#This Row]) - ROW(TableDailySummary[[#Headers],[Dia]]) - 1)</f>
        <v>45346</v>
      </c>
      <c r="C819" s="6">
        <f>TableDailySummary[[#This Row],[Dia]]</f>
        <v>45346</v>
      </c>
      <c r="D819" s="11">
        <f>_xlfn.XLOOKUP(TableDailySummary[[#This Row],[Fecha]],SummaryDaily[day],SummaryDaily[net_sales],0)</f>
        <v>0</v>
      </c>
      <c r="E819" s="11">
        <f>_xlfn.XLOOKUP(TableDailySummary[[#This Row],[Fecha]],SummaryDaily[day],SummaryDaily[orders],0)</f>
        <v>0</v>
      </c>
      <c r="F819" s="11">
        <f>_xlfn.XLOOKUP(TableDailySummary[[#This Row],[Fecha]],SummaryDaily[day],SummaryDaily[average_order_value],0)</f>
        <v>0</v>
      </c>
      <c r="G819" s="24" cm="1">
        <f t="array" ref="G819">_xlfn.XLOOKUP(TableDailySummary[[#This Row],[Fecha]]&amp;"Total site",ConversionRateByReferral[day]&amp;ConversionRateByReferral[referrer_source],ConversionRateByReferral[conversion_rate],0)</f>
        <v>0</v>
      </c>
      <c r="H819" s="11">
        <f>TableDailySummary[[#This Row],[Órden promedio totales]]*TableDailySummary[[#This Row],[CR totales]]</f>
        <v>0</v>
      </c>
      <c r="I819" s="11">
        <f>_xlfn.XLOOKUP(TableDailySummary[[#This Row],[Fecha]],SummaryDaily[day],SummaryDaily[new_net_sales],0)</f>
        <v>0</v>
      </c>
      <c r="J819" s="11">
        <f>_xlfn.XLOOKUP(TableDailySummary[[#This Row],[Fecha]],SummaryDaily[day],SummaryDaily[new_orders],0)</f>
        <v>0</v>
      </c>
      <c r="K819" s="11">
        <f>_xlfn.XLOOKUP(TableDailySummary[[#This Row],[Fecha]],SummaryDaily[day],SummaryDaily[new_average_order_value],0)</f>
        <v>0</v>
      </c>
      <c r="L819" s="11">
        <f>_xlfn.XLOOKUP(TableDailySummary[[#This Row],[Fecha]],SummaryDaily[day],SummaryDaily[Online Store_net_sales],0)</f>
        <v>0</v>
      </c>
      <c r="M819" s="11">
        <f>_xlfn.XLOOKUP(TableDailySummary[[#This Row],[Fecha]],SummaryDaily[day],SummaryDaily[Online Store_orders],0)</f>
        <v>0</v>
      </c>
      <c r="N819" s="11">
        <f>_xlfn.XLOOKUP(TableDailySummary[[#This Row],[Fecha]],SummaryDaily[day],SummaryDaily[Online Store_average_order_value],0)</f>
        <v>0</v>
      </c>
      <c r="O819" s="11">
        <f>_xlfn.XLOOKUP(TableDailySummary[[#This Row],[Fecha]],SummaryDaily[day],SummaryDaily[Tienda 81_net_sales],0)</f>
        <v>0</v>
      </c>
      <c r="P819" s="11">
        <f>_xlfn.XLOOKUP(TableDailySummary[[#This Row],[Fecha]],SummaryDaily[day],SummaryDaily[Tienda 81_orders],0)</f>
        <v>0</v>
      </c>
      <c r="Q819" s="11">
        <f>_xlfn.XLOOKUP(TableDailySummary[[#This Row],[Fecha]],SummaryDaily[day],SummaryDaily[Tienda 81_average_order_value],0)</f>
        <v>0</v>
      </c>
      <c r="R819" s="11">
        <f>_xlfn.XLOOKUP(TableDailySummary[[#This Row],[Fecha]],SummaryDaily[day],SummaryDaily[Rappi_net_sales],0)</f>
        <v>0</v>
      </c>
      <c r="S819" s="11">
        <f>_xlfn.XLOOKUP(TableDailySummary[[#This Row],[Fecha]],SummaryDaily[day],SummaryDaily[Rappi_orders],0)</f>
        <v>0</v>
      </c>
      <c r="T819" s="11">
        <f>_xlfn.XLOOKUP(TableDailySummary[[#This Row],[Fecha]],SummaryDaily[day],SummaryDaily[Rappi_average_order_value],0)</f>
        <v>0</v>
      </c>
      <c r="U819" s="11">
        <f>_xlfn.XLOOKUP(TableDailySummary[[#This Row],[Fecha]],SummaryDaily[day],SummaryDaily[Corporativo no tienda_net_sales],0)</f>
        <v>0</v>
      </c>
      <c r="V819" s="11">
        <f>_xlfn.XLOOKUP(TableDailySummary[[#This Row],[Fecha]],SummaryDaily[day],SummaryDaily[Corporativo no tienda_orders],0)</f>
        <v>0</v>
      </c>
      <c r="W819" s="11">
        <f>_xlfn.XLOOKUP(TableDailySummary[[#This Row],[Fecha]],SummaryDaily[day],SummaryDaily[Corporativo no tienda_average_order_value],0)</f>
        <v>0</v>
      </c>
      <c r="X819" s="11">
        <f>_xlfn.XLOOKUP(TableDailySummary[[#This Row],[Fecha]],SummaryDaily[day],SummaryDaily[GoogleAdsOperation.Cost],0)</f>
        <v>0</v>
      </c>
      <c r="Y819" s="11">
        <f>SUMIFS(SalesByUTMDaily[google],SalesByUTMDaily[day],TableDailySummary[[#This Row],[Fecha]])</f>
        <v>0</v>
      </c>
      <c r="Z819" s="11">
        <f>_xlfn.XLOOKUP(TableDailySummary[[#This Row],[Fecha]],SummaryDaily[day],SummaryDaily[MetaAdsOperation.spend],0)</f>
        <v>0</v>
      </c>
      <c r="AA819" s="11">
        <f>SUMIFS(SalesByUTMDaily[facebook],SalesByUTMDaily[day],TableDailySummary[[#This Row],[Fecha]])</f>
        <v>0</v>
      </c>
      <c r="AB819" s="11">
        <f>TableDailySummary[[#This Row],[Inversión google ads]]+TableDailySummary[[#This Row],[Inversión meta ads]]</f>
        <v>0</v>
      </c>
      <c r="AC819" s="11">
        <f>TableDailySummary[[#This Row],[Ventas google ads]]+TableDailySummary[[#This Row],[Ventas meta ads]]</f>
        <v>0</v>
      </c>
      <c r="AD819" s="14">
        <f>IFERROR(TableDailySummary[[#This Row],[Ventas publicidad]]/TableDailySummary[[#This Row],[Inversión publicidad]],0)</f>
        <v>0</v>
      </c>
      <c r="AE819" s="14">
        <f>IFERROR(TableDailySummary[[#This Row],[Ventas primer cliente]]/TableDailySummary[[#This Row],[Inversión publicidad]],0)</f>
        <v>0</v>
      </c>
      <c r="AF819" s="14"/>
      <c r="AG819" s="11"/>
      <c r="AM819" s="11">
        <f>_xlfn.XLOOKUP(TableDailySummary[[#This Row],[Fecha]],SummaryDaily[day],SummaryDaily[net_sales_with_cost_recorded],0)</f>
        <v>0</v>
      </c>
      <c r="AN819" s="11">
        <f>_xlfn.XLOOKUP(TableDailySummary[[#This Row],[Fecha]],SummaryDaily[day],SummaryDaily[cost_of_goods_sold],0)</f>
        <v>0</v>
      </c>
      <c r="AO819" s="11">
        <f>_xlfn.XLOOKUP(TableDailySummary[[#This Row],[Fecha]],SummaryDaily[day],SummaryDaily[gross_profit],0)</f>
        <v>0</v>
      </c>
      <c r="AP819" s="18">
        <f>IFERROR(TableDailySummary[[#This Row],[Utilidad bruta]]/TableDailySummary[[#This Row],[Ventas netas con costo registrado]],0)</f>
        <v>0</v>
      </c>
    </row>
    <row r="820" spans="2:42" x14ac:dyDescent="0.2">
      <c r="B820" s="15" cm="1">
        <f t="array" ref="B820">ParamFechaInicioReporte + (ROW(TableDailySummary[#This Row]) - ROW(TableDailySummary[[#Headers],[Dia]]) - 1)</f>
        <v>45347</v>
      </c>
      <c r="C820" s="6">
        <f>TableDailySummary[[#This Row],[Dia]]</f>
        <v>45347</v>
      </c>
      <c r="D820" s="11">
        <f>_xlfn.XLOOKUP(TableDailySummary[[#This Row],[Fecha]],SummaryDaily[day],SummaryDaily[net_sales],0)</f>
        <v>0</v>
      </c>
      <c r="E820" s="11">
        <f>_xlfn.XLOOKUP(TableDailySummary[[#This Row],[Fecha]],SummaryDaily[day],SummaryDaily[orders],0)</f>
        <v>0</v>
      </c>
      <c r="F820" s="11">
        <f>_xlfn.XLOOKUP(TableDailySummary[[#This Row],[Fecha]],SummaryDaily[day],SummaryDaily[average_order_value],0)</f>
        <v>0</v>
      </c>
      <c r="G820" s="24" cm="1">
        <f t="array" ref="G820">_xlfn.XLOOKUP(TableDailySummary[[#This Row],[Fecha]]&amp;"Total site",ConversionRateByReferral[day]&amp;ConversionRateByReferral[referrer_source],ConversionRateByReferral[conversion_rate],0)</f>
        <v>0</v>
      </c>
      <c r="H820" s="11">
        <f>TableDailySummary[[#This Row],[Órden promedio totales]]*TableDailySummary[[#This Row],[CR totales]]</f>
        <v>0</v>
      </c>
      <c r="I820" s="11">
        <f>_xlfn.XLOOKUP(TableDailySummary[[#This Row],[Fecha]],SummaryDaily[day],SummaryDaily[new_net_sales],0)</f>
        <v>0</v>
      </c>
      <c r="J820" s="11">
        <f>_xlfn.XLOOKUP(TableDailySummary[[#This Row],[Fecha]],SummaryDaily[day],SummaryDaily[new_orders],0)</f>
        <v>0</v>
      </c>
      <c r="K820" s="11">
        <f>_xlfn.XLOOKUP(TableDailySummary[[#This Row],[Fecha]],SummaryDaily[day],SummaryDaily[new_average_order_value],0)</f>
        <v>0</v>
      </c>
      <c r="L820" s="11">
        <f>_xlfn.XLOOKUP(TableDailySummary[[#This Row],[Fecha]],SummaryDaily[day],SummaryDaily[Online Store_net_sales],0)</f>
        <v>0</v>
      </c>
      <c r="M820" s="11">
        <f>_xlfn.XLOOKUP(TableDailySummary[[#This Row],[Fecha]],SummaryDaily[day],SummaryDaily[Online Store_orders],0)</f>
        <v>0</v>
      </c>
      <c r="N820" s="11">
        <f>_xlfn.XLOOKUP(TableDailySummary[[#This Row],[Fecha]],SummaryDaily[day],SummaryDaily[Online Store_average_order_value],0)</f>
        <v>0</v>
      </c>
      <c r="O820" s="11">
        <f>_xlfn.XLOOKUP(TableDailySummary[[#This Row],[Fecha]],SummaryDaily[day],SummaryDaily[Tienda 81_net_sales],0)</f>
        <v>0</v>
      </c>
      <c r="P820" s="11">
        <f>_xlfn.XLOOKUP(TableDailySummary[[#This Row],[Fecha]],SummaryDaily[day],SummaryDaily[Tienda 81_orders],0)</f>
        <v>0</v>
      </c>
      <c r="Q820" s="11">
        <f>_xlfn.XLOOKUP(TableDailySummary[[#This Row],[Fecha]],SummaryDaily[day],SummaryDaily[Tienda 81_average_order_value],0)</f>
        <v>0</v>
      </c>
      <c r="R820" s="11">
        <f>_xlfn.XLOOKUP(TableDailySummary[[#This Row],[Fecha]],SummaryDaily[day],SummaryDaily[Rappi_net_sales],0)</f>
        <v>0</v>
      </c>
      <c r="S820" s="11">
        <f>_xlfn.XLOOKUP(TableDailySummary[[#This Row],[Fecha]],SummaryDaily[day],SummaryDaily[Rappi_orders],0)</f>
        <v>0</v>
      </c>
      <c r="T820" s="11">
        <f>_xlfn.XLOOKUP(TableDailySummary[[#This Row],[Fecha]],SummaryDaily[day],SummaryDaily[Rappi_average_order_value],0)</f>
        <v>0</v>
      </c>
      <c r="U820" s="11">
        <f>_xlfn.XLOOKUP(TableDailySummary[[#This Row],[Fecha]],SummaryDaily[day],SummaryDaily[Corporativo no tienda_net_sales],0)</f>
        <v>0</v>
      </c>
      <c r="V820" s="11">
        <f>_xlfn.XLOOKUP(TableDailySummary[[#This Row],[Fecha]],SummaryDaily[day],SummaryDaily[Corporativo no tienda_orders],0)</f>
        <v>0</v>
      </c>
      <c r="W820" s="11">
        <f>_xlfn.XLOOKUP(TableDailySummary[[#This Row],[Fecha]],SummaryDaily[day],SummaryDaily[Corporativo no tienda_average_order_value],0)</f>
        <v>0</v>
      </c>
      <c r="X820" s="11">
        <f>_xlfn.XLOOKUP(TableDailySummary[[#This Row],[Fecha]],SummaryDaily[day],SummaryDaily[GoogleAdsOperation.Cost],0)</f>
        <v>0</v>
      </c>
      <c r="Y820" s="11">
        <f>SUMIFS(SalesByUTMDaily[google],SalesByUTMDaily[day],TableDailySummary[[#This Row],[Fecha]])</f>
        <v>0</v>
      </c>
      <c r="Z820" s="11">
        <f>_xlfn.XLOOKUP(TableDailySummary[[#This Row],[Fecha]],SummaryDaily[day],SummaryDaily[MetaAdsOperation.spend],0)</f>
        <v>0</v>
      </c>
      <c r="AA820" s="11">
        <f>SUMIFS(SalesByUTMDaily[facebook],SalesByUTMDaily[day],TableDailySummary[[#This Row],[Fecha]])</f>
        <v>0</v>
      </c>
      <c r="AB820" s="11">
        <f>TableDailySummary[[#This Row],[Inversión google ads]]+TableDailySummary[[#This Row],[Inversión meta ads]]</f>
        <v>0</v>
      </c>
      <c r="AC820" s="11">
        <f>TableDailySummary[[#This Row],[Ventas google ads]]+TableDailySummary[[#This Row],[Ventas meta ads]]</f>
        <v>0</v>
      </c>
      <c r="AD820" s="14">
        <f>IFERROR(TableDailySummary[[#This Row],[Ventas publicidad]]/TableDailySummary[[#This Row],[Inversión publicidad]],0)</f>
        <v>0</v>
      </c>
      <c r="AE820" s="14">
        <f>IFERROR(TableDailySummary[[#This Row],[Ventas primer cliente]]/TableDailySummary[[#This Row],[Inversión publicidad]],0)</f>
        <v>0</v>
      </c>
      <c r="AF820" s="14"/>
      <c r="AG820" s="11"/>
      <c r="AM820" s="11">
        <f>_xlfn.XLOOKUP(TableDailySummary[[#This Row],[Fecha]],SummaryDaily[day],SummaryDaily[net_sales_with_cost_recorded],0)</f>
        <v>0</v>
      </c>
      <c r="AN820" s="11">
        <f>_xlfn.XLOOKUP(TableDailySummary[[#This Row],[Fecha]],SummaryDaily[day],SummaryDaily[cost_of_goods_sold],0)</f>
        <v>0</v>
      </c>
      <c r="AO820" s="11">
        <f>_xlfn.XLOOKUP(TableDailySummary[[#This Row],[Fecha]],SummaryDaily[day],SummaryDaily[gross_profit],0)</f>
        <v>0</v>
      </c>
      <c r="AP820" s="18">
        <f>IFERROR(TableDailySummary[[#This Row],[Utilidad bruta]]/TableDailySummary[[#This Row],[Ventas netas con costo registrado]],0)</f>
        <v>0</v>
      </c>
    </row>
    <row r="821" spans="2:42" x14ac:dyDescent="0.2">
      <c r="B821" s="15" cm="1">
        <f t="array" ref="B821">ParamFechaInicioReporte + (ROW(TableDailySummary[#This Row]) - ROW(TableDailySummary[[#Headers],[Dia]]) - 1)</f>
        <v>45348</v>
      </c>
      <c r="C821" s="6">
        <f>TableDailySummary[[#This Row],[Dia]]</f>
        <v>45348</v>
      </c>
      <c r="D821" s="11">
        <f>_xlfn.XLOOKUP(TableDailySummary[[#This Row],[Fecha]],SummaryDaily[day],SummaryDaily[net_sales],0)</f>
        <v>0</v>
      </c>
      <c r="E821" s="11">
        <f>_xlfn.XLOOKUP(TableDailySummary[[#This Row],[Fecha]],SummaryDaily[day],SummaryDaily[orders],0)</f>
        <v>0</v>
      </c>
      <c r="F821" s="11">
        <f>_xlfn.XLOOKUP(TableDailySummary[[#This Row],[Fecha]],SummaryDaily[day],SummaryDaily[average_order_value],0)</f>
        <v>0</v>
      </c>
      <c r="G821" s="24" cm="1">
        <f t="array" ref="G821">_xlfn.XLOOKUP(TableDailySummary[[#This Row],[Fecha]]&amp;"Total site",ConversionRateByReferral[day]&amp;ConversionRateByReferral[referrer_source],ConversionRateByReferral[conversion_rate],0)</f>
        <v>0</v>
      </c>
      <c r="H821" s="11">
        <f>TableDailySummary[[#This Row],[Órden promedio totales]]*TableDailySummary[[#This Row],[CR totales]]</f>
        <v>0</v>
      </c>
      <c r="I821" s="11">
        <f>_xlfn.XLOOKUP(TableDailySummary[[#This Row],[Fecha]],SummaryDaily[day],SummaryDaily[new_net_sales],0)</f>
        <v>0</v>
      </c>
      <c r="J821" s="11">
        <f>_xlfn.XLOOKUP(TableDailySummary[[#This Row],[Fecha]],SummaryDaily[day],SummaryDaily[new_orders],0)</f>
        <v>0</v>
      </c>
      <c r="K821" s="11">
        <f>_xlfn.XLOOKUP(TableDailySummary[[#This Row],[Fecha]],SummaryDaily[day],SummaryDaily[new_average_order_value],0)</f>
        <v>0</v>
      </c>
      <c r="L821" s="11">
        <f>_xlfn.XLOOKUP(TableDailySummary[[#This Row],[Fecha]],SummaryDaily[day],SummaryDaily[Online Store_net_sales],0)</f>
        <v>0</v>
      </c>
      <c r="M821" s="11">
        <f>_xlfn.XLOOKUP(TableDailySummary[[#This Row],[Fecha]],SummaryDaily[day],SummaryDaily[Online Store_orders],0)</f>
        <v>0</v>
      </c>
      <c r="N821" s="11">
        <f>_xlfn.XLOOKUP(TableDailySummary[[#This Row],[Fecha]],SummaryDaily[day],SummaryDaily[Online Store_average_order_value],0)</f>
        <v>0</v>
      </c>
      <c r="O821" s="11">
        <f>_xlfn.XLOOKUP(TableDailySummary[[#This Row],[Fecha]],SummaryDaily[day],SummaryDaily[Tienda 81_net_sales],0)</f>
        <v>0</v>
      </c>
      <c r="P821" s="11">
        <f>_xlfn.XLOOKUP(TableDailySummary[[#This Row],[Fecha]],SummaryDaily[day],SummaryDaily[Tienda 81_orders],0)</f>
        <v>0</v>
      </c>
      <c r="Q821" s="11">
        <f>_xlfn.XLOOKUP(TableDailySummary[[#This Row],[Fecha]],SummaryDaily[day],SummaryDaily[Tienda 81_average_order_value],0)</f>
        <v>0</v>
      </c>
      <c r="R821" s="11">
        <f>_xlfn.XLOOKUP(TableDailySummary[[#This Row],[Fecha]],SummaryDaily[day],SummaryDaily[Rappi_net_sales],0)</f>
        <v>0</v>
      </c>
      <c r="S821" s="11">
        <f>_xlfn.XLOOKUP(TableDailySummary[[#This Row],[Fecha]],SummaryDaily[day],SummaryDaily[Rappi_orders],0)</f>
        <v>0</v>
      </c>
      <c r="T821" s="11">
        <f>_xlfn.XLOOKUP(TableDailySummary[[#This Row],[Fecha]],SummaryDaily[day],SummaryDaily[Rappi_average_order_value],0)</f>
        <v>0</v>
      </c>
      <c r="U821" s="11">
        <f>_xlfn.XLOOKUP(TableDailySummary[[#This Row],[Fecha]],SummaryDaily[day],SummaryDaily[Corporativo no tienda_net_sales],0)</f>
        <v>0</v>
      </c>
      <c r="V821" s="11">
        <f>_xlfn.XLOOKUP(TableDailySummary[[#This Row],[Fecha]],SummaryDaily[day],SummaryDaily[Corporativo no tienda_orders],0)</f>
        <v>0</v>
      </c>
      <c r="W821" s="11">
        <f>_xlfn.XLOOKUP(TableDailySummary[[#This Row],[Fecha]],SummaryDaily[day],SummaryDaily[Corporativo no tienda_average_order_value],0)</f>
        <v>0</v>
      </c>
      <c r="X821" s="11">
        <f>_xlfn.XLOOKUP(TableDailySummary[[#This Row],[Fecha]],SummaryDaily[day],SummaryDaily[GoogleAdsOperation.Cost],0)</f>
        <v>0</v>
      </c>
      <c r="Y821" s="11">
        <f>SUMIFS(SalesByUTMDaily[google],SalesByUTMDaily[day],TableDailySummary[[#This Row],[Fecha]])</f>
        <v>0</v>
      </c>
      <c r="Z821" s="11">
        <f>_xlfn.XLOOKUP(TableDailySummary[[#This Row],[Fecha]],SummaryDaily[day],SummaryDaily[MetaAdsOperation.spend],0)</f>
        <v>0</v>
      </c>
      <c r="AA821" s="11">
        <f>SUMIFS(SalesByUTMDaily[facebook],SalesByUTMDaily[day],TableDailySummary[[#This Row],[Fecha]])</f>
        <v>0</v>
      </c>
      <c r="AB821" s="11">
        <f>TableDailySummary[[#This Row],[Inversión google ads]]+TableDailySummary[[#This Row],[Inversión meta ads]]</f>
        <v>0</v>
      </c>
      <c r="AC821" s="11">
        <f>TableDailySummary[[#This Row],[Ventas google ads]]+TableDailySummary[[#This Row],[Ventas meta ads]]</f>
        <v>0</v>
      </c>
      <c r="AD821" s="14">
        <f>IFERROR(TableDailySummary[[#This Row],[Ventas publicidad]]/TableDailySummary[[#This Row],[Inversión publicidad]],0)</f>
        <v>0</v>
      </c>
      <c r="AE821" s="14">
        <f>IFERROR(TableDailySummary[[#This Row],[Ventas primer cliente]]/TableDailySummary[[#This Row],[Inversión publicidad]],0)</f>
        <v>0</v>
      </c>
      <c r="AF821" s="14"/>
      <c r="AG821" s="11"/>
      <c r="AM821" s="11">
        <f>_xlfn.XLOOKUP(TableDailySummary[[#This Row],[Fecha]],SummaryDaily[day],SummaryDaily[net_sales_with_cost_recorded],0)</f>
        <v>0</v>
      </c>
      <c r="AN821" s="11">
        <f>_xlfn.XLOOKUP(TableDailySummary[[#This Row],[Fecha]],SummaryDaily[day],SummaryDaily[cost_of_goods_sold],0)</f>
        <v>0</v>
      </c>
      <c r="AO821" s="11">
        <f>_xlfn.XLOOKUP(TableDailySummary[[#This Row],[Fecha]],SummaryDaily[day],SummaryDaily[gross_profit],0)</f>
        <v>0</v>
      </c>
      <c r="AP821" s="18">
        <f>IFERROR(TableDailySummary[[#This Row],[Utilidad bruta]]/TableDailySummary[[#This Row],[Ventas netas con costo registrado]],0)</f>
        <v>0</v>
      </c>
    </row>
    <row r="822" spans="2:42" x14ac:dyDescent="0.2">
      <c r="B822" s="15" cm="1">
        <f t="array" ref="B822">ParamFechaInicioReporte + (ROW(TableDailySummary[#This Row]) - ROW(TableDailySummary[[#Headers],[Dia]]) - 1)</f>
        <v>45349</v>
      </c>
      <c r="C822" s="6">
        <f>TableDailySummary[[#This Row],[Dia]]</f>
        <v>45349</v>
      </c>
      <c r="D822" s="11">
        <f>_xlfn.XLOOKUP(TableDailySummary[[#This Row],[Fecha]],SummaryDaily[day],SummaryDaily[net_sales],0)</f>
        <v>0</v>
      </c>
      <c r="E822" s="11">
        <f>_xlfn.XLOOKUP(TableDailySummary[[#This Row],[Fecha]],SummaryDaily[day],SummaryDaily[orders],0)</f>
        <v>0</v>
      </c>
      <c r="F822" s="11">
        <f>_xlfn.XLOOKUP(TableDailySummary[[#This Row],[Fecha]],SummaryDaily[day],SummaryDaily[average_order_value],0)</f>
        <v>0</v>
      </c>
      <c r="G822" s="24" cm="1">
        <f t="array" ref="G822">_xlfn.XLOOKUP(TableDailySummary[[#This Row],[Fecha]]&amp;"Total site",ConversionRateByReferral[day]&amp;ConversionRateByReferral[referrer_source],ConversionRateByReferral[conversion_rate],0)</f>
        <v>0</v>
      </c>
      <c r="H822" s="11">
        <f>TableDailySummary[[#This Row],[Órden promedio totales]]*TableDailySummary[[#This Row],[CR totales]]</f>
        <v>0</v>
      </c>
      <c r="I822" s="11">
        <f>_xlfn.XLOOKUP(TableDailySummary[[#This Row],[Fecha]],SummaryDaily[day],SummaryDaily[new_net_sales],0)</f>
        <v>0</v>
      </c>
      <c r="J822" s="11">
        <f>_xlfn.XLOOKUP(TableDailySummary[[#This Row],[Fecha]],SummaryDaily[day],SummaryDaily[new_orders],0)</f>
        <v>0</v>
      </c>
      <c r="K822" s="11">
        <f>_xlfn.XLOOKUP(TableDailySummary[[#This Row],[Fecha]],SummaryDaily[day],SummaryDaily[new_average_order_value],0)</f>
        <v>0</v>
      </c>
      <c r="L822" s="11">
        <f>_xlfn.XLOOKUP(TableDailySummary[[#This Row],[Fecha]],SummaryDaily[day],SummaryDaily[Online Store_net_sales],0)</f>
        <v>0</v>
      </c>
      <c r="M822" s="11">
        <f>_xlfn.XLOOKUP(TableDailySummary[[#This Row],[Fecha]],SummaryDaily[day],SummaryDaily[Online Store_orders],0)</f>
        <v>0</v>
      </c>
      <c r="N822" s="11">
        <f>_xlfn.XLOOKUP(TableDailySummary[[#This Row],[Fecha]],SummaryDaily[day],SummaryDaily[Online Store_average_order_value],0)</f>
        <v>0</v>
      </c>
      <c r="O822" s="11">
        <f>_xlfn.XLOOKUP(TableDailySummary[[#This Row],[Fecha]],SummaryDaily[day],SummaryDaily[Tienda 81_net_sales],0)</f>
        <v>0</v>
      </c>
      <c r="P822" s="11">
        <f>_xlfn.XLOOKUP(TableDailySummary[[#This Row],[Fecha]],SummaryDaily[day],SummaryDaily[Tienda 81_orders],0)</f>
        <v>0</v>
      </c>
      <c r="Q822" s="11">
        <f>_xlfn.XLOOKUP(TableDailySummary[[#This Row],[Fecha]],SummaryDaily[day],SummaryDaily[Tienda 81_average_order_value],0)</f>
        <v>0</v>
      </c>
      <c r="R822" s="11">
        <f>_xlfn.XLOOKUP(TableDailySummary[[#This Row],[Fecha]],SummaryDaily[day],SummaryDaily[Rappi_net_sales],0)</f>
        <v>0</v>
      </c>
      <c r="S822" s="11">
        <f>_xlfn.XLOOKUP(TableDailySummary[[#This Row],[Fecha]],SummaryDaily[day],SummaryDaily[Rappi_orders],0)</f>
        <v>0</v>
      </c>
      <c r="T822" s="11">
        <f>_xlfn.XLOOKUP(TableDailySummary[[#This Row],[Fecha]],SummaryDaily[day],SummaryDaily[Rappi_average_order_value],0)</f>
        <v>0</v>
      </c>
      <c r="U822" s="11">
        <f>_xlfn.XLOOKUP(TableDailySummary[[#This Row],[Fecha]],SummaryDaily[day],SummaryDaily[Corporativo no tienda_net_sales],0)</f>
        <v>0</v>
      </c>
      <c r="V822" s="11">
        <f>_xlfn.XLOOKUP(TableDailySummary[[#This Row],[Fecha]],SummaryDaily[day],SummaryDaily[Corporativo no tienda_orders],0)</f>
        <v>0</v>
      </c>
      <c r="W822" s="11">
        <f>_xlfn.XLOOKUP(TableDailySummary[[#This Row],[Fecha]],SummaryDaily[day],SummaryDaily[Corporativo no tienda_average_order_value],0)</f>
        <v>0</v>
      </c>
      <c r="X822" s="11">
        <f>_xlfn.XLOOKUP(TableDailySummary[[#This Row],[Fecha]],SummaryDaily[day],SummaryDaily[GoogleAdsOperation.Cost],0)</f>
        <v>0</v>
      </c>
      <c r="Y822" s="11">
        <f>SUMIFS(SalesByUTMDaily[google],SalesByUTMDaily[day],TableDailySummary[[#This Row],[Fecha]])</f>
        <v>0</v>
      </c>
      <c r="Z822" s="11">
        <f>_xlfn.XLOOKUP(TableDailySummary[[#This Row],[Fecha]],SummaryDaily[day],SummaryDaily[MetaAdsOperation.spend],0)</f>
        <v>0</v>
      </c>
      <c r="AA822" s="11">
        <f>SUMIFS(SalesByUTMDaily[facebook],SalesByUTMDaily[day],TableDailySummary[[#This Row],[Fecha]])</f>
        <v>0</v>
      </c>
      <c r="AB822" s="11">
        <f>TableDailySummary[[#This Row],[Inversión google ads]]+TableDailySummary[[#This Row],[Inversión meta ads]]</f>
        <v>0</v>
      </c>
      <c r="AC822" s="11">
        <f>TableDailySummary[[#This Row],[Ventas google ads]]+TableDailySummary[[#This Row],[Ventas meta ads]]</f>
        <v>0</v>
      </c>
      <c r="AD822" s="14">
        <f>IFERROR(TableDailySummary[[#This Row],[Ventas publicidad]]/TableDailySummary[[#This Row],[Inversión publicidad]],0)</f>
        <v>0</v>
      </c>
      <c r="AE822" s="14">
        <f>IFERROR(TableDailySummary[[#This Row],[Ventas primer cliente]]/TableDailySummary[[#This Row],[Inversión publicidad]],0)</f>
        <v>0</v>
      </c>
      <c r="AF822" s="14"/>
      <c r="AG822" s="11"/>
      <c r="AM822" s="11">
        <f>_xlfn.XLOOKUP(TableDailySummary[[#This Row],[Fecha]],SummaryDaily[day],SummaryDaily[net_sales_with_cost_recorded],0)</f>
        <v>0</v>
      </c>
      <c r="AN822" s="11">
        <f>_xlfn.XLOOKUP(TableDailySummary[[#This Row],[Fecha]],SummaryDaily[day],SummaryDaily[cost_of_goods_sold],0)</f>
        <v>0</v>
      </c>
      <c r="AO822" s="11">
        <f>_xlfn.XLOOKUP(TableDailySummary[[#This Row],[Fecha]],SummaryDaily[day],SummaryDaily[gross_profit],0)</f>
        <v>0</v>
      </c>
      <c r="AP822" s="18">
        <f>IFERROR(TableDailySummary[[#This Row],[Utilidad bruta]]/TableDailySummary[[#This Row],[Ventas netas con costo registrado]],0)</f>
        <v>0</v>
      </c>
    </row>
    <row r="823" spans="2:42" x14ac:dyDescent="0.2">
      <c r="B823" s="15" cm="1">
        <f t="array" ref="B823">ParamFechaInicioReporte + (ROW(TableDailySummary[#This Row]) - ROW(TableDailySummary[[#Headers],[Dia]]) - 1)</f>
        <v>45350</v>
      </c>
      <c r="C823" s="6">
        <f>TableDailySummary[[#This Row],[Dia]]</f>
        <v>45350</v>
      </c>
      <c r="D823" s="11">
        <f>_xlfn.XLOOKUP(TableDailySummary[[#This Row],[Fecha]],SummaryDaily[day],SummaryDaily[net_sales],0)</f>
        <v>0</v>
      </c>
      <c r="E823" s="11">
        <f>_xlfn.XLOOKUP(TableDailySummary[[#This Row],[Fecha]],SummaryDaily[day],SummaryDaily[orders],0)</f>
        <v>0</v>
      </c>
      <c r="F823" s="11">
        <f>_xlfn.XLOOKUP(TableDailySummary[[#This Row],[Fecha]],SummaryDaily[day],SummaryDaily[average_order_value],0)</f>
        <v>0</v>
      </c>
      <c r="G823" s="24" cm="1">
        <f t="array" ref="G823">_xlfn.XLOOKUP(TableDailySummary[[#This Row],[Fecha]]&amp;"Total site",ConversionRateByReferral[day]&amp;ConversionRateByReferral[referrer_source],ConversionRateByReferral[conversion_rate],0)</f>
        <v>0</v>
      </c>
      <c r="H823" s="11">
        <f>TableDailySummary[[#This Row],[Órden promedio totales]]*TableDailySummary[[#This Row],[CR totales]]</f>
        <v>0</v>
      </c>
      <c r="I823" s="11">
        <f>_xlfn.XLOOKUP(TableDailySummary[[#This Row],[Fecha]],SummaryDaily[day],SummaryDaily[new_net_sales],0)</f>
        <v>0</v>
      </c>
      <c r="J823" s="11">
        <f>_xlfn.XLOOKUP(TableDailySummary[[#This Row],[Fecha]],SummaryDaily[day],SummaryDaily[new_orders],0)</f>
        <v>0</v>
      </c>
      <c r="K823" s="11">
        <f>_xlfn.XLOOKUP(TableDailySummary[[#This Row],[Fecha]],SummaryDaily[day],SummaryDaily[new_average_order_value],0)</f>
        <v>0</v>
      </c>
      <c r="L823" s="11">
        <f>_xlfn.XLOOKUP(TableDailySummary[[#This Row],[Fecha]],SummaryDaily[day],SummaryDaily[Online Store_net_sales],0)</f>
        <v>0</v>
      </c>
      <c r="M823" s="11">
        <f>_xlfn.XLOOKUP(TableDailySummary[[#This Row],[Fecha]],SummaryDaily[day],SummaryDaily[Online Store_orders],0)</f>
        <v>0</v>
      </c>
      <c r="N823" s="11">
        <f>_xlfn.XLOOKUP(TableDailySummary[[#This Row],[Fecha]],SummaryDaily[day],SummaryDaily[Online Store_average_order_value],0)</f>
        <v>0</v>
      </c>
      <c r="O823" s="11">
        <f>_xlfn.XLOOKUP(TableDailySummary[[#This Row],[Fecha]],SummaryDaily[day],SummaryDaily[Tienda 81_net_sales],0)</f>
        <v>0</v>
      </c>
      <c r="P823" s="11">
        <f>_xlfn.XLOOKUP(TableDailySummary[[#This Row],[Fecha]],SummaryDaily[day],SummaryDaily[Tienda 81_orders],0)</f>
        <v>0</v>
      </c>
      <c r="Q823" s="11">
        <f>_xlfn.XLOOKUP(TableDailySummary[[#This Row],[Fecha]],SummaryDaily[day],SummaryDaily[Tienda 81_average_order_value],0)</f>
        <v>0</v>
      </c>
      <c r="R823" s="11">
        <f>_xlfn.XLOOKUP(TableDailySummary[[#This Row],[Fecha]],SummaryDaily[day],SummaryDaily[Rappi_net_sales],0)</f>
        <v>0</v>
      </c>
      <c r="S823" s="11">
        <f>_xlfn.XLOOKUP(TableDailySummary[[#This Row],[Fecha]],SummaryDaily[day],SummaryDaily[Rappi_orders],0)</f>
        <v>0</v>
      </c>
      <c r="T823" s="11">
        <f>_xlfn.XLOOKUP(TableDailySummary[[#This Row],[Fecha]],SummaryDaily[day],SummaryDaily[Rappi_average_order_value],0)</f>
        <v>0</v>
      </c>
      <c r="U823" s="11">
        <f>_xlfn.XLOOKUP(TableDailySummary[[#This Row],[Fecha]],SummaryDaily[day],SummaryDaily[Corporativo no tienda_net_sales],0)</f>
        <v>0</v>
      </c>
      <c r="V823" s="11">
        <f>_xlfn.XLOOKUP(TableDailySummary[[#This Row],[Fecha]],SummaryDaily[day],SummaryDaily[Corporativo no tienda_orders],0)</f>
        <v>0</v>
      </c>
      <c r="W823" s="11">
        <f>_xlfn.XLOOKUP(TableDailySummary[[#This Row],[Fecha]],SummaryDaily[day],SummaryDaily[Corporativo no tienda_average_order_value],0)</f>
        <v>0</v>
      </c>
      <c r="X823" s="11">
        <f>_xlfn.XLOOKUP(TableDailySummary[[#This Row],[Fecha]],SummaryDaily[day],SummaryDaily[GoogleAdsOperation.Cost],0)</f>
        <v>0</v>
      </c>
      <c r="Y823" s="11">
        <f>SUMIFS(SalesByUTMDaily[google],SalesByUTMDaily[day],TableDailySummary[[#This Row],[Fecha]])</f>
        <v>0</v>
      </c>
      <c r="Z823" s="11">
        <f>_xlfn.XLOOKUP(TableDailySummary[[#This Row],[Fecha]],SummaryDaily[day],SummaryDaily[MetaAdsOperation.spend],0)</f>
        <v>0</v>
      </c>
      <c r="AA823" s="11">
        <f>SUMIFS(SalesByUTMDaily[facebook],SalesByUTMDaily[day],TableDailySummary[[#This Row],[Fecha]])</f>
        <v>0</v>
      </c>
      <c r="AB823" s="11">
        <f>TableDailySummary[[#This Row],[Inversión google ads]]+TableDailySummary[[#This Row],[Inversión meta ads]]</f>
        <v>0</v>
      </c>
      <c r="AC823" s="11">
        <f>TableDailySummary[[#This Row],[Ventas google ads]]+TableDailySummary[[#This Row],[Ventas meta ads]]</f>
        <v>0</v>
      </c>
      <c r="AD823" s="14">
        <f>IFERROR(TableDailySummary[[#This Row],[Ventas publicidad]]/TableDailySummary[[#This Row],[Inversión publicidad]],0)</f>
        <v>0</v>
      </c>
      <c r="AE823" s="14">
        <f>IFERROR(TableDailySummary[[#This Row],[Ventas primer cliente]]/TableDailySummary[[#This Row],[Inversión publicidad]],0)</f>
        <v>0</v>
      </c>
      <c r="AF823" s="14"/>
      <c r="AG823" s="11"/>
      <c r="AM823" s="11">
        <f>_xlfn.XLOOKUP(TableDailySummary[[#This Row],[Fecha]],SummaryDaily[day],SummaryDaily[net_sales_with_cost_recorded],0)</f>
        <v>0</v>
      </c>
      <c r="AN823" s="11">
        <f>_xlfn.XLOOKUP(TableDailySummary[[#This Row],[Fecha]],SummaryDaily[day],SummaryDaily[cost_of_goods_sold],0)</f>
        <v>0</v>
      </c>
      <c r="AO823" s="11">
        <f>_xlfn.XLOOKUP(TableDailySummary[[#This Row],[Fecha]],SummaryDaily[day],SummaryDaily[gross_profit],0)</f>
        <v>0</v>
      </c>
      <c r="AP823" s="18">
        <f>IFERROR(TableDailySummary[[#This Row],[Utilidad bruta]]/TableDailySummary[[#This Row],[Ventas netas con costo registrado]],0)</f>
        <v>0</v>
      </c>
    </row>
    <row r="824" spans="2:42" x14ac:dyDescent="0.2">
      <c r="B824" s="15" cm="1">
        <f t="array" ref="B824">ParamFechaInicioReporte + (ROW(TableDailySummary[#This Row]) - ROW(TableDailySummary[[#Headers],[Dia]]) - 1)</f>
        <v>45351</v>
      </c>
      <c r="C824" s="6">
        <f>TableDailySummary[[#This Row],[Dia]]</f>
        <v>45351</v>
      </c>
      <c r="D824" s="11">
        <f>_xlfn.XLOOKUP(TableDailySummary[[#This Row],[Fecha]],SummaryDaily[day],SummaryDaily[net_sales],0)</f>
        <v>0</v>
      </c>
      <c r="E824" s="11">
        <f>_xlfn.XLOOKUP(TableDailySummary[[#This Row],[Fecha]],SummaryDaily[day],SummaryDaily[orders],0)</f>
        <v>0</v>
      </c>
      <c r="F824" s="11">
        <f>_xlfn.XLOOKUP(TableDailySummary[[#This Row],[Fecha]],SummaryDaily[day],SummaryDaily[average_order_value],0)</f>
        <v>0</v>
      </c>
      <c r="G824" s="24" cm="1">
        <f t="array" ref="G824">_xlfn.XLOOKUP(TableDailySummary[[#This Row],[Fecha]]&amp;"Total site",ConversionRateByReferral[day]&amp;ConversionRateByReferral[referrer_source],ConversionRateByReferral[conversion_rate],0)</f>
        <v>0</v>
      </c>
      <c r="H824" s="11">
        <f>TableDailySummary[[#This Row],[Órden promedio totales]]*TableDailySummary[[#This Row],[CR totales]]</f>
        <v>0</v>
      </c>
      <c r="I824" s="11">
        <f>_xlfn.XLOOKUP(TableDailySummary[[#This Row],[Fecha]],SummaryDaily[day],SummaryDaily[new_net_sales],0)</f>
        <v>0</v>
      </c>
      <c r="J824" s="11">
        <f>_xlfn.XLOOKUP(TableDailySummary[[#This Row],[Fecha]],SummaryDaily[day],SummaryDaily[new_orders],0)</f>
        <v>0</v>
      </c>
      <c r="K824" s="11">
        <f>_xlfn.XLOOKUP(TableDailySummary[[#This Row],[Fecha]],SummaryDaily[day],SummaryDaily[new_average_order_value],0)</f>
        <v>0</v>
      </c>
      <c r="L824" s="11">
        <f>_xlfn.XLOOKUP(TableDailySummary[[#This Row],[Fecha]],SummaryDaily[day],SummaryDaily[Online Store_net_sales],0)</f>
        <v>0</v>
      </c>
      <c r="M824" s="11">
        <f>_xlfn.XLOOKUP(TableDailySummary[[#This Row],[Fecha]],SummaryDaily[day],SummaryDaily[Online Store_orders],0)</f>
        <v>0</v>
      </c>
      <c r="N824" s="11">
        <f>_xlfn.XLOOKUP(TableDailySummary[[#This Row],[Fecha]],SummaryDaily[day],SummaryDaily[Online Store_average_order_value],0)</f>
        <v>0</v>
      </c>
      <c r="O824" s="11">
        <f>_xlfn.XLOOKUP(TableDailySummary[[#This Row],[Fecha]],SummaryDaily[day],SummaryDaily[Tienda 81_net_sales],0)</f>
        <v>0</v>
      </c>
      <c r="P824" s="11">
        <f>_xlfn.XLOOKUP(TableDailySummary[[#This Row],[Fecha]],SummaryDaily[day],SummaryDaily[Tienda 81_orders],0)</f>
        <v>0</v>
      </c>
      <c r="Q824" s="11">
        <f>_xlfn.XLOOKUP(TableDailySummary[[#This Row],[Fecha]],SummaryDaily[day],SummaryDaily[Tienda 81_average_order_value],0)</f>
        <v>0</v>
      </c>
      <c r="R824" s="11">
        <f>_xlfn.XLOOKUP(TableDailySummary[[#This Row],[Fecha]],SummaryDaily[day],SummaryDaily[Rappi_net_sales],0)</f>
        <v>0</v>
      </c>
      <c r="S824" s="11">
        <f>_xlfn.XLOOKUP(TableDailySummary[[#This Row],[Fecha]],SummaryDaily[day],SummaryDaily[Rappi_orders],0)</f>
        <v>0</v>
      </c>
      <c r="T824" s="11">
        <f>_xlfn.XLOOKUP(TableDailySummary[[#This Row],[Fecha]],SummaryDaily[day],SummaryDaily[Rappi_average_order_value],0)</f>
        <v>0</v>
      </c>
      <c r="U824" s="11">
        <f>_xlfn.XLOOKUP(TableDailySummary[[#This Row],[Fecha]],SummaryDaily[day],SummaryDaily[Corporativo no tienda_net_sales],0)</f>
        <v>0</v>
      </c>
      <c r="V824" s="11">
        <f>_xlfn.XLOOKUP(TableDailySummary[[#This Row],[Fecha]],SummaryDaily[day],SummaryDaily[Corporativo no tienda_orders],0)</f>
        <v>0</v>
      </c>
      <c r="W824" s="11">
        <f>_xlfn.XLOOKUP(TableDailySummary[[#This Row],[Fecha]],SummaryDaily[day],SummaryDaily[Corporativo no tienda_average_order_value],0)</f>
        <v>0</v>
      </c>
      <c r="X824" s="11">
        <f>_xlfn.XLOOKUP(TableDailySummary[[#This Row],[Fecha]],SummaryDaily[day],SummaryDaily[GoogleAdsOperation.Cost],0)</f>
        <v>0</v>
      </c>
      <c r="Y824" s="11">
        <f>SUMIFS(SalesByUTMDaily[google],SalesByUTMDaily[day],TableDailySummary[[#This Row],[Fecha]])</f>
        <v>0</v>
      </c>
      <c r="Z824" s="11">
        <f>_xlfn.XLOOKUP(TableDailySummary[[#This Row],[Fecha]],SummaryDaily[day],SummaryDaily[MetaAdsOperation.spend],0)</f>
        <v>0</v>
      </c>
      <c r="AA824" s="11">
        <f>SUMIFS(SalesByUTMDaily[facebook],SalesByUTMDaily[day],TableDailySummary[[#This Row],[Fecha]])</f>
        <v>0</v>
      </c>
      <c r="AB824" s="11">
        <f>TableDailySummary[[#This Row],[Inversión google ads]]+TableDailySummary[[#This Row],[Inversión meta ads]]</f>
        <v>0</v>
      </c>
      <c r="AC824" s="11">
        <f>TableDailySummary[[#This Row],[Ventas google ads]]+TableDailySummary[[#This Row],[Ventas meta ads]]</f>
        <v>0</v>
      </c>
      <c r="AD824" s="14">
        <f>IFERROR(TableDailySummary[[#This Row],[Ventas publicidad]]/TableDailySummary[[#This Row],[Inversión publicidad]],0)</f>
        <v>0</v>
      </c>
      <c r="AE824" s="14">
        <f>IFERROR(TableDailySummary[[#This Row],[Ventas primer cliente]]/TableDailySummary[[#This Row],[Inversión publicidad]],0)</f>
        <v>0</v>
      </c>
      <c r="AF824" s="14"/>
      <c r="AG824" s="11"/>
      <c r="AM824" s="11">
        <f>_xlfn.XLOOKUP(TableDailySummary[[#This Row],[Fecha]],SummaryDaily[day],SummaryDaily[net_sales_with_cost_recorded],0)</f>
        <v>0</v>
      </c>
      <c r="AN824" s="11">
        <f>_xlfn.XLOOKUP(TableDailySummary[[#This Row],[Fecha]],SummaryDaily[day],SummaryDaily[cost_of_goods_sold],0)</f>
        <v>0</v>
      </c>
      <c r="AO824" s="11">
        <f>_xlfn.XLOOKUP(TableDailySummary[[#This Row],[Fecha]],SummaryDaily[day],SummaryDaily[gross_profit],0)</f>
        <v>0</v>
      </c>
      <c r="AP824" s="18">
        <f>IFERROR(TableDailySummary[[#This Row],[Utilidad bruta]]/TableDailySummary[[#This Row],[Ventas netas con costo registrado]],0)</f>
        <v>0</v>
      </c>
    </row>
    <row r="825" spans="2:42" x14ac:dyDescent="0.2">
      <c r="B825" s="15" cm="1">
        <f t="array" ref="B825">ParamFechaInicioReporte + (ROW(TableDailySummary[#This Row]) - ROW(TableDailySummary[[#Headers],[Dia]]) - 1)</f>
        <v>45352</v>
      </c>
      <c r="C825" s="6">
        <f>TableDailySummary[[#This Row],[Dia]]</f>
        <v>45352</v>
      </c>
      <c r="D825" s="11">
        <f>_xlfn.XLOOKUP(TableDailySummary[[#This Row],[Fecha]],SummaryDaily[day],SummaryDaily[net_sales],0)</f>
        <v>0</v>
      </c>
      <c r="E825" s="11">
        <f>_xlfn.XLOOKUP(TableDailySummary[[#This Row],[Fecha]],SummaryDaily[day],SummaryDaily[orders],0)</f>
        <v>0</v>
      </c>
      <c r="F825" s="11">
        <f>_xlfn.XLOOKUP(TableDailySummary[[#This Row],[Fecha]],SummaryDaily[day],SummaryDaily[average_order_value],0)</f>
        <v>0</v>
      </c>
      <c r="G825" s="24" cm="1">
        <f t="array" ref="G825">_xlfn.XLOOKUP(TableDailySummary[[#This Row],[Fecha]]&amp;"Total site",ConversionRateByReferral[day]&amp;ConversionRateByReferral[referrer_source],ConversionRateByReferral[conversion_rate],0)</f>
        <v>0</v>
      </c>
      <c r="H825" s="11">
        <f>TableDailySummary[[#This Row],[Órden promedio totales]]*TableDailySummary[[#This Row],[CR totales]]</f>
        <v>0</v>
      </c>
      <c r="I825" s="11">
        <f>_xlfn.XLOOKUP(TableDailySummary[[#This Row],[Fecha]],SummaryDaily[day],SummaryDaily[new_net_sales],0)</f>
        <v>0</v>
      </c>
      <c r="J825" s="11">
        <f>_xlfn.XLOOKUP(TableDailySummary[[#This Row],[Fecha]],SummaryDaily[day],SummaryDaily[new_orders],0)</f>
        <v>0</v>
      </c>
      <c r="K825" s="11">
        <f>_xlfn.XLOOKUP(TableDailySummary[[#This Row],[Fecha]],SummaryDaily[day],SummaryDaily[new_average_order_value],0)</f>
        <v>0</v>
      </c>
      <c r="L825" s="11">
        <f>_xlfn.XLOOKUP(TableDailySummary[[#This Row],[Fecha]],SummaryDaily[day],SummaryDaily[Online Store_net_sales],0)</f>
        <v>0</v>
      </c>
      <c r="M825" s="11">
        <f>_xlfn.XLOOKUP(TableDailySummary[[#This Row],[Fecha]],SummaryDaily[day],SummaryDaily[Online Store_orders],0)</f>
        <v>0</v>
      </c>
      <c r="N825" s="11">
        <f>_xlfn.XLOOKUP(TableDailySummary[[#This Row],[Fecha]],SummaryDaily[day],SummaryDaily[Online Store_average_order_value],0)</f>
        <v>0</v>
      </c>
      <c r="O825" s="11">
        <f>_xlfn.XLOOKUP(TableDailySummary[[#This Row],[Fecha]],SummaryDaily[day],SummaryDaily[Tienda 81_net_sales],0)</f>
        <v>0</v>
      </c>
      <c r="P825" s="11">
        <f>_xlfn.XLOOKUP(TableDailySummary[[#This Row],[Fecha]],SummaryDaily[day],SummaryDaily[Tienda 81_orders],0)</f>
        <v>0</v>
      </c>
      <c r="Q825" s="11">
        <f>_xlfn.XLOOKUP(TableDailySummary[[#This Row],[Fecha]],SummaryDaily[day],SummaryDaily[Tienda 81_average_order_value],0)</f>
        <v>0</v>
      </c>
      <c r="R825" s="11">
        <f>_xlfn.XLOOKUP(TableDailySummary[[#This Row],[Fecha]],SummaryDaily[day],SummaryDaily[Rappi_net_sales],0)</f>
        <v>0</v>
      </c>
      <c r="S825" s="11">
        <f>_xlfn.XLOOKUP(TableDailySummary[[#This Row],[Fecha]],SummaryDaily[day],SummaryDaily[Rappi_orders],0)</f>
        <v>0</v>
      </c>
      <c r="T825" s="11">
        <f>_xlfn.XLOOKUP(TableDailySummary[[#This Row],[Fecha]],SummaryDaily[day],SummaryDaily[Rappi_average_order_value],0)</f>
        <v>0</v>
      </c>
      <c r="U825" s="11">
        <f>_xlfn.XLOOKUP(TableDailySummary[[#This Row],[Fecha]],SummaryDaily[day],SummaryDaily[Corporativo no tienda_net_sales],0)</f>
        <v>0</v>
      </c>
      <c r="V825" s="11">
        <f>_xlfn.XLOOKUP(TableDailySummary[[#This Row],[Fecha]],SummaryDaily[day],SummaryDaily[Corporativo no tienda_orders],0)</f>
        <v>0</v>
      </c>
      <c r="W825" s="11">
        <f>_xlfn.XLOOKUP(TableDailySummary[[#This Row],[Fecha]],SummaryDaily[day],SummaryDaily[Corporativo no tienda_average_order_value],0)</f>
        <v>0</v>
      </c>
      <c r="X825" s="11">
        <f>_xlfn.XLOOKUP(TableDailySummary[[#This Row],[Fecha]],SummaryDaily[day],SummaryDaily[GoogleAdsOperation.Cost],0)</f>
        <v>0</v>
      </c>
      <c r="Y825" s="11">
        <f>SUMIFS(SalesByUTMDaily[google],SalesByUTMDaily[day],TableDailySummary[[#This Row],[Fecha]])</f>
        <v>0</v>
      </c>
      <c r="Z825" s="11">
        <f>_xlfn.XLOOKUP(TableDailySummary[[#This Row],[Fecha]],SummaryDaily[day],SummaryDaily[MetaAdsOperation.spend],0)</f>
        <v>0</v>
      </c>
      <c r="AA825" s="11">
        <f>SUMIFS(SalesByUTMDaily[facebook],SalesByUTMDaily[day],TableDailySummary[[#This Row],[Fecha]])</f>
        <v>0</v>
      </c>
      <c r="AB825" s="11">
        <f>TableDailySummary[[#This Row],[Inversión google ads]]+TableDailySummary[[#This Row],[Inversión meta ads]]</f>
        <v>0</v>
      </c>
      <c r="AC825" s="11">
        <f>TableDailySummary[[#This Row],[Ventas google ads]]+TableDailySummary[[#This Row],[Ventas meta ads]]</f>
        <v>0</v>
      </c>
      <c r="AD825" s="14">
        <f>IFERROR(TableDailySummary[[#This Row],[Ventas publicidad]]/TableDailySummary[[#This Row],[Inversión publicidad]],0)</f>
        <v>0</v>
      </c>
      <c r="AE825" s="14">
        <f>IFERROR(TableDailySummary[[#This Row],[Ventas primer cliente]]/TableDailySummary[[#This Row],[Inversión publicidad]],0)</f>
        <v>0</v>
      </c>
      <c r="AF825" s="14"/>
      <c r="AG825" s="11"/>
      <c r="AM825" s="11">
        <f>_xlfn.XLOOKUP(TableDailySummary[[#This Row],[Fecha]],SummaryDaily[day],SummaryDaily[net_sales_with_cost_recorded],0)</f>
        <v>0</v>
      </c>
      <c r="AN825" s="11">
        <f>_xlfn.XLOOKUP(TableDailySummary[[#This Row],[Fecha]],SummaryDaily[day],SummaryDaily[cost_of_goods_sold],0)</f>
        <v>0</v>
      </c>
      <c r="AO825" s="11">
        <f>_xlfn.XLOOKUP(TableDailySummary[[#This Row],[Fecha]],SummaryDaily[day],SummaryDaily[gross_profit],0)</f>
        <v>0</v>
      </c>
      <c r="AP825" s="18">
        <f>IFERROR(TableDailySummary[[#This Row],[Utilidad bruta]]/TableDailySummary[[#This Row],[Ventas netas con costo registrado]],0)</f>
        <v>0</v>
      </c>
    </row>
    <row r="826" spans="2:42" x14ac:dyDescent="0.2">
      <c r="B826" s="15" cm="1">
        <f t="array" ref="B826">ParamFechaInicioReporte + (ROW(TableDailySummary[#This Row]) - ROW(TableDailySummary[[#Headers],[Dia]]) - 1)</f>
        <v>45353</v>
      </c>
      <c r="C826" s="6">
        <f>TableDailySummary[[#This Row],[Dia]]</f>
        <v>45353</v>
      </c>
      <c r="D826" s="11">
        <f>_xlfn.XLOOKUP(TableDailySummary[[#This Row],[Fecha]],SummaryDaily[day],SummaryDaily[net_sales],0)</f>
        <v>0</v>
      </c>
      <c r="E826" s="11">
        <f>_xlfn.XLOOKUP(TableDailySummary[[#This Row],[Fecha]],SummaryDaily[day],SummaryDaily[orders],0)</f>
        <v>0</v>
      </c>
      <c r="F826" s="11">
        <f>_xlfn.XLOOKUP(TableDailySummary[[#This Row],[Fecha]],SummaryDaily[day],SummaryDaily[average_order_value],0)</f>
        <v>0</v>
      </c>
      <c r="G826" s="24" cm="1">
        <f t="array" ref="G826">_xlfn.XLOOKUP(TableDailySummary[[#This Row],[Fecha]]&amp;"Total site",ConversionRateByReferral[day]&amp;ConversionRateByReferral[referrer_source],ConversionRateByReferral[conversion_rate],0)</f>
        <v>0</v>
      </c>
      <c r="H826" s="11">
        <f>TableDailySummary[[#This Row],[Órden promedio totales]]*TableDailySummary[[#This Row],[CR totales]]</f>
        <v>0</v>
      </c>
      <c r="I826" s="11">
        <f>_xlfn.XLOOKUP(TableDailySummary[[#This Row],[Fecha]],SummaryDaily[day],SummaryDaily[new_net_sales],0)</f>
        <v>0</v>
      </c>
      <c r="J826" s="11">
        <f>_xlfn.XLOOKUP(TableDailySummary[[#This Row],[Fecha]],SummaryDaily[day],SummaryDaily[new_orders],0)</f>
        <v>0</v>
      </c>
      <c r="K826" s="11">
        <f>_xlfn.XLOOKUP(TableDailySummary[[#This Row],[Fecha]],SummaryDaily[day],SummaryDaily[new_average_order_value],0)</f>
        <v>0</v>
      </c>
      <c r="L826" s="11">
        <f>_xlfn.XLOOKUP(TableDailySummary[[#This Row],[Fecha]],SummaryDaily[day],SummaryDaily[Online Store_net_sales],0)</f>
        <v>0</v>
      </c>
      <c r="M826" s="11">
        <f>_xlfn.XLOOKUP(TableDailySummary[[#This Row],[Fecha]],SummaryDaily[day],SummaryDaily[Online Store_orders],0)</f>
        <v>0</v>
      </c>
      <c r="N826" s="11">
        <f>_xlfn.XLOOKUP(TableDailySummary[[#This Row],[Fecha]],SummaryDaily[day],SummaryDaily[Online Store_average_order_value],0)</f>
        <v>0</v>
      </c>
      <c r="O826" s="11">
        <f>_xlfn.XLOOKUP(TableDailySummary[[#This Row],[Fecha]],SummaryDaily[day],SummaryDaily[Tienda 81_net_sales],0)</f>
        <v>0</v>
      </c>
      <c r="P826" s="11">
        <f>_xlfn.XLOOKUP(TableDailySummary[[#This Row],[Fecha]],SummaryDaily[day],SummaryDaily[Tienda 81_orders],0)</f>
        <v>0</v>
      </c>
      <c r="Q826" s="11">
        <f>_xlfn.XLOOKUP(TableDailySummary[[#This Row],[Fecha]],SummaryDaily[day],SummaryDaily[Tienda 81_average_order_value],0)</f>
        <v>0</v>
      </c>
      <c r="R826" s="11">
        <f>_xlfn.XLOOKUP(TableDailySummary[[#This Row],[Fecha]],SummaryDaily[day],SummaryDaily[Rappi_net_sales],0)</f>
        <v>0</v>
      </c>
      <c r="S826" s="11">
        <f>_xlfn.XLOOKUP(TableDailySummary[[#This Row],[Fecha]],SummaryDaily[day],SummaryDaily[Rappi_orders],0)</f>
        <v>0</v>
      </c>
      <c r="T826" s="11">
        <f>_xlfn.XLOOKUP(TableDailySummary[[#This Row],[Fecha]],SummaryDaily[day],SummaryDaily[Rappi_average_order_value],0)</f>
        <v>0</v>
      </c>
      <c r="U826" s="11">
        <f>_xlfn.XLOOKUP(TableDailySummary[[#This Row],[Fecha]],SummaryDaily[day],SummaryDaily[Corporativo no tienda_net_sales],0)</f>
        <v>0</v>
      </c>
      <c r="V826" s="11">
        <f>_xlfn.XLOOKUP(TableDailySummary[[#This Row],[Fecha]],SummaryDaily[day],SummaryDaily[Corporativo no tienda_orders],0)</f>
        <v>0</v>
      </c>
      <c r="W826" s="11">
        <f>_xlfn.XLOOKUP(TableDailySummary[[#This Row],[Fecha]],SummaryDaily[day],SummaryDaily[Corporativo no tienda_average_order_value],0)</f>
        <v>0</v>
      </c>
      <c r="X826" s="11">
        <f>_xlfn.XLOOKUP(TableDailySummary[[#This Row],[Fecha]],SummaryDaily[day],SummaryDaily[GoogleAdsOperation.Cost],0)</f>
        <v>0</v>
      </c>
      <c r="Y826" s="11">
        <f>SUMIFS(SalesByUTMDaily[google],SalesByUTMDaily[day],TableDailySummary[[#This Row],[Fecha]])</f>
        <v>0</v>
      </c>
      <c r="Z826" s="11">
        <f>_xlfn.XLOOKUP(TableDailySummary[[#This Row],[Fecha]],SummaryDaily[day],SummaryDaily[MetaAdsOperation.spend],0)</f>
        <v>0</v>
      </c>
      <c r="AA826" s="11">
        <f>SUMIFS(SalesByUTMDaily[facebook],SalesByUTMDaily[day],TableDailySummary[[#This Row],[Fecha]])</f>
        <v>0</v>
      </c>
      <c r="AB826" s="11">
        <f>TableDailySummary[[#This Row],[Inversión google ads]]+TableDailySummary[[#This Row],[Inversión meta ads]]</f>
        <v>0</v>
      </c>
      <c r="AC826" s="11">
        <f>TableDailySummary[[#This Row],[Ventas google ads]]+TableDailySummary[[#This Row],[Ventas meta ads]]</f>
        <v>0</v>
      </c>
      <c r="AD826" s="14">
        <f>IFERROR(TableDailySummary[[#This Row],[Ventas publicidad]]/TableDailySummary[[#This Row],[Inversión publicidad]],0)</f>
        <v>0</v>
      </c>
      <c r="AE826" s="14">
        <f>IFERROR(TableDailySummary[[#This Row],[Ventas primer cliente]]/TableDailySummary[[#This Row],[Inversión publicidad]],0)</f>
        <v>0</v>
      </c>
      <c r="AF826" s="14"/>
      <c r="AG826" s="11"/>
      <c r="AM826" s="11">
        <f>_xlfn.XLOOKUP(TableDailySummary[[#This Row],[Fecha]],SummaryDaily[day],SummaryDaily[net_sales_with_cost_recorded],0)</f>
        <v>0</v>
      </c>
      <c r="AN826" s="11">
        <f>_xlfn.XLOOKUP(TableDailySummary[[#This Row],[Fecha]],SummaryDaily[day],SummaryDaily[cost_of_goods_sold],0)</f>
        <v>0</v>
      </c>
      <c r="AO826" s="11">
        <f>_xlfn.XLOOKUP(TableDailySummary[[#This Row],[Fecha]],SummaryDaily[day],SummaryDaily[gross_profit],0)</f>
        <v>0</v>
      </c>
      <c r="AP826" s="18">
        <f>IFERROR(TableDailySummary[[#This Row],[Utilidad bruta]]/TableDailySummary[[#This Row],[Ventas netas con costo registrado]],0)</f>
        <v>0</v>
      </c>
    </row>
    <row r="827" spans="2:42" x14ac:dyDescent="0.2">
      <c r="B827" s="15" cm="1">
        <f t="array" ref="B827">ParamFechaInicioReporte + (ROW(TableDailySummary[#This Row]) - ROW(TableDailySummary[[#Headers],[Dia]]) - 1)</f>
        <v>45354</v>
      </c>
      <c r="C827" s="6">
        <f>TableDailySummary[[#This Row],[Dia]]</f>
        <v>45354</v>
      </c>
      <c r="D827" s="11">
        <f>_xlfn.XLOOKUP(TableDailySummary[[#This Row],[Fecha]],SummaryDaily[day],SummaryDaily[net_sales],0)</f>
        <v>0</v>
      </c>
      <c r="E827" s="11">
        <f>_xlfn.XLOOKUP(TableDailySummary[[#This Row],[Fecha]],SummaryDaily[day],SummaryDaily[orders],0)</f>
        <v>0</v>
      </c>
      <c r="F827" s="11">
        <f>_xlfn.XLOOKUP(TableDailySummary[[#This Row],[Fecha]],SummaryDaily[day],SummaryDaily[average_order_value],0)</f>
        <v>0</v>
      </c>
      <c r="G827" s="24" cm="1">
        <f t="array" ref="G827">_xlfn.XLOOKUP(TableDailySummary[[#This Row],[Fecha]]&amp;"Total site",ConversionRateByReferral[day]&amp;ConversionRateByReferral[referrer_source],ConversionRateByReferral[conversion_rate],0)</f>
        <v>0</v>
      </c>
      <c r="H827" s="11">
        <f>TableDailySummary[[#This Row],[Órden promedio totales]]*TableDailySummary[[#This Row],[CR totales]]</f>
        <v>0</v>
      </c>
      <c r="I827" s="11">
        <f>_xlfn.XLOOKUP(TableDailySummary[[#This Row],[Fecha]],SummaryDaily[day],SummaryDaily[new_net_sales],0)</f>
        <v>0</v>
      </c>
      <c r="J827" s="11">
        <f>_xlfn.XLOOKUP(TableDailySummary[[#This Row],[Fecha]],SummaryDaily[day],SummaryDaily[new_orders],0)</f>
        <v>0</v>
      </c>
      <c r="K827" s="11">
        <f>_xlfn.XLOOKUP(TableDailySummary[[#This Row],[Fecha]],SummaryDaily[day],SummaryDaily[new_average_order_value],0)</f>
        <v>0</v>
      </c>
      <c r="L827" s="11">
        <f>_xlfn.XLOOKUP(TableDailySummary[[#This Row],[Fecha]],SummaryDaily[day],SummaryDaily[Online Store_net_sales],0)</f>
        <v>0</v>
      </c>
      <c r="M827" s="11">
        <f>_xlfn.XLOOKUP(TableDailySummary[[#This Row],[Fecha]],SummaryDaily[day],SummaryDaily[Online Store_orders],0)</f>
        <v>0</v>
      </c>
      <c r="N827" s="11">
        <f>_xlfn.XLOOKUP(TableDailySummary[[#This Row],[Fecha]],SummaryDaily[day],SummaryDaily[Online Store_average_order_value],0)</f>
        <v>0</v>
      </c>
      <c r="O827" s="11">
        <f>_xlfn.XLOOKUP(TableDailySummary[[#This Row],[Fecha]],SummaryDaily[day],SummaryDaily[Tienda 81_net_sales],0)</f>
        <v>0</v>
      </c>
      <c r="P827" s="11">
        <f>_xlfn.XLOOKUP(TableDailySummary[[#This Row],[Fecha]],SummaryDaily[day],SummaryDaily[Tienda 81_orders],0)</f>
        <v>0</v>
      </c>
      <c r="Q827" s="11">
        <f>_xlfn.XLOOKUP(TableDailySummary[[#This Row],[Fecha]],SummaryDaily[day],SummaryDaily[Tienda 81_average_order_value],0)</f>
        <v>0</v>
      </c>
      <c r="R827" s="11">
        <f>_xlfn.XLOOKUP(TableDailySummary[[#This Row],[Fecha]],SummaryDaily[day],SummaryDaily[Rappi_net_sales],0)</f>
        <v>0</v>
      </c>
      <c r="S827" s="11">
        <f>_xlfn.XLOOKUP(TableDailySummary[[#This Row],[Fecha]],SummaryDaily[day],SummaryDaily[Rappi_orders],0)</f>
        <v>0</v>
      </c>
      <c r="T827" s="11">
        <f>_xlfn.XLOOKUP(TableDailySummary[[#This Row],[Fecha]],SummaryDaily[day],SummaryDaily[Rappi_average_order_value],0)</f>
        <v>0</v>
      </c>
      <c r="U827" s="11">
        <f>_xlfn.XLOOKUP(TableDailySummary[[#This Row],[Fecha]],SummaryDaily[day],SummaryDaily[Corporativo no tienda_net_sales],0)</f>
        <v>0</v>
      </c>
      <c r="V827" s="11">
        <f>_xlfn.XLOOKUP(TableDailySummary[[#This Row],[Fecha]],SummaryDaily[day],SummaryDaily[Corporativo no tienda_orders],0)</f>
        <v>0</v>
      </c>
      <c r="W827" s="11">
        <f>_xlfn.XLOOKUP(TableDailySummary[[#This Row],[Fecha]],SummaryDaily[day],SummaryDaily[Corporativo no tienda_average_order_value],0)</f>
        <v>0</v>
      </c>
      <c r="X827" s="11">
        <f>_xlfn.XLOOKUP(TableDailySummary[[#This Row],[Fecha]],SummaryDaily[day],SummaryDaily[GoogleAdsOperation.Cost],0)</f>
        <v>0</v>
      </c>
      <c r="Y827" s="11">
        <f>SUMIFS(SalesByUTMDaily[google],SalesByUTMDaily[day],TableDailySummary[[#This Row],[Fecha]])</f>
        <v>0</v>
      </c>
      <c r="Z827" s="11">
        <f>_xlfn.XLOOKUP(TableDailySummary[[#This Row],[Fecha]],SummaryDaily[day],SummaryDaily[MetaAdsOperation.spend],0)</f>
        <v>0</v>
      </c>
      <c r="AA827" s="11">
        <f>SUMIFS(SalesByUTMDaily[facebook],SalesByUTMDaily[day],TableDailySummary[[#This Row],[Fecha]])</f>
        <v>0</v>
      </c>
      <c r="AB827" s="11">
        <f>TableDailySummary[[#This Row],[Inversión google ads]]+TableDailySummary[[#This Row],[Inversión meta ads]]</f>
        <v>0</v>
      </c>
      <c r="AC827" s="11">
        <f>TableDailySummary[[#This Row],[Ventas google ads]]+TableDailySummary[[#This Row],[Ventas meta ads]]</f>
        <v>0</v>
      </c>
      <c r="AD827" s="14">
        <f>IFERROR(TableDailySummary[[#This Row],[Ventas publicidad]]/TableDailySummary[[#This Row],[Inversión publicidad]],0)</f>
        <v>0</v>
      </c>
      <c r="AE827" s="14">
        <f>IFERROR(TableDailySummary[[#This Row],[Ventas primer cliente]]/TableDailySummary[[#This Row],[Inversión publicidad]],0)</f>
        <v>0</v>
      </c>
      <c r="AF827" s="14"/>
      <c r="AG827" s="11"/>
      <c r="AM827" s="11">
        <f>_xlfn.XLOOKUP(TableDailySummary[[#This Row],[Fecha]],SummaryDaily[day],SummaryDaily[net_sales_with_cost_recorded],0)</f>
        <v>0</v>
      </c>
      <c r="AN827" s="11">
        <f>_xlfn.XLOOKUP(TableDailySummary[[#This Row],[Fecha]],SummaryDaily[day],SummaryDaily[cost_of_goods_sold],0)</f>
        <v>0</v>
      </c>
      <c r="AO827" s="11">
        <f>_xlfn.XLOOKUP(TableDailySummary[[#This Row],[Fecha]],SummaryDaily[day],SummaryDaily[gross_profit],0)</f>
        <v>0</v>
      </c>
      <c r="AP827" s="18">
        <f>IFERROR(TableDailySummary[[#This Row],[Utilidad bruta]]/TableDailySummary[[#This Row],[Ventas netas con costo registrado]],0)</f>
        <v>0</v>
      </c>
    </row>
    <row r="828" spans="2:42" x14ac:dyDescent="0.2">
      <c r="B828" s="15" cm="1">
        <f t="array" ref="B828">ParamFechaInicioReporte + (ROW(TableDailySummary[#This Row]) - ROW(TableDailySummary[[#Headers],[Dia]]) - 1)</f>
        <v>45355</v>
      </c>
      <c r="C828" s="6">
        <f>TableDailySummary[[#This Row],[Dia]]</f>
        <v>45355</v>
      </c>
      <c r="D828" s="11">
        <f>_xlfn.XLOOKUP(TableDailySummary[[#This Row],[Fecha]],SummaryDaily[day],SummaryDaily[net_sales],0)</f>
        <v>0</v>
      </c>
      <c r="E828" s="11">
        <f>_xlfn.XLOOKUP(TableDailySummary[[#This Row],[Fecha]],SummaryDaily[day],SummaryDaily[orders],0)</f>
        <v>0</v>
      </c>
      <c r="F828" s="11">
        <f>_xlfn.XLOOKUP(TableDailySummary[[#This Row],[Fecha]],SummaryDaily[day],SummaryDaily[average_order_value],0)</f>
        <v>0</v>
      </c>
      <c r="G828" s="24" cm="1">
        <f t="array" ref="G828">_xlfn.XLOOKUP(TableDailySummary[[#This Row],[Fecha]]&amp;"Total site",ConversionRateByReferral[day]&amp;ConversionRateByReferral[referrer_source],ConversionRateByReferral[conversion_rate],0)</f>
        <v>0</v>
      </c>
      <c r="H828" s="11">
        <f>TableDailySummary[[#This Row],[Órden promedio totales]]*TableDailySummary[[#This Row],[CR totales]]</f>
        <v>0</v>
      </c>
      <c r="I828" s="11">
        <f>_xlfn.XLOOKUP(TableDailySummary[[#This Row],[Fecha]],SummaryDaily[day],SummaryDaily[new_net_sales],0)</f>
        <v>0</v>
      </c>
      <c r="J828" s="11">
        <f>_xlfn.XLOOKUP(TableDailySummary[[#This Row],[Fecha]],SummaryDaily[day],SummaryDaily[new_orders],0)</f>
        <v>0</v>
      </c>
      <c r="K828" s="11">
        <f>_xlfn.XLOOKUP(TableDailySummary[[#This Row],[Fecha]],SummaryDaily[day],SummaryDaily[new_average_order_value],0)</f>
        <v>0</v>
      </c>
      <c r="L828" s="11">
        <f>_xlfn.XLOOKUP(TableDailySummary[[#This Row],[Fecha]],SummaryDaily[day],SummaryDaily[Online Store_net_sales],0)</f>
        <v>0</v>
      </c>
      <c r="M828" s="11">
        <f>_xlfn.XLOOKUP(TableDailySummary[[#This Row],[Fecha]],SummaryDaily[day],SummaryDaily[Online Store_orders],0)</f>
        <v>0</v>
      </c>
      <c r="N828" s="11">
        <f>_xlfn.XLOOKUP(TableDailySummary[[#This Row],[Fecha]],SummaryDaily[day],SummaryDaily[Online Store_average_order_value],0)</f>
        <v>0</v>
      </c>
      <c r="O828" s="11">
        <f>_xlfn.XLOOKUP(TableDailySummary[[#This Row],[Fecha]],SummaryDaily[day],SummaryDaily[Tienda 81_net_sales],0)</f>
        <v>0</v>
      </c>
      <c r="P828" s="11">
        <f>_xlfn.XLOOKUP(TableDailySummary[[#This Row],[Fecha]],SummaryDaily[day],SummaryDaily[Tienda 81_orders],0)</f>
        <v>0</v>
      </c>
      <c r="Q828" s="11">
        <f>_xlfn.XLOOKUP(TableDailySummary[[#This Row],[Fecha]],SummaryDaily[day],SummaryDaily[Tienda 81_average_order_value],0)</f>
        <v>0</v>
      </c>
      <c r="R828" s="11">
        <f>_xlfn.XLOOKUP(TableDailySummary[[#This Row],[Fecha]],SummaryDaily[day],SummaryDaily[Rappi_net_sales],0)</f>
        <v>0</v>
      </c>
      <c r="S828" s="11">
        <f>_xlfn.XLOOKUP(TableDailySummary[[#This Row],[Fecha]],SummaryDaily[day],SummaryDaily[Rappi_orders],0)</f>
        <v>0</v>
      </c>
      <c r="T828" s="11">
        <f>_xlfn.XLOOKUP(TableDailySummary[[#This Row],[Fecha]],SummaryDaily[day],SummaryDaily[Rappi_average_order_value],0)</f>
        <v>0</v>
      </c>
      <c r="U828" s="11">
        <f>_xlfn.XLOOKUP(TableDailySummary[[#This Row],[Fecha]],SummaryDaily[day],SummaryDaily[Corporativo no tienda_net_sales],0)</f>
        <v>0</v>
      </c>
      <c r="V828" s="11">
        <f>_xlfn.XLOOKUP(TableDailySummary[[#This Row],[Fecha]],SummaryDaily[day],SummaryDaily[Corporativo no tienda_orders],0)</f>
        <v>0</v>
      </c>
      <c r="W828" s="11">
        <f>_xlfn.XLOOKUP(TableDailySummary[[#This Row],[Fecha]],SummaryDaily[day],SummaryDaily[Corporativo no tienda_average_order_value],0)</f>
        <v>0</v>
      </c>
      <c r="X828" s="11">
        <f>_xlfn.XLOOKUP(TableDailySummary[[#This Row],[Fecha]],SummaryDaily[day],SummaryDaily[GoogleAdsOperation.Cost],0)</f>
        <v>0</v>
      </c>
      <c r="Y828" s="11">
        <f>SUMIFS(SalesByUTMDaily[google],SalesByUTMDaily[day],TableDailySummary[[#This Row],[Fecha]])</f>
        <v>0</v>
      </c>
      <c r="Z828" s="11">
        <f>_xlfn.XLOOKUP(TableDailySummary[[#This Row],[Fecha]],SummaryDaily[day],SummaryDaily[MetaAdsOperation.spend],0)</f>
        <v>0</v>
      </c>
      <c r="AA828" s="11">
        <f>SUMIFS(SalesByUTMDaily[facebook],SalesByUTMDaily[day],TableDailySummary[[#This Row],[Fecha]])</f>
        <v>0</v>
      </c>
      <c r="AB828" s="11">
        <f>TableDailySummary[[#This Row],[Inversión google ads]]+TableDailySummary[[#This Row],[Inversión meta ads]]</f>
        <v>0</v>
      </c>
      <c r="AC828" s="11">
        <f>TableDailySummary[[#This Row],[Ventas google ads]]+TableDailySummary[[#This Row],[Ventas meta ads]]</f>
        <v>0</v>
      </c>
      <c r="AD828" s="14">
        <f>IFERROR(TableDailySummary[[#This Row],[Ventas publicidad]]/TableDailySummary[[#This Row],[Inversión publicidad]],0)</f>
        <v>0</v>
      </c>
      <c r="AE828" s="14">
        <f>IFERROR(TableDailySummary[[#This Row],[Ventas primer cliente]]/TableDailySummary[[#This Row],[Inversión publicidad]],0)</f>
        <v>0</v>
      </c>
      <c r="AF828" s="14"/>
      <c r="AG828" s="11"/>
      <c r="AM828" s="11">
        <f>_xlfn.XLOOKUP(TableDailySummary[[#This Row],[Fecha]],SummaryDaily[day],SummaryDaily[net_sales_with_cost_recorded],0)</f>
        <v>0</v>
      </c>
      <c r="AN828" s="11">
        <f>_xlfn.XLOOKUP(TableDailySummary[[#This Row],[Fecha]],SummaryDaily[day],SummaryDaily[cost_of_goods_sold],0)</f>
        <v>0</v>
      </c>
      <c r="AO828" s="11">
        <f>_xlfn.XLOOKUP(TableDailySummary[[#This Row],[Fecha]],SummaryDaily[day],SummaryDaily[gross_profit],0)</f>
        <v>0</v>
      </c>
      <c r="AP828" s="18">
        <f>IFERROR(TableDailySummary[[#This Row],[Utilidad bruta]]/TableDailySummary[[#This Row],[Ventas netas con costo registrado]],0)</f>
        <v>0</v>
      </c>
    </row>
    <row r="829" spans="2:42" x14ac:dyDescent="0.2">
      <c r="B829" s="15" cm="1">
        <f t="array" ref="B829">ParamFechaInicioReporte + (ROW(TableDailySummary[#This Row]) - ROW(TableDailySummary[[#Headers],[Dia]]) - 1)</f>
        <v>45356</v>
      </c>
      <c r="C829" s="6">
        <f>TableDailySummary[[#This Row],[Dia]]</f>
        <v>45356</v>
      </c>
      <c r="D829" s="11">
        <f>_xlfn.XLOOKUP(TableDailySummary[[#This Row],[Fecha]],SummaryDaily[day],SummaryDaily[net_sales],0)</f>
        <v>0</v>
      </c>
      <c r="E829" s="11">
        <f>_xlfn.XLOOKUP(TableDailySummary[[#This Row],[Fecha]],SummaryDaily[day],SummaryDaily[orders],0)</f>
        <v>0</v>
      </c>
      <c r="F829" s="11">
        <f>_xlfn.XLOOKUP(TableDailySummary[[#This Row],[Fecha]],SummaryDaily[day],SummaryDaily[average_order_value],0)</f>
        <v>0</v>
      </c>
      <c r="G829" s="24" cm="1">
        <f t="array" ref="G829">_xlfn.XLOOKUP(TableDailySummary[[#This Row],[Fecha]]&amp;"Total site",ConversionRateByReferral[day]&amp;ConversionRateByReferral[referrer_source],ConversionRateByReferral[conversion_rate],0)</f>
        <v>0</v>
      </c>
      <c r="H829" s="11">
        <f>TableDailySummary[[#This Row],[Órden promedio totales]]*TableDailySummary[[#This Row],[CR totales]]</f>
        <v>0</v>
      </c>
      <c r="I829" s="11">
        <f>_xlfn.XLOOKUP(TableDailySummary[[#This Row],[Fecha]],SummaryDaily[day],SummaryDaily[new_net_sales],0)</f>
        <v>0</v>
      </c>
      <c r="J829" s="11">
        <f>_xlfn.XLOOKUP(TableDailySummary[[#This Row],[Fecha]],SummaryDaily[day],SummaryDaily[new_orders],0)</f>
        <v>0</v>
      </c>
      <c r="K829" s="11">
        <f>_xlfn.XLOOKUP(TableDailySummary[[#This Row],[Fecha]],SummaryDaily[day],SummaryDaily[new_average_order_value],0)</f>
        <v>0</v>
      </c>
      <c r="L829" s="11">
        <f>_xlfn.XLOOKUP(TableDailySummary[[#This Row],[Fecha]],SummaryDaily[day],SummaryDaily[Online Store_net_sales],0)</f>
        <v>0</v>
      </c>
      <c r="M829" s="11">
        <f>_xlfn.XLOOKUP(TableDailySummary[[#This Row],[Fecha]],SummaryDaily[day],SummaryDaily[Online Store_orders],0)</f>
        <v>0</v>
      </c>
      <c r="N829" s="11">
        <f>_xlfn.XLOOKUP(TableDailySummary[[#This Row],[Fecha]],SummaryDaily[day],SummaryDaily[Online Store_average_order_value],0)</f>
        <v>0</v>
      </c>
      <c r="O829" s="11">
        <f>_xlfn.XLOOKUP(TableDailySummary[[#This Row],[Fecha]],SummaryDaily[day],SummaryDaily[Tienda 81_net_sales],0)</f>
        <v>0</v>
      </c>
      <c r="P829" s="11">
        <f>_xlfn.XLOOKUP(TableDailySummary[[#This Row],[Fecha]],SummaryDaily[day],SummaryDaily[Tienda 81_orders],0)</f>
        <v>0</v>
      </c>
      <c r="Q829" s="11">
        <f>_xlfn.XLOOKUP(TableDailySummary[[#This Row],[Fecha]],SummaryDaily[day],SummaryDaily[Tienda 81_average_order_value],0)</f>
        <v>0</v>
      </c>
      <c r="R829" s="11">
        <f>_xlfn.XLOOKUP(TableDailySummary[[#This Row],[Fecha]],SummaryDaily[day],SummaryDaily[Rappi_net_sales],0)</f>
        <v>0</v>
      </c>
      <c r="S829" s="11">
        <f>_xlfn.XLOOKUP(TableDailySummary[[#This Row],[Fecha]],SummaryDaily[day],SummaryDaily[Rappi_orders],0)</f>
        <v>0</v>
      </c>
      <c r="T829" s="11">
        <f>_xlfn.XLOOKUP(TableDailySummary[[#This Row],[Fecha]],SummaryDaily[day],SummaryDaily[Rappi_average_order_value],0)</f>
        <v>0</v>
      </c>
      <c r="U829" s="11">
        <f>_xlfn.XLOOKUP(TableDailySummary[[#This Row],[Fecha]],SummaryDaily[day],SummaryDaily[Corporativo no tienda_net_sales],0)</f>
        <v>0</v>
      </c>
      <c r="V829" s="11">
        <f>_xlfn.XLOOKUP(TableDailySummary[[#This Row],[Fecha]],SummaryDaily[day],SummaryDaily[Corporativo no tienda_orders],0)</f>
        <v>0</v>
      </c>
      <c r="W829" s="11">
        <f>_xlfn.XLOOKUP(TableDailySummary[[#This Row],[Fecha]],SummaryDaily[day],SummaryDaily[Corporativo no tienda_average_order_value],0)</f>
        <v>0</v>
      </c>
      <c r="X829" s="11">
        <f>_xlfn.XLOOKUP(TableDailySummary[[#This Row],[Fecha]],SummaryDaily[day],SummaryDaily[GoogleAdsOperation.Cost],0)</f>
        <v>0</v>
      </c>
      <c r="Y829" s="11">
        <f>SUMIFS(SalesByUTMDaily[google],SalesByUTMDaily[day],TableDailySummary[[#This Row],[Fecha]])</f>
        <v>0</v>
      </c>
      <c r="Z829" s="11">
        <f>_xlfn.XLOOKUP(TableDailySummary[[#This Row],[Fecha]],SummaryDaily[day],SummaryDaily[MetaAdsOperation.spend],0)</f>
        <v>0</v>
      </c>
      <c r="AA829" s="11">
        <f>SUMIFS(SalesByUTMDaily[facebook],SalesByUTMDaily[day],TableDailySummary[[#This Row],[Fecha]])</f>
        <v>0</v>
      </c>
      <c r="AB829" s="11">
        <f>TableDailySummary[[#This Row],[Inversión google ads]]+TableDailySummary[[#This Row],[Inversión meta ads]]</f>
        <v>0</v>
      </c>
      <c r="AC829" s="11">
        <f>TableDailySummary[[#This Row],[Ventas google ads]]+TableDailySummary[[#This Row],[Ventas meta ads]]</f>
        <v>0</v>
      </c>
      <c r="AD829" s="14">
        <f>IFERROR(TableDailySummary[[#This Row],[Ventas publicidad]]/TableDailySummary[[#This Row],[Inversión publicidad]],0)</f>
        <v>0</v>
      </c>
      <c r="AE829" s="14">
        <f>IFERROR(TableDailySummary[[#This Row],[Ventas primer cliente]]/TableDailySummary[[#This Row],[Inversión publicidad]],0)</f>
        <v>0</v>
      </c>
      <c r="AF829" s="14"/>
      <c r="AG829" s="11"/>
      <c r="AM829" s="11">
        <f>_xlfn.XLOOKUP(TableDailySummary[[#This Row],[Fecha]],SummaryDaily[day],SummaryDaily[net_sales_with_cost_recorded],0)</f>
        <v>0</v>
      </c>
      <c r="AN829" s="11">
        <f>_xlfn.XLOOKUP(TableDailySummary[[#This Row],[Fecha]],SummaryDaily[day],SummaryDaily[cost_of_goods_sold],0)</f>
        <v>0</v>
      </c>
      <c r="AO829" s="11">
        <f>_xlfn.XLOOKUP(TableDailySummary[[#This Row],[Fecha]],SummaryDaily[day],SummaryDaily[gross_profit],0)</f>
        <v>0</v>
      </c>
      <c r="AP829" s="18">
        <f>IFERROR(TableDailySummary[[#This Row],[Utilidad bruta]]/TableDailySummary[[#This Row],[Ventas netas con costo registrado]],0)</f>
        <v>0</v>
      </c>
    </row>
    <row r="830" spans="2:42" x14ac:dyDescent="0.2">
      <c r="B830" s="15" cm="1">
        <f t="array" ref="B830">ParamFechaInicioReporte + (ROW(TableDailySummary[#This Row]) - ROW(TableDailySummary[[#Headers],[Dia]]) - 1)</f>
        <v>45357</v>
      </c>
      <c r="C830" s="6">
        <f>TableDailySummary[[#This Row],[Dia]]</f>
        <v>45357</v>
      </c>
      <c r="D830" s="11">
        <f>_xlfn.XLOOKUP(TableDailySummary[[#This Row],[Fecha]],SummaryDaily[day],SummaryDaily[net_sales],0)</f>
        <v>0</v>
      </c>
      <c r="E830" s="11">
        <f>_xlfn.XLOOKUP(TableDailySummary[[#This Row],[Fecha]],SummaryDaily[day],SummaryDaily[orders],0)</f>
        <v>0</v>
      </c>
      <c r="F830" s="11">
        <f>_xlfn.XLOOKUP(TableDailySummary[[#This Row],[Fecha]],SummaryDaily[day],SummaryDaily[average_order_value],0)</f>
        <v>0</v>
      </c>
      <c r="G830" s="24" cm="1">
        <f t="array" ref="G830">_xlfn.XLOOKUP(TableDailySummary[[#This Row],[Fecha]]&amp;"Total site",ConversionRateByReferral[day]&amp;ConversionRateByReferral[referrer_source],ConversionRateByReferral[conversion_rate],0)</f>
        <v>0</v>
      </c>
      <c r="H830" s="11">
        <f>TableDailySummary[[#This Row],[Órden promedio totales]]*TableDailySummary[[#This Row],[CR totales]]</f>
        <v>0</v>
      </c>
      <c r="I830" s="11">
        <f>_xlfn.XLOOKUP(TableDailySummary[[#This Row],[Fecha]],SummaryDaily[day],SummaryDaily[new_net_sales],0)</f>
        <v>0</v>
      </c>
      <c r="J830" s="11">
        <f>_xlfn.XLOOKUP(TableDailySummary[[#This Row],[Fecha]],SummaryDaily[day],SummaryDaily[new_orders],0)</f>
        <v>0</v>
      </c>
      <c r="K830" s="11">
        <f>_xlfn.XLOOKUP(TableDailySummary[[#This Row],[Fecha]],SummaryDaily[day],SummaryDaily[new_average_order_value],0)</f>
        <v>0</v>
      </c>
      <c r="L830" s="11">
        <f>_xlfn.XLOOKUP(TableDailySummary[[#This Row],[Fecha]],SummaryDaily[day],SummaryDaily[Online Store_net_sales],0)</f>
        <v>0</v>
      </c>
      <c r="M830" s="11">
        <f>_xlfn.XLOOKUP(TableDailySummary[[#This Row],[Fecha]],SummaryDaily[day],SummaryDaily[Online Store_orders],0)</f>
        <v>0</v>
      </c>
      <c r="N830" s="11">
        <f>_xlfn.XLOOKUP(TableDailySummary[[#This Row],[Fecha]],SummaryDaily[day],SummaryDaily[Online Store_average_order_value],0)</f>
        <v>0</v>
      </c>
      <c r="O830" s="11">
        <f>_xlfn.XLOOKUP(TableDailySummary[[#This Row],[Fecha]],SummaryDaily[day],SummaryDaily[Tienda 81_net_sales],0)</f>
        <v>0</v>
      </c>
      <c r="P830" s="11">
        <f>_xlfn.XLOOKUP(TableDailySummary[[#This Row],[Fecha]],SummaryDaily[day],SummaryDaily[Tienda 81_orders],0)</f>
        <v>0</v>
      </c>
      <c r="Q830" s="11">
        <f>_xlfn.XLOOKUP(TableDailySummary[[#This Row],[Fecha]],SummaryDaily[day],SummaryDaily[Tienda 81_average_order_value],0)</f>
        <v>0</v>
      </c>
      <c r="R830" s="11">
        <f>_xlfn.XLOOKUP(TableDailySummary[[#This Row],[Fecha]],SummaryDaily[day],SummaryDaily[Rappi_net_sales],0)</f>
        <v>0</v>
      </c>
      <c r="S830" s="11">
        <f>_xlfn.XLOOKUP(TableDailySummary[[#This Row],[Fecha]],SummaryDaily[day],SummaryDaily[Rappi_orders],0)</f>
        <v>0</v>
      </c>
      <c r="T830" s="11">
        <f>_xlfn.XLOOKUP(TableDailySummary[[#This Row],[Fecha]],SummaryDaily[day],SummaryDaily[Rappi_average_order_value],0)</f>
        <v>0</v>
      </c>
      <c r="U830" s="11">
        <f>_xlfn.XLOOKUP(TableDailySummary[[#This Row],[Fecha]],SummaryDaily[day],SummaryDaily[Corporativo no tienda_net_sales],0)</f>
        <v>0</v>
      </c>
      <c r="V830" s="11">
        <f>_xlfn.XLOOKUP(TableDailySummary[[#This Row],[Fecha]],SummaryDaily[day],SummaryDaily[Corporativo no tienda_orders],0)</f>
        <v>0</v>
      </c>
      <c r="W830" s="11">
        <f>_xlfn.XLOOKUP(TableDailySummary[[#This Row],[Fecha]],SummaryDaily[day],SummaryDaily[Corporativo no tienda_average_order_value],0)</f>
        <v>0</v>
      </c>
      <c r="X830" s="11">
        <f>_xlfn.XLOOKUP(TableDailySummary[[#This Row],[Fecha]],SummaryDaily[day],SummaryDaily[GoogleAdsOperation.Cost],0)</f>
        <v>0</v>
      </c>
      <c r="Y830" s="11">
        <f>SUMIFS(SalesByUTMDaily[google],SalesByUTMDaily[day],TableDailySummary[[#This Row],[Fecha]])</f>
        <v>0</v>
      </c>
      <c r="Z830" s="11">
        <f>_xlfn.XLOOKUP(TableDailySummary[[#This Row],[Fecha]],SummaryDaily[day],SummaryDaily[MetaAdsOperation.spend],0)</f>
        <v>0</v>
      </c>
      <c r="AA830" s="11">
        <f>SUMIFS(SalesByUTMDaily[facebook],SalesByUTMDaily[day],TableDailySummary[[#This Row],[Fecha]])</f>
        <v>0</v>
      </c>
      <c r="AB830" s="11">
        <f>TableDailySummary[[#This Row],[Inversión google ads]]+TableDailySummary[[#This Row],[Inversión meta ads]]</f>
        <v>0</v>
      </c>
      <c r="AC830" s="11">
        <f>TableDailySummary[[#This Row],[Ventas google ads]]+TableDailySummary[[#This Row],[Ventas meta ads]]</f>
        <v>0</v>
      </c>
      <c r="AD830" s="14">
        <f>IFERROR(TableDailySummary[[#This Row],[Ventas publicidad]]/TableDailySummary[[#This Row],[Inversión publicidad]],0)</f>
        <v>0</v>
      </c>
      <c r="AE830" s="14">
        <f>IFERROR(TableDailySummary[[#This Row],[Ventas primer cliente]]/TableDailySummary[[#This Row],[Inversión publicidad]],0)</f>
        <v>0</v>
      </c>
      <c r="AF830" s="14"/>
      <c r="AG830" s="11"/>
      <c r="AM830" s="11">
        <f>_xlfn.XLOOKUP(TableDailySummary[[#This Row],[Fecha]],SummaryDaily[day],SummaryDaily[net_sales_with_cost_recorded],0)</f>
        <v>0</v>
      </c>
      <c r="AN830" s="11">
        <f>_xlfn.XLOOKUP(TableDailySummary[[#This Row],[Fecha]],SummaryDaily[day],SummaryDaily[cost_of_goods_sold],0)</f>
        <v>0</v>
      </c>
      <c r="AO830" s="11">
        <f>_xlfn.XLOOKUP(TableDailySummary[[#This Row],[Fecha]],SummaryDaily[day],SummaryDaily[gross_profit],0)</f>
        <v>0</v>
      </c>
      <c r="AP830" s="18">
        <f>IFERROR(TableDailySummary[[#This Row],[Utilidad bruta]]/TableDailySummary[[#This Row],[Ventas netas con costo registrado]],0)</f>
        <v>0</v>
      </c>
    </row>
    <row r="831" spans="2:42" x14ac:dyDescent="0.2">
      <c r="B831" s="15" cm="1">
        <f t="array" ref="B831">ParamFechaInicioReporte + (ROW(TableDailySummary[#This Row]) - ROW(TableDailySummary[[#Headers],[Dia]]) - 1)</f>
        <v>45358</v>
      </c>
      <c r="C831" s="6">
        <f>TableDailySummary[[#This Row],[Dia]]</f>
        <v>45358</v>
      </c>
      <c r="D831" s="11">
        <f>_xlfn.XLOOKUP(TableDailySummary[[#This Row],[Fecha]],SummaryDaily[day],SummaryDaily[net_sales],0)</f>
        <v>0</v>
      </c>
      <c r="E831" s="11">
        <f>_xlfn.XLOOKUP(TableDailySummary[[#This Row],[Fecha]],SummaryDaily[day],SummaryDaily[orders],0)</f>
        <v>0</v>
      </c>
      <c r="F831" s="11">
        <f>_xlfn.XLOOKUP(TableDailySummary[[#This Row],[Fecha]],SummaryDaily[day],SummaryDaily[average_order_value],0)</f>
        <v>0</v>
      </c>
      <c r="G831" s="24" cm="1">
        <f t="array" ref="G831">_xlfn.XLOOKUP(TableDailySummary[[#This Row],[Fecha]]&amp;"Total site",ConversionRateByReferral[day]&amp;ConversionRateByReferral[referrer_source],ConversionRateByReferral[conversion_rate],0)</f>
        <v>0</v>
      </c>
      <c r="H831" s="11">
        <f>TableDailySummary[[#This Row],[Órden promedio totales]]*TableDailySummary[[#This Row],[CR totales]]</f>
        <v>0</v>
      </c>
      <c r="I831" s="11">
        <f>_xlfn.XLOOKUP(TableDailySummary[[#This Row],[Fecha]],SummaryDaily[day],SummaryDaily[new_net_sales],0)</f>
        <v>0</v>
      </c>
      <c r="J831" s="11">
        <f>_xlfn.XLOOKUP(TableDailySummary[[#This Row],[Fecha]],SummaryDaily[day],SummaryDaily[new_orders],0)</f>
        <v>0</v>
      </c>
      <c r="K831" s="11">
        <f>_xlfn.XLOOKUP(TableDailySummary[[#This Row],[Fecha]],SummaryDaily[day],SummaryDaily[new_average_order_value],0)</f>
        <v>0</v>
      </c>
      <c r="L831" s="11">
        <f>_xlfn.XLOOKUP(TableDailySummary[[#This Row],[Fecha]],SummaryDaily[day],SummaryDaily[Online Store_net_sales],0)</f>
        <v>0</v>
      </c>
      <c r="M831" s="11">
        <f>_xlfn.XLOOKUP(TableDailySummary[[#This Row],[Fecha]],SummaryDaily[day],SummaryDaily[Online Store_orders],0)</f>
        <v>0</v>
      </c>
      <c r="N831" s="11">
        <f>_xlfn.XLOOKUP(TableDailySummary[[#This Row],[Fecha]],SummaryDaily[day],SummaryDaily[Online Store_average_order_value],0)</f>
        <v>0</v>
      </c>
      <c r="O831" s="11">
        <f>_xlfn.XLOOKUP(TableDailySummary[[#This Row],[Fecha]],SummaryDaily[day],SummaryDaily[Tienda 81_net_sales],0)</f>
        <v>0</v>
      </c>
      <c r="P831" s="11">
        <f>_xlfn.XLOOKUP(TableDailySummary[[#This Row],[Fecha]],SummaryDaily[day],SummaryDaily[Tienda 81_orders],0)</f>
        <v>0</v>
      </c>
      <c r="Q831" s="11">
        <f>_xlfn.XLOOKUP(TableDailySummary[[#This Row],[Fecha]],SummaryDaily[day],SummaryDaily[Tienda 81_average_order_value],0)</f>
        <v>0</v>
      </c>
      <c r="R831" s="11">
        <f>_xlfn.XLOOKUP(TableDailySummary[[#This Row],[Fecha]],SummaryDaily[day],SummaryDaily[Rappi_net_sales],0)</f>
        <v>0</v>
      </c>
      <c r="S831" s="11">
        <f>_xlfn.XLOOKUP(TableDailySummary[[#This Row],[Fecha]],SummaryDaily[day],SummaryDaily[Rappi_orders],0)</f>
        <v>0</v>
      </c>
      <c r="T831" s="11">
        <f>_xlfn.XLOOKUP(TableDailySummary[[#This Row],[Fecha]],SummaryDaily[day],SummaryDaily[Rappi_average_order_value],0)</f>
        <v>0</v>
      </c>
      <c r="U831" s="11">
        <f>_xlfn.XLOOKUP(TableDailySummary[[#This Row],[Fecha]],SummaryDaily[day],SummaryDaily[Corporativo no tienda_net_sales],0)</f>
        <v>0</v>
      </c>
      <c r="V831" s="11">
        <f>_xlfn.XLOOKUP(TableDailySummary[[#This Row],[Fecha]],SummaryDaily[day],SummaryDaily[Corporativo no tienda_orders],0)</f>
        <v>0</v>
      </c>
      <c r="W831" s="11">
        <f>_xlfn.XLOOKUP(TableDailySummary[[#This Row],[Fecha]],SummaryDaily[day],SummaryDaily[Corporativo no tienda_average_order_value],0)</f>
        <v>0</v>
      </c>
      <c r="X831" s="11">
        <f>_xlfn.XLOOKUP(TableDailySummary[[#This Row],[Fecha]],SummaryDaily[day],SummaryDaily[GoogleAdsOperation.Cost],0)</f>
        <v>0</v>
      </c>
      <c r="Y831" s="11">
        <f>SUMIFS(SalesByUTMDaily[google],SalesByUTMDaily[day],TableDailySummary[[#This Row],[Fecha]])</f>
        <v>0</v>
      </c>
      <c r="Z831" s="11">
        <f>_xlfn.XLOOKUP(TableDailySummary[[#This Row],[Fecha]],SummaryDaily[day],SummaryDaily[MetaAdsOperation.spend],0)</f>
        <v>0</v>
      </c>
      <c r="AA831" s="11">
        <f>SUMIFS(SalesByUTMDaily[facebook],SalesByUTMDaily[day],TableDailySummary[[#This Row],[Fecha]])</f>
        <v>0</v>
      </c>
      <c r="AB831" s="11">
        <f>TableDailySummary[[#This Row],[Inversión google ads]]+TableDailySummary[[#This Row],[Inversión meta ads]]</f>
        <v>0</v>
      </c>
      <c r="AC831" s="11">
        <f>TableDailySummary[[#This Row],[Ventas google ads]]+TableDailySummary[[#This Row],[Ventas meta ads]]</f>
        <v>0</v>
      </c>
      <c r="AD831" s="14">
        <f>IFERROR(TableDailySummary[[#This Row],[Ventas publicidad]]/TableDailySummary[[#This Row],[Inversión publicidad]],0)</f>
        <v>0</v>
      </c>
      <c r="AE831" s="14">
        <f>IFERROR(TableDailySummary[[#This Row],[Ventas primer cliente]]/TableDailySummary[[#This Row],[Inversión publicidad]],0)</f>
        <v>0</v>
      </c>
      <c r="AF831" s="14"/>
      <c r="AG831" s="11"/>
      <c r="AM831" s="11">
        <f>_xlfn.XLOOKUP(TableDailySummary[[#This Row],[Fecha]],SummaryDaily[day],SummaryDaily[net_sales_with_cost_recorded],0)</f>
        <v>0</v>
      </c>
      <c r="AN831" s="11">
        <f>_xlfn.XLOOKUP(TableDailySummary[[#This Row],[Fecha]],SummaryDaily[day],SummaryDaily[cost_of_goods_sold],0)</f>
        <v>0</v>
      </c>
      <c r="AO831" s="11">
        <f>_xlfn.XLOOKUP(TableDailySummary[[#This Row],[Fecha]],SummaryDaily[day],SummaryDaily[gross_profit],0)</f>
        <v>0</v>
      </c>
      <c r="AP831" s="18">
        <f>IFERROR(TableDailySummary[[#This Row],[Utilidad bruta]]/TableDailySummary[[#This Row],[Ventas netas con costo registrado]],0)</f>
        <v>0</v>
      </c>
    </row>
    <row r="832" spans="2:42" x14ac:dyDescent="0.2">
      <c r="B832" s="15" cm="1">
        <f t="array" ref="B832">ParamFechaInicioReporte + (ROW(TableDailySummary[#This Row]) - ROW(TableDailySummary[[#Headers],[Dia]]) - 1)</f>
        <v>45359</v>
      </c>
      <c r="C832" s="6">
        <f>TableDailySummary[[#This Row],[Dia]]</f>
        <v>45359</v>
      </c>
      <c r="D832" s="11">
        <f>_xlfn.XLOOKUP(TableDailySummary[[#This Row],[Fecha]],SummaryDaily[day],SummaryDaily[net_sales],0)</f>
        <v>0</v>
      </c>
      <c r="E832" s="11">
        <f>_xlfn.XLOOKUP(TableDailySummary[[#This Row],[Fecha]],SummaryDaily[day],SummaryDaily[orders],0)</f>
        <v>0</v>
      </c>
      <c r="F832" s="11">
        <f>_xlfn.XLOOKUP(TableDailySummary[[#This Row],[Fecha]],SummaryDaily[day],SummaryDaily[average_order_value],0)</f>
        <v>0</v>
      </c>
      <c r="G832" s="24" cm="1">
        <f t="array" ref="G832">_xlfn.XLOOKUP(TableDailySummary[[#This Row],[Fecha]]&amp;"Total site",ConversionRateByReferral[day]&amp;ConversionRateByReferral[referrer_source],ConversionRateByReferral[conversion_rate],0)</f>
        <v>0</v>
      </c>
      <c r="H832" s="11">
        <f>TableDailySummary[[#This Row],[Órden promedio totales]]*TableDailySummary[[#This Row],[CR totales]]</f>
        <v>0</v>
      </c>
      <c r="I832" s="11">
        <f>_xlfn.XLOOKUP(TableDailySummary[[#This Row],[Fecha]],SummaryDaily[day],SummaryDaily[new_net_sales],0)</f>
        <v>0</v>
      </c>
      <c r="J832" s="11">
        <f>_xlfn.XLOOKUP(TableDailySummary[[#This Row],[Fecha]],SummaryDaily[day],SummaryDaily[new_orders],0)</f>
        <v>0</v>
      </c>
      <c r="K832" s="11">
        <f>_xlfn.XLOOKUP(TableDailySummary[[#This Row],[Fecha]],SummaryDaily[day],SummaryDaily[new_average_order_value],0)</f>
        <v>0</v>
      </c>
      <c r="L832" s="11">
        <f>_xlfn.XLOOKUP(TableDailySummary[[#This Row],[Fecha]],SummaryDaily[day],SummaryDaily[Online Store_net_sales],0)</f>
        <v>0</v>
      </c>
      <c r="M832" s="11">
        <f>_xlfn.XLOOKUP(TableDailySummary[[#This Row],[Fecha]],SummaryDaily[day],SummaryDaily[Online Store_orders],0)</f>
        <v>0</v>
      </c>
      <c r="N832" s="11">
        <f>_xlfn.XLOOKUP(TableDailySummary[[#This Row],[Fecha]],SummaryDaily[day],SummaryDaily[Online Store_average_order_value],0)</f>
        <v>0</v>
      </c>
      <c r="O832" s="11">
        <f>_xlfn.XLOOKUP(TableDailySummary[[#This Row],[Fecha]],SummaryDaily[day],SummaryDaily[Tienda 81_net_sales],0)</f>
        <v>0</v>
      </c>
      <c r="P832" s="11">
        <f>_xlfn.XLOOKUP(TableDailySummary[[#This Row],[Fecha]],SummaryDaily[day],SummaryDaily[Tienda 81_orders],0)</f>
        <v>0</v>
      </c>
      <c r="Q832" s="11">
        <f>_xlfn.XLOOKUP(TableDailySummary[[#This Row],[Fecha]],SummaryDaily[day],SummaryDaily[Tienda 81_average_order_value],0)</f>
        <v>0</v>
      </c>
      <c r="R832" s="11">
        <f>_xlfn.XLOOKUP(TableDailySummary[[#This Row],[Fecha]],SummaryDaily[day],SummaryDaily[Rappi_net_sales],0)</f>
        <v>0</v>
      </c>
      <c r="S832" s="11">
        <f>_xlfn.XLOOKUP(TableDailySummary[[#This Row],[Fecha]],SummaryDaily[day],SummaryDaily[Rappi_orders],0)</f>
        <v>0</v>
      </c>
      <c r="T832" s="11">
        <f>_xlfn.XLOOKUP(TableDailySummary[[#This Row],[Fecha]],SummaryDaily[day],SummaryDaily[Rappi_average_order_value],0)</f>
        <v>0</v>
      </c>
      <c r="U832" s="11">
        <f>_xlfn.XLOOKUP(TableDailySummary[[#This Row],[Fecha]],SummaryDaily[day],SummaryDaily[Corporativo no tienda_net_sales],0)</f>
        <v>0</v>
      </c>
      <c r="V832" s="11">
        <f>_xlfn.XLOOKUP(TableDailySummary[[#This Row],[Fecha]],SummaryDaily[day],SummaryDaily[Corporativo no tienda_orders],0)</f>
        <v>0</v>
      </c>
      <c r="W832" s="11">
        <f>_xlfn.XLOOKUP(TableDailySummary[[#This Row],[Fecha]],SummaryDaily[day],SummaryDaily[Corporativo no tienda_average_order_value],0)</f>
        <v>0</v>
      </c>
      <c r="X832" s="11">
        <f>_xlfn.XLOOKUP(TableDailySummary[[#This Row],[Fecha]],SummaryDaily[day],SummaryDaily[GoogleAdsOperation.Cost],0)</f>
        <v>0</v>
      </c>
      <c r="Y832" s="11">
        <f>SUMIFS(SalesByUTMDaily[google],SalesByUTMDaily[day],TableDailySummary[[#This Row],[Fecha]])</f>
        <v>0</v>
      </c>
      <c r="Z832" s="11">
        <f>_xlfn.XLOOKUP(TableDailySummary[[#This Row],[Fecha]],SummaryDaily[day],SummaryDaily[MetaAdsOperation.spend],0)</f>
        <v>0</v>
      </c>
      <c r="AA832" s="11">
        <f>SUMIFS(SalesByUTMDaily[facebook],SalesByUTMDaily[day],TableDailySummary[[#This Row],[Fecha]])</f>
        <v>0</v>
      </c>
      <c r="AB832" s="11">
        <f>TableDailySummary[[#This Row],[Inversión google ads]]+TableDailySummary[[#This Row],[Inversión meta ads]]</f>
        <v>0</v>
      </c>
      <c r="AC832" s="11">
        <f>TableDailySummary[[#This Row],[Ventas google ads]]+TableDailySummary[[#This Row],[Ventas meta ads]]</f>
        <v>0</v>
      </c>
      <c r="AD832" s="14">
        <f>IFERROR(TableDailySummary[[#This Row],[Ventas publicidad]]/TableDailySummary[[#This Row],[Inversión publicidad]],0)</f>
        <v>0</v>
      </c>
      <c r="AE832" s="14">
        <f>IFERROR(TableDailySummary[[#This Row],[Ventas primer cliente]]/TableDailySummary[[#This Row],[Inversión publicidad]],0)</f>
        <v>0</v>
      </c>
      <c r="AF832" s="14"/>
      <c r="AG832" s="11"/>
      <c r="AM832" s="11">
        <f>_xlfn.XLOOKUP(TableDailySummary[[#This Row],[Fecha]],SummaryDaily[day],SummaryDaily[net_sales_with_cost_recorded],0)</f>
        <v>0</v>
      </c>
      <c r="AN832" s="11">
        <f>_xlfn.XLOOKUP(TableDailySummary[[#This Row],[Fecha]],SummaryDaily[day],SummaryDaily[cost_of_goods_sold],0)</f>
        <v>0</v>
      </c>
      <c r="AO832" s="11">
        <f>_xlfn.XLOOKUP(TableDailySummary[[#This Row],[Fecha]],SummaryDaily[day],SummaryDaily[gross_profit],0)</f>
        <v>0</v>
      </c>
      <c r="AP832" s="18">
        <f>IFERROR(TableDailySummary[[#This Row],[Utilidad bruta]]/TableDailySummary[[#This Row],[Ventas netas con costo registrado]],0)</f>
        <v>0</v>
      </c>
    </row>
    <row r="833" spans="2:42" x14ac:dyDescent="0.2">
      <c r="B833" s="15" cm="1">
        <f t="array" ref="B833">ParamFechaInicioReporte + (ROW(TableDailySummary[#This Row]) - ROW(TableDailySummary[[#Headers],[Dia]]) - 1)</f>
        <v>45360</v>
      </c>
      <c r="C833" s="6">
        <f>TableDailySummary[[#This Row],[Dia]]</f>
        <v>45360</v>
      </c>
      <c r="D833" s="11">
        <f>_xlfn.XLOOKUP(TableDailySummary[[#This Row],[Fecha]],SummaryDaily[day],SummaryDaily[net_sales],0)</f>
        <v>0</v>
      </c>
      <c r="E833" s="11">
        <f>_xlfn.XLOOKUP(TableDailySummary[[#This Row],[Fecha]],SummaryDaily[day],SummaryDaily[orders],0)</f>
        <v>0</v>
      </c>
      <c r="F833" s="11">
        <f>_xlfn.XLOOKUP(TableDailySummary[[#This Row],[Fecha]],SummaryDaily[day],SummaryDaily[average_order_value],0)</f>
        <v>0</v>
      </c>
      <c r="G833" s="24" cm="1">
        <f t="array" ref="G833">_xlfn.XLOOKUP(TableDailySummary[[#This Row],[Fecha]]&amp;"Total site",ConversionRateByReferral[day]&amp;ConversionRateByReferral[referrer_source],ConversionRateByReferral[conversion_rate],0)</f>
        <v>0</v>
      </c>
      <c r="H833" s="11">
        <f>TableDailySummary[[#This Row],[Órden promedio totales]]*TableDailySummary[[#This Row],[CR totales]]</f>
        <v>0</v>
      </c>
      <c r="I833" s="11">
        <f>_xlfn.XLOOKUP(TableDailySummary[[#This Row],[Fecha]],SummaryDaily[day],SummaryDaily[new_net_sales],0)</f>
        <v>0</v>
      </c>
      <c r="J833" s="11">
        <f>_xlfn.XLOOKUP(TableDailySummary[[#This Row],[Fecha]],SummaryDaily[day],SummaryDaily[new_orders],0)</f>
        <v>0</v>
      </c>
      <c r="K833" s="11">
        <f>_xlfn.XLOOKUP(TableDailySummary[[#This Row],[Fecha]],SummaryDaily[day],SummaryDaily[new_average_order_value],0)</f>
        <v>0</v>
      </c>
      <c r="L833" s="11">
        <f>_xlfn.XLOOKUP(TableDailySummary[[#This Row],[Fecha]],SummaryDaily[day],SummaryDaily[Online Store_net_sales],0)</f>
        <v>0</v>
      </c>
      <c r="M833" s="11">
        <f>_xlfn.XLOOKUP(TableDailySummary[[#This Row],[Fecha]],SummaryDaily[day],SummaryDaily[Online Store_orders],0)</f>
        <v>0</v>
      </c>
      <c r="N833" s="11">
        <f>_xlfn.XLOOKUP(TableDailySummary[[#This Row],[Fecha]],SummaryDaily[day],SummaryDaily[Online Store_average_order_value],0)</f>
        <v>0</v>
      </c>
      <c r="O833" s="11">
        <f>_xlfn.XLOOKUP(TableDailySummary[[#This Row],[Fecha]],SummaryDaily[day],SummaryDaily[Tienda 81_net_sales],0)</f>
        <v>0</v>
      </c>
      <c r="P833" s="11">
        <f>_xlfn.XLOOKUP(TableDailySummary[[#This Row],[Fecha]],SummaryDaily[day],SummaryDaily[Tienda 81_orders],0)</f>
        <v>0</v>
      </c>
      <c r="Q833" s="11">
        <f>_xlfn.XLOOKUP(TableDailySummary[[#This Row],[Fecha]],SummaryDaily[day],SummaryDaily[Tienda 81_average_order_value],0)</f>
        <v>0</v>
      </c>
      <c r="R833" s="11">
        <f>_xlfn.XLOOKUP(TableDailySummary[[#This Row],[Fecha]],SummaryDaily[day],SummaryDaily[Rappi_net_sales],0)</f>
        <v>0</v>
      </c>
      <c r="S833" s="11">
        <f>_xlfn.XLOOKUP(TableDailySummary[[#This Row],[Fecha]],SummaryDaily[day],SummaryDaily[Rappi_orders],0)</f>
        <v>0</v>
      </c>
      <c r="T833" s="11">
        <f>_xlfn.XLOOKUP(TableDailySummary[[#This Row],[Fecha]],SummaryDaily[day],SummaryDaily[Rappi_average_order_value],0)</f>
        <v>0</v>
      </c>
      <c r="U833" s="11">
        <f>_xlfn.XLOOKUP(TableDailySummary[[#This Row],[Fecha]],SummaryDaily[day],SummaryDaily[Corporativo no tienda_net_sales],0)</f>
        <v>0</v>
      </c>
      <c r="V833" s="11">
        <f>_xlfn.XLOOKUP(TableDailySummary[[#This Row],[Fecha]],SummaryDaily[day],SummaryDaily[Corporativo no tienda_orders],0)</f>
        <v>0</v>
      </c>
      <c r="W833" s="11">
        <f>_xlfn.XLOOKUP(TableDailySummary[[#This Row],[Fecha]],SummaryDaily[day],SummaryDaily[Corporativo no tienda_average_order_value],0)</f>
        <v>0</v>
      </c>
      <c r="X833" s="11">
        <f>_xlfn.XLOOKUP(TableDailySummary[[#This Row],[Fecha]],SummaryDaily[day],SummaryDaily[GoogleAdsOperation.Cost],0)</f>
        <v>0</v>
      </c>
      <c r="Y833" s="11">
        <f>SUMIFS(SalesByUTMDaily[google],SalesByUTMDaily[day],TableDailySummary[[#This Row],[Fecha]])</f>
        <v>0</v>
      </c>
      <c r="Z833" s="11">
        <f>_xlfn.XLOOKUP(TableDailySummary[[#This Row],[Fecha]],SummaryDaily[day],SummaryDaily[MetaAdsOperation.spend],0)</f>
        <v>0</v>
      </c>
      <c r="AA833" s="11">
        <f>SUMIFS(SalesByUTMDaily[facebook],SalesByUTMDaily[day],TableDailySummary[[#This Row],[Fecha]])</f>
        <v>0</v>
      </c>
      <c r="AB833" s="11">
        <f>TableDailySummary[[#This Row],[Inversión google ads]]+TableDailySummary[[#This Row],[Inversión meta ads]]</f>
        <v>0</v>
      </c>
      <c r="AC833" s="11">
        <f>TableDailySummary[[#This Row],[Ventas google ads]]+TableDailySummary[[#This Row],[Ventas meta ads]]</f>
        <v>0</v>
      </c>
      <c r="AD833" s="14">
        <f>IFERROR(TableDailySummary[[#This Row],[Ventas publicidad]]/TableDailySummary[[#This Row],[Inversión publicidad]],0)</f>
        <v>0</v>
      </c>
      <c r="AE833" s="14">
        <f>IFERROR(TableDailySummary[[#This Row],[Ventas primer cliente]]/TableDailySummary[[#This Row],[Inversión publicidad]],0)</f>
        <v>0</v>
      </c>
      <c r="AF833" s="14"/>
      <c r="AG833" s="11"/>
      <c r="AM833" s="11">
        <f>_xlfn.XLOOKUP(TableDailySummary[[#This Row],[Fecha]],SummaryDaily[day],SummaryDaily[net_sales_with_cost_recorded],0)</f>
        <v>0</v>
      </c>
      <c r="AN833" s="11">
        <f>_xlfn.XLOOKUP(TableDailySummary[[#This Row],[Fecha]],SummaryDaily[day],SummaryDaily[cost_of_goods_sold],0)</f>
        <v>0</v>
      </c>
      <c r="AO833" s="11">
        <f>_xlfn.XLOOKUP(TableDailySummary[[#This Row],[Fecha]],SummaryDaily[day],SummaryDaily[gross_profit],0)</f>
        <v>0</v>
      </c>
      <c r="AP833" s="18">
        <f>IFERROR(TableDailySummary[[#This Row],[Utilidad bruta]]/TableDailySummary[[#This Row],[Ventas netas con costo registrado]],0)</f>
        <v>0</v>
      </c>
    </row>
    <row r="834" spans="2:42" x14ac:dyDescent="0.2">
      <c r="B834" s="15" cm="1">
        <f t="array" ref="B834">ParamFechaInicioReporte + (ROW(TableDailySummary[#This Row]) - ROW(TableDailySummary[[#Headers],[Dia]]) - 1)</f>
        <v>45361</v>
      </c>
      <c r="C834" s="6">
        <f>TableDailySummary[[#This Row],[Dia]]</f>
        <v>45361</v>
      </c>
      <c r="D834" s="11">
        <f>_xlfn.XLOOKUP(TableDailySummary[[#This Row],[Fecha]],SummaryDaily[day],SummaryDaily[net_sales],0)</f>
        <v>0</v>
      </c>
      <c r="E834" s="11">
        <f>_xlfn.XLOOKUP(TableDailySummary[[#This Row],[Fecha]],SummaryDaily[day],SummaryDaily[orders],0)</f>
        <v>0</v>
      </c>
      <c r="F834" s="11">
        <f>_xlfn.XLOOKUP(TableDailySummary[[#This Row],[Fecha]],SummaryDaily[day],SummaryDaily[average_order_value],0)</f>
        <v>0</v>
      </c>
      <c r="G834" s="24" cm="1">
        <f t="array" ref="G834">_xlfn.XLOOKUP(TableDailySummary[[#This Row],[Fecha]]&amp;"Total site",ConversionRateByReferral[day]&amp;ConversionRateByReferral[referrer_source],ConversionRateByReferral[conversion_rate],0)</f>
        <v>0</v>
      </c>
      <c r="H834" s="11">
        <f>TableDailySummary[[#This Row],[Órden promedio totales]]*TableDailySummary[[#This Row],[CR totales]]</f>
        <v>0</v>
      </c>
      <c r="I834" s="11">
        <f>_xlfn.XLOOKUP(TableDailySummary[[#This Row],[Fecha]],SummaryDaily[day],SummaryDaily[new_net_sales],0)</f>
        <v>0</v>
      </c>
      <c r="J834" s="11">
        <f>_xlfn.XLOOKUP(TableDailySummary[[#This Row],[Fecha]],SummaryDaily[day],SummaryDaily[new_orders],0)</f>
        <v>0</v>
      </c>
      <c r="K834" s="11">
        <f>_xlfn.XLOOKUP(TableDailySummary[[#This Row],[Fecha]],SummaryDaily[day],SummaryDaily[new_average_order_value],0)</f>
        <v>0</v>
      </c>
      <c r="L834" s="11">
        <f>_xlfn.XLOOKUP(TableDailySummary[[#This Row],[Fecha]],SummaryDaily[day],SummaryDaily[Online Store_net_sales],0)</f>
        <v>0</v>
      </c>
      <c r="M834" s="11">
        <f>_xlfn.XLOOKUP(TableDailySummary[[#This Row],[Fecha]],SummaryDaily[day],SummaryDaily[Online Store_orders],0)</f>
        <v>0</v>
      </c>
      <c r="N834" s="11">
        <f>_xlfn.XLOOKUP(TableDailySummary[[#This Row],[Fecha]],SummaryDaily[day],SummaryDaily[Online Store_average_order_value],0)</f>
        <v>0</v>
      </c>
      <c r="O834" s="11">
        <f>_xlfn.XLOOKUP(TableDailySummary[[#This Row],[Fecha]],SummaryDaily[day],SummaryDaily[Tienda 81_net_sales],0)</f>
        <v>0</v>
      </c>
      <c r="P834" s="11">
        <f>_xlfn.XLOOKUP(TableDailySummary[[#This Row],[Fecha]],SummaryDaily[day],SummaryDaily[Tienda 81_orders],0)</f>
        <v>0</v>
      </c>
      <c r="Q834" s="11">
        <f>_xlfn.XLOOKUP(TableDailySummary[[#This Row],[Fecha]],SummaryDaily[day],SummaryDaily[Tienda 81_average_order_value],0)</f>
        <v>0</v>
      </c>
      <c r="R834" s="11">
        <f>_xlfn.XLOOKUP(TableDailySummary[[#This Row],[Fecha]],SummaryDaily[day],SummaryDaily[Rappi_net_sales],0)</f>
        <v>0</v>
      </c>
      <c r="S834" s="11">
        <f>_xlfn.XLOOKUP(TableDailySummary[[#This Row],[Fecha]],SummaryDaily[day],SummaryDaily[Rappi_orders],0)</f>
        <v>0</v>
      </c>
      <c r="T834" s="11">
        <f>_xlfn.XLOOKUP(TableDailySummary[[#This Row],[Fecha]],SummaryDaily[day],SummaryDaily[Rappi_average_order_value],0)</f>
        <v>0</v>
      </c>
      <c r="U834" s="11">
        <f>_xlfn.XLOOKUP(TableDailySummary[[#This Row],[Fecha]],SummaryDaily[day],SummaryDaily[Corporativo no tienda_net_sales],0)</f>
        <v>0</v>
      </c>
      <c r="V834" s="11">
        <f>_xlfn.XLOOKUP(TableDailySummary[[#This Row],[Fecha]],SummaryDaily[day],SummaryDaily[Corporativo no tienda_orders],0)</f>
        <v>0</v>
      </c>
      <c r="W834" s="11">
        <f>_xlfn.XLOOKUP(TableDailySummary[[#This Row],[Fecha]],SummaryDaily[day],SummaryDaily[Corporativo no tienda_average_order_value],0)</f>
        <v>0</v>
      </c>
      <c r="X834" s="11">
        <f>_xlfn.XLOOKUP(TableDailySummary[[#This Row],[Fecha]],SummaryDaily[day],SummaryDaily[GoogleAdsOperation.Cost],0)</f>
        <v>0</v>
      </c>
      <c r="Y834" s="11">
        <f>SUMIFS(SalesByUTMDaily[google],SalesByUTMDaily[day],TableDailySummary[[#This Row],[Fecha]])</f>
        <v>0</v>
      </c>
      <c r="Z834" s="11">
        <f>_xlfn.XLOOKUP(TableDailySummary[[#This Row],[Fecha]],SummaryDaily[day],SummaryDaily[MetaAdsOperation.spend],0)</f>
        <v>0</v>
      </c>
      <c r="AA834" s="11">
        <f>SUMIFS(SalesByUTMDaily[facebook],SalesByUTMDaily[day],TableDailySummary[[#This Row],[Fecha]])</f>
        <v>0</v>
      </c>
      <c r="AB834" s="11">
        <f>TableDailySummary[[#This Row],[Inversión google ads]]+TableDailySummary[[#This Row],[Inversión meta ads]]</f>
        <v>0</v>
      </c>
      <c r="AC834" s="11">
        <f>TableDailySummary[[#This Row],[Ventas google ads]]+TableDailySummary[[#This Row],[Ventas meta ads]]</f>
        <v>0</v>
      </c>
      <c r="AD834" s="14">
        <f>IFERROR(TableDailySummary[[#This Row],[Ventas publicidad]]/TableDailySummary[[#This Row],[Inversión publicidad]],0)</f>
        <v>0</v>
      </c>
      <c r="AE834" s="14">
        <f>IFERROR(TableDailySummary[[#This Row],[Ventas primer cliente]]/TableDailySummary[[#This Row],[Inversión publicidad]],0)</f>
        <v>0</v>
      </c>
      <c r="AF834" s="14"/>
      <c r="AG834" s="11"/>
      <c r="AM834" s="11">
        <f>_xlfn.XLOOKUP(TableDailySummary[[#This Row],[Fecha]],SummaryDaily[day],SummaryDaily[net_sales_with_cost_recorded],0)</f>
        <v>0</v>
      </c>
      <c r="AN834" s="11">
        <f>_xlfn.XLOOKUP(TableDailySummary[[#This Row],[Fecha]],SummaryDaily[day],SummaryDaily[cost_of_goods_sold],0)</f>
        <v>0</v>
      </c>
      <c r="AO834" s="11">
        <f>_xlfn.XLOOKUP(TableDailySummary[[#This Row],[Fecha]],SummaryDaily[day],SummaryDaily[gross_profit],0)</f>
        <v>0</v>
      </c>
      <c r="AP834" s="18">
        <f>IFERROR(TableDailySummary[[#This Row],[Utilidad bruta]]/TableDailySummary[[#This Row],[Ventas netas con costo registrado]],0)</f>
        <v>0</v>
      </c>
    </row>
    <row r="835" spans="2:42" x14ac:dyDescent="0.2">
      <c r="B835" s="15" cm="1">
        <f t="array" ref="B835">ParamFechaInicioReporte + (ROW(TableDailySummary[#This Row]) - ROW(TableDailySummary[[#Headers],[Dia]]) - 1)</f>
        <v>45362</v>
      </c>
      <c r="C835" s="6">
        <f>TableDailySummary[[#This Row],[Dia]]</f>
        <v>45362</v>
      </c>
      <c r="D835" s="11">
        <f>_xlfn.XLOOKUP(TableDailySummary[[#This Row],[Fecha]],SummaryDaily[day],SummaryDaily[net_sales],0)</f>
        <v>0</v>
      </c>
      <c r="E835" s="11">
        <f>_xlfn.XLOOKUP(TableDailySummary[[#This Row],[Fecha]],SummaryDaily[day],SummaryDaily[orders],0)</f>
        <v>0</v>
      </c>
      <c r="F835" s="11">
        <f>_xlfn.XLOOKUP(TableDailySummary[[#This Row],[Fecha]],SummaryDaily[day],SummaryDaily[average_order_value],0)</f>
        <v>0</v>
      </c>
      <c r="G835" s="24" cm="1">
        <f t="array" ref="G835">_xlfn.XLOOKUP(TableDailySummary[[#This Row],[Fecha]]&amp;"Total site",ConversionRateByReferral[day]&amp;ConversionRateByReferral[referrer_source],ConversionRateByReferral[conversion_rate],0)</f>
        <v>0</v>
      </c>
      <c r="H835" s="11">
        <f>TableDailySummary[[#This Row],[Órden promedio totales]]*TableDailySummary[[#This Row],[CR totales]]</f>
        <v>0</v>
      </c>
      <c r="I835" s="11">
        <f>_xlfn.XLOOKUP(TableDailySummary[[#This Row],[Fecha]],SummaryDaily[day],SummaryDaily[new_net_sales],0)</f>
        <v>0</v>
      </c>
      <c r="J835" s="11">
        <f>_xlfn.XLOOKUP(TableDailySummary[[#This Row],[Fecha]],SummaryDaily[day],SummaryDaily[new_orders],0)</f>
        <v>0</v>
      </c>
      <c r="K835" s="11">
        <f>_xlfn.XLOOKUP(TableDailySummary[[#This Row],[Fecha]],SummaryDaily[day],SummaryDaily[new_average_order_value],0)</f>
        <v>0</v>
      </c>
      <c r="L835" s="11">
        <f>_xlfn.XLOOKUP(TableDailySummary[[#This Row],[Fecha]],SummaryDaily[day],SummaryDaily[Online Store_net_sales],0)</f>
        <v>0</v>
      </c>
      <c r="M835" s="11">
        <f>_xlfn.XLOOKUP(TableDailySummary[[#This Row],[Fecha]],SummaryDaily[day],SummaryDaily[Online Store_orders],0)</f>
        <v>0</v>
      </c>
      <c r="N835" s="11">
        <f>_xlfn.XLOOKUP(TableDailySummary[[#This Row],[Fecha]],SummaryDaily[day],SummaryDaily[Online Store_average_order_value],0)</f>
        <v>0</v>
      </c>
      <c r="O835" s="11">
        <f>_xlfn.XLOOKUP(TableDailySummary[[#This Row],[Fecha]],SummaryDaily[day],SummaryDaily[Tienda 81_net_sales],0)</f>
        <v>0</v>
      </c>
      <c r="P835" s="11">
        <f>_xlfn.XLOOKUP(TableDailySummary[[#This Row],[Fecha]],SummaryDaily[day],SummaryDaily[Tienda 81_orders],0)</f>
        <v>0</v>
      </c>
      <c r="Q835" s="11">
        <f>_xlfn.XLOOKUP(TableDailySummary[[#This Row],[Fecha]],SummaryDaily[day],SummaryDaily[Tienda 81_average_order_value],0)</f>
        <v>0</v>
      </c>
      <c r="R835" s="11">
        <f>_xlfn.XLOOKUP(TableDailySummary[[#This Row],[Fecha]],SummaryDaily[day],SummaryDaily[Rappi_net_sales],0)</f>
        <v>0</v>
      </c>
      <c r="S835" s="11">
        <f>_xlfn.XLOOKUP(TableDailySummary[[#This Row],[Fecha]],SummaryDaily[day],SummaryDaily[Rappi_orders],0)</f>
        <v>0</v>
      </c>
      <c r="T835" s="11">
        <f>_xlfn.XLOOKUP(TableDailySummary[[#This Row],[Fecha]],SummaryDaily[day],SummaryDaily[Rappi_average_order_value],0)</f>
        <v>0</v>
      </c>
      <c r="U835" s="11">
        <f>_xlfn.XLOOKUP(TableDailySummary[[#This Row],[Fecha]],SummaryDaily[day],SummaryDaily[Corporativo no tienda_net_sales],0)</f>
        <v>0</v>
      </c>
      <c r="V835" s="11">
        <f>_xlfn.XLOOKUP(TableDailySummary[[#This Row],[Fecha]],SummaryDaily[day],SummaryDaily[Corporativo no tienda_orders],0)</f>
        <v>0</v>
      </c>
      <c r="W835" s="11">
        <f>_xlfn.XLOOKUP(TableDailySummary[[#This Row],[Fecha]],SummaryDaily[day],SummaryDaily[Corporativo no tienda_average_order_value],0)</f>
        <v>0</v>
      </c>
      <c r="X835" s="11">
        <f>_xlfn.XLOOKUP(TableDailySummary[[#This Row],[Fecha]],SummaryDaily[day],SummaryDaily[GoogleAdsOperation.Cost],0)</f>
        <v>0</v>
      </c>
      <c r="Y835" s="11">
        <f>SUMIFS(SalesByUTMDaily[google],SalesByUTMDaily[day],TableDailySummary[[#This Row],[Fecha]])</f>
        <v>0</v>
      </c>
      <c r="Z835" s="11">
        <f>_xlfn.XLOOKUP(TableDailySummary[[#This Row],[Fecha]],SummaryDaily[day],SummaryDaily[MetaAdsOperation.spend],0)</f>
        <v>0</v>
      </c>
      <c r="AA835" s="11">
        <f>SUMIFS(SalesByUTMDaily[facebook],SalesByUTMDaily[day],TableDailySummary[[#This Row],[Fecha]])</f>
        <v>0</v>
      </c>
      <c r="AB835" s="11">
        <f>TableDailySummary[[#This Row],[Inversión google ads]]+TableDailySummary[[#This Row],[Inversión meta ads]]</f>
        <v>0</v>
      </c>
      <c r="AC835" s="11">
        <f>TableDailySummary[[#This Row],[Ventas google ads]]+TableDailySummary[[#This Row],[Ventas meta ads]]</f>
        <v>0</v>
      </c>
      <c r="AD835" s="14">
        <f>IFERROR(TableDailySummary[[#This Row],[Ventas publicidad]]/TableDailySummary[[#This Row],[Inversión publicidad]],0)</f>
        <v>0</v>
      </c>
      <c r="AE835" s="14">
        <f>IFERROR(TableDailySummary[[#This Row],[Ventas primer cliente]]/TableDailySummary[[#This Row],[Inversión publicidad]],0)</f>
        <v>0</v>
      </c>
      <c r="AF835" s="14"/>
      <c r="AG835" s="11"/>
      <c r="AM835" s="11">
        <f>_xlfn.XLOOKUP(TableDailySummary[[#This Row],[Fecha]],SummaryDaily[day],SummaryDaily[net_sales_with_cost_recorded],0)</f>
        <v>0</v>
      </c>
      <c r="AN835" s="11">
        <f>_xlfn.XLOOKUP(TableDailySummary[[#This Row],[Fecha]],SummaryDaily[day],SummaryDaily[cost_of_goods_sold],0)</f>
        <v>0</v>
      </c>
      <c r="AO835" s="11">
        <f>_xlfn.XLOOKUP(TableDailySummary[[#This Row],[Fecha]],SummaryDaily[day],SummaryDaily[gross_profit],0)</f>
        <v>0</v>
      </c>
      <c r="AP835" s="18">
        <f>IFERROR(TableDailySummary[[#This Row],[Utilidad bruta]]/TableDailySummary[[#This Row],[Ventas netas con costo registrado]],0)</f>
        <v>0</v>
      </c>
    </row>
    <row r="836" spans="2:42" x14ac:dyDescent="0.2">
      <c r="B836" s="15" cm="1">
        <f t="array" ref="B836">ParamFechaInicioReporte + (ROW(TableDailySummary[#This Row]) - ROW(TableDailySummary[[#Headers],[Dia]]) - 1)</f>
        <v>45363</v>
      </c>
      <c r="C836" s="6">
        <f>TableDailySummary[[#This Row],[Dia]]</f>
        <v>45363</v>
      </c>
      <c r="D836" s="11">
        <f>_xlfn.XLOOKUP(TableDailySummary[[#This Row],[Fecha]],SummaryDaily[day],SummaryDaily[net_sales],0)</f>
        <v>0</v>
      </c>
      <c r="E836" s="11">
        <f>_xlfn.XLOOKUP(TableDailySummary[[#This Row],[Fecha]],SummaryDaily[day],SummaryDaily[orders],0)</f>
        <v>0</v>
      </c>
      <c r="F836" s="11">
        <f>_xlfn.XLOOKUP(TableDailySummary[[#This Row],[Fecha]],SummaryDaily[day],SummaryDaily[average_order_value],0)</f>
        <v>0</v>
      </c>
      <c r="G836" s="24" cm="1">
        <f t="array" ref="G836">_xlfn.XLOOKUP(TableDailySummary[[#This Row],[Fecha]]&amp;"Total site",ConversionRateByReferral[day]&amp;ConversionRateByReferral[referrer_source],ConversionRateByReferral[conversion_rate],0)</f>
        <v>0</v>
      </c>
      <c r="H836" s="11">
        <f>TableDailySummary[[#This Row],[Órden promedio totales]]*TableDailySummary[[#This Row],[CR totales]]</f>
        <v>0</v>
      </c>
      <c r="I836" s="11">
        <f>_xlfn.XLOOKUP(TableDailySummary[[#This Row],[Fecha]],SummaryDaily[day],SummaryDaily[new_net_sales],0)</f>
        <v>0</v>
      </c>
      <c r="J836" s="11">
        <f>_xlfn.XLOOKUP(TableDailySummary[[#This Row],[Fecha]],SummaryDaily[day],SummaryDaily[new_orders],0)</f>
        <v>0</v>
      </c>
      <c r="K836" s="11">
        <f>_xlfn.XLOOKUP(TableDailySummary[[#This Row],[Fecha]],SummaryDaily[day],SummaryDaily[new_average_order_value],0)</f>
        <v>0</v>
      </c>
      <c r="L836" s="11">
        <f>_xlfn.XLOOKUP(TableDailySummary[[#This Row],[Fecha]],SummaryDaily[day],SummaryDaily[Online Store_net_sales],0)</f>
        <v>0</v>
      </c>
      <c r="M836" s="11">
        <f>_xlfn.XLOOKUP(TableDailySummary[[#This Row],[Fecha]],SummaryDaily[day],SummaryDaily[Online Store_orders],0)</f>
        <v>0</v>
      </c>
      <c r="N836" s="11">
        <f>_xlfn.XLOOKUP(TableDailySummary[[#This Row],[Fecha]],SummaryDaily[day],SummaryDaily[Online Store_average_order_value],0)</f>
        <v>0</v>
      </c>
      <c r="O836" s="11">
        <f>_xlfn.XLOOKUP(TableDailySummary[[#This Row],[Fecha]],SummaryDaily[day],SummaryDaily[Tienda 81_net_sales],0)</f>
        <v>0</v>
      </c>
      <c r="P836" s="11">
        <f>_xlfn.XLOOKUP(TableDailySummary[[#This Row],[Fecha]],SummaryDaily[day],SummaryDaily[Tienda 81_orders],0)</f>
        <v>0</v>
      </c>
      <c r="Q836" s="11">
        <f>_xlfn.XLOOKUP(TableDailySummary[[#This Row],[Fecha]],SummaryDaily[day],SummaryDaily[Tienda 81_average_order_value],0)</f>
        <v>0</v>
      </c>
      <c r="R836" s="11">
        <f>_xlfn.XLOOKUP(TableDailySummary[[#This Row],[Fecha]],SummaryDaily[day],SummaryDaily[Rappi_net_sales],0)</f>
        <v>0</v>
      </c>
      <c r="S836" s="11">
        <f>_xlfn.XLOOKUP(TableDailySummary[[#This Row],[Fecha]],SummaryDaily[day],SummaryDaily[Rappi_orders],0)</f>
        <v>0</v>
      </c>
      <c r="T836" s="11">
        <f>_xlfn.XLOOKUP(TableDailySummary[[#This Row],[Fecha]],SummaryDaily[day],SummaryDaily[Rappi_average_order_value],0)</f>
        <v>0</v>
      </c>
      <c r="U836" s="11">
        <f>_xlfn.XLOOKUP(TableDailySummary[[#This Row],[Fecha]],SummaryDaily[day],SummaryDaily[Corporativo no tienda_net_sales],0)</f>
        <v>0</v>
      </c>
      <c r="V836" s="11">
        <f>_xlfn.XLOOKUP(TableDailySummary[[#This Row],[Fecha]],SummaryDaily[day],SummaryDaily[Corporativo no tienda_orders],0)</f>
        <v>0</v>
      </c>
      <c r="W836" s="11">
        <f>_xlfn.XLOOKUP(TableDailySummary[[#This Row],[Fecha]],SummaryDaily[day],SummaryDaily[Corporativo no tienda_average_order_value],0)</f>
        <v>0</v>
      </c>
      <c r="X836" s="11">
        <f>_xlfn.XLOOKUP(TableDailySummary[[#This Row],[Fecha]],SummaryDaily[day],SummaryDaily[GoogleAdsOperation.Cost],0)</f>
        <v>0</v>
      </c>
      <c r="Y836" s="11">
        <f>SUMIFS(SalesByUTMDaily[google],SalesByUTMDaily[day],TableDailySummary[[#This Row],[Fecha]])</f>
        <v>0</v>
      </c>
      <c r="Z836" s="11">
        <f>_xlfn.XLOOKUP(TableDailySummary[[#This Row],[Fecha]],SummaryDaily[day],SummaryDaily[MetaAdsOperation.spend],0)</f>
        <v>0</v>
      </c>
      <c r="AA836" s="11">
        <f>SUMIFS(SalesByUTMDaily[facebook],SalesByUTMDaily[day],TableDailySummary[[#This Row],[Fecha]])</f>
        <v>0</v>
      </c>
      <c r="AB836" s="11">
        <f>TableDailySummary[[#This Row],[Inversión google ads]]+TableDailySummary[[#This Row],[Inversión meta ads]]</f>
        <v>0</v>
      </c>
      <c r="AC836" s="11">
        <f>TableDailySummary[[#This Row],[Ventas google ads]]+TableDailySummary[[#This Row],[Ventas meta ads]]</f>
        <v>0</v>
      </c>
      <c r="AD836" s="14">
        <f>IFERROR(TableDailySummary[[#This Row],[Ventas publicidad]]/TableDailySummary[[#This Row],[Inversión publicidad]],0)</f>
        <v>0</v>
      </c>
      <c r="AE836" s="14">
        <f>IFERROR(TableDailySummary[[#This Row],[Ventas primer cliente]]/TableDailySummary[[#This Row],[Inversión publicidad]],0)</f>
        <v>0</v>
      </c>
      <c r="AF836" s="14"/>
      <c r="AG836" s="11"/>
      <c r="AM836" s="11">
        <f>_xlfn.XLOOKUP(TableDailySummary[[#This Row],[Fecha]],SummaryDaily[day],SummaryDaily[net_sales_with_cost_recorded],0)</f>
        <v>0</v>
      </c>
      <c r="AN836" s="11">
        <f>_xlfn.XLOOKUP(TableDailySummary[[#This Row],[Fecha]],SummaryDaily[day],SummaryDaily[cost_of_goods_sold],0)</f>
        <v>0</v>
      </c>
      <c r="AO836" s="11">
        <f>_xlfn.XLOOKUP(TableDailySummary[[#This Row],[Fecha]],SummaryDaily[day],SummaryDaily[gross_profit],0)</f>
        <v>0</v>
      </c>
      <c r="AP836" s="18">
        <f>IFERROR(TableDailySummary[[#This Row],[Utilidad bruta]]/TableDailySummary[[#This Row],[Ventas netas con costo registrado]],0)</f>
        <v>0</v>
      </c>
    </row>
    <row r="837" spans="2:42" x14ac:dyDescent="0.2">
      <c r="B837" s="15" cm="1">
        <f t="array" ref="B837">ParamFechaInicioReporte + (ROW(TableDailySummary[#This Row]) - ROW(TableDailySummary[[#Headers],[Dia]]) - 1)</f>
        <v>45364</v>
      </c>
      <c r="C837" s="6">
        <f>TableDailySummary[[#This Row],[Dia]]</f>
        <v>45364</v>
      </c>
      <c r="D837" s="11">
        <f>_xlfn.XLOOKUP(TableDailySummary[[#This Row],[Fecha]],SummaryDaily[day],SummaryDaily[net_sales],0)</f>
        <v>0</v>
      </c>
      <c r="E837" s="11">
        <f>_xlfn.XLOOKUP(TableDailySummary[[#This Row],[Fecha]],SummaryDaily[day],SummaryDaily[orders],0)</f>
        <v>0</v>
      </c>
      <c r="F837" s="11">
        <f>_xlfn.XLOOKUP(TableDailySummary[[#This Row],[Fecha]],SummaryDaily[day],SummaryDaily[average_order_value],0)</f>
        <v>0</v>
      </c>
      <c r="G837" s="24" cm="1">
        <f t="array" ref="G837">_xlfn.XLOOKUP(TableDailySummary[[#This Row],[Fecha]]&amp;"Total site",ConversionRateByReferral[day]&amp;ConversionRateByReferral[referrer_source],ConversionRateByReferral[conversion_rate],0)</f>
        <v>0</v>
      </c>
      <c r="H837" s="11">
        <f>TableDailySummary[[#This Row],[Órden promedio totales]]*TableDailySummary[[#This Row],[CR totales]]</f>
        <v>0</v>
      </c>
      <c r="I837" s="11">
        <f>_xlfn.XLOOKUP(TableDailySummary[[#This Row],[Fecha]],SummaryDaily[day],SummaryDaily[new_net_sales],0)</f>
        <v>0</v>
      </c>
      <c r="J837" s="11">
        <f>_xlfn.XLOOKUP(TableDailySummary[[#This Row],[Fecha]],SummaryDaily[day],SummaryDaily[new_orders],0)</f>
        <v>0</v>
      </c>
      <c r="K837" s="11">
        <f>_xlfn.XLOOKUP(TableDailySummary[[#This Row],[Fecha]],SummaryDaily[day],SummaryDaily[new_average_order_value],0)</f>
        <v>0</v>
      </c>
      <c r="L837" s="11">
        <f>_xlfn.XLOOKUP(TableDailySummary[[#This Row],[Fecha]],SummaryDaily[day],SummaryDaily[Online Store_net_sales],0)</f>
        <v>0</v>
      </c>
      <c r="M837" s="11">
        <f>_xlfn.XLOOKUP(TableDailySummary[[#This Row],[Fecha]],SummaryDaily[day],SummaryDaily[Online Store_orders],0)</f>
        <v>0</v>
      </c>
      <c r="N837" s="11">
        <f>_xlfn.XLOOKUP(TableDailySummary[[#This Row],[Fecha]],SummaryDaily[day],SummaryDaily[Online Store_average_order_value],0)</f>
        <v>0</v>
      </c>
      <c r="O837" s="11">
        <f>_xlfn.XLOOKUP(TableDailySummary[[#This Row],[Fecha]],SummaryDaily[day],SummaryDaily[Tienda 81_net_sales],0)</f>
        <v>0</v>
      </c>
      <c r="P837" s="11">
        <f>_xlfn.XLOOKUP(TableDailySummary[[#This Row],[Fecha]],SummaryDaily[day],SummaryDaily[Tienda 81_orders],0)</f>
        <v>0</v>
      </c>
      <c r="Q837" s="11">
        <f>_xlfn.XLOOKUP(TableDailySummary[[#This Row],[Fecha]],SummaryDaily[day],SummaryDaily[Tienda 81_average_order_value],0)</f>
        <v>0</v>
      </c>
      <c r="R837" s="11">
        <f>_xlfn.XLOOKUP(TableDailySummary[[#This Row],[Fecha]],SummaryDaily[day],SummaryDaily[Rappi_net_sales],0)</f>
        <v>0</v>
      </c>
      <c r="S837" s="11">
        <f>_xlfn.XLOOKUP(TableDailySummary[[#This Row],[Fecha]],SummaryDaily[day],SummaryDaily[Rappi_orders],0)</f>
        <v>0</v>
      </c>
      <c r="T837" s="11">
        <f>_xlfn.XLOOKUP(TableDailySummary[[#This Row],[Fecha]],SummaryDaily[day],SummaryDaily[Rappi_average_order_value],0)</f>
        <v>0</v>
      </c>
      <c r="U837" s="11">
        <f>_xlfn.XLOOKUP(TableDailySummary[[#This Row],[Fecha]],SummaryDaily[day],SummaryDaily[Corporativo no tienda_net_sales],0)</f>
        <v>0</v>
      </c>
      <c r="V837" s="11">
        <f>_xlfn.XLOOKUP(TableDailySummary[[#This Row],[Fecha]],SummaryDaily[day],SummaryDaily[Corporativo no tienda_orders],0)</f>
        <v>0</v>
      </c>
      <c r="W837" s="11">
        <f>_xlfn.XLOOKUP(TableDailySummary[[#This Row],[Fecha]],SummaryDaily[day],SummaryDaily[Corporativo no tienda_average_order_value],0)</f>
        <v>0</v>
      </c>
      <c r="X837" s="11">
        <f>_xlfn.XLOOKUP(TableDailySummary[[#This Row],[Fecha]],SummaryDaily[day],SummaryDaily[GoogleAdsOperation.Cost],0)</f>
        <v>0</v>
      </c>
      <c r="Y837" s="11">
        <f>SUMIFS(SalesByUTMDaily[google],SalesByUTMDaily[day],TableDailySummary[[#This Row],[Fecha]])</f>
        <v>0</v>
      </c>
      <c r="Z837" s="11">
        <f>_xlfn.XLOOKUP(TableDailySummary[[#This Row],[Fecha]],SummaryDaily[day],SummaryDaily[MetaAdsOperation.spend],0)</f>
        <v>0</v>
      </c>
      <c r="AA837" s="11">
        <f>SUMIFS(SalesByUTMDaily[facebook],SalesByUTMDaily[day],TableDailySummary[[#This Row],[Fecha]])</f>
        <v>0</v>
      </c>
      <c r="AB837" s="11">
        <f>TableDailySummary[[#This Row],[Inversión google ads]]+TableDailySummary[[#This Row],[Inversión meta ads]]</f>
        <v>0</v>
      </c>
      <c r="AC837" s="11">
        <f>TableDailySummary[[#This Row],[Ventas google ads]]+TableDailySummary[[#This Row],[Ventas meta ads]]</f>
        <v>0</v>
      </c>
      <c r="AD837" s="14">
        <f>IFERROR(TableDailySummary[[#This Row],[Ventas publicidad]]/TableDailySummary[[#This Row],[Inversión publicidad]],0)</f>
        <v>0</v>
      </c>
      <c r="AE837" s="14">
        <f>IFERROR(TableDailySummary[[#This Row],[Ventas primer cliente]]/TableDailySummary[[#This Row],[Inversión publicidad]],0)</f>
        <v>0</v>
      </c>
      <c r="AF837" s="14"/>
      <c r="AG837" s="11"/>
      <c r="AM837" s="11">
        <f>_xlfn.XLOOKUP(TableDailySummary[[#This Row],[Fecha]],SummaryDaily[day],SummaryDaily[net_sales_with_cost_recorded],0)</f>
        <v>0</v>
      </c>
      <c r="AN837" s="11">
        <f>_xlfn.XLOOKUP(TableDailySummary[[#This Row],[Fecha]],SummaryDaily[day],SummaryDaily[cost_of_goods_sold],0)</f>
        <v>0</v>
      </c>
      <c r="AO837" s="11">
        <f>_xlfn.XLOOKUP(TableDailySummary[[#This Row],[Fecha]],SummaryDaily[day],SummaryDaily[gross_profit],0)</f>
        <v>0</v>
      </c>
      <c r="AP837" s="18">
        <f>IFERROR(TableDailySummary[[#This Row],[Utilidad bruta]]/TableDailySummary[[#This Row],[Ventas netas con costo registrado]],0)</f>
        <v>0</v>
      </c>
    </row>
    <row r="838" spans="2:42" x14ac:dyDescent="0.2">
      <c r="B838" s="15" cm="1">
        <f t="array" ref="B838">ParamFechaInicioReporte + (ROW(TableDailySummary[#This Row]) - ROW(TableDailySummary[[#Headers],[Dia]]) - 1)</f>
        <v>45365</v>
      </c>
      <c r="C838" s="6">
        <f>TableDailySummary[[#This Row],[Dia]]</f>
        <v>45365</v>
      </c>
      <c r="D838" s="11">
        <f>_xlfn.XLOOKUP(TableDailySummary[[#This Row],[Fecha]],SummaryDaily[day],SummaryDaily[net_sales],0)</f>
        <v>0</v>
      </c>
      <c r="E838" s="11">
        <f>_xlfn.XLOOKUP(TableDailySummary[[#This Row],[Fecha]],SummaryDaily[day],SummaryDaily[orders],0)</f>
        <v>0</v>
      </c>
      <c r="F838" s="11">
        <f>_xlfn.XLOOKUP(TableDailySummary[[#This Row],[Fecha]],SummaryDaily[day],SummaryDaily[average_order_value],0)</f>
        <v>0</v>
      </c>
      <c r="G838" s="24" cm="1">
        <f t="array" ref="G838">_xlfn.XLOOKUP(TableDailySummary[[#This Row],[Fecha]]&amp;"Total site",ConversionRateByReferral[day]&amp;ConversionRateByReferral[referrer_source],ConversionRateByReferral[conversion_rate],0)</f>
        <v>0</v>
      </c>
      <c r="H838" s="11">
        <f>TableDailySummary[[#This Row],[Órden promedio totales]]*TableDailySummary[[#This Row],[CR totales]]</f>
        <v>0</v>
      </c>
      <c r="I838" s="11">
        <f>_xlfn.XLOOKUP(TableDailySummary[[#This Row],[Fecha]],SummaryDaily[day],SummaryDaily[new_net_sales],0)</f>
        <v>0</v>
      </c>
      <c r="J838" s="11">
        <f>_xlfn.XLOOKUP(TableDailySummary[[#This Row],[Fecha]],SummaryDaily[day],SummaryDaily[new_orders],0)</f>
        <v>0</v>
      </c>
      <c r="K838" s="11">
        <f>_xlfn.XLOOKUP(TableDailySummary[[#This Row],[Fecha]],SummaryDaily[day],SummaryDaily[new_average_order_value],0)</f>
        <v>0</v>
      </c>
      <c r="L838" s="11">
        <f>_xlfn.XLOOKUP(TableDailySummary[[#This Row],[Fecha]],SummaryDaily[day],SummaryDaily[Online Store_net_sales],0)</f>
        <v>0</v>
      </c>
      <c r="M838" s="11">
        <f>_xlfn.XLOOKUP(TableDailySummary[[#This Row],[Fecha]],SummaryDaily[day],SummaryDaily[Online Store_orders],0)</f>
        <v>0</v>
      </c>
      <c r="N838" s="11">
        <f>_xlfn.XLOOKUP(TableDailySummary[[#This Row],[Fecha]],SummaryDaily[day],SummaryDaily[Online Store_average_order_value],0)</f>
        <v>0</v>
      </c>
      <c r="O838" s="11">
        <f>_xlfn.XLOOKUP(TableDailySummary[[#This Row],[Fecha]],SummaryDaily[day],SummaryDaily[Tienda 81_net_sales],0)</f>
        <v>0</v>
      </c>
      <c r="P838" s="11">
        <f>_xlfn.XLOOKUP(TableDailySummary[[#This Row],[Fecha]],SummaryDaily[day],SummaryDaily[Tienda 81_orders],0)</f>
        <v>0</v>
      </c>
      <c r="Q838" s="11">
        <f>_xlfn.XLOOKUP(TableDailySummary[[#This Row],[Fecha]],SummaryDaily[day],SummaryDaily[Tienda 81_average_order_value],0)</f>
        <v>0</v>
      </c>
      <c r="R838" s="11">
        <f>_xlfn.XLOOKUP(TableDailySummary[[#This Row],[Fecha]],SummaryDaily[day],SummaryDaily[Rappi_net_sales],0)</f>
        <v>0</v>
      </c>
      <c r="S838" s="11">
        <f>_xlfn.XLOOKUP(TableDailySummary[[#This Row],[Fecha]],SummaryDaily[day],SummaryDaily[Rappi_orders],0)</f>
        <v>0</v>
      </c>
      <c r="T838" s="11">
        <f>_xlfn.XLOOKUP(TableDailySummary[[#This Row],[Fecha]],SummaryDaily[day],SummaryDaily[Rappi_average_order_value],0)</f>
        <v>0</v>
      </c>
      <c r="U838" s="11">
        <f>_xlfn.XLOOKUP(TableDailySummary[[#This Row],[Fecha]],SummaryDaily[day],SummaryDaily[Corporativo no tienda_net_sales],0)</f>
        <v>0</v>
      </c>
      <c r="V838" s="11">
        <f>_xlfn.XLOOKUP(TableDailySummary[[#This Row],[Fecha]],SummaryDaily[day],SummaryDaily[Corporativo no tienda_orders],0)</f>
        <v>0</v>
      </c>
      <c r="W838" s="11">
        <f>_xlfn.XLOOKUP(TableDailySummary[[#This Row],[Fecha]],SummaryDaily[day],SummaryDaily[Corporativo no tienda_average_order_value],0)</f>
        <v>0</v>
      </c>
      <c r="X838" s="11">
        <f>_xlfn.XLOOKUP(TableDailySummary[[#This Row],[Fecha]],SummaryDaily[day],SummaryDaily[GoogleAdsOperation.Cost],0)</f>
        <v>0</v>
      </c>
      <c r="Y838" s="11">
        <f>SUMIFS(SalesByUTMDaily[google],SalesByUTMDaily[day],TableDailySummary[[#This Row],[Fecha]])</f>
        <v>0</v>
      </c>
      <c r="Z838" s="11">
        <f>_xlfn.XLOOKUP(TableDailySummary[[#This Row],[Fecha]],SummaryDaily[day],SummaryDaily[MetaAdsOperation.spend],0)</f>
        <v>0</v>
      </c>
      <c r="AA838" s="11">
        <f>SUMIFS(SalesByUTMDaily[facebook],SalesByUTMDaily[day],TableDailySummary[[#This Row],[Fecha]])</f>
        <v>0</v>
      </c>
      <c r="AB838" s="11">
        <f>TableDailySummary[[#This Row],[Inversión google ads]]+TableDailySummary[[#This Row],[Inversión meta ads]]</f>
        <v>0</v>
      </c>
      <c r="AC838" s="11">
        <f>TableDailySummary[[#This Row],[Ventas google ads]]+TableDailySummary[[#This Row],[Ventas meta ads]]</f>
        <v>0</v>
      </c>
      <c r="AD838" s="14">
        <f>IFERROR(TableDailySummary[[#This Row],[Ventas publicidad]]/TableDailySummary[[#This Row],[Inversión publicidad]],0)</f>
        <v>0</v>
      </c>
      <c r="AE838" s="14">
        <f>IFERROR(TableDailySummary[[#This Row],[Ventas primer cliente]]/TableDailySummary[[#This Row],[Inversión publicidad]],0)</f>
        <v>0</v>
      </c>
      <c r="AF838" s="14"/>
      <c r="AG838" s="11"/>
      <c r="AM838" s="11">
        <f>_xlfn.XLOOKUP(TableDailySummary[[#This Row],[Fecha]],SummaryDaily[day],SummaryDaily[net_sales_with_cost_recorded],0)</f>
        <v>0</v>
      </c>
      <c r="AN838" s="11">
        <f>_xlfn.XLOOKUP(TableDailySummary[[#This Row],[Fecha]],SummaryDaily[day],SummaryDaily[cost_of_goods_sold],0)</f>
        <v>0</v>
      </c>
      <c r="AO838" s="11">
        <f>_xlfn.XLOOKUP(TableDailySummary[[#This Row],[Fecha]],SummaryDaily[day],SummaryDaily[gross_profit],0)</f>
        <v>0</v>
      </c>
      <c r="AP838" s="18">
        <f>IFERROR(TableDailySummary[[#This Row],[Utilidad bruta]]/TableDailySummary[[#This Row],[Ventas netas con costo registrado]],0)</f>
        <v>0</v>
      </c>
    </row>
    <row r="839" spans="2:42" x14ac:dyDescent="0.2">
      <c r="B839" s="15" cm="1">
        <f t="array" ref="B839">ParamFechaInicioReporte + (ROW(TableDailySummary[#This Row]) - ROW(TableDailySummary[[#Headers],[Dia]]) - 1)</f>
        <v>45366</v>
      </c>
      <c r="C839" s="6">
        <f>TableDailySummary[[#This Row],[Dia]]</f>
        <v>45366</v>
      </c>
      <c r="D839" s="11">
        <f>_xlfn.XLOOKUP(TableDailySummary[[#This Row],[Fecha]],SummaryDaily[day],SummaryDaily[net_sales],0)</f>
        <v>0</v>
      </c>
      <c r="E839" s="11">
        <f>_xlfn.XLOOKUP(TableDailySummary[[#This Row],[Fecha]],SummaryDaily[day],SummaryDaily[orders],0)</f>
        <v>0</v>
      </c>
      <c r="F839" s="11">
        <f>_xlfn.XLOOKUP(TableDailySummary[[#This Row],[Fecha]],SummaryDaily[day],SummaryDaily[average_order_value],0)</f>
        <v>0</v>
      </c>
      <c r="G839" s="24" cm="1">
        <f t="array" ref="G839">_xlfn.XLOOKUP(TableDailySummary[[#This Row],[Fecha]]&amp;"Total site",ConversionRateByReferral[day]&amp;ConversionRateByReferral[referrer_source],ConversionRateByReferral[conversion_rate],0)</f>
        <v>0</v>
      </c>
      <c r="H839" s="11">
        <f>TableDailySummary[[#This Row],[Órden promedio totales]]*TableDailySummary[[#This Row],[CR totales]]</f>
        <v>0</v>
      </c>
      <c r="I839" s="11">
        <f>_xlfn.XLOOKUP(TableDailySummary[[#This Row],[Fecha]],SummaryDaily[day],SummaryDaily[new_net_sales],0)</f>
        <v>0</v>
      </c>
      <c r="J839" s="11">
        <f>_xlfn.XLOOKUP(TableDailySummary[[#This Row],[Fecha]],SummaryDaily[day],SummaryDaily[new_orders],0)</f>
        <v>0</v>
      </c>
      <c r="K839" s="11">
        <f>_xlfn.XLOOKUP(TableDailySummary[[#This Row],[Fecha]],SummaryDaily[day],SummaryDaily[new_average_order_value],0)</f>
        <v>0</v>
      </c>
      <c r="L839" s="11">
        <f>_xlfn.XLOOKUP(TableDailySummary[[#This Row],[Fecha]],SummaryDaily[day],SummaryDaily[Online Store_net_sales],0)</f>
        <v>0</v>
      </c>
      <c r="M839" s="11">
        <f>_xlfn.XLOOKUP(TableDailySummary[[#This Row],[Fecha]],SummaryDaily[day],SummaryDaily[Online Store_orders],0)</f>
        <v>0</v>
      </c>
      <c r="N839" s="11">
        <f>_xlfn.XLOOKUP(TableDailySummary[[#This Row],[Fecha]],SummaryDaily[day],SummaryDaily[Online Store_average_order_value],0)</f>
        <v>0</v>
      </c>
      <c r="O839" s="11">
        <f>_xlfn.XLOOKUP(TableDailySummary[[#This Row],[Fecha]],SummaryDaily[day],SummaryDaily[Tienda 81_net_sales],0)</f>
        <v>0</v>
      </c>
      <c r="P839" s="11">
        <f>_xlfn.XLOOKUP(TableDailySummary[[#This Row],[Fecha]],SummaryDaily[day],SummaryDaily[Tienda 81_orders],0)</f>
        <v>0</v>
      </c>
      <c r="Q839" s="11">
        <f>_xlfn.XLOOKUP(TableDailySummary[[#This Row],[Fecha]],SummaryDaily[day],SummaryDaily[Tienda 81_average_order_value],0)</f>
        <v>0</v>
      </c>
      <c r="R839" s="11">
        <f>_xlfn.XLOOKUP(TableDailySummary[[#This Row],[Fecha]],SummaryDaily[day],SummaryDaily[Rappi_net_sales],0)</f>
        <v>0</v>
      </c>
      <c r="S839" s="11">
        <f>_xlfn.XLOOKUP(TableDailySummary[[#This Row],[Fecha]],SummaryDaily[day],SummaryDaily[Rappi_orders],0)</f>
        <v>0</v>
      </c>
      <c r="T839" s="11">
        <f>_xlfn.XLOOKUP(TableDailySummary[[#This Row],[Fecha]],SummaryDaily[day],SummaryDaily[Rappi_average_order_value],0)</f>
        <v>0</v>
      </c>
      <c r="U839" s="11">
        <f>_xlfn.XLOOKUP(TableDailySummary[[#This Row],[Fecha]],SummaryDaily[day],SummaryDaily[Corporativo no tienda_net_sales],0)</f>
        <v>0</v>
      </c>
      <c r="V839" s="11">
        <f>_xlfn.XLOOKUP(TableDailySummary[[#This Row],[Fecha]],SummaryDaily[day],SummaryDaily[Corporativo no tienda_orders],0)</f>
        <v>0</v>
      </c>
      <c r="W839" s="11">
        <f>_xlfn.XLOOKUP(TableDailySummary[[#This Row],[Fecha]],SummaryDaily[day],SummaryDaily[Corporativo no tienda_average_order_value],0)</f>
        <v>0</v>
      </c>
      <c r="X839" s="11">
        <f>_xlfn.XLOOKUP(TableDailySummary[[#This Row],[Fecha]],SummaryDaily[day],SummaryDaily[GoogleAdsOperation.Cost],0)</f>
        <v>0</v>
      </c>
      <c r="Y839" s="11">
        <f>SUMIFS(SalesByUTMDaily[google],SalesByUTMDaily[day],TableDailySummary[[#This Row],[Fecha]])</f>
        <v>0</v>
      </c>
      <c r="Z839" s="11">
        <f>_xlfn.XLOOKUP(TableDailySummary[[#This Row],[Fecha]],SummaryDaily[day],SummaryDaily[MetaAdsOperation.spend],0)</f>
        <v>0</v>
      </c>
      <c r="AA839" s="11">
        <f>SUMIFS(SalesByUTMDaily[facebook],SalesByUTMDaily[day],TableDailySummary[[#This Row],[Fecha]])</f>
        <v>0</v>
      </c>
      <c r="AB839" s="11">
        <f>TableDailySummary[[#This Row],[Inversión google ads]]+TableDailySummary[[#This Row],[Inversión meta ads]]</f>
        <v>0</v>
      </c>
      <c r="AC839" s="11">
        <f>TableDailySummary[[#This Row],[Ventas google ads]]+TableDailySummary[[#This Row],[Ventas meta ads]]</f>
        <v>0</v>
      </c>
      <c r="AD839" s="14">
        <f>IFERROR(TableDailySummary[[#This Row],[Ventas publicidad]]/TableDailySummary[[#This Row],[Inversión publicidad]],0)</f>
        <v>0</v>
      </c>
      <c r="AE839" s="14">
        <f>IFERROR(TableDailySummary[[#This Row],[Ventas primer cliente]]/TableDailySummary[[#This Row],[Inversión publicidad]],0)</f>
        <v>0</v>
      </c>
      <c r="AF839" s="14"/>
      <c r="AG839" s="11"/>
      <c r="AM839" s="11">
        <f>_xlfn.XLOOKUP(TableDailySummary[[#This Row],[Fecha]],SummaryDaily[day],SummaryDaily[net_sales_with_cost_recorded],0)</f>
        <v>0</v>
      </c>
      <c r="AN839" s="11">
        <f>_xlfn.XLOOKUP(TableDailySummary[[#This Row],[Fecha]],SummaryDaily[day],SummaryDaily[cost_of_goods_sold],0)</f>
        <v>0</v>
      </c>
      <c r="AO839" s="11">
        <f>_xlfn.XLOOKUP(TableDailySummary[[#This Row],[Fecha]],SummaryDaily[day],SummaryDaily[gross_profit],0)</f>
        <v>0</v>
      </c>
      <c r="AP839" s="18">
        <f>IFERROR(TableDailySummary[[#This Row],[Utilidad bruta]]/TableDailySummary[[#This Row],[Ventas netas con costo registrado]],0)</f>
        <v>0</v>
      </c>
    </row>
    <row r="840" spans="2:42" x14ac:dyDescent="0.2">
      <c r="B840" s="15" cm="1">
        <f t="array" ref="B840">ParamFechaInicioReporte + (ROW(TableDailySummary[#This Row]) - ROW(TableDailySummary[[#Headers],[Dia]]) - 1)</f>
        <v>45367</v>
      </c>
      <c r="C840" s="6">
        <f>TableDailySummary[[#This Row],[Dia]]</f>
        <v>45367</v>
      </c>
      <c r="D840" s="11">
        <f>_xlfn.XLOOKUP(TableDailySummary[[#This Row],[Fecha]],SummaryDaily[day],SummaryDaily[net_sales],0)</f>
        <v>0</v>
      </c>
      <c r="E840" s="11">
        <f>_xlfn.XLOOKUP(TableDailySummary[[#This Row],[Fecha]],SummaryDaily[day],SummaryDaily[orders],0)</f>
        <v>0</v>
      </c>
      <c r="F840" s="11">
        <f>_xlfn.XLOOKUP(TableDailySummary[[#This Row],[Fecha]],SummaryDaily[day],SummaryDaily[average_order_value],0)</f>
        <v>0</v>
      </c>
      <c r="G840" s="24" cm="1">
        <f t="array" ref="G840">_xlfn.XLOOKUP(TableDailySummary[[#This Row],[Fecha]]&amp;"Total site",ConversionRateByReferral[day]&amp;ConversionRateByReferral[referrer_source],ConversionRateByReferral[conversion_rate],0)</f>
        <v>0</v>
      </c>
      <c r="H840" s="11">
        <f>TableDailySummary[[#This Row],[Órden promedio totales]]*TableDailySummary[[#This Row],[CR totales]]</f>
        <v>0</v>
      </c>
      <c r="I840" s="11">
        <f>_xlfn.XLOOKUP(TableDailySummary[[#This Row],[Fecha]],SummaryDaily[day],SummaryDaily[new_net_sales],0)</f>
        <v>0</v>
      </c>
      <c r="J840" s="11">
        <f>_xlfn.XLOOKUP(TableDailySummary[[#This Row],[Fecha]],SummaryDaily[day],SummaryDaily[new_orders],0)</f>
        <v>0</v>
      </c>
      <c r="K840" s="11">
        <f>_xlfn.XLOOKUP(TableDailySummary[[#This Row],[Fecha]],SummaryDaily[day],SummaryDaily[new_average_order_value],0)</f>
        <v>0</v>
      </c>
      <c r="L840" s="11">
        <f>_xlfn.XLOOKUP(TableDailySummary[[#This Row],[Fecha]],SummaryDaily[day],SummaryDaily[Online Store_net_sales],0)</f>
        <v>0</v>
      </c>
      <c r="M840" s="11">
        <f>_xlfn.XLOOKUP(TableDailySummary[[#This Row],[Fecha]],SummaryDaily[day],SummaryDaily[Online Store_orders],0)</f>
        <v>0</v>
      </c>
      <c r="N840" s="11">
        <f>_xlfn.XLOOKUP(TableDailySummary[[#This Row],[Fecha]],SummaryDaily[day],SummaryDaily[Online Store_average_order_value],0)</f>
        <v>0</v>
      </c>
      <c r="O840" s="11">
        <f>_xlfn.XLOOKUP(TableDailySummary[[#This Row],[Fecha]],SummaryDaily[day],SummaryDaily[Tienda 81_net_sales],0)</f>
        <v>0</v>
      </c>
      <c r="P840" s="11">
        <f>_xlfn.XLOOKUP(TableDailySummary[[#This Row],[Fecha]],SummaryDaily[day],SummaryDaily[Tienda 81_orders],0)</f>
        <v>0</v>
      </c>
      <c r="Q840" s="11">
        <f>_xlfn.XLOOKUP(TableDailySummary[[#This Row],[Fecha]],SummaryDaily[day],SummaryDaily[Tienda 81_average_order_value],0)</f>
        <v>0</v>
      </c>
      <c r="R840" s="11">
        <f>_xlfn.XLOOKUP(TableDailySummary[[#This Row],[Fecha]],SummaryDaily[day],SummaryDaily[Rappi_net_sales],0)</f>
        <v>0</v>
      </c>
      <c r="S840" s="11">
        <f>_xlfn.XLOOKUP(TableDailySummary[[#This Row],[Fecha]],SummaryDaily[day],SummaryDaily[Rappi_orders],0)</f>
        <v>0</v>
      </c>
      <c r="T840" s="11">
        <f>_xlfn.XLOOKUP(TableDailySummary[[#This Row],[Fecha]],SummaryDaily[day],SummaryDaily[Rappi_average_order_value],0)</f>
        <v>0</v>
      </c>
      <c r="U840" s="11">
        <f>_xlfn.XLOOKUP(TableDailySummary[[#This Row],[Fecha]],SummaryDaily[day],SummaryDaily[Corporativo no tienda_net_sales],0)</f>
        <v>0</v>
      </c>
      <c r="V840" s="11">
        <f>_xlfn.XLOOKUP(TableDailySummary[[#This Row],[Fecha]],SummaryDaily[day],SummaryDaily[Corporativo no tienda_orders],0)</f>
        <v>0</v>
      </c>
      <c r="W840" s="11">
        <f>_xlfn.XLOOKUP(TableDailySummary[[#This Row],[Fecha]],SummaryDaily[day],SummaryDaily[Corporativo no tienda_average_order_value],0)</f>
        <v>0</v>
      </c>
      <c r="X840" s="11">
        <f>_xlfn.XLOOKUP(TableDailySummary[[#This Row],[Fecha]],SummaryDaily[day],SummaryDaily[GoogleAdsOperation.Cost],0)</f>
        <v>0</v>
      </c>
      <c r="Y840" s="11">
        <f>SUMIFS(SalesByUTMDaily[google],SalesByUTMDaily[day],TableDailySummary[[#This Row],[Fecha]])</f>
        <v>0</v>
      </c>
      <c r="Z840" s="11">
        <f>_xlfn.XLOOKUP(TableDailySummary[[#This Row],[Fecha]],SummaryDaily[day],SummaryDaily[MetaAdsOperation.spend],0)</f>
        <v>0</v>
      </c>
      <c r="AA840" s="11">
        <f>SUMIFS(SalesByUTMDaily[facebook],SalesByUTMDaily[day],TableDailySummary[[#This Row],[Fecha]])</f>
        <v>0</v>
      </c>
      <c r="AB840" s="11">
        <f>TableDailySummary[[#This Row],[Inversión google ads]]+TableDailySummary[[#This Row],[Inversión meta ads]]</f>
        <v>0</v>
      </c>
      <c r="AC840" s="11">
        <f>TableDailySummary[[#This Row],[Ventas google ads]]+TableDailySummary[[#This Row],[Ventas meta ads]]</f>
        <v>0</v>
      </c>
      <c r="AD840" s="14">
        <f>IFERROR(TableDailySummary[[#This Row],[Ventas publicidad]]/TableDailySummary[[#This Row],[Inversión publicidad]],0)</f>
        <v>0</v>
      </c>
      <c r="AE840" s="14">
        <f>IFERROR(TableDailySummary[[#This Row],[Ventas primer cliente]]/TableDailySummary[[#This Row],[Inversión publicidad]],0)</f>
        <v>0</v>
      </c>
      <c r="AF840" s="14"/>
      <c r="AG840" s="11"/>
      <c r="AM840" s="11">
        <f>_xlfn.XLOOKUP(TableDailySummary[[#This Row],[Fecha]],SummaryDaily[day],SummaryDaily[net_sales_with_cost_recorded],0)</f>
        <v>0</v>
      </c>
      <c r="AN840" s="11">
        <f>_xlfn.XLOOKUP(TableDailySummary[[#This Row],[Fecha]],SummaryDaily[day],SummaryDaily[cost_of_goods_sold],0)</f>
        <v>0</v>
      </c>
      <c r="AO840" s="11">
        <f>_xlfn.XLOOKUP(TableDailySummary[[#This Row],[Fecha]],SummaryDaily[day],SummaryDaily[gross_profit],0)</f>
        <v>0</v>
      </c>
      <c r="AP840" s="18">
        <f>IFERROR(TableDailySummary[[#This Row],[Utilidad bruta]]/TableDailySummary[[#This Row],[Ventas netas con costo registrado]],0)</f>
        <v>0</v>
      </c>
    </row>
    <row r="841" spans="2:42" x14ac:dyDescent="0.2">
      <c r="B841" s="15" cm="1">
        <f t="array" ref="B841">ParamFechaInicioReporte + (ROW(TableDailySummary[#This Row]) - ROW(TableDailySummary[[#Headers],[Dia]]) - 1)</f>
        <v>45368</v>
      </c>
      <c r="C841" s="6">
        <f>TableDailySummary[[#This Row],[Dia]]</f>
        <v>45368</v>
      </c>
      <c r="D841" s="11">
        <f>_xlfn.XLOOKUP(TableDailySummary[[#This Row],[Fecha]],SummaryDaily[day],SummaryDaily[net_sales],0)</f>
        <v>0</v>
      </c>
      <c r="E841" s="11">
        <f>_xlfn.XLOOKUP(TableDailySummary[[#This Row],[Fecha]],SummaryDaily[day],SummaryDaily[orders],0)</f>
        <v>0</v>
      </c>
      <c r="F841" s="11">
        <f>_xlfn.XLOOKUP(TableDailySummary[[#This Row],[Fecha]],SummaryDaily[day],SummaryDaily[average_order_value],0)</f>
        <v>0</v>
      </c>
      <c r="G841" s="24" cm="1">
        <f t="array" ref="G841">_xlfn.XLOOKUP(TableDailySummary[[#This Row],[Fecha]]&amp;"Total site",ConversionRateByReferral[day]&amp;ConversionRateByReferral[referrer_source],ConversionRateByReferral[conversion_rate],0)</f>
        <v>0</v>
      </c>
      <c r="H841" s="11">
        <f>TableDailySummary[[#This Row],[Órden promedio totales]]*TableDailySummary[[#This Row],[CR totales]]</f>
        <v>0</v>
      </c>
      <c r="I841" s="11">
        <f>_xlfn.XLOOKUP(TableDailySummary[[#This Row],[Fecha]],SummaryDaily[day],SummaryDaily[new_net_sales],0)</f>
        <v>0</v>
      </c>
      <c r="J841" s="11">
        <f>_xlfn.XLOOKUP(TableDailySummary[[#This Row],[Fecha]],SummaryDaily[day],SummaryDaily[new_orders],0)</f>
        <v>0</v>
      </c>
      <c r="K841" s="11">
        <f>_xlfn.XLOOKUP(TableDailySummary[[#This Row],[Fecha]],SummaryDaily[day],SummaryDaily[new_average_order_value],0)</f>
        <v>0</v>
      </c>
      <c r="L841" s="11">
        <f>_xlfn.XLOOKUP(TableDailySummary[[#This Row],[Fecha]],SummaryDaily[day],SummaryDaily[Online Store_net_sales],0)</f>
        <v>0</v>
      </c>
      <c r="M841" s="11">
        <f>_xlfn.XLOOKUP(TableDailySummary[[#This Row],[Fecha]],SummaryDaily[day],SummaryDaily[Online Store_orders],0)</f>
        <v>0</v>
      </c>
      <c r="N841" s="11">
        <f>_xlfn.XLOOKUP(TableDailySummary[[#This Row],[Fecha]],SummaryDaily[day],SummaryDaily[Online Store_average_order_value],0)</f>
        <v>0</v>
      </c>
      <c r="O841" s="11">
        <f>_xlfn.XLOOKUP(TableDailySummary[[#This Row],[Fecha]],SummaryDaily[day],SummaryDaily[Tienda 81_net_sales],0)</f>
        <v>0</v>
      </c>
      <c r="P841" s="11">
        <f>_xlfn.XLOOKUP(TableDailySummary[[#This Row],[Fecha]],SummaryDaily[day],SummaryDaily[Tienda 81_orders],0)</f>
        <v>0</v>
      </c>
      <c r="Q841" s="11">
        <f>_xlfn.XLOOKUP(TableDailySummary[[#This Row],[Fecha]],SummaryDaily[day],SummaryDaily[Tienda 81_average_order_value],0)</f>
        <v>0</v>
      </c>
      <c r="R841" s="11">
        <f>_xlfn.XLOOKUP(TableDailySummary[[#This Row],[Fecha]],SummaryDaily[day],SummaryDaily[Rappi_net_sales],0)</f>
        <v>0</v>
      </c>
      <c r="S841" s="11">
        <f>_xlfn.XLOOKUP(TableDailySummary[[#This Row],[Fecha]],SummaryDaily[day],SummaryDaily[Rappi_orders],0)</f>
        <v>0</v>
      </c>
      <c r="T841" s="11">
        <f>_xlfn.XLOOKUP(TableDailySummary[[#This Row],[Fecha]],SummaryDaily[day],SummaryDaily[Rappi_average_order_value],0)</f>
        <v>0</v>
      </c>
      <c r="U841" s="11">
        <f>_xlfn.XLOOKUP(TableDailySummary[[#This Row],[Fecha]],SummaryDaily[day],SummaryDaily[Corporativo no tienda_net_sales],0)</f>
        <v>0</v>
      </c>
      <c r="V841" s="11">
        <f>_xlfn.XLOOKUP(TableDailySummary[[#This Row],[Fecha]],SummaryDaily[day],SummaryDaily[Corporativo no tienda_orders],0)</f>
        <v>0</v>
      </c>
      <c r="W841" s="11">
        <f>_xlfn.XLOOKUP(TableDailySummary[[#This Row],[Fecha]],SummaryDaily[day],SummaryDaily[Corporativo no tienda_average_order_value],0)</f>
        <v>0</v>
      </c>
      <c r="X841" s="11">
        <f>_xlfn.XLOOKUP(TableDailySummary[[#This Row],[Fecha]],SummaryDaily[day],SummaryDaily[GoogleAdsOperation.Cost],0)</f>
        <v>0</v>
      </c>
      <c r="Y841" s="11">
        <f>SUMIFS(SalesByUTMDaily[google],SalesByUTMDaily[day],TableDailySummary[[#This Row],[Fecha]])</f>
        <v>0</v>
      </c>
      <c r="Z841" s="11">
        <f>_xlfn.XLOOKUP(TableDailySummary[[#This Row],[Fecha]],SummaryDaily[day],SummaryDaily[MetaAdsOperation.spend],0)</f>
        <v>0</v>
      </c>
      <c r="AA841" s="11">
        <f>SUMIFS(SalesByUTMDaily[facebook],SalesByUTMDaily[day],TableDailySummary[[#This Row],[Fecha]])</f>
        <v>0</v>
      </c>
      <c r="AB841" s="11">
        <f>TableDailySummary[[#This Row],[Inversión google ads]]+TableDailySummary[[#This Row],[Inversión meta ads]]</f>
        <v>0</v>
      </c>
      <c r="AC841" s="11">
        <f>TableDailySummary[[#This Row],[Ventas google ads]]+TableDailySummary[[#This Row],[Ventas meta ads]]</f>
        <v>0</v>
      </c>
      <c r="AD841" s="14">
        <f>IFERROR(TableDailySummary[[#This Row],[Ventas publicidad]]/TableDailySummary[[#This Row],[Inversión publicidad]],0)</f>
        <v>0</v>
      </c>
      <c r="AE841" s="14">
        <f>IFERROR(TableDailySummary[[#This Row],[Ventas primer cliente]]/TableDailySummary[[#This Row],[Inversión publicidad]],0)</f>
        <v>0</v>
      </c>
      <c r="AF841" s="14"/>
      <c r="AG841" s="11"/>
      <c r="AM841" s="11">
        <f>_xlfn.XLOOKUP(TableDailySummary[[#This Row],[Fecha]],SummaryDaily[day],SummaryDaily[net_sales_with_cost_recorded],0)</f>
        <v>0</v>
      </c>
      <c r="AN841" s="11">
        <f>_xlfn.XLOOKUP(TableDailySummary[[#This Row],[Fecha]],SummaryDaily[day],SummaryDaily[cost_of_goods_sold],0)</f>
        <v>0</v>
      </c>
      <c r="AO841" s="11">
        <f>_xlfn.XLOOKUP(TableDailySummary[[#This Row],[Fecha]],SummaryDaily[day],SummaryDaily[gross_profit],0)</f>
        <v>0</v>
      </c>
      <c r="AP841" s="18">
        <f>IFERROR(TableDailySummary[[#This Row],[Utilidad bruta]]/TableDailySummary[[#This Row],[Ventas netas con costo registrado]],0)</f>
        <v>0</v>
      </c>
    </row>
    <row r="842" spans="2:42" x14ac:dyDescent="0.2">
      <c r="B842" s="15" cm="1">
        <f t="array" ref="B842">ParamFechaInicioReporte + (ROW(TableDailySummary[#This Row]) - ROW(TableDailySummary[[#Headers],[Dia]]) - 1)</f>
        <v>45369</v>
      </c>
      <c r="C842" s="6">
        <f>TableDailySummary[[#This Row],[Dia]]</f>
        <v>45369</v>
      </c>
      <c r="D842" s="11">
        <f>_xlfn.XLOOKUP(TableDailySummary[[#This Row],[Fecha]],SummaryDaily[day],SummaryDaily[net_sales],0)</f>
        <v>0</v>
      </c>
      <c r="E842" s="11">
        <f>_xlfn.XLOOKUP(TableDailySummary[[#This Row],[Fecha]],SummaryDaily[day],SummaryDaily[orders],0)</f>
        <v>0</v>
      </c>
      <c r="F842" s="11">
        <f>_xlfn.XLOOKUP(TableDailySummary[[#This Row],[Fecha]],SummaryDaily[day],SummaryDaily[average_order_value],0)</f>
        <v>0</v>
      </c>
      <c r="G842" s="24" cm="1">
        <f t="array" ref="G842">_xlfn.XLOOKUP(TableDailySummary[[#This Row],[Fecha]]&amp;"Total site",ConversionRateByReferral[day]&amp;ConversionRateByReferral[referrer_source],ConversionRateByReferral[conversion_rate],0)</f>
        <v>0</v>
      </c>
      <c r="H842" s="11">
        <f>TableDailySummary[[#This Row],[Órden promedio totales]]*TableDailySummary[[#This Row],[CR totales]]</f>
        <v>0</v>
      </c>
      <c r="I842" s="11">
        <f>_xlfn.XLOOKUP(TableDailySummary[[#This Row],[Fecha]],SummaryDaily[day],SummaryDaily[new_net_sales],0)</f>
        <v>0</v>
      </c>
      <c r="J842" s="11">
        <f>_xlfn.XLOOKUP(TableDailySummary[[#This Row],[Fecha]],SummaryDaily[day],SummaryDaily[new_orders],0)</f>
        <v>0</v>
      </c>
      <c r="K842" s="11">
        <f>_xlfn.XLOOKUP(TableDailySummary[[#This Row],[Fecha]],SummaryDaily[day],SummaryDaily[new_average_order_value],0)</f>
        <v>0</v>
      </c>
      <c r="L842" s="11">
        <f>_xlfn.XLOOKUP(TableDailySummary[[#This Row],[Fecha]],SummaryDaily[day],SummaryDaily[Online Store_net_sales],0)</f>
        <v>0</v>
      </c>
      <c r="M842" s="11">
        <f>_xlfn.XLOOKUP(TableDailySummary[[#This Row],[Fecha]],SummaryDaily[day],SummaryDaily[Online Store_orders],0)</f>
        <v>0</v>
      </c>
      <c r="N842" s="11">
        <f>_xlfn.XLOOKUP(TableDailySummary[[#This Row],[Fecha]],SummaryDaily[day],SummaryDaily[Online Store_average_order_value],0)</f>
        <v>0</v>
      </c>
      <c r="O842" s="11">
        <f>_xlfn.XLOOKUP(TableDailySummary[[#This Row],[Fecha]],SummaryDaily[day],SummaryDaily[Tienda 81_net_sales],0)</f>
        <v>0</v>
      </c>
      <c r="P842" s="11">
        <f>_xlfn.XLOOKUP(TableDailySummary[[#This Row],[Fecha]],SummaryDaily[day],SummaryDaily[Tienda 81_orders],0)</f>
        <v>0</v>
      </c>
      <c r="Q842" s="11">
        <f>_xlfn.XLOOKUP(TableDailySummary[[#This Row],[Fecha]],SummaryDaily[day],SummaryDaily[Tienda 81_average_order_value],0)</f>
        <v>0</v>
      </c>
      <c r="R842" s="11">
        <f>_xlfn.XLOOKUP(TableDailySummary[[#This Row],[Fecha]],SummaryDaily[day],SummaryDaily[Rappi_net_sales],0)</f>
        <v>0</v>
      </c>
      <c r="S842" s="11">
        <f>_xlfn.XLOOKUP(TableDailySummary[[#This Row],[Fecha]],SummaryDaily[day],SummaryDaily[Rappi_orders],0)</f>
        <v>0</v>
      </c>
      <c r="T842" s="11">
        <f>_xlfn.XLOOKUP(TableDailySummary[[#This Row],[Fecha]],SummaryDaily[day],SummaryDaily[Rappi_average_order_value],0)</f>
        <v>0</v>
      </c>
      <c r="U842" s="11">
        <f>_xlfn.XLOOKUP(TableDailySummary[[#This Row],[Fecha]],SummaryDaily[day],SummaryDaily[Corporativo no tienda_net_sales],0)</f>
        <v>0</v>
      </c>
      <c r="V842" s="11">
        <f>_xlfn.XLOOKUP(TableDailySummary[[#This Row],[Fecha]],SummaryDaily[day],SummaryDaily[Corporativo no tienda_orders],0)</f>
        <v>0</v>
      </c>
      <c r="W842" s="11">
        <f>_xlfn.XLOOKUP(TableDailySummary[[#This Row],[Fecha]],SummaryDaily[day],SummaryDaily[Corporativo no tienda_average_order_value],0)</f>
        <v>0</v>
      </c>
      <c r="X842" s="11">
        <f>_xlfn.XLOOKUP(TableDailySummary[[#This Row],[Fecha]],SummaryDaily[day],SummaryDaily[GoogleAdsOperation.Cost],0)</f>
        <v>0</v>
      </c>
      <c r="Y842" s="11">
        <f>SUMIFS(SalesByUTMDaily[google],SalesByUTMDaily[day],TableDailySummary[[#This Row],[Fecha]])</f>
        <v>0</v>
      </c>
      <c r="Z842" s="11">
        <f>_xlfn.XLOOKUP(TableDailySummary[[#This Row],[Fecha]],SummaryDaily[day],SummaryDaily[MetaAdsOperation.spend],0)</f>
        <v>0</v>
      </c>
      <c r="AA842" s="11">
        <f>SUMIFS(SalesByUTMDaily[facebook],SalesByUTMDaily[day],TableDailySummary[[#This Row],[Fecha]])</f>
        <v>0</v>
      </c>
      <c r="AB842" s="11">
        <f>TableDailySummary[[#This Row],[Inversión google ads]]+TableDailySummary[[#This Row],[Inversión meta ads]]</f>
        <v>0</v>
      </c>
      <c r="AC842" s="11">
        <f>TableDailySummary[[#This Row],[Ventas google ads]]+TableDailySummary[[#This Row],[Ventas meta ads]]</f>
        <v>0</v>
      </c>
      <c r="AD842" s="14">
        <f>IFERROR(TableDailySummary[[#This Row],[Ventas publicidad]]/TableDailySummary[[#This Row],[Inversión publicidad]],0)</f>
        <v>0</v>
      </c>
      <c r="AE842" s="14">
        <f>IFERROR(TableDailySummary[[#This Row],[Ventas primer cliente]]/TableDailySummary[[#This Row],[Inversión publicidad]],0)</f>
        <v>0</v>
      </c>
      <c r="AF842" s="14"/>
      <c r="AG842" s="11"/>
      <c r="AM842" s="11">
        <f>_xlfn.XLOOKUP(TableDailySummary[[#This Row],[Fecha]],SummaryDaily[day],SummaryDaily[net_sales_with_cost_recorded],0)</f>
        <v>0</v>
      </c>
      <c r="AN842" s="11">
        <f>_xlfn.XLOOKUP(TableDailySummary[[#This Row],[Fecha]],SummaryDaily[day],SummaryDaily[cost_of_goods_sold],0)</f>
        <v>0</v>
      </c>
      <c r="AO842" s="11">
        <f>_xlfn.XLOOKUP(TableDailySummary[[#This Row],[Fecha]],SummaryDaily[day],SummaryDaily[gross_profit],0)</f>
        <v>0</v>
      </c>
      <c r="AP842" s="18">
        <f>IFERROR(TableDailySummary[[#This Row],[Utilidad bruta]]/TableDailySummary[[#This Row],[Ventas netas con costo registrado]],0)</f>
        <v>0</v>
      </c>
    </row>
    <row r="843" spans="2:42" x14ac:dyDescent="0.2">
      <c r="B843" s="15" cm="1">
        <f t="array" ref="B843">ParamFechaInicioReporte + (ROW(TableDailySummary[#This Row]) - ROW(TableDailySummary[[#Headers],[Dia]]) - 1)</f>
        <v>45370</v>
      </c>
      <c r="C843" s="6">
        <f>TableDailySummary[[#This Row],[Dia]]</f>
        <v>45370</v>
      </c>
      <c r="D843" s="11">
        <f>_xlfn.XLOOKUP(TableDailySummary[[#This Row],[Fecha]],SummaryDaily[day],SummaryDaily[net_sales],0)</f>
        <v>0</v>
      </c>
      <c r="E843" s="11">
        <f>_xlfn.XLOOKUP(TableDailySummary[[#This Row],[Fecha]],SummaryDaily[day],SummaryDaily[orders],0)</f>
        <v>0</v>
      </c>
      <c r="F843" s="11">
        <f>_xlfn.XLOOKUP(TableDailySummary[[#This Row],[Fecha]],SummaryDaily[day],SummaryDaily[average_order_value],0)</f>
        <v>0</v>
      </c>
      <c r="G843" s="24" cm="1">
        <f t="array" ref="G843">_xlfn.XLOOKUP(TableDailySummary[[#This Row],[Fecha]]&amp;"Total site",ConversionRateByReferral[day]&amp;ConversionRateByReferral[referrer_source],ConversionRateByReferral[conversion_rate],0)</f>
        <v>0</v>
      </c>
      <c r="H843" s="11">
        <f>TableDailySummary[[#This Row],[Órden promedio totales]]*TableDailySummary[[#This Row],[CR totales]]</f>
        <v>0</v>
      </c>
      <c r="I843" s="11">
        <f>_xlfn.XLOOKUP(TableDailySummary[[#This Row],[Fecha]],SummaryDaily[day],SummaryDaily[new_net_sales],0)</f>
        <v>0</v>
      </c>
      <c r="J843" s="11">
        <f>_xlfn.XLOOKUP(TableDailySummary[[#This Row],[Fecha]],SummaryDaily[day],SummaryDaily[new_orders],0)</f>
        <v>0</v>
      </c>
      <c r="K843" s="11">
        <f>_xlfn.XLOOKUP(TableDailySummary[[#This Row],[Fecha]],SummaryDaily[day],SummaryDaily[new_average_order_value],0)</f>
        <v>0</v>
      </c>
      <c r="L843" s="11">
        <f>_xlfn.XLOOKUP(TableDailySummary[[#This Row],[Fecha]],SummaryDaily[day],SummaryDaily[Online Store_net_sales],0)</f>
        <v>0</v>
      </c>
      <c r="M843" s="11">
        <f>_xlfn.XLOOKUP(TableDailySummary[[#This Row],[Fecha]],SummaryDaily[day],SummaryDaily[Online Store_orders],0)</f>
        <v>0</v>
      </c>
      <c r="N843" s="11">
        <f>_xlfn.XLOOKUP(TableDailySummary[[#This Row],[Fecha]],SummaryDaily[day],SummaryDaily[Online Store_average_order_value],0)</f>
        <v>0</v>
      </c>
      <c r="O843" s="11">
        <f>_xlfn.XLOOKUP(TableDailySummary[[#This Row],[Fecha]],SummaryDaily[day],SummaryDaily[Tienda 81_net_sales],0)</f>
        <v>0</v>
      </c>
      <c r="P843" s="11">
        <f>_xlfn.XLOOKUP(TableDailySummary[[#This Row],[Fecha]],SummaryDaily[day],SummaryDaily[Tienda 81_orders],0)</f>
        <v>0</v>
      </c>
      <c r="Q843" s="11">
        <f>_xlfn.XLOOKUP(TableDailySummary[[#This Row],[Fecha]],SummaryDaily[day],SummaryDaily[Tienda 81_average_order_value],0)</f>
        <v>0</v>
      </c>
      <c r="R843" s="11">
        <f>_xlfn.XLOOKUP(TableDailySummary[[#This Row],[Fecha]],SummaryDaily[day],SummaryDaily[Rappi_net_sales],0)</f>
        <v>0</v>
      </c>
      <c r="S843" s="11">
        <f>_xlfn.XLOOKUP(TableDailySummary[[#This Row],[Fecha]],SummaryDaily[day],SummaryDaily[Rappi_orders],0)</f>
        <v>0</v>
      </c>
      <c r="T843" s="11">
        <f>_xlfn.XLOOKUP(TableDailySummary[[#This Row],[Fecha]],SummaryDaily[day],SummaryDaily[Rappi_average_order_value],0)</f>
        <v>0</v>
      </c>
      <c r="U843" s="11">
        <f>_xlfn.XLOOKUP(TableDailySummary[[#This Row],[Fecha]],SummaryDaily[day],SummaryDaily[Corporativo no tienda_net_sales],0)</f>
        <v>0</v>
      </c>
      <c r="V843" s="11">
        <f>_xlfn.XLOOKUP(TableDailySummary[[#This Row],[Fecha]],SummaryDaily[day],SummaryDaily[Corporativo no tienda_orders],0)</f>
        <v>0</v>
      </c>
      <c r="W843" s="11">
        <f>_xlfn.XLOOKUP(TableDailySummary[[#This Row],[Fecha]],SummaryDaily[day],SummaryDaily[Corporativo no tienda_average_order_value],0)</f>
        <v>0</v>
      </c>
      <c r="X843" s="11">
        <f>_xlfn.XLOOKUP(TableDailySummary[[#This Row],[Fecha]],SummaryDaily[day],SummaryDaily[GoogleAdsOperation.Cost],0)</f>
        <v>0</v>
      </c>
      <c r="Y843" s="11">
        <f>SUMIFS(SalesByUTMDaily[google],SalesByUTMDaily[day],TableDailySummary[[#This Row],[Fecha]])</f>
        <v>0</v>
      </c>
      <c r="Z843" s="11">
        <f>_xlfn.XLOOKUP(TableDailySummary[[#This Row],[Fecha]],SummaryDaily[day],SummaryDaily[MetaAdsOperation.spend],0)</f>
        <v>0</v>
      </c>
      <c r="AA843" s="11">
        <f>SUMIFS(SalesByUTMDaily[facebook],SalesByUTMDaily[day],TableDailySummary[[#This Row],[Fecha]])</f>
        <v>0</v>
      </c>
      <c r="AB843" s="11">
        <f>TableDailySummary[[#This Row],[Inversión google ads]]+TableDailySummary[[#This Row],[Inversión meta ads]]</f>
        <v>0</v>
      </c>
      <c r="AC843" s="11">
        <f>TableDailySummary[[#This Row],[Ventas google ads]]+TableDailySummary[[#This Row],[Ventas meta ads]]</f>
        <v>0</v>
      </c>
      <c r="AD843" s="14">
        <f>IFERROR(TableDailySummary[[#This Row],[Ventas publicidad]]/TableDailySummary[[#This Row],[Inversión publicidad]],0)</f>
        <v>0</v>
      </c>
      <c r="AE843" s="14">
        <f>IFERROR(TableDailySummary[[#This Row],[Ventas primer cliente]]/TableDailySummary[[#This Row],[Inversión publicidad]],0)</f>
        <v>0</v>
      </c>
      <c r="AF843" s="14"/>
      <c r="AG843" s="11"/>
      <c r="AM843" s="11">
        <f>_xlfn.XLOOKUP(TableDailySummary[[#This Row],[Fecha]],SummaryDaily[day],SummaryDaily[net_sales_with_cost_recorded],0)</f>
        <v>0</v>
      </c>
      <c r="AN843" s="11">
        <f>_xlfn.XLOOKUP(TableDailySummary[[#This Row],[Fecha]],SummaryDaily[day],SummaryDaily[cost_of_goods_sold],0)</f>
        <v>0</v>
      </c>
      <c r="AO843" s="11">
        <f>_xlfn.XLOOKUP(TableDailySummary[[#This Row],[Fecha]],SummaryDaily[day],SummaryDaily[gross_profit],0)</f>
        <v>0</v>
      </c>
      <c r="AP843" s="18">
        <f>IFERROR(TableDailySummary[[#This Row],[Utilidad bruta]]/TableDailySummary[[#This Row],[Ventas netas con costo registrado]],0)</f>
        <v>0</v>
      </c>
    </row>
    <row r="844" spans="2:42" x14ac:dyDescent="0.2">
      <c r="B844" s="15" cm="1">
        <f t="array" ref="B844">ParamFechaInicioReporte + (ROW(TableDailySummary[#This Row]) - ROW(TableDailySummary[[#Headers],[Dia]]) - 1)</f>
        <v>45371</v>
      </c>
      <c r="C844" s="6">
        <f>TableDailySummary[[#This Row],[Dia]]</f>
        <v>45371</v>
      </c>
      <c r="D844" s="11">
        <f>_xlfn.XLOOKUP(TableDailySummary[[#This Row],[Fecha]],SummaryDaily[day],SummaryDaily[net_sales],0)</f>
        <v>0</v>
      </c>
      <c r="E844" s="11">
        <f>_xlfn.XLOOKUP(TableDailySummary[[#This Row],[Fecha]],SummaryDaily[day],SummaryDaily[orders],0)</f>
        <v>0</v>
      </c>
      <c r="F844" s="11">
        <f>_xlfn.XLOOKUP(TableDailySummary[[#This Row],[Fecha]],SummaryDaily[day],SummaryDaily[average_order_value],0)</f>
        <v>0</v>
      </c>
      <c r="G844" s="24" cm="1">
        <f t="array" ref="G844">_xlfn.XLOOKUP(TableDailySummary[[#This Row],[Fecha]]&amp;"Total site",ConversionRateByReferral[day]&amp;ConversionRateByReferral[referrer_source],ConversionRateByReferral[conversion_rate],0)</f>
        <v>0</v>
      </c>
      <c r="H844" s="11">
        <f>TableDailySummary[[#This Row],[Órden promedio totales]]*TableDailySummary[[#This Row],[CR totales]]</f>
        <v>0</v>
      </c>
      <c r="I844" s="11">
        <f>_xlfn.XLOOKUP(TableDailySummary[[#This Row],[Fecha]],SummaryDaily[day],SummaryDaily[new_net_sales],0)</f>
        <v>0</v>
      </c>
      <c r="J844" s="11">
        <f>_xlfn.XLOOKUP(TableDailySummary[[#This Row],[Fecha]],SummaryDaily[day],SummaryDaily[new_orders],0)</f>
        <v>0</v>
      </c>
      <c r="K844" s="11">
        <f>_xlfn.XLOOKUP(TableDailySummary[[#This Row],[Fecha]],SummaryDaily[day],SummaryDaily[new_average_order_value],0)</f>
        <v>0</v>
      </c>
      <c r="L844" s="11">
        <f>_xlfn.XLOOKUP(TableDailySummary[[#This Row],[Fecha]],SummaryDaily[day],SummaryDaily[Online Store_net_sales],0)</f>
        <v>0</v>
      </c>
      <c r="M844" s="11">
        <f>_xlfn.XLOOKUP(TableDailySummary[[#This Row],[Fecha]],SummaryDaily[day],SummaryDaily[Online Store_orders],0)</f>
        <v>0</v>
      </c>
      <c r="N844" s="11">
        <f>_xlfn.XLOOKUP(TableDailySummary[[#This Row],[Fecha]],SummaryDaily[day],SummaryDaily[Online Store_average_order_value],0)</f>
        <v>0</v>
      </c>
      <c r="O844" s="11">
        <f>_xlfn.XLOOKUP(TableDailySummary[[#This Row],[Fecha]],SummaryDaily[day],SummaryDaily[Tienda 81_net_sales],0)</f>
        <v>0</v>
      </c>
      <c r="P844" s="11">
        <f>_xlfn.XLOOKUP(TableDailySummary[[#This Row],[Fecha]],SummaryDaily[day],SummaryDaily[Tienda 81_orders],0)</f>
        <v>0</v>
      </c>
      <c r="Q844" s="11">
        <f>_xlfn.XLOOKUP(TableDailySummary[[#This Row],[Fecha]],SummaryDaily[day],SummaryDaily[Tienda 81_average_order_value],0)</f>
        <v>0</v>
      </c>
      <c r="R844" s="11">
        <f>_xlfn.XLOOKUP(TableDailySummary[[#This Row],[Fecha]],SummaryDaily[day],SummaryDaily[Rappi_net_sales],0)</f>
        <v>0</v>
      </c>
      <c r="S844" s="11">
        <f>_xlfn.XLOOKUP(TableDailySummary[[#This Row],[Fecha]],SummaryDaily[day],SummaryDaily[Rappi_orders],0)</f>
        <v>0</v>
      </c>
      <c r="T844" s="11">
        <f>_xlfn.XLOOKUP(TableDailySummary[[#This Row],[Fecha]],SummaryDaily[day],SummaryDaily[Rappi_average_order_value],0)</f>
        <v>0</v>
      </c>
      <c r="U844" s="11">
        <f>_xlfn.XLOOKUP(TableDailySummary[[#This Row],[Fecha]],SummaryDaily[day],SummaryDaily[Corporativo no tienda_net_sales],0)</f>
        <v>0</v>
      </c>
      <c r="V844" s="11">
        <f>_xlfn.XLOOKUP(TableDailySummary[[#This Row],[Fecha]],SummaryDaily[day],SummaryDaily[Corporativo no tienda_orders],0)</f>
        <v>0</v>
      </c>
      <c r="W844" s="11">
        <f>_xlfn.XLOOKUP(TableDailySummary[[#This Row],[Fecha]],SummaryDaily[day],SummaryDaily[Corporativo no tienda_average_order_value],0)</f>
        <v>0</v>
      </c>
      <c r="X844" s="11">
        <f>_xlfn.XLOOKUP(TableDailySummary[[#This Row],[Fecha]],SummaryDaily[day],SummaryDaily[GoogleAdsOperation.Cost],0)</f>
        <v>0</v>
      </c>
      <c r="Y844" s="11">
        <f>SUMIFS(SalesByUTMDaily[google],SalesByUTMDaily[day],TableDailySummary[[#This Row],[Fecha]])</f>
        <v>0</v>
      </c>
      <c r="Z844" s="11">
        <f>_xlfn.XLOOKUP(TableDailySummary[[#This Row],[Fecha]],SummaryDaily[day],SummaryDaily[MetaAdsOperation.spend],0)</f>
        <v>0</v>
      </c>
      <c r="AA844" s="11">
        <f>SUMIFS(SalesByUTMDaily[facebook],SalesByUTMDaily[day],TableDailySummary[[#This Row],[Fecha]])</f>
        <v>0</v>
      </c>
      <c r="AB844" s="11">
        <f>TableDailySummary[[#This Row],[Inversión google ads]]+TableDailySummary[[#This Row],[Inversión meta ads]]</f>
        <v>0</v>
      </c>
      <c r="AC844" s="11">
        <f>TableDailySummary[[#This Row],[Ventas google ads]]+TableDailySummary[[#This Row],[Ventas meta ads]]</f>
        <v>0</v>
      </c>
      <c r="AD844" s="14">
        <f>IFERROR(TableDailySummary[[#This Row],[Ventas publicidad]]/TableDailySummary[[#This Row],[Inversión publicidad]],0)</f>
        <v>0</v>
      </c>
      <c r="AE844" s="14">
        <f>IFERROR(TableDailySummary[[#This Row],[Ventas primer cliente]]/TableDailySummary[[#This Row],[Inversión publicidad]],0)</f>
        <v>0</v>
      </c>
      <c r="AF844" s="14"/>
      <c r="AG844" s="11"/>
      <c r="AM844" s="11">
        <f>_xlfn.XLOOKUP(TableDailySummary[[#This Row],[Fecha]],SummaryDaily[day],SummaryDaily[net_sales_with_cost_recorded],0)</f>
        <v>0</v>
      </c>
      <c r="AN844" s="11">
        <f>_xlfn.XLOOKUP(TableDailySummary[[#This Row],[Fecha]],SummaryDaily[day],SummaryDaily[cost_of_goods_sold],0)</f>
        <v>0</v>
      </c>
      <c r="AO844" s="11">
        <f>_xlfn.XLOOKUP(TableDailySummary[[#This Row],[Fecha]],SummaryDaily[day],SummaryDaily[gross_profit],0)</f>
        <v>0</v>
      </c>
      <c r="AP844" s="18">
        <f>IFERROR(TableDailySummary[[#This Row],[Utilidad bruta]]/TableDailySummary[[#This Row],[Ventas netas con costo registrado]],0)</f>
        <v>0</v>
      </c>
    </row>
    <row r="845" spans="2:42" x14ac:dyDescent="0.2">
      <c r="B845" s="15" cm="1">
        <f t="array" ref="B845">ParamFechaInicioReporte + (ROW(TableDailySummary[#This Row]) - ROW(TableDailySummary[[#Headers],[Dia]]) - 1)</f>
        <v>45372</v>
      </c>
      <c r="C845" s="6">
        <f>TableDailySummary[[#This Row],[Dia]]</f>
        <v>45372</v>
      </c>
      <c r="D845" s="11">
        <f>_xlfn.XLOOKUP(TableDailySummary[[#This Row],[Fecha]],SummaryDaily[day],SummaryDaily[net_sales],0)</f>
        <v>0</v>
      </c>
      <c r="E845" s="11">
        <f>_xlfn.XLOOKUP(TableDailySummary[[#This Row],[Fecha]],SummaryDaily[day],SummaryDaily[orders],0)</f>
        <v>0</v>
      </c>
      <c r="F845" s="11">
        <f>_xlfn.XLOOKUP(TableDailySummary[[#This Row],[Fecha]],SummaryDaily[day],SummaryDaily[average_order_value],0)</f>
        <v>0</v>
      </c>
      <c r="G845" s="24" cm="1">
        <f t="array" ref="G845">_xlfn.XLOOKUP(TableDailySummary[[#This Row],[Fecha]]&amp;"Total site",ConversionRateByReferral[day]&amp;ConversionRateByReferral[referrer_source],ConversionRateByReferral[conversion_rate],0)</f>
        <v>0</v>
      </c>
      <c r="H845" s="11">
        <f>TableDailySummary[[#This Row],[Órden promedio totales]]*TableDailySummary[[#This Row],[CR totales]]</f>
        <v>0</v>
      </c>
      <c r="I845" s="11">
        <f>_xlfn.XLOOKUP(TableDailySummary[[#This Row],[Fecha]],SummaryDaily[day],SummaryDaily[new_net_sales],0)</f>
        <v>0</v>
      </c>
      <c r="J845" s="11">
        <f>_xlfn.XLOOKUP(TableDailySummary[[#This Row],[Fecha]],SummaryDaily[day],SummaryDaily[new_orders],0)</f>
        <v>0</v>
      </c>
      <c r="K845" s="11">
        <f>_xlfn.XLOOKUP(TableDailySummary[[#This Row],[Fecha]],SummaryDaily[day],SummaryDaily[new_average_order_value],0)</f>
        <v>0</v>
      </c>
      <c r="L845" s="11">
        <f>_xlfn.XLOOKUP(TableDailySummary[[#This Row],[Fecha]],SummaryDaily[day],SummaryDaily[Online Store_net_sales],0)</f>
        <v>0</v>
      </c>
      <c r="M845" s="11">
        <f>_xlfn.XLOOKUP(TableDailySummary[[#This Row],[Fecha]],SummaryDaily[day],SummaryDaily[Online Store_orders],0)</f>
        <v>0</v>
      </c>
      <c r="N845" s="11">
        <f>_xlfn.XLOOKUP(TableDailySummary[[#This Row],[Fecha]],SummaryDaily[day],SummaryDaily[Online Store_average_order_value],0)</f>
        <v>0</v>
      </c>
      <c r="O845" s="11">
        <f>_xlfn.XLOOKUP(TableDailySummary[[#This Row],[Fecha]],SummaryDaily[day],SummaryDaily[Tienda 81_net_sales],0)</f>
        <v>0</v>
      </c>
      <c r="P845" s="11">
        <f>_xlfn.XLOOKUP(TableDailySummary[[#This Row],[Fecha]],SummaryDaily[day],SummaryDaily[Tienda 81_orders],0)</f>
        <v>0</v>
      </c>
      <c r="Q845" s="11">
        <f>_xlfn.XLOOKUP(TableDailySummary[[#This Row],[Fecha]],SummaryDaily[day],SummaryDaily[Tienda 81_average_order_value],0)</f>
        <v>0</v>
      </c>
      <c r="R845" s="11">
        <f>_xlfn.XLOOKUP(TableDailySummary[[#This Row],[Fecha]],SummaryDaily[day],SummaryDaily[Rappi_net_sales],0)</f>
        <v>0</v>
      </c>
      <c r="S845" s="11">
        <f>_xlfn.XLOOKUP(TableDailySummary[[#This Row],[Fecha]],SummaryDaily[day],SummaryDaily[Rappi_orders],0)</f>
        <v>0</v>
      </c>
      <c r="T845" s="11">
        <f>_xlfn.XLOOKUP(TableDailySummary[[#This Row],[Fecha]],SummaryDaily[day],SummaryDaily[Rappi_average_order_value],0)</f>
        <v>0</v>
      </c>
      <c r="U845" s="11">
        <f>_xlfn.XLOOKUP(TableDailySummary[[#This Row],[Fecha]],SummaryDaily[day],SummaryDaily[Corporativo no tienda_net_sales],0)</f>
        <v>0</v>
      </c>
      <c r="V845" s="11">
        <f>_xlfn.XLOOKUP(TableDailySummary[[#This Row],[Fecha]],SummaryDaily[day],SummaryDaily[Corporativo no tienda_orders],0)</f>
        <v>0</v>
      </c>
      <c r="W845" s="11">
        <f>_xlfn.XLOOKUP(TableDailySummary[[#This Row],[Fecha]],SummaryDaily[day],SummaryDaily[Corporativo no tienda_average_order_value],0)</f>
        <v>0</v>
      </c>
      <c r="X845" s="11">
        <f>_xlfn.XLOOKUP(TableDailySummary[[#This Row],[Fecha]],SummaryDaily[day],SummaryDaily[GoogleAdsOperation.Cost],0)</f>
        <v>0</v>
      </c>
      <c r="Y845" s="11">
        <f>SUMIFS(SalesByUTMDaily[google],SalesByUTMDaily[day],TableDailySummary[[#This Row],[Fecha]])</f>
        <v>0</v>
      </c>
      <c r="Z845" s="11">
        <f>_xlfn.XLOOKUP(TableDailySummary[[#This Row],[Fecha]],SummaryDaily[day],SummaryDaily[MetaAdsOperation.spend],0)</f>
        <v>0</v>
      </c>
      <c r="AA845" s="11">
        <f>SUMIFS(SalesByUTMDaily[facebook],SalesByUTMDaily[day],TableDailySummary[[#This Row],[Fecha]])</f>
        <v>0</v>
      </c>
      <c r="AB845" s="11">
        <f>TableDailySummary[[#This Row],[Inversión google ads]]+TableDailySummary[[#This Row],[Inversión meta ads]]</f>
        <v>0</v>
      </c>
      <c r="AC845" s="11">
        <f>TableDailySummary[[#This Row],[Ventas google ads]]+TableDailySummary[[#This Row],[Ventas meta ads]]</f>
        <v>0</v>
      </c>
      <c r="AD845" s="14">
        <f>IFERROR(TableDailySummary[[#This Row],[Ventas publicidad]]/TableDailySummary[[#This Row],[Inversión publicidad]],0)</f>
        <v>0</v>
      </c>
      <c r="AE845" s="14">
        <f>IFERROR(TableDailySummary[[#This Row],[Ventas primer cliente]]/TableDailySummary[[#This Row],[Inversión publicidad]],0)</f>
        <v>0</v>
      </c>
      <c r="AF845" s="14"/>
      <c r="AG845" s="11"/>
      <c r="AM845" s="11">
        <f>_xlfn.XLOOKUP(TableDailySummary[[#This Row],[Fecha]],SummaryDaily[day],SummaryDaily[net_sales_with_cost_recorded],0)</f>
        <v>0</v>
      </c>
      <c r="AN845" s="11">
        <f>_xlfn.XLOOKUP(TableDailySummary[[#This Row],[Fecha]],SummaryDaily[day],SummaryDaily[cost_of_goods_sold],0)</f>
        <v>0</v>
      </c>
      <c r="AO845" s="11">
        <f>_xlfn.XLOOKUP(TableDailySummary[[#This Row],[Fecha]],SummaryDaily[day],SummaryDaily[gross_profit],0)</f>
        <v>0</v>
      </c>
      <c r="AP845" s="18">
        <f>IFERROR(TableDailySummary[[#This Row],[Utilidad bruta]]/TableDailySummary[[#This Row],[Ventas netas con costo registrado]],0)</f>
        <v>0</v>
      </c>
    </row>
    <row r="846" spans="2:42" x14ac:dyDescent="0.2">
      <c r="B846" s="15" cm="1">
        <f t="array" ref="B846">ParamFechaInicioReporte + (ROW(TableDailySummary[#This Row]) - ROW(TableDailySummary[[#Headers],[Dia]]) - 1)</f>
        <v>45373</v>
      </c>
      <c r="C846" s="6">
        <f>TableDailySummary[[#This Row],[Dia]]</f>
        <v>45373</v>
      </c>
      <c r="D846" s="11">
        <f>_xlfn.XLOOKUP(TableDailySummary[[#This Row],[Fecha]],SummaryDaily[day],SummaryDaily[net_sales],0)</f>
        <v>0</v>
      </c>
      <c r="E846" s="11">
        <f>_xlfn.XLOOKUP(TableDailySummary[[#This Row],[Fecha]],SummaryDaily[day],SummaryDaily[orders],0)</f>
        <v>0</v>
      </c>
      <c r="F846" s="11">
        <f>_xlfn.XLOOKUP(TableDailySummary[[#This Row],[Fecha]],SummaryDaily[day],SummaryDaily[average_order_value],0)</f>
        <v>0</v>
      </c>
      <c r="G846" s="24" cm="1">
        <f t="array" ref="G846">_xlfn.XLOOKUP(TableDailySummary[[#This Row],[Fecha]]&amp;"Total site",ConversionRateByReferral[day]&amp;ConversionRateByReferral[referrer_source],ConversionRateByReferral[conversion_rate],0)</f>
        <v>0</v>
      </c>
      <c r="H846" s="11">
        <f>TableDailySummary[[#This Row],[Órden promedio totales]]*TableDailySummary[[#This Row],[CR totales]]</f>
        <v>0</v>
      </c>
      <c r="I846" s="11">
        <f>_xlfn.XLOOKUP(TableDailySummary[[#This Row],[Fecha]],SummaryDaily[day],SummaryDaily[new_net_sales],0)</f>
        <v>0</v>
      </c>
      <c r="J846" s="11">
        <f>_xlfn.XLOOKUP(TableDailySummary[[#This Row],[Fecha]],SummaryDaily[day],SummaryDaily[new_orders],0)</f>
        <v>0</v>
      </c>
      <c r="K846" s="11">
        <f>_xlfn.XLOOKUP(TableDailySummary[[#This Row],[Fecha]],SummaryDaily[day],SummaryDaily[new_average_order_value],0)</f>
        <v>0</v>
      </c>
      <c r="L846" s="11">
        <f>_xlfn.XLOOKUP(TableDailySummary[[#This Row],[Fecha]],SummaryDaily[day],SummaryDaily[Online Store_net_sales],0)</f>
        <v>0</v>
      </c>
      <c r="M846" s="11">
        <f>_xlfn.XLOOKUP(TableDailySummary[[#This Row],[Fecha]],SummaryDaily[day],SummaryDaily[Online Store_orders],0)</f>
        <v>0</v>
      </c>
      <c r="N846" s="11">
        <f>_xlfn.XLOOKUP(TableDailySummary[[#This Row],[Fecha]],SummaryDaily[day],SummaryDaily[Online Store_average_order_value],0)</f>
        <v>0</v>
      </c>
      <c r="O846" s="11">
        <f>_xlfn.XLOOKUP(TableDailySummary[[#This Row],[Fecha]],SummaryDaily[day],SummaryDaily[Tienda 81_net_sales],0)</f>
        <v>0</v>
      </c>
      <c r="P846" s="11">
        <f>_xlfn.XLOOKUP(TableDailySummary[[#This Row],[Fecha]],SummaryDaily[day],SummaryDaily[Tienda 81_orders],0)</f>
        <v>0</v>
      </c>
      <c r="Q846" s="11">
        <f>_xlfn.XLOOKUP(TableDailySummary[[#This Row],[Fecha]],SummaryDaily[day],SummaryDaily[Tienda 81_average_order_value],0)</f>
        <v>0</v>
      </c>
      <c r="R846" s="11">
        <f>_xlfn.XLOOKUP(TableDailySummary[[#This Row],[Fecha]],SummaryDaily[day],SummaryDaily[Rappi_net_sales],0)</f>
        <v>0</v>
      </c>
      <c r="S846" s="11">
        <f>_xlfn.XLOOKUP(TableDailySummary[[#This Row],[Fecha]],SummaryDaily[day],SummaryDaily[Rappi_orders],0)</f>
        <v>0</v>
      </c>
      <c r="T846" s="11">
        <f>_xlfn.XLOOKUP(TableDailySummary[[#This Row],[Fecha]],SummaryDaily[day],SummaryDaily[Rappi_average_order_value],0)</f>
        <v>0</v>
      </c>
      <c r="U846" s="11">
        <f>_xlfn.XLOOKUP(TableDailySummary[[#This Row],[Fecha]],SummaryDaily[day],SummaryDaily[Corporativo no tienda_net_sales],0)</f>
        <v>0</v>
      </c>
      <c r="V846" s="11">
        <f>_xlfn.XLOOKUP(TableDailySummary[[#This Row],[Fecha]],SummaryDaily[day],SummaryDaily[Corporativo no tienda_orders],0)</f>
        <v>0</v>
      </c>
      <c r="W846" s="11">
        <f>_xlfn.XLOOKUP(TableDailySummary[[#This Row],[Fecha]],SummaryDaily[day],SummaryDaily[Corporativo no tienda_average_order_value],0)</f>
        <v>0</v>
      </c>
      <c r="X846" s="11">
        <f>_xlfn.XLOOKUP(TableDailySummary[[#This Row],[Fecha]],SummaryDaily[day],SummaryDaily[GoogleAdsOperation.Cost],0)</f>
        <v>0</v>
      </c>
      <c r="Y846" s="11">
        <f>SUMIFS(SalesByUTMDaily[google],SalesByUTMDaily[day],TableDailySummary[[#This Row],[Fecha]])</f>
        <v>0</v>
      </c>
      <c r="Z846" s="11">
        <f>_xlfn.XLOOKUP(TableDailySummary[[#This Row],[Fecha]],SummaryDaily[day],SummaryDaily[MetaAdsOperation.spend],0)</f>
        <v>0</v>
      </c>
      <c r="AA846" s="11">
        <f>SUMIFS(SalesByUTMDaily[facebook],SalesByUTMDaily[day],TableDailySummary[[#This Row],[Fecha]])</f>
        <v>0</v>
      </c>
      <c r="AB846" s="11">
        <f>TableDailySummary[[#This Row],[Inversión google ads]]+TableDailySummary[[#This Row],[Inversión meta ads]]</f>
        <v>0</v>
      </c>
      <c r="AC846" s="11">
        <f>TableDailySummary[[#This Row],[Ventas google ads]]+TableDailySummary[[#This Row],[Ventas meta ads]]</f>
        <v>0</v>
      </c>
      <c r="AD846" s="14">
        <f>IFERROR(TableDailySummary[[#This Row],[Ventas publicidad]]/TableDailySummary[[#This Row],[Inversión publicidad]],0)</f>
        <v>0</v>
      </c>
      <c r="AE846" s="14">
        <f>IFERROR(TableDailySummary[[#This Row],[Ventas primer cliente]]/TableDailySummary[[#This Row],[Inversión publicidad]],0)</f>
        <v>0</v>
      </c>
      <c r="AF846" s="14"/>
      <c r="AG846" s="11"/>
      <c r="AM846" s="11">
        <f>_xlfn.XLOOKUP(TableDailySummary[[#This Row],[Fecha]],SummaryDaily[day],SummaryDaily[net_sales_with_cost_recorded],0)</f>
        <v>0</v>
      </c>
      <c r="AN846" s="11">
        <f>_xlfn.XLOOKUP(TableDailySummary[[#This Row],[Fecha]],SummaryDaily[day],SummaryDaily[cost_of_goods_sold],0)</f>
        <v>0</v>
      </c>
      <c r="AO846" s="11">
        <f>_xlfn.XLOOKUP(TableDailySummary[[#This Row],[Fecha]],SummaryDaily[day],SummaryDaily[gross_profit],0)</f>
        <v>0</v>
      </c>
      <c r="AP846" s="18">
        <f>IFERROR(TableDailySummary[[#This Row],[Utilidad bruta]]/TableDailySummary[[#This Row],[Ventas netas con costo registrado]],0)</f>
        <v>0</v>
      </c>
    </row>
    <row r="847" spans="2:42" x14ac:dyDescent="0.2">
      <c r="B847" s="15" cm="1">
        <f t="array" ref="B847">ParamFechaInicioReporte + (ROW(TableDailySummary[#This Row]) - ROW(TableDailySummary[[#Headers],[Dia]]) - 1)</f>
        <v>45374</v>
      </c>
      <c r="C847" s="6">
        <f>TableDailySummary[[#This Row],[Dia]]</f>
        <v>45374</v>
      </c>
      <c r="D847" s="11">
        <f>_xlfn.XLOOKUP(TableDailySummary[[#This Row],[Fecha]],SummaryDaily[day],SummaryDaily[net_sales],0)</f>
        <v>0</v>
      </c>
      <c r="E847" s="11">
        <f>_xlfn.XLOOKUP(TableDailySummary[[#This Row],[Fecha]],SummaryDaily[day],SummaryDaily[orders],0)</f>
        <v>0</v>
      </c>
      <c r="F847" s="11">
        <f>_xlfn.XLOOKUP(TableDailySummary[[#This Row],[Fecha]],SummaryDaily[day],SummaryDaily[average_order_value],0)</f>
        <v>0</v>
      </c>
      <c r="G847" s="24" cm="1">
        <f t="array" ref="G847">_xlfn.XLOOKUP(TableDailySummary[[#This Row],[Fecha]]&amp;"Total site",ConversionRateByReferral[day]&amp;ConversionRateByReferral[referrer_source],ConversionRateByReferral[conversion_rate],0)</f>
        <v>0</v>
      </c>
      <c r="H847" s="11">
        <f>TableDailySummary[[#This Row],[Órden promedio totales]]*TableDailySummary[[#This Row],[CR totales]]</f>
        <v>0</v>
      </c>
      <c r="I847" s="11">
        <f>_xlfn.XLOOKUP(TableDailySummary[[#This Row],[Fecha]],SummaryDaily[day],SummaryDaily[new_net_sales],0)</f>
        <v>0</v>
      </c>
      <c r="J847" s="11">
        <f>_xlfn.XLOOKUP(TableDailySummary[[#This Row],[Fecha]],SummaryDaily[day],SummaryDaily[new_orders],0)</f>
        <v>0</v>
      </c>
      <c r="K847" s="11">
        <f>_xlfn.XLOOKUP(TableDailySummary[[#This Row],[Fecha]],SummaryDaily[day],SummaryDaily[new_average_order_value],0)</f>
        <v>0</v>
      </c>
      <c r="L847" s="11">
        <f>_xlfn.XLOOKUP(TableDailySummary[[#This Row],[Fecha]],SummaryDaily[day],SummaryDaily[Online Store_net_sales],0)</f>
        <v>0</v>
      </c>
      <c r="M847" s="11">
        <f>_xlfn.XLOOKUP(TableDailySummary[[#This Row],[Fecha]],SummaryDaily[day],SummaryDaily[Online Store_orders],0)</f>
        <v>0</v>
      </c>
      <c r="N847" s="11">
        <f>_xlfn.XLOOKUP(TableDailySummary[[#This Row],[Fecha]],SummaryDaily[day],SummaryDaily[Online Store_average_order_value],0)</f>
        <v>0</v>
      </c>
      <c r="O847" s="11">
        <f>_xlfn.XLOOKUP(TableDailySummary[[#This Row],[Fecha]],SummaryDaily[day],SummaryDaily[Tienda 81_net_sales],0)</f>
        <v>0</v>
      </c>
      <c r="P847" s="11">
        <f>_xlfn.XLOOKUP(TableDailySummary[[#This Row],[Fecha]],SummaryDaily[day],SummaryDaily[Tienda 81_orders],0)</f>
        <v>0</v>
      </c>
      <c r="Q847" s="11">
        <f>_xlfn.XLOOKUP(TableDailySummary[[#This Row],[Fecha]],SummaryDaily[day],SummaryDaily[Tienda 81_average_order_value],0)</f>
        <v>0</v>
      </c>
      <c r="R847" s="11">
        <f>_xlfn.XLOOKUP(TableDailySummary[[#This Row],[Fecha]],SummaryDaily[day],SummaryDaily[Rappi_net_sales],0)</f>
        <v>0</v>
      </c>
      <c r="S847" s="11">
        <f>_xlfn.XLOOKUP(TableDailySummary[[#This Row],[Fecha]],SummaryDaily[day],SummaryDaily[Rappi_orders],0)</f>
        <v>0</v>
      </c>
      <c r="T847" s="11">
        <f>_xlfn.XLOOKUP(TableDailySummary[[#This Row],[Fecha]],SummaryDaily[day],SummaryDaily[Rappi_average_order_value],0)</f>
        <v>0</v>
      </c>
      <c r="U847" s="11">
        <f>_xlfn.XLOOKUP(TableDailySummary[[#This Row],[Fecha]],SummaryDaily[day],SummaryDaily[Corporativo no tienda_net_sales],0)</f>
        <v>0</v>
      </c>
      <c r="V847" s="11">
        <f>_xlfn.XLOOKUP(TableDailySummary[[#This Row],[Fecha]],SummaryDaily[day],SummaryDaily[Corporativo no tienda_orders],0)</f>
        <v>0</v>
      </c>
      <c r="W847" s="11">
        <f>_xlfn.XLOOKUP(TableDailySummary[[#This Row],[Fecha]],SummaryDaily[day],SummaryDaily[Corporativo no tienda_average_order_value],0)</f>
        <v>0</v>
      </c>
      <c r="X847" s="11">
        <f>_xlfn.XLOOKUP(TableDailySummary[[#This Row],[Fecha]],SummaryDaily[day],SummaryDaily[GoogleAdsOperation.Cost],0)</f>
        <v>0</v>
      </c>
      <c r="Y847" s="11">
        <f>SUMIFS(SalesByUTMDaily[google],SalesByUTMDaily[day],TableDailySummary[[#This Row],[Fecha]])</f>
        <v>0</v>
      </c>
      <c r="Z847" s="11">
        <f>_xlfn.XLOOKUP(TableDailySummary[[#This Row],[Fecha]],SummaryDaily[day],SummaryDaily[MetaAdsOperation.spend],0)</f>
        <v>0</v>
      </c>
      <c r="AA847" s="11">
        <f>SUMIFS(SalesByUTMDaily[facebook],SalesByUTMDaily[day],TableDailySummary[[#This Row],[Fecha]])</f>
        <v>0</v>
      </c>
      <c r="AB847" s="11">
        <f>TableDailySummary[[#This Row],[Inversión google ads]]+TableDailySummary[[#This Row],[Inversión meta ads]]</f>
        <v>0</v>
      </c>
      <c r="AC847" s="11">
        <f>TableDailySummary[[#This Row],[Ventas google ads]]+TableDailySummary[[#This Row],[Ventas meta ads]]</f>
        <v>0</v>
      </c>
      <c r="AD847" s="14">
        <f>IFERROR(TableDailySummary[[#This Row],[Ventas publicidad]]/TableDailySummary[[#This Row],[Inversión publicidad]],0)</f>
        <v>0</v>
      </c>
      <c r="AE847" s="14">
        <f>IFERROR(TableDailySummary[[#This Row],[Ventas primer cliente]]/TableDailySummary[[#This Row],[Inversión publicidad]],0)</f>
        <v>0</v>
      </c>
      <c r="AF847" s="14"/>
      <c r="AG847" s="11"/>
      <c r="AM847" s="11">
        <f>_xlfn.XLOOKUP(TableDailySummary[[#This Row],[Fecha]],SummaryDaily[day],SummaryDaily[net_sales_with_cost_recorded],0)</f>
        <v>0</v>
      </c>
      <c r="AN847" s="11">
        <f>_xlfn.XLOOKUP(TableDailySummary[[#This Row],[Fecha]],SummaryDaily[day],SummaryDaily[cost_of_goods_sold],0)</f>
        <v>0</v>
      </c>
      <c r="AO847" s="11">
        <f>_xlfn.XLOOKUP(TableDailySummary[[#This Row],[Fecha]],SummaryDaily[day],SummaryDaily[gross_profit],0)</f>
        <v>0</v>
      </c>
      <c r="AP847" s="18">
        <f>IFERROR(TableDailySummary[[#This Row],[Utilidad bruta]]/TableDailySummary[[#This Row],[Ventas netas con costo registrado]],0)</f>
        <v>0</v>
      </c>
    </row>
    <row r="848" spans="2:42" x14ac:dyDescent="0.2">
      <c r="B848" s="15" cm="1">
        <f t="array" ref="B848">ParamFechaInicioReporte + (ROW(TableDailySummary[#This Row]) - ROW(TableDailySummary[[#Headers],[Dia]]) - 1)</f>
        <v>45375</v>
      </c>
      <c r="C848" s="6">
        <f>TableDailySummary[[#This Row],[Dia]]</f>
        <v>45375</v>
      </c>
      <c r="D848" s="11">
        <f>_xlfn.XLOOKUP(TableDailySummary[[#This Row],[Fecha]],SummaryDaily[day],SummaryDaily[net_sales],0)</f>
        <v>0</v>
      </c>
      <c r="E848" s="11">
        <f>_xlfn.XLOOKUP(TableDailySummary[[#This Row],[Fecha]],SummaryDaily[day],SummaryDaily[orders],0)</f>
        <v>0</v>
      </c>
      <c r="F848" s="11">
        <f>_xlfn.XLOOKUP(TableDailySummary[[#This Row],[Fecha]],SummaryDaily[day],SummaryDaily[average_order_value],0)</f>
        <v>0</v>
      </c>
      <c r="G848" s="24" cm="1">
        <f t="array" ref="G848">_xlfn.XLOOKUP(TableDailySummary[[#This Row],[Fecha]]&amp;"Total site",ConversionRateByReferral[day]&amp;ConversionRateByReferral[referrer_source],ConversionRateByReferral[conversion_rate],0)</f>
        <v>0</v>
      </c>
      <c r="H848" s="11">
        <f>TableDailySummary[[#This Row],[Órden promedio totales]]*TableDailySummary[[#This Row],[CR totales]]</f>
        <v>0</v>
      </c>
      <c r="I848" s="11">
        <f>_xlfn.XLOOKUP(TableDailySummary[[#This Row],[Fecha]],SummaryDaily[day],SummaryDaily[new_net_sales],0)</f>
        <v>0</v>
      </c>
      <c r="J848" s="11">
        <f>_xlfn.XLOOKUP(TableDailySummary[[#This Row],[Fecha]],SummaryDaily[day],SummaryDaily[new_orders],0)</f>
        <v>0</v>
      </c>
      <c r="K848" s="11">
        <f>_xlfn.XLOOKUP(TableDailySummary[[#This Row],[Fecha]],SummaryDaily[day],SummaryDaily[new_average_order_value],0)</f>
        <v>0</v>
      </c>
      <c r="L848" s="11">
        <f>_xlfn.XLOOKUP(TableDailySummary[[#This Row],[Fecha]],SummaryDaily[day],SummaryDaily[Online Store_net_sales],0)</f>
        <v>0</v>
      </c>
      <c r="M848" s="11">
        <f>_xlfn.XLOOKUP(TableDailySummary[[#This Row],[Fecha]],SummaryDaily[day],SummaryDaily[Online Store_orders],0)</f>
        <v>0</v>
      </c>
      <c r="N848" s="11">
        <f>_xlfn.XLOOKUP(TableDailySummary[[#This Row],[Fecha]],SummaryDaily[day],SummaryDaily[Online Store_average_order_value],0)</f>
        <v>0</v>
      </c>
      <c r="O848" s="11">
        <f>_xlfn.XLOOKUP(TableDailySummary[[#This Row],[Fecha]],SummaryDaily[day],SummaryDaily[Tienda 81_net_sales],0)</f>
        <v>0</v>
      </c>
      <c r="P848" s="11">
        <f>_xlfn.XLOOKUP(TableDailySummary[[#This Row],[Fecha]],SummaryDaily[day],SummaryDaily[Tienda 81_orders],0)</f>
        <v>0</v>
      </c>
      <c r="Q848" s="11">
        <f>_xlfn.XLOOKUP(TableDailySummary[[#This Row],[Fecha]],SummaryDaily[day],SummaryDaily[Tienda 81_average_order_value],0)</f>
        <v>0</v>
      </c>
      <c r="R848" s="11">
        <f>_xlfn.XLOOKUP(TableDailySummary[[#This Row],[Fecha]],SummaryDaily[day],SummaryDaily[Rappi_net_sales],0)</f>
        <v>0</v>
      </c>
      <c r="S848" s="11">
        <f>_xlfn.XLOOKUP(TableDailySummary[[#This Row],[Fecha]],SummaryDaily[day],SummaryDaily[Rappi_orders],0)</f>
        <v>0</v>
      </c>
      <c r="T848" s="11">
        <f>_xlfn.XLOOKUP(TableDailySummary[[#This Row],[Fecha]],SummaryDaily[day],SummaryDaily[Rappi_average_order_value],0)</f>
        <v>0</v>
      </c>
      <c r="U848" s="11">
        <f>_xlfn.XLOOKUP(TableDailySummary[[#This Row],[Fecha]],SummaryDaily[day],SummaryDaily[Corporativo no tienda_net_sales],0)</f>
        <v>0</v>
      </c>
      <c r="V848" s="11">
        <f>_xlfn.XLOOKUP(TableDailySummary[[#This Row],[Fecha]],SummaryDaily[day],SummaryDaily[Corporativo no tienda_orders],0)</f>
        <v>0</v>
      </c>
      <c r="W848" s="11">
        <f>_xlfn.XLOOKUP(TableDailySummary[[#This Row],[Fecha]],SummaryDaily[day],SummaryDaily[Corporativo no tienda_average_order_value],0)</f>
        <v>0</v>
      </c>
      <c r="X848" s="11">
        <f>_xlfn.XLOOKUP(TableDailySummary[[#This Row],[Fecha]],SummaryDaily[day],SummaryDaily[GoogleAdsOperation.Cost],0)</f>
        <v>0</v>
      </c>
      <c r="Y848" s="11">
        <f>SUMIFS(SalesByUTMDaily[google],SalesByUTMDaily[day],TableDailySummary[[#This Row],[Fecha]])</f>
        <v>0</v>
      </c>
      <c r="Z848" s="11">
        <f>_xlfn.XLOOKUP(TableDailySummary[[#This Row],[Fecha]],SummaryDaily[day],SummaryDaily[MetaAdsOperation.spend],0)</f>
        <v>0</v>
      </c>
      <c r="AA848" s="11">
        <f>SUMIFS(SalesByUTMDaily[facebook],SalesByUTMDaily[day],TableDailySummary[[#This Row],[Fecha]])</f>
        <v>0</v>
      </c>
      <c r="AB848" s="11">
        <f>TableDailySummary[[#This Row],[Inversión google ads]]+TableDailySummary[[#This Row],[Inversión meta ads]]</f>
        <v>0</v>
      </c>
      <c r="AC848" s="11">
        <f>TableDailySummary[[#This Row],[Ventas google ads]]+TableDailySummary[[#This Row],[Ventas meta ads]]</f>
        <v>0</v>
      </c>
      <c r="AD848" s="14">
        <f>IFERROR(TableDailySummary[[#This Row],[Ventas publicidad]]/TableDailySummary[[#This Row],[Inversión publicidad]],0)</f>
        <v>0</v>
      </c>
      <c r="AE848" s="14">
        <f>IFERROR(TableDailySummary[[#This Row],[Ventas primer cliente]]/TableDailySummary[[#This Row],[Inversión publicidad]],0)</f>
        <v>0</v>
      </c>
      <c r="AF848" s="14"/>
      <c r="AG848" s="11"/>
      <c r="AM848" s="11">
        <f>_xlfn.XLOOKUP(TableDailySummary[[#This Row],[Fecha]],SummaryDaily[day],SummaryDaily[net_sales_with_cost_recorded],0)</f>
        <v>0</v>
      </c>
      <c r="AN848" s="11">
        <f>_xlfn.XLOOKUP(TableDailySummary[[#This Row],[Fecha]],SummaryDaily[day],SummaryDaily[cost_of_goods_sold],0)</f>
        <v>0</v>
      </c>
      <c r="AO848" s="11">
        <f>_xlfn.XLOOKUP(TableDailySummary[[#This Row],[Fecha]],SummaryDaily[day],SummaryDaily[gross_profit],0)</f>
        <v>0</v>
      </c>
      <c r="AP848" s="18">
        <f>IFERROR(TableDailySummary[[#This Row],[Utilidad bruta]]/TableDailySummary[[#This Row],[Ventas netas con costo registrado]],0)</f>
        <v>0</v>
      </c>
    </row>
    <row r="849" spans="2:42" x14ac:dyDescent="0.2">
      <c r="B849" s="15" cm="1">
        <f t="array" ref="B849">ParamFechaInicioReporte + (ROW(TableDailySummary[#This Row]) - ROW(TableDailySummary[[#Headers],[Dia]]) - 1)</f>
        <v>45376</v>
      </c>
      <c r="C849" s="6">
        <f>TableDailySummary[[#This Row],[Dia]]</f>
        <v>45376</v>
      </c>
      <c r="D849" s="11">
        <f>_xlfn.XLOOKUP(TableDailySummary[[#This Row],[Fecha]],SummaryDaily[day],SummaryDaily[net_sales],0)</f>
        <v>0</v>
      </c>
      <c r="E849" s="11">
        <f>_xlfn.XLOOKUP(TableDailySummary[[#This Row],[Fecha]],SummaryDaily[day],SummaryDaily[orders],0)</f>
        <v>0</v>
      </c>
      <c r="F849" s="11">
        <f>_xlfn.XLOOKUP(TableDailySummary[[#This Row],[Fecha]],SummaryDaily[day],SummaryDaily[average_order_value],0)</f>
        <v>0</v>
      </c>
      <c r="G849" s="24" cm="1">
        <f t="array" ref="G849">_xlfn.XLOOKUP(TableDailySummary[[#This Row],[Fecha]]&amp;"Total site",ConversionRateByReferral[day]&amp;ConversionRateByReferral[referrer_source],ConversionRateByReferral[conversion_rate],0)</f>
        <v>0</v>
      </c>
      <c r="H849" s="11">
        <f>TableDailySummary[[#This Row],[Órden promedio totales]]*TableDailySummary[[#This Row],[CR totales]]</f>
        <v>0</v>
      </c>
      <c r="I849" s="11">
        <f>_xlfn.XLOOKUP(TableDailySummary[[#This Row],[Fecha]],SummaryDaily[day],SummaryDaily[new_net_sales],0)</f>
        <v>0</v>
      </c>
      <c r="J849" s="11">
        <f>_xlfn.XLOOKUP(TableDailySummary[[#This Row],[Fecha]],SummaryDaily[day],SummaryDaily[new_orders],0)</f>
        <v>0</v>
      </c>
      <c r="K849" s="11">
        <f>_xlfn.XLOOKUP(TableDailySummary[[#This Row],[Fecha]],SummaryDaily[day],SummaryDaily[new_average_order_value],0)</f>
        <v>0</v>
      </c>
      <c r="L849" s="11">
        <f>_xlfn.XLOOKUP(TableDailySummary[[#This Row],[Fecha]],SummaryDaily[day],SummaryDaily[Online Store_net_sales],0)</f>
        <v>0</v>
      </c>
      <c r="M849" s="11">
        <f>_xlfn.XLOOKUP(TableDailySummary[[#This Row],[Fecha]],SummaryDaily[day],SummaryDaily[Online Store_orders],0)</f>
        <v>0</v>
      </c>
      <c r="N849" s="11">
        <f>_xlfn.XLOOKUP(TableDailySummary[[#This Row],[Fecha]],SummaryDaily[day],SummaryDaily[Online Store_average_order_value],0)</f>
        <v>0</v>
      </c>
      <c r="O849" s="11">
        <f>_xlfn.XLOOKUP(TableDailySummary[[#This Row],[Fecha]],SummaryDaily[day],SummaryDaily[Tienda 81_net_sales],0)</f>
        <v>0</v>
      </c>
      <c r="P849" s="11">
        <f>_xlfn.XLOOKUP(TableDailySummary[[#This Row],[Fecha]],SummaryDaily[day],SummaryDaily[Tienda 81_orders],0)</f>
        <v>0</v>
      </c>
      <c r="Q849" s="11">
        <f>_xlfn.XLOOKUP(TableDailySummary[[#This Row],[Fecha]],SummaryDaily[day],SummaryDaily[Tienda 81_average_order_value],0)</f>
        <v>0</v>
      </c>
      <c r="R849" s="11">
        <f>_xlfn.XLOOKUP(TableDailySummary[[#This Row],[Fecha]],SummaryDaily[day],SummaryDaily[Rappi_net_sales],0)</f>
        <v>0</v>
      </c>
      <c r="S849" s="11">
        <f>_xlfn.XLOOKUP(TableDailySummary[[#This Row],[Fecha]],SummaryDaily[day],SummaryDaily[Rappi_orders],0)</f>
        <v>0</v>
      </c>
      <c r="T849" s="11">
        <f>_xlfn.XLOOKUP(TableDailySummary[[#This Row],[Fecha]],SummaryDaily[day],SummaryDaily[Rappi_average_order_value],0)</f>
        <v>0</v>
      </c>
      <c r="U849" s="11">
        <f>_xlfn.XLOOKUP(TableDailySummary[[#This Row],[Fecha]],SummaryDaily[day],SummaryDaily[Corporativo no tienda_net_sales],0)</f>
        <v>0</v>
      </c>
      <c r="V849" s="11">
        <f>_xlfn.XLOOKUP(TableDailySummary[[#This Row],[Fecha]],SummaryDaily[day],SummaryDaily[Corporativo no tienda_orders],0)</f>
        <v>0</v>
      </c>
      <c r="W849" s="11">
        <f>_xlfn.XLOOKUP(TableDailySummary[[#This Row],[Fecha]],SummaryDaily[day],SummaryDaily[Corporativo no tienda_average_order_value],0)</f>
        <v>0</v>
      </c>
      <c r="X849" s="11">
        <f>_xlfn.XLOOKUP(TableDailySummary[[#This Row],[Fecha]],SummaryDaily[day],SummaryDaily[GoogleAdsOperation.Cost],0)</f>
        <v>0</v>
      </c>
      <c r="Y849" s="11">
        <f>SUMIFS(SalesByUTMDaily[google],SalesByUTMDaily[day],TableDailySummary[[#This Row],[Fecha]])</f>
        <v>0</v>
      </c>
      <c r="Z849" s="11">
        <f>_xlfn.XLOOKUP(TableDailySummary[[#This Row],[Fecha]],SummaryDaily[day],SummaryDaily[MetaAdsOperation.spend],0)</f>
        <v>0</v>
      </c>
      <c r="AA849" s="11">
        <f>SUMIFS(SalesByUTMDaily[facebook],SalesByUTMDaily[day],TableDailySummary[[#This Row],[Fecha]])</f>
        <v>0</v>
      </c>
      <c r="AB849" s="11">
        <f>TableDailySummary[[#This Row],[Inversión google ads]]+TableDailySummary[[#This Row],[Inversión meta ads]]</f>
        <v>0</v>
      </c>
      <c r="AC849" s="11">
        <f>TableDailySummary[[#This Row],[Ventas google ads]]+TableDailySummary[[#This Row],[Ventas meta ads]]</f>
        <v>0</v>
      </c>
      <c r="AD849" s="14">
        <f>IFERROR(TableDailySummary[[#This Row],[Ventas publicidad]]/TableDailySummary[[#This Row],[Inversión publicidad]],0)</f>
        <v>0</v>
      </c>
      <c r="AE849" s="14">
        <f>IFERROR(TableDailySummary[[#This Row],[Ventas primer cliente]]/TableDailySummary[[#This Row],[Inversión publicidad]],0)</f>
        <v>0</v>
      </c>
      <c r="AF849" s="14"/>
      <c r="AG849" s="11"/>
      <c r="AM849" s="11">
        <f>_xlfn.XLOOKUP(TableDailySummary[[#This Row],[Fecha]],SummaryDaily[day],SummaryDaily[net_sales_with_cost_recorded],0)</f>
        <v>0</v>
      </c>
      <c r="AN849" s="11">
        <f>_xlfn.XLOOKUP(TableDailySummary[[#This Row],[Fecha]],SummaryDaily[day],SummaryDaily[cost_of_goods_sold],0)</f>
        <v>0</v>
      </c>
      <c r="AO849" s="11">
        <f>_xlfn.XLOOKUP(TableDailySummary[[#This Row],[Fecha]],SummaryDaily[day],SummaryDaily[gross_profit],0)</f>
        <v>0</v>
      </c>
      <c r="AP849" s="18">
        <f>IFERROR(TableDailySummary[[#This Row],[Utilidad bruta]]/TableDailySummary[[#This Row],[Ventas netas con costo registrado]],0)</f>
        <v>0</v>
      </c>
    </row>
    <row r="850" spans="2:42" x14ac:dyDescent="0.2">
      <c r="B850" s="15" cm="1">
        <f t="array" ref="B850">ParamFechaInicioReporte + (ROW(TableDailySummary[#This Row]) - ROW(TableDailySummary[[#Headers],[Dia]]) - 1)</f>
        <v>45377</v>
      </c>
      <c r="C850" s="6">
        <f>TableDailySummary[[#This Row],[Dia]]</f>
        <v>45377</v>
      </c>
      <c r="D850" s="11">
        <f>_xlfn.XLOOKUP(TableDailySummary[[#This Row],[Fecha]],SummaryDaily[day],SummaryDaily[net_sales],0)</f>
        <v>0</v>
      </c>
      <c r="E850" s="11">
        <f>_xlfn.XLOOKUP(TableDailySummary[[#This Row],[Fecha]],SummaryDaily[day],SummaryDaily[orders],0)</f>
        <v>0</v>
      </c>
      <c r="F850" s="11">
        <f>_xlfn.XLOOKUP(TableDailySummary[[#This Row],[Fecha]],SummaryDaily[day],SummaryDaily[average_order_value],0)</f>
        <v>0</v>
      </c>
      <c r="G850" s="24" cm="1">
        <f t="array" ref="G850">_xlfn.XLOOKUP(TableDailySummary[[#This Row],[Fecha]]&amp;"Total site",ConversionRateByReferral[day]&amp;ConversionRateByReferral[referrer_source],ConversionRateByReferral[conversion_rate],0)</f>
        <v>0</v>
      </c>
      <c r="H850" s="11">
        <f>TableDailySummary[[#This Row],[Órden promedio totales]]*TableDailySummary[[#This Row],[CR totales]]</f>
        <v>0</v>
      </c>
      <c r="I850" s="11">
        <f>_xlfn.XLOOKUP(TableDailySummary[[#This Row],[Fecha]],SummaryDaily[day],SummaryDaily[new_net_sales],0)</f>
        <v>0</v>
      </c>
      <c r="J850" s="11">
        <f>_xlfn.XLOOKUP(TableDailySummary[[#This Row],[Fecha]],SummaryDaily[day],SummaryDaily[new_orders],0)</f>
        <v>0</v>
      </c>
      <c r="K850" s="11">
        <f>_xlfn.XLOOKUP(TableDailySummary[[#This Row],[Fecha]],SummaryDaily[day],SummaryDaily[new_average_order_value],0)</f>
        <v>0</v>
      </c>
      <c r="L850" s="11">
        <f>_xlfn.XLOOKUP(TableDailySummary[[#This Row],[Fecha]],SummaryDaily[day],SummaryDaily[Online Store_net_sales],0)</f>
        <v>0</v>
      </c>
      <c r="M850" s="11">
        <f>_xlfn.XLOOKUP(TableDailySummary[[#This Row],[Fecha]],SummaryDaily[day],SummaryDaily[Online Store_orders],0)</f>
        <v>0</v>
      </c>
      <c r="N850" s="11">
        <f>_xlfn.XLOOKUP(TableDailySummary[[#This Row],[Fecha]],SummaryDaily[day],SummaryDaily[Online Store_average_order_value],0)</f>
        <v>0</v>
      </c>
      <c r="O850" s="11">
        <f>_xlfn.XLOOKUP(TableDailySummary[[#This Row],[Fecha]],SummaryDaily[day],SummaryDaily[Tienda 81_net_sales],0)</f>
        <v>0</v>
      </c>
      <c r="P850" s="11">
        <f>_xlfn.XLOOKUP(TableDailySummary[[#This Row],[Fecha]],SummaryDaily[day],SummaryDaily[Tienda 81_orders],0)</f>
        <v>0</v>
      </c>
      <c r="Q850" s="11">
        <f>_xlfn.XLOOKUP(TableDailySummary[[#This Row],[Fecha]],SummaryDaily[day],SummaryDaily[Tienda 81_average_order_value],0)</f>
        <v>0</v>
      </c>
      <c r="R850" s="11">
        <f>_xlfn.XLOOKUP(TableDailySummary[[#This Row],[Fecha]],SummaryDaily[day],SummaryDaily[Rappi_net_sales],0)</f>
        <v>0</v>
      </c>
      <c r="S850" s="11">
        <f>_xlfn.XLOOKUP(TableDailySummary[[#This Row],[Fecha]],SummaryDaily[day],SummaryDaily[Rappi_orders],0)</f>
        <v>0</v>
      </c>
      <c r="T850" s="11">
        <f>_xlfn.XLOOKUP(TableDailySummary[[#This Row],[Fecha]],SummaryDaily[day],SummaryDaily[Rappi_average_order_value],0)</f>
        <v>0</v>
      </c>
      <c r="U850" s="11">
        <f>_xlfn.XLOOKUP(TableDailySummary[[#This Row],[Fecha]],SummaryDaily[day],SummaryDaily[Corporativo no tienda_net_sales],0)</f>
        <v>0</v>
      </c>
      <c r="V850" s="11">
        <f>_xlfn.XLOOKUP(TableDailySummary[[#This Row],[Fecha]],SummaryDaily[day],SummaryDaily[Corporativo no tienda_orders],0)</f>
        <v>0</v>
      </c>
      <c r="W850" s="11">
        <f>_xlfn.XLOOKUP(TableDailySummary[[#This Row],[Fecha]],SummaryDaily[day],SummaryDaily[Corporativo no tienda_average_order_value],0)</f>
        <v>0</v>
      </c>
      <c r="X850" s="11">
        <f>_xlfn.XLOOKUP(TableDailySummary[[#This Row],[Fecha]],SummaryDaily[day],SummaryDaily[GoogleAdsOperation.Cost],0)</f>
        <v>0</v>
      </c>
      <c r="Y850" s="11">
        <f>SUMIFS(SalesByUTMDaily[google],SalesByUTMDaily[day],TableDailySummary[[#This Row],[Fecha]])</f>
        <v>0</v>
      </c>
      <c r="Z850" s="11">
        <f>_xlfn.XLOOKUP(TableDailySummary[[#This Row],[Fecha]],SummaryDaily[day],SummaryDaily[MetaAdsOperation.spend],0)</f>
        <v>0</v>
      </c>
      <c r="AA850" s="11">
        <f>SUMIFS(SalesByUTMDaily[facebook],SalesByUTMDaily[day],TableDailySummary[[#This Row],[Fecha]])</f>
        <v>0</v>
      </c>
      <c r="AB850" s="11">
        <f>TableDailySummary[[#This Row],[Inversión google ads]]+TableDailySummary[[#This Row],[Inversión meta ads]]</f>
        <v>0</v>
      </c>
      <c r="AC850" s="11">
        <f>TableDailySummary[[#This Row],[Ventas google ads]]+TableDailySummary[[#This Row],[Ventas meta ads]]</f>
        <v>0</v>
      </c>
      <c r="AD850" s="14">
        <f>IFERROR(TableDailySummary[[#This Row],[Ventas publicidad]]/TableDailySummary[[#This Row],[Inversión publicidad]],0)</f>
        <v>0</v>
      </c>
      <c r="AE850" s="14">
        <f>IFERROR(TableDailySummary[[#This Row],[Ventas primer cliente]]/TableDailySummary[[#This Row],[Inversión publicidad]],0)</f>
        <v>0</v>
      </c>
      <c r="AF850" s="14"/>
      <c r="AG850" s="11"/>
      <c r="AM850" s="11">
        <f>_xlfn.XLOOKUP(TableDailySummary[[#This Row],[Fecha]],SummaryDaily[day],SummaryDaily[net_sales_with_cost_recorded],0)</f>
        <v>0</v>
      </c>
      <c r="AN850" s="11">
        <f>_xlfn.XLOOKUP(TableDailySummary[[#This Row],[Fecha]],SummaryDaily[day],SummaryDaily[cost_of_goods_sold],0)</f>
        <v>0</v>
      </c>
      <c r="AO850" s="11">
        <f>_xlfn.XLOOKUP(TableDailySummary[[#This Row],[Fecha]],SummaryDaily[day],SummaryDaily[gross_profit],0)</f>
        <v>0</v>
      </c>
      <c r="AP850" s="18">
        <f>IFERROR(TableDailySummary[[#This Row],[Utilidad bruta]]/TableDailySummary[[#This Row],[Ventas netas con costo registrado]],0)</f>
        <v>0</v>
      </c>
    </row>
    <row r="851" spans="2:42" x14ac:dyDescent="0.2">
      <c r="B851" s="15" cm="1">
        <f t="array" ref="B851">ParamFechaInicioReporte + (ROW(TableDailySummary[#This Row]) - ROW(TableDailySummary[[#Headers],[Dia]]) - 1)</f>
        <v>45378</v>
      </c>
      <c r="C851" s="6">
        <f>TableDailySummary[[#This Row],[Dia]]</f>
        <v>45378</v>
      </c>
      <c r="D851" s="11">
        <f>_xlfn.XLOOKUP(TableDailySummary[[#This Row],[Fecha]],SummaryDaily[day],SummaryDaily[net_sales],0)</f>
        <v>0</v>
      </c>
      <c r="E851" s="11">
        <f>_xlfn.XLOOKUP(TableDailySummary[[#This Row],[Fecha]],SummaryDaily[day],SummaryDaily[orders],0)</f>
        <v>0</v>
      </c>
      <c r="F851" s="11">
        <f>_xlfn.XLOOKUP(TableDailySummary[[#This Row],[Fecha]],SummaryDaily[day],SummaryDaily[average_order_value],0)</f>
        <v>0</v>
      </c>
      <c r="G851" s="24" cm="1">
        <f t="array" ref="G851">_xlfn.XLOOKUP(TableDailySummary[[#This Row],[Fecha]]&amp;"Total site",ConversionRateByReferral[day]&amp;ConversionRateByReferral[referrer_source],ConversionRateByReferral[conversion_rate],0)</f>
        <v>0</v>
      </c>
      <c r="H851" s="11">
        <f>TableDailySummary[[#This Row],[Órden promedio totales]]*TableDailySummary[[#This Row],[CR totales]]</f>
        <v>0</v>
      </c>
      <c r="I851" s="11">
        <f>_xlfn.XLOOKUP(TableDailySummary[[#This Row],[Fecha]],SummaryDaily[day],SummaryDaily[new_net_sales],0)</f>
        <v>0</v>
      </c>
      <c r="J851" s="11">
        <f>_xlfn.XLOOKUP(TableDailySummary[[#This Row],[Fecha]],SummaryDaily[day],SummaryDaily[new_orders],0)</f>
        <v>0</v>
      </c>
      <c r="K851" s="11">
        <f>_xlfn.XLOOKUP(TableDailySummary[[#This Row],[Fecha]],SummaryDaily[day],SummaryDaily[new_average_order_value],0)</f>
        <v>0</v>
      </c>
      <c r="L851" s="11">
        <f>_xlfn.XLOOKUP(TableDailySummary[[#This Row],[Fecha]],SummaryDaily[day],SummaryDaily[Online Store_net_sales],0)</f>
        <v>0</v>
      </c>
      <c r="M851" s="11">
        <f>_xlfn.XLOOKUP(TableDailySummary[[#This Row],[Fecha]],SummaryDaily[day],SummaryDaily[Online Store_orders],0)</f>
        <v>0</v>
      </c>
      <c r="N851" s="11">
        <f>_xlfn.XLOOKUP(TableDailySummary[[#This Row],[Fecha]],SummaryDaily[day],SummaryDaily[Online Store_average_order_value],0)</f>
        <v>0</v>
      </c>
      <c r="O851" s="11">
        <f>_xlfn.XLOOKUP(TableDailySummary[[#This Row],[Fecha]],SummaryDaily[day],SummaryDaily[Tienda 81_net_sales],0)</f>
        <v>0</v>
      </c>
      <c r="P851" s="11">
        <f>_xlfn.XLOOKUP(TableDailySummary[[#This Row],[Fecha]],SummaryDaily[day],SummaryDaily[Tienda 81_orders],0)</f>
        <v>0</v>
      </c>
      <c r="Q851" s="11">
        <f>_xlfn.XLOOKUP(TableDailySummary[[#This Row],[Fecha]],SummaryDaily[day],SummaryDaily[Tienda 81_average_order_value],0)</f>
        <v>0</v>
      </c>
      <c r="R851" s="11">
        <f>_xlfn.XLOOKUP(TableDailySummary[[#This Row],[Fecha]],SummaryDaily[day],SummaryDaily[Rappi_net_sales],0)</f>
        <v>0</v>
      </c>
      <c r="S851" s="11">
        <f>_xlfn.XLOOKUP(TableDailySummary[[#This Row],[Fecha]],SummaryDaily[day],SummaryDaily[Rappi_orders],0)</f>
        <v>0</v>
      </c>
      <c r="T851" s="11">
        <f>_xlfn.XLOOKUP(TableDailySummary[[#This Row],[Fecha]],SummaryDaily[day],SummaryDaily[Rappi_average_order_value],0)</f>
        <v>0</v>
      </c>
      <c r="U851" s="11">
        <f>_xlfn.XLOOKUP(TableDailySummary[[#This Row],[Fecha]],SummaryDaily[day],SummaryDaily[Corporativo no tienda_net_sales],0)</f>
        <v>0</v>
      </c>
      <c r="V851" s="11">
        <f>_xlfn.XLOOKUP(TableDailySummary[[#This Row],[Fecha]],SummaryDaily[day],SummaryDaily[Corporativo no tienda_orders],0)</f>
        <v>0</v>
      </c>
      <c r="W851" s="11">
        <f>_xlfn.XLOOKUP(TableDailySummary[[#This Row],[Fecha]],SummaryDaily[day],SummaryDaily[Corporativo no tienda_average_order_value],0)</f>
        <v>0</v>
      </c>
      <c r="X851" s="11">
        <f>_xlfn.XLOOKUP(TableDailySummary[[#This Row],[Fecha]],SummaryDaily[day],SummaryDaily[GoogleAdsOperation.Cost],0)</f>
        <v>0</v>
      </c>
      <c r="Y851" s="11">
        <f>SUMIFS(SalesByUTMDaily[google],SalesByUTMDaily[day],TableDailySummary[[#This Row],[Fecha]])</f>
        <v>0</v>
      </c>
      <c r="Z851" s="11">
        <f>_xlfn.XLOOKUP(TableDailySummary[[#This Row],[Fecha]],SummaryDaily[day],SummaryDaily[MetaAdsOperation.spend],0)</f>
        <v>0</v>
      </c>
      <c r="AA851" s="11">
        <f>SUMIFS(SalesByUTMDaily[facebook],SalesByUTMDaily[day],TableDailySummary[[#This Row],[Fecha]])</f>
        <v>0</v>
      </c>
      <c r="AB851" s="11">
        <f>TableDailySummary[[#This Row],[Inversión google ads]]+TableDailySummary[[#This Row],[Inversión meta ads]]</f>
        <v>0</v>
      </c>
      <c r="AC851" s="11">
        <f>TableDailySummary[[#This Row],[Ventas google ads]]+TableDailySummary[[#This Row],[Ventas meta ads]]</f>
        <v>0</v>
      </c>
      <c r="AD851" s="14">
        <f>IFERROR(TableDailySummary[[#This Row],[Ventas publicidad]]/TableDailySummary[[#This Row],[Inversión publicidad]],0)</f>
        <v>0</v>
      </c>
      <c r="AE851" s="14">
        <f>IFERROR(TableDailySummary[[#This Row],[Ventas primer cliente]]/TableDailySummary[[#This Row],[Inversión publicidad]],0)</f>
        <v>0</v>
      </c>
      <c r="AF851" s="14"/>
      <c r="AG851" s="11"/>
      <c r="AM851" s="11">
        <f>_xlfn.XLOOKUP(TableDailySummary[[#This Row],[Fecha]],SummaryDaily[day],SummaryDaily[net_sales_with_cost_recorded],0)</f>
        <v>0</v>
      </c>
      <c r="AN851" s="11">
        <f>_xlfn.XLOOKUP(TableDailySummary[[#This Row],[Fecha]],SummaryDaily[day],SummaryDaily[cost_of_goods_sold],0)</f>
        <v>0</v>
      </c>
      <c r="AO851" s="11">
        <f>_xlfn.XLOOKUP(TableDailySummary[[#This Row],[Fecha]],SummaryDaily[day],SummaryDaily[gross_profit],0)</f>
        <v>0</v>
      </c>
      <c r="AP851" s="18">
        <f>IFERROR(TableDailySummary[[#This Row],[Utilidad bruta]]/TableDailySummary[[#This Row],[Ventas netas con costo registrado]],0)</f>
        <v>0</v>
      </c>
    </row>
    <row r="852" spans="2:42" x14ac:dyDescent="0.2">
      <c r="B852" s="15" cm="1">
        <f t="array" ref="B852">ParamFechaInicioReporte + (ROW(TableDailySummary[#This Row]) - ROW(TableDailySummary[[#Headers],[Dia]]) - 1)</f>
        <v>45379</v>
      </c>
      <c r="C852" s="6">
        <f>TableDailySummary[[#This Row],[Dia]]</f>
        <v>45379</v>
      </c>
      <c r="D852" s="11">
        <f>_xlfn.XLOOKUP(TableDailySummary[[#This Row],[Fecha]],SummaryDaily[day],SummaryDaily[net_sales],0)</f>
        <v>0</v>
      </c>
      <c r="E852" s="11">
        <f>_xlfn.XLOOKUP(TableDailySummary[[#This Row],[Fecha]],SummaryDaily[day],SummaryDaily[orders],0)</f>
        <v>0</v>
      </c>
      <c r="F852" s="11">
        <f>_xlfn.XLOOKUP(TableDailySummary[[#This Row],[Fecha]],SummaryDaily[day],SummaryDaily[average_order_value],0)</f>
        <v>0</v>
      </c>
      <c r="G852" s="24" cm="1">
        <f t="array" ref="G852">_xlfn.XLOOKUP(TableDailySummary[[#This Row],[Fecha]]&amp;"Total site",ConversionRateByReferral[day]&amp;ConversionRateByReferral[referrer_source],ConversionRateByReferral[conversion_rate],0)</f>
        <v>0</v>
      </c>
      <c r="H852" s="11">
        <f>TableDailySummary[[#This Row],[Órden promedio totales]]*TableDailySummary[[#This Row],[CR totales]]</f>
        <v>0</v>
      </c>
      <c r="I852" s="11">
        <f>_xlfn.XLOOKUP(TableDailySummary[[#This Row],[Fecha]],SummaryDaily[day],SummaryDaily[new_net_sales],0)</f>
        <v>0</v>
      </c>
      <c r="J852" s="11">
        <f>_xlfn.XLOOKUP(TableDailySummary[[#This Row],[Fecha]],SummaryDaily[day],SummaryDaily[new_orders],0)</f>
        <v>0</v>
      </c>
      <c r="K852" s="11">
        <f>_xlfn.XLOOKUP(TableDailySummary[[#This Row],[Fecha]],SummaryDaily[day],SummaryDaily[new_average_order_value],0)</f>
        <v>0</v>
      </c>
      <c r="L852" s="11">
        <f>_xlfn.XLOOKUP(TableDailySummary[[#This Row],[Fecha]],SummaryDaily[day],SummaryDaily[Online Store_net_sales],0)</f>
        <v>0</v>
      </c>
      <c r="M852" s="11">
        <f>_xlfn.XLOOKUP(TableDailySummary[[#This Row],[Fecha]],SummaryDaily[day],SummaryDaily[Online Store_orders],0)</f>
        <v>0</v>
      </c>
      <c r="N852" s="11">
        <f>_xlfn.XLOOKUP(TableDailySummary[[#This Row],[Fecha]],SummaryDaily[day],SummaryDaily[Online Store_average_order_value],0)</f>
        <v>0</v>
      </c>
      <c r="O852" s="11">
        <f>_xlfn.XLOOKUP(TableDailySummary[[#This Row],[Fecha]],SummaryDaily[day],SummaryDaily[Tienda 81_net_sales],0)</f>
        <v>0</v>
      </c>
      <c r="P852" s="11">
        <f>_xlfn.XLOOKUP(TableDailySummary[[#This Row],[Fecha]],SummaryDaily[day],SummaryDaily[Tienda 81_orders],0)</f>
        <v>0</v>
      </c>
      <c r="Q852" s="11">
        <f>_xlfn.XLOOKUP(TableDailySummary[[#This Row],[Fecha]],SummaryDaily[day],SummaryDaily[Tienda 81_average_order_value],0)</f>
        <v>0</v>
      </c>
      <c r="R852" s="11">
        <f>_xlfn.XLOOKUP(TableDailySummary[[#This Row],[Fecha]],SummaryDaily[day],SummaryDaily[Rappi_net_sales],0)</f>
        <v>0</v>
      </c>
      <c r="S852" s="11">
        <f>_xlfn.XLOOKUP(TableDailySummary[[#This Row],[Fecha]],SummaryDaily[day],SummaryDaily[Rappi_orders],0)</f>
        <v>0</v>
      </c>
      <c r="T852" s="11">
        <f>_xlfn.XLOOKUP(TableDailySummary[[#This Row],[Fecha]],SummaryDaily[day],SummaryDaily[Rappi_average_order_value],0)</f>
        <v>0</v>
      </c>
      <c r="U852" s="11">
        <f>_xlfn.XLOOKUP(TableDailySummary[[#This Row],[Fecha]],SummaryDaily[day],SummaryDaily[Corporativo no tienda_net_sales],0)</f>
        <v>0</v>
      </c>
      <c r="V852" s="11">
        <f>_xlfn.XLOOKUP(TableDailySummary[[#This Row],[Fecha]],SummaryDaily[day],SummaryDaily[Corporativo no tienda_orders],0)</f>
        <v>0</v>
      </c>
      <c r="W852" s="11">
        <f>_xlfn.XLOOKUP(TableDailySummary[[#This Row],[Fecha]],SummaryDaily[day],SummaryDaily[Corporativo no tienda_average_order_value],0)</f>
        <v>0</v>
      </c>
      <c r="X852" s="11">
        <f>_xlfn.XLOOKUP(TableDailySummary[[#This Row],[Fecha]],SummaryDaily[day],SummaryDaily[GoogleAdsOperation.Cost],0)</f>
        <v>0</v>
      </c>
      <c r="Y852" s="11">
        <f>SUMIFS(SalesByUTMDaily[google],SalesByUTMDaily[day],TableDailySummary[[#This Row],[Fecha]])</f>
        <v>0</v>
      </c>
      <c r="Z852" s="11">
        <f>_xlfn.XLOOKUP(TableDailySummary[[#This Row],[Fecha]],SummaryDaily[day],SummaryDaily[MetaAdsOperation.spend],0)</f>
        <v>0</v>
      </c>
      <c r="AA852" s="11">
        <f>SUMIFS(SalesByUTMDaily[facebook],SalesByUTMDaily[day],TableDailySummary[[#This Row],[Fecha]])</f>
        <v>0</v>
      </c>
      <c r="AB852" s="11">
        <f>TableDailySummary[[#This Row],[Inversión google ads]]+TableDailySummary[[#This Row],[Inversión meta ads]]</f>
        <v>0</v>
      </c>
      <c r="AC852" s="11">
        <f>TableDailySummary[[#This Row],[Ventas google ads]]+TableDailySummary[[#This Row],[Ventas meta ads]]</f>
        <v>0</v>
      </c>
      <c r="AD852" s="14">
        <f>IFERROR(TableDailySummary[[#This Row],[Ventas publicidad]]/TableDailySummary[[#This Row],[Inversión publicidad]],0)</f>
        <v>0</v>
      </c>
      <c r="AE852" s="14">
        <f>IFERROR(TableDailySummary[[#This Row],[Ventas primer cliente]]/TableDailySummary[[#This Row],[Inversión publicidad]],0)</f>
        <v>0</v>
      </c>
      <c r="AF852" s="14"/>
      <c r="AG852" s="11"/>
      <c r="AM852" s="11">
        <f>_xlfn.XLOOKUP(TableDailySummary[[#This Row],[Fecha]],SummaryDaily[day],SummaryDaily[net_sales_with_cost_recorded],0)</f>
        <v>0</v>
      </c>
      <c r="AN852" s="11">
        <f>_xlfn.XLOOKUP(TableDailySummary[[#This Row],[Fecha]],SummaryDaily[day],SummaryDaily[cost_of_goods_sold],0)</f>
        <v>0</v>
      </c>
      <c r="AO852" s="11">
        <f>_xlfn.XLOOKUP(TableDailySummary[[#This Row],[Fecha]],SummaryDaily[day],SummaryDaily[gross_profit],0)</f>
        <v>0</v>
      </c>
      <c r="AP852" s="18">
        <f>IFERROR(TableDailySummary[[#This Row],[Utilidad bruta]]/TableDailySummary[[#This Row],[Ventas netas con costo registrado]],0)</f>
        <v>0</v>
      </c>
    </row>
    <row r="853" spans="2:42" x14ac:dyDescent="0.2">
      <c r="B853" s="15" cm="1">
        <f t="array" ref="B853">ParamFechaInicioReporte + (ROW(TableDailySummary[#This Row]) - ROW(TableDailySummary[[#Headers],[Dia]]) - 1)</f>
        <v>45380</v>
      </c>
      <c r="C853" s="6">
        <f>TableDailySummary[[#This Row],[Dia]]</f>
        <v>45380</v>
      </c>
      <c r="D853" s="11">
        <f>_xlfn.XLOOKUP(TableDailySummary[[#This Row],[Fecha]],SummaryDaily[day],SummaryDaily[net_sales],0)</f>
        <v>0</v>
      </c>
      <c r="E853" s="11">
        <f>_xlfn.XLOOKUP(TableDailySummary[[#This Row],[Fecha]],SummaryDaily[day],SummaryDaily[orders],0)</f>
        <v>0</v>
      </c>
      <c r="F853" s="11">
        <f>_xlfn.XLOOKUP(TableDailySummary[[#This Row],[Fecha]],SummaryDaily[day],SummaryDaily[average_order_value],0)</f>
        <v>0</v>
      </c>
      <c r="G853" s="24" cm="1">
        <f t="array" ref="G853">_xlfn.XLOOKUP(TableDailySummary[[#This Row],[Fecha]]&amp;"Total site",ConversionRateByReferral[day]&amp;ConversionRateByReferral[referrer_source],ConversionRateByReferral[conversion_rate],0)</f>
        <v>0</v>
      </c>
      <c r="H853" s="11">
        <f>TableDailySummary[[#This Row],[Órden promedio totales]]*TableDailySummary[[#This Row],[CR totales]]</f>
        <v>0</v>
      </c>
      <c r="I853" s="11">
        <f>_xlfn.XLOOKUP(TableDailySummary[[#This Row],[Fecha]],SummaryDaily[day],SummaryDaily[new_net_sales],0)</f>
        <v>0</v>
      </c>
      <c r="J853" s="11">
        <f>_xlfn.XLOOKUP(TableDailySummary[[#This Row],[Fecha]],SummaryDaily[day],SummaryDaily[new_orders],0)</f>
        <v>0</v>
      </c>
      <c r="K853" s="11">
        <f>_xlfn.XLOOKUP(TableDailySummary[[#This Row],[Fecha]],SummaryDaily[day],SummaryDaily[new_average_order_value],0)</f>
        <v>0</v>
      </c>
      <c r="L853" s="11">
        <f>_xlfn.XLOOKUP(TableDailySummary[[#This Row],[Fecha]],SummaryDaily[day],SummaryDaily[Online Store_net_sales],0)</f>
        <v>0</v>
      </c>
      <c r="M853" s="11">
        <f>_xlfn.XLOOKUP(TableDailySummary[[#This Row],[Fecha]],SummaryDaily[day],SummaryDaily[Online Store_orders],0)</f>
        <v>0</v>
      </c>
      <c r="N853" s="11">
        <f>_xlfn.XLOOKUP(TableDailySummary[[#This Row],[Fecha]],SummaryDaily[day],SummaryDaily[Online Store_average_order_value],0)</f>
        <v>0</v>
      </c>
      <c r="O853" s="11">
        <f>_xlfn.XLOOKUP(TableDailySummary[[#This Row],[Fecha]],SummaryDaily[day],SummaryDaily[Tienda 81_net_sales],0)</f>
        <v>0</v>
      </c>
      <c r="P853" s="11">
        <f>_xlfn.XLOOKUP(TableDailySummary[[#This Row],[Fecha]],SummaryDaily[day],SummaryDaily[Tienda 81_orders],0)</f>
        <v>0</v>
      </c>
      <c r="Q853" s="11">
        <f>_xlfn.XLOOKUP(TableDailySummary[[#This Row],[Fecha]],SummaryDaily[day],SummaryDaily[Tienda 81_average_order_value],0)</f>
        <v>0</v>
      </c>
      <c r="R853" s="11">
        <f>_xlfn.XLOOKUP(TableDailySummary[[#This Row],[Fecha]],SummaryDaily[day],SummaryDaily[Rappi_net_sales],0)</f>
        <v>0</v>
      </c>
      <c r="S853" s="11">
        <f>_xlfn.XLOOKUP(TableDailySummary[[#This Row],[Fecha]],SummaryDaily[day],SummaryDaily[Rappi_orders],0)</f>
        <v>0</v>
      </c>
      <c r="T853" s="11">
        <f>_xlfn.XLOOKUP(TableDailySummary[[#This Row],[Fecha]],SummaryDaily[day],SummaryDaily[Rappi_average_order_value],0)</f>
        <v>0</v>
      </c>
      <c r="U853" s="11">
        <f>_xlfn.XLOOKUP(TableDailySummary[[#This Row],[Fecha]],SummaryDaily[day],SummaryDaily[Corporativo no tienda_net_sales],0)</f>
        <v>0</v>
      </c>
      <c r="V853" s="11">
        <f>_xlfn.XLOOKUP(TableDailySummary[[#This Row],[Fecha]],SummaryDaily[day],SummaryDaily[Corporativo no tienda_orders],0)</f>
        <v>0</v>
      </c>
      <c r="W853" s="11">
        <f>_xlfn.XLOOKUP(TableDailySummary[[#This Row],[Fecha]],SummaryDaily[day],SummaryDaily[Corporativo no tienda_average_order_value],0)</f>
        <v>0</v>
      </c>
      <c r="X853" s="11">
        <f>_xlfn.XLOOKUP(TableDailySummary[[#This Row],[Fecha]],SummaryDaily[day],SummaryDaily[GoogleAdsOperation.Cost],0)</f>
        <v>0</v>
      </c>
      <c r="Y853" s="11">
        <f>SUMIFS(SalesByUTMDaily[google],SalesByUTMDaily[day],TableDailySummary[[#This Row],[Fecha]])</f>
        <v>0</v>
      </c>
      <c r="Z853" s="11">
        <f>_xlfn.XLOOKUP(TableDailySummary[[#This Row],[Fecha]],SummaryDaily[day],SummaryDaily[MetaAdsOperation.spend],0)</f>
        <v>0</v>
      </c>
      <c r="AA853" s="11">
        <f>SUMIFS(SalesByUTMDaily[facebook],SalesByUTMDaily[day],TableDailySummary[[#This Row],[Fecha]])</f>
        <v>0</v>
      </c>
      <c r="AB853" s="11">
        <f>TableDailySummary[[#This Row],[Inversión google ads]]+TableDailySummary[[#This Row],[Inversión meta ads]]</f>
        <v>0</v>
      </c>
      <c r="AC853" s="11">
        <f>TableDailySummary[[#This Row],[Ventas google ads]]+TableDailySummary[[#This Row],[Ventas meta ads]]</f>
        <v>0</v>
      </c>
      <c r="AD853" s="14">
        <f>IFERROR(TableDailySummary[[#This Row],[Ventas publicidad]]/TableDailySummary[[#This Row],[Inversión publicidad]],0)</f>
        <v>0</v>
      </c>
      <c r="AE853" s="14">
        <f>IFERROR(TableDailySummary[[#This Row],[Ventas primer cliente]]/TableDailySummary[[#This Row],[Inversión publicidad]],0)</f>
        <v>0</v>
      </c>
      <c r="AF853" s="14"/>
      <c r="AG853" s="11"/>
      <c r="AM853" s="11">
        <f>_xlfn.XLOOKUP(TableDailySummary[[#This Row],[Fecha]],SummaryDaily[day],SummaryDaily[net_sales_with_cost_recorded],0)</f>
        <v>0</v>
      </c>
      <c r="AN853" s="11">
        <f>_xlfn.XLOOKUP(TableDailySummary[[#This Row],[Fecha]],SummaryDaily[day],SummaryDaily[cost_of_goods_sold],0)</f>
        <v>0</v>
      </c>
      <c r="AO853" s="11">
        <f>_xlfn.XLOOKUP(TableDailySummary[[#This Row],[Fecha]],SummaryDaily[day],SummaryDaily[gross_profit],0)</f>
        <v>0</v>
      </c>
      <c r="AP853" s="18">
        <f>IFERROR(TableDailySummary[[#This Row],[Utilidad bruta]]/TableDailySummary[[#This Row],[Ventas netas con costo registrado]],0)</f>
        <v>0</v>
      </c>
    </row>
    <row r="854" spans="2:42" x14ac:dyDescent="0.2">
      <c r="B854" s="15" cm="1">
        <f t="array" ref="B854">ParamFechaInicioReporte + (ROW(TableDailySummary[#This Row]) - ROW(TableDailySummary[[#Headers],[Dia]]) - 1)</f>
        <v>45381</v>
      </c>
      <c r="C854" s="6">
        <f>TableDailySummary[[#This Row],[Dia]]</f>
        <v>45381</v>
      </c>
      <c r="D854" s="11">
        <f>_xlfn.XLOOKUP(TableDailySummary[[#This Row],[Fecha]],SummaryDaily[day],SummaryDaily[net_sales],0)</f>
        <v>0</v>
      </c>
      <c r="E854" s="11">
        <f>_xlfn.XLOOKUP(TableDailySummary[[#This Row],[Fecha]],SummaryDaily[day],SummaryDaily[orders],0)</f>
        <v>0</v>
      </c>
      <c r="F854" s="11">
        <f>_xlfn.XLOOKUP(TableDailySummary[[#This Row],[Fecha]],SummaryDaily[day],SummaryDaily[average_order_value],0)</f>
        <v>0</v>
      </c>
      <c r="G854" s="24" cm="1">
        <f t="array" ref="G854">_xlfn.XLOOKUP(TableDailySummary[[#This Row],[Fecha]]&amp;"Total site",ConversionRateByReferral[day]&amp;ConversionRateByReferral[referrer_source],ConversionRateByReferral[conversion_rate],0)</f>
        <v>0</v>
      </c>
      <c r="H854" s="11">
        <f>TableDailySummary[[#This Row],[Órden promedio totales]]*TableDailySummary[[#This Row],[CR totales]]</f>
        <v>0</v>
      </c>
      <c r="I854" s="11">
        <f>_xlfn.XLOOKUP(TableDailySummary[[#This Row],[Fecha]],SummaryDaily[day],SummaryDaily[new_net_sales],0)</f>
        <v>0</v>
      </c>
      <c r="J854" s="11">
        <f>_xlfn.XLOOKUP(TableDailySummary[[#This Row],[Fecha]],SummaryDaily[day],SummaryDaily[new_orders],0)</f>
        <v>0</v>
      </c>
      <c r="K854" s="11">
        <f>_xlfn.XLOOKUP(TableDailySummary[[#This Row],[Fecha]],SummaryDaily[day],SummaryDaily[new_average_order_value],0)</f>
        <v>0</v>
      </c>
      <c r="L854" s="11">
        <f>_xlfn.XLOOKUP(TableDailySummary[[#This Row],[Fecha]],SummaryDaily[day],SummaryDaily[Online Store_net_sales],0)</f>
        <v>0</v>
      </c>
      <c r="M854" s="11">
        <f>_xlfn.XLOOKUP(TableDailySummary[[#This Row],[Fecha]],SummaryDaily[day],SummaryDaily[Online Store_orders],0)</f>
        <v>0</v>
      </c>
      <c r="N854" s="11">
        <f>_xlfn.XLOOKUP(TableDailySummary[[#This Row],[Fecha]],SummaryDaily[day],SummaryDaily[Online Store_average_order_value],0)</f>
        <v>0</v>
      </c>
      <c r="O854" s="11">
        <f>_xlfn.XLOOKUP(TableDailySummary[[#This Row],[Fecha]],SummaryDaily[day],SummaryDaily[Tienda 81_net_sales],0)</f>
        <v>0</v>
      </c>
      <c r="P854" s="11">
        <f>_xlfn.XLOOKUP(TableDailySummary[[#This Row],[Fecha]],SummaryDaily[day],SummaryDaily[Tienda 81_orders],0)</f>
        <v>0</v>
      </c>
      <c r="Q854" s="11">
        <f>_xlfn.XLOOKUP(TableDailySummary[[#This Row],[Fecha]],SummaryDaily[day],SummaryDaily[Tienda 81_average_order_value],0)</f>
        <v>0</v>
      </c>
      <c r="R854" s="11">
        <f>_xlfn.XLOOKUP(TableDailySummary[[#This Row],[Fecha]],SummaryDaily[day],SummaryDaily[Rappi_net_sales],0)</f>
        <v>0</v>
      </c>
      <c r="S854" s="11">
        <f>_xlfn.XLOOKUP(TableDailySummary[[#This Row],[Fecha]],SummaryDaily[day],SummaryDaily[Rappi_orders],0)</f>
        <v>0</v>
      </c>
      <c r="T854" s="11">
        <f>_xlfn.XLOOKUP(TableDailySummary[[#This Row],[Fecha]],SummaryDaily[day],SummaryDaily[Rappi_average_order_value],0)</f>
        <v>0</v>
      </c>
      <c r="U854" s="11">
        <f>_xlfn.XLOOKUP(TableDailySummary[[#This Row],[Fecha]],SummaryDaily[day],SummaryDaily[Corporativo no tienda_net_sales],0)</f>
        <v>0</v>
      </c>
      <c r="V854" s="11">
        <f>_xlfn.XLOOKUP(TableDailySummary[[#This Row],[Fecha]],SummaryDaily[day],SummaryDaily[Corporativo no tienda_orders],0)</f>
        <v>0</v>
      </c>
      <c r="W854" s="11">
        <f>_xlfn.XLOOKUP(TableDailySummary[[#This Row],[Fecha]],SummaryDaily[day],SummaryDaily[Corporativo no tienda_average_order_value],0)</f>
        <v>0</v>
      </c>
      <c r="X854" s="11">
        <f>_xlfn.XLOOKUP(TableDailySummary[[#This Row],[Fecha]],SummaryDaily[day],SummaryDaily[GoogleAdsOperation.Cost],0)</f>
        <v>0</v>
      </c>
      <c r="Y854" s="11">
        <f>SUMIFS(SalesByUTMDaily[google],SalesByUTMDaily[day],TableDailySummary[[#This Row],[Fecha]])</f>
        <v>0</v>
      </c>
      <c r="Z854" s="11">
        <f>_xlfn.XLOOKUP(TableDailySummary[[#This Row],[Fecha]],SummaryDaily[day],SummaryDaily[MetaAdsOperation.spend],0)</f>
        <v>0</v>
      </c>
      <c r="AA854" s="11">
        <f>SUMIFS(SalesByUTMDaily[facebook],SalesByUTMDaily[day],TableDailySummary[[#This Row],[Fecha]])</f>
        <v>0</v>
      </c>
      <c r="AB854" s="11">
        <f>TableDailySummary[[#This Row],[Inversión google ads]]+TableDailySummary[[#This Row],[Inversión meta ads]]</f>
        <v>0</v>
      </c>
      <c r="AC854" s="11">
        <f>TableDailySummary[[#This Row],[Ventas google ads]]+TableDailySummary[[#This Row],[Ventas meta ads]]</f>
        <v>0</v>
      </c>
      <c r="AD854" s="14">
        <f>IFERROR(TableDailySummary[[#This Row],[Ventas publicidad]]/TableDailySummary[[#This Row],[Inversión publicidad]],0)</f>
        <v>0</v>
      </c>
      <c r="AE854" s="14">
        <f>IFERROR(TableDailySummary[[#This Row],[Ventas primer cliente]]/TableDailySummary[[#This Row],[Inversión publicidad]],0)</f>
        <v>0</v>
      </c>
      <c r="AF854" s="14"/>
      <c r="AG854" s="11"/>
      <c r="AM854" s="11">
        <f>_xlfn.XLOOKUP(TableDailySummary[[#This Row],[Fecha]],SummaryDaily[day],SummaryDaily[net_sales_with_cost_recorded],0)</f>
        <v>0</v>
      </c>
      <c r="AN854" s="11">
        <f>_xlfn.XLOOKUP(TableDailySummary[[#This Row],[Fecha]],SummaryDaily[day],SummaryDaily[cost_of_goods_sold],0)</f>
        <v>0</v>
      </c>
      <c r="AO854" s="11">
        <f>_xlfn.XLOOKUP(TableDailySummary[[#This Row],[Fecha]],SummaryDaily[day],SummaryDaily[gross_profit],0)</f>
        <v>0</v>
      </c>
      <c r="AP854" s="18">
        <f>IFERROR(TableDailySummary[[#This Row],[Utilidad bruta]]/TableDailySummary[[#This Row],[Ventas netas con costo registrado]],0)</f>
        <v>0</v>
      </c>
    </row>
    <row r="855" spans="2:42" x14ac:dyDescent="0.2">
      <c r="B855" s="15" cm="1">
        <f t="array" ref="B855">ParamFechaInicioReporte + (ROW(TableDailySummary[#This Row]) - ROW(TableDailySummary[[#Headers],[Dia]]) - 1)</f>
        <v>45382</v>
      </c>
      <c r="C855" s="6">
        <f>TableDailySummary[[#This Row],[Dia]]</f>
        <v>45382</v>
      </c>
      <c r="D855" s="11">
        <f>_xlfn.XLOOKUP(TableDailySummary[[#This Row],[Fecha]],SummaryDaily[day],SummaryDaily[net_sales],0)</f>
        <v>0</v>
      </c>
      <c r="E855" s="11">
        <f>_xlfn.XLOOKUP(TableDailySummary[[#This Row],[Fecha]],SummaryDaily[day],SummaryDaily[orders],0)</f>
        <v>0</v>
      </c>
      <c r="F855" s="11">
        <f>_xlfn.XLOOKUP(TableDailySummary[[#This Row],[Fecha]],SummaryDaily[day],SummaryDaily[average_order_value],0)</f>
        <v>0</v>
      </c>
      <c r="G855" s="24" cm="1">
        <f t="array" ref="G855">_xlfn.XLOOKUP(TableDailySummary[[#This Row],[Fecha]]&amp;"Total site",ConversionRateByReferral[day]&amp;ConversionRateByReferral[referrer_source],ConversionRateByReferral[conversion_rate],0)</f>
        <v>0</v>
      </c>
      <c r="H855" s="11">
        <f>TableDailySummary[[#This Row],[Órden promedio totales]]*TableDailySummary[[#This Row],[CR totales]]</f>
        <v>0</v>
      </c>
      <c r="I855" s="11">
        <f>_xlfn.XLOOKUP(TableDailySummary[[#This Row],[Fecha]],SummaryDaily[day],SummaryDaily[new_net_sales],0)</f>
        <v>0</v>
      </c>
      <c r="J855" s="11">
        <f>_xlfn.XLOOKUP(TableDailySummary[[#This Row],[Fecha]],SummaryDaily[day],SummaryDaily[new_orders],0)</f>
        <v>0</v>
      </c>
      <c r="K855" s="11">
        <f>_xlfn.XLOOKUP(TableDailySummary[[#This Row],[Fecha]],SummaryDaily[day],SummaryDaily[new_average_order_value],0)</f>
        <v>0</v>
      </c>
      <c r="L855" s="11">
        <f>_xlfn.XLOOKUP(TableDailySummary[[#This Row],[Fecha]],SummaryDaily[day],SummaryDaily[Online Store_net_sales],0)</f>
        <v>0</v>
      </c>
      <c r="M855" s="11">
        <f>_xlfn.XLOOKUP(TableDailySummary[[#This Row],[Fecha]],SummaryDaily[day],SummaryDaily[Online Store_orders],0)</f>
        <v>0</v>
      </c>
      <c r="N855" s="11">
        <f>_xlfn.XLOOKUP(TableDailySummary[[#This Row],[Fecha]],SummaryDaily[day],SummaryDaily[Online Store_average_order_value],0)</f>
        <v>0</v>
      </c>
      <c r="O855" s="11">
        <f>_xlfn.XLOOKUP(TableDailySummary[[#This Row],[Fecha]],SummaryDaily[day],SummaryDaily[Tienda 81_net_sales],0)</f>
        <v>0</v>
      </c>
      <c r="P855" s="11">
        <f>_xlfn.XLOOKUP(TableDailySummary[[#This Row],[Fecha]],SummaryDaily[day],SummaryDaily[Tienda 81_orders],0)</f>
        <v>0</v>
      </c>
      <c r="Q855" s="11">
        <f>_xlfn.XLOOKUP(TableDailySummary[[#This Row],[Fecha]],SummaryDaily[day],SummaryDaily[Tienda 81_average_order_value],0)</f>
        <v>0</v>
      </c>
      <c r="R855" s="11">
        <f>_xlfn.XLOOKUP(TableDailySummary[[#This Row],[Fecha]],SummaryDaily[day],SummaryDaily[Rappi_net_sales],0)</f>
        <v>0</v>
      </c>
      <c r="S855" s="11">
        <f>_xlfn.XLOOKUP(TableDailySummary[[#This Row],[Fecha]],SummaryDaily[day],SummaryDaily[Rappi_orders],0)</f>
        <v>0</v>
      </c>
      <c r="T855" s="11">
        <f>_xlfn.XLOOKUP(TableDailySummary[[#This Row],[Fecha]],SummaryDaily[day],SummaryDaily[Rappi_average_order_value],0)</f>
        <v>0</v>
      </c>
      <c r="U855" s="11">
        <f>_xlfn.XLOOKUP(TableDailySummary[[#This Row],[Fecha]],SummaryDaily[day],SummaryDaily[Corporativo no tienda_net_sales],0)</f>
        <v>0</v>
      </c>
      <c r="V855" s="11">
        <f>_xlfn.XLOOKUP(TableDailySummary[[#This Row],[Fecha]],SummaryDaily[day],SummaryDaily[Corporativo no tienda_orders],0)</f>
        <v>0</v>
      </c>
      <c r="W855" s="11">
        <f>_xlfn.XLOOKUP(TableDailySummary[[#This Row],[Fecha]],SummaryDaily[day],SummaryDaily[Corporativo no tienda_average_order_value],0)</f>
        <v>0</v>
      </c>
      <c r="X855" s="11">
        <f>_xlfn.XLOOKUP(TableDailySummary[[#This Row],[Fecha]],SummaryDaily[day],SummaryDaily[GoogleAdsOperation.Cost],0)</f>
        <v>0</v>
      </c>
      <c r="Y855" s="11">
        <f>SUMIFS(SalesByUTMDaily[google],SalesByUTMDaily[day],TableDailySummary[[#This Row],[Fecha]])</f>
        <v>0</v>
      </c>
      <c r="Z855" s="11">
        <f>_xlfn.XLOOKUP(TableDailySummary[[#This Row],[Fecha]],SummaryDaily[day],SummaryDaily[MetaAdsOperation.spend],0)</f>
        <v>0</v>
      </c>
      <c r="AA855" s="11">
        <f>SUMIFS(SalesByUTMDaily[facebook],SalesByUTMDaily[day],TableDailySummary[[#This Row],[Fecha]])</f>
        <v>0</v>
      </c>
      <c r="AB855" s="11">
        <f>TableDailySummary[[#This Row],[Inversión google ads]]+TableDailySummary[[#This Row],[Inversión meta ads]]</f>
        <v>0</v>
      </c>
      <c r="AC855" s="11">
        <f>TableDailySummary[[#This Row],[Ventas google ads]]+TableDailySummary[[#This Row],[Ventas meta ads]]</f>
        <v>0</v>
      </c>
      <c r="AD855" s="14">
        <f>IFERROR(TableDailySummary[[#This Row],[Ventas publicidad]]/TableDailySummary[[#This Row],[Inversión publicidad]],0)</f>
        <v>0</v>
      </c>
      <c r="AE855" s="14">
        <f>IFERROR(TableDailySummary[[#This Row],[Ventas primer cliente]]/TableDailySummary[[#This Row],[Inversión publicidad]],0)</f>
        <v>0</v>
      </c>
      <c r="AF855" s="14"/>
      <c r="AG855" s="11"/>
      <c r="AM855" s="11">
        <f>_xlfn.XLOOKUP(TableDailySummary[[#This Row],[Fecha]],SummaryDaily[day],SummaryDaily[net_sales_with_cost_recorded],0)</f>
        <v>0</v>
      </c>
      <c r="AN855" s="11">
        <f>_xlfn.XLOOKUP(TableDailySummary[[#This Row],[Fecha]],SummaryDaily[day],SummaryDaily[cost_of_goods_sold],0)</f>
        <v>0</v>
      </c>
      <c r="AO855" s="11">
        <f>_xlfn.XLOOKUP(TableDailySummary[[#This Row],[Fecha]],SummaryDaily[day],SummaryDaily[gross_profit],0)</f>
        <v>0</v>
      </c>
      <c r="AP855" s="18">
        <f>IFERROR(TableDailySummary[[#This Row],[Utilidad bruta]]/TableDailySummary[[#This Row],[Ventas netas con costo registrado]],0)</f>
        <v>0</v>
      </c>
    </row>
    <row r="856" spans="2:42" x14ac:dyDescent="0.2">
      <c r="B856" s="15" cm="1">
        <f t="array" ref="B856">ParamFechaInicioReporte + (ROW(TableDailySummary[#This Row]) - ROW(TableDailySummary[[#Headers],[Dia]]) - 1)</f>
        <v>45383</v>
      </c>
      <c r="C856" s="6">
        <f>TableDailySummary[[#This Row],[Dia]]</f>
        <v>45383</v>
      </c>
      <c r="D856" s="11">
        <f>_xlfn.XLOOKUP(TableDailySummary[[#This Row],[Fecha]],SummaryDaily[day],SummaryDaily[net_sales],0)</f>
        <v>0</v>
      </c>
      <c r="E856" s="11">
        <f>_xlfn.XLOOKUP(TableDailySummary[[#This Row],[Fecha]],SummaryDaily[day],SummaryDaily[orders],0)</f>
        <v>0</v>
      </c>
      <c r="F856" s="11">
        <f>_xlfn.XLOOKUP(TableDailySummary[[#This Row],[Fecha]],SummaryDaily[day],SummaryDaily[average_order_value],0)</f>
        <v>0</v>
      </c>
      <c r="G856" s="24" cm="1">
        <f t="array" ref="G856">_xlfn.XLOOKUP(TableDailySummary[[#This Row],[Fecha]]&amp;"Total site",ConversionRateByReferral[day]&amp;ConversionRateByReferral[referrer_source],ConversionRateByReferral[conversion_rate],0)</f>
        <v>0</v>
      </c>
      <c r="H856" s="11">
        <f>TableDailySummary[[#This Row],[Órden promedio totales]]*TableDailySummary[[#This Row],[CR totales]]</f>
        <v>0</v>
      </c>
      <c r="I856" s="11">
        <f>_xlfn.XLOOKUP(TableDailySummary[[#This Row],[Fecha]],SummaryDaily[day],SummaryDaily[new_net_sales],0)</f>
        <v>0</v>
      </c>
      <c r="J856" s="11">
        <f>_xlfn.XLOOKUP(TableDailySummary[[#This Row],[Fecha]],SummaryDaily[day],SummaryDaily[new_orders],0)</f>
        <v>0</v>
      </c>
      <c r="K856" s="11">
        <f>_xlfn.XLOOKUP(TableDailySummary[[#This Row],[Fecha]],SummaryDaily[day],SummaryDaily[new_average_order_value],0)</f>
        <v>0</v>
      </c>
      <c r="L856" s="11">
        <f>_xlfn.XLOOKUP(TableDailySummary[[#This Row],[Fecha]],SummaryDaily[day],SummaryDaily[Online Store_net_sales],0)</f>
        <v>0</v>
      </c>
      <c r="M856" s="11">
        <f>_xlfn.XLOOKUP(TableDailySummary[[#This Row],[Fecha]],SummaryDaily[day],SummaryDaily[Online Store_orders],0)</f>
        <v>0</v>
      </c>
      <c r="N856" s="11">
        <f>_xlfn.XLOOKUP(TableDailySummary[[#This Row],[Fecha]],SummaryDaily[day],SummaryDaily[Online Store_average_order_value],0)</f>
        <v>0</v>
      </c>
      <c r="O856" s="11">
        <f>_xlfn.XLOOKUP(TableDailySummary[[#This Row],[Fecha]],SummaryDaily[day],SummaryDaily[Tienda 81_net_sales],0)</f>
        <v>0</v>
      </c>
      <c r="P856" s="11">
        <f>_xlfn.XLOOKUP(TableDailySummary[[#This Row],[Fecha]],SummaryDaily[day],SummaryDaily[Tienda 81_orders],0)</f>
        <v>0</v>
      </c>
      <c r="Q856" s="11">
        <f>_xlfn.XLOOKUP(TableDailySummary[[#This Row],[Fecha]],SummaryDaily[day],SummaryDaily[Tienda 81_average_order_value],0)</f>
        <v>0</v>
      </c>
      <c r="R856" s="11">
        <f>_xlfn.XLOOKUP(TableDailySummary[[#This Row],[Fecha]],SummaryDaily[day],SummaryDaily[Rappi_net_sales],0)</f>
        <v>0</v>
      </c>
      <c r="S856" s="11">
        <f>_xlfn.XLOOKUP(TableDailySummary[[#This Row],[Fecha]],SummaryDaily[day],SummaryDaily[Rappi_orders],0)</f>
        <v>0</v>
      </c>
      <c r="T856" s="11">
        <f>_xlfn.XLOOKUP(TableDailySummary[[#This Row],[Fecha]],SummaryDaily[day],SummaryDaily[Rappi_average_order_value],0)</f>
        <v>0</v>
      </c>
      <c r="U856" s="11">
        <f>_xlfn.XLOOKUP(TableDailySummary[[#This Row],[Fecha]],SummaryDaily[day],SummaryDaily[Corporativo no tienda_net_sales],0)</f>
        <v>0</v>
      </c>
      <c r="V856" s="11">
        <f>_xlfn.XLOOKUP(TableDailySummary[[#This Row],[Fecha]],SummaryDaily[day],SummaryDaily[Corporativo no tienda_orders],0)</f>
        <v>0</v>
      </c>
      <c r="W856" s="11">
        <f>_xlfn.XLOOKUP(TableDailySummary[[#This Row],[Fecha]],SummaryDaily[day],SummaryDaily[Corporativo no tienda_average_order_value],0)</f>
        <v>0</v>
      </c>
      <c r="X856" s="11">
        <f>_xlfn.XLOOKUP(TableDailySummary[[#This Row],[Fecha]],SummaryDaily[day],SummaryDaily[GoogleAdsOperation.Cost],0)</f>
        <v>0</v>
      </c>
      <c r="Y856" s="11">
        <f>SUMIFS(SalesByUTMDaily[google],SalesByUTMDaily[day],TableDailySummary[[#This Row],[Fecha]])</f>
        <v>0</v>
      </c>
      <c r="Z856" s="11">
        <f>_xlfn.XLOOKUP(TableDailySummary[[#This Row],[Fecha]],SummaryDaily[day],SummaryDaily[MetaAdsOperation.spend],0)</f>
        <v>0</v>
      </c>
      <c r="AA856" s="11">
        <f>SUMIFS(SalesByUTMDaily[facebook],SalesByUTMDaily[day],TableDailySummary[[#This Row],[Fecha]])</f>
        <v>0</v>
      </c>
      <c r="AB856" s="11">
        <f>TableDailySummary[[#This Row],[Inversión google ads]]+TableDailySummary[[#This Row],[Inversión meta ads]]</f>
        <v>0</v>
      </c>
      <c r="AC856" s="11">
        <f>TableDailySummary[[#This Row],[Ventas google ads]]+TableDailySummary[[#This Row],[Ventas meta ads]]</f>
        <v>0</v>
      </c>
      <c r="AD856" s="14">
        <f>IFERROR(TableDailySummary[[#This Row],[Ventas publicidad]]/TableDailySummary[[#This Row],[Inversión publicidad]],0)</f>
        <v>0</v>
      </c>
      <c r="AE856" s="14">
        <f>IFERROR(TableDailySummary[[#This Row],[Ventas primer cliente]]/TableDailySummary[[#This Row],[Inversión publicidad]],0)</f>
        <v>0</v>
      </c>
      <c r="AF856" s="14"/>
      <c r="AG856" s="11"/>
      <c r="AM856" s="11">
        <f>_xlfn.XLOOKUP(TableDailySummary[[#This Row],[Fecha]],SummaryDaily[day],SummaryDaily[net_sales_with_cost_recorded],0)</f>
        <v>0</v>
      </c>
      <c r="AN856" s="11">
        <f>_xlfn.XLOOKUP(TableDailySummary[[#This Row],[Fecha]],SummaryDaily[day],SummaryDaily[cost_of_goods_sold],0)</f>
        <v>0</v>
      </c>
      <c r="AO856" s="11">
        <f>_xlfn.XLOOKUP(TableDailySummary[[#This Row],[Fecha]],SummaryDaily[day],SummaryDaily[gross_profit],0)</f>
        <v>0</v>
      </c>
      <c r="AP856" s="18">
        <f>IFERROR(TableDailySummary[[#This Row],[Utilidad bruta]]/TableDailySummary[[#This Row],[Ventas netas con costo registrado]],0)</f>
        <v>0</v>
      </c>
    </row>
    <row r="857" spans="2:42" x14ac:dyDescent="0.2">
      <c r="B857" s="15" cm="1">
        <f t="array" ref="B857">ParamFechaInicioReporte + (ROW(TableDailySummary[#This Row]) - ROW(TableDailySummary[[#Headers],[Dia]]) - 1)</f>
        <v>45384</v>
      </c>
      <c r="C857" s="6">
        <f>TableDailySummary[[#This Row],[Dia]]</f>
        <v>45384</v>
      </c>
      <c r="D857" s="11">
        <f>_xlfn.XLOOKUP(TableDailySummary[[#This Row],[Fecha]],SummaryDaily[day],SummaryDaily[net_sales],0)</f>
        <v>0</v>
      </c>
      <c r="E857" s="11">
        <f>_xlfn.XLOOKUP(TableDailySummary[[#This Row],[Fecha]],SummaryDaily[day],SummaryDaily[orders],0)</f>
        <v>0</v>
      </c>
      <c r="F857" s="11">
        <f>_xlfn.XLOOKUP(TableDailySummary[[#This Row],[Fecha]],SummaryDaily[day],SummaryDaily[average_order_value],0)</f>
        <v>0</v>
      </c>
      <c r="G857" s="24" cm="1">
        <f t="array" ref="G857">_xlfn.XLOOKUP(TableDailySummary[[#This Row],[Fecha]]&amp;"Total site",ConversionRateByReferral[day]&amp;ConversionRateByReferral[referrer_source],ConversionRateByReferral[conversion_rate],0)</f>
        <v>0</v>
      </c>
      <c r="H857" s="11">
        <f>TableDailySummary[[#This Row],[Órden promedio totales]]*TableDailySummary[[#This Row],[CR totales]]</f>
        <v>0</v>
      </c>
      <c r="I857" s="11">
        <f>_xlfn.XLOOKUP(TableDailySummary[[#This Row],[Fecha]],SummaryDaily[day],SummaryDaily[new_net_sales],0)</f>
        <v>0</v>
      </c>
      <c r="J857" s="11">
        <f>_xlfn.XLOOKUP(TableDailySummary[[#This Row],[Fecha]],SummaryDaily[day],SummaryDaily[new_orders],0)</f>
        <v>0</v>
      </c>
      <c r="K857" s="11">
        <f>_xlfn.XLOOKUP(TableDailySummary[[#This Row],[Fecha]],SummaryDaily[day],SummaryDaily[new_average_order_value],0)</f>
        <v>0</v>
      </c>
      <c r="L857" s="11">
        <f>_xlfn.XLOOKUP(TableDailySummary[[#This Row],[Fecha]],SummaryDaily[day],SummaryDaily[Online Store_net_sales],0)</f>
        <v>0</v>
      </c>
      <c r="M857" s="11">
        <f>_xlfn.XLOOKUP(TableDailySummary[[#This Row],[Fecha]],SummaryDaily[day],SummaryDaily[Online Store_orders],0)</f>
        <v>0</v>
      </c>
      <c r="N857" s="11">
        <f>_xlfn.XLOOKUP(TableDailySummary[[#This Row],[Fecha]],SummaryDaily[day],SummaryDaily[Online Store_average_order_value],0)</f>
        <v>0</v>
      </c>
      <c r="O857" s="11">
        <f>_xlfn.XLOOKUP(TableDailySummary[[#This Row],[Fecha]],SummaryDaily[day],SummaryDaily[Tienda 81_net_sales],0)</f>
        <v>0</v>
      </c>
      <c r="P857" s="11">
        <f>_xlfn.XLOOKUP(TableDailySummary[[#This Row],[Fecha]],SummaryDaily[day],SummaryDaily[Tienda 81_orders],0)</f>
        <v>0</v>
      </c>
      <c r="Q857" s="11">
        <f>_xlfn.XLOOKUP(TableDailySummary[[#This Row],[Fecha]],SummaryDaily[day],SummaryDaily[Tienda 81_average_order_value],0)</f>
        <v>0</v>
      </c>
      <c r="R857" s="11">
        <f>_xlfn.XLOOKUP(TableDailySummary[[#This Row],[Fecha]],SummaryDaily[day],SummaryDaily[Rappi_net_sales],0)</f>
        <v>0</v>
      </c>
      <c r="S857" s="11">
        <f>_xlfn.XLOOKUP(TableDailySummary[[#This Row],[Fecha]],SummaryDaily[day],SummaryDaily[Rappi_orders],0)</f>
        <v>0</v>
      </c>
      <c r="T857" s="11">
        <f>_xlfn.XLOOKUP(TableDailySummary[[#This Row],[Fecha]],SummaryDaily[day],SummaryDaily[Rappi_average_order_value],0)</f>
        <v>0</v>
      </c>
      <c r="U857" s="11">
        <f>_xlfn.XLOOKUP(TableDailySummary[[#This Row],[Fecha]],SummaryDaily[day],SummaryDaily[Corporativo no tienda_net_sales],0)</f>
        <v>0</v>
      </c>
      <c r="V857" s="11">
        <f>_xlfn.XLOOKUP(TableDailySummary[[#This Row],[Fecha]],SummaryDaily[day],SummaryDaily[Corporativo no tienda_orders],0)</f>
        <v>0</v>
      </c>
      <c r="W857" s="11">
        <f>_xlfn.XLOOKUP(TableDailySummary[[#This Row],[Fecha]],SummaryDaily[day],SummaryDaily[Corporativo no tienda_average_order_value],0)</f>
        <v>0</v>
      </c>
      <c r="X857" s="11">
        <f>_xlfn.XLOOKUP(TableDailySummary[[#This Row],[Fecha]],SummaryDaily[day],SummaryDaily[GoogleAdsOperation.Cost],0)</f>
        <v>0</v>
      </c>
      <c r="Y857" s="11">
        <f>SUMIFS(SalesByUTMDaily[google],SalesByUTMDaily[day],TableDailySummary[[#This Row],[Fecha]])</f>
        <v>0</v>
      </c>
      <c r="Z857" s="11">
        <f>_xlfn.XLOOKUP(TableDailySummary[[#This Row],[Fecha]],SummaryDaily[day],SummaryDaily[MetaAdsOperation.spend],0)</f>
        <v>0</v>
      </c>
      <c r="AA857" s="11">
        <f>SUMIFS(SalesByUTMDaily[facebook],SalesByUTMDaily[day],TableDailySummary[[#This Row],[Fecha]])</f>
        <v>0</v>
      </c>
      <c r="AB857" s="11">
        <f>TableDailySummary[[#This Row],[Inversión google ads]]+TableDailySummary[[#This Row],[Inversión meta ads]]</f>
        <v>0</v>
      </c>
      <c r="AC857" s="11">
        <f>TableDailySummary[[#This Row],[Ventas google ads]]+TableDailySummary[[#This Row],[Ventas meta ads]]</f>
        <v>0</v>
      </c>
      <c r="AD857" s="14">
        <f>IFERROR(TableDailySummary[[#This Row],[Ventas publicidad]]/TableDailySummary[[#This Row],[Inversión publicidad]],0)</f>
        <v>0</v>
      </c>
      <c r="AE857" s="14">
        <f>IFERROR(TableDailySummary[[#This Row],[Ventas primer cliente]]/TableDailySummary[[#This Row],[Inversión publicidad]],0)</f>
        <v>0</v>
      </c>
      <c r="AF857" s="14"/>
      <c r="AG857" s="11"/>
      <c r="AM857" s="11">
        <f>_xlfn.XLOOKUP(TableDailySummary[[#This Row],[Fecha]],SummaryDaily[day],SummaryDaily[net_sales_with_cost_recorded],0)</f>
        <v>0</v>
      </c>
      <c r="AN857" s="11">
        <f>_xlfn.XLOOKUP(TableDailySummary[[#This Row],[Fecha]],SummaryDaily[day],SummaryDaily[cost_of_goods_sold],0)</f>
        <v>0</v>
      </c>
      <c r="AO857" s="11">
        <f>_xlfn.XLOOKUP(TableDailySummary[[#This Row],[Fecha]],SummaryDaily[day],SummaryDaily[gross_profit],0)</f>
        <v>0</v>
      </c>
      <c r="AP857" s="18">
        <f>IFERROR(TableDailySummary[[#This Row],[Utilidad bruta]]/TableDailySummary[[#This Row],[Ventas netas con costo registrado]],0)</f>
        <v>0</v>
      </c>
    </row>
    <row r="858" spans="2:42" x14ac:dyDescent="0.2">
      <c r="B858" s="15" cm="1">
        <f t="array" ref="B858">ParamFechaInicioReporte + (ROW(TableDailySummary[#This Row]) - ROW(TableDailySummary[[#Headers],[Dia]]) - 1)</f>
        <v>45385</v>
      </c>
      <c r="C858" s="6">
        <f>TableDailySummary[[#This Row],[Dia]]</f>
        <v>45385</v>
      </c>
      <c r="D858" s="11">
        <f>_xlfn.XLOOKUP(TableDailySummary[[#This Row],[Fecha]],SummaryDaily[day],SummaryDaily[net_sales],0)</f>
        <v>0</v>
      </c>
      <c r="E858" s="11">
        <f>_xlfn.XLOOKUP(TableDailySummary[[#This Row],[Fecha]],SummaryDaily[day],SummaryDaily[orders],0)</f>
        <v>0</v>
      </c>
      <c r="F858" s="11">
        <f>_xlfn.XLOOKUP(TableDailySummary[[#This Row],[Fecha]],SummaryDaily[day],SummaryDaily[average_order_value],0)</f>
        <v>0</v>
      </c>
      <c r="G858" s="24" cm="1">
        <f t="array" ref="G858">_xlfn.XLOOKUP(TableDailySummary[[#This Row],[Fecha]]&amp;"Total site",ConversionRateByReferral[day]&amp;ConversionRateByReferral[referrer_source],ConversionRateByReferral[conversion_rate],0)</f>
        <v>0</v>
      </c>
      <c r="H858" s="11">
        <f>TableDailySummary[[#This Row],[Órden promedio totales]]*TableDailySummary[[#This Row],[CR totales]]</f>
        <v>0</v>
      </c>
      <c r="I858" s="11">
        <f>_xlfn.XLOOKUP(TableDailySummary[[#This Row],[Fecha]],SummaryDaily[day],SummaryDaily[new_net_sales],0)</f>
        <v>0</v>
      </c>
      <c r="J858" s="11">
        <f>_xlfn.XLOOKUP(TableDailySummary[[#This Row],[Fecha]],SummaryDaily[day],SummaryDaily[new_orders],0)</f>
        <v>0</v>
      </c>
      <c r="K858" s="11">
        <f>_xlfn.XLOOKUP(TableDailySummary[[#This Row],[Fecha]],SummaryDaily[day],SummaryDaily[new_average_order_value],0)</f>
        <v>0</v>
      </c>
      <c r="L858" s="11">
        <f>_xlfn.XLOOKUP(TableDailySummary[[#This Row],[Fecha]],SummaryDaily[day],SummaryDaily[Online Store_net_sales],0)</f>
        <v>0</v>
      </c>
      <c r="M858" s="11">
        <f>_xlfn.XLOOKUP(TableDailySummary[[#This Row],[Fecha]],SummaryDaily[day],SummaryDaily[Online Store_orders],0)</f>
        <v>0</v>
      </c>
      <c r="N858" s="11">
        <f>_xlfn.XLOOKUP(TableDailySummary[[#This Row],[Fecha]],SummaryDaily[day],SummaryDaily[Online Store_average_order_value],0)</f>
        <v>0</v>
      </c>
      <c r="O858" s="11">
        <f>_xlfn.XLOOKUP(TableDailySummary[[#This Row],[Fecha]],SummaryDaily[day],SummaryDaily[Tienda 81_net_sales],0)</f>
        <v>0</v>
      </c>
      <c r="P858" s="11">
        <f>_xlfn.XLOOKUP(TableDailySummary[[#This Row],[Fecha]],SummaryDaily[day],SummaryDaily[Tienda 81_orders],0)</f>
        <v>0</v>
      </c>
      <c r="Q858" s="11">
        <f>_xlfn.XLOOKUP(TableDailySummary[[#This Row],[Fecha]],SummaryDaily[day],SummaryDaily[Tienda 81_average_order_value],0)</f>
        <v>0</v>
      </c>
      <c r="R858" s="11">
        <f>_xlfn.XLOOKUP(TableDailySummary[[#This Row],[Fecha]],SummaryDaily[day],SummaryDaily[Rappi_net_sales],0)</f>
        <v>0</v>
      </c>
      <c r="S858" s="11">
        <f>_xlfn.XLOOKUP(TableDailySummary[[#This Row],[Fecha]],SummaryDaily[day],SummaryDaily[Rappi_orders],0)</f>
        <v>0</v>
      </c>
      <c r="T858" s="11">
        <f>_xlfn.XLOOKUP(TableDailySummary[[#This Row],[Fecha]],SummaryDaily[day],SummaryDaily[Rappi_average_order_value],0)</f>
        <v>0</v>
      </c>
      <c r="U858" s="11">
        <f>_xlfn.XLOOKUP(TableDailySummary[[#This Row],[Fecha]],SummaryDaily[day],SummaryDaily[Corporativo no tienda_net_sales],0)</f>
        <v>0</v>
      </c>
      <c r="V858" s="11">
        <f>_xlfn.XLOOKUP(TableDailySummary[[#This Row],[Fecha]],SummaryDaily[day],SummaryDaily[Corporativo no tienda_orders],0)</f>
        <v>0</v>
      </c>
      <c r="W858" s="11">
        <f>_xlfn.XLOOKUP(TableDailySummary[[#This Row],[Fecha]],SummaryDaily[day],SummaryDaily[Corporativo no tienda_average_order_value],0)</f>
        <v>0</v>
      </c>
      <c r="X858" s="11">
        <f>_xlfn.XLOOKUP(TableDailySummary[[#This Row],[Fecha]],SummaryDaily[day],SummaryDaily[GoogleAdsOperation.Cost],0)</f>
        <v>0</v>
      </c>
      <c r="Y858" s="11">
        <f>SUMIFS(SalesByUTMDaily[google],SalesByUTMDaily[day],TableDailySummary[[#This Row],[Fecha]])</f>
        <v>0</v>
      </c>
      <c r="Z858" s="11">
        <f>_xlfn.XLOOKUP(TableDailySummary[[#This Row],[Fecha]],SummaryDaily[day],SummaryDaily[MetaAdsOperation.spend],0)</f>
        <v>0</v>
      </c>
      <c r="AA858" s="11">
        <f>SUMIFS(SalesByUTMDaily[facebook],SalesByUTMDaily[day],TableDailySummary[[#This Row],[Fecha]])</f>
        <v>0</v>
      </c>
      <c r="AB858" s="11">
        <f>TableDailySummary[[#This Row],[Inversión google ads]]+TableDailySummary[[#This Row],[Inversión meta ads]]</f>
        <v>0</v>
      </c>
      <c r="AC858" s="11">
        <f>TableDailySummary[[#This Row],[Ventas google ads]]+TableDailySummary[[#This Row],[Ventas meta ads]]</f>
        <v>0</v>
      </c>
      <c r="AD858" s="14">
        <f>IFERROR(TableDailySummary[[#This Row],[Ventas publicidad]]/TableDailySummary[[#This Row],[Inversión publicidad]],0)</f>
        <v>0</v>
      </c>
      <c r="AE858" s="14">
        <f>IFERROR(TableDailySummary[[#This Row],[Ventas primer cliente]]/TableDailySummary[[#This Row],[Inversión publicidad]],0)</f>
        <v>0</v>
      </c>
      <c r="AF858" s="14"/>
      <c r="AG858" s="11"/>
      <c r="AM858" s="11">
        <f>_xlfn.XLOOKUP(TableDailySummary[[#This Row],[Fecha]],SummaryDaily[day],SummaryDaily[net_sales_with_cost_recorded],0)</f>
        <v>0</v>
      </c>
      <c r="AN858" s="11">
        <f>_xlfn.XLOOKUP(TableDailySummary[[#This Row],[Fecha]],SummaryDaily[day],SummaryDaily[cost_of_goods_sold],0)</f>
        <v>0</v>
      </c>
      <c r="AO858" s="11">
        <f>_xlfn.XLOOKUP(TableDailySummary[[#This Row],[Fecha]],SummaryDaily[day],SummaryDaily[gross_profit],0)</f>
        <v>0</v>
      </c>
      <c r="AP858" s="18">
        <f>IFERROR(TableDailySummary[[#This Row],[Utilidad bruta]]/TableDailySummary[[#This Row],[Ventas netas con costo registrado]],0)</f>
        <v>0</v>
      </c>
    </row>
    <row r="859" spans="2:42" x14ac:dyDescent="0.2">
      <c r="B859" s="15" cm="1">
        <f t="array" ref="B859">ParamFechaInicioReporte + (ROW(TableDailySummary[#This Row]) - ROW(TableDailySummary[[#Headers],[Dia]]) - 1)</f>
        <v>45386</v>
      </c>
      <c r="C859" s="6">
        <f>TableDailySummary[[#This Row],[Dia]]</f>
        <v>45386</v>
      </c>
      <c r="D859" s="11">
        <f>_xlfn.XLOOKUP(TableDailySummary[[#This Row],[Fecha]],SummaryDaily[day],SummaryDaily[net_sales],0)</f>
        <v>0</v>
      </c>
      <c r="E859" s="11">
        <f>_xlfn.XLOOKUP(TableDailySummary[[#This Row],[Fecha]],SummaryDaily[day],SummaryDaily[orders],0)</f>
        <v>0</v>
      </c>
      <c r="F859" s="11">
        <f>_xlfn.XLOOKUP(TableDailySummary[[#This Row],[Fecha]],SummaryDaily[day],SummaryDaily[average_order_value],0)</f>
        <v>0</v>
      </c>
      <c r="G859" s="24" cm="1">
        <f t="array" ref="G859">_xlfn.XLOOKUP(TableDailySummary[[#This Row],[Fecha]]&amp;"Total site",ConversionRateByReferral[day]&amp;ConversionRateByReferral[referrer_source],ConversionRateByReferral[conversion_rate],0)</f>
        <v>0</v>
      </c>
      <c r="H859" s="11">
        <f>TableDailySummary[[#This Row],[Órden promedio totales]]*TableDailySummary[[#This Row],[CR totales]]</f>
        <v>0</v>
      </c>
      <c r="I859" s="11">
        <f>_xlfn.XLOOKUP(TableDailySummary[[#This Row],[Fecha]],SummaryDaily[day],SummaryDaily[new_net_sales],0)</f>
        <v>0</v>
      </c>
      <c r="J859" s="11">
        <f>_xlfn.XLOOKUP(TableDailySummary[[#This Row],[Fecha]],SummaryDaily[day],SummaryDaily[new_orders],0)</f>
        <v>0</v>
      </c>
      <c r="K859" s="11">
        <f>_xlfn.XLOOKUP(TableDailySummary[[#This Row],[Fecha]],SummaryDaily[day],SummaryDaily[new_average_order_value],0)</f>
        <v>0</v>
      </c>
      <c r="L859" s="11">
        <f>_xlfn.XLOOKUP(TableDailySummary[[#This Row],[Fecha]],SummaryDaily[day],SummaryDaily[Online Store_net_sales],0)</f>
        <v>0</v>
      </c>
      <c r="M859" s="11">
        <f>_xlfn.XLOOKUP(TableDailySummary[[#This Row],[Fecha]],SummaryDaily[day],SummaryDaily[Online Store_orders],0)</f>
        <v>0</v>
      </c>
      <c r="N859" s="11">
        <f>_xlfn.XLOOKUP(TableDailySummary[[#This Row],[Fecha]],SummaryDaily[day],SummaryDaily[Online Store_average_order_value],0)</f>
        <v>0</v>
      </c>
      <c r="O859" s="11">
        <f>_xlfn.XLOOKUP(TableDailySummary[[#This Row],[Fecha]],SummaryDaily[day],SummaryDaily[Tienda 81_net_sales],0)</f>
        <v>0</v>
      </c>
      <c r="P859" s="11">
        <f>_xlfn.XLOOKUP(TableDailySummary[[#This Row],[Fecha]],SummaryDaily[day],SummaryDaily[Tienda 81_orders],0)</f>
        <v>0</v>
      </c>
      <c r="Q859" s="11">
        <f>_xlfn.XLOOKUP(TableDailySummary[[#This Row],[Fecha]],SummaryDaily[day],SummaryDaily[Tienda 81_average_order_value],0)</f>
        <v>0</v>
      </c>
      <c r="R859" s="11">
        <f>_xlfn.XLOOKUP(TableDailySummary[[#This Row],[Fecha]],SummaryDaily[day],SummaryDaily[Rappi_net_sales],0)</f>
        <v>0</v>
      </c>
      <c r="S859" s="11">
        <f>_xlfn.XLOOKUP(TableDailySummary[[#This Row],[Fecha]],SummaryDaily[day],SummaryDaily[Rappi_orders],0)</f>
        <v>0</v>
      </c>
      <c r="T859" s="11">
        <f>_xlfn.XLOOKUP(TableDailySummary[[#This Row],[Fecha]],SummaryDaily[day],SummaryDaily[Rappi_average_order_value],0)</f>
        <v>0</v>
      </c>
      <c r="U859" s="11">
        <f>_xlfn.XLOOKUP(TableDailySummary[[#This Row],[Fecha]],SummaryDaily[day],SummaryDaily[Corporativo no tienda_net_sales],0)</f>
        <v>0</v>
      </c>
      <c r="V859" s="11">
        <f>_xlfn.XLOOKUP(TableDailySummary[[#This Row],[Fecha]],SummaryDaily[day],SummaryDaily[Corporativo no tienda_orders],0)</f>
        <v>0</v>
      </c>
      <c r="W859" s="11">
        <f>_xlfn.XLOOKUP(TableDailySummary[[#This Row],[Fecha]],SummaryDaily[day],SummaryDaily[Corporativo no tienda_average_order_value],0)</f>
        <v>0</v>
      </c>
      <c r="X859" s="11">
        <f>_xlfn.XLOOKUP(TableDailySummary[[#This Row],[Fecha]],SummaryDaily[day],SummaryDaily[GoogleAdsOperation.Cost],0)</f>
        <v>0</v>
      </c>
      <c r="Y859" s="11">
        <f>SUMIFS(SalesByUTMDaily[google],SalesByUTMDaily[day],TableDailySummary[[#This Row],[Fecha]])</f>
        <v>0</v>
      </c>
      <c r="Z859" s="11">
        <f>_xlfn.XLOOKUP(TableDailySummary[[#This Row],[Fecha]],SummaryDaily[day],SummaryDaily[MetaAdsOperation.spend],0)</f>
        <v>0</v>
      </c>
      <c r="AA859" s="11">
        <f>SUMIFS(SalesByUTMDaily[facebook],SalesByUTMDaily[day],TableDailySummary[[#This Row],[Fecha]])</f>
        <v>0</v>
      </c>
      <c r="AB859" s="11">
        <f>TableDailySummary[[#This Row],[Inversión google ads]]+TableDailySummary[[#This Row],[Inversión meta ads]]</f>
        <v>0</v>
      </c>
      <c r="AC859" s="11">
        <f>TableDailySummary[[#This Row],[Ventas google ads]]+TableDailySummary[[#This Row],[Ventas meta ads]]</f>
        <v>0</v>
      </c>
      <c r="AD859" s="14">
        <f>IFERROR(TableDailySummary[[#This Row],[Ventas publicidad]]/TableDailySummary[[#This Row],[Inversión publicidad]],0)</f>
        <v>0</v>
      </c>
      <c r="AE859" s="14">
        <f>IFERROR(TableDailySummary[[#This Row],[Ventas primer cliente]]/TableDailySummary[[#This Row],[Inversión publicidad]],0)</f>
        <v>0</v>
      </c>
      <c r="AF859" s="14"/>
      <c r="AG859" s="11"/>
      <c r="AM859" s="11">
        <f>_xlfn.XLOOKUP(TableDailySummary[[#This Row],[Fecha]],SummaryDaily[day],SummaryDaily[net_sales_with_cost_recorded],0)</f>
        <v>0</v>
      </c>
      <c r="AN859" s="11">
        <f>_xlfn.XLOOKUP(TableDailySummary[[#This Row],[Fecha]],SummaryDaily[day],SummaryDaily[cost_of_goods_sold],0)</f>
        <v>0</v>
      </c>
      <c r="AO859" s="11">
        <f>_xlfn.XLOOKUP(TableDailySummary[[#This Row],[Fecha]],SummaryDaily[day],SummaryDaily[gross_profit],0)</f>
        <v>0</v>
      </c>
      <c r="AP859" s="18">
        <f>IFERROR(TableDailySummary[[#This Row],[Utilidad bruta]]/TableDailySummary[[#This Row],[Ventas netas con costo registrado]],0)</f>
        <v>0</v>
      </c>
    </row>
    <row r="860" spans="2:42" x14ac:dyDescent="0.2">
      <c r="B860" s="15" cm="1">
        <f t="array" ref="B860">ParamFechaInicioReporte + (ROW(TableDailySummary[#This Row]) - ROW(TableDailySummary[[#Headers],[Dia]]) - 1)</f>
        <v>45387</v>
      </c>
      <c r="C860" s="6">
        <f>TableDailySummary[[#This Row],[Dia]]</f>
        <v>45387</v>
      </c>
      <c r="D860" s="11">
        <f>_xlfn.XLOOKUP(TableDailySummary[[#This Row],[Fecha]],SummaryDaily[day],SummaryDaily[net_sales],0)</f>
        <v>0</v>
      </c>
      <c r="E860" s="11">
        <f>_xlfn.XLOOKUP(TableDailySummary[[#This Row],[Fecha]],SummaryDaily[day],SummaryDaily[orders],0)</f>
        <v>0</v>
      </c>
      <c r="F860" s="11">
        <f>_xlfn.XLOOKUP(TableDailySummary[[#This Row],[Fecha]],SummaryDaily[day],SummaryDaily[average_order_value],0)</f>
        <v>0</v>
      </c>
      <c r="G860" s="24" cm="1">
        <f t="array" ref="G860">_xlfn.XLOOKUP(TableDailySummary[[#This Row],[Fecha]]&amp;"Total site",ConversionRateByReferral[day]&amp;ConversionRateByReferral[referrer_source],ConversionRateByReferral[conversion_rate],0)</f>
        <v>0</v>
      </c>
      <c r="H860" s="11">
        <f>TableDailySummary[[#This Row],[Órden promedio totales]]*TableDailySummary[[#This Row],[CR totales]]</f>
        <v>0</v>
      </c>
      <c r="I860" s="11">
        <f>_xlfn.XLOOKUP(TableDailySummary[[#This Row],[Fecha]],SummaryDaily[day],SummaryDaily[new_net_sales],0)</f>
        <v>0</v>
      </c>
      <c r="J860" s="11">
        <f>_xlfn.XLOOKUP(TableDailySummary[[#This Row],[Fecha]],SummaryDaily[day],SummaryDaily[new_orders],0)</f>
        <v>0</v>
      </c>
      <c r="K860" s="11">
        <f>_xlfn.XLOOKUP(TableDailySummary[[#This Row],[Fecha]],SummaryDaily[day],SummaryDaily[new_average_order_value],0)</f>
        <v>0</v>
      </c>
      <c r="L860" s="11">
        <f>_xlfn.XLOOKUP(TableDailySummary[[#This Row],[Fecha]],SummaryDaily[day],SummaryDaily[Online Store_net_sales],0)</f>
        <v>0</v>
      </c>
      <c r="M860" s="11">
        <f>_xlfn.XLOOKUP(TableDailySummary[[#This Row],[Fecha]],SummaryDaily[day],SummaryDaily[Online Store_orders],0)</f>
        <v>0</v>
      </c>
      <c r="N860" s="11">
        <f>_xlfn.XLOOKUP(TableDailySummary[[#This Row],[Fecha]],SummaryDaily[day],SummaryDaily[Online Store_average_order_value],0)</f>
        <v>0</v>
      </c>
      <c r="O860" s="11">
        <f>_xlfn.XLOOKUP(TableDailySummary[[#This Row],[Fecha]],SummaryDaily[day],SummaryDaily[Tienda 81_net_sales],0)</f>
        <v>0</v>
      </c>
      <c r="P860" s="11">
        <f>_xlfn.XLOOKUP(TableDailySummary[[#This Row],[Fecha]],SummaryDaily[day],SummaryDaily[Tienda 81_orders],0)</f>
        <v>0</v>
      </c>
      <c r="Q860" s="11">
        <f>_xlfn.XLOOKUP(TableDailySummary[[#This Row],[Fecha]],SummaryDaily[day],SummaryDaily[Tienda 81_average_order_value],0)</f>
        <v>0</v>
      </c>
      <c r="R860" s="11">
        <f>_xlfn.XLOOKUP(TableDailySummary[[#This Row],[Fecha]],SummaryDaily[day],SummaryDaily[Rappi_net_sales],0)</f>
        <v>0</v>
      </c>
      <c r="S860" s="11">
        <f>_xlfn.XLOOKUP(TableDailySummary[[#This Row],[Fecha]],SummaryDaily[day],SummaryDaily[Rappi_orders],0)</f>
        <v>0</v>
      </c>
      <c r="T860" s="11">
        <f>_xlfn.XLOOKUP(TableDailySummary[[#This Row],[Fecha]],SummaryDaily[day],SummaryDaily[Rappi_average_order_value],0)</f>
        <v>0</v>
      </c>
      <c r="U860" s="11">
        <f>_xlfn.XLOOKUP(TableDailySummary[[#This Row],[Fecha]],SummaryDaily[day],SummaryDaily[Corporativo no tienda_net_sales],0)</f>
        <v>0</v>
      </c>
      <c r="V860" s="11">
        <f>_xlfn.XLOOKUP(TableDailySummary[[#This Row],[Fecha]],SummaryDaily[day],SummaryDaily[Corporativo no tienda_orders],0)</f>
        <v>0</v>
      </c>
      <c r="W860" s="11">
        <f>_xlfn.XLOOKUP(TableDailySummary[[#This Row],[Fecha]],SummaryDaily[day],SummaryDaily[Corporativo no tienda_average_order_value],0)</f>
        <v>0</v>
      </c>
      <c r="X860" s="11">
        <f>_xlfn.XLOOKUP(TableDailySummary[[#This Row],[Fecha]],SummaryDaily[day],SummaryDaily[GoogleAdsOperation.Cost],0)</f>
        <v>0</v>
      </c>
      <c r="Y860" s="11">
        <f>SUMIFS(SalesByUTMDaily[google],SalesByUTMDaily[day],TableDailySummary[[#This Row],[Fecha]])</f>
        <v>0</v>
      </c>
      <c r="Z860" s="11">
        <f>_xlfn.XLOOKUP(TableDailySummary[[#This Row],[Fecha]],SummaryDaily[day],SummaryDaily[MetaAdsOperation.spend],0)</f>
        <v>0</v>
      </c>
      <c r="AA860" s="11">
        <f>SUMIFS(SalesByUTMDaily[facebook],SalesByUTMDaily[day],TableDailySummary[[#This Row],[Fecha]])</f>
        <v>0</v>
      </c>
      <c r="AB860" s="11">
        <f>TableDailySummary[[#This Row],[Inversión google ads]]+TableDailySummary[[#This Row],[Inversión meta ads]]</f>
        <v>0</v>
      </c>
      <c r="AC860" s="11">
        <f>TableDailySummary[[#This Row],[Ventas google ads]]+TableDailySummary[[#This Row],[Ventas meta ads]]</f>
        <v>0</v>
      </c>
      <c r="AD860" s="14">
        <f>IFERROR(TableDailySummary[[#This Row],[Ventas publicidad]]/TableDailySummary[[#This Row],[Inversión publicidad]],0)</f>
        <v>0</v>
      </c>
      <c r="AE860" s="14">
        <f>IFERROR(TableDailySummary[[#This Row],[Ventas primer cliente]]/TableDailySummary[[#This Row],[Inversión publicidad]],0)</f>
        <v>0</v>
      </c>
      <c r="AF860" s="14"/>
      <c r="AG860" s="11"/>
      <c r="AM860" s="11">
        <f>_xlfn.XLOOKUP(TableDailySummary[[#This Row],[Fecha]],SummaryDaily[day],SummaryDaily[net_sales_with_cost_recorded],0)</f>
        <v>0</v>
      </c>
      <c r="AN860" s="11">
        <f>_xlfn.XLOOKUP(TableDailySummary[[#This Row],[Fecha]],SummaryDaily[day],SummaryDaily[cost_of_goods_sold],0)</f>
        <v>0</v>
      </c>
      <c r="AO860" s="11">
        <f>_xlfn.XLOOKUP(TableDailySummary[[#This Row],[Fecha]],SummaryDaily[day],SummaryDaily[gross_profit],0)</f>
        <v>0</v>
      </c>
      <c r="AP860" s="18">
        <f>IFERROR(TableDailySummary[[#This Row],[Utilidad bruta]]/TableDailySummary[[#This Row],[Ventas netas con costo registrado]],0)</f>
        <v>0</v>
      </c>
    </row>
    <row r="861" spans="2:42" x14ac:dyDescent="0.2">
      <c r="B861" s="15" cm="1">
        <f t="array" ref="B861">ParamFechaInicioReporte + (ROW(TableDailySummary[#This Row]) - ROW(TableDailySummary[[#Headers],[Dia]]) - 1)</f>
        <v>45388</v>
      </c>
      <c r="C861" s="6">
        <f>TableDailySummary[[#This Row],[Dia]]</f>
        <v>45388</v>
      </c>
      <c r="D861" s="11">
        <f>_xlfn.XLOOKUP(TableDailySummary[[#This Row],[Fecha]],SummaryDaily[day],SummaryDaily[net_sales],0)</f>
        <v>0</v>
      </c>
      <c r="E861" s="11">
        <f>_xlfn.XLOOKUP(TableDailySummary[[#This Row],[Fecha]],SummaryDaily[day],SummaryDaily[orders],0)</f>
        <v>0</v>
      </c>
      <c r="F861" s="11">
        <f>_xlfn.XLOOKUP(TableDailySummary[[#This Row],[Fecha]],SummaryDaily[day],SummaryDaily[average_order_value],0)</f>
        <v>0</v>
      </c>
      <c r="G861" s="24" cm="1">
        <f t="array" ref="G861">_xlfn.XLOOKUP(TableDailySummary[[#This Row],[Fecha]]&amp;"Total site",ConversionRateByReferral[day]&amp;ConversionRateByReferral[referrer_source],ConversionRateByReferral[conversion_rate],0)</f>
        <v>0</v>
      </c>
      <c r="H861" s="11">
        <f>TableDailySummary[[#This Row],[Órden promedio totales]]*TableDailySummary[[#This Row],[CR totales]]</f>
        <v>0</v>
      </c>
      <c r="I861" s="11">
        <f>_xlfn.XLOOKUP(TableDailySummary[[#This Row],[Fecha]],SummaryDaily[day],SummaryDaily[new_net_sales],0)</f>
        <v>0</v>
      </c>
      <c r="J861" s="11">
        <f>_xlfn.XLOOKUP(TableDailySummary[[#This Row],[Fecha]],SummaryDaily[day],SummaryDaily[new_orders],0)</f>
        <v>0</v>
      </c>
      <c r="K861" s="11">
        <f>_xlfn.XLOOKUP(TableDailySummary[[#This Row],[Fecha]],SummaryDaily[day],SummaryDaily[new_average_order_value],0)</f>
        <v>0</v>
      </c>
      <c r="L861" s="11">
        <f>_xlfn.XLOOKUP(TableDailySummary[[#This Row],[Fecha]],SummaryDaily[day],SummaryDaily[Online Store_net_sales],0)</f>
        <v>0</v>
      </c>
      <c r="M861" s="11">
        <f>_xlfn.XLOOKUP(TableDailySummary[[#This Row],[Fecha]],SummaryDaily[day],SummaryDaily[Online Store_orders],0)</f>
        <v>0</v>
      </c>
      <c r="N861" s="11">
        <f>_xlfn.XLOOKUP(TableDailySummary[[#This Row],[Fecha]],SummaryDaily[day],SummaryDaily[Online Store_average_order_value],0)</f>
        <v>0</v>
      </c>
      <c r="O861" s="11">
        <f>_xlfn.XLOOKUP(TableDailySummary[[#This Row],[Fecha]],SummaryDaily[day],SummaryDaily[Tienda 81_net_sales],0)</f>
        <v>0</v>
      </c>
      <c r="P861" s="11">
        <f>_xlfn.XLOOKUP(TableDailySummary[[#This Row],[Fecha]],SummaryDaily[day],SummaryDaily[Tienda 81_orders],0)</f>
        <v>0</v>
      </c>
      <c r="Q861" s="11">
        <f>_xlfn.XLOOKUP(TableDailySummary[[#This Row],[Fecha]],SummaryDaily[day],SummaryDaily[Tienda 81_average_order_value],0)</f>
        <v>0</v>
      </c>
      <c r="R861" s="11">
        <f>_xlfn.XLOOKUP(TableDailySummary[[#This Row],[Fecha]],SummaryDaily[day],SummaryDaily[Rappi_net_sales],0)</f>
        <v>0</v>
      </c>
      <c r="S861" s="11">
        <f>_xlfn.XLOOKUP(TableDailySummary[[#This Row],[Fecha]],SummaryDaily[day],SummaryDaily[Rappi_orders],0)</f>
        <v>0</v>
      </c>
      <c r="T861" s="11">
        <f>_xlfn.XLOOKUP(TableDailySummary[[#This Row],[Fecha]],SummaryDaily[day],SummaryDaily[Rappi_average_order_value],0)</f>
        <v>0</v>
      </c>
      <c r="U861" s="11">
        <f>_xlfn.XLOOKUP(TableDailySummary[[#This Row],[Fecha]],SummaryDaily[day],SummaryDaily[Corporativo no tienda_net_sales],0)</f>
        <v>0</v>
      </c>
      <c r="V861" s="11">
        <f>_xlfn.XLOOKUP(TableDailySummary[[#This Row],[Fecha]],SummaryDaily[day],SummaryDaily[Corporativo no tienda_orders],0)</f>
        <v>0</v>
      </c>
      <c r="W861" s="11">
        <f>_xlfn.XLOOKUP(TableDailySummary[[#This Row],[Fecha]],SummaryDaily[day],SummaryDaily[Corporativo no tienda_average_order_value],0)</f>
        <v>0</v>
      </c>
      <c r="X861" s="11">
        <f>_xlfn.XLOOKUP(TableDailySummary[[#This Row],[Fecha]],SummaryDaily[day],SummaryDaily[GoogleAdsOperation.Cost],0)</f>
        <v>0</v>
      </c>
      <c r="Y861" s="11">
        <f>SUMIFS(SalesByUTMDaily[google],SalesByUTMDaily[day],TableDailySummary[[#This Row],[Fecha]])</f>
        <v>0</v>
      </c>
      <c r="Z861" s="11">
        <f>_xlfn.XLOOKUP(TableDailySummary[[#This Row],[Fecha]],SummaryDaily[day],SummaryDaily[MetaAdsOperation.spend],0)</f>
        <v>0</v>
      </c>
      <c r="AA861" s="11">
        <f>SUMIFS(SalesByUTMDaily[facebook],SalesByUTMDaily[day],TableDailySummary[[#This Row],[Fecha]])</f>
        <v>0</v>
      </c>
      <c r="AB861" s="11">
        <f>TableDailySummary[[#This Row],[Inversión google ads]]+TableDailySummary[[#This Row],[Inversión meta ads]]</f>
        <v>0</v>
      </c>
      <c r="AC861" s="11">
        <f>TableDailySummary[[#This Row],[Ventas google ads]]+TableDailySummary[[#This Row],[Ventas meta ads]]</f>
        <v>0</v>
      </c>
      <c r="AD861" s="14">
        <f>IFERROR(TableDailySummary[[#This Row],[Ventas publicidad]]/TableDailySummary[[#This Row],[Inversión publicidad]],0)</f>
        <v>0</v>
      </c>
      <c r="AE861" s="14">
        <f>IFERROR(TableDailySummary[[#This Row],[Ventas primer cliente]]/TableDailySummary[[#This Row],[Inversión publicidad]],0)</f>
        <v>0</v>
      </c>
      <c r="AF861" s="14"/>
      <c r="AG861" s="11"/>
      <c r="AM861" s="11">
        <f>_xlfn.XLOOKUP(TableDailySummary[[#This Row],[Fecha]],SummaryDaily[day],SummaryDaily[net_sales_with_cost_recorded],0)</f>
        <v>0</v>
      </c>
      <c r="AN861" s="11">
        <f>_xlfn.XLOOKUP(TableDailySummary[[#This Row],[Fecha]],SummaryDaily[day],SummaryDaily[cost_of_goods_sold],0)</f>
        <v>0</v>
      </c>
      <c r="AO861" s="11">
        <f>_xlfn.XLOOKUP(TableDailySummary[[#This Row],[Fecha]],SummaryDaily[day],SummaryDaily[gross_profit],0)</f>
        <v>0</v>
      </c>
      <c r="AP861" s="18">
        <f>IFERROR(TableDailySummary[[#This Row],[Utilidad bruta]]/TableDailySummary[[#This Row],[Ventas netas con costo registrado]],0)</f>
        <v>0</v>
      </c>
    </row>
    <row r="862" spans="2:42" x14ac:dyDescent="0.2">
      <c r="B862" s="15" cm="1">
        <f t="array" ref="B862">ParamFechaInicioReporte + (ROW(TableDailySummary[#This Row]) - ROW(TableDailySummary[[#Headers],[Dia]]) - 1)</f>
        <v>45389</v>
      </c>
      <c r="C862" s="6">
        <f>TableDailySummary[[#This Row],[Dia]]</f>
        <v>45389</v>
      </c>
      <c r="D862" s="11">
        <f>_xlfn.XLOOKUP(TableDailySummary[[#This Row],[Fecha]],SummaryDaily[day],SummaryDaily[net_sales],0)</f>
        <v>0</v>
      </c>
      <c r="E862" s="11">
        <f>_xlfn.XLOOKUP(TableDailySummary[[#This Row],[Fecha]],SummaryDaily[day],SummaryDaily[orders],0)</f>
        <v>0</v>
      </c>
      <c r="F862" s="11">
        <f>_xlfn.XLOOKUP(TableDailySummary[[#This Row],[Fecha]],SummaryDaily[day],SummaryDaily[average_order_value],0)</f>
        <v>0</v>
      </c>
      <c r="G862" s="24" cm="1">
        <f t="array" ref="G862">_xlfn.XLOOKUP(TableDailySummary[[#This Row],[Fecha]]&amp;"Total site",ConversionRateByReferral[day]&amp;ConversionRateByReferral[referrer_source],ConversionRateByReferral[conversion_rate],0)</f>
        <v>0</v>
      </c>
      <c r="H862" s="11">
        <f>TableDailySummary[[#This Row],[Órden promedio totales]]*TableDailySummary[[#This Row],[CR totales]]</f>
        <v>0</v>
      </c>
      <c r="I862" s="11">
        <f>_xlfn.XLOOKUP(TableDailySummary[[#This Row],[Fecha]],SummaryDaily[day],SummaryDaily[new_net_sales],0)</f>
        <v>0</v>
      </c>
      <c r="J862" s="11">
        <f>_xlfn.XLOOKUP(TableDailySummary[[#This Row],[Fecha]],SummaryDaily[day],SummaryDaily[new_orders],0)</f>
        <v>0</v>
      </c>
      <c r="K862" s="11">
        <f>_xlfn.XLOOKUP(TableDailySummary[[#This Row],[Fecha]],SummaryDaily[day],SummaryDaily[new_average_order_value],0)</f>
        <v>0</v>
      </c>
      <c r="L862" s="11">
        <f>_xlfn.XLOOKUP(TableDailySummary[[#This Row],[Fecha]],SummaryDaily[day],SummaryDaily[Online Store_net_sales],0)</f>
        <v>0</v>
      </c>
      <c r="M862" s="11">
        <f>_xlfn.XLOOKUP(TableDailySummary[[#This Row],[Fecha]],SummaryDaily[day],SummaryDaily[Online Store_orders],0)</f>
        <v>0</v>
      </c>
      <c r="N862" s="11">
        <f>_xlfn.XLOOKUP(TableDailySummary[[#This Row],[Fecha]],SummaryDaily[day],SummaryDaily[Online Store_average_order_value],0)</f>
        <v>0</v>
      </c>
      <c r="O862" s="11">
        <f>_xlfn.XLOOKUP(TableDailySummary[[#This Row],[Fecha]],SummaryDaily[day],SummaryDaily[Tienda 81_net_sales],0)</f>
        <v>0</v>
      </c>
      <c r="P862" s="11">
        <f>_xlfn.XLOOKUP(TableDailySummary[[#This Row],[Fecha]],SummaryDaily[day],SummaryDaily[Tienda 81_orders],0)</f>
        <v>0</v>
      </c>
      <c r="Q862" s="11">
        <f>_xlfn.XLOOKUP(TableDailySummary[[#This Row],[Fecha]],SummaryDaily[day],SummaryDaily[Tienda 81_average_order_value],0)</f>
        <v>0</v>
      </c>
      <c r="R862" s="11">
        <f>_xlfn.XLOOKUP(TableDailySummary[[#This Row],[Fecha]],SummaryDaily[day],SummaryDaily[Rappi_net_sales],0)</f>
        <v>0</v>
      </c>
      <c r="S862" s="11">
        <f>_xlfn.XLOOKUP(TableDailySummary[[#This Row],[Fecha]],SummaryDaily[day],SummaryDaily[Rappi_orders],0)</f>
        <v>0</v>
      </c>
      <c r="T862" s="11">
        <f>_xlfn.XLOOKUP(TableDailySummary[[#This Row],[Fecha]],SummaryDaily[day],SummaryDaily[Rappi_average_order_value],0)</f>
        <v>0</v>
      </c>
      <c r="U862" s="11">
        <f>_xlfn.XLOOKUP(TableDailySummary[[#This Row],[Fecha]],SummaryDaily[day],SummaryDaily[Corporativo no tienda_net_sales],0)</f>
        <v>0</v>
      </c>
      <c r="V862" s="11">
        <f>_xlfn.XLOOKUP(TableDailySummary[[#This Row],[Fecha]],SummaryDaily[day],SummaryDaily[Corporativo no tienda_orders],0)</f>
        <v>0</v>
      </c>
      <c r="W862" s="11">
        <f>_xlfn.XLOOKUP(TableDailySummary[[#This Row],[Fecha]],SummaryDaily[day],SummaryDaily[Corporativo no tienda_average_order_value],0)</f>
        <v>0</v>
      </c>
      <c r="X862" s="11">
        <f>_xlfn.XLOOKUP(TableDailySummary[[#This Row],[Fecha]],SummaryDaily[day],SummaryDaily[GoogleAdsOperation.Cost],0)</f>
        <v>0</v>
      </c>
      <c r="Y862" s="11">
        <f>SUMIFS(SalesByUTMDaily[google],SalesByUTMDaily[day],TableDailySummary[[#This Row],[Fecha]])</f>
        <v>0</v>
      </c>
      <c r="Z862" s="11">
        <f>_xlfn.XLOOKUP(TableDailySummary[[#This Row],[Fecha]],SummaryDaily[day],SummaryDaily[MetaAdsOperation.spend],0)</f>
        <v>0</v>
      </c>
      <c r="AA862" s="11">
        <f>SUMIFS(SalesByUTMDaily[facebook],SalesByUTMDaily[day],TableDailySummary[[#This Row],[Fecha]])</f>
        <v>0</v>
      </c>
      <c r="AB862" s="11">
        <f>TableDailySummary[[#This Row],[Inversión google ads]]+TableDailySummary[[#This Row],[Inversión meta ads]]</f>
        <v>0</v>
      </c>
      <c r="AC862" s="11">
        <f>TableDailySummary[[#This Row],[Ventas google ads]]+TableDailySummary[[#This Row],[Ventas meta ads]]</f>
        <v>0</v>
      </c>
      <c r="AD862" s="14">
        <f>IFERROR(TableDailySummary[[#This Row],[Ventas publicidad]]/TableDailySummary[[#This Row],[Inversión publicidad]],0)</f>
        <v>0</v>
      </c>
      <c r="AE862" s="14">
        <f>IFERROR(TableDailySummary[[#This Row],[Ventas primer cliente]]/TableDailySummary[[#This Row],[Inversión publicidad]],0)</f>
        <v>0</v>
      </c>
      <c r="AF862" s="14"/>
      <c r="AG862" s="11"/>
      <c r="AM862" s="11">
        <f>_xlfn.XLOOKUP(TableDailySummary[[#This Row],[Fecha]],SummaryDaily[day],SummaryDaily[net_sales_with_cost_recorded],0)</f>
        <v>0</v>
      </c>
      <c r="AN862" s="11">
        <f>_xlfn.XLOOKUP(TableDailySummary[[#This Row],[Fecha]],SummaryDaily[day],SummaryDaily[cost_of_goods_sold],0)</f>
        <v>0</v>
      </c>
      <c r="AO862" s="11">
        <f>_xlfn.XLOOKUP(TableDailySummary[[#This Row],[Fecha]],SummaryDaily[day],SummaryDaily[gross_profit],0)</f>
        <v>0</v>
      </c>
      <c r="AP862" s="18">
        <f>IFERROR(TableDailySummary[[#This Row],[Utilidad bruta]]/TableDailySummary[[#This Row],[Ventas netas con costo registrado]],0)</f>
        <v>0</v>
      </c>
    </row>
    <row r="863" spans="2:42" x14ac:dyDescent="0.2">
      <c r="B863" s="15" cm="1">
        <f t="array" ref="B863">ParamFechaInicioReporte + (ROW(TableDailySummary[#This Row]) - ROW(TableDailySummary[[#Headers],[Dia]]) - 1)</f>
        <v>45390</v>
      </c>
      <c r="C863" s="6">
        <f>TableDailySummary[[#This Row],[Dia]]</f>
        <v>45390</v>
      </c>
      <c r="D863" s="11">
        <f>_xlfn.XLOOKUP(TableDailySummary[[#This Row],[Fecha]],SummaryDaily[day],SummaryDaily[net_sales],0)</f>
        <v>0</v>
      </c>
      <c r="E863" s="11">
        <f>_xlfn.XLOOKUP(TableDailySummary[[#This Row],[Fecha]],SummaryDaily[day],SummaryDaily[orders],0)</f>
        <v>0</v>
      </c>
      <c r="F863" s="11">
        <f>_xlfn.XLOOKUP(TableDailySummary[[#This Row],[Fecha]],SummaryDaily[day],SummaryDaily[average_order_value],0)</f>
        <v>0</v>
      </c>
      <c r="G863" s="24" cm="1">
        <f t="array" ref="G863">_xlfn.XLOOKUP(TableDailySummary[[#This Row],[Fecha]]&amp;"Total site",ConversionRateByReferral[day]&amp;ConversionRateByReferral[referrer_source],ConversionRateByReferral[conversion_rate],0)</f>
        <v>0</v>
      </c>
      <c r="H863" s="11">
        <f>TableDailySummary[[#This Row],[Órden promedio totales]]*TableDailySummary[[#This Row],[CR totales]]</f>
        <v>0</v>
      </c>
      <c r="I863" s="11">
        <f>_xlfn.XLOOKUP(TableDailySummary[[#This Row],[Fecha]],SummaryDaily[day],SummaryDaily[new_net_sales],0)</f>
        <v>0</v>
      </c>
      <c r="J863" s="11">
        <f>_xlfn.XLOOKUP(TableDailySummary[[#This Row],[Fecha]],SummaryDaily[day],SummaryDaily[new_orders],0)</f>
        <v>0</v>
      </c>
      <c r="K863" s="11">
        <f>_xlfn.XLOOKUP(TableDailySummary[[#This Row],[Fecha]],SummaryDaily[day],SummaryDaily[new_average_order_value],0)</f>
        <v>0</v>
      </c>
      <c r="L863" s="11">
        <f>_xlfn.XLOOKUP(TableDailySummary[[#This Row],[Fecha]],SummaryDaily[day],SummaryDaily[Online Store_net_sales],0)</f>
        <v>0</v>
      </c>
      <c r="M863" s="11">
        <f>_xlfn.XLOOKUP(TableDailySummary[[#This Row],[Fecha]],SummaryDaily[day],SummaryDaily[Online Store_orders],0)</f>
        <v>0</v>
      </c>
      <c r="N863" s="11">
        <f>_xlfn.XLOOKUP(TableDailySummary[[#This Row],[Fecha]],SummaryDaily[day],SummaryDaily[Online Store_average_order_value],0)</f>
        <v>0</v>
      </c>
      <c r="O863" s="11">
        <f>_xlfn.XLOOKUP(TableDailySummary[[#This Row],[Fecha]],SummaryDaily[day],SummaryDaily[Tienda 81_net_sales],0)</f>
        <v>0</v>
      </c>
      <c r="P863" s="11">
        <f>_xlfn.XLOOKUP(TableDailySummary[[#This Row],[Fecha]],SummaryDaily[day],SummaryDaily[Tienda 81_orders],0)</f>
        <v>0</v>
      </c>
      <c r="Q863" s="11">
        <f>_xlfn.XLOOKUP(TableDailySummary[[#This Row],[Fecha]],SummaryDaily[day],SummaryDaily[Tienda 81_average_order_value],0)</f>
        <v>0</v>
      </c>
      <c r="R863" s="11">
        <f>_xlfn.XLOOKUP(TableDailySummary[[#This Row],[Fecha]],SummaryDaily[day],SummaryDaily[Rappi_net_sales],0)</f>
        <v>0</v>
      </c>
      <c r="S863" s="11">
        <f>_xlfn.XLOOKUP(TableDailySummary[[#This Row],[Fecha]],SummaryDaily[day],SummaryDaily[Rappi_orders],0)</f>
        <v>0</v>
      </c>
      <c r="T863" s="11">
        <f>_xlfn.XLOOKUP(TableDailySummary[[#This Row],[Fecha]],SummaryDaily[day],SummaryDaily[Rappi_average_order_value],0)</f>
        <v>0</v>
      </c>
      <c r="U863" s="11">
        <f>_xlfn.XLOOKUP(TableDailySummary[[#This Row],[Fecha]],SummaryDaily[day],SummaryDaily[Corporativo no tienda_net_sales],0)</f>
        <v>0</v>
      </c>
      <c r="V863" s="11">
        <f>_xlfn.XLOOKUP(TableDailySummary[[#This Row],[Fecha]],SummaryDaily[day],SummaryDaily[Corporativo no tienda_orders],0)</f>
        <v>0</v>
      </c>
      <c r="W863" s="11">
        <f>_xlfn.XLOOKUP(TableDailySummary[[#This Row],[Fecha]],SummaryDaily[day],SummaryDaily[Corporativo no tienda_average_order_value],0)</f>
        <v>0</v>
      </c>
      <c r="X863" s="11">
        <f>_xlfn.XLOOKUP(TableDailySummary[[#This Row],[Fecha]],SummaryDaily[day],SummaryDaily[GoogleAdsOperation.Cost],0)</f>
        <v>0</v>
      </c>
      <c r="Y863" s="11">
        <f>SUMIFS(SalesByUTMDaily[google],SalesByUTMDaily[day],TableDailySummary[[#This Row],[Fecha]])</f>
        <v>0</v>
      </c>
      <c r="Z863" s="11">
        <f>_xlfn.XLOOKUP(TableDailySummary[[#This Row],[Fecha]],SummaryDaily[day],SummaryDaily[MetaAdsOperation.spend],0)</f>
        <v>0</v>
      </c>
      <c r="AA863" s="11">
        <f>SUMIFS(SalesByUTMDaily[facebook],SalesByUTMDaily[day],TableDailySummary[[#This Row],[Fecha]])</f>
        <v>0</v>
      </c>
      <c r="AB863" s="11">
        <f>TableDailySummary[[#This Row],[Inversión google ads]]+TableDailySummary[[#This Row],[Inversión meta ads]]</f>
        <v>0</v>
      </c>
      <c r="AC863" s="11">
        <f>TableDailySummary[[#This Row],[Ventas google ads]]+TableDailySummary[[#This Row],[Ventas meta ads]]</f>
        <v>0</v>
      </c>
      <c r="AD863" s="14">
        <f>IFERROR(TableDailySummary[[#This Row],[Ventas publicidad]]/TableDailySummary[[#This Row],[Inversión publicidad]],0)</f>
        <v>0</v>
      </c>
      <c r="AE863" s="14">
        <f>IFERROR(TableDailySummary[[#This Row],[Ventas primer cliente]]/TableDailySummary[[#This Row],[Inversión publicidad]],0)</f>
        <v>0</v>
      </c>
      <c r="AF863" s="14"/>
      <c r="AG863" s="11"/>
      <c r="AM863" s="11">
        <f>_xlfn.XLOOKUP(TableDailySummary[[#This Row],[Fecha]],SummaryDaily[day],SummaryDaily[net_sales_with_cost_recorded],0)</f>
        <v>0</v>
      </c>
      <c r="AN863" s="11">
        <f>_xlfn.XLOOKUP(TableDailySummary[[#This Row],[Fecha]],SummaryDaily[day],SummaryDaily[cost_of_goods_sold],0)</f>
        <v>0</v>
      </c>
      <c r="AO863" s="11">
        <f>_xlfn.XLOOKUP(TableDailySummary[[#This Row],[Fecha]],SummaryDaily[day],SummaryDaily[gross_profit],0)</f>
        <v>0</v>
      </c>
      <c r="AP863" s="18">
        <f>IFERROR(TableDailySummary[[#This Row],[Utilidad bruta]]/TableDailySummary[[#This Row],[Ventas netas con costo registrado]],0)</f>
        <v>0</v>
      </c>
    </row>
    <row r="864" spans="2:42" x14ac:dyDescent="0.2">
      <c r="B864" s="15" cm="1">
        <f t="array" ref="B864">ParamFechaInicioReporte + (ROW(TableDailySummary[#This Row]) - ROW(TableDailySummary[[#Headers],[Dia]]) - 1)</f>
        <v>45391</v>
      </c>
      <c r="C864" s="6">
        <f>TableDailySummary[[#This Row],[Dia]]</f>
        <v>45391</v>
      </c>
      <c r="D864" s="11">
        <f>_xlfn.XLOOKUP(TableDailySummary[[#This Row],[Fecha]],SummaryDaily[day],SummaryDaily[net_sales],0)</f>
        <v>0</v>
      </c>
      <c r="E864" s="11">
        <f>_xlfn.XLOOKUP(TableDailySummary[[#This Row],[Fecha]],SummaryDaily[day],SummaryDaily[orders],0)</f>
        <v>0</v>
      </c>
      <c r="F864" s="11">
        <f>_xlfn.XLOOKUP(TableDailySummary[[#This Row],[Fecha]],SummaryDaily[day],SummaryDaily[average_order_value],0)</f>
        <v>0</v>
      </c>
      <c r="G864" s="24" cm="1">
        <f t="array" ref="G864">_xlfn.XLOOKUP(TableDailySummary[[#This Row],[Fecha]]&amp;"Total site",ConversionRateByReferral[day]&amp;ConversionRateByReferral[referrer_source],ConversionRateByReferral[conversion_rate],0)</f>
        <v>0</v>
      </c>
      <c r="H864" s="11">
        <f>TableDailySummary[[#This Row],[Órden promedio totales]]*TableDailySummary[[#This Row],[CR totales]]</f>
        <v>0</v>
      </c>
      <c r="I864" s="11">
        <f>_xlfn.XLOOKUP(TableDailySummary[[#This Row],[Fecha]],SummaryDaily[day],SummaryDaily[new_net_sales],0)</f>
        <v>0</v>
      </c>
      <c r="J864" s="11">
        <f>_xlfn.XLOOKUP(TableDailySummary[[#This Row],[Fecha]],SummaryDaily[day],SummaryDaily[new_orders],0)</f>
        <v>0</v>
      </c>
      <c r="K864" s="11">
        <f>_xlfn.XLOOKUP(TableDailySummary[[#This Row],[Fecha]],SummaryDaily[day],SummaryDaily[new_average_order_value],0)</f>
        <v>0</v>
      </c>
      <c r="L864" s="11">
        <f>_xlfn.XLOOKUP(TableDailySummary[[#This Row],[Fecha]],SummaryDaily[day],SummaryDaily[Online Store_net_sales],0)</f>
        <v>0</v>
      </c>
      <c r="M864" s="11">
        <f>_xlfn.XLOOKUP(TableDailySummary[[#This Row],[Fecha]],SummaryDaily[day],SummaryDaily[Online Store_orders],0)</f>
        <v>0</v>
      </c>
      <c r="N864" s="11">
        <f>_xlfn.XLOOKUP(TableDailySummary[[#This Row],[Fecha]],SummaryDaily[day],SummaryDaily[Online Store_average_order_value],0)</f>
        <v>0</v>
      </c>
      <c r="O864" s="11">
        <f>_xlfn.XLOOKUP(TableDailySummary[[#This Row],[Fecha]],SummaryDaily[day],SummaryDaily[Tienda 81_net_sales],0)</f>
        <v>0</v>
      </c>
      <c r="P864" s="11">
        <f>_xlfn.XLOOKUP(TableDailySummary[[#This Row],[Fecha]],SummaryDaily[day],SummaryDaily[Tienda 81_orders],0)</f>
        <v>0</v>
      </c>
      <c r="Q864" s="11">
        <f>_xlfn.XLOOKUP(TableDailySummary[[#This Row],[Fecha]],SummaryDaily[day],SummaryDaily[Tienda 81_average_order_value],0)</f>
        <v>0</v>
      </c>
      <c r="R864" s="11">
        <f>_xlfn.XLOOKUP(TableDailySummary[[#This Row],[Fecha]],SummaryDaily[day],SummaryDaily[Rappi_net_sales],0)</f>
        <v>0</v>
      </c>
      <c r="S864" s="11">
        <f>_xlfn.XLOOKUP(TableDailySummary[[#This Row],[Fecha]],SummaryDaily[day],SummaryDaily[Rappi_orders],0)</f>
        <v>0</v>
      </c>
      <c r="T864" s="11">
        <f>_xlfn.XLOOKUP(TableDailySummary[[#This Row],[Fecha]],SummaryDaily[day],SummaryDaily[Rappi_average_order_value],0)</f>
        <v>0</v>
      </c>
      <c r="U864" s="11">
        <f>_xlfn.XLOOKUP(TableDailySummary[[#This Row],[Fecha]],SummaryDaily[day],SummaryDaily[Corporativo no tienda_net_sales],0)</f>
        <v>0</v>
      </c>
      <c r="V864" s="11">
        <f>_xlfn.XLOOKUP(TableDailySummary[[#This Row],[Fecha]],SummaryDaily[day],SummaryDaily[Corporativo no tienda_orders],0)</f>
        <v>0</v>
      </c>
      <c r="W864" s="11">
        <f>_xlfn.XLOOKUP(TableDailySummary[[#This Row],[Fecha]],SummaryDaily[day],SummaryDaily[Corporativo no tienda_average_order_value],0)</f>
        <v>0</v>
      </c>
      <c r="X864" s="11">
        <f>_xlfn.XLOOKUP(TableDailySummary[[#This Row],[Fecha]],SummaryDaily[day],SummaryDaily[GoogleAdsOperation.Cost],0)</f>
        <v>0</v>
      </c>
      <c r="Y864" s="11">
        <f>SUMIFS(SalesByUTMDaily[google],SalesByUTMDaily[day],TableDailySummary[[#This Row],[Fecha]])</f>
        <v>0</v>
      </c>
      <c r="Z864" s="11">
        <f>_xlfn.XLOOKUP(TableDailySummary[[#This Row],[Fecha]],SummaryDaily[day],SummaryDaily[MetaAdsOperation.spend],0)</f>
        <v>0</v>
      </c>
      <c r="AA864" s="11">
        <f>SUMIFS(SalesByUTMDaily[facebook],SalesByUTMDaily[day],TableDailySummary[[#This Row],[Fecha]])</f>
        <v>0</v>
      </c>
      <c r="AB864" s="11">
        <f>TableDailySummary[[#This Row],[Inversión google ads]]+TableDailySummary[[#This Row],[Inversión meta ads]]</f>
        <v>0</v>
      </c>
      <c r="AC864" s="11">
        <f>TableDailySummary[[#This Row],[Ventas google ads]]+TableDailySummary[[#This Row],[Ventas meta ads]]</f>
        <v>0</v>
      </c>
      <c r="AD864" s="14">
        <f>IFERROR(TableDailySummary[[#This Row],[Ventas publicidad]]/TableDailySummary[[#This Row],[Inversión publicidad]],0)</f>
        <v>0</v>
      </c>
      <c r="AE864" s="14">
        <f>IFERROR(TableDailySummary[[#This Row],[Ventas primer cliente]]/TableDailySummary[[#This Row],[Inversión publicidad]],0)</f>
        <v>0</v>
      </c>
      <c r="AF864" s="14"/>
      <c r="AG864" s="11"/>
      <c r="AM864" s="11">
        <f>_xlfn.XLOOKUP(TableDailySummary[[#This Row],[Fecha]],SummaryDaily[day],SummaryDaily[net_sales_with_cost_recorded],0)</f>
        <v>0</v>
      </c>
      <c r="AN864" s="11">
        <f>_xlfn.XLOOKUP(TableDailySummary[[#This Row],[Fecha]],SummaryDaily[day],SummaryDaily[cost_of_goods_sold],0)</f>
        <v>0</v>
      </c>
      <c r="AO864" s="11">
        <f>_xlfn.XLOOKUP(TableDailySummary[[#This Row],[Fecha]],SummaryDaily[day],SummaryDaily[gross_profit],0)</f>
        <v>0</v>
      </c>
      <c r="AP864" s="18">
        <f>IFERROR(TableDailySummary[[#This Row],[Utilidad bruta]]/TableDailySummary[[#This Row],[Ventas netas con costo registrado]],0)</f>
        <v>0</v>
      </c>
    </row>
    <row r="865" spans="2:42" x14ac:dyDescent="0.2">
      <c r="B865" s="15" cm="1">
        <f t="array" ref="B865">ParamFechaInicioReporte + (ROW(TableDailySummary[#This Row]) - ROW(TableDailySummary[[#Headers],[Dia]]) - 1)</f>
        <v>45392</v>
      </c>
      <c r="C865" s="6">
        <f>TableDailySummary[[#This Row],[Dia]]</f>
        <v>45392</v>
      </c>
      <c r="D865" s="11">
        <f>_xlfn.XLOOKUP(TableDailySummary[[#This Row],[Fecha]],SummaryDaily[day],SummaryDaily[net_sales],0)</f>
        <v>0</v>
      </c>
      <c r="E865" s="11">
        <f>_xlfn.XLOOKUP(TableDailySummary[[#This Row],[Fecha]],SummaryDaily[day],SummaryDaily[orders],0)</f>
        <v>0</v>
      </c>
      <c r="F865" s="11">
        <f>_xlfn.XLOOKUP(TableDailySummary[[#This Row],[Fecha]],SummaryDaily[day],SummaryDaily[average_order_value],0)</f>
        <v>0</v>
      </c>
      <c r="G865" s="24" cm="1">
        <f t="array" ref="G865">_xlfn.XLOOKUP(TableDailySummary[[#This Row],[Fecha]]&amp;"Total site",ConversionRateByReferral[day]&amp;ConversionRateByReferral[referrer_source],ConversionRateByReferral[conversion_rate],0)</f>
        <v>0</v>
      </c>
      <c r="H865" s="11">
        <f>TableDailySummary[[#This Row],[Órden promedio totales]]*TableDailySummary[[#This Row],[CR totales]]</f>
        <v>0</v>
      </c>
      <c r="I865" s="11">
        <f>_xlfn.XLOOKUP(TableDailySummary[[#This Row],[Fecha]],SummaryDaily[day],SummaryDaily[new_net_sales],0)</f>
        <v>0</v>
      </c>
      <c r="J865" s="11">
        <f>_xlfn.XLOOKUP(TableDailySummary[[#This Row],[Fecha]],SummaryDaily[day],SummaryDaily[new_orders],0)</f>
        <v>0</v>
      </c>
      <c r="K865" s="11">
        <f>_xlfn.XLOOKUP(TableDailySummary[[#This Row],[Fecha]],SummaryDaily[day],SummaryDaily[new_average_order_value],0)</f>
        <v>0</v>
      </c>
      <c r="L865" s="11">
        <f>_xlfn.XLOOKUP(TableDailySummary[[#This Row],[Fecha]],SummaryDaily[day],SummaryDaily[Online Store_net_sales],0)</f>
        <v>0</v>
      </c>
      <c r="M865" s="11">
        <f>_xlfn.XLOOKUP(TableDailySummary[[#This Row],[Fecha]],SummaryDaily[day],SummaryDaily[Online Store_orders],0)</f>
        <v>0</v>
      </c>
      <c r="N865" s="11">
        <f>_xlfn.XLOOKUP(TableDailySummary[[#This Row],[Fecha]],SummaryDaily[day],SummaryDaily[Online Store_average_order_value],0)</f>
        <v>0</v>
      </c>
      <c r="O865" s="11">
        <f>_xlfn.XLOOKUP(TableDailySummary[[#This Row],[Fecha]],SummaryDaily[day],SummaryDaily[Tienda 81_net_sales],0)</f>
        <v>0</v>
      </c>
      <c r="P865" s="11">
        <f>_xlfn.XLOOKUP(TableDailySummary[[#This Row],[Fecha]],SummaryDaily[day],SummaryDaily[Tienda 81_orders],0)</f>
        <v>0</v>
      </c>
      <c r="Q865" s="11">
        <f>_xlfn.XLOOKUP(TableDailySummary[[#This Row],[Fecha]],SummaryDaily[day],SummaryDaily[Tienda 81_average_order_value],0)</f>
        <v>0</v>
      </c>
      <c r="R865" s="11">
        <f>_xlfn.XLOOKUP(TableDailySummary[[#This Row],[Fecha]],SummaryDaily[day],SummaryDaily[Rappi_net_sales],0)</f>
        <v>0</v>
      </c>
      <c r="S865" s="11">
        <f>_xlfn.XLOOKUP(TableDailySummary[[#This Row],[Fecha]],SummaryDaily[day],SummaryDaily[Rappi_orders],0)</f>
        <v>0</v>
      </c>
      <c r="T865" s="11">
        <f>_xlfn.XLOOKUP(TableDailySummary[[#This Row],[Fecha]],SummaryDaily[day],SummaryDaily[Rappi_average_order_value],0)</f>
        <v>0</v>
      </c>
      <c r="U865" s="11">
        <f>_xlfn.XLOOKUP(TableDailySummary[[#This Row],[Fecha]],SummaryDaily[day],SummaryDaily[Corporativo no tienda_net_sales],0)</f>
        <v>0</v>
      </c>
      <c r="V865" s="11">
        <f>_xlfn.XLOOKUP(TableDailySummary[[#This Row],[Fecha]],SummaryDaily[day],SummaryDaily[Corporativo no tienda_orders],0)</f>
        <v>0</v>
      </c>
      <c r="W865" s="11">
        <f>_xlfn.XLOOKUP(TableDailySummary[[#This Row],[Fecha]],SummaryDaily[day],SummaryDaily[Corporativo no tienda_average_order_value],0)</f>
        <v>0</v>
      </c>
      <c r="X865" s="11">
        <f>_xlfn.XLOOKUP(TableDailySummary[[#This Row],[Fecha]],SummaryDaily[day],SummaryDaily[GoogleAdsOperation.Cost],0)</f>
        <v>0</v>
      </c>
      <c r="Y865" s="11">
        <f>SUMIFS(SalesByUTMDaily[google],SalesByUTMDaily[day],TableDailySummary[[#This Row],[Fecha]])</f>
        <v>0</v>
      </c>
      <c r="Z865" s="11">
        <f>_xlfn.XLOOKUP(TableDailySummary[[#This Row],[Fecha]],SummaryDaily[day],SummaryDaily[MetaAdsOperation.spend],0)</f>
        <v>0</v>
      </c>
      <c r="AA865" s="11">
        <f>SUMIFS(SalesByUTMDaily[facebook],SalesByUTMDaily[day],TableDailySummary[[#This Row],[Fecha]])</f>
        <v>0</v>
      </c>
      <c r="AB865" s="11">
        <f>TableDailySummary[[#This Row],[Inversión google ads]]+TableDailySummary[[#This Row],[Inversión meta ads]]</f>
        <v>0</v>
      </c>
      <c r="AC865" s="11">
        <f>TableDailySummary[[#This Row],[Ventas google ads]]+TableDailySummary[[#This Row],[Ventas meta ads]]</f>
        <v>0</v>
      </c>
      <c r="AD865" s="14">
        <f>IFERROR(TableDailySummary[[#This Row],[Ventas publicidad]]/TableDailySummary[[#This Row],[Inversión publicidad]],0)</f>
        <v>0</v>
      </c>
      <c r="AE865" s="14">
        <f>IFERROR(TableDailySummary[[#This Row],[Ventas primer cliente]]/TableDailySummary[[#This Row],[Inversión publicidad]],0)</f>
        <v>0</v>
      </c>
      <c r="AF865" s="14"/>
      <c r="AG865" s="11"/>
      <c r="AM865" s="11">
        <f>_xlfn.XLOOKUP(TableDailySummary[[#This Row],[Fecha]],SummaryDaily[day],SummaryDaily[net_sales_with_cost_recorded],0)</f>
        <v>0</v>
      </c>
      <c r="AN865" s="11">
        <f>_xlfn.XLOOKUP(TableDailySummary[[#This Row],[Fecha]],SummaryDaily[day],SummaryDaily[cost_of_goods_sold],0)</f>
        <v>0</v>
      </c>
      <c r="AO865" s="11">
        <f>_xlfn.XLOOKUP(TableDailySummary[[#This Row],[Fecha]],SummaryDaily[day],SummaryDaily[gross_profit],0)</f>
        <v>0</v>
      </c>
      <c r="AP865" s="18">
        <f>IFERROR(TableDailySummary[[#This Row],[Utilidad bruta]]/TableDailySummary[[#This Row],[Ventas netas con costo registrado]],0)</f>
        <v>0</v>
      </c>
    </row>
    <row r="866" spans="2:42" x14ac:dyDescent="0.2">
      <c r="B866" s="15" cm="1">
        <f t="array" ref="B866">ParamFechaInicioReporte + (ROW(TableDailySummary[#This Row]) - ROW(TableDailySummary[[#Headers],[Dia]]) - 1)</f>
        <v>45393</v>
      </c>
      <c r="C866" s="6">
        <f>TableDailySummary[[#This Row],[Dia]]</f>
        <v>45393</v>
      </c>
      <c r="D866" s="11">
        <f>_xlfn.XLOOKUP(TableDailySummary[[#This Row],[Fecha]],SummaryDaily[day],SummaryDaily[net_sales],0)</f>
        <v>0</v>
      </c>
      <c r="E866" s="11">
        <f>_xlfn.XLOOKUP(TableDailySummary[[#This Row],[Fecha]],SummaryDaily[day],SummaryDaily[orders],0)</f>
        <v>0</v>
      </c>
      <c r="F866" s="11">
        <f>_xlfn.XLOOKUP(TableDailySummary[[#This Row],[Fecha]],SummaryDaily[day],SummaryDaily[average_order_value],0)</f>
        <v>0</v>
      </c>
      <c r="G866" s="24" cm="1">
        <f t="array" ref="G866">_xlfn.XLOOKUP(TableDailySummary[[#This Row],[Fecha]]&amp;"Total site",ConversionRateByReferral[day]&amp;ConversionRateByReferral[referrer_source],ConversionRateByReferral[conversion_rate],0)</f>
        <v>0</v>
      </c>
      <c r="H866" s="11">
        <f>TableDailySummary[[#This Row],[Órden promedio totales]]*TableDailySummary[[#This Row],[CR totales]]</f>
        <v>0</v>
      </c>
      <c r="I866" s="11">
        <f>_xlfn.XLOOKUP(TableDailySummary[[#This Row],[Fecha]],SummaryDaily[day],SummaryDaily[new_net_sales],0)</f>
        <v>0</v>
      </c>
      <c r="J866" s="11">
        <f>_xlfn.XLOOKUP(TableDailySummary[[#This Row],[Fecha]],SummaryDaily[day],SummaryDaily[new_orders],0)</f>
        <v>0</v>
      </c>
      <c r="K866" s="11">
        <f>_xlfn.XLOOKUP(TableDailySummary[[#This Row],[Fecha]],SummaryDaily[day],SummaryDaily[new_average_order_value],0)</f>
        <v>0</v>
      </c>
      <c r="L866" s="11">
        <f>_xlfn.XLOOKUP(TableDailySummary[[#This Row],[Fecha]],SummaryDaily[day],SummaryDaily[Online Store_net_sales],0)</f>
        <v>0</v>
      </c>
      <c r="M866" s="11">
        <f>_xlfn.XLOOKUP(TableDailySummary[[#This Row],[Fecha]],SummaryDaily[day],SummaryDaily[Online Store_orders],0)</f>
        <v>0</v>
      </c>
      <c r="N866" s="11">
        <f>_xlfn.XLOOKUP(TableDailySummary[[#This Row],[Fecha]],SummaryDaily[day],SummaryDaily[Online Store_average_order_value],0)</f>
        <v>0</v>
      </c>
      <c r="O866" s="11">
        <f>_xlfn.XLOOKUP(TableDailySummary[[#This Row],[Fecha]],SummaryDaily[day],SummaryDaily[Tienda 81_net_sales],0)</f>
        <v>0</v>
      </c>
      <c r="P866" s="11">
        <f>_xlfn.XLOOKUP(TableDailySummary[[#This Row],[Fecha]],SummaryDaily[day],SummaryDaily[Tienda 81_orders],0)</f>
        <v>0</v>
      </c>
      <c r="Q866" s="11">
        <f>_xlfn.XLOOKUP(TableDailySummary[[#This Row],[Fecha]],SummaryDaily[day],SummaryDaily[Tienda 81_average_order_value],0)</f>
        <v>0</v>
      </c>
      <c r="R866" s="11">
        <f>_xlfn.XLOOKUP(TableDailySummary[[#This Row],[Fecha]],SummaryDaily[day],SummaryDaily[Rappi_net_sales],0)</f>
        <v>0</v>
      </c>
      <c r="S866" s="11">
        <f>_xlfn.XLOOKUP(TableDailySummary[[#This Row],[Fecha]],SummaryDaily[day],SummaryDaily[Rappi_orders],0)</f>
        <v>0</v>
      </c>
      <c r="T866" s="11">
        <f>_xlfn.XLOOKUP(TableDailySummary[[#This Row],[Fecha]],SummaryDaily[day],SummaryDaily[Rappi_average_order_value],0)</f>
        <v>0</v>
      </c>
      <c r="U866" s="11">
        <f>_xlfn.XLOOKUP(TableDailySummary[[#This Row],[Fecha]],SummaryDaily[day],SummaryDaily[Corporativo no tienda_net_sales],0)</f>
        <v>0</v>
      </c>
      <c r="V866" s="11">
        <f>_xlfn.XLOOKUP(TableDailySummary[[#This Row],[Fecha]],SummaryDaily[day],SummaryDaily[Corporativo no tienda_orders],0)</f>
        <v>0</v>
      </c>
      <c r="W866" s="11">
        <f>_xlfn.XLOOKUP(TableDailySummary[[#This Row],[Fecha]],SummaryDaily[day],SummaryDaily[Corporativo no tienda_average_order_value],0)</f>
        <v>0</v>
      </c>
      <c r="X866" s="11">
        <f>_xlfn.XLOOKUP(TableDailySummary[[#This Row],[Fecha]],SummaryDaily[day],SummaryDaily[GoogleAdsOperation.Cost],0)</f>
        <v>0</v>
      </c>
      <c r="Y866" s="11">
        <f>SUMIFS(SalesByUTMDaily[google],SalesByUTMDaily[day],TableDailySummary[[#This Row],[Fecha]])</f>
        <v>0</v>
      </c>
      <c r="Z866" s="11">
        <f>_xlfn.XLOOKUP(TableDailySummary[[#This Row],[Fecha]],SummaryDaily[day],SummaryDaily[MetaAdsOperation.spend],0)</f>
        <v>0</v>
      </c>
      <c r="AA866" s="11">
        <f>SUMIFS(SalesByUTMDaily[facebook],SalesByUTMDaily[day],TableDailySummary[[#This Row],[Fecha]])</f>
        <v>0</v>
      </c>
      <c r="AB866" s="11">
        <f>TableDailySummary[[#This Row],[Inversión google ads]]+TableDailySummary[[#This Row],[Inversión meta ads]]</f>
        <v>0</v>
      </c>
      <c r="AC866" s="11">
        <f>TableDailySummary[[#This Row],[Ventas google ads]]+TableDailySummary[[#This Row],[Ventas meta ads]]</f>
        <v>0</v>
      </c>
      <c r="AD866" s="14">
        <f>IFERROR(TableDailySummary[[#This Row],[Ventas publicidad]]/TableDailySummary[[#This Row],[Inversión publicidad]],0)</f>
        <v>0</v>
      </c>
      <c r="AE866" s="14">
        <f>IFERROR(TableDailySummary[[#This Row],[Ventas primer cliente]]/TableDailySummary[[#This Row],[Inversión publicidad]],0)</f>
        <v>0</v>
      </c>
      <c r="AF866" s="14"/>
      <c r="AG866" s="11"/>
      <c r="AM866" s="11">
        <f>_xlfn.XLOOKUP(TableDailySummary[[#This Row],[Fecha]],SummaryDaily[day],SummaryDaily[net_sales_with_cost_recorded],0)</f>
        <v>0</v>
      </c>
      <c r="AN866" s="11">
        <f>_xlfn.XLOOKUP(TableDailySummary[[#This Row],[Fecha]],SummaryDaily[day],SummaryDaily[cost_of_goods_sold],0)</f>
        <v>0</v>
      </c>
      <c r="AO866" s="11">
        <f>_xlfn.XLOOKUP(TableDailySummary[[#This Row],[Fecha]],SummaryDaily[day],SummaryDaily[gross_profit],0)</f>
        <v>0</v>
      </c>
      <c r="AP866" s="18">
        <f>IFERROR(TableDailySummary[[#This Row],[Utilidad bruta]]/TableDailySummary[[#This Row],[Ventas netas con costo registrado]],0)</f>
        <v>0</v>
      </c>
    </row>
    <row r="867" spans="2:42" x14ac:dyDescent="0.2">
      <c r="B867" s="15" cm="1">
        <f t="array" ref="B867">ParamFechaInicioReporte + (ROW(TableDailySummary[#This Row]) - ROW(TableDailySummary[[#Headers],[Dia]]) - 1)</f>
        <v>45394</v>
      </c>
      <c r="C867" s="6">
        <f>TableDailySummary[[#This Row],[Dia]]</f>
        <v>45394</v>
      </c>
      <c r="D867" s="11">
        <f>_xlfn.XLOOKUP(TableDailySummary[[#This Row],[Fecha]],SummaryDaily[day],SummaryDaily[net_sales],0)</f>
        <v>0</v>
      </c>
      <c r="E867" s="11">
        <f>_xlfn.XLOOKUP(TableDailySummary[[#This Row],[Fecha]],SummaryDaily[day],SummaryDaily[orders],0)</f>
        <v>0</v>
      </c>
      <c r="F867" s="11">
        <f>_xlfn.XLOOKUP(TableDailySummary[[#This Row],[Fecha]],SummaryDaily[day],SummaryDaily[average_order_value],0)</f>
        <v>0</v>
      </c>
      <c r="G867" s="24" cm="1">
        <f t="array" ref="G867">_xlfn.XLOOKUP(TableDailySummary[[#This Row],[Fecha]]&amp;"Total site",ConversionRateByReferral[day]&amp;ConversionRateByReferral[referrer_source],ConversionRateByReferral[conversion_rate],0)</f>
        <v>0</v>
      </c>
      <c r="H867" s="11">
        <f>TableDailySummary[[#This Row],[Órden promedio totales]]*TableDailySummary[[#This Row],[CR totales]]</f>
        <v>0</v>
      </c>
      <c r="I867" s="11">
        <f>_xlfn.XLOOKUP(TableDailySummary[[#This Row],[Fecha]],SummaryDaily[day],SummaryDaily[new_net_sales],0)</f>
        <v>0</v>
      </c>
      <c r="J867" s="11">
        <f>_xlfn.XLOOKUP(TableDailySummary[[#This Row],[Fecha]],SummaryDaily[day],SummaryDaily[new_orders],0)</f>
        <v>0</v>
      </c>
      <c r="K867" s="11">
        <f>_xlfn.XLOOKUP(TableDailySummary[[#This Row],[Fecha]],SummaryDaily[day],SummaryDaily[new_average_order_value],0)</f>
        <v>0</v>
      </c>
      <c r="L867" s="11">
        <f>_xlfn.XLOOKUP(TableDailySummary[[#This Row],[Fecha]],SummaryDaily[day],SummaryDaily[Online Store_net_sales],0)</f>
        <v>0</v>
      </c>
      <c r="M867" s="11">
        <f>_xlfn.XLOOKUP(TableDailySummary[[#This Row],[Fecha]],SummaryDaily[day],SummaryDaily[Online Store_orders],0)</f>
        <v>0</v>
      </c>
      <c r="N867" s="11">
        <f>_xlfn.XLOOKUP(TableDailySummary[[#This Row],[Fecha]],SummaryDaily[day],SummaryDaily[Online Store_average_order_value],0)</f>
        <v>0</v>
      </c>
      <c r="O867" s="11">
        <f>_xlfn.XLOOKUP(TableDailySummary[[#This Row],[Fecha]],SummaryDaily[day],SummaryDaily[Tienda 81_net_sales],0)</f>
        <v>0</v>
      </c>
      <c r="P867" s="11">
        <f>_xlfn.XLOOKUP(TableDailySummary[[#This Row],[Fecha]],SummaryDaily[day],SummaryDaily[Tienda 81_orders],0)</f>
        <v>0</v>
      </c>
      <c r="Q867" s="11">
        <f>_xlfn.XLOOKUP(TableDailySummary[[#This Row],[Fecha]],SummaryDaily[day],SummaryDaily[Tienda 81_average_order_value],0)</f>
        <v>0</v>
      </c>
      <c r="R867" s="11">
        <f>_xlfn.XLOOKUP(TableDailySummary[[#This Row],[Fecha]],SummaryDaily[day],SummaryDaily[Rappi_net_sales],0)</f>
        <v>0</v>
      </c>
      <c r="S867" s="11">
        <f>_xlfn.XLOOKUP(TableDailySummary[[#This Row],[Fecha]],SummaryDaily[day],SummaryDaily[Rappi_orders],0)</f>
        <v>0</v>
      </c>
      <c r="T867" s="11">
        <f>_xlfn.XLOOKUP(TableDailySummary[[#This Row],[Fecha]],SummaryDaily[day],SummaryDaily[Rappi_average_order_value],0)</f>
        <v>0</v>
      </c>
      <c r="U867" s="11">
        <f>_xlfn.XLOOKUP(TableDailySummary[[#This Row],[Fecha]],SummaryDaily[day],SummaryDaily[Corporativo no tienda_net_sales],0)</f>
        <v>0</v>
      </c>
      <c r="V867" s="11">
        <f>_xlfn.XLOOKUP(TableDailySummary[[#This Row],[Fecha]],SummaryDaily[day],SummaryDaily[Corporativo no tienda_orders],0)</f>
        <v>0</v>
      </c>
      <c r="W867" s="11">
        <f>_xlfn.XLOOKUP(TableDailySummary[[#This Row],[Fecha]],SummaryDaily[day],SummaryDaily[Corporativo no tienda_average_order_value],0)</f>
        <v>0</v>
      </c>
      <c r="X867" s="11">
        <f>_xlfn.XLOOKUP(TableDailySummary[[#This Row],[Fecha]],SummaryDaily[day],SummaryDaily[GoogleAdsOperation.Cost],0)</f>
        <v>0</v>
      </c>
      <c r="Y867" s="11">
        <f>SUMIFS(SalesByUTMDaily[google],SalesByUTMDaily[day],TableDailySummary[[#This Row],[Fecha]])</f>
        <v>0</v>
      </c>
      <c r="Z867" s="11">
        <f>_xlfn.XLOOKUP(TableDailySummary[[#This Row],[Fecha]],SummaryDaily[day],SummaryDaily[MetaAdsOperation.spend],0)</f>
        <v>0</v>
      </c>
      <c r="AA867" s="11">
        <f>SUMIFS(SalesByUTMDaily[facebook],SalesByUTMDaily[day],TableDailySummary[[#This Row],[Fecha]])</f>
        <v>0</v>
      </c>
      <c r="AB867" s="11">
        <f>TableDailySummary[[#This Row],[Inversión google ads]]+TableDailySummary[[#This Row],[Inversión meta ads]]</f>
        <v>0</v>
      </c>
      <c r="AC867" s="11">
        <f>TableDailySummary[[#This Row],[Ventas google ads]]+TableDailySummary[[#This Row],[Ventas meta ads]]</f>
        <v>0</v>
      </c>
      <c r="AD867" s="14">
        <f>IFERROR(TableDailySummary[[#This Row],[Ventas publicidad]]/TableDailySummary[[#This Row],[Inversión publicidad]],0)</f>
        <v>0</v>
      </c>
      <c r="AE867" s="14">
        <f>IFERROR(TableDailySummary[[#This Row],[Ventas primer cliente]]/TableDailySummary[[#This Row],[Inversión publicidad]],0)</f>
        <v>0</v>
      </c>
      <c r="AF867" s="14"/>
      <c r="AG867" s="11"/>
      <c r="AM867" s="11">
        <f>_xlfn.XLOOKUP(TableDailySummary[[#This Row],[Fecha]],SummaryDaily[day],SummaryDaily[net_sales_with_cost_recorded],0)</f>
        <v>0</v>
      </c>
      <c r="AN867" s="11">
        <f>_xlfn.XLOOKUP(TableDailySummary[[#This Row],[Fecha]],SummaryDaily[day],SummaryDaily[cost_of_goods_sold],0)</f>
        <v>0</v>
      </c>
      <c r="AO867" s="11">
        <f>_xlfn.XLOOKUP(TableDailySummary[[#This Row],[Fecha]],SummaryDaily[day],SummaryDaily[gross_profit],0)</f>
        <v>0</v>
      </c>
      <c r="AP867" s="18">
        <f>IFERROR(TableDailySummary[[#This Row],[Utilidad bruta]]/TableDailySummary[[#This Row],[Ventas netas con costo registrado]],0)</f>
        <v>0</v>
      </c>
    </row>
    <row r="868" spans="2:42" x14ac:dyDescent="0.2">
      <c r="B868" s="15" cm="1">
        <f t="array" ref="B868">ParamFechaInicioReporte + (ROW(TableDailySummary[#This Row]) - ROW(TableDailySummary[[#Headers],[Dia]]) - 1)</f>
        <v>45395</v>
      </c>
      <c r="C868" s="6">
        <f>TableDailySummary[[#This Row],[Dia]]</f>
        <v>45395</v>
      </c>
      <c r="D868" s="11">
        <f>_xlfn.XLOOKUP(TableDailySummary[[#This Row],[Fecha]],SummaryDaily[day],SummaryDaily[net_sales],0)</f>
        <v>0</v>
      </c>
      <c r="E868" s="11">
        <f>_xlfn.XLOOKUP(TableDailySummary[[#This Row],[Fecha]],SummaryDaily[day],SummaryDaily[orders],0)</f>
        <v>0</v>
      </c>
      <c r="F868" s="11">
        <f>_xlfn.XLOOKUP(TableDailySummary[[#This Row],[Fecha]],SummaryDaily[day],SummaryDaily[average_order_value],0)</f>
        <v>0</v>
      </c>
      <c r="G868" s="24" cm="1">
        <f t="array" ref="G868">_xlfn.XLOOKUP(TableDailySummary[[#This Row],[Fecha]]&amp;"Total site",ConversionRateByReferral[day]&amp;ConversionRateByReferral[referrer_source],ConversionRateByReferral[conversion_rate],0)</f>
        <v>0</v>
      </c>
      <c r="H868" s="11">
        <f>TableDailySummary[[#This Row],[Órden promedio totales]]*TableDailySummary[[#This Row],[CR totales]]</f>
        <v>0</v>
      </c>
      <c r="I868" s="11">
        <f>_xlfn.XLOOKUP(TableDailySummary[[#This Row],[Fecha]],SummaryDaily[day],SummaryDaily[new_net_sales],0)</f>
        <v>0</v>
      </c>
      <c r="J868" s="11">
        <f>_xlfn.XLOOKUP(TableDailySummary[[#This Row],[Fecha]],SummaryDaily[day],SummaryDaily[new_orders],0)</f>
        <v>0</v>
      </c>
      <c r="K868" s="11">
        <f>_xlfn.XLOOKUP(TableDailySummary[[#This Row],[Fecha]],SummaryDaily[day],SummaryDaily[new_average_order_value],0)</f>
        <v>0</v>
      </c>
      <c r="L868" s="11">
        <f>_xlfn.XLOOKUP(TableDailySummary[[#This Row],[Fecha]],SummaryDaily[day],SummaryDaily[Online Store_net_sales],0)</f>
        <v>0</v>
      </c>
      <c r="M868" s="11">
        <f>_xlfn.XLOOKUP(TableDailySummary[[#This Row],[Fecha]],SummaryDaily[day],SummaryDaily[Online Store_orders],0)</f>
        <v>0</v>
      </c>
      <c r="N868" s="11">
        <f>_xlfn.XLOOKUP(TableDailySummary[[#This Row],[Fecha]],SummaryDaily[day],SummaryDaily[Online Store_average_order_value],0)</f>
        <v>0</v>
      </c>
      <c r="O868" s="11">
        <f>_xlfn.XLOOKUP(TableDailySummary[[#This Row],[Fecha]],SummaryDaily[day],SummaryDaily[Tienda 81_net_sales],0)</f>
        <v>0</v>
      </c>
      <c r="P868" s="11">
        <f>_xlfn.XLOOKUP(TableDailySummary[[#This Row],[Fecha]],SummaryDaily[day],SummaryDaily[Tienda 81_orders],0)</f>
        <v>0</v>
      </c>
      <c r="Q868" s="11">
        <f>_xlfn.XLOOKUP(TableDailySummary[[#This Row],[Fecha]],SummaryDaily[day],SummaryDaily[Tienda 81_average_order_value],0)</f>
        <v>0</v>
      </c>
      <c r="R868" s="11">
        <f>_xlfn.XLOOKUP(TableDailySummary[[#This Row],[Fecha]],SummaryDaily[day],SummaryDaily[Rappi_net_sales],0)</f>
        <v>0</v>
      </c>
      <c r="S868" s="11">
        <f>_xlfn.XLOOKUP(TableDailySummary[[#This Row],[Fecha]],SummaryDaily[day],SummaryDaily[Rappi_orders],0)</f>
        <v>0</v>
      </c>
      <c r="T868" s="11">
        <f>_xlfn.XLOOKUP(TableDailySummary[[#This Row],[Fecha]],SummaryDaily[day],SummaryDaily[Rappi_average_order_value],0)</f>
        <v>0</v>
      </c>
      <c r="U868" s="11">
        <f>_xlfn.XLOOKUP(TableDailySummary[[#This Row],[Fecha]],SummaryDaily[day],SummaryDaily[Corporativo no tienda_net_sales],0)</f>
        <v>0</v>
      </c>
      <c r="V868" s="11">
        <f>_xlfn.XLOOKUP(TableDailySummary[[#This Row],[Fecha]],SummaryDaily[day],SummaryDaily[Corporativo no tienda_orders],0)</f>
        <v>0</v>
      </c>
      <c r="W868" s="11">
        <f>_xlfn.XLOOKUP(TableDailySummary[[#This Row],[Fecha]],SummaryDaily[day],SummaryDaily[Corporativo no tienda_average_order_value],0)</f>
        <v>0</v>
      </c>
      <c r="X868" s="11">
        <f>_xlfn.XLOOKUP(TableDailySummary[[#This Row],[Fecha]],SummaryDaily[day],SummaryDaily[GoogleAdsOperation.Cost],0)</f>
        <v>0</v>
      </c>
      <c r="Y868" s="11">
        <f>SUMIFS(SalesByUTMDaily[google],SalesByUTMDaily[day],TableDailySummary[[#This Row],[Fecha]])</f>
        <v>0</v>
      </c>
      <c r="Z868" s="11">
        <f>_xlfn.XLOOKUP(TableDailySummary[[#This Row],[Fecha]],SummaryDaily[day],SummaryDaily[MetaAdsOperation.spend],0)</f>
        <v>0</v>
      </c>
      <c r="AA868" s="11">
        <f>SUMIFS(SalesByUTMDaily[facebook],SalesByUTMDaily[day],TableDailySummary[[#This Row],[Fecha]])</f>
        <v>0</v>
      </c>
      <c r="AB868" s="11">
        <f>TableDailySummary[[#This Row],[Inversión google ads]]+TableDailySummary[[#This Row],[Inversión meta ads]]</f>
        <v>0</v>
      </c>
      <c r="AC868" s="11">
        <f>TableDailySummary[[#This Row],[Ventas google ads]]+TableDailySummary[[#This Row],[Ventas meta ads]]</f>
        <v>0</v>
      </c>
      <c r="AD868" s="14">
        <f>IFERROR(TableDailySummary[[#This Row],[Ventas publicidad]]/TableDailySummary[[#This Row],[Inversión publicidad]],0)</f>
        <v>0</v>
      </c>
      <c r="AE868" s="14">
        <f>IFERROR(TableDailySummary[[#This Row],[Ventas primer cliente]]/TableDailySummary[[#This Row],[Inversión publicidad]],0)</f>
        <v>0</v>
      </c>
      <c r="AF868" s="14"/>
      <c r="AG868" s="11"/>
      <c r="AM868" s="11">
        <f>_xlfn.XLOOKUP(TableDailySummary[[#This Row],[Fecha]],SummaryDaily[day],SummaryDaily[net_sales_with_cost_recorded],0)</f>
        <v>0</v>
      </c>
      <c r="AN868" s="11">
        <f>_xlfn.XLOOKUP(TableDailySummary[[#This Row],[Fecha]],SummaryDaily[day],SummaryDaily[cost_of_goods_sold],0)</f>
        <v>0</v>
      </c>
      <c r="AO868" s="11">
        <f>_xlfn.XLOOKUP(TableDailySummary[[#This Row],[Fecha]],SummaryDaily[day],SummaryDaily[gross_profit],0)</f>
        <v>0</v>
      </c>
      <c r="AP868" s="18">
        <f>IFERROR(TableDailySummary[[#This Row],[Utilidad bruta]]/TableDailySummary[[#This Row],[Ventas netas con costo registrado]],0)</f>
        <v>0</v>
      </c>
    </row>
    <row r="869" spans="2:42" x14ac:dyDescent="0.2">
      <c r="B869" s="15" cm="1">
        <f t="array" ref="B869">ParamFechaInicioReporte + (ROW(TableDailySummary[#This Row]) - ROW(TableDailySummary[[#Headers],[Dia]]) - 1)</f>
        <v>45396</v>
      </c>
      <c r="C869" s="6">
        <f>TableDailySummary[[#This Row],[Dia]]</f>
        <v>45396</v>
      </c>
      <c r="D869" s="11">
        <f>_xlfn.XLOOKUP(TableDailySummary[[#This Row],[Fecha]],SummaryDaily[day],SummaryDaily[net_sales],0)</f>
        <v>0</v>
      </c>
      <c r="E869" s="11">
        <f>_xlfn.XLOOKUP(TableDailySummary[[#This Row],[Fecha]],SummaryDaily[day],SummaryDaily[orders],0)</f>
        <v>0</v>
      </c>
      <c r="F869" s="11">
        <f>_xlfn.XLOOKUP(TableDailySummary[[#This Row],[Fecha]],SummaryDaily[day],SummaryDaily[average_order_value],0)</f>
        <v>0</v>
      </c>
      <c r="G869" s="24" cm="1">
        <f t="array" ref="G869">_xlfn.XLOOKUP(TableDailySummary[[#This Row],[Fecha]]&amp;"Total site",ConversionRateByReferral[day]&amp;ConversionRateByReferral[referrer_source],ConversionRateByReferral[conversion_rate],0)</f>
        <v>0</v>
      </c>
      <c r="H869" s="11">
        <f>TableDailySummary[[#This Row],[Órden promedio totales]]*TableDailySummary[[#This Row],[CR totales]]</f>
        <v>0</v>
      </c>
      <c r="I869" s="11">
        <f>_xlfn.XLOOKUP(TableDailySummary[[#This Row],[Fecha]],SummaryDaily[day],SummaryDaily[new_net_sales],0)</f>
        <v>0</v>
      </c>
      <c r="J869" s="11">
        <f>_xlfn.XLOOKUP(TableDailySummary[[#This Row],[Fecha]],SummaryDaily[day],SummaryDaily[new_orders],0)</f>
        <v>0</v>
      </c>
      <c r="K869" s="11">
        <f>_xlfn.XLOOKUP(TableDailySummary[[#This Row],[Fecha]],SummaryDaily[day],SummaryDaily[new_average_order_value],0)</f>
        <v>0</v>
      </c>
      <c r="L869" s="11">
        <f>_xlfn.XLOOKUP(TableDailySummary[[#This Row],[Fecha]],SummaryDaily[day],SummaryDaily[Online Store_net_sales],0)</f>
        <v>0</v>
      </c>
      <c r="M869" s="11">
        <f>_xlfn.XLOOKUP(TableDailySummary[[#This Row],[Fecha]],SummaryDaily[day],SummaryDaily[Online Store_orders],0)</f>
        <v>0</v>
      </c>
      <c r="N869" s="11">
        <f>_xlfn.XLOOKUP(TableDailySummary[[#This Row],[Fecha]],SummaryDaily[day],SummaryDaily[Online Store_average_order_value],0)</f>
        <v>0</v>
      </c>
      <c r="O869" s="11">
        <f>_xlfn.XLOOKUP(TableDailySummary[[#This Row],[Fecha]],SummaryDaily[day],SummaryDaily[Tienda 81_net_sales],0)</f>
        <v>0</v>
      </c>
      <c r="P869" s="11">
        <f>_xlfn.XLOOKUP(TableDailySummary[[#This Row],[Fecha]],SummaryDaily[day],SummaryDaily[Tienda 81_orders],0)</f>
        <v>0</v>
      </c>
      <c r="Q869" s="11">
        <f>_xlfn.XLOOKUP(TableDailySummary[[#This Row],[Fecha]],SummaryDaily[day],SummaryDaily[Tienda 81_average_order_value],0)</f>
        <v>0</v>
      </c>
      <c r="R869" s="11">
        <f>_xlfn.XLOOKUP(TableDailySummary[[#This Row],[Fecha]],SummaryDaily[day],SummaryDaily[Rappi_net_sales],0)</f>
        <v>0</v>
      </c>
      <c r="S869" s="11">
        <f>_xlfn.XLOOKUP(TableDailySummary[[#This Row],[Fecha]],SummaryDaily[day],SummaryDaily[Rappi_orders],0)</f>
        <v>0</v>
      </c>
      <c r="T869" s="11">
        <f>_xlfn.XLOOKUP(TableDailySummary[[#This Row],[Fecha]],SummaryDaily[day],SummaryDaily[Rappi_average_order_value],0)</f>
        <v>0</v>
      </c>
      <c r="U869" s="11">
        <f>_xlfn.XLOOKUP(TableDailySummary[[#This Row],[Fecha]],SummaryDaily[day],SummaryDaily[Corporativo no tienda_net_sales],0)</f>
        <v>0</v>
      </c>
      <c r="V869" s="11">
        <f>_xlfn.XLOOKUP(TableDailySummary[[#This Row],[Fecha]],SummaryDaily[day],SummaryDaily[Corporativo no tienda_orders],0)</f>
        <v>0</v>
      </c>
      <c r="W869" s="11">
        <f>_xlfn.XLOOKUP(TableDailySummary[[#This Row],[Fecha]],SummaryDaily[day],SummaryDaily[Corporativo no tienda_average_order_value],0)</f>
        <v>0</v>
      </c>
      <c r="X869" s="11">
        <f>_xlfn.XLOOKUP(TableDailySummary[[#This Row],[Fecha]],SummaryDaily[day],SummaryDaily[GoogleAdsOperation.Cost],0)</f>
        <v>0</v>
      </c>
      <c r="Y869" s="11">
        <f>SUMIFS(SalesByUTMDaily[google],SalesByUTMDaily[day],TableDailySummary[[#This Row],[Fecha]])</f>
        <v>0</v>
      </c>
      <c r="Z869" s="11">
        <f>_xlfn.XLOOKUP(TableDailySummary[[#This Row],[Fecha]],SummaryDaily[day],SummaryDaily[MetaAdsOperation.spend],0)</f>
        <v>0</v>
      </c>
      <c r="AA869" s="11">
        <f>SUMIFS(SalesByUTMDaily[facebook],SalesByUTMDaily[day],TableDailySummary[[#This Row],[Fecha]])</f>
        <v>0</v>
      </c>
      <c r="AB869" s="11">
        <f>TableDailySummary[[#This Row],[Inversión google ads]]+TableDailySummary[[#This Row],[Inversión meta ads]]</f>
        <v>0</v>
      </c>
      <c r="AC869" s="11">
        <f>TableDailySummary[[#This Row],[Ventas google ads]]+TableDailySummary[[#This Row],[Ventas meta ads]]</f>
        <v>0</v>
      </c>
      <c r="AD869" s="14">
        <f>IFERROR(TableDailySummary[[#This Row],[Ventas publicidad]]/TableDailySummary[[#This Row],[Inversión publicidad]],0)</f>
        <v>0</v>
      </c>
      <c r="AE869" s="14">
        <f>IFERROR(TableDailySummary[[#This Row],[Ventas primer cliente]]/TableDailySummary[[#This Row],[Inversión publicidad]],0)</f>
        <v>0</v>
      </c>
      <c r="AF869" s="14"/>
      <c r="AG869" s="11"/>
      <c r="AM869" s="11">
        <f>_xlfn.XLOOKUP(TableDailySummary[[#This Row],[Fecha]],SummaryDaily[day],SummaryDaily[net_sales_with_cost_recorded],0)</f>
        <v>0</v>
      </c>
      <c r="AN869" s="11">
        <f>_xlfn.XLOOKUP(TableDailySummary[[#This Row],[Fecha]],SummaryDaily[day],SummaryDaily[cost_of_goods_sold],0)</f>
        <v>0</v>
      </c>
      <c r="AO869" s="11">
        <f>_xlfn.XLOOKUP(TableDailySummary[[#This Row],[Fecha]],SummaryDaily[day],SummaryDaily[gross_profit],0)</f>
        <v>0</v>
      </c>
      <c r="AP869" s="18">
        <f>IFERROR(TableDailySummary[[#This Row],[Utilidad bruta]]/TableDailySummary[[#This Row],[Ventas netas con costo registrado]],0)</f>
        <v>0</v>
      </c>
    </row>
    <row r="870" spans="2:42" x14ac:dyDescent="0.2">
      <c r="B870" s="15" cm="1">
        <f t="array" ref="B870">ParamFechaInicioReporte + (ROW(TableDailySummary[#This Row]) - ROW(TableDailySummary[[#Headers],[Dia]]) - 1)</f>
        <v>45397</v>
      </c>
      <c r="C870" s="6">
        <f>TableDailySummary[[#This Row],[Dia]]</f>
        <v>45397</v>
      </c>
      <c r="D870" s="11">
        <f>_xlfn.XLOOKUP(TableDailySummary[[#This Row],[Fecha]],SummaryDaily[day],SummaryDaily[net_sales],0)</f>
        <v>0</v>
      </c>
      <c r="E870" s="11">
        <f>_xlfn.XLOOKUP(TableDailySummary[[#This Row],[Fecha]],SummaryDaily[day],SummaryDaily[orders],0)</f>
        <v>0</v>
      </c>
      <c r="F870" s="11">
        <f>_xlfn.XLOOKUP(TableDailySummary[[#This Row],[Fecha]],SummaryDaily[day],SummaryDaily[average_order_value],0)</f>
        <v>0</v>
      </c>
      <c r="G870" s="24" cm="1">
        <f t="array" ref="G870">_xlfn.XLOOKUP(TableDailySummary[[#This Row],[Fecha]]&amp;"Total site",ConversionRateByReferral[day]&amp;ConversionRateByReferral[referrer_source],ConversionRateByReferral[conversion_rate],0)</f>
        <v>0</v>
      </c>
      <c r="H870" s="11">
        <f>TableDailySummary[[#This Row],[Órden promedio totales]]*TableDailySummary[[#This Row],[CR totales]]</f>
        <v>0</v>
      </c>
      <c r="I870" s="11">
        <f>_xlfn.XLOOKUP(TableDailySummary[[#This Row],[Fecha]],SummaryDaily[day],SummaryDaily[new_net_sales],0)</f>
        <v>0</v>
      </c>
      <c r="J870" s="11">
        <f>_xlfn.XLOOKUP(TableDailySummary[[#This Row],[Fecha]],SummaryDaily[day],SummaryDaily[new_orders],0)</f>
        <v>0</v>
      </c>
      <c r="K870" s="11">
        <f>_xlfn.XLOOKUP(TableDailySummary[[#This Row],[Fecha]],SummaryDaily[day],SummaryDaily[new_average_order_value],0)</f>
        <v>0</v>
      </c>
      <c r="L870" s="11">
        <f>_xlfn.XLOOKUP(TableDailySummary[[#This Row],[Fecha]],SummaryDaily[day],SummaryDaily[Online Store_net_sales],0)</f>
        <v>0</v>
      </c>
      <c r="M870" s="11">
        <f>_xlfn.XLOOKUP(TableDailySummary[[#This Row],[Fecha]],SummaryDaily[day],SummaryDaily[Online Store_orders],0)</f>
        <v>0</v>
      </c>
      <c r="N870" s="11">
        <f>_xlfn.XLOOKUP(TableDailySummary[[#This Row],[Fecha]],SummaryDaily[day],SummaryDaily[Online Store_average_order_value],0)</f>
        <v>0</v>
      </c>
      <c r="O870" s="11">
        <f>_xlfn.XLOOKUP(TableDailySummary[[#This Row],[Fecha]],SummaryDaily[day],SummaryDaily[Tienda 81_net_sales],0)</f>
        <v>0</v>
      </c>
      <c r="P870" s="11">
        <f>_xlfn.XLOOKUP(TableDailySummary[[#This Row],[Fecha]],SummaryDaily[day],SummaryDaily[Tienda 81_orders],0)</f>
        <v>0</v>
      </c>
      <c r="Q870" s="11">
        <f>_xlfn.XLOOKUP(TableDailySummary[[#This Row],[Fecha]],SummaryDaily[day],SummaryDaily[Tienda 81_average_order_value],0)</f>
        <v>0</v>
      </c>
      <c r="R870" s="11">
        <f>_xlfn.XLOOKUP(TableDailySummary[[#This Row],[Fecha]],SummaryDaily[day],SummaryDaily[Rappi_net_sales],0)</f>
        <v>0</v>
      </c>
      <c r="S870" s="11">
        <f>_xlfn.XLOOKUP(TableDailySummary[[#This Row],[Fecha]],SummaryDaily[day],SummaryDaily[Rappi_orders],0)</f>
        <v>0</v>
      </c>
      <c r="T870" s="11">
        <f>_xlfn.XLOOKUP(TableDailySummary[[#This Row],[Fecha]],SummaryDaily[day],SummaryDaily[Rappi_average_order_value],0)</f>
        <v>0</v>
      </c>
      <c r="U870" s="11">
        <f>_xlfn.XLOOKUP(TableDailySummary[[#This Row],[Fecha]],SummaryDaily[day],SummaryDaily[Corporativo no tienda_net_sales],0)</f>
        <v>0</v>
      </c>
      <c r="V870" s="11">
        <f>_xlfn.XLOOKUP(TableDailySummary[[#This Row],[Fecha]],SummaryDaily[day],SummaryDaily[Corporativo no tienda_orders],0)</f>
        <v>0</v>
      </c>
      <c r="W870" s="11">
        <f>_xlfn.XLOOKUP(TableDailySummary[[#This Row],[Fecha]],SummaryDaily[day],SummaryDaily[Corporativo no tienda_average_order_value],0)</f>
        <v>0</v>
      </c>
      <c r="X870" s="11">
        <f>_xlfn.XLOOKUP(TableDailySummary[[#This Row],[Fecha]],SummaryDaily[day],SummaryDaily[GoogleAdsOperation.Cost],0)</f>
        <v>0</v>
      </c>
      <c r="Y870" s="11">
        <f>SUMIFS(SalesByUTMDaily[google],SalesByUTMDaily[day],TableDailySummary[[#This Row],[Fecha]])</f>
        <v>0</v>
      </c>
      <c r="Z870" s="11">
        <f>_xlfn.XLOOKUP(TableDailySummary[[#This Row],[Fecha]],SummaryDaily[day],SummaryDaily[MetaAdsOperation.spend],0)</f>
        <v>0</v>
      </c>
      <c r="AA870" s="11">
        <f>SUMIFS(SalesByUTMDaily[facebook],SalesByUTMDaily[day],TableDailySummary[[#This Row],[Fecha]])</f>
        <v>0</v>
      </c>
      <c r="AB870" s="11">
        <f>TableDailySummary[[#This Row],[Inversión google ads]]+TableDailySummary[[#This Row],[Inversión meta ads]]</f>
        <v>0</v>
      </c>
      <c r="AC870" s="11">
        <f>TableDailySummary[[#This Row],[Ventas google ads]]+TableDailySummary[[#This Row],[Ventas meta ads]]</f>
        <v>0</v>
      </c>
      <c r="AD870" s="14">
        <f>IFERROR(TableDailySummary[[#This Row],[Ventas publicidad]]/TableDailySummary[[#This Row],[Inversión publicidad]],0)</f>
        <v>0</v>
      </c>
      <c r="AE870" s="14">
        <f>IFERROR(TableDailySummary[[#This Row],[Ventas primer cliente]]/TableDailySummary[[#This Row],[Inversión publicidad]],0)</f>
        <v>0</v>
      </c>
      <c r="AF870" s="14"/>
      <c r="AG870" s="11"/>
      <c r="AM870" s="11">
        <f>_xlfn.XLOOKUP(TableDailySummary[[#This Row],[Fecha]],SummaryDaily[day],SummaryDaily[net_sales_with_cost_recorded],0)</f>
        <v>0</v>
      </c>
      <c r="AN870" s="11">
        <f>_xlfn.XLOOKUP(TableDailySummary[[#This Row],[Fecha]],SummaryDaily[day],SummaryDaily[cost_of_goods_sold],0)</f>
        <v>0</v>
      </c>
      <c r="AO870" s="11">
        <f>_xlfn.XLOOKUP(TableDailySummary[[#This Row],[Fecha]],SummaryDaily[day],SummaryDaily[gross_profit],0)</f>
        <v>0</v>
      </c>
      <c r="AP870" s="18">
        <f>IFERROR(TableDailySummary[[#This Row],[Utilidad bruta]]/TableDailySummary[[#This Row],[Ventas netas con costo registrado]],0)</f>
        <v>0</v>
      </c>
    </row>
    <row r="871" spans="2:42" x14ac:dyDescent="0.2">
      <c r="B871" s="15" cm="1">
        <f t="array" ref="B871">ParamFechaInicioReporte + (ROW(TableDailySummary[#This Row]) - ROW(TableDailySummary[[#Headers],[Dia]]) - 1)</f>
        <v>45398</v>
      </c>
      <c r="C871" s="6">
        <f>TableDailySummary[[#This Row],[Dia]]</f>
        <v>45398</v>
      </c>
      <c r="D871" s="11">
        <f>_xlfn.XLOOKUP(TableDailySummary[[#This Row],[Fecha]],SummaryDaily[day],SummaryDaily[net_sales],0)</f>
        <v>0</v>
      </c>
      <c r="E871" s="11">
        <f>_xlfn.XLOOKUP(TableDailySummary[[#This Row],[Fecha]],SummaryDaily[day],SummaryDaily[orders],0)</f>
        <v>0</v>
      </c>
      <c r="F871" s="11">
        <f>_xlfn.XLOOKUP(TableDailySummary[[#This Row],[Fecha]],SummaryDaily[day],SummaryDaily[average_order_value],0)</f>
        <v>0</v>
      </c>
      <c r="G871" s="24" cm="1">
        <f t="array" ref="G871">_xlfn.XLOOKUP(TableDailySummary[[#This Row],[Fecha]]&amp;"Total site",ConversionRateByReferral[day]&amp;ConversionRateByReferral[referrer_source],ConversionRateByReferral[conversion_rate],0)</f>
        <v>0</v>
      </c>
      <c r="H871" s="11">
        <f>TableDailySummary[[#This Row],[Órden promedio totales]]*TableDailySummary[[#This Row],[CR totales]]</f>
        <v>0</v>
      </c>
      <c r="I871" s="11">
        <f>_xlfn.XLOOKUP(TableDailySummary[[#This Row],[Fecha]],SummaryDaily[day],SummaryDaily[new_net_sales],0)</f>
        <v>0</v>
      </c>
      <c r="J871" s="11">
        <f>_xlfn.XLOOKUP(TableDailySummary[[#This Row],[Fecha]],SummaryDaily[day],SummaryDaily[new_orders],0)</f>
        <v>0</v>
      </c>
      <c r="K871" s="11">
        <f>_xlfn.XLOOKUP(TableDailySummary[[#This Row],[Fecha]],SummaryDaily[day],SummaryDaily[new_average_order_value],0)</f>
        <v>0</v>
      </c>
      <c r="L871" s="11">
        <f>_xlfn.XLOOKUP(TableDailySummary[[#This Row],[Fecha]],SummaryDaily[day],SummaryDaily[Online Store_net_sales],0)</f>
        <v>0</v>
      </c>
      <c r="M871" s="11">
        <f>_xlfn.XLOOKUP(TableDailySummary[[#This Row],[Fecha]],SummaryDaily[day],SummaryDaily[Online Store_orders],0)</f>
        <v>0</v>
      </c>
      <c r="N871" s="11">
        <f>_xlfn.XLOOKUP(TableDailySummary[[#This Row],[Fecha]],SummaryDaily[day],SummaryDaily[Online Store_average_order_value],0)</f>
        <v>0</v>
      </c>
      <c r="O871" s="11">
        <f>_xlfn.XLOOKUP(TableDailySummary[[#This Row],[Fecha]],SummaryDaily[day],SummaryDaily[Tienda 81_net_sales],0)</f>
        <v>0</v>
      </c>
      <c r="P871" s="11">
        <f>_xlfn.XLOOKUP(TableDailySummary[[#This Row],[Fecha]],SummaryDaily[day],SummaryDaily[Tienda 81_orders],0)</f>
        <v>0</v>
      </c>
      <c r="Q871" s="11">
        <f>_xlfn.XLOOKUP(TableDailySummary[[#This Row],[Fecha]],SummaryDaily[day],SummaryDaily[Tienda 81_average_order_value],0)</f>
        <v>0</v>
      </c>
      <c r="R871" s="11">
        <f>_xlfn.XLOOKUP(TableDailySummary[[#This Row],[Fecha]],SummaryDaily[day],SummaryDaily[Rappi_net_sales],0)</f>
        <v>0</v>
      </c>
      <c r="S871" s="11">
        <f>_xlfn.XLOOKUP(TableDailySummary[[#This Row],[Fecha]],SummaryDaily[day],SummaryDaily[Rappi_orders],0)</f>
        <v>0</v>
      </c>
      <c r="T871" s="11">
        <f>_xlfn.XLOOKUP(TableDailySummary[[#This Row],[Fecha]],SummaryDaily[day],SummaryDaily[Rappi_average_order_value],0)</f>
        <v>0</v>
      </c>
      <c r="U871" s="11">
        <f>_xlfn.XLOOKUP(TableDailySummary[[#This Row],[Fecha]],SummaryDaily[day],SummaryDaily[Corporativo no tienda_net_sales],0)</f>
        <v>0</v>
      </c>
      <c r="V871" s="11">
        <f>_xlfn.XLOOKUP(TableDailySummary[[#This Row],[Fecha]],SummaryDaily[day],SummaryDaily[Corporativo no tienda_orders],0)</f>
        <v>0</v>
      </c>
      <c r="W871" s="11">
        <f>_xlfn.XLOOKUP(TableDailySummary[[#This Row],[Fecha]],SummaryDaily[day],SummaryDaily[Corporativo no tienda_average_order_value],0)</f>
        <v>0</v>
      </c>
      <c r="X871" s="11">
        <f>_xlfn.XLOOKUP(TableDailySummary[[#This Row],[Fecha]],SummaryDaily[day],SummaryDaily[GoogleAdsOperation.Cost],0)</f>
        <v>0</v>
      </c>
      <c r="Y871" s="11">
        <f>SUMIFS(SalesByUTMDaily[google],SalesByUTMDaily[day],TableDailySummary[[#This Row],[Fecha]])</f>
        <v>0</v>
      </c>
      <c r="Z871" s="11">
        <f>_xlfn.XLOOKUP(TableDailySummary[[#This Row],[Fecha]],SummaryDaily[day],SummaryDaily[MetaAdsOperation.spend],0)</f>
        <v>0</v>
      </c>
      <c r="AA871" s="11">
        <f>SUMIFS(SalesByUTMDaily[facebook],SalesByUTMDaily[day],TableDailySummary[[#This Row],[Fecha]])</f>
        <v>0</v>
      </c>
      <c r="AB871" s="11">
        <f>TableDailySummary[[#This Row],[Inversión google ads]]+TableDailySummary[[#This Row],[Inversión meta ads]]</f>
        <v>0</v>
      </c>
      <c r="AC871" s="11">
        <f>TableDailySummary[[#This Row],[Ventas google ads]]+TableDailySummary[[#This Row],[Ventas meta ads]]</f>
        <v>0</v>
      </c>
      <c r="AD871" s="14">
        <f>IFERROR(TableDailySummary[[#This Row],[Ventas publicidad]]/TableDailySummary[[#This Row],[Inversión publicidad]],0)</f>
        <v>0</v>
      </c>
      <c r="AE871" s="14">
        <f>IFERROR(TableDailySummary[[#This Row],[Ventas primer cliente]]/TableDailySummary[[#This Row],[Inversión publicidad]],0)</f>
        <v>0</v>
      </c>
      <c r="AF871" s="14"/>
      <c r="AG871" s="11"/>
      <c r="AM871" s="11">
        <f>_xlfn.XLOOKUP(TableDailySummary[[#This Row],[Fecha]],SummaryDaily[day],SummaryDaily[net_sales_with_cost_recorded],0)</f>
        <v>0</v>
      </c>
      <c r="AN871" s="11">
        <f>_xlfn.XLOOKUP(TableDailySummary[[#This Row],[Fecha]],SummaryDaily[day],SummaryDaily[cost_of_goods_sold],0)</f>
        <v>0</v>
      </c>
      <c r="AO871" s="11">
        <f>_xlfn.XLOOKUP(TableDailySummary[[#This Row],[Fecha]],SummaryDaily[day],SummaryDaily[gross_profit],0)</f>
        <v>0</v>
      </c>
      <c r="AP871" s="18">
        <f>IFERROR(TableDailySummary[[#This Row],[Utilidad bruta]]/TableDailySummary[[#This Row],[Ventas netas con costo registrado]],0)</f>
        <v>0</v>
      </c>
    </row>
    <row r="872" spans="2:42" x14ac:dyDescent="0.2">
      <c r="B872" s="15" cm="1">
        <f t="array" ref="B872">ParamFechaInicioReporte + (ROW(TableDailySummary[#This Row]) - ROW(TableDailySummary[[#Headers],[Dia]]) - 1)</f>
        <v>45399</v>
      </c>
      <c r="C872" s="6">
        <f>TableDailySummary[[#This Row],[Dia]]</f>
        <v>45399</v>
      </c>
      <c r="D872" s="11">
        <f>_xlfn.XLOOKUP(TableDailySummary[[#This Row],[Fecha]],SummaryDaily[day],SummaryDaily[net_sales],0)</f>
        <v>0</v>
      </c>
      <c r="E872" s="11">
        <f>_xlfn.XLOOKUP(TableDailySummary[[#This Row],[Fecha]],SummaryDaily[day],SummaryDaily[orders],0)</f>
        <v>0</v>
      </c>
      <c r="F872" s="11">
        <f>_xlfn.XLOOKUP(TableDailySummary[[#This Row],[Fecha]],SummaryDaily[day],SummaryDaily[average_order_value],0)</f>
        <v>0</v>
      </c>
      <c r="G872" s="24" cm="1">
        <f t="array" ref="G872">_xlfn.XLOOKUP(TableDailySummary[[#This Row],[Fecha]]&amp;"Total site",ConversionRateByReferral[day]&amp;ConversionRateByReferral[referrer_source],ConversionRateByReferral[conversion_rate],0)</f>
        <v>0</v>
      </c>
      <c r="H872" s="11">
        <f>TableDailySummary[[#This Row],[Órden promedio totales]]*TableDailySummary[[#This Row],[CR totales]]</f>
        <v>0</v>
      </c>
      <c r="I872" s="11">
        <f>_xlfn.XLOOKUP(TableDailySummary[[#This Row],[Fecha]],SummaryDaily[day],SummaryDaily[new_net_sales],0)</f>
        <v>0</v>
      </c>
      <c r="J872" s="11">
        <f>_xlfn.XLOOKUP(TableDailySummary[[#This Row],[Fecha]],SummaryDaily[day],SummaryDaily[new_orders],0)</f>
        <v>0</v>
      </c>
      <c r="K872" s="11">
        <f>_xlfn.XLOOKUP(TableDailySummary[[#This Row],[Fecha]],SummaryDaily[day],SummaryDaily[new_average_order_value],0)</f>
        <v>0</v>
      </c>
      <c r="L872" s="11">
        <f>_xlfn.XLOOKUP(TableDailySummary[[#This Row],[Fecha]],SummaryDaily[day],SummaryDaily[Online Store_net_sales],0)</f>
        <v>0</v>
      </c>
      <c r="M872" s="11">
        <f>_xlfn.XLOOKUP(TableDailySummary[[#This Row],[Fecha]],SummaryDaily[day],SummaryDaily[Online Store_orders],0)</f>
        <v>0</v>
      </c>
      <c r="N872" s="11">
        <f>_xlfn.XLOOKUP(TableDailySummary[[#This Row],[Fecha]],SummaryDaily[day],SummaryDaily[Online Store_average_order_value],0)</f>
        <v>0</v>
      </c>
      <c r="O872" s="11">
        <f>_xlfn.XLOOKUP(TableDailySummary[[#This Row],[Fecha]],SummaryDaily[day],SummaryDaily[Tienda 81_net_sales],0)</f>
        <v>0</v>
      </c>
      <c r="P872" s="11">
        <f>_xlfn.XLOOKUP(TableDailySummary[[#This Row],[Fecha]],SummaryDaily[day],SummaryDaily[Tienda 81_orders],0)</f>
        <v>0</v>
      </c>
      <c r="Q872" s="11">
        <f>_xlfn.XLOOKUP(TableDailySummary[[#This Row],[Fecha]],SummaryDaily[day],SummaryDaily[Tienda 81_average_order_value],0)</f>
        <v>0</v>
      </c>
      <c r="R872" s="11">
        <f>_xlfn.XLOOKUP(TableDailySummary[[#This Row],[Fecha]],SummaryDaily[day],SummaryDaily[Rappi_net_sales],0)</f>
        <v>0</v>
      </c>
      <c r="S872" s="11">
        <f>_xlfn.XLOOKUP(TableDailySummary[[#This Row],[Fecha]],SummaryDaily[day],SummaryDaily[Rappi_orders],0)</f>
        <v>0</v>
      </c>
      <c r="T872" s="11">
        <f>_xlfn.XLOOKUP(TableDailySummary[[#This Row],[Fecha]],SummaryDaily[day],SummaryDaily[Rappi_average_order_value],0)</f>
        <v>0</v>
      </c>
      <c r="U872" s="11">
        <f>_xlfn.XLOOKUP(TableDailySummary[[#This Row],[Fecha]],SummaryDaily[day],SummaryDaily[Corporativo no tienda_net_sales],0)</f>
        <v>0</v>
      </c>
      <c r="V872" s="11">
        <f>_xlfn.XLOOKUP(TableDailySummary[[#This Row],[Fecha]],SummaryDaily[day],SummaryDaily[Corporativo no tienda_orders],0)</f>
        <v>0</v>
      </c>
      <c r="W872" s="11">
        <f>_xlfn.XLOOKUP(TableDailySummary[[#This Row],[Fecha]],SummaryDaily[day],SummaryDaily[Corporativo no tienda_average_order_value],0)</f>
        <v>0</v>
      </c>
      <c r="X872" s="11">
        <f>_xlfn.XLOOKUP(TableDailySummary[[#This Row],[Fecha]],SummaryDaily[day],SummaryDaily[GoogleAdsOperation.Cost],0)</f>
        <v>0</v>
      </c>
      <c r="Y872" s="11">
        <f>SUMIFS(SalesByUTMDaily[google],SalesByUTMDaily[day],TableDailySummary[[#This Row],[Fecha]])</f>
        <v>0</v>
      </c>
      <c r="Z872" s="11">
        <f>_xlfn.XLOOKUP(TableDailySummary[[#This Row],[Fecha]],SummaryDaily[day],SummaryDaily[MetaAdsOperation.spend],0)</f>
        <v>0</v>
      </c>
      <c r="AA872" s="11">
        <f>SUMIFS(SalesByUTMDaily[facebook],SalesByUTMDaily[day],TableDailySummary[[#This Row],[Fecha]])</f>
        <v>0</v>
      </c>
      <c r="AB872" s="11">
        <f>TableDailySummary[[#This Row],[Inversión google ads]]+TableDailySummary[[#This Row],[Inversión meta ads]]</f>
        <v>0</v>
      </c>
      <c r="AC872" s="11">
        <f>TableDailySummary[[#This Row],[Ventas google ads]]+TableDailySummary[[#This Row],[Ventas meta ads]]</f>
        <v>0</v>
      </c>
      <c r="AD872" s="14">
        <f>IFERROR(TableDailySummary[[#This Row],[Ventas publicidad]]/TableDailySummary[[#This Row],[Inversión publicidad]],0)</f>
        <v>0</v>
      </c>
      <c r="AE872" s="14">
        <f>IFERROR(TableDailySummary[[#This Row],[Ventas primer cliente]]/TableDailySummary[[#This Row],[Inversión publicidad]],0)</f>
        <v>0</v>
      </c>
      <c r="AF872" s="14"/>
      <c r="AG872" s="11"/>
      <c r="AM872" s="11">
        <f>_xlfn.XLOOKUP(TableDailySummary[[#This Row],[Fecha]],SummaryDaily[day],SummaryDaily[net_sales_with_cost_recorded],0)</f>
        <v>0</v>
      </c>
      <c r="AN872" s="11">
        <f>_xlfn.XLOOKUP(TableDailySummary[[#This Row],[Fecha]],SummaryDaily[day],SummaryDaily[cost_of_goods_sold],0)</f>
        <v>0</v>
      </c>
      <c r="AO872" s="11">
        <f>_xlfn.XLOOKUP(TableDailySummary[[#This Row],[Fecha]],SummaryDaily[day],SummaryDaily[gross_profit],0)</f>
        <v>0</v>
      </c>
      <c r="AP872" s="18">
        <f>IFERROR(TableDailySummary[[#This Row],[Utilidad bruta]]/TableDailySummary[[#This Row],[Ventas netas con costo registrado]],0)</f>
        <v>0</v>
      </c>
    </row>
    <row r="873" spans="2:42" x14ac:dyDescent="0.2">
      <c r="B873" s="15" cm="1">
        <f t="array" ref="B873">ParamFechaInicioReporte + (ROW(TableDailySummary[#This Row]) - ROW(TableDailySummary[[#Headers],[Dia]]) - 1)</f>
        <v>45400</v>
      </c>
      <c r="C873" s="6">
        <f>TableDailySummary[[#This Row],[Dia]]</f>
        <v>45400</v>
      </c>
      <c r="D873" s="11">
        <f>_xlfn.XLOOKUP(TableDailySummary[[#This Row],[Fecha]],SummaryDaily[day],SummaryDaily[net_sales],0)</f>
        <v>0</v>
      </c>
      <c r="E873" s="11">
        <f>_xlfn.XLOOKUP(TableDailySummary[[#This Row],[Fecha]],SummaryDaily[day],SummaryDaily[orders],0)</f>
        <v>0</v>
      </c>
      <c r="F873" s="11">
        <f>_xlfn.XLOOKUP(TableDailySummary[[#This Row],[Fecha]],SummaryDaily[day],SummaryDaily[average_order_value],0)</f>
        <v>0</v>
      </c>
      <c r="G873" s="24" cm="1">
        <f t="array" ref="G873">_xlfn.XLOOKUP(TableDailySummary[[#This Row],[Fecha]]&amp;"Total site",ConversionRateByReferral[day]&amp;ConversionRateByReferral[referrer_source],ConversionRateByReferral[conversion_rate],0)</f>
        <v>0</v>
      </c>
      <c r="H873" s="11">
        <f>TableDailySummary[[#This Row],[Órden promedio totales]]*TableDailySummary[[#This Row],[CR totales]]</f>
        <v>0</v>
      </c>
      <c r="I873" s="11">
        <f>_xlfn.XLOOKUP(TableDailySummary[[#This Row],[Fecha]],SummaryDaily[day],SummaryDaily[new_net_sales],0)</f>
        <v>0</v>
      </c>
      <c r="J873" s="11">
        <f>_xlfn.XLOOKUP(TableDailySummary[[#This Row],[Fecha]],SummaryDaily[day],SummaryDaily[new_orders],0)</f>
        <v>0</v>
      </c>
      <c r="K873" s="11">
        <f>_xlfn.XLOOKUP(TableDailySummary[[#This Row],[Fecha]],SummaryDaily[day],SummaryDaily[new_average_order_value],0)</f>
        <v>0</v>
      </c>
      <c r="L873" s="11">
        <f>_xlfn.XLOOKUP(TableDailySummary[[#This Row],[Fecha]],SummaryDaily[day],SummaryDaily[Online Store_net_sales],0)</f>
        <v>0</v>
      </c>
      <c r="M873" s="11">
        <f>_xlfn.XLOOKUP(TableDailySummary[[#This Row],[Fecha]],SummaryDaily[day],SummaryDaily[Online Store_orders],0)</f>
        <v>0</v>
      </c>
      <c r="N873" s="11">
        <f>_xlfn.XLOOKUP(TableDailySummary[[#This Row],[Fecha]],SummaryDaily[day],SummaryDaily[Online Store_average_order_value],0)</f>
        <v>0</v>
      </c>
      <c r="O873" s="11">
        <f>_xlfn.XLOOKUP(TableDailySummary[[#This Row],[Fecha]],SummaryDaily[day],SummaryDaily[Tienda 81_net_sales],0)</f>
        <v>0</v>
      </c>
      <c r="P873" s="11">
        <f>_xlfn.XLOOKUP(TableDailySummary[[#This Row],[Fecha]],SummaryDaily[day],SummaryDaily[Tienda 81_orders],0)</f>
        <v>0</v>
      </c>
      <c r="Q873" s="11">
        <f>_xlfn.XLOOKUP(TableDailySummary[[#This Row],[Fecha]],SummaryDaily[day],SummaryDaily[Tienda 81_average_order_value],0)</f>
        <v>0</v>
      </c>
      <c r="R873" s="11">
        <f>_xlfn.XLOOKUP(TableDailySummary[[#This Row],[Fecha]],SummaryDaily[day],SummaryDaily[Rappi_net_sales],0)</f>
        <v>0</v>
      </c>
      <c r="S873" s="11">
        <f>_xlfn.XLOOKUP(TableDailySummary[[#This Row],[Fecha]],SummaryDaily[day],SummaryDaily[Rappi_orders],0)</f>
        <v>0</v>
      </c>
      <c r="T873" s="11">
        <f>_xlfn.XLOOKUP(TableDailySummary[[#This Row],[Fecha]],SummaryDaily[day],SummaryDaily[Rappi_average_order_value],0)</f>
        <v>0</v>
      </c>
      <c r="U873" s="11">
        <f>_xlfn.XLOOKUP(TableDailySummary[[#This Row],[Fecha]],SummaryDaily[day],SummaryDaily[Corporativo no tienda_net_sales],0)</f>
        <v>0</v>
      </c>
      <c r="V873" s="11">
        <f>_xlfn.XLOOKUP(TableDailySummary[[#This Row],[Fecha]],SummaryDaily[day],SummaryDaily[Corporativo no tienda_orders],0)</f>
        <v>0</v>
      </c>
      <c r="W873" s="11">
        <f>_xlfn.XLOOKUP(TableDailySummary[[#This Row],[Fecha]],SummaryDaily[day],SummaryDaily[Corporativo no tienda_average_order_value],0)</f>
        <v>0</v>
      </c>
      <c r="X873" s="11">
        <f>_xlfn.XLOOKUP(TableDailySummary[[#This Row],[Fecha]],SummaryDaily[day],SummaryDaily[GoogleAdsOperation.Cost],0)</f>
        <v>0</v>
      </c>
      <c r="Y873" s="11">
        <f>SUMIFS(SalesByUTMDaily[google],SalesByUTMDaily[day],TableDailySummary[[#This Row],[Fecha]])</f>
        <v>0</v>
      </c>
      <c r="Z873" s="11">
        <f>_xlfn.XLOOKUP(TableDailySummary[[#This Row],[Fecha]],SummaryDaily[day],SummaryDaily[MetaAdsOperation.spend],0)</f>
        <v>0</v>
      </c>
      <c r="AA873" s="11">
        <f>SUMIFS(SalesByUTMDaily[facebook],SalesByUTMDaily[day],TableDailySummary[[#This Row],[Fecha]])</f>
        <v>0</v>
      </c>
      <c r="AB873" s="11">
        <f>TableDailySummary[[#This Row],[Inversión google ads]]+TableDailySummary[[#This Row],[Inversión meta ads]]</f>
        <v>0</v>
      </c>
      <c r="AC873" s="11">
        <f>TableDailySummary[[#This Row],[Ventas google ads]]+TableDailySummary[[#This Row],[Ventas meta ads]]</f>
        <v>0</v>
      </c>
      <c r="AD873" s="14">
        <f>IFERROR(TableDailySummary[[#This Row],[Ventas publicidad]]/TableDailySummary[[#This Row],[Inversión publicidad]],0)</f>
        <v>0</v>
      </c>
      <c r="AE873" s="14">
        <f>IFERROR(TableDailySummary[[#This Row],[Ventas primer cliente]]/TableDailySummary[[#This Row],[Inversión publicidad]],0)</f>
        <v>0</v>
      </c>
      <c r="AF873" s="14"/>
      <c r="AG873" s="11"/>
      <c r="AM873" s="11">
        <f>_xlfn.XLOOKUP(TableDailySummary[[#This Row],[Fecha]],SummaryDaily[day],SummaryDaily[net_sales_with_cost_recorded],0)</f>
        <v>0</v>
      </c>
      <c r="AN873" s="11">
        <f>_xlfn.XLOOKUP(TableDailySummary[[#This Row],[Fecha]],SummaryDaily[day],SummaryDaily[cost_of_goods_sold],0)</f>
        <v>0</v>
      </c>
      <c r="AO873" s="11">
        <f>_xlfn.XLOOKUP(TableDailySummary[[#This Row],[Fecha]],SummaryDaily[day],SummaryDaily[gross_profit],0)</f>
        <v>0</v>
      </c>
      <c r="AP873" s="18">
        <f>IFERROR(TableDailySummary[[#This Row],[Utilidad bruta]]/TableDailySummary[[#This Row],[Ventas netas con costo registrado]],0)</f>
        <v>0</v>
      </c>
    </row>
    <row r="874" spans="2:42" x14ac:dyDescent="0.2">
      <c r="B874" s="15" cm="1">
        <f t="array" ref="B874">ParamFechaInicioReporte + (ROW(TableDailySummary[#This Row]) - ROW(TableDailySummary[[#Headers],[Dia]]) - 1)</f>
        <v>45401</v>
      </c>
      <c r="C874" s="6">
        <f>TableDailySummary[[#This Row],[Dia]]</f>
        <v>45401</v>
      </c>
      <c r="D874" s="11">
        <f>_xlfn.XLOOKUP(TableDailySummary[[#This Row],[Fecha]],SummaryDaily[day],SummaryDaily[net_sales],0)</f>
        <v>0</v>
      </c>
      <c r="E874" s="11">
        <f>_xlfn.XLOOKUP(TableDailySummary[[#This Row],[Fecha]],SummaryDaily[day],SummaryDaily[orders],0)</f>
        <v>0</v>
      </c>
      <c r="F874" s="11">
        <f>_xlfn.XLOOKUP(TableDailySummary[[#This Row],[Fecha]],SummaryDaily[day],SummaryDaily[average_order_value],0)</f>
        <v>0</v>
      </c>
      <c r="G874" s="24" cm="1">
        <f t="array" ref="G874">_xlfn.XLOOKUP(TableDailySummary[[#This Row],[Fecha]]&amp;"Total site",ConversionRateByReferral[day]&amp;ConversionRateByReferral[referrer_source],ConversionRateByReferral[conversion_rate],0)</f>
        <v>0</v>
      </c>
      <c r="H874" s="11">
        <f>TableDailySummary[[#This Row],[Órden promedio totales]]*TableDailySummary[[#This Row],[CR totales]]</f>
        <v>0</v>
      </c>
      <c r="I874" s="11">
        <f>_xlfn.XLOOKUP(TableDailySummary[[#This Row],[Fecha]],SummaryDaily[day],SummaryDaily[new_net_sales],0)</f>
        <v>0</v>
      </c>
      <c r="J874" s="11">
        <f>_xlfn.XLOOKUP(TableDailySummary[[#This Row],[Fecha]],SummaryDaily[day],SummaryDaily[new_orders],0)</f>
        <v>0</v>
      </c>
      <c r="K874" s="11">
        <f>_xlfn.XLOOKUP(TableDailySummary[[#This Row],[Fecha]],SummaryDaily[day],SummaryDaily[new_average_order_value],0)</f>
        <v>0</v>
      </c>
      <c r="L874" s="11">
        <f>_xlfn.XLOOKUP(TableDailySummary[[#This Row],[Fecha]],SummaryDaily[day],SummaryDaily[Online Store_net_sales],0)</f>
        <v>0</v>
      </c>
      <c r="M874" s="11">
        <f>_xlfn.XLOOKUP(TableDailySummary[[#This Row],[Fecha]],SummaryDaily[day],SummaryDaily[Online Store_orders],0)</f>
        <v>0</v>
      </c>
      <c r="N874" s="11">
        <f>_xlfn.XLOOKUP(TableDailySummary[[#This Row],[Fecha]],SummaryDaily[day],SummaryDaily[Online Store_average_order_value],0)</f>
        <v>0</v>
      </c>
      <c r="O874" s="11">
        <f>_xlfn.XLOOKUP(TableDailySummary[[#This Row],[Fecha]],SummaryDaily[day],SummaryDaily[Tienda 81_net_sales],0)</f>
        <v>0</v>
      </c>
      <c r="P874" s="11">
        <f>_xlfn.XLOOKUP(TableDailySummary[[#This Row],[Fecha]],SummaryDaily[day],SummaryDaily[Tienda 81_orders],0)</f>
        <v>0</v>
      </c>
      <c r="Q874" s="11">
        <f>_xlfn.XLOOKUP(TableDailySummary[[#This Row],[Fecha]],SummaryDaily[day],SummaryDaily[Tienda 81_average_order_value],0)</f>
        <v>0</v>
      </c>
      <c r="R874" s="11">
        <f>_xlfn.XLOOKUP(TableDailySummary[[#This Row],[Fecha]],SummaryDaily[day],SummaryDaily[Rappi_net_sales],0)</f>
        <v>0</v>
      </c>
      <c r="S874" s="11">
        <f>_xlfn.XLOOKUP(TableDailySummary[[#This Row],[Fecha]],SummaryDaily[day],SummaryDaily[Rappi_orders],0)</f>
        <v>0</v>
      </c>
      <c r="T874" s="11">
        <f>_xlfn.XLOOKUP(TableDailySummary[[#This Row],[Fecha]],SummaryDaily[day],SummaryDaily[Rappi_average_order_value],0)</f>
        <v>0</v>
      </c>
      <c r="U874" s="11">
        <f>_xlfn.XLOOKUP(TableDailySummary[[#This Row],[Fecha]],SummaryDaily[day],SummaryDaily[Corporativo no tienda_net_sales],0)</f>
        <v>0</v>
      </c>
      <c r="V874" s="11">
        <f>_xlfn.XLOOKUP(TableDailySummary[[#This Row],[Fecha]],SummaryDaily[day],SummaryDaily[Corporativo no tienda_orders],0)</f>
        <v>0</v>
      </c>
      <c r="W874" s="11">
        <f>_xlfn.XLOOKUP(TableDailySummary[[#This Row],[Fecha]],SummaryDaily[day],SummaryDaily[Corporativo no tienda_average_order_value],0)</f>
        <v>0</v>
      </c>
      <c r="X874" s="11">
        <f>_xlfn.XLOOKUP(TableDailySummary[[#This Row],[Fecha]],SummaryDaily[day],SummaryDaily[GoogleAdsOperation.Cost],0)</f>
        <v>0</v>
      </c>
      <c r="Y874" s="11">
        <f>SUMIFS(SalesByUTMDaily[google],SalesByUTMDaily[day],TableDailySummary[[#This Row],[Fecha]])</f>
        <v>0</v>
      </c>
      <c r="Z874" s="11">
        <f>_xlfn.XLOOKUP(TableDailySummary[[#This Row],[Fecha]],SummaryDaily[day],SummaryDaily[MetaAdsOperation.spend],0)</f>
        <v>0</v>
      </c>
      <c r="AA874" s="11">
        <f>SUMIFS(SalesByUTMDaily[facebook],SalesByUTMDaily[day],TableDailySummary[[#This Row],[Fecha]])</f>
        <v>0</v>
      </c>
      <c r="AB874" s="11">
        <f>TableDailySummary[[#This Row],[Inversión google ads]]+TableDailySummary[[#This Row],[Inversión meta ads]]</f>
        <v>0</v>
      </c>
      <c r="AC874" s="11">
        <f>TableDailySummary[[#This Row],[Ventas google ads]]+TableDailySummary[[#This Row],[Ventas meta ads]]</f>
        <v>0</v>
      </c>
      <c r="AD874" s="14">
        <f>IFERROR(TableDailySummary[[#This Row],[Ventas publicidad]]/TableDailySummary[[#This Row],[Inversión publicidad]],0)</f>
        <v>0</v>
      </c>
      <c r="AE874" s="14">
        <f>IFERROR(TableDailySummary[[#This Row],[Ventas primer cliente]]/TableDailySummary[[#This Row],[Inversión publicidad]],0)</f>
        <v>0</v>
      </c>
      <c r="AF874" s="14"/>
      <c r="AG874" s="11"/>
      <c r="AM874" s="11">
        <f>_xlfn.XLOOKUP(TableDailySummary[[#This Row],[Fecha]],SummaryDaily[day],SummaryDaily[net_sales_with_cost_recorded],0)</f>
        <v>0</v>
      </c>
      <c r="AN874" s="11">
        <f>_xlfn.XLOOKUP(TableDailySummary[[#This Row],[Fecha]],SummaryDaily[day],SummaryDaily[cost_of_goods_sold],0)</f>
        <v>0</v>
      </c>
      <c r="AO874" s="11">
        <f>_xlfn.XLOOKUP(TableDailySummary[[#This Row],[Fecha]],SummaryDaily[day],SummaryDaily[gross_profit],0)</f>
        <v>0</v>
      </c>
      <c r="AP874" s="18">
        <f>IFERROR(TableDailySummary[[#This Row],[Utilidad bruta]]/TableDailySummary[[#This Row],[Ventas netas con costo registrado]],0)</f>
        <v>0</v>
      </c>
    </row>
    <row r="875" spans="2:42" x14ac:dyDescent="0.2">
      <c r="B875" s="15" cm="1">
        <f t="array" ref="B875">ParamFechaInicioReporte + (ROW(TableDailySummary[#This Row]) - ROW(TableDailySummary[[#Headers],[Dia]]) - 1)</f>
        <v>45402</v>
      </c>
      <c r="C875" s="6">
        <f>TableDailySummary[[#This Row],[Dia]]</f>
        <v>45402</v>
      </c>
      <c r="D875" s="11">
        <f>_xlfn.XLOOKUP(TableDailySummary[[#This Row],[Fecha]],SummaryDaily[day],SummaryDaily[net_sales],0)</f>
        <v>0</v>
      </c>
      <c r="E875" s="11">
        <f>_xlfn.XLOOKUP(TableDailySummary[[#This Row],[Fecha]],SummaryDaily[day],SummaryDaily[orders],0)</f>
        <v>0</v>
      </c>
      <c r="F875" s="11">
        <f>_xlfn.XLOOKUP(TableDailySummary[[#This Row],[Fecha]],SummaryDaily[day],SummaryDaily[average_order_value],0)</f>
        <v>0</v>
      </c>
      <c r="G875" s="24" cm="1">
        <f t="array" ref="G875">_xlfn.XLOOKUP(TableDailySummary[[#This Row],[Fecha]]&amp;"Total site",ConversionRateByReferral[day]&amp;ConversionRateByReferral[referrer_source],ConversionRateByReferral[conversion_rate],0)</f>
        <v>0</v>
      </c>
      <c r="H875" s="11">
        <f>TableDailySummary[[#This Row],[Órden promedio totales]]*TableDailySummary[[#This Row],[CR totales]]</f>
        <v>0</v>
      </c>
      <c r="I875" s="11">
        <f>_xlfn.XLOOKUP(TableDailySummary[[#This Row],[Fecha]],SummaryDaily[day],SummaryDaily[new_net_sales],0)</f>
        <v>0</v>
      </c>
      <c r="J875" s="11">
        <f>_xlfn.XLOOKUP(TableDailySummary[[#This Row],[Fecha]],SummaryDaily[day],SummaryDaily[new_orders],0)</f>
        <v>0</v>
      </c>
      <c r="K875" s="11">
        <f>_xlfn.XLOOKUP(TableDailySummary[[#This Row],[Fecha]],SummaryDaily[day],SummaryDaily[new_average_order_value],0)</f>
        <v>0</v>
      </c>
      <c r="L875" s="11">
        <f>_xlfn.XLOOKUP(TableDailySummary[[#This Row],[Fecha]],SummaryDaily[day],SummaryDaily[Online Store_net_sales],0)</f>
        <v>0</v>
      </c>
      <c r="M875" s="11">
        <f>_xlfn.XLOOKUP(TableDailySummary[[#This Row],[Fecha]],SummaryDaily[day],SummaryDaily[Online Store_orders],0)</f>
        <v>0</v>
      </c>
      <c r="N875" s="11">
        <f>_xlfn.XLOOKUP(TableDailySummary[[#This Row],[Fecha]],SummaryDaily[day],SummaryDaily[Online Store_average_order_value],0)</f>
        <v>0</v>
      </c>
      <c r="O875" s="11">
        <f>_xlfn.XLOOKUP(TableDailySummary[[#This Row],[Fecha]],SummaryDaily[day],SummaryDaily[Tienda 81_net_sales],0)</f>
        <v>0</v>
      </c>
      <c r="P875" s="11">
        <f>_xlfn.XLOOKUP(TableDailySummary[[#This Row],[Fecha]],SummaryDaily[day],SummaryDaily[Tienda 81_orders],0)</f>
        <v>0</v>
      </c>
      <c r="Q875" s="11">
        <f>_xlfn.XLOOKUP(TableDailySummary[[#This Row],[Fecha]],SummaryDaily[day],SummaryDaily[Tienda 81_average_order_value],0)</f>
        <v>0</v>
      </c>
      <c r="R875" s="11">
        <f>_xlfn.XLOOKUP(TableDailySummary[[#This Row],[Fecha]],SummaryDaily[day],SummaryDaily[Rappi_net_sales],0)</f>
        <v>0</v>
      </c>
      <c r="S875" s="11">
        <f>_xlfn.XLOOKUP(TableDailySummary[[#This Row],[Fecha]],SummaryDaily[day],SummaryDaily[Rappi_orders],0)</f>
        <v>0</v>
      </c>
      <c r="T875" s="11">
        <f>_xlfn.XLOOKUP(TableDailySummary[[#This Row],[Fecha]],SummaryDaily[day],SummaryDaily[Rappi_average_order_value],0)</f>
        <v>0</v>
      </c>
      <c r="U875" s="11">
        <f>_xlfn.XLOOKUP(TableDailySummary[[#This Row],[Fecha]],SummaryDaily[day],SummaryDaily[Corporativo no tienda_net_sales],0)</f>
        <v>0</v>
      </c>
      <c r="V875" s="11">
        <f>_xlfn.XLOOKUP(TableDailySummary[[#This Row],[Fecha]],SummaryDaily[day],SummaryDaily[Corporativo no tienda_orders],0)</f>
        <v>0</v>
      </c>
      <c r="W875" s="11">
        <f>_xlfn.XLOOKUP(TableDailySummary[[#This Row],[Fecha]],SummaryDaily[day],SummaryDaily[Corporativo no tienda_average_order_value],0)</f>
        <v>0</v>
      </c>
      <c r="X875" s="11">
        <f>_xlfn.XLOOKUP(TableDailySummary[[#This Row],[Fecha]],SummaryDaily[day],SummaryDaily[GoogleAdsOperation.Cost],0)</f>
        <v>0</v>
      </c>
      <c r="Y875" s="11">
        <f>SUMIFS(SalesByUTMDaily[google],SalesByUTMDaily[day],TableDailySummary[[#This Row],[Fecha]])</f>
        <v>0</v>
      </c>
      <c r="Z875" s="11">
        <f>_xlfn.XLOOKUP(TableDailySummary[[#This Row],[Fecha]],SummaryDaily[day],SummaryDaily[MetaAdsOperation.spend],0)</f>
        <v>0</v>
      </c>
      <c r="AA875" s="11">
        <f>SUMIFS(SalesByUTMDaily[facebook],SalesByUTMDaily[day],TableDailySummary[[#This Row],[Fecha]])</f>
        <v>0</v>
      </c>
      <c r="AB875" s="11">
        <f>TableDailySummary[[#This Row],[Inversión google ads]]+TableDailySummary[[#This Row],[Inversión meta ads]]</f>
        <v>0</v>
      </c>
      <c r="AC875" s="11">
        <f>TableDailySummary[[#This Row],[Ventas google ads]]+TableDailySummary[[#This Row],[Ventas meta ads]]</f>
        <v>0</v>
      </c>
      <c r="AD875" s="14">
        <f>IFERROR(TableDailySummary[[#This Row],[Ventas publicidad]]/TableDailySummary[[#This Row],[Inversión publicidad]],0)</f>
        <v>0</v>
      </c>
      <c r="AE875" s="14">
        <f>IFERROR(TableDailySummary[[#This Row],[Ventas primer cliente]]/TableDailySummary[[#This Row],[Inversión publicidad]],0)</f>
        <v>0</v>
      </c>
      <c r="AF875" s="14"/>
      <c r="AG875" s="11"/>
      <c r="AM875" s="11">
        <f>_xlfn.XLOOKUP(TableDailySummary[[#This Row],[Fecha]],SummaryDaily[day],SummaryDaily[net_sales_with_cost_recorded],0)</f>
        <v>0</v>
      </c>
      <c r="AN875" s="11">
        <f>_xlfn.XLOOKUP(TableDailySummary[[#This Row],[Fecha]],SummaryDaily[day],SummaryDaily[cost_of_goods_sold],0)</f>
        <v>0</v>
      </c>
      <c r="AO875" s="11">
        <f>_xlfn.XLOOKUP(TableDailySummary[[#This Row],[Fecha]],SummaryDaily[day],SummaryDaily[gross_profit],0)</f>
        <v>0</v>
      </c>
      <c r="AP875" s="18">
        <f>IFERROR(TableDailySummary[[#This Row],[Utilidad bruta]]/TableDailySummary[[#This Row],[Ventas netas con costo registrado]],0)</f>
        <v>0</v>
      </c>
    </row>
    <row r="876" spans="2:42" x14ac:dyDescent="0.2">
      <c r="B876" s="15" cm="1">
        <f t="array" ref="B876">ParamFechaInicioReporte + (ROW(TableDailySummary[#This Row]) - ROW(TableDailySummary[[#Headers],[Dia]]) - 1)</f>
        <v>45403</v>
      </c>
      <c r="C876" s="6">
        <f>TableDailySummary[[#This Row],[Dia]]</f>
        <v>45403</v>
      </c>
      <c r="D876" s="11">
        <f>_xlfn.XLOOKUP(TableDailySummary[[#This Row],[Fecha]],SummaryDaily[day],SummaryDaily[net_sales],0)</f>
        <v>0</v>
      </c>
      <c r="E876" s="11">
        <f>_xlfn.XLOOKUP(TableDailySummary[[#This Row],[Fecha]],SummaryDaily[day],SummaryDaily[orders],0)</f>
        <v>0</v>
      </c>
      <c r="F876" s="11">
        <f>_xlfn.XLOOKUP(TableDailySummary[[#This Row],[Fecha]],SummaryDaily[day],SummaryDaily[average_order_value],0)</f>
        <v>0</v>
      </c>
      <c r="G876" s="24" cm="1">
        <f t="array" ref="G876">_xlfn.XLOOKUP(TableDailySummary[[#This Row],[Fecha]]&amp;"Total site",ConversionRateByReferral[day]&amp;ConversionRateByReferral[referrer_source],ConversionRateByReferral[conversion_rate],0)</f>
        <v>0</v>
      </c>
      <c r="H876" s="11">
        <f>TableDailySummary[[#This Row],[Órden promedio totales]]*TableDailySummary[[#This Row],[CR totales]]</f>
        <v>0</v>
      </c>
      <c r="I876" s="11">
        <f>_xlfn.XLOOKUP(TableDailySummary[[#This Row],[Fecha]],SummaryDaily[day],SummaryDaily[new_net_sales],0)</f>
        <v>0</v>
      </c>
      <c r="J876" s="11">
        <f>_xlfn.XLOOKUP(TableDailySummary[[#This Row],[Fecha]],SummaryDaily[day],SummaryDaily[new_orders],0)</f>
        <v>0</v>
      </c>
      <c r="K876" s="11">
        <f>_xlfn.XLOOKUP(TableDailySummary[[#This Row],[Fecha]],SummaryDaily[day],SummaryDaily[new_average_order_value],0)</f>
        <v>0</v>
      </c>
      <c r="L876" s="11">
        <f>_xlfn.XLOOKUP(TableDailySummary[[#This Row],[Fecha]],SummaryDaily[day],SummaryDaily[Online Store_net_sales],0)</f>
        <v>0</v>
      </c>
      <c r="M876" s="11">
        <f>_xlfn.XLOOKUP(TableDailySummary[[#This Row],[Fecha]],SummaryDaily[day],SummaryDaily[Online Store_orders],0)</f>
        <v>0</v>
      </c>
      <c r="N876" s="11">
        <f>_xlfn.XLOOKUP(TableDailySummary[[#This Row],[Fecha]],SummaryDaily[day],SummaryDaily[Online Store_average_order_value],0)</f>
        <v>0</v>
      </c>
      <c r="O876" s="11">
        <f>_xlfn.XLOOKUP(TableDailySummary[[#This Row],[Fecha]],SummaryDaily[day],SummaryDaily[Tienda 81_net_sales],0)</f>
        <v>0</v>
      </c>
      <c r="P876" s="11">
        <f>_xlfn.XLOOKUP(TableDailySummary[[#This Row],[Fecha]],SummaryDaily[day],SummaryDaily[Tienda 81_orders],0)</f>
        <v>0</v>
      </c>
      <c r="Q876" s="11">
        <f>_xlfn.XLOOKUP(TableDailySummary[[#This Row],[Fecha]],SummaryDaily[day],SummaryDaily[Tienda 81_average_order_value],0)</f>
        <v>0</v>
      </c>
      <c r="R876" s="11">
        <f>_xlfn.XLOOKUP(TableDailySummary[[#This Row],[Fecha]],SummaryDaily[day],SummaryDaily[Rappi_net_sales],0)</f>
        <v>0</v>
      </c>
      <c r="S876" s="11">
        <f>_xlfn.XLOOKUP(TableDailySummary[[#This Row],[Fecha]],SummaryDaily[day],SummaryDaily[Rappi_orders],0)</f>
        <v>0</v>
      </c>
      <c r="T876" s="11">
        <f>_xlfn.XLOOKUP(TableDailySummary[[#This Row],[Fecha]],SummaryDaily[day],SummaryDaily[Rappi_average_order_value],0)</f>
        <v>0</v>
      </c>
      <c r="U876" s="11">
        <f>_xlfn.XLOOKUP(TableDailySummary[[#This Row],[Fecha]],SummaryDaily[day],SummaryDaily[Corporativo no tienda_net_sales],0)</f>
        <v>0</v>
      </c>
      <c r="V876" s="11">
        <f>_xlfn.XLOOKUP(TableDailySummary[[#This Row],[Fecha]],SummaryDaily[day],SummaryDaily[Corporativo no tienda_orders],0)</f>
        <v>0</v>
      </c>
      <c r="W876" s="11">
        <f>_xlfn.XLOOKUP(TableDailySummary[[#This Row],[Fecha]],SummaryDaily[day],SummaryDaily[Corporativo no tienda_average_order_value],0)</f>
        <v>0</v>
      </c>
      <c r="X876" s="11">
        <f>_xlfn.XLOOKUP(TableDailySummary[[#This Row],[Fecha]],SummaryDaily[day],SummaryDaily[GoogleAdsOperation.Cost],0)</f>
        <v>0</v>
      </c>
      <c r="Y876" s="11">
        <f>SUMIFS(SalesByUTMDaily[google],SalesByUTMDaily[day],TableDailySummary[[#This Row],[Fecha]])</f>
        <v>0</v>
      </c>
      <c r="Z876" s="11">
        <f>_xlfn.XLOOKUP(TableDailySummary[[#This Row],[Fecha]],SummaryDaily[day],SummaryDaily[MetaAdsOperation.spend],0)</f>
        <v>0</v>
      </c>
      <c r="AA876" s="11">
        <f>SUMIFS(SalesByUTMDaily[facebook],SalesByUTMDaily[day],TableDailySummary[[#This Row],[Fecha]])</f>
        <v>0</v>
      </c>
      <c r="AB876" s="11">
        <f>TableDailySummary[[#This Row],[Inversión google ads]]+TableDailySummary[[#This Row],[Inversión meta ads]]</f>
        <v>0</v>
      </c>
      <c r="AC876" s="11">
        <f>TableDailySummary[[#This Row],[Ventas google ads]]+TableDailySummary[[#This Row],[Ventas meta ads]]</f>
        <v>0</v>
      </c>
      <c r="AD876" s="14">
        <f>IFERROR(TableDailySummary[[#This Row],[Ventas publicidad]]/TableDailySummary[[#This Row],[Inversión publicidad]],0)</f>
        <v>0</v>
      </c>
      <c r="AE876" s="14">
        <f>IFERROR(TableDailySummary[[#This Row],[Ventas primer cliente]]/TableDailySummary[[#This Row],[Inversión publicidad]],0)</f>
        <v>0</v>
      </c>
      <c r="AF876" s="14"/>
      <c r="AG876" s="11"/>
      <c r="AM876" s="11">
        <f>_xlfn.XLOOKUP(TableDailySummary[[#This Row],[Fecha]],SummaryDaily[day],SummaryDaily[net_sales_with_cost_recorded],0)</f>
        <v>0</v>
      </c>
      <c r="AN876" s="11">
        <f>_xlfn.XLOOKUP(TableDailySummary[[#This Row],[Fecha]],SummaryDaily[day],SummaryDaily[cost_of_goods_sold],0)</f>
        <v>0</v>
      </c>
      <c r="AO876" s="11">
        <f>_xlfn.XLOOKUP(TableDailySummary[[#This Row],[Fecha]],SummaryDaily[day],SummaryDaily[gross_profit],0)</f>
        <v>0</v>
      </c>
      <c r="AP876" s="18">
        <f>IFERROR(TableDailySummary[[#This Row],[Utilidad bruta]]/TableDailySummary[[#This Row],[Ventas netas con costo registrado]],0)</f>
        <v>0</v>
      </c>
    </row>
    <row r="877" spans="2:42" x14ac:dyDescent="0.2">
      <c r="B877" s="15" cm="1">
        <f t="array" ref="B877">ParamFechaInicioReporte + (ROW(TableDailySummary[#This Row]) - ROW(TableDailySummary[[#Headers],[Dia]]) - 1)</f>
        <v>45404</v>
      </c>
      <c r="C877" s="6">
        <f>TableDailySummary[[#This Row],[Dia]]</f>
        <v>45404</v>
      </c>
      <c r="D877" s="11">
        <f>_xlfn.XLOOKUP(TableDailySummary[[#This Row],[Fecha]],SummaryDaily[day],SummaryDaily[net_sales],0)</f>
        <v>0</v>
      </c>
      <c r="E877" s="11">
        <f>_xlfn.XLOOKUP(TableDailySummary[[#This Row],[Fecha]],SummaryDaily[day],SummaryDaily[orders],0)</f>
        <v>0</v>
      </c>
      <c r="F877" s="11">
        <f>_xlfn.XLOOKUP(TableDailySummary[[#This Row],[Fecha]],SummaryDaily[day],SummaryDaily[average_order_value],0)</f>
        <v>0</v>
      </c>
      <c r="G877" s="24" cm="1">
        <f t="array" ref="G877">_xlfn.XLOOKUP(TableDailySummary[[#This Row],[Fecha]]&amp;"Total site",ConversionRateByReferral[day]&amp;ConversionRateByReferral[referrer_source],ConversionRateByReferral[conversion_rate],0)</f>
        <v>0</v>
      </c>
      <c r="H877" s="11">
        <f>TableDailySummary[[#This Row],[Órden promedio totales]]*TableDailySummary[[#This Row],[CR totales]]</f>
        <v>0</v>
      </c>
      <c r="I877" s="11">
        <f>_xlfn.XLOOKUP(TableDailySummary[[#This Row],[Fecha]],SummaryDaily[day],SummaryDaily[new_net_sales],0)</f>
        <v>0</v>
      </c>
      <c r="J877" s="11">
        <f>_xlfn.XLOOKUP(TableDailySummary[[#This Row],[Fecha]],SummaryDaily[day],SummaryDaily[new_orders],0)</f>
        <v>0</v>
      </c>
      <c r="K877" s="11">
        <f>_xlfn.XLOOKUP(TableDailySummary[[#This Row],[Fecha]],SummaryDaily[day],SummaryDaily[new_average_order_value],0)</f>
        <v>0</v>
      </c>
      <c r="L877" s="11">
        <f>_xlfn.XLOOKUP(TableDailySummary[[#This Row],[Fecha]],SummaryDaily[day],SummaryDaily[Online Store_net_sales],0)</f>
        <v>0</v>
      </c>
      <c r="M877" s="11">
        <f>_xlfn.XLOOKUP(TableDailySummary[[#This Row],[Fecha]],SummaryDaily[day],SummaryDaily[Online Store_orders],0)</f>
        <v>0</v>
      </c>
      <c r="N877" s="11">
        <f>_xlfn.XLOOKUP(TableDailySummary[[#This Row],[Fecha]],SummaryDaily[day],SummaryDaily[Online Store_average_order_value],0)</f>
        <v>0</v>
      </c>
      <c r="O877" s="11">
        <f>_xlfn.XLOOKUP(TableDailySummary[[#This Row],[Fecha]],SummaryDaily[day],SummaryDaily[Tienda 81_net_sales],0)</f>
        <v>0</v>
      </c>
      <c r="P877" s="11">
        <f>_xlfn.XLOOKUP(TableDailySummary[[#This Row],[Fecha]],SummaryDaily[day],SummaryDaily[Tienda 81_orders],0)</f>
        <v>0</v>
      </c>
      <c r="Q877" s="11">
        <f>_xlfn.XLOOKUP(TableDailySummary[[#This Row],[Fecha]],SummaryDaily[day],SummaryDaily[Tienda 81_average_order_value],0)</f>
        <v>0</v>
      </c>
      <c r="R877" s="11">
        <f>_xlfn.XLOOKUP(TableDailySummary[[#This Row],[Fecha]],SummaryDaily[day],SummaryDaily[Rappi_net_sales],0)</f>
        <v>0</v>
      </c>
      <c r="S877" s="11">
        <f>_xlfn.XLOOKUP(TableDailySummary[[#This Row],[Fecha]],SummaryDaily[day],SummaryDaily[Rappi_orders],0)</f>
        <v>0</v>
      </c>
      <c r="T877" s="11">
        <f>_xlfn.XLOOKUP(TableDailySummary[[#This Row],[Fecha]],SummaryDaily[day],SummaryDaily[Rappi_average_order_value],0)</f>
        <v>0</v>
      </c>
      <c r="U877" s="11">
        <f>_xlfn.XLOOKUP(TableDailySummary[[#This Row],[Fecha]],SummaryDaily[day],SummaryDaily[Corporativo no tienda_net_sales],0)</f>
        <v>0</v>
      </c>
      <c r="V877" s="11">
        <f>_xlfn.XLOOKUP(TableDailySummary[[#This Row],[Fecha]],SummaryDaily[day],SummaryDaily[Corporativo no tienda_orders],0)</f>
        <v>0</v>
      </c>
      <c r="W877" s="11">
        <f>_xlfn.XLOOKUP(TableDailySummary[[#This Row],[Fecha]],SummaryDaily[day],SummaryDaily[Corporativo no tienda_average_order_value],0)</f>
        <v>0</v>
      </c>
      <c r="X877" s="11">
        <f>_xlfn.XLOOKUP(TableDailySummary[[#This Row],[Fecha]],SummaryDaily[day],SummaryDaily[GoogleAdsOperation.Cost],0)</f>
        <v>0</v>
      </c>
      <c r="Y877" s="11">
        <f>SUMIFS(SalesByUTMDaily[google],SalesByUTMDaily[day],TableDailySummary[[#This Row],[Fecha]])</f>
        <v>0</v>
      </c>
      <c r="Z877" s="11">
        <f>_xlfn.XLOOKUP(TableDailySummary[[#This Row],[Fecha]],SummaryDaily[day],SummaryDaily[MetaAdsOperation.spend],0)</f>
        <v>0</v>
      </c>
      <c r="AA877" s="11">
        <f>SUMIFS(SalesByUTMDaily[facebook],SalesByUTMDaily[day],TableDailySummary[[#This Row],[Fecha]])</f>
        <v>0</v>
      </c>
      <c r="AB877" s="11">
        <f>TableDailySummary[[#This Row],[Inversión google ads]]+TableDailySummary[[#This Row],[Inversión meta ads]]</f>
        <v>0</v>
      </c>
      <c r="AC877" s="11">
        <f>TableDailySummary[[#This Row],[Ventas google ads]]+TableDailySummary[[#This Row],[Ventas meta ads]]</f>
        <v>0</v>
      </c>
      <c r="AD877" s="14">
        <f>IFERROR(TableDailySummary[[#This Row],[Ventas publicidad]]/TableDailySummary[[#This Row],[Inversión publicidad]],0)</f>
        <v>0</v>
      </c>
      <c r="AE877" s="14">
        <f>IFERROR(TableDailySummary[[#This Row],[Ventas primer cliente]]/TableDailySummary[[#This Row],[Inversión publicidad]],0)</f>
        <v>0</v>
      </c>
      <c r="AF877" s="14"/>
      <c r="AG877" s="11"/>
      <c r="AM877" s="11">
        <f>_xlfn.XLOOKUP(TableDailySummary[[#This Row],[Fecha]],SummaryDaily[day],SummaryDaily[net_sales_with_cost_recorded],0)</f>
        <v>0</v>
      </c>
      <c r="AN877" s="11">
        <f>_xlfn.XLOOKUP(TableDailySummary[[#This Row],[Fecha]],SummaryDaily[day],SummaryDaily[cost_of_goods_sold],0)</f>
        <v>0</v>
      </c>
      <c r="AO877" s="11">
        <f>_xlfn.XLOOKUP(TableDailySummary[[#This Row],[Fecha]],SummaryDaily[day],SummaryDaily[gross_profit],0)</f>
        <v>0</v>
      </c>
      <c r="AP877" s="18">
        <f>IFERROR(TableDailySummary[[#This Row],[Utilidad bruta]]/TableDailySummary[[#This Row],[Ventas netas con costo registrado]],0)</f>
        <v>0</v>
      </c>
    </row>
    <row r="878" spans="2:42" x14ac:dyDescent="0.2">
      <c r="B878" s="15" cm="1">
        <f t="array" ref="B878">ParamFechaInicioReporte + (ROW(TableDailySummary[#This Row]) - ROW(TableDailySummary[[#Headers],[Dia]]) - 1)</f>
        <v>45405</v>
      </c>
      <c r="C878" s="6">
        <f>TableDailySummary[[#This Row],[Dia]]</f>
        <v>45405</v>
      </c>
      <c r="D878" s="11">
        <f>_xlfn.XLOOKUP(TableDailySummary[[#This Row],[Fecha]],SummaryDaily[day],SummaryDaily[net_sales],0)</f>
        <v>0</v>
      </c>
      <c r="E878" s="11">
        <f>_xlfn.XLOOKUP(TableDailySummary[[#This Row],[Fecha]],SummaryDaily[day],SummaryDaily[orders],0)</f>
        <v>0</v>
      </c>
      <c r="F878" s="11">
        <f>_xlfn.XLOOKUP(TableDailySummary[[#This Row],[Fecha]],SummaryDaily[day],SummaryDaily[average_order_value],0)</f>
        <v>0</v>
      </c>
      <c r="G878" s="24" cm="1">
        <f t="array" ref="G878">_xlfn.XLOOKUP(TableDailySummary[[#This Row],[Fecha]]&amp;"Total site",ConversionRateByReferral[day]&amp;ConversionRateByReferral[referrer_source],ConversionRateByReferral[conversion_rate],0)</f>
        <v>0</v>
      </c>
      <c r="H878" s="11">
        <f>TableDailySummary[[#This Row],[Órden promedio totales]]*TableDailySummary[[#This Row],[CR totales]]</f>
        <v>0</v>
      </c>
      <c r="I878" s="11">
        <f>_xlfn.XLOOKUP(TableDailySummary[[#This Row],[Fecha]],SummaryDaily[day],SummaryDaily[new_net_sales],0)</f>
        <v>0</v>
      </c>
      <c r="J878" s="11">
        <f>_xlfn.XLOOKUP(TableDailySummary[[#This Row],[Fecha]],SummaryDaily[day],SummaryDaily[new_orders],0)</f>
        <v>0</v>
      </c>
      <c r="K878" s="11">
        <f>_xlfn.XLOOKUP(TableDailySummary[[#This Row],[Fecha]],SummaryDaily[day],SummaryDaily[new_average_order_value],0)</f>
        <v>0</v>
      </c>
      <c r="L878" s="11">
        <f>_xlfn.XLOOKUP(TableDailySummary[[#This Row],[Fecha]],SummaryDaily[day],SummaryDaily[Online Store_net_sales],0)</f>
        <v>0</v>
      </c>
      <c r="M878" s="11">
        <f>_xlfn.XLOOKUP(TableDailySummary[[#This Row],[Fecha]],SummaryDaily[day],SummaryDaily[Online Store_orders],0)</f>
        <v>0</v>
      </c>
      <c r="N878" s="11">
        <f>_xlfn.XLOOKUP(TableDailySummary[[#This Row],[Fecha]],SummaryDaily[day],SummaryDaily[Online Store_average_order_value],0)</f>
        <v>0</v>
      </c>
      <c r="O878" s="11">
        <f>_xlfn.XLOOKUP(TableDailySummary[[#This Row],[Fecha]],SummaryDaily[day],SummaryDaily[Tienda 81_net_sales],0)</f>
        <v>0</v>
      </c>
      <c r="P878" s="11">
        <f>_xlfn.XLOOKUP(TableDailySummary[[#This Row],[Fecha]],SummaryDaily[day],SummaryDaily[Tienda 81_orders],0)</f>
        <v>0</v>
      </c>
      <c r="Q878" s="11">
        <f>_xlfn.XLOOKUP(TableDailySummary[[#This Row],[Fecha]],SummaryDaily[day],SummaryDaily[Tienda 81_average_order_value],0)</f>
        <v>0</v>
      </c>
      <c r="R878" s="11">
        <f>_xlfn.XLOOKUP(TableDailySummary[[#This Row],[Fecha]],SummaryDaily[day],SummaryDaily[Rappi_net_sales],0)</f>
        <v>0</v>
      </c>
      <c r="S878" s="11">
        <f>_xlfn.XLOOKUP(TableDailySummary[[#This Row],[Fecha]],SummaryDaily[day],SummaryDaily[Rappi_orders],0)</f>
        <v>0</v>
      </c>
      <c r="T878" s="11">
        <f>_xlfn.XLOOKUP(TableDailySummary[[#This Row],[Fecha]],SummaryDaily[day],SummaryDaily[Rappi_average_order_value],0)</f>
        <v>0</v>
      </c>
      <c r="U878" s="11">
        <f>_xlfn.XLOOKUP(TableDailySummary[[#This Row],[Fecha]],SummaryDaily[day],SummaryDaily[Corporativo no tienda_net_sales],0)</f>
        <v>0</v>
      </c>
      <c r="V878" s="11">
        <f>_xlfn.XLOOKUP(TableDailySummary[[#This Row],[Fecha]],SummaryDaily[day],SummaryDaily[Corporativo no tienda_orders],0)</f>
        <v>0</v>
      </c>
      <c r="W878" s="11">
        <f>_xlfn.XLOOKUP(TableDailySummary[[#This Row],[Fecha]],SummaryDaily[day],SummaryDaily[Corporativo no tienda_average_order_value],0)</f>
        <v>0</v>
      </c>
      <c r="X878" s="11">
        <f>_xlfn.XLOOKUP(TableDailySummary[[#This Row],[Fecha]],SummaryDaily[day],SummaryDaily[GoogleAdsOperation.Cost],0)</f>
        <v>0</v>
      </c>
      <c r="Y878" s="11">
        <f>SUMIFS(SalesByUTMDaily[google],SalesByUTMDaily[day],TableDailySummary[[#This Row],[Fecha]])</f>
        <v>0</v>
      </c>
      <c r="Z878" s="11">
        <f>_xlfn.XLOOKUP(TableDailySummary[[#This Row],[Fecha]],SummaryDaily[day],SummaryDaily[MetaAdsOperation.spend],0)</f>
        <v>0</v>
      </c>
      <c r="AA878" s="11">
        <f>SUMIFS(SalesByUTMDaily[facebook],SalesByUTMDaily[day],TableDailySummary[[#This Row],[Fecha]])</f>
        <v>0</v>
      </c>
      <c r="AB878" s="11">
        <f>TableDailySummary[[#This Row],[Inversión google ads]]+TableDailySummary[[#This Row],[Inversión meta ads]]</f>
        <v>0</v>
      </c>
      <c r="AC878" s="11">
        <f>TableDailySummary[[#This Row],[Ventas google ads]]+TableDailySummary[[#This Row],[Ventas meta ads]]</f>
        <v>0</v>
      </c>
      <c r="AD878" s="14">
        <f>IFERROR(TableDailySummary[[#This Row],[Ventas publicidad]]/TableDailySummary[[#This Row],[Inversión publicidad]],0)</f>
        <v>0</v>
      </c>
      <c r="AE878" s="14">
        <f>IFERROR(TableDailySummary[[#This Row],[Ventas primer cliente]]/TableDailySummary[[#This Row],[Inversión publicidad]],0)</f>
        <v>0</v>
      </c>
      <c r="AF878" s="14"/>
      <c r="AG878" s="11"/>
      <c r="AM878" s="11">
        <f>_xlfn.XLOOKUP(TableDailySummary[[#This Row],[Fecha]],SummaryDaily[day],SummaryDaily[net_sales_with_cost_recorded],0)</f>
        <v>0</v>
      </c>
      <c r="AN878" s="11">
        <f>_xlfn.XLOOKUP(TableDailySummary[[#This Row],[Fecha]],SummaryDaily[day],SummaryDaily[cost_of_goods_sold],0)</f>
        <v>0</v>
      </c>
      <c r="AO878" s="11">
        <f>_xlfn.XLOOKUP(TableDailySummary[[#This Row],[Fecha]],SummaryDaily[day],SummaryDaily[gross_profit],0)</f>
        <v>0</v>
      </c>
      <c r="AP878" s="18">
        <f>IFERROR(TableDailySummary[[#This Row],[Utilidad bruta]]/TableDailySummary[[#This Row],[Ventas netas con costo registrado]],0)</f>
        <v>0</v>
      </c>
    </row>
    <row r="879" spans="2:42" x14ac:dyDescent="0.2">
      <c r="B879" s="15" cm="1">
        <f t="array" ref="B879">ParamFechaInicioReporte + (ROW(TableDailySummary[#This Row]) - ROW(TableDailySummary[[#Headers],[Dia]]) - 1)</f>
        <v>45406</v>
      </c>
      <c r="C879" s="6">
        <f>TableDailySummary[[#This Row],[Dia]]</f>
        <v>45406</v>
      </c>
      <c r="D879" s="11">
        <f>_xlfn.XLOOKUP(TableDailySummary[[#This Row],[Fecha]],SummaryDaily[day],SummaryDaily[net_sales],0)</f>
        <v>0</v>
      </c>
      <c r="E879" s="11">
        <f>_xlfn.XLOOKUP(TableDailySummary[[#This Row],[Fecha]],SummaryDaily[day],SummaryDaily[orders],0)</f>
        <v>0</v>
      </c>
      <c r="F879" s="11">
        <f>_xlfn.XLOOKUP(TableDailySummary[[#This Row],[Fecha]],SummaryDaily[day],SummaryDaily[average_order_value],0)</f>
        <v>0</v>
      </c>
      <c r="G879" s="24" cm="1">
        <f t="array" ref="G879">_xlfn.XLOOKUP(TableDailySummary[[#This Row],[Fecha]]&amp;"Total site",ConversionRateByReferral[day]&amp;ConversionRateByReferral[referrer_source],ConversionRateByReferral[conversion_rate],0)</f>
        <v>0</v>
      </c>
      <c r="H879" s="11">
        <f>TableDailySummary[[#This Row],[Órden promedio totales]]*TableDailySummary[[#This Row],[CR totales]]</f>
        <v>0</v>
      </c>
      <c r="I879" s="11">
        <f>_xlfn.XLOOKUP(TableDailySummary[[#This Row],[Fecha]],SummaryDaily[day],SummaryDaily[new_net_sales],0)</f>
        <v>0</v>
      </c>
      <c r="J879" s="11">
        <f>_xlfn.XLOOKUP(TableDailySummary[[#This Row],[Fecha]],SummaryDaily[day],SummaryDaily[new_orders],0)</f>
        <v>0</v>
      </c>
      <c r="K879" s="11">
        <f>_xlfn.XLOOKUP(TableDailySummary[[#This Row],[Fecha]],SummaryDaily[day],SummaryDaily[new_average_order_value],0)</f>
        <v>0</v>
      </c>
      <c r="L879" s="11">
        <f>_xlfn.XLOOKUP(TableDailySummary[[#This Row],[Fecha]],SummaryDaily[day],SummaryDaily[Online Store_net_sales],0)</f>
        <v>0</v>
      </c>
      <c r="M879" s="11">
        <f>_xlfn.XLOOKUP(TableDailySummary[[#This Row],[Fecha]],SummaryDaily[day],SummaryDaily[Online Store_orders],0)</f>
        <v>0</v>
      </c>
      <c r="N879" s="11">
        <f>_xlfn.XLOOKUP(TableDailySummary[[#This Row],[Fecha]],SummaryDaily[day],SummaryDaily[Online Store_average_order_value],0)</f>
        <v>0</v>
      </c>
      <c r="O879" s="11">
        <f>_xlfn.XLOOKUP(TableDailySummary[[#This Row],[Fecha]],SummaryDaily[day],SummaryDaily[Tienda 81_net_sales],0)</f>
        <v>0</v>
      </c>
      <c r="P879" s="11">
        <f>_xlfn.XLOOKUP(TableDailySummary[[#This Row],[Fecha]],SummaryDaily[day],SummaryDaily[Tienda 81_orders],0)</f>
        <v>0</v>
      </c>
      <c r="Q879" s="11">
        <f>_xlfn.XLOOKUP(TableDailySummary[[#This Row],[Fecha]],SummaryDaily[day],SummaryDaily[Tienda 81_average_order_value],0)</f>
        <v>0</v>
      </c>
      <c r="R879" s="11">
        <f>_xlfn.XLOOKUP(TableDailySummary[[#This Row],[Fecha]],SummaryDaily[day],SummaryDaily[Rappi_net_sales],0)</f>
        <v>0</v>
      </c>
      <c r="S879" s="11">
        <f>_xlfn.XLOOKUP(TableDailySummary[[#This Row],[Fecha]],SummaryDaily[day],SummaryDaily[Rappi_orders],0)</f>
        <v>0</v>
      </c>
      <c r="T879" s="11">
        <f>_xlfn.XLOOKUP(TableDailySummary[[#This Row],[Fecha]],SummaryDaily[day],SummaryDaily[Rappi_average_order_value],0)</f>
        <v>0</v>
      </c>
      <c r="U879" s="11">
        <f>_xlfn.XLOOKUP(TableDailySummary[[#This Row],[Fecha]],SummaryDaily[day],SummaryDaily[Corporativo no tienda_net_sales],0)</f>
        <v>0</v>
      </c>
      <c r="V879" s="11">
        <f>_xlfn.XLOOKUP(TableDailySummary[[#This Row],[Fecha]],SummaryDaily[day],SummaryDaily[Corporativo no tienda_orders],0)</f>
        <v>0</v>
      </c>
      <c r="W879" s="11">
        <f>_xlfn.XLOOKUP(TableDailySummary[[#This Row],[Fecha]],SummaryDaily[day],SummaryDaily[Corporativo no tienda_average_order_value],0)</f>
        <v>0</v>
      </c>
      <c r="X879" s="11">
        <f>_xlfn.XLOOKUP(TableDailySummary[[#This Row],[Fecha]],SummaryDaily[day],SummaryDaily[GoogleAdsOperation.Cost],0)</f>
        <v>0</v>
      </c>
      <c r="Y879" s="11">
        <f>SUMIFS(SalesByUTMDaily[google],SalesByUTMDaily[day],TableDailySummary[[#This Row],[Fecha]])</f>
        <v>0</v>
      </c>
      <c r="Z879" s="11">
        <f>_xlfn.XLOOKUP(TableDailySummary[[#This Row],[Fecha]],SummaryDaily[day],SummaryDaily[MetaAdsOperation.spend],0)</f>
        <v>0</v>
      </c>
      <c r="AA879" s="11">
        <f>SUMIFS(SalesByUTMDaily[facebook],SalesByUTMDaily[day],TableDailySummary[[#This Row],[Fecha]])</f>
        <v>0</v>
      </c>
      <c r="AB879" s="11">
        <f>TableDailySummary[[#This Row],[Inversión google ads]]+TableDailySummary[[#This Row],[Inversión meta ads]]</f>
        <v>0</v>
      </c>
      <c r="AC879" s="11">
        <f>TableDailySummary[[#This Row],[Ventas google ads]]+TableDailySummary[[#This Row],[Ventas meta ads]]</f>
        <v>0</v>
      </c>
      <c r="AD879" s="14">
        <f>IFERROR(TableDailySummary[[#This Row],[Ventas publicidad]]/TableDailySummary[[#This Row],[Inversión publicidad]],0)</f>
        <v>0</v>
      </c>
      <c r="AE879" s="14">
        <f>IFERROR(TableDailySummary[[#This Row],[Ventas primer cliente]]/TableDailySummary[[#This Row],[Inversión publicidad]],0)</f>
        <v>0</v>
      </c>
      <c r="AF879" s="14"/>
      <c r="AG879" s="11"/>
      <c r="AM879" s="11">
        <f>_xlfn.XLOOKUP(TableDailySummary[[#This Row],[Fecha]],SummaryDaily[day],SummaryDaily[net_sales_with_cost_recorded],0)</f>
        <v>0</v>
      </c>
      <c r="AN879" s="11">
        <f>_xlfn.XLOOKUP(TableDailySummary[[#This Row],[Fecha]],SummaryDaily[day],SummaryDaily[cost_of_goods_sold],0)</f>
        <v>0</v>
      </c>
      <c r="AO879" s="11">
        <f>_xlfn.XLOOKUP(TableDailySummary[[#This Row],[Fecha]],SummaryDaily[day],SummaryDaily[gross_profit],0)</f>
        <v>0</v>
      </c>
      <c r="AP879" s="18">
        <f>IFERROR(TableDailySummary[[#This Row],[Utilidad bruta]]/TableDailySummary[[#This Row],[Ventas netas con costo registrado]],0)</f>
        <v>0</v>
      </c>
    </row>
    <row r="880" spans="2:42" x14ac:dyDescent="0.2">
      <c r="B880" s="15" cm="1">
        <f t="array" ref="B880">ParamFechaInicioReporte + (ROW(TableDailySummary[#This Row]) - ROW(TableDailySummary[[#Headers],[Dia]]) - 1)</f>
        <v>45407</v>
      </c>
      <c r="C880" s="6">
        <f>TableDailySummary[[#This Row],[Dia]]</f>
        <v>45407</v>
      </c>
      <c r="D880" s="11">
        <f>_xlfn.XLOOKUP(TableDailySummary[[#This Row],[Fecha]],SummaryDaily[day],SummaryDaily[net_sales],0)</f>
        <v>0</v>
      </c>
      <c r="E880" s="11">
        <f>_xlfn.XLOOKUP(TableDailySummary[[#This Row],[Fecha]],SummaryDaily[day],SummaryDaily[orders],0)</f>
        <v>0</v>
      </c>
      <c r="F880" s="11">
        <f>_xlfn.XLOOKUP(TableDailySummary[[#This Row],[Fecha]],SummaryDaily[day],SummaryDaily[average_order_value],0)</f>
        <v>0</v>
      </c>
      <c r="G880" s="24" cm="1">
        <f t="array" ref="G880">_xlfn.XLOOKUP(TableDailySummary[[#This Row],[Fecha]]&amp;"Total site",ConversionRateByReferral[day]&amp;ConversionRateByReferral[referrer_source],ConversionRateByReferral[conversion_rate],0)</f>
        <v>0</v>
      </c>
      <c r="H880" s="11">
        <f>TableDailySummary[[#This Row],[Órden promedio totales]]*TableDailySummary[[#This Row],[CR totales]]</f>
        <v>0</v>
      </c>
      <c r="I880" s="11">
        <f>_xlfn.XLOOKUP(TableDailySummary[[#This Row],[Fecha]],SummaryDaily[day],SummaryDaily[new_net_sales],0)</f>
        <v>0</v>
      </c>
      <c r="J880" s="11">
        <f>_xlfn.XLOOKUP(TableDailySummary[[#This Row],[Fecha]],SummaryDaily[day],SummaryDaily[new_orders],0)</f>
        <v>0</v>
      </c>
      <c r="K880" s="11">
        <f>_xlfn.XLOOKUP(TableDailySummary[[#This Row],[Fecha]],SummaryDaily[day],SummaryDaily[new_average_order_value],0)</f>
        <v>0</v>
      </c>
      <c r="L880" s="11">
        <f>_xlfn.XLOOKUP(TableDailySummary[[#This Row],[Fecha]],SummaryDaily[day],SummaryDaily[Online Store_net_sales],0)</f>
        <v>0</v>
      </c>
      <c r="M880" s="11">
        <f>_xlfn.XLOOKUP(TableDailySummary[[#This Row],[Fecha]],SummaryDaily[day],SummaryDaily[Online Store_orders],0)</f>
        <v>0</v>
      </c>
      <c r="N880" s="11">
        <f>_xlfn.XLOOKUP(TableDailySummary[[#This Row],[Fecha]],SummaryDaily[day],SummaryDaily[Online Store_average_order_value],0)</f>
        <v>0</v>
      </c>
      <c r="O880" s="11">
        <f>_xlfn.XLOOKUP(TableDailySummary[[#This Row],[Fecha]],SummaryDaily[day],SummaryDaily[Tienda 81_net_sales],0)</f>
        <v>0</v>
      </c>
      <c r="P880" s="11">
        <f>_xlfn.XLOOKUP(TableDailySummary[[#This Row],[Fecha]],SummaryDaily[day],SummaryDaily[Tienda 81_orders],0)</f>
        <v>0</v>
      </c>
      <c r="Q880" s="11">
        <f>_xlfn.XLOOKUP(TableDailySummary[[#This Row],[Fecha]],SummaryDaily[day],SummaryDaily[Tienda 81_average_order_value],0)</f>
        <v>0</v>
      </c>
      <c r="R880" s="11">
        <f>_xlfn.XLOOKUP(TableDailySummary[[#This Row],[Fecha]],SummaryDaily[day],SummaryDaily[Rappi_net_sales],0)</f>
        <v>0</v>
      </c>
      <c r="S880" s="11">
        <f>_xlfn.XLOOKUP(TableDailySummary[[#This Row],[Fecha]],SummaryDaily[day],SummaryDaily[Rappi_orders],0)</f>
        <v>0</v>
      </c>
      <c r="T880" s="11">
        <f>_xlfn.XLOOKUP(TableDailySummary[[#This Row],[Fecha]],SummaryDaily[day],SummaryDaily[Rappi_average_order_value],0)</f>
        <v>0</v>
      </c>
      <c r="U880" s="11">
        <f>_xlfn.XLOOKUP(TableDailySummary[[#This Row],[Fecha]],SummaryDaily[day],SummaryDaily[Corporativo no tienda_net_sales],0)</f>
        <v>0</v>
      </c>
      <c r="V880" s="11">
        <f>_xlfn.XLOOKUP(TableDailySummary[[#This Row],[Fecha]],SummaryDaily[day],SummaryDaily[Corporativo no tienda_orders],0)</f>
        <v>0</v>
      </c>
      <c r="W880" s="11">
        <f>_xlfn.XLOOKUP(TableDailySummary[[#This Row],[Fecha]],SummaryDaily[day],SummaryDaily[Corporativo no tienda_average_order_value],0)</f>
        <v>0</v>
      </c>
      <c r="X880" s="11">
        <f>_xlfn.XLOOKUP(TableDailySummary[[#This Row],[Fecha]],SummaryDaily[day],SummaryDaily[GoogleAdsOperation.Cost],0)</f>
        <v>0</v>
      </c>
      <c r="Y880" s="11">
        <f>SUMIFS(SalesByUTMDaily[google],SalesByUTMDaily[day],TableDailySummary[[#This Row],[Fecha]])</f>
        <v>0</v>
      </c>
      <c r="Z880" s="11">
        <f>_xlfn.XLOOKUP(TableDailySummary[[#This Row],[Fecha]],SummaryDaily[day],SummaryDaily[MetaAdsOperation.spend],0)</f>
        <v>0</v>
      </c>
      <c r="AA880" s="11">
        <f>SUMIFS(SalesByUTMDaily[facebook],SalesByUTMDaily[day],TableDailySummary[[#This Row],[Fecha]])</f>
        <v>0</v>
      </c>
      <c r="AB880" s="11">
        <f>TableDailySummary[[#This Row],[Inversión google ads]]+TableDailySummary[[#This Row],[Inversión meta ads]]</f>
        <v>0</v>
      </c>
      <c r="AC880" s="11">
        <f>TableDailySummary[[#This Row],[Ventas google ads]]+TableDailySummary[[#This Row],[Ventas meta ads]]</f>
        <v>0</v>
      </c>
      <c r="AD880" s="14">
        <f>IFERROR(TableDailySummary[[#This Row],[Ventas publicidad]]/TableDailySummary[[#This Row],[Inversión publicidad]],0)</f>
        <v>0</v>
      </c>
      <c r="AE880" s="14">
        <f>IFERROR(TableDailySummary[[#This Row],[Ventas primer cliente]]/TableDailySummary[[#This Row],[Inversión publicidad]],0)</f>
        <v>0</v>
      </c>
      <c r="AF880" s="14"/>
      <c r="AG880" s="11"/>
      <c r="AM880" s="11">
        <f>_xlfn.XLOOKUP(TableDailySummary[[#This Row],[Fecha]],SummaryDaily[day],SummaryDaily[net_sales_with_cost_recorded],0)</f>
        <v>0</v>
      </c>
      <c r="AN880" s="11">
        <f>_xlfn.XLOOKUP(TableDailySummary[[#This Row],[Fecha]],SummaryDaily[day],SummaryDaily[cost_of_goods_sold],0)</f>
        <v>0</v>
      </c>
      <c r="AO880" s="11">
        <f>_xlfn.XLOOKUP(TableDailySummary[[#This Row],[Fecha]],SummaryDaily[day],SummaryDaily[gross_profit],0)</f>
        <v>0</v>
      </c>
      <c r="AP880" s="18">
        <f>IFERROR(TableDailySummary[[#This Row],[Utilidad bruta]]/TableDailySummary[[#This Row],[Ventas netas con costo registrado]],0)</f>
        <v>0</v>
      </c>
    </row>
    <row r="881" spans="2:42" x14ac:dyDescent="0.2">
      <c r="B881" s="15" cm="1">
        <f t="array" ref="B881">ParamFechaInicioReporte + (ROW(TableDailySummary[#This Row]) - ROW(TableDailySummary[[#Headers],[Dia]]) - 1)</f>
        <v>45408</v>
      </c>
      <c r="C881" s="6">
        <f>TableDailySummary[[#This Row],[Dia]]</f>
        <v>45408</v>
      </c>
      <c r="D881" s="11">
        <f>_xlfn.XLOOKUP(TableDailySummary[[#This Row],[Fecha]],SummaryDaily[day],SummaryDaily[net_sales],0)</f>
        <v>0</v>
      </c>
      <c r="E881" s="11">
        <f>_xlfn.XLOOKUP(TableDailySummary[[#This Row],[Fecha]],SummaryDaily[day],SummaryDaily[orders],0)</f>
        <v>0</v>
      </c>
      <c r="F881" s="11">
        <f>_xlfn.XLOOKUP(TableDailySummary[[#This Row],[Fecha]],SummaryDaily[day],SummaryDaily[average_order_value],0)</f>
        <v>0</v>
      </c>
      <c r="G881" s="24" cm="1">
        <f t="array" ref="G881">_xlfn.XLOOKUP(TableDailySummary[[#This Row],[Fecha]]&amp;"Total site",ConversionRateByReferral[day]&amp;ConversionRateByReferral[referrer_source],ConversionRateByReferral[conversion_rate],0)</f>
        <v>0</v>
      </c>
      <c r="H881" s="11">
        <f>TableDailySummary[[#This Row],[Órden promedio totales]]*TableDailySummary[[#This Row],[CR totales]]</f>
        <v>0</v>
      </c>
      <c r="I881" s="11">
        <f>_xlfn.XLOOKUP(TableDailySummary[[#This Row],[Fecha]],SummaryDaily[day],SummaryDaily[new_net_sales],0)</f>
        <v>0</v>
      </c>
      <c r="J881" s="11">
        <f>_xlfn.XLOOKUP(TableDailySummary[[#This Row],[Fecha]],SummaryDaily[day],SummaryDaily[new_orders],0)</f>
        <v>0</v>
      </c>
      <c r="K881" s="11">
        <f>_xlfn.XLOOKUP(TableDailySummary[[#This Row],[Fecha]],SummaryDaily[day],SummaryDaily[new_average_order_value],0)</f>
        <v>0</v>
      </c>
      <c r="L881" s="11">
        <f>_xlfn.XLOOKUP(TableDailySummary[[#This Row],[Fecha]],SummaryDaily[day],SummaryDaily[Online Store_net_sales],0)</f>
        <v>0</v>
      </c>
      <c r="M881" s="11">
        <f>_xlfn.XLOOKUP(TableDailySummary[[#This Row],[Fecha]],SummaryDaily[day],SummaryDaily[Online Store_orders],0)</f>
        <v>0</v>
      </c>
      <c r="N881" s="11">
        <f>_xlfn.XLOOKUP(TableDailySummary[[#This Row],[Fecha]],SummaryDaily[day],SummaryDaily[Online Store_average_order_value],0)</f>
        <v>0</v>
      </c>
      <c r="O881" s="11">
        <f>_xlfn.XLOOKUP(TableDailySummary[[#This Row],[Fecha]],SummaryDaily[day],SummaryDaily[Tienda 81_net_sales],0)</f>
        <v>0</v>
      </c>
      <c r="P881" s="11">
        <f>_xlfn.XLOOKUP(TableDailySummary[[#This Row],[Fecha]],SummaryDaily[day],SummaryDaily[Tienda 81_orders],0)</f>
        <v>0</v>
      </c>
      <c r="Q881" s="11">
        <f>_xlfn.XLOOKUP(TableDailySummary[[#This Row],[Fecha]],SummaryDaily[day],SummaryDaily[Tienda 81_average_order_value],0)</f>
        <v>0</v>
      </c>
      <c r="R881" s="11">
        <f>_xlfn.XLOOKUP(TableDailySummary[[#This Row],[Fecha]],SummaryDaily[day],SummaryDaily[Rappi_net_sales],0)</f>
        <v>0</v>
      </c>
      <c r="S881" s="11">
        <f>_xlfn.XLOOKUP(TableDailySummary[[#This Row],[Fecha]],SummaryDaily[day],SummaryDaily[Rappi_orders],0)</f>
        <v>0</v>
      </c>
      <c r="T881" s="11">
        <f>_xlfn.XLOOKUP(TableDailySummary[[#This Row],[Fecha]],SummaryDaily[day],SummaryDaily[Rappi_average_order_value],0)</f>
        <v>0</v>
      </c>
      <c r="U881" s="11">
        <f>_xlfn.XLOOKUP(TableDailySummary[[#This Row],[Fecha]],SummaryDaily[day],SummaryDaily[Corporativo no tienda_net_sales],0)</f>
        <v>0</v>
      </c>
      <c r="V881" s="11">
        <f>_xlfn.XLOOKUP(TableDailySummary[[#This Row],[Fecha]],SummaryDaily[day],SummaryDaily[Corporativo no tienda_orders],0)</f>
        <v>0</v>
      </c>
      <c r="W881" s="11">
        <f>_xlfn.XLOOKUP(TableDailySummary[[#This Row],[Fecha]],SummaryDaily[day],SummaryDaily[Corporativo no tienda_average_order_value],0)</f>
        <v>0</v>
      </c>
      <c r="X881" s="11">
        <f>_xlfn.XLOOKUP(TableDailySummary[[#This Row],[Fecha]],SummaryDaily[day],SummaryDaily[GoogleAdsOperation.Cost],0)</f>
        <v>0</v>
      </c>
      <c r="Y881" s="11">
        <f>SUMIFS(SalesByUTMDaily[google],SalesByUTMDaily[day],TableDailySummary[[#This Row],[Fecha]])</f>
        <v>0</v>
      </c>
      <c r="Z881" s="11">
        <f>_xlfn.XLOOKUP(TableDailySummary[[#This Row],[Fecha]],SummaryDaily[day],SummaryDaily[MetaAdsOperation.spend],0)</f>
        <v>0</v>
      </c>
      <c r="AA881" s="11">
        <f>SUMIFS(SalesByUTMDaily[facebook],SalesByUTMDaily[day],TableDailySummary[[#This Row],[Fecha]])</f>
        <v>0</v>
      </c>
      <c r="AB881" s="11">
        <f>TableDailySummary[[#This Row],[Inversión google ads]]+TableDailySummary[[#This Row],[Inversión meta ads]]</f>
        <v>0</v>
      </c>
      <c r="AC881" s="11">
        <f>TableDailySummary[[#This Row],[Ventas google ads]]+TableDailySummary[[#This Row],[Ventas meta ads]]</f>
        <v>0</v>
      </c>
      <c r="AD881" s="14">
        <f>IFERROR(TableDailySummary[[#This Row],[Ventas publicidad]]/TableDailySummary[[#This Row],[Inversión publicidad]],0)</f>
        <v>0</v>
      </c>
      <c r="AE881" s="14">
        <f>IFERROR(TableDailySummary[[#This Row],[Ventas primer cliente]]/TableDailySummary[[#This Row],[Inversión publicidad]],0)</f>
        <v>0</v>
      </c>
      <c r="AF881" s="14"/>
      <c r="AG881" s="11"/>
      <c r="AM881" s="11">
        <f>_xlfn.XLOOKUP(TableDailySummary[[#This Row],[Fecha]],SummaryDaily[day],SummaryDaily[net_sales_with_cost_recorded],0)</f>
        <v>0</v>
      </c>
      <c r="AN881" s="11">
        <f>_xlfn.XLOOKUP(TableDailySummary[[#This Row],[Fecha]],SummaryDaily[day],SummaryDaily[cost_of_goods_sold],0)</f>
        <v>0</v>
      </c>
      <c r="AO881" s="11">
        <f>_xlfn.XLOOKUP(TableDailySummary[[#This Row],[Fecha]],SummaryDaily[day],SummaryDaily[gross_profit],0)</f>
        <v>0</v>
      </c>
      <c r="AP881" s="18">
        <f>IFERROR(TableDailySummary[[#This Row],[Utilidad bruta]]/TableDailySummary[[#This Row],[Ventas netas con costo registrado]],0)</f>
        <v>0</v>
      </c>
    </row>
    <row r="882" spans="2:42" x14ac:dyDescent="0.2">
      <c r="B882" s="15" cm="1">
        <f t="array" ref="B882">ParamFechaInicioReporte + (ROW(TableDailySummary[#This Row]) - ROW(TableDailySummary[[#Headers],[Dia]]) - 1)</f>
        <v>45409</v>
      </c>
      <c r="C882" s="6">
        <f>TableDailySummary[[#This Row],[Dia]]</f>
        <v>45409</v>
      </c>
      <c r="D882" s="11">
        <f>_xlfn.XLOOKUP(TableDailySummary[[#This Row],[Fecha]],SummaryDaily[day],SummaryDaily[net_sales],0)</f>
        <v>0</v>
      </c>
      <c r="E882" s="11">
        <f>_xlfn.XLOOKUP(TableDailySummary[[#This Row],[Fecha]],SummaryDaily[day],SummaryDaily[orders],0)</f>
        <v>0</v>
      </c>
      <c r="F882" s="11">
        <f>_xlfn.XLOOKUP(TableDailySummary[[#This Row],[Fecha]],SummaryDaily[day],SummaryDaily[average_order_value],0)</f>
        <v>0</v>
      </c>
      <c r="G882" s="24" cm="1">
        <f t="array" ref="G882">_xlfn.XLOOKUP(TableDailySummary[[#This Row],[Fecha]]&amp;"Total site",ConversionRateByReferral[day]&amp;ConversionRateByReferral[referrer_source],ConversionRateByReferral[conversion_rate],0)</f>
        <v>0</v>
      </c>
      <c r="H882" s="11">
        <f>TableDailySummary[[#This Row],[Órden promedio totales]]*TableDailySummary[[#This Row],[CR totales]]</f>
        <v>0</v>
      </c>
      <c r="I882" s="11">
        <f>_xlfn.XLOOKUP(TableDailySummary[[#This Row],[Fecha]],SummaryDaily[day],SummaryDaily[new_net_sales],0)</f>
        <v>0</v>
      </c>
      <c r="J882" s="11">
        <f>_xlfn.XLOOKUP(TableDailySummary[[#This Row],[Fecha]],SummaryDaily[day],SummaryDaily[new_orders],0)</f>
        <v>0</v>
      </c>
      <c r="K882" s="11">
        <f>_xlfn.XLOOKUP(TableDailySummary[[#This Row],[Fecha]],SummaryDaily[day],SummaryDaily[new_average_order_value],0)</f>
        <v>0</v>
      </c>
      <c r="L882" s="11">
        <f>_xlfn.XLOOKUP(TableDailySummary[[#This Row],[Fecha]],SummaryDaily[day],SummaryDaily[Online Store_net_sales],0)</f>
        <v>0</v>
      </c>
      <c r="M882" s="11">
        <f>_xlfn.XLOOKUP(TableDailySummary[[#This Row],[Fecha]],SummaryDaily[day],SummaryDaily[Online Store_orders],0)</f>
        <v>0</v>
      </c>
      <c r="N882" s="11">
        <f>_xlfn.XLOOKUP(TableDailySummary[[#This Row],[Fecha]],SummaryDaily[day],SummaryDaily[Online Store_average_order_value],0)</f>
        <v>0</v>
      </c>
      <c r="O882" s="11">
        <f>_xlfn.XLOOKUP(TableDailySummary[[#This Row],[Fecha]],SummaryDaily[day],SummaryDaily[Tienda 81_net_sales],0)</f>
        <v>0</v>
      </c>
      <c r="P882" s="11">
        <f>_xlfn.XLOOKUP(TableDailySummary[[#This Row],[Fecha]],SummaryDaily[day],SummaryDaily[Tienda 81_orders],0)</f>
        <v>0</v>
      </c>
      <c r="Q882" s="11">
        <f>_xlfn.XLOOKUP(TableDailySummary[[#This Row],[Fecha]],SummaryDaily[day],SummaryDaily[Tienda 81_average_order_value],0)</f>
        <v>0</v>
      </c>
      <c r="R882" s="11">
        <f>_xlfn.XLOOKUP(TableDailySummary[[#This Row],[Fecha]],SummaryDaily[day],SummaryDaily[Rappi_net_sales],0)</f>
        <v>0</v>
      </c>
      <c r="S882" s="11">
        <f>_xlfn.XLOOKUP(TableDailySummary[[#This Row],[Fecha]],SummaryDaily[day],SummaryDaily[Rappi_orders],0)</f>
        <v>0</v>
      </c>
      <c r="T882" s="11">
        <f>_xlfn.XLOOKUP(TableDailySummary[[#This Row],[Fecha]],SummaryDaily[day],SummaryDaily[Rappi_average_order_value],0)</f>
        <v>0</v>
      </c>
      <c r="U882" s="11">
        <f>_xlfn.XLOOKUP(TableDailySummary[[#This Row],[Fecha]],SummaryDaily[day],SummaryDaily[Corporativo no tienda_net_sales],0)</f>
        <v>0</v>
      </c>
      <c r="V882" s="11">
        <f>_xlfn.XLOOKUP(TableDailySummary[[#This Row],[Fecha]],SummaryDaily[day],SummaryDaily[Corporativo no tienda_orders],0)</f>
        <v>0</v>
      </c>
      <c r="W882" s="11">
        <f>_xlfn.XLOOKUP(TableDailySummary[[#This Row],[Fecha]],SummaryDaily[day],SummaryDaily[Corporativo no tienda_average_order_value],0)</f>
        <v>0</v>
      </c>
      <c r="X882" s="11">
        <f>_xlfn.XLOOKUP(TableDailySummary[[#This Row],[Fecha]],SummaryDaily[day],SummaryDaily[GoogleAdsOperation.Cost],0)</f>
        <v>0</v>
      </c>
      <c r="Y882" s="11">
        <f>SUMIFS(SalesByUTMDaily[google],SalesByUTMDaily[day],TableDailySummary[[#This Row],[Fecha]])</f>
        <v>0</v>
      </c>
      <c r="Z882" s="11">
        <f>_xlfn.XLOOKUP(TableDailySummary[[#This Row],[Fecha]],SummaryDaily[day],SummaryDaily[MetaAdsOperation.spend],0)</f>
        <v>0</v>
      </c>
      <c r="AA882" s="11">
        <f>SUMIFS(SalesByUTMDaily[facebook],SalesByUTMDaily[day],TableDailySummary[[#This Row],[Fecha]])</f>
        <v>0</v>
      </c>
      <c r="AB882" s="11">
        <f>TableDailySummary[[#This Row],[Inversión google ads]]+TableDailySummary[[#This Row],[Inversión meta ads]]</f>
        <v>0</v>
      </c>
      <c r="AC882" s="11">
        <f>TableDailySummary[[#This Row],[Ventas google ads]]+TableDailySummary[[#This Row],[Ventas meta ads]]</f>
        <v>0</v>
      </c>
      <c r="AD882" s="14">
        <f>IFERROR(TableDailySummary[[#This Row],[Ventas publicidad]]/TableDailySummary[[#This Row],[Inversión publicidad]],0)</f>
        <v>0</v>
      </c>
      <c r="AE882" s="14">
        <f>IFERROR(TableDailySummary[[#This Row],[Ventas primer cliente]]/TableDailySummary[[#This Row],[Inversión publicidad]],0)</f>
        <v>0</v>
      </c>
      <c r="AF882" s="14"/>
      <c r="AG882" s="11"/>
      <c r="AM882" s="11">
        <f>_xlfn.XLOOKUP(TableDailySummary[[#This Row],[Fecha]],SummaryDaily[day],SummaryDaily[net_sales_with_cost_recorded],0)</f>
        <v>0</v>
      </c>
      <c r="AN882" s="11">
        <f>_xlfn.XLOOKUP(TableDailySummary[[#This Row],[Fecha]],SummaryDaily[day],SummaryDaily[cost_of_goods_sold],0)</f>
        <v>0</v>
      </c>
      <c r="AO882" s="11">
        <f>_xlfn.XLOOKUP(TableDailySummary[[#This Row],[Fecha]],SummaryDaily[day],SummaryDaily[gross_profit],0)</f>
        <v>0</v>
      </c>
      <c r="AP882" s="18">
        <f>IFERROR(TableDailySummary[[#This Row],[Utilidad bruta]]/TableDailySummary[[#This Row],[Ventas netas con costo registrado]],0)</f>
        <v>0</v>
      </c>
    </row>
    <row r="883" spans="2:42" x14ac:dyDescent="0.2">
      <c r="B883" s="15" cm="1">
        <f t="array" ref="B883">ParamFechaInicioReporte + (ROW(TableDailySummary[#This Row]) - ROW(TableDailySummary[[#Headers],[Dia]]) - 1)</f>
        <v>45410</v>
      </c>
      <c r="C883" s="6">
        <f>TableDailySummary[[#This Row],[Dia]]</f>
        <v>45410</v>
      </c>
      <c r="D883" s="11">
        <f>_xlfn.XLOOKUP(TableDailySummary[[#This Row],[Fecha]],SummaryDaily[day],SummaryDaily[net_sales],0)</f>
        <v>0</v>
      </c>
      <c r="E883" s="11">
        <f>_xlfn.XLOOKUP(TableDailySummary[[#This Row],[Fecha]],SummaryDaily[day],SummaryDaily[orders],0)</f>
        <v>0</v>
      </c>
      <c r="F883" s="11">
        <f>_xlfn.XLOOKUP(TableDailySummary[[#This Row],[Fecha]],SummaryDaily[day],SummaryDaily[average_order_value],0)</f>
        <v>0</v>
      </c>
      <c r="G883" s="24" cm="1">
        <f t="array" ref="G883">_xlfn.XLOOKUP(TableDailySummary[[#This Row],[Fecha]]&amp;"Total site",ConversionRateByReferral[day]&amp;ConversionRateByReferral[referrer_source],ConversionRateByReferral[conversion_rate],0)</f>
        <v>0</v>
      </c>
      <c r="H883" s="11">
        <f>TableDailySummary[[#This Row],[Órden promedio totales]]*TableDailySummary[[#This Row],[CR totales]]</f>
        <v>0</v>
      </c>
      <c r="I883" s="11">
        <f>_xlfn.XLOOKUP(TableDailySummary[[#This Row],[Fecha]],SummaryDaily[day],SummaryDaily[new_net_sales],0)</f>
        <v>0</v>
      </c>
      <c r="J883" s="11">
        <f>_xlfn.XLOOKUP(TableDailySummary[[#This Row],[Fecha]],SummaryDaily[day],SummaryDaily[new_orders],0)</f>
        <v>0</v>
      </c>
      <c r="K883" s="11">
        <f>_xlfn.XLOOKUP(TableDailySummary[[#This Row],[Fecha]],SummaryDaily[day],SummaryDaily[new_average_order_value],0)</f>
        <v>0</v>
      </c>
      <c r="L883" s="11">
        <f>_xlfn.XLOOKUP(TableDailySummary[[#This Row],[Fecha]],SummaryDaily[day],SummaryDaily[Online Store_net_sales],0)</f>
        <v>0</v>
      </c>
      <c r="M883" s="11">
        <f>_xlfn.XLOOKUP(TableDailySummary[[#This Row],[Fecha]],SummaryDaily[day],SummaryDaily[Online Store_orders],0)</f>
        <v>0</v>
      </c>
      <c r="N883" s="11">
        <f>_xlfn.XLOOKUP(TableDailySummary[[#This Row],[Fecha]],SummaryDaily[day],SummaryDaily[Online Store_average_order_value],0)</f>
        <v>0</v>
      </c>
      <c r="O883" s="11">
        <f>_xlfn.XLOOKUP(TableDailySummary[[#This Row],[Fecha]],SummaryDaily[day],SummaryDaily[Tienda 81_net_sales],0)</f>
        <v>0</v>
      </c>
      <c r="P883" s="11">
        <f>_xlfn.XLOOKUP(TableDailySummary[[#This Row],[Fecha]],SummaryDaily[day],SummaryDaily[Tienda 81_orders],0)</f>
        <v>0</v>
      </c>
      <c r="Q883" s="11">
        <f>_xlfn.XLOOKUP(TableDailySummary[[#This Row],[Fecha]],SummaryDaily[day],SummaryDaily[Tienda 81_average_order_value],0)</f>
        <v>0</v>
      </c>
      <c r="R883" s="11">
        <f>_xlfn.XLOOKUP(TableDailySummary[[#This Row],[Fecha]],SummaryDaily[day],SummaryDaily[Rappi_net_sales],0)</f>
        <v>0</v>
      </c>
      <c r="S883" s="11">
        <f>_xlfn.XLOOKUP(TableDailySummary[[#This Row],[Fecha]],SummaryDaily[day],SummaryDaily[Rappi_orders],0)</f>
        <v>0</v>
      </c>
      <c r="T883" s="11">
        <f>_xlfn.XLOOKUP(TableDailySummary[[#This Row],[Fecha]],SummaryDaily[day],SummaryDaily[Rappi_average_order_value],0)</f>
        <v>0</v>
      </c>
      <c r="U883" s="11">
        <f>_xlfn.XLOOKUP(TableDailySummary[[#This Row],[Fecha]],SummaryDaily[day],SummaryDaily[Corporativo no tienda_net_sales],0)</f>
        <v>0</v>
      </c>
      <c r="V883" s="11">
        <f>_xlfn.XLOOKUP(TableDailySummary[[#This Row],[Fecha]],SummaryDaily[day],SummaryDaily[Corporativo no tienda_orders],0)</f>
        <v>0</v>
      </c>
      <c r="W883" s="11">
        <f>_xlfn.XLOOKUP(TableDailySummary[[#This Row],[Fecha]],SummaryDaily[day],SummaryDaily[Corporativo no tienda_average_order_value],0)</f>
        <v>0</v>
      </c>
      <c r="X883" s="11">
        <f>_xlfn.XLOOKUP(TableDailySummary[[#This Row],[Fecha]],SummaryDaily[day],SummaryDaily[GoogleAdsOperation.Cost],0)</f>
        <v>0</v>
      </c>
      <c r="Y883" s="11">
        <f>SUMIFS(SalesByUTMDaily[google],SalesByUTMDaily[day],TableDailySummary[[#This Row],[Fecha]])</f>
        <v>0</v>
      </c>
      <c r="Z883" s="11">
        <f>_xlfn.XLOOKUP(TableDailySummary[[#This Row],[Fecha]],SummaryDaily[day],SummaryDaily[MetaAdsOperation.spend],0)</f>
        <v>0</v>
      </c>
      <c r="AA883" s="11">
        <f>SUMIFS(SalesByUTMDaily[facebook],SalesByUTMDaily[day],TableDailySummary[[#This Row],[Fecha]])</f>
        <v>0</v>
      </c>
      <c r="AB883" s="11">
        <f>TableDailySummary[[#This Row],[Inversión google ads]]+TableDailySummary[[#This Row],[Inversión meta ads]]</f>
        <v>0</v>
      </c>
      <c r="AC883" s="11">
        <f>TableDailySummary[[#This Row],[Ventas google ads]]+TableDailySummary[[#This Row],[Ventas meta ads]]</f>
        <v>0</v>
      </c>
      <c r="AD883" s="14">
        <f>IFERROR(TableDailySummary[[#This Row],[Ventas publicidad]]/TableDailySummary[[#This Row],[Inversión publicidad]],0)</f>
        <v>0</v>
      </c>
      <c r="AE883" s="14">
        <f>IFERROR(TableDailySummary[[#This Row],[Ventas primer cliente]]/TableDailySummary[[#This Row],[Inversión publicidad]],0)</f>
        <v>0</v>
      </c>
      <c r="AF883" s="14"/>
      <c r="AG883" s="11"/>
      <c r="AM883" s="11">
        <f>_xlfn.XLOOKUP(TableDailySummary[[#This Row],[Fecha]],SummaryDaily[day],SummaryDaily[net_sales_with_cost_recorded],0)</f>
        <v>0</v>
      </c>
      <c r="AN883" s="11">
        <f>_xlfn.XLOOKUP(TableDailySummary[[#This Row],[Fecha]],SummaryDaily[day],SummaryDaily[cost_of_goods_sold],0)</f>
        <v>0</v>
      </c>
      <c r="AO883" s="11">
        <f>_xlfn.XLOOKUP(TableDailySummary[[#This Row],[Fecha]],SummaryDaily[day],SummaryDaily[gross_profit],0)</f>
        <v>0</v>
      </c>
      <c r="AP883" s="18">
        <f>IFERROR(TableDailySummary[[#This Row],[Utilidad bruta]]/TableDailySummary[[#This Row],[Ventas netas con costo registrado]],0)</f>
        <v>0</v>
      </c>
    </row>
    <row r="884" spans="2:42" x14ac:dyDescent="0.2">
      <c r="B884" s="15" cm="1">
        <f t="array" ref="B884">ParamFechaInicioReporte + (ROW(TableDailySummary[#This Row]) - ROW(TableDailySummary[[#Headers],[Dia]]) - 1)</f>
        <v>45411</v>
      </c>
      <c r="C884" s="6">
        <f>TableDailySummary[[#This Row],[Dia]]</f>
        <v>45411</v>
      </c>
      <c r="D884" s="11">
        <f>_xlfn.XLOOKUP(TableDailySummary[[#This Row],[Fecha]],SummaryDaily[day],SummaryDaily[net_sales],0)</f>
        <v>0</v>
      </c>
      <c r="E884" s="11">
        <f>_xlfn.XLOOKUP(TableDailySummary[[#This Row],[Fecha]],SummaryDaily[day],SummaryDaily[orders],0)</f>
        <v>0</v>
      </c>
      <c r="F884" s="11">
        <f>_xlfn.XLOOKUP(TableDailySummary[[#This Row],[Fecha]],SummaryDaily[day],SummaryDaily[average_order_value],0)</f>
        <v>0</v>
      </c>
      <c r="G884" s="24" cm="1">
        <f t="array" ref="G884">_xlfn.XLOOKUP(TableDailySummary[[#This Row],[Fecha]]&amp;"Total site",ConversionRateByReferral[day]&amp;ConversionRateByReferral[referrer_source],ConversionRateByReferral[conversion_rate],0)</f>
        <v>0</v>
      </c>
      <c r="H884" s="11">
        <f>TableDailySummary[[#This Row],[Órden promedio totales]]*TableDailySummary[[#This Row],[CR totales]]</f>
        <v>0</v>
      </c>
      <c r="I884" s="11">
        <f>_xlfn.XLOOKUP(TableDailySummary[[#This Row],[Fecha]],SummaryDaily[day],SummaryDaily[new_net_sales],0)</f>
        <v>0</v>
      </c>
      <c r="J884" s="11">
        <f>_xlfn.XLOOKUP(TableDailySummary[[#This Row],[Fecha]],SummaryDaily[day],SummaryDaily[new_orders],0)</f>
        <v>0</v>
      </c>
      <c r="K884" s="11">
        <f>_xlfn.XLOOKUP(TableDailySummary[[#This Row],[Fecha]],SummaryDaily[day],SummaryDaily[new_average_order_value],0)</f>
        <v>0</v>
      </c>
      <c r="L884" s="11">
        <f>_xlfn.XLOOKUP(TableDailySummary[[#This Row],[Fecha]],SummaryDaily[day],SummaryDaily[Online Store_net_sales],0)</f>
        <v>0</v>
      </c>
      <c r="M884" s="11">
        <f>_xlfn.XLOOKUP(TableDailySummary[[#This Row],[Fecha]],SummaryDaily[day],SummaryDaily[Online Store_orders],0)</f>
        <v>0</v>
      </c>
      <c r="N884" s="11">
        <f>_xlfn.XLOOKUP(TableDailySummary[[#This Row],[Fecha]],SummaryDaily[day],SummaryDaily[Online Store_average_order_value],0)</f>
        <v>0</v>
      </c>
      <c r="O884" s="11">
        <f>_xlfn.XLOOKUP(TableDailySummary[[#This Row],[Fecha]],SummaryDaily[day],SummaryDaily[Tienda 81_net_sales],0)</f>
        <v>0</v>
      </c>
      <c r="P884" s="11">
        <f>_xlfn.XLOOKUP(TableDailySummary[[#This Row],[Fecha]],SummaryDaily[day],SummaryDaily[Tienda 81_orders],0)</f>
        <v>0</v>
      </c>
      <c r="Q884" s="11">
        <f>_xlfn.XLOOKUP(TableDailySummary[[#This Row],[Fecha]],SummaryDaily[day],SummaryDaily[Tienda 81_average_order_value],0)</f>
        <v>0</v>
      </c>
      <c r="R884" s="11">
        <f>_xlfn.XLOOKUP(TableDailySummary[[#This Row],[Fecha]],SummaryDaily[day],SummaryDaily[Rappi_net_sales],0)</f>
        <v>0</v>
      </c>
      <c r="S884" s="11">
        <f>_xlfn.XLOOKUP(TableDailySummary[[#This Row],[Fecha]],SummaryDaily[day],SummaryDaily[Rappi_orders],0)</f>
        <v>0</v>
      </c>
      <c r="T884" s="11">
        <f>_xlfn.XLOOKUP(TableDailySummary[[#This Row],[Fecha]],SummaryDaily[day],SummaryDaily[Rappi_average_order_value],0)</f>
        <v>0</v>
      </c>
      <c r="U884" s="11">
        <f>_xlfn.XLOOKUP(TableDailySummary[[#This Row],[Fecha]],SummaryDaily[day],SummaryDaily[Corporativo no tienda_net_sales],0)</f>
        <v>0</v>
      </c>
      <c r="V884" s="11">
        <f>_xlfn.XLOOKUP(TableDailySummary[[#This Row],[Fecha]],SummaryDaily[day],SummaryDaily[Corporativo no tienda_orders],0)</f>
        <v>0</v>
      </c>
      <c r="W884" s="11">
        <f>_xlfn.XLOOKUP(TableDailySummary[[#This Row],[Fecha]],SummaryDaily[day],SummaryDaily[Corporativo no tienda_average_order_value],0)</f>
        <v>0</v>
      </c>
      <c r="X884" s="11">
        <f>_xlfn.XLOOKUP(TableDailySummary[[#This Row],[Fecha]],SummaryDaily[day],SummaryDaily[GoogleAdsOperation.Cost],0)</f>
        <v>0</v>
      </c>
      <c r="Y884" s="11">
        <f>SUMIFS(SalesByUTMDaily[google],SalesByUTMDaily[day],TableDailySummary[[#This Row],[Fecha]])</f>
        <v>0</v>
      </c>
      <c r="Z884" s="11">
        <f>_xlfn.XLOOKUP(TableDailySummary[[#This Row],[Fecha]],SummaryDaily[day],SummaryDaily[MetaAdsOperation.spend],0)</f>
        <v>0</v>
      </c>
      <c r="AA884" s="11">
        <f>SUMIFS(SalesByUTMDaily[facebook],SalesByUTMDaily[day],TableDailySummary[[#This Row],[Fecha]])</f>
        <v>0</v>
      </c>
      <c r="AB884" s="11">
        <f>TableDailySummary[[#This Row],[Inversión google ads]]+TableDailySummary[[#This Row],[Inversión meta ads]]</f>
        <v>0</v>
      </c>
      <c r="AC884" s="11">
        <f>TableDailySummary[[#This Row],[Ventas google ads]]+TableDailySummary[[#This Row],[Ventas meta ads]]</f>
        <v>0</v>
      </c>
      <c r="AD884" s="14">
        <f>IFERROR(TableDailySummary[[#This Row],[Ventas publicidad]]/TableDailySummary[[#This Row],[Inversión publicidad]],0)</f>
        <v>0</v>
      </c>
      <c r="AE884" s="14">
        <f>IFERROR(TableDailySummary[[#This Row],[Ventas primer cliente]]/TableDailySummary[[#This Row],[Inversión publicidad]],0)</f>
        <v>0</v>
      </c>
      <c r="AF884" s="14"/>
      <c r="AG884" s="11"/>
      <c r="AM884" s="11">
        <f>_xlfn.XLOOKUP(TableDailySummary[[#This Row],[Fecha]],SummaryDaily[day],SummaryDaily[net_sales_with_cost_recorded],0)</f>
        <v>0</v>
      </c>
      <c r="AN884" s="11">
        <f>_xlfn.XLOOKUP(TableDailySummary[[#This Row],[Fecha]],SummaryDaily[day],SummaryDaily[cost_of_goods_sold],0)</f>
        <v>0</v>
      </c>
      <c r="AO884" s="11">
        <f>_xlfn.XLOOKUP(TableDailySummary[[#This Row],[Fecha]],SummaryDaily[day],SummaryDaily[gross_profit],0)</f>
        <v>0</v>
      </c>
      <c r="AP884" s="18">
        <f>IFERROR(TableDailySummary[[#This Row],[Utilidad bruta]]/TableDailySummary[[#This Row],[Ventas netas con costo registrado]],0)</f>
        <v>0</v>
      </c>
    </row>
    <row r="885" spans="2:42" x14ac:dyDescent="0.2">
      <c r="B885" s="15" cm="1">
        <f t="array" ref="B885">ParamFechaInicioReporte + (ROW(TableDailySummary[#This Row]) - ROW(TableDailySummary[[#Headers],[Dia]]) - 1)</f>
        <v>45412</v>
      </c>
      <c r="C885" s="6">
        <f>TableDailySummary[[#This Row],[Dia]]</f>
        <v>45412</v>
      </c>
      <c r="D885" s="11">
        <f>_xlfn.XLOOKUP(TableDailySummary[[#This Row],[Fecha]],SummaryDaily[day],SummaryDaily[net_sales],0)</f>
        <v>0</v>
      </c>
      <c r="E885" s="11">
        <f>_xlfn.XLOOKUP(TableDailySummary[[#This Row],[Fecha]],SummaryDaily[day],SummaryDaily[orders],0)</f>
        <v>0</v>
      </c>
      <c r="F885" s="11">
        <f>_xlfn.XLOOKUP(TableDailySummary[[#This Row],[Fecha]],SummaryDaily[day],SummaryDaily[average_order_value],0)</f>
        <v>0</v>
      </c>
      <c r="G885" s="24" cm="1">
        <f t="array" ref="G885">_xlfn.XLOOKUP(TableDailySummary[[#This Row],[Fecha]]&amp;"Total site",ConversionRateByReferral[day]&amp;ConversionRateByReferral[referrer_source],ConversionRateByReferral[conversion_rate],0)</f>
        <v>0</v>
      </c>
      <c r="H885" s="11">
        <f>TableDailySummary[[#This Row],[Órden promedio totales]]*TableDailySummary[[#This Row],[CR totales]]</f>
        <v>0</v>
      </c>
      <c r="I885" s="11">
        <f>_xlfn.XLOOKUP(TableDailySummary[[#This Row],[Fecha]],SummaryDaily[day],SummaryDaily[new_net_sales],0)</f>
        <v>0</v>
      </c>
      <c r="J885" s="11">
        <f>_xlfn.XLOOKUP(TableDailySummary[[#This Row],[Fecha]],SummaryDaily[day],SummaryDaily[new_orders],0)</f>
        <v>0</v>
      </c>
      <c r="K885" s="11">
        <f>_xlfn.XLOOKUP(TableDailySummary[[#This Row],[Fecha]],SummaryDaily[day],SummaryDaily[new_average_order_value],0)</f>
        <v>0</v>
      </c>
      <c r="L885" s="11">
        <f>_xlfn.XLOOKUP(TableDailySummary[[#This Row],[Fecha]],SummaryDaily[day],SummaryDaily[Online Store_net_sales],0)</f>
        <v>0</v>
      </c>
      <c r="M885" s="11">
        <f>_xlfn.XLOOKUP(TableDailySummary[[#This Row],[Fecha]],SummaryDaily[day],SummaryDaily[Online Store_orders],0)</f>
        <v>0</v>
      </c>
      <c r="N885" s="11">
        <f>_xlfn.XLOOKUP(TableDailySummary[[#This Row],[Fecha]],SummaryDaily[day],SummaryDaily[Online Store_average_order_value],0)</f>
        <v>0</v>
      </c>
      <c r="O885" s="11">
        <f>_xlfn.XLOOKUP(TableDailySummary[[#This Row],[Fecha]],SummaryDaily[day],SummaryDaily[Tienda 81_net_sales],0)</f>
        <v>0</v>
      </c>
      <c r="P885" s="11">
        <f>_xlfn.XLOOKUP(TableDailySummary[[#This Row],[Fecha]],SummaryDaily[day],SummaryDaily[Tienda 81_orders],0)</f>
        <v>0</v>
      </c>
      <c r="Q885" s="11">
        <f>_xlfn.XLOOKUP(TableDailySummary[[#This Row],[Fecha]],SummaryDaily[day],SummaryDaily[Tienda 81_average_order_value],0)</f>
        <v>0</v>
      </c>
      <c r="R885" s="11">
        <f>_xlfn.XLOOKUP(TableDailySummary[[#This Row],[Fecha]],SummaryDaily[day],SummaryDaily[Rappi_net_sales],0)</f>
        <v>0</v>
      </c>
      <c r="S885" s="11">
        <f>_xlfn.XLOOKUP(TableDailySummary[[#This Row],[Fecha]],SummaryDaily[day],SummaryDaily[Rappi_orders],0)</f>
        <v>0</v>
      </c>
      <c r="T885" s="11">
        <f>_xlfn.XLOOKUP(TableDailySummary[[#This Row],[Fecha]],SummaryDaily[day],SummaryDaily[Rappi_average_order_value],0)</f>
        <v>0</v>
      </c>
      <c r="U885" s="11">
        <f>_xlfn.XLOOKUP(TableDailySummary[[#This Row],[Fecha]],SummaryDaily[day],SummaryDaily[Corporativo no tienda_net_sales],0)</f>
        <v>0</v>
      </c>
      <c r="V885" s="11">
        <f>_xlfn.XLOOKUP(TableDailySummary[[#This Row],[Fecha]],SummaryDaily[day],SummaryDaily[Corporativo no tienda_orders],0)</f>
        <v>0</v>
      </c>
      <c r="W885" s="11">
        <f>_xlfn.XLOOKUP(TableDailySummary[[#This Row],[Fecha]],SummaryDaily[day],SummaryDaily[Corporativo no tienda_average_order_value],0)</f>
        <v>0</v>
      </c>
      <c r="X885" s="11">
        <f>_xlfn.XLOOKUP(TableDailySummary[[#This Row],[Fecha]],SummaryDaily[day],SummaryDaily[GoogleAdsOperation.Cost],0)</f>
        <v>0</v>
      </c>
      <c r="Y885" s="11">
        <f>SUMIFS(SalesByUTMDaily[google],SalesByUTMDaily[day],TableDailySummary[[#This Row],[Fecha]])</f>
        <v>0</v>
      </c>
      <c r="Z885" s="11">
        <f>_xlfn.XLOOKUP(TableDailySummary[[#This Row],[Fecha]],SummaryDaily[day],SummaryDaily[MetaAdsOperation.spend],0)</f>
        <v>0</v>
      </c>
      <c r="AA885" s="11">
        <f>SUMIFS(SalesByUTMDaily[facebook],SalesByUTMDaily[day],TableDailySummary[[#This Row],[Fecha]])</f>
        <v>0</v>
      </c>
      <c r="AB885" s="11">
        <f>TableDailySummary[[#This Row],[Inversión google ads]]+TableDailySummary[[#This Row],[Inversión meta ads]]</f>
        <v>0</v>
      </c>
      <c r="AC885" s="11">
        <f>TableDailySummary[[#This Row],[Ventas google ads]]+TableDailySummary[[#This Row],[Ventas meta ads]]</f>
        <v>0</v>
      </c>
      <c r="AD885" s="14">
        <f>IFERROR(TableDailySummary[[#This Row],[Ventas publicidad]]/TableDailySummary[[#This Row],[Inversión publicidad]],0)</f>
        <v>0</v>
      </c>
      <c r="AE885" s="14">
        <f>IFERROR(TableDailySummary[[#This Row],[Ventas primer cliente]]/TableDailySummary[[#This Row],[Inversión publicidad]],0)</f>
        <v>0</v>
      </c>
      <c r="AF885" s="14"/>
      <c r="AG885" s="11"/>
      <c r="AM885" s="11">
        <f>_xlfn.XLOOKUP(TableDailySummary[[#This Row],[Fecha]],SummaryDaily[day],SummaryDaily[net_sales_with_cost_recorded],0)</f>
        <v>0</v>
      </c>
      <c r="AN885" s="11">
        <f>_xlfn.XLOOKUP(TableDailySummary[[#This Row],[Fecha]],SummaryDaily[day],SummaryDaily[cost_of_goods_sold],0)</f>
        <v>0</v>
      </c>
      <c r="AO885" s="11">
        <f>_xlfn.XLOOKUP(TableDailySummary[[#This Row],[Fecha]],SummaryDaily[day],SummaryDaily[gross_profit],0)</f>
        <v>0</v>
      </c>
      <c r="AP885" s="18">
        <f>IFERROR(TableDailySummary[[#This Row],[Utilidad bruta]]/TableDailySummary[[#This Row],[Ventas netas con costo registrado]],0)</f>
        <v>0</v>
      </c>
    </row>
    <row r="886" spans="2:42" x14ac:dyDescent="0.2">
      <c r="B886" s="15" cm="1">
        <f t="array" ref="B886">ParamFechaInicioReporte + (ROW(TableDailySummary[#This Row]) - ROW(TableDailySummary[[#Headers],[Dia]]) - 1)</f>
        <v>45413</v>
      </c>
      <c r="C886" s="6">
        <f>TableDailySummary[[#This Row],[Dia]]</f>
        <v>45413</v>
      </c>
      <c r="D886" s="11">
        <f>_xlfn.XLOOKUP(TableDailySummary[[#This Row],[Fecha]],SummaryDaily[day],SummaryDaily[net_sales],0)</f>
        <v>0</v>
      </c>
      <c r="E886" s="11">
        <f>_xlfn.XLOOKUP(TableDailySummary[[#This Row],[Fecha]],SummaryDaily[day],SummaryDaily[orders],0)</f>
        <v>0</v>
      </c>
      <c r="F886" s="11">
        <f>_xlfn.XLOOKUP(TableDailySummary[[#This Row],[Fecha]],SummaryDaily[day],SummaryDaily[average_order_value],0)</f>
        <v>0</v>
      </c>
      <c r="G886" s="24" cm="1">
        <f t="array" ref="G886">_xlfn.XLOOKUP(TableDailySummary[[#This Row],[Fecha]]&amp;"Total site",ConversionRateByReferral[day]&amp;ConversionRateByReferral[referrer_source],ConversionRateByReferral[conversion_rate],0)</f>
        <v>0</v>
      </c>
      <c r="H886" s="11">
        <f>TableDailySummary[[#This Row],[Órden promedio totales]]*TableDailySummary[[#This Row],[CR totales]]</f>
        <v>0</v>
      </c>
      <c r="I886" s="11">
        <f>_xlfn.XLOOKUP(TableDailySummary[[#This Row],[Fecha]],SummaryDaily[day],SummaryDaily[new_net_sales],0)</f>
        <v>0</v>
      </c>
      <c r="J886" s="11">
        <f>_xlfn.XLOOKUP(TableDailySummary[[#This Row],[Fecha]],SummaryDaily[day],SummaryDaily[new_orders],0)</f>
        <v>0</v>
      </c>
      <c r="K886" s="11">
        <f>_xlfn.XLOOKUP(TableDailySummary[[#This Row],[Fecha]],SummaryDaily[day],SummaryDaily[new_average_order_value],0)</f>
        <v>0</v>
      </c>
      <c r="L886" s="11">
        <f>_xlfn.XLOOKUP(TableDailySummary[[#This Row],[Fecha]],SummaryDaily[day],SummaryDaily[Online Store_net_sales],0)</f>
        <v>0</v>
      </c>
      <c r="M886" s="11">
        <f>_xlfn.XLOOKUP(TableDailySummary[[#This Row],[Fecha]],SummaryDaily[day],SummaryDaily[Online Store_orders],0)</f>
        <v>0</v>
      </c>
      <c r="N886" s="11">
        <f>_xlfn.XLOOKUP(TableDailySummary[[#This Row],[Fecha]],SummaryDaily[day],SummaryDaily[Online Store_average_order_value],0)</f>
        <v>0</v>
      </c>
      <c r="O886" s="11">
        <f>_xlfn.XLOOKUP(TableDailySummary[[#This Row],[Fecha]],SummaryDaily[day],SummaryDaily[Tienda 81_net_sales],0)</f>
        <v>0</v>
      </c>
      <c r="P886" s="11">
        <f>_xlfn.XLOOKUP(TableDailySummary[[#This Row],[Fecha]],SummaryDaily[day],SummaryDaily[Tienda 81_orders],0)</f>
        <v>0</v>
      </c>
      <c r="Q886" s="11">
        <f>_xlfn.XLOOKUP(TableDailySummary[[#This Row],[Fecha]],SummaryDaily[day],SummaryDaily[Tienda 81_average_order_value],0)</f>
        <v>0</v>
      </c>
      <c r="R886" s="11">
        <f>_xlfn.XLOOKUP(TableDailySummary[[#This Row],[Fecha]],SummaryDaily[day],SummaryDaily[Rappi_net_sales],0)</f>
        <v>0</v>
      </c>
      <c r="S886" s="11">
        <f>_xlfn.XLOOKUP(TableDailySummary[[#This Row],[Fecha]],SummaryDaily[day],SummaryDaily[Rappi_orders],0)</f>
        <v>0</v>
      </c>
      <c r="T886" s="11">
        <f>_xlfn.XLOOKUP(TableDailySummary[[#This Row],[Fecha]],SummaryDaily[day],SummaryDaily[Rappi_average_order_value],0)</f>
        <v>0</v>
      </c>
      <c r="U886" s="11">
        <f>_xlfn.XLOOKUP(TableDailySummary[[#This Row],[Fecha]],SummaryDaily[day],SummaryDaily[Corporativo no tienda_net_sales],0)</f>
        <v>0</v>
      </c>
      <c r="V886" s="11">
        <f>_xlfn.XLOOKUP(TableDailySummary[[#This Row],[Fecha]],SummaryDaily[day],SummaryDaily[Corporativo no tienda_orders],0)</f>
        <v>0</v>
      </c>
      <c r="W886" s="11">
        <f>_xlfn.XLOOKUP(TableDailySummary[[#This Row],[Fecha]],SummaryDaily[day],SummaryDaily[Corporativo no tienda_average_order_value],0)</f>
        <v>0</v>
      </c>
      <c r="X886" s="11">
        <f>_xlfn.XLOOKUP(TableDailySummary[[#This Row],[Fecha]],SummaryDaily[day],SummaryDaily[GoogleAdsOperation.Cost],0)</f>
        <v>0</v>
      </c>
      <c r="Y886" s="11">
        <f>SUMIFS(SalesByUTMDaily[google],SalesByUTMDaily[day],TableDailySummary[[#This Row],[Fecha]])</f>
        <v>0</v>
      </c>
      <c r="Z886" s="11">
        <f>_xlfn.XLOOKUP(TableDailySummary[[#This Row],[Fecha]],SummaryDaily[day],SummaryDaily[MetaAdsOperation.spend],0)</f>
        <v>0</v>
      </c>
      <c r="AA886" s="11">
        <f>SUMIFS(SalesByUTMDaily[facebook],SalesByUTMDaily[day],TableDailySummary[[#This Row],[Fecha]])</f>
        <v>0</v>
      </c>
      <c r="AB886" s="11">
        <f>TableDailySummary[[#This Row],[Inversión google ads]]+TableDailySummary[[#This Row],[Inversión meta ads]]</f>
        <v>0</v>
      </c>
      <c r="AC886" s="11">
        <f>TableDailySummary[[#This Row],[Ventas google ads]]+TableDailySummary[[#This Row],[Ventas meta ads]]</f>
        <v>0</v>
      </c>
      <c r="AD886" s="14">
        <f>IFERROR(TableDailySummary[[#This Row],[Ventas publicidad]]/TableDailySummary[[#This Row],[Inversión publicidad]],0)</f>
        <v>0</v>
      </c>
      <c r="AE886" s="14">
        <f>IFERROR(TableDailySummary[[#This Row],[Ventas primer cliente]]/TableDailySummary[[#This Row],[Inversión publicidad]],0)</f>
        <v>0</v>
      </c>
      <c r="AF886" s="14"/>
      <c r="AG886" s="11"/>
      <c r="AM886" s="11">
        <f>_xlfn.XLOOKUP(TableDailySummary[[#This Row],[Fecha]],SummaryDaily[day],SummaryDaily[net_sales_with_cost_recorded],0)</f>
        <v>0</v>
      </c>
      <c r="AN886" s="11">
        <f>_xlfn.XLOOKUP(TableDailySummary[[#This Row],[Fecha]],SummaryDaily[day],SummaryDaily[cost_of_goods_sold],0)</f>
        <v>0</v>
      </c>
      <c r="AO886" s="11">
        <f>_xlfn.XLOOKUP(TableDailySummary[[#This Row],[Fecha]],SummaryDaily[day],SummaryDaily[gross_profit],0)</f>
        <v>0</v>
      </c>
      <c r="AP886" s="18">
        <f>IFERROR(TableDailySummary[[#This Row],[Utilidad bruta]]/TableDailySummary[[#This Row],[Ventas netas con costo registrado]],0)</f>
        <v>0</v>
      </c>
    </row>
    <row r="887" spans="2:42" x14ac:dyDescent="0.2">
      <c r="B887" s="15" cm="1">
        <f t="array" ref="B887">ParamFechaInicioReporte + (ROW(TableDailySummary[#This Row]) - ROW(TableDailySummary[[#Headers],[Dia]]) - 1)</f>
        <v>45414</v>
      </c>
      <c r="C887" s="6">
        <f>TableDailySummary[[#This Row],[Dia]]</f>
        <v>45414</v>
      </c>
      <c r="D887" s="11">
        <f>_xlfn.XLOOKUP(TableDailySummary[[#This Row],[Fecha]],SummaryDaily[day],SummaryDaily[net_sales],0)</f>
        <v>0</v>
      </c>
      <c r="E887" s="11">
        <f>_xlfn.XLOOKUP(TableDailySummary[[#This Row],[Fecha]],SummaryDaily[day],SummaryDaily[orders],0)</f>
        <v>0</v>
      </c>
      <c r="F887" s="11">
        <f>_xlfn.XLOOKUP(TableDailySummary[[#This Row],[Fecha]],SummaryDaily[day],SummaryDaily[average_order_value],0)</f>
        <v>0</v>
      </c>
      <c r="G887" s="24" cm="1">
        <f t="array" ref="G887">_xlfn.XLOOKUP(TableDailySummary[[#This Row],[Fecha]]&amp;"Total site",ConversionRateByReferral[day]&amp;ConversionRateByReferral[referrer_source],ConversionRateByReferral[conversion_rate],0)</f>
        <v>0</v>
      </c>
      <c r="H887" s="11">
        <f>TableDailySummary[[#This Row],[Órden promedio totales]]*TableDailySummary[[#This Row],[CR totales]]</f>
        <v>0</v>
      </c>
      <c r="I887" s="11">
        <f>_xlfn.XLOOKUP(TableDailySummary[[#This Row],[Fecha]],SummaryDaily[day],SummaryDaily[new_net_sales],0)</f>
        <v>0</v>
      </c>
      <c r="J887" s="11">
        <f>_xlfn.XLOOKUP(TableDailySummary[[#This Row],[Fecha]],SummaryDaily[day],SummaryDaily[new_orders],0)</f>
        <v>0</v>
      </c>
      <c r="K887" s="11">
        <f>_xlfn.XLOOKUP(TableDailySummary[[#This Row],[Fecha]],SummaryDaily[day],SummaryDaily[new_average_order_value],0)</f>
        <v>0</v>
      </c>
      <c r="L887" s="11">
        <f>_xlfn.XLOOKUP(TableDailySummary[[#This Row],[Fecha]],SummaryDaily[day],SummaryDaily[Online Store_net_sales],0)</f>
        <v>0</v>
      </c>
      <c r="M887" s="11">
        <f>_xlfn.XLOOKUP(TableDailySummary[[#This Row],[Fecha]],SummaryDaily[day],SummaryDaily[Online Store_orders],0)</f>
        <v>0</v>
      </c>
      <c r="N887" s="11">
        <f>_xlfn.XLOOKUP(TableDailySummary[[#This Row],[Fecha]],SummaryDaily[day],SummaryDaily[Online Store_average_order_value],0)</f>
        <v>0</v>
      </c>
      <c r="O887" s="11">
        <f>_xlfn.XLOOKUP(TableDailySummary[[#This Row],[Fecha]],SummaryDaily[day],SummaryDaily[Tienda 81_net_sales],0)</f>
        <v>0</v>
      </c>
      <c r="P887" s="11">
        <f>_xlfn.XLOOKUP(TableDailySummary[[#This Row],[Fecha]],SummaryDaily[day],SummaryDaily[Tienda 81_orders],0)</f>
        <v>0</v>
      </c>
      <c r="Q887" s="11">
        <f>_xlfn.XLOOKUP(TableDailySummary[[#This Row],[Fecha]],SummaryDaily[day],SummaryDaily[Tienda 81_average_order_value],0)</f>
        <v>0</v>
      </c>
      <c r="R887" s="11">
        <f>_xlfn.XLOOKUP(TableDailySummary[[#This Row],[Fecha]],SummaryDaily[day],SummaryDaily[Rappi_net_sales],0)</f>
        <v>0</v>
      </c>
      <c r="S887" s="11">
        <f>_xlfn.XLOOKUP(TableDailySummary[[#This Row],[Fecha]],SummaryDaily[day],SummaryDaily[Rappi_orders],0)</f>
        <v>0</v>
      </c>
      <c r="T887" s="11">
        <f>_xlfn.XLOOKUP(TableDailySummary[[#This Row],[Fecha]],SummaryDaily[day],SummaryDaily[Rappi_average_order_value],0)</f>
        <v>0</v>
      </c>
      <c r="U887" s="11">
        <f>_xlfn.XLOOKUP(TableDailySummary[[#This Row],[Fecha]],SummaryDaily[day],SummaryDaily[Corporativo no tienda_net_sales],0)</f>
        <v>0</v>
      </c>
      <c r="V887" s="11">
        <f>_xlfn.XLOOKUP(TableDailySummary[[#This Row],[Fecha]],SummaryDaily[day],SummaryDaily[Corporativo no tienda_orders],0)</f>
        <v>0</v>
      </c>
      <c r="W887" s="11">
        <f>_xlfn.XLOOKUP(TableDailySummary[[#This Row],[Fecha]],SummaryDaily[day],SummaryDaily[Corporativo no tienda_average_order_value],0)</f>
        <v>0</v>
      </c>
      <c r="X887" s="11">
        <f>_xlfn.XLOOKUP(TableDailySummary[[#This Row],[Fecha]],SummaryDaily[day],SummaryDaily[GoogleAdsOperation.Cost],0)</f>
        <v>0</v>
      </c>
      <c r="Y887" s="11">
        <f>SUMIFS(SalesByUTMDaily[google],SalesByUTMDaily[day],TableDailySummary[[#This Row],[Fecha]])</f>
        <v>0</v>
      </c>
      <c r="Z887" s="11">
        <f>_xlfn.XLOOKUP(TableDailySummary[[#This Row],[Fecha]],SummaryDaily[day],SummaryDaily[MetaAdsOperation.spend],0)</f>
        <v>0</v>
      </c>
      <c r="AA887" s="11">
        <f>SUMIFS(SalesByUTMDaily[facebook],SalesByUTMDaily[day],TableDailySummary[[#This Row],[Fecha]])</f>
        <v>0</v>
      </c>
      <c r="AB887" s="11">
        <f>TableDailySummary[[#This Row],[Inversión google ads]]+TableDailySummary[[#This Row],[Inversión meta ads]]</f>
        <v>0</v>
      </c>
      <c r="AC887" s="11">
        <f>TableDailySummary[[#This Row],[Ventas google ads]]+TableDailySummary[[#This Row],[Ventas meta ads]]</f>
        <v>0</v>
      </c>
      <c r="AD887" s="14">
        <f>IFERROR(TableDailySummary[[#This Row],[Ventas publicidad]]/TableDailySummary[[#This Row],[Inversión publicidad]],0)</f>
        <v>0</v>
      </c>
      <c r="AE887" s="14">
        <f>IFERROR(TableDailySummary[[#This Row],[Ventas primer cliente]]/TableDailySummary[[#This Row],[Inversión publicidad]],0)</f>
        <v>0</v>
      </c>
      <c r="AF887" s="14"/>
      <c r="AG887" s="11"/>
      <c r="AM887" s="11">
        <f>_xlfn.XLOOKUP(TableDailySummary[[#This Row],[Fecha]],SummaryDaily[day],SummaryDaily[net_sales_with_cost_recorded],0)</f>
        <v>0</v>
      </c>
      <c r="AN887" s="11">
        <f>_xlfn.XLOOKUP(TableDailySummary[[#This Row],[Fecha]],SummaryDaily[day],SummaryDaily[cost_of_goods_sold],0)</f>
        <v>0</v>
      </c>
      <c r="AO887" s="11">
        <f>_xlfn.XLOOKUP(TableDailySummary[[#This Row],[Fecha]],SummaryDaily[day],SummaryDaily[gross_profit],0)</f>
        <v>0</v>
      </c>
      <c r="AP887" s="18">
        <f>IFERROR(TableDailySummary[[#This Row],[Utilidad bruta]]/TableDailySummary[[#This Row],[Ventas netas con costo registrado]],0)</f>
        <v>0</v>
      </c>
    </row>
    <row r="888" spans="2:42" x14ac:dyDescent="0.2">
      <c r="B888" s="15" cm="1">
        <f t="array" ref="B888">ParamFechaInicioReporte + (ROW(TableDailySummary[#This Row]) - ROW(TableDailySummary[[#Headers],[Dia]]) - 1)</f>
        <v>45415</v>
      </c>
      <c r="C888" s="6">
        <f>TableDailySummary[[#This Row],[Dia]]</f>
        <v>45415</v>
      </c>
      <c r="D888" s="11">
        <f>_xlfn.XLOOKUP(TableDailySummary[[#This Row],[Fecha]],SummaryDaily[day],SummaryDaily[net_sales],0)</f>
        <v>0</v>
      </c>
      <c r="E888" s="11">
        <f>_xlfn.XLOOKUP(TableDailySummary[[#This Row],[Fecha]],SummaryDaily[day],SummaryDaily[orders],0)</f>
        <v>0</v>
      </c>
      <c r="F888" s="11">
        <f>_xlfn.XLOOKUP(TableDailySummary[[#This Row],[Fecha]],SummaryDaily[day],SummaryDaily[average_order_value],0)</f>
        <v>0</v>
      </c>
      <c r="G888" s="24" cm="1">
        <f t="array" ref="G888">_xlfn.XLOOKUP(TableDailySummary[[#This Row],[Fecha]]&amp;"Total site",ConversionRateByReferral[day]&amp;ConversionRateByReferral[referrer_source],ConversionRateByReferral[conversion_rate],0)</f>
        <v>0</v>
      </c>
      <c r="H888" s="11">
        <f>TableDailySummary[[#This Row],[Órden promedio totales]]*TableDailySummary[[#This Row],[CR totales]]</f>
        <v>0</v>
      </c>
      <c r="I888" s="11">
        <f>_xlfn.XLOOKUP(TableDailySummary[[#This Row],[Fecha]],SummaryDaily[day],SummaryDaily[new_net_sales],0)</f>
        <v>0</v>
      </c>
      <c r="J888" s="11">
        <f>_xlfn.XLOOKUP(TableDailySummary[[#This Row],[Fecha]],SummaryDaily[day],SummaryDaily[new_orders],0)</f>
        <v>0</v>
      </c>
      <c r="K888" s="11">
        <f>_xlfn.XLOOKUP(TableDailySummary[[#This Row],[Fecha]],SummaryDaily[day],SummaryDaily[new_average_order_value],0)</f>
        <v>0</v>
      </c>
      <c r="L888" s="11">
        <f>_xlfn.XLOOKUP(TableDailySummary[[#This Row],[Fecha]],SummaryDaily[day],SummaryDaily[Online Store_net_sales],0)</f>
        <v>0</v>
      </c>
      <c r="M888" s="11">
        <f>_xlfn.XLOOKUP(TableDailySummary[[#This Row],[Fecha]],SummaryDaily[day],SummaryDaily[Online Store_orders],0)</f>
        <v>0</v>
      </c>
      <c r="N888" s="11">
        <f>_xlfn.XLOOKUP(TableDailySummary[[#This Row],[Fecha]],SummaryDaily[day],SummaryDaily[Online Store_average_order_value],0)</f>
        <v>0</v>
      </c>
      <c r="O888" s="11">
        <f>_xlfn.XLOOKUP(TableDailySummary[[#This Row],[Fecha]],SummaryDaily[day],SummaryDaily[Tienda 81_net_sales],0)</f>
        <v>0</v>
      </c>
      <c r="P888" s="11">
        <f>_xlfn.XLOOKUP(TableDailySummary[[#This Row],[Fecha]],SummaryDaily[day],SummaryDaily[Tienda 81_orders],0)</f>
        <v>0</v>
      </c>
      <c r="Q888" s="11">
        <f>_xlfn.XLOOKUP(TableDailySummary[[#This Row],[Fecha]],SummaryDaily[day],SummaryDaily[Tienda 81_average_order_value],0)</f>
        <v>0</v>
      </c>
      <c r="R888" s="11">
        <f>_xlfn.XLOOKUP(TableDailySummary[[#This Row],[Fecha]],SummaryDaily[day],SummaryDaily[Rappi_net_sales],0)</f>
        <v>0</v>
      </c>
      <c r="S888" s="11">
        <f>_xlfn.XLOOKUP(TableDailySummary[[#This Row],[Fecha]],SummaryDaily[day],SummaryDaily[Rappi_orders],0)</f>
        <v>0</v>
      </c>
      <c r="T888" s="11">
        <f>_xlfn.XLOOKUP(TableDailySummary[[#This Row],[Fecha]],SummaryDaily[day],SummaryDaily[Rappi_average_order_value],0)</f>
        <v>0</v>
      </c>
      <c r="U888" s="11">
        <f>_xlfn.XLOOKUP(TableDailySummary[[#This Row],[Fecha]],SummaryDaily[day],SummaryDaily[Corporativo no tienda_net_sales],0)</f>
        <v>0</v>
      </c>
      <c r="V888" s="11">
        <f>_xlfn.XLOOKUP(TableDailySummary[[#This Row],[Fecha]],SummaryDaily[day],SummaryDaily[Corporativo no tienda_orders],0)</f>
        <v>0</v>
      </c>
      <c r="W888" s="11">
        <f>_xlfn.XLOOKUP(TableDailySummary[[#This Row],[Fecha]],SummaryDaily[day],SummaryDaily[Corporativo no tienda_average_order_value],0)</f>
        <v>0</v>
      </c>
      <c r="X888" s="11">
        <f>_xlfn.XLOOKUP(TableDailySummary[[#This Row],[Fecha]],SummaryDaily[day],SummaryDaily[GoogleAdsOperation.Cost],0)</f>
        <v>0</v>
      </c>
      <c r="Y888" s="11">
        <f>SUMIFS(SalesByUTMDaily[google],SalesByUTMDaily[day],TableDailySummary[[#This Row],[Fecha]])</f>
        <v>0</v>
      </c>
      <c r="Z888" s="11">
        <f>_xlfn.XLOOKUP(TableDailySummary[[#This Row],[Fecha]],SummaryDaily[day],SummaryDaily[MetaAdsOperation.spend],0)</f>
        <v>0</v>
      </c>
      <c r="AA888" s="11">
        <f>SUMIFS(SalesByUTMDaily[facebook],SalesByUTMDaily[day],TableDailySummary[[#This Row],[Fecha]])</f>
        <v>0</v>
      </c>
      <c r="AB888" s="11">
        <f>TableDailySummary[[#This Row],[Inversión google ads]]+TableDailySummary[[#This Row],[Inversión meta ads]]</f>
        <v>0</v>
      </c>
      <c r="AC888" s="11">
        <f>TableDailySummary[[#This Row],[Ventas google ads]]+TableDailySummary[[#This Row],[Ventas meta ads]]</f>
        <v>0</v>
      </c>
      <c r="AD888" s="14">
        <f>IFERROR(TableDailySummary[[#This Row],[Ventas publicidad]]/TableDailySummary[[#This Row],[Inversión publicidad]],0)</f>
        <v>0</v>
      </c>
      <c r="AE888" s="14">
        <f>IFERROR(TableDailySummary[[#This Row],[Ventas primer cliente]]/TableDailySummary[[#This Row],[Inversión publicidad]],0)</f>
        <v>0</v>
      </c>
      <c r="AF888" s="14"/>
      <c r="AG888" s="11"/>
      <c r="AM888" s="11">
        <f>_xlfn.XLOOKUP(TableDailySummary[[#This Row],[Fecha]],SummaryDaily[day],SummaryDaily[net_sales_with_cost_recorded],0)</f>
        <v>0</v>
      </c>
      <c r="AN888" s="11">
        <f>_xlfn.XLOOKUP(TableDailySummary[[#This Row],[Fecha]],SummaryDaily[day],SummaryDaily[cost_of_goods_sold],0)</f>
        <v>0</v>
      </c>
      <c r="AO888" s="11">
        <f>_xlfn.XLOOKUP(TableDailySummary[[#This Row],[Fecha]],SummaryDaily[day],SummaryDaily[gross_profit],0)</f>
        <v>0</v>
      </c>
      <c r="AP888" s="18">
        <f>IFERROR(TableDailySummary[[#This Row],[Utilidad bruta]]/TableDailySummary[[#This Row],[Ventas netas con costo registrado]],0)</f>
        <v>0</v>
      </c>
    </row>
    <row r="889" spans="2:42" x14ac:dyDescent="0.2">
      <c r="B889" s="15" cm="1">
        <f t="array" ref="B889">ParamFechaInicioReporte + (ROW(TableDailySummary[#This Row]) - ROW(TableDailySummary[[#Headers],[Dia]]) - 1)</f>
        <v>45416</v>
      </c>
      <c r="C889" s="6">
        <f>TableDailySummary[[#This Row],[Dia]]</f>
        <v>45416</v>
      </c>
      <c r="D889" s="11">
        <f>_xlfn.XLOOKUP(TableDailySummary[[#This Row],[Fecha]],SummaryDaily[day],SummaryDaily[net_sales],0)</f>
        <v>0</v>
      </c>
      <c r="E889" s="11">
        <f>_xlfn.XLOOKUP(TableDailySummary[[#This Row],[Fecha]],SummaryDaily[day],SummaryDaily[orders],0)</f>
        <v>0</v>
      </c>
      <c r="F889" s="11">
        <f>_xlfn.XLOOKUP(TableDailySummary[[#This Row],[Fecha]],SummaryDaily[day],SummaryDaily[average_order_value],0)</f>
        <v>0</v>
      </c>
      <c r="G889" s="24" cm="1">
        <f t="array" ref="G889">_xlfn.XLOOKUP(TableDailySummary[[#This Row],[Fecha]]&amp;"Total site",ConversionRateByReferral[day]&amp;ConversionRateByReferral[referrer_source],ConversionRateByReferral[conversion_rate],0)</f>
        <v>0</v>
      </c>
      <c r="H889" s="11">
        <f>TableDailySummary[[#This Row],[Órden promedio totales]]*TableDailySummary[[#This Row],[CR totales]]</f>
        <v>0</v>
      </c>
      <c r="I889" s="11">
        <f>_xlfn.XLOOKUP(TableDailySummary[[#This Row],[Fecha]],SummaryDaily[day],SummaryDaily[new_net_sales],0)</f>
        <v>0</v>
      </c>
      <c r="J889" s="11">
        <f>_xlfn.XLOOKUP(TableDailySummary[[#This Row],[Fecha]],SummaryDaily[day],SummaryDaily[new_orders],0)</f>
        <v>0</v>
      </c>
      <c r="K889" s="11">
        <f>_xlfn.XLOOKUP(TableDailySummary[[#This Row],[Fecha]],SummaryDaily[day],SummaryDaily[new_average_order_value],0)</f>
        <v>0</v>
      </c>
      <c r="L889" s="11">
        <f>_xlfn.XLOOKUP(TableDailySummary[[#This Row],[Fecha]],SummaryDaily[day],SummaryDaily[Online Store_net_sales],0)</f>
        <v>0</v>
      </c>
      <c r="M889" s="11">
        <f>_xlfn.XLOOKUP(TableDailySummary[[#This Row],[Fecha]],SummaryDaily[day],SummaryDaily[Online Store_orders],0)</f>
        <v>0</v>
      </c>
      <c r="N889" s="11">
        <f>_xlfn.XLOOKUP(TableDailySummary[[#This Row],[Fecha]],SummaryDaily[day],SummaryDaily[Online Store_average_order_value],0)</f>
        <v>0</v>
      </c>
      <c r="O889" s="11">
        <f>_xlfn.XLOOKUP(TableDailySummary[[#This Row],[Fecha]],SummaryDaily[day],SummaryDaily[Tienda 81_net_sales],0)</f>
        <v>0</v>
      </c>
      <c r="P889" s="11">
        <f>_xlfn.XLOOKUP(TableDailySummary[[#This Row],[Fecha]],SummaryDaily[day],SummaryDaily[Tienda 81_orders],0)</f>
        <v>0</v>
      </c>
      <c r="Q889" s="11">
        <f>_xlfn.XLOOKUP(TableDailySummary[[#This Row],[Fecha]],SummaryDaily[day],SummaryDaily[Tienda 81_average_order_value],0)</f>
        <v>0</v>
      </c>
      <c r="R889" s="11">
        <f>_xlfn.XLOOKUP(TableDailySummary[[#This Row],[Fecha]],SummaryDaily[day],SummaryDaily[Rappi_net_sales],0)</f>
        <v>0</v>
      </c>
      <c r="S889" s="11">
        <f>_xlfn.XLOOKUP(TableDailySummary[[#This Row],[Fecha]],SummaryDaily[day],SummaryDaily[Rappi_orders],0)</f>
        <v>0</v>
      </c>
      <c r="T889" s="11">
        <f>_xlfn.XLOOKUP(TableDailySummary[[#This Row],[Fecha]],SummaryDaily[day],SummaryDaily[Rappi_average_order_value],0)</f>
        <v>0</v>
      </c>
      <c r="U889" s="11">
        <f>_xlfn.XLOOKUP(TableDailySummary[[#This Row],[Fecha]],SummaryDaily[day],SummaryDaily[Corporativo no tienda_net_sales],0)</f>
        <v>0</v>
      </c>
      <c r="V889" s="11">
        <f>_xlfn.XLOOKUP(TableDailySummary[[#This Row],[Fecha]],SummaryDaily[day],SummaryDaily[Corporativo no tienda_orders],0)</f>
        <v>0</v>
      </c>
      <c r="W889" s="11">
        <f>_xlfn.XLOOKUP(TableDailySummary[[#This Row],[Fecha]],SummaryDaily[day],SummaryDaily[Corporativo no tienda_average_order_value],0)</f>
        <v>0</v>
      </c>
      <c r="X889" s="11">
        <f>_xlfn.XLOOKUP(TableDailySummary[[#This Row],[Fecha]],SummaryDaily[day],SummaryDaily[GoogleAdsOperation.Cost],0)</f>
        <v>0</v>
      </c>
      <c r="Y889" s="11">
        <f>SUMIFS(SalesByUTMDaily[google],SalesByUTMDaily[day],TableDailySummary[[#This Row],[Fecha]])</f>
        <v>0</v>
      </c>
      <c r="Z889" s="11">
        <f>_xlfn.XLOOKUP(TableDailySummary[[#This Row],[Fecha]],SummaryDaily[day],SummaryDaily[MetaAdsOperation.spend],0)</f>
        <v>0</v>
      </c>
      <c r="AA889" s="11">
        <f>SUMIFS(SalesByUTMDaily[facebook],SalesByUTMDaily[day],TableDailySummary[[#This Row],[Fecha]])</f>
        <v>0</v>
      </c>
      <c r="AB889" s="11">
        <f>TableDailySummary[[#This Row],[Inversión google ads]]+TableDailySummary[[#This Row],[Inversión meta ads]]</f>
        <v>0</v>
      </c>
      <c r="AC889" s="11">
        <f>TableDailySummary[[#This Row],[Ventas google ads]]+TableDailySummary[[#This Row],[Ventas meta ads]]</f>
        <v>0</v>
      </c>
      <c r="AD889" s="14">
        <f>IFERROR(TableDailySummary[[#This Row],[Ventas publicidad]]/TableDailySummary[[#This Row],[Inversión publicidad]],0)</f>
        <v>0</v>
      </c>
      <c r="AE889" s="14">
        <f>IFERROR(TableDailySummary[[#This Row],[Ventas primer cliente]]/TableDailySummary[[#This Row],[Inversión publicidad]],0)</f>
        <v>0</v>
      </c>
      <c r="AF889" s="14"/>
      <c r="AG889" s="11"/>
      <c r="AM889" s="11">
        <f>_xlfn.XLOOKUP(TableDailySummary[[#This Row],[Fecha]],SummaryDaily[day],SummaryDaily[net_sales_with_cost_recorded],0)</f>
        <v>0</v>
      </c>
      <c r="AN889" s="11">
        <f>_xlfn.XLOOKUP(TableDailySummary[[#This Row],[Fecha]],SummaryDaily[day],SummaryDaily[cost_of_goods_sold],0)</f>
        <v>0</v>
      </c>
      <c r="AO889" s="11">
        <f>_xlfn.XLOOKUP(TableDailySummary[[#This Row],[Fecha]],SummaryDaily[day],SummaryDaily[gross_profit],0)</f>
        <v>0</v>
      </c>
      <c r="AP889" s="18">
        <f>IFERROR(TableDailySummary[[#This Row],[Utilidad bruta]]/TableDailySummary[[#This Row],[Ventas netas con costo registrado]],0)</f>
        <v>0</v>
      </c>
    </row>
    <row r="890" spans="2:42" x14ac:dyDescent="0.2">
      <c r="B890" s="15" cm="1">
        <f t="array" ref="B890">ParamFechaInicioReporte + (ROW(TableDailySummary[#This Row]) - ROW(TableDailySummary[[#Headers],[Dia]]) - 1)</f>
        <v>45417</v>
      </c>
      <c r="C890" s="6">
        <f>TableDailySummary[[#This Row],[Dia]]</f>
        <v>45417</v>
      </c>
      <c r="D890" s="11">
        <f>_xlfn.XLOOKUP(TableDailySummary[[#This Row],[Fecha]],SummaryDaily[day],SummaryDaily[net_sales],0)</f>
        <v>0</v>
      </c>
      <c r="E890" s="11">
        <f>_xlfn.XLOOKUP(TableDailySummary[[#This Row],[Fecha]],SummaryDaily[day],SummaryDaily[orders],0)</f>
        <v>0</v>
      </c>
      <c r="F890" s="11">
        <f>_xlfn.XLOOKUP(TableDailySummary[[#This Row],[Fecha]],SummaryDaily[day],SummaryDaily[average_order_value],0)</f>
        <v>0</v>
      </c>
      <c r="G890" s="24" cm="1">
        <f t="array" ref="G890">_xlfn.XLOOKUP(TableDailySummary[[#This Row],[Fecha]]&amp;"Total site",ConversionRateByReferral[day]&amp;ConversionRateByReferral[referrer_source],ConversionRateByReferral[conversion_rate],0)</f>
        <v>0</v>
      </c>
      <c r="H890" s="11">
        <f>TableDailySummary[[#This Row],[Órden promedio totales]]*TableDailySummary[[#This Row],[CR totales]]</f>
        <v>0</v>
      </c>
      <c r="I890" s="11">
        <f>_xlfn.XLOOKUP(TableDailySummary[[#This Row],[Fecha]],SummaryDaily[day],SummaryDaily[new_net_sales],0)</f>
        <v>0</v>
      </c>
      <c r="J890" s="11">
        <f>_xlfn.XLOOKUP(TableDailySummary[[#This Row],[Fecha]],SummaryDaily[day],SummaryDaily[new_orders],0)</f>
        <v>0</v>
      </c>
      <c r="K890" s="11">
        <f>_xlfn.XLOOKUP(TableDailySummary[[#This Row],[Fecha]],SummaryDaily[day],SummaryDaily[new_average_order_value],0)</f>
        <v>0</v>
      </c>
      <c r="L890" s="11">
        <f>_xlfn.XLOOKUP(TableDailySummary[[#This Row],[Fecha]],SummaryDaily[day],SummaryDaily[Online Store_net_sales],0)</f>
        <v>0</v>
      </c>
      <c r="M890" s="11">
        <f>_xlfn.XLOOKUP(TableDailySummary[[#This Row],[Fecha]],SummaryDaily[day],SummaryDaily[Online Store_orders],0)</f>
        <v>0</v>
      </c>
      <c r="N890" s="11">
        <f>_xlfn.XLOOKUP(TableDailySummary[[#This Row],[Fecha]],SummaryDaily[day],SummaryDaily[Online Store_average_order_value],0)</f>
        <v>0</v>
      </c>
      <c r="O890" s="11">
        <f>_xlfn.XLOOKUP(TableDailySummary[[#This Row],[Fecha]],SummaryDaily[day],SummaryDaily[Tienda 81_net_sales],0)</f>
        <v>0</v>
      </c>
      <c r="P890" s="11">
        <f>_xlfn.XLOOKUP(TableDailySummary[[#This Row],[Fecha]],SummaryDaily[day],SummaryDaily[Tienda 81_orders],0)</f>
        <v>0</v>
      </c>
      <c r="Q890" s="11">
        <f>_xlfn.XLOOKUP(TableDailySummary[[#This Row],[Fecha]],SummaryDaily[day],SummaryDaily[Tienda 81_average_order_value],0)</f>
        <v>0</v>
      </c>
      <c r="R890" s="11">
        <f>_xlfn.XLOOKUP(TableDailySummary[[#This Row],[Fecha]],SummaryDaily[day],SummaryDaily[Rappi_net_sales],0)</f>
        <v>0</v>
      </c>
      <c r="S890" s="11">
        <f>_xlfn.XLOOKUP(TableDailySummary[[#This Row],[Fecha]],SummaryDaily[day],SummaryDaily[Rappi_orders],0)</f>
        <v>0</v>
      </c>
      <c r="T890" s="11">
        <f>_xlfn.XLOOKUP(TableDailySummary[[#This Row],[Fecha]],SummaryDaily[day],SummaryDaily[Rappi_average_order_value],0)</f>
        <v>0</v>
      </c>
      <c r="U890" s="11">
        <f>_xlfn.XLOOKUP(TableDailySummary[[#This Row],[Fecha]],SummaryDaily[day],SummaryDaily[Corporativo no tienda_net_sales],0)</f>
        <v>0</v>
      </c>
      <c r="V890" s="11">
        <f>_xlfn.XLOOKUP(TableDailySummary[[#This Row],[Fecha]],SummaryDaily[day],SummaryDaily[Corporativo no tienda_orders],0)</f>
        <v>0</v>
      </c>
      <c r="W890" s="11">
        <f>_xlfn.XLOOKUP(TableDailySummary[[#This Row],[Fecha]],SummaryDaily[day],SummaryDaily[Corporativo no tienda_average_order_value],0)</f>
        <v>0</v>
      </c>
      <c r="X890" s="11">
        <f>_xlfn.XLOOKUP(TableDailySummary[[#This Row],[Fecha]],SummaryDaily[day],SummaryDaily[GoogleAdsOperation.Cost],0)</f>
        <v>0</v>
      </c>
      <c r="Y890" s="11">
        <f>SUMIFS(SalesByUTMDaily[google],SalesByUTMDaily[day],TableDailySummary[[#This Row],[Fecha]])</f>
        <v>0</v>
      </c>
      <c r="Z890" s="11">
        <f>_xlfn.XLOOKUP(TableDailySummary[[#This Row],[Fecha]],SummaryDaily[day],SummaryDaily[MetaAdsOperation.spend],0)</f>
        <v>0</v>
      </c>
      <c r="AA890" s="11">
        <f>SUMIFS(SalesByUTMDaily[facebook],SalesByUTMDaily[day],TableDailySummary[[#This Row],[Fecha]])</f>
        <v>0</v>
      </c>
      <c r="AB890" s="11">
        <f>TableDailySummary[[#This Row],[Inversión google ads]]+TableDailySummary[[#This Row],[Inversión meta ads]]</f>
        <v>0</v>
      </c>
      <c r="AC890" s="11">
        <f>TableDailySummary[[#This Row],[Ventas google ads]]+TableDailySummary[[#This Row],[Ventas meta ads]]</f>
        <v>0</v>
      </c>
      <c r="AD890" s="14">
        <f>IFERROR(TableDailySummary[[#This Row],[Ventas publicidad]]/TableDailySummary[[#This Row],[Inversión publicidad]],0)</f>
        <v>0</v>
      </c>
      <c r="AE890" s="14">
        <f>IFERROR(TableDailySummary[[#This Row],[Ventas primer cliente]]/TableDailySummary[[#This Row],[Inversión publicidad]],0)</f>
        <v>0</v>
      </c>
      <c r="AF890" s="14"/>
      <c r="AG890" s="11"/>
      <c r="AM890" s="11">
        <f>_xlfn.XLOOKUP(TableDailySummary[[#This Row],[Fecha]],SummaryDaily[day],SummaryDaily[net_sales_with_cost_recorded],0)</f>
        <v>0</v>
      </c>
      <c r="AN890" s="11">
        <f>_xlfn.XLOOKUP(TableDailySummary[[#This Row],[Fecha]],SummaryDaily[day],SummaryDaily[cost_of_goods_sold],0)</f>
        <v>0</v>
      </c>
      <c r="AO890" s="11">
        <f>_xlfn.XLOOKUP(TableDailySummary[[#This Row],[Fecha]],SummaryDaily[day],SummaryDaily[gross_profit],0)</f>
        <v>0</v>
      </c>
      <c r="AP890" s="18">
        <f>IFERROR(TableDailySummary[[#This Row],[Utilidad bruta]]/TableDailySummary[[#This Row],[Ventas netas con costo registrado]],0)</f>
        <v>0</v>
      </c>
    </row>
    <row r="891" spans="2:42" x14ac:dyDescent="0.2">
      <c r="B891" s="15" cm="1">
        <f t="array" ref="B891">ParamFechaInicioReporte + (ROW(TableDailySummary[#This Row]) - ROW(TableDailySummary[[#Headers],[Dia]]) - 1)</f>
        <v>45418</v>
      </c>
      <c r="C891" s="6">
        <f>TableDailySummary[[#This Row],[Dia]]</f>
        <v>45418</v>
      </c>
      <c r="D891" s="11">
        <f>_xlfn.XLOOKUP(TableDailySummary[[#This Row],[Fecha]],SummaryDaily[day],SummaryDaily[net_sales],0)</f>
        <v>0</v>
      </c>
      <c r="E891" s="11">
        <f>_xlfn.XLOOKUP(TableDailySummary[[#This Row],[Fecha]],SummaryDaily[day],SummaryDaily[orders],0)</f>
        <v>0</v>
      </c>
      <c r="F891" s="11">
        <f>_xlfn.XLOOKUP(TableDailySummary[[#This Row],[Fecha]],SummaryDaily[day],SummaryDaily[average_order_value],0)</f>
        <v>0</v>
      </c>
      <c r="G891" s="24" cm="1">
        <f t="array" ref="G891">_xlfn.XLOOKUP(TableDailySummary[[#This Row],[Fecha]]&amp;"Total site",ConversionRateByReferral[day]&amp;ConversionRateByReferral[referrer_source],ConversionRateByReferral[conversion_rate],0)</f>
        <v>0</v>
      </c>
      <c r="H891" s="11">
        <f>TableDailySummary[[#This Row],[Órden promedio totales]]*TableDailySummary[[#This Row],[CR totales]]</f>
        <v>0</v>
      </c>
      <c r="I891" s="11">
        <f>_xlfn.XLOOKUP(TableDailySummary[[#This Row],[Fecha]],SummaryDaily[day],SummaryDaily[new_net_sales],0)</f>
        <v>0</v>
      </c>
      <c r="J891" s="11">
        <f>_xlfn.XLOOKUP(TableDailySummary[[#This Row],[Fecha]],SummaryDaily[day],SummaryDaily[new_orders],0)</f>
        <v>0</v>
      </c>
      <c r="K891" s="11">
        <f>_xlfn.XLOOKUP(TableDailySummary[[#This Row],[Fecha]],SummaryDaily[day],SummaryDaily[new_average_order_value],0)</f>
        <v>0</v>
      </c>
      <c r="L891" s="11">
        <f>_xlfn.XLOOKUP(TableDailySummary[[#This Row],[Fecha]],SummaryDaily[day],SummaryDaily[Online Store_net_sales],0)</f>
        <v>0</v>
      </c>
      <c r="M891" s="11">
        <f>_xlfn.XLOOKUP(TableDailySummary[[#This Row],[Fecha]],SummaryDaily[day],SummaryDaily[Online Store_orders],0)</f>
        <v>0</v>
      </c>
      <c r="N891" s="11">
        <f>_xlfn.XLOOKUP(TableDailySummary[[#This Row],[Fecha]],SummaryDaily[day],SummaryDaily[Online Store_average_order_value],0)</f>
        <v>0</v>
      </c>
      <c r="O891" s="11">
        <f>_xlfn.XLOOKUP(TableDailySummary[[#This Row],[Fecha]],SummaryDaily[day],SummaryDaily[Tienda 81_net_sales],0)</f>
        <v>0</v>
      </c>
      <c r="P891" s="11">
        <f>_xlfn.XLOOKUP(TableDailySummary[[#This Row],[Fecha]],SummaryDaily[day],SummaryDaily[Tienda 81_orders],0)</f>
        <v>0</v>
      </c>
      <c r="Q891" s="11">
        <f>_xlfn.XLOOKUP(TableDailySummary[[#This Row],[Fecha]],SummaryDaily[day],SummaryDaily[Tienda 81_average_order_value],0)</f>
        <v>0</v>
      </c>
      <c r="R891" s="11">
        <f>_xlfn.XLOOKUP(TableDailySummary[[#This Row],[Fecha]],SummaryDaily[day],SummaryDaily[Rappi_net_sales],0)</f>
        <v>0</v>
      </c>
      <c r="S891" s="11">
        <f>_xlfn.XLOOKUP(TableDailySummary[[#This Row],[Fecha]],SummaryDaily[day],SummaryDaily[Rappi_orders],0)</f>
        <v>0</v>
      </c>
      <c r="T891" s="11">
        <f>_xlfn.XLOOKUP(TableDailySummary[[#This Row],[Fecha]],SummaryDaily[day],SummaryDaily[Rappi_average_order_value],0)</f>
        <v>0</v>
      </c>
      <c r="U891" s="11">
        <f>_xlfn.XLOOKUP(TableDailySummary[[#This Row],[Fecha]],SummaryDaily[day],SummaryDaily[Corporativo no tienda_net_sales],0)</f>
        <v>0</v>
      </c>
      <c r="V891" s="11">
        <f>_xlfn.XLOOKUP(TableDailySummary[[#This Row],[Fecha]],SummaryDaily[day],SummaryDaily[Corporativo no tienda_orders],0)</f>
        <v>0</v>
      </c>
      <c r="W891" s="11">
        <f>_xlfn.XLOOKUP(TableDailySummary[[#This Row],[Fecha]],SummaryDaily[day],SummaryDaily[Corporativo no tienda_average_order_value],0)</f>
        <v>0</v>
      </c>
      <c r="X891" s="11">
        <f>_xlfn.XLOOKUP(TableDailySummary[[#This Row],[Fecha]],SummaryDaily[day],SummaryDaily[GoogleAdsOperation.Cost],0)</f>
        <v>0</v>
      </c>
      <c r="Y891" s="11">
        <f>SUMIFS(SalesByUTMDaily[google],SalesByUTMDaily[day],TableDailySummary[[#This Row],[Fecha]])</f>
        <v>0</v>
      </c>
      <c r="Z891" s="11">
        <f>_xlfn.XLOOKUP(TableDailySummary[[#This Row],[Fecha]],SummaryDaily[day],SummaryDaily[MetaAdsOperation.spend],0)</f>
        <v>0</v>
      </c>
      <c r="AA891" s="11">
        <f>SUMIFS(SalesByUTMDaily[facebook],SalesByUTMDaily[day],TableDailySummary[[#This Row],[Fecha]])</f>
        <v>0</v>
      </c>
      <c r="AB891" s="11">
        <f>TableDailySummary[[#This Row],[Inversión google ads]]+TableDailySummary[[#This Row],[Inversión meta ads]]</f>
        <v>0</v>
      </c>
      <c r="AC891" s="11">
        <f>TableDailySummary[[#This Row],[Ventas google ads]]+TableDailySummary[[#This Row],[Ventas meta ads]]</f>
        <v>0</v>
      </c>
      <c r="AD891" s="14">
        <f>IFERROR(TableDailySummary[[#This Row],[Ventas publicidad]]/TableDailySummary[[#This Row],[Inversión publicidad]],0)</f>
        <v>0</v>
      </c>
      <c r="AE891" s="14">
        <f>IFERROR(TableDailySummary[[#This Row],[Ventas primer cliente]]/TableDailySummary[[#This Row],[Inversión publicidad]],0)</f>
        <v>0</v>
      </c>
      <c r="AF891" s="14"/>
      <c r="AG891" s="11"/>
      <c r="AM891" s="11">
        <f>_xlfn.XLOOKUP(TableDailySummary[[#This Row],[Fecha]],SummaryDaily[day],SummaryDaily[net_sales_with_cost_recorded],0)</f>
        <v>0</v>
      </c>
      <c r="AN891" s="11">
        <f>_xlfn.XLOOKUP(TableDailySummary[[#This Row],[Fecha]],SummaryDaily[day],SummaryDaily[cost_of_goods_sold],0)</f>
        <v>0</v>
      </c>
      <c r="AO891" s="11">
        <f>_xlfn.XLOOKUP(TableDailySummary[[#This Row],[Fecha]],SummaryDaily[day],SummaryDaily[gross_profit],0)</f>
        <v>0</v>
      </c>
      <c r="AP891" s="18">
        <f>IFERROR(TableDailySummary[[#This Row],[Utilidad bruta]]/TableDailySummary[[#This Row],[Ventas netas con costo registrado]],0)</f>
        <v>0</v>
      </c>
    </row>
    <row r="892" spans="2:42" x14ac:dyDescent="0.2">
      <c r="B892" s="15" cm="1">
        <f t="array" ref="B892">ParamFechaInicioReporte + (ROW(TableDailySummary[#This Row]) - ROW(TableDailySummary[[#Headers],[Dia]]) - 1)</f>
        <v>45419</v>
      </c>
      <c r="C892" s="6">
        <f>TableDailySummary[[#This Row],[Dia]]</f>
        <v>45419</v>
      </c>
      <c r="D892" s="11">
        <f>_xlfn.XLOOKUP(TableDailySummary[[#This Row],[Fecha]],SummaryDaily[day],SummaryDaily[net_sales],0)</f>
        <v>0</v>
      </c>
      <c r="E892" s="11">
        <f>_xlfn.XLOOKUP(TableDailySummary[[#This Row],[Fecha]],SummaryDaily[day],SummaryDaily[orders],0)</f>
        <v>0</v>
      </c>
      <c r="F892" s="11">
        <f>_xlfn.XLOOKUP(TableDailySummary[[#This Row],[Fecha]],SummaryDaily[day],SummaryDaily[average_order_value],0)</f>
        <v>0</v>
      </c>
      <c r="G892" s="24" cm="1">
        <f t="array" ref="G892">_xlfn.XLOOKUP(TableDailySummary[[#This Row],[Fecha]]&amp;"Total site",ConversionRateByReferral[day]&amp;ConversionRateByReferral[referrer_source],ConversionRateByReferral[conversion_rate],0)</f>
        <v>0</v>
      </c>
      <c r="H892" s="11">
        <f>TableDailySummary[[#This Row],[Órden promedio totales]]*TableDailySummary[[#This Row],[CR totales]]</f>
        <v>0</v>
      </c>
      <c r="I892" s="11">
        <f>_xlfn.XLOOKUP(TableDailySummary[[#This Row],[Fecha]],SummaryDaily[day],SummaryDaily[new_net_sales],0)</f>
        <v>0</v>
      </c>
      <c r="J892" s="11">
        <f>_xlfn.XLOOKUP(TableDailySummary[[#This Row],[Fecha]],SummaryDaily[day],SummaryDaily[new_orders],0)</f>
        <v>0</v>
      </c>
      <c r="K892" s="11">
        <f>_xlfn.XLOOKUP(TableDailySummary[[#This Row],[Fecha]],SummaryDaily[day],SummaryDaily[new_average_order_value],0)</f>
        <v>0</v>
      </c>
      <c r="L892" s="11">
        <f>_xlfn.XLOOKUP(TableDailySummary[[#This Row],[Fecha]],SummaryDaily[day],SummaryDaily[Online Store_net_sales],0)</f>
        <v>0</v>
      </c>
      <c r="M892" s="11">
        <f>_xlfn.XLOOKUP(TableDailySummary[[#This Row],[Fecha]],SummaryDaily[day],SummaryDaily[Online Store_orders],0)</f>
        <v>0</v>
      </c>
      <c r="N892" s="11">
        <f>_xlfn.XLOOKUP(TableDailySummary[[#This Row],[Fecha]],SummaryDaily[day],SummaryDaily[Online Store_average_order_value],0)</f>
        <v>0</v>
      </c>
      <c r="O892" s="11">
        <f>_xlfn.XLOOKUP(TableDailySummary[[#This Row],[Fecha]],SummaryDaily[day],SummaryDaily[Tienda 81_net_sales],0)</f>
        <v>0</v>
      </c>
      <c r="P892" s="11">
        <f>_xlfn.XLOOKUP(TableDailySummary[[#This Row],[Fecha]],SummaryDaily[day],SummaryDaily[Tienda 81_orders],0)</f>
        <v>0</v>
      </c>
      <c r="Q892" s="11">
        <f>_xlfn.XLOOKUP(TableDailySummary[[#This Row],[Fecha]],SummaryDaily[day],SummaryDaily[Tienda 81_average_order_value],0)</f>
        <v>0</v>
      </c>
      <c r="R892" s="11">
        <f>_xlfn.XLOOKUP(TableDailySummary[[#This Row],[Fecha]],SummaryDaily[day],SummaryDaily[Rappi_net_sales],0)</f>
        <v>0</v>
      </c>
      <c r="S892" s="11">
        <f>_xlfn.XLOOKUP(TableDailySummary[[#This Row],[Fecha]],SummaryDaily[day],SummaryDaily[Rappi_orders],0)</f>
        <v>0</v>
      </c>
      <c r="T892" s="11">
        <f>_xlfn.XLOOKUP(TableDailySummary[[#This Row],[Fecha]],SummaryDaily[day],SummaryDaily[Rappi_average_order_value],0)</f>
        <v>0</v>
      </c>
      <c r="U892" s="11">
        <f>_xlfn.XLOOKUP(TableDailySummary[[#This Row],[Fecha]],SummaryDaily[day],SummaryDaily[Corporativo no tienda_net_sales],0)</f>
        <v>0</v>
      </c>
      <c r="V892" s="11">
        <f>_xlfn.XLOOKUP(TableDailySummary[[#This Row],[Fecha]],SummaryDaily[day],SummaryDaily[Corporativo no tienda_orders],0)</f>
        <v>0</v>
      </c>
      <c r="W892" s="11">
        <f>_xlfn.XLOOKUP(TableDailySummary[[#This Row],[Fecha]],SummaryDaily[day],SummaryDaily[Corporativo no tienda_average_order_value],0)</f>
        <v>0</v>
      </c>
      <c r="X892" s="11">
        <f>_xlfn.XLOOKUP(TableDailySummary[[#This Row],[Fecha]],SummaryDaily[day],SummaryDaily[GoogleAdsOperation.Cost],0)</f>
        <v>0</v>
      </c>
      <c r="Y892" s="11">
        <f>SUMIFS(SalesByUTMDaily[google],SalesByUTMDaily[day],TableDailySummary[[#This Row],[Fecha]])</f>
        <v>0</v>
      </c>
      <c r="Z892" s="11">
        <f>_xlfn.XLOOKUP(TableDailySummary[[#This Row],[Fecha]],SummaryDaily[day],SummaryDaily[MetaAdsOperation.spend],0)</f>
        <v>0</v>
      </c>
      <c r="AA892" s="11">
        <f>SUMIFS(SalesByUTMDaily[facebook],SalesByUTMDaily[day],TableDailySummary[[#This Row],[Fecha]])</f>
        <v>0</v>
      </c>
      <c r="AB892" s="11">
        <f>TableDailySummary[[#This Row],[Inversión google ads]]+TableDailySummary[[#This Row],[Inversión meta ads]]</f>
        <v>0</v>
      </c>
      <c r="AC892" s="11">
        <f>TableDailySummary[[#This Row],[Ventas google ads]]+TableDailySummary[[#This Row],[Ventas meta ads]]</f>
        <v>0</v>
      </c>
      <c r="AD892" s="14">
        <f>IFERROR(TableDailySummary[[#This Row],[Ventas publicidad]]/TableDailySummary[[#This Row],[Inversión publicidad]],0)</f>
        <v>0</v>
      </c>
      <c r="AE892" s="14">
        <f>IFERROR(TableDailySummary[[#This Row],[Ventas primer cliente]]/TableDailySummary[[#This Row],[Inversión publicidad]],0)</f>
        <v>0</v>
      </c>
      <c r="AF892" s="14"/>
      <c r="AG892" s="11"/>
      <c r="AM892" s="11">
        <f>_xlfn.XLOOKUP(TableDailySummary[[#This Row],[Fecha]],SummaryDaily[day],SummaryDaily[net_sales_with_cost_recorded],0)</f>
        <v>0</v>
      </c>
      <c r="AN892" s="11">
        <f>_xlfn.XLOOKUP(TableDailySummary[[#This Row],[Fecha]],SummaryDaily[day],SummaryDaily[cost_of_goods_sold],0)</f>
        <v>0</v>
      </c>
      <c r="AO892" s="11">
        <f>_xlfn.XLOOKUP(TableDailySummary[[#This Row],[Fecha]],SummaryDaily[day],SummaryDaily[gross_profit],0)</f>
        <v>0</v>
      </c>
      <c r="AP892" s="18">
        <f>IFERROR(TableDailySummary[[#This Row],[Utilidad bruta]]/TableDailySummary[[#This Row],[Ventas netas con costo registrado]],0)</f>
        <v>0</v>
      </c>
    </row>
    <row r="893" spans="2:42" x14ac:dyDescent="0.2">
      <c r="B893" s="15" cm="1">
        <f t="array" ref="B893">ParamFechaInicioReporte + (ROW(TableDailySummary[#This Row]) - ROW(TableDailySummary[[#Headers],[Dia]]) - 1)</f>
        <v>45420</v>
      </c>
      <c r="C893" s="6">
        <f>TableDailySummary[[#This Row],[Dia]]</f>
        <v>45420</v>
      </c>
      <c r="D893" s="11">
        <f>_xlfn.XLOOKUP(TableDailySummary[[#This Row],[Fecha]],SummaryDaily[day],SummaryDaily[net_sales],0)</f>
        <v>0</v>
      </c>
      <c r="E893" s="11">
        <f>_xlfn.XLOOKUP(TableDailySummary[[#This Row],[Fecha]],SummaryDaily[day],SummaryDaily[orders],0)</f>
        <v>0</v>
      </c>
      <c r="F893" s="11">
        <f>_xlfn.XLOOKUP(TableDailySummary[[#This Row],[Fecha]],SummaryDaily[day],SummaryDaily[average_order_value],0)</f>
        <v>0</v>
      </c>
      <c r="G893" s="24" cm="1">
        <f t="array" ref="G893">_xlfn.XLOOKUP(TableDailySummary[[#This Row],[Fecha]]&amp;"Total site",ConversionRateByReferral[day]&amp;ConversionRateByReferral[referrer_source],ConversionRateByReferral[conversion_rate],0)</f>
        <v>0</v>
      </c>
      <c r="H893" s="11">
        <f>TableDailySummary[[#This Row],[Órden promedio totales]]*TableDailySummary[[#This Row],[CR totales]]</f>
        <v>0</v>
      </c>
      <c r="I893" s="11">
        <f>_xlfn.XLOOKUP(TableDailySummary[[#This Row],[Fecha]],SummaryDaily[day],SummaryDaily[new_net_sales],0)</f>
        <v>0</v>
      </c>
      <c r="J893" s="11">
        <f>_xlfn.XLOOKUP(TableDailySummary[[#This Row],[Fecha]],SummaryDaily[day],SummaryDaily[new_orders],0)</f>
        <v>0</v>
      </c>
      <c r="K893" s="11">
        <f>_xlfn.XLOOKUP(TableDailySummary[[#This Row],[Fecha]],SummaryDaily[day],SummaryDaily[new_average_order_value],0)</f>
        <v>0</v>
      </c>
      <c r="L893" s="11">
        <f>_xlfn.XLOOKUP(TableDailySummary[[#This Row],[Fecha]],SummaryDaily[day],SummaryDaily[Online Store_net_sales],0)</f>
        <v>0</v>
      </c>
      <c r="M893" s="11">
        <f>_xlfn.XLOOKUP(TableDailySummary[[#This Row],[Fecha]],SummaryDaily[day],SummaryDaily[Online Store_orders],0)</f>
        <v>0</v>
      </c>
      <c r="N893" s="11">
        <f>_xlfn.XLOOKUP(TableDailySummary[[#This Row],[Fecha]],SummaryDaily[day],SummaryDaily[Online Store_average_order_value],0)</f>
        <v>0</v>
      </c>
      <c r="O893" s="11">
        <f>_xlfn.XLOOKUP(TableDailySummary[[#This Row],[Fecha]],SummaryDaily[day],SummaryDaily[Tienda 81_net_sales],0)</f>
        <v>0</v>
      </c>
      <c r="P893" s="11">
        <f>_xlfn.XLOOKUP(TableDailySummary[[#This Row],[Fecha]],SummaryDaily[day],SummaryDaily[Tienda 81_orders],0)</f>
        <v>0</v>
      </c>
      <c r="Q893" s="11">
        <f>_xlfn.XLOOKUP(TableDailySummary[[#This Row],[Fecha]],SummaryDaily[day],SummaryDaily[Tienda 81_average_order_value],0)</f>
        <v>0</v>
      </c>
      <c r="R893" s="11">
        <f>_xlfn.XLOOKUP(TableDailySummary[[#This Row],[Fecha]],SummaryDaily[day],SummaryDaily[Rappi_net_sales],0)</f>
        <v>0</v>
      </c>
      <c r="S893" s="11">
        <f>_xlfn.XLOOKUP(TableDailySummary[[#This Row],[Fecha]],SummaryDaily[day],SummaryDaily[Rappi_orders],0)</f>
        <v>0</v>
      </c>
      <c r="T893" s="11">
        <f>_xlfn.XLOOKUP(TableDailySummary[[#This Row],[Fecha]],SummaryDaily[day],SummaryDaily[Rappi_average_order_value],0)</f>
        <v>0</v>
      </c>
      <c r="U893" s="11">
        <f>_xlfn.XLOOKUP(TableDailySummary[[#This Row],[Fecha]],SummaryDaily[day],SummaryDaily[Corporativo no tienda_net_sales],0)</f>
        <v>0</v>
      </c>
      <c r="V893" s="11">
        <f>_xlfn.XLOOKUP(TableDailySummary[[#This Row],[Fecha]],SummaryDaily[day],SummaryDaily[Corporativo no tienda_orders],0)</f>
        <v>0</v>
      </c>
      <c r="W893" s="11">
        <f>_xlfn.XLOOKUP(TableDailySummary[[#This Row],[Fecha]],SummaryDaily[day],SummaryDaily[Corporativo no tienda_average_order_value],0)</f>
        <v>0</v>
      </c>
      <c r="X893" s="11">
        <f>_xlfn.XLOOKUP(TableDailySummary[[#This Row],[Fecha]],SummaryDaily[day],SummaryDaily[GoogleAdsOperation.Cost],0)</f>
        <v>0</v>
      </c>
      <c r="Y893" s="11">
        <f>SUMIFS(SalesByUTMDaily[google],SalesByUTMDaily[day],TableDailySummary[[#This Row],[Fecha]])</f>
        <v>0</v>
      </c>
      <c r="Z893" s="11">
        <f>_xlfn.XLOOKUP(TableDailySummary[[#This Row],[Fecha]],SummaryDaily[day],SummaryDaily[MetaAdsOperation.spend],0)</f>
        <v>0</v>
      </c>
      <c r="AA893" s="11">
        <f>SUMIFS(SalesByUTMDaily[facebook],SalesByUTMDaily[day],TableDailySummary[[#This Row],[Fecha]])</f>
        <v>0</v>
      </c>
      <c r="AB893" s="11">
        <f>TableDailySummary[[#This Row],[Inversión google ads]]+TableDailySummary[[#This Row],[Inversión meta ads]]</f>
        <v>0</v>
      </c>
      <c r="AC893" s="11">
        <f>TableDailySummary[[#This Row],[Ventas google ads]]+TableDailySummary[[#This Row],[Ventas meta ads]]</f>
        <v>0</v>
      </c>
      <c r="AD893" s="14">
        <f>IFERROR(TableDailySummary[[#This Row],[Ventas publicidad]]/TableDailySummary[[#This Row],[Inversión publicidad]],0)</f>
        <v>0</v>
      </c>
      <c r="AE893" s="14">
        <f>IFERROR(TableDailySummary[[#This Row],[Ventas primer cliente]]/TableDailySummary[[#This Row],[Inversión publicidad]],0)</f>
        <v>0</v>
      </c>
      <c r="AF893" s="14"/>
      <c r="AG893" s="11"/>
      <c r="AM893" s="11">
        <f>_xlfn.XLOOKUP(TableDailySummary[[#This Row],[Fecha]],SummaryDaily[day],SummaryDaily[net_sales_with_cost_recorded],0)</f>
        <v>0</v>
      </c>
      <c r="AN893" s="11">
        <f>_xlfn.XLOOKUP(TableDailySummary[[#This Row],[Fecha]],SummaryDaily[day],SummaryDaily[cost_of_goods_sold],0)</f>
        <v>0</v>
      </c>
      <c r="AO893" s="11">
        <f>_xlfn.XLOOKUP(TableDailySummary[[#This Row],[Fecha]],SummaryDaily[day],SummaryDaily[gross_profit],0)</f>
        <v>0</v>
      </c>
      <c r="AP893" s="18">
        <f>IFERROR(TableDailySummary[[#This Row],[Utilidad bruta]]/TableDailySummary[[#This Row],[Ventas netas con costo registrado]],0)</f>
        <v>0</v>
      </c>
    </row>
    <row r="894" spans="2:42" x14ac:dyDescent="0.2">
      <c r="B894" s="15" cm="1">
        <f t="array" ref="B894">ParamFechaInicioReporte + (ROW(TableDailySummary[#This Row]) - ROW(TableDailySummary[[#Headers],[Dia]]) - 1)</f>
        <v>45421</v>
      </c>
      <c r="C894" s="6">
        <f>TableDailySummary[[#This Row],[Dia]]</f>
        <v>45421</v>
      </c>
      <c r="D894" s="11">
        <f>_xlfn.XLOOKUP(TableDailySummary[[#This Row],[Fecha]],SummaryDaily[day],SummaryDaily[net_sales],0)</f>
        <v>0</v>
      </c>
      <c r="E894" s="11">
        <f>_xlfn.XLOOKUP(TableDailySummary[[#This Row],[Fecha]],SummaryDaily[day],SummaryDaily[orders],0)</f>
        <v>0</v>
      </c>
      <c r="F894" s="11">
        <f>_xlfn.XLOOKUP(TableDailySummary[[#This Row],[Fecha]],SummaryDaily[day],SummaryDaily[average_order_value],0)</f>
        <v>0</v>
      </c>
      <c r="G894" s="24" cm="1">
        <f t="array" ref="G894">_xlfn.XLOOKUP(TableDailySummary[[#This Row],[Fecha]]&amp;"Total site",ConversionRateByReferral[day]&amp;ConversionRateByReferral[referrer_source],ConversionRateByReferral[conversion_rate],0)</f>
        <v>0</v>
      </c>
      <c r="H894" s="11">
        <f>TableDailySummary[[#This Row],[Órden promedio totales]]*TableDailySummary[[#This Row],[CR totales]]</f>
        <v>0</v>
      </c>
      <c r="I894" s="11">
        <f>_xlfn.XLOOKUP(TableDailySummary[[#This Row],[Fecha]],SummaryDaily[day],SummaryDaily[new_net_sales],0)</f>
        <v>0</v>
      </c>
      <c r="J894" s="11">
        <f>_xlfn.XLOOKUP(TableDailySummary[[#This Row],[Fecha]],SummaryDaily[day],SummaryDaily[new_orders],0)</f>
        <v>0</v>
      </c>
      <c r="K894" s="11">
        <f>_xlfn.XLOOKUP(TableDailySummary[[#This Row],[Fecha]],SummaryDaily[day],SummaryDaily[new_average_order_value],0)</f>
        <v>0</v>
      </c>
      <c r="L894" s="11">
        <f>_xlfn.XLOOKUP(TableDailySummary[[#This Row],[Fecha]],SummaryDaily[day],SummaryDaily[Online Store_net_sales],0)</f>
        <v>0</v>
      </c>
      <c r="M894" s="11">
        <f>_xlfn.XLOOKUP(TableDailySummary[[#This Row],[Fecha]],SummaryDaily[day],SummaryDaily[Online Store_orders],0)</f>
        <v>0</v>
      </c>
      <c r="N894" s="11">
        <f>_xlfn.XLOOKUP(TableDailySummary[[#This Row],[Fecha]],SummaryDaily[day],SummaryDaily[Online Store_average_order_value],0)</f>
        <v>0</v>
      </c>
      <c r="O894" s="11">
        <f>_xlfn.XLOOKUP(TableDailySummary[[#This Row],[Fecha]],SummaryDaily[day],SummaryDaily[Tienda 81_net_sales],0)</f>
        <v>0</v>
      </c>
      <c r="P894" s="11">
        <f>_xlfn.XLOOKUP(TableDailySummary[[#This Row],[Fecha]],SummaryDaily[day],SummaryDaily[Tienda 81_orders],0)</f>
        <v>0</v>
      </c>
      <c r="Q894" s="11">
        <f>_xlfn.XLOOKUP(TableDailySummary[[#This Row],[Fecha]],SummaryDaily[day],SummaryDaily[Tienda 81_average_order_value],0)</f>
        <v>0</v>
      </c>
      <c r="R894" s="11">
        <f>_xlfn.XLOOKUP(TableDailySummary[[#This Row],[Fecha]],SummaryDaily[day],SummaryDaily[Rappi_net_sales],0)</f>
        <v>0</v>
      </c>
      <c r="S894" s="11">
        <f>_xlfn.XLOOKUP(TableDailySummary[[#This Row],[Fecha]],SummaryDaily[day],SummaryDaily[Rappi_orders],0)</f>
        <v>0</v>
      </c>
      <c r="T894" s="11">
        <f>_xlfn.XLOOKUP(TableDailySummary[[#This Row],[Fecha]],SummaryDaily[day],SummaryDaily[Rappi_average_order_value],0)</f>
        <v>0</v>
      </c>
      <c r="U894" s="11">
        <f>_xlfn.XLOOKUP(TableDailySummary[[#This Row],[Fecha]],SummaryDaily[day],SummaryDaily[Corporativo no tienda_net_sales],0)</f>
        <v>0</v>
      </c>
      <c r="V894" s="11">
        <f>_xlfn.XLOOKUP(TableDailySummary[[#This Row],[Fecha]],SummaryDaily[day],SummaryDaily[Corporativo no tienda_orders],0)</f>
        <v>0</v>
      </c>
      <c r="W894" s="11">
        <f>_xlfn.XLOOKUP(TableDailySummary[[#This Row],[Fecha]],SummaryDaily[day],SummaryDaily[Corporativo no tienda_average_order_value],0)</f>
        <v>0</v>
      </c>
      <c r="X894" s="11">
        <f>_xlfn.XLOOKUP(TableDailySummary[[#This Row],[Fecha]],SummaryDaily[day],SummaryDaily[GoogleAdsOperation.Cost],0)</f>
        <v>0</v>
      </c>
      <c r="Y894" s="11">
        <f>SUMIFS(SalesByUTMDaily[google],SalesByUTMDaily[day],TableDailySummary[[#This Row],[Fecha]])</f>
        <v>0</v>
      </c>
      <c r="Z894" s="11">
        <f>_xlfn.XLOOKUP(TableDailySummary[[#This Row],[Fecha]],SummaryDaily[day],SummaryDaily[MetaAdsOperation.spend],0)</f>
        <v>0</v>
      </c>
      <c r="AA894" s="11">
        <f>SUMIFS(SalesByUTMDaily[facebook],SalesByUTMDaily[day],TableDailySummary[[#This Row],[Fecha]])</f>
        <v>0</v>
      </c>
      <c r="AB894" s="11">
        <f>TableDailySummary[[#This Row],[Inversión google ads]]+TableDailySummary[[#This Row],[Inversión meta ads]]</f>
        <v>0</v>
      </c>
      <c r="AC894" s="11">
        <f>TableDailySummary[[#This Row],[Ventas google ads]]+TableDailySummary[[#This Row],[Ventas meta ads]]</f>
        <v>0</v>
      </c>
      <c r="AD894" s="14">
        <f>IFERROR(TableDailySummary[[#This Row],[Ventas publicidad]]/TableDailySummary[[#This Row],[Inversión publicidad]],0)</f>
        <v>0</v>
      </c>
      <c r="AE894" s="14">
        <f>IFERROR(TableDailySummary[[#This Row],[Ventas primer cliente]]/TableDailySummary[[#This Row],[Inversión publicidad]],0)</f>
        <v>0</v>
      </c>
      <c r="AF894" s="14"/>
      <c r="AG894" s="11"/>
      <c r="AM894" s="11">
        <f>_xlfn.XLOOKUP(TableDailySummary[[#This Row],[Fecha]],SummaryDaily[day],SummaryDaily[net_sales_with_cost_recorded],0)</f>
        <v>0</v>
      </c>
      <c r="AN894" s="11">
        <f>_xlfn.XLOOKUP(TableDailySummary[[#This Row],[Fecha]],SummaryDaily[day],SummaryDaily[cost_of_goods_sold],0)</f>
        <v>0</v>
      </c>
      <c r="AO894" s="11">
        <f>_xlfn.XLOOKUP(TableDailySummary[[#This Row],[Fecha]],SummaryDaily[day],SummaryDaily[gross_profit],0)</f>
        <v>0</v>
      </c>
      <c r="AP894" s="18">
        <f>IFERROR(TableDailySummary[[#This Row],[Utilidad bruta]]/TableDailySummary[[#This Row],[Ventas netas con costo registrado]],0)</f>
        <v>0</v>
      </c>
    </row>
    <row r="895" spans="2:42" x14ac:dyDescent="0.2">
      <c r="B895" s="15" cm="1">
        <f t="array" ref="B895">ParamFechaInicioReporte + (ROW(TableDailySummary[#This Row]) - ROW(TableDailySummary[[#Headers],[Dia]]) - 1)</f>
        <v>45422</v>
      </c>
      <c r="C895" s="6">
        <f>TableDailySummary[[#This Row],[Dia]]</f>
        <v>45422</v>
      </c>
      <c r="D895" s="11">
        <f>_xlfn.XLOOKUP(TableDailySummary[[#This Row],[Fecha]],SummaryDaily[day],SummaryDaily[net_sales],0)</f>
        <v>0</v>
      </c>
      <c r="E895" s="11">
        <f>_xlfn.XLOOKUP(TableDailySummary[[#This Row],[Fecha]],SummaryDaily[day],SummaryDaily[orders],0)</f>
        <v>0</v>
      </c>
      <c r="F895" s="11">
        <f>_xlfn.XLOOKUP(TableDailySummary[[#This Row],[Fecha]],SummaryDaily[day],SummaryDaily[average_order_value],0)</f>
        <v>0</v>
      </c>
      <c r="G895" s="24" cm="1">
        <f t="array" ref="G895">_xlfn.XLOOKUP(TableDailySummary[[#This Row],[Fecha]]&amp;"Total site",ConversionRateByReferral[day]&amp;ConversionRateByReferral[referrer_source],ConversionRateByReferral[conversion_rate],0)</f>
        <v>0</v>
      </c>
      <c r="H895" s="11">
        <f>TableDailySummary[[#This Row],[Órden promedio totales]]*TableDailySummary[[#This Row],[CR totales]]</f>
        <v>0</v>
      </c>
      <c r="I895" s="11">
        <f>_xlfn.XLOOKUP(TableDailySummary[[#This Row],[Fecha]],SummaryDaily[day],SummaryDaily[new_net_sales],0)</f>
        <v>0</v>
      </c>
      <c r="J895" s="11">
        <f>_xlfn.XLOOKUP(TableDailySummary[[#This Row],[Fecha]],SummaryDaily[day],SummaryDaily[new_orders],0)</f>
        <v>0</v>
      </c>
      <c r="K895" s="11">
        <f>_xlfn.XLOOKUP(TableDailySummary[[#This Row],[Fecha]],SummaryDaily[day],SummaryDaily[new_average_order_value],0)</f>
        <v>0</v>
      </c>
      <c r="L895" s="11">
        <f>_xlfn.XLOOKUP(TableDailySummary[[#This Row],[Fecha]],SummaryDaily[day],SummaryDaily[Online Store_net_sales],0)</f>
        <v>0</v>
      </c>
      <c r="M895" s="11">
        <f>_xlfn.XLOOKUP(TableDailySummary[[#This Row],[Fecha]],SummaryDaily[day],SummaryDaily[Online Store_orders],0)</f>
        <v>0</v>
      </c>
      <c r="N895" s="11">
        <f>_xlfn.XLOOKUP(TableDailySummary[[#This Row],[Fecha]],SummaryDaily[day],SummaryDaily[Online Store_average_order_value],0)</f>
        <v>0</v>
      </c>
      <c r="O895" s="11">
        <f>_xlfn.XLOOKUP(TableDailySummary[[#This Row],[Fecha]],SummaryDaily[day],SummaryDaily[Tienda 81_net_sales],0)</f>
        <v>0</v>
      </c>
      <c r="P895" s="11">
        <f>_xlfn.XLOOKUP(TableDailySummary[[#This Row],[Fecha]],SummaryDaily[day],SummaryDaily[Tienda 81_orders],0)</f>
        <v>0</v>
      </c>
      <c r="Q895" s="11">
        <f>_xlfn.XLOOKUP(TableDailySummary[[#This Row],[Fecha]],SummaryDaily[day],SummaryDaily[Tienda 81_average_order_value],0)</f>
        <v>0</v>
      </c>
      <c r="R895" s="11">
        <f>_xlfn.XLOOKUP(TableDailySummary[[#This Row],[Fecha]],SummaryDaily[day],SummaryDaily[Rappi_net_sales],0)</f>
        <v>0</v>
      </c>
      <c r="S895" s="11">
        <f>_xlfn.XLOOKUP(TableDailySummary[[#This Row],[Fecha]],SummaryDaily[day],SummaryDaily[Rappi_orders],0)</f>
        <v>0</v>
      </c>
      <c r="T895" s="11">
        <f>_xlfn.XLOOKUP(TableDailySummary[[#This Row],[Fecha]],SummaryDaily[day],SummaryDaily[Rappi_average_order_value],0)</f>
        <v>0</v>
      </c>
      <c r="U895" s="11">
        <f>_xlfn.XLOOKUP(TableDailySummary[[#This Row],[Fecha]],SummaryDaily[day],SummaryDaily[Corporativo no tienda_net_sales],0)</f>
        <v>0</v>
      </c>
      <c r="V895" s="11">
        <f>_xlfn.XLOOKUP(TableDailySummary[[#This Row],[Fecha]],SummaryDaily[day],SummaryDaily[Corporativo no tienda_orders],0)</f>
        <v>0</v>
      </c>
      <c r="W895" s="11">
        <f>_xlfn.XLOOKUP(TableDailySummary[[#This Row],[Fecha]],SummaryDaily[day],SummaryDaily[Corporativo no tienda_average_order_value],0)</f>
        <v>0</v>
      </c>
      <c r="X895" s="11">
        <f>_xlfn.XLOOKUP(TableDailySummary[[#This Row],[Fecha]],SummaryDaily[day],SummaryDaily[GoogleAdsOperation.Cost],0)</f>
        <v>0</v>
      </c>
      <c r="Y895" s="11">
        <f>SUMIFS(SalesByUTMDaily[google],SalesByUTMDaily[day],TableDailySummary[[#This Row],[Fecha]])</f>
        <v>0</v>
      </c>
      <c r="Z895" s="11">
        <f>_xlfn.XLOOKUP(TableDailySummary[[#This Row],[Fecha]],SummaryDaily[day],SummaryDaily[MetaAdsOperation.spend],0)</f>
        <v>0</v>
      </c>
      <c r="AA895" s="11">
        <f>SUMIFS(SalesByUTMDaily[facebook],SalesByUTMDaily[day],TableDailySummary[[#This Row],[Fecha]])</f>
        <v>0</v>
      </c>
      <c r="AB895" s="11">
        <f>TableDailySummary[[#This Row],[Inversión google ads]]+TableDailySummary[[#This Row],[Inversión meta ads]]</f>
        <v>0</v>
      </c>
      <c r="AC895" s="11">
        <f>TableDailySummary[[#This Row],[Ventas google ads]]+TableDailySummary[[#This Row],[Ventas meta ads]]</f>
        <v>0</v>
      </c>
      <c r="AD895" s="14">
        <f>IFERROR(TableDailySummary[[#This Row],[Ventas publicidad]]/TableDailySummary[[#This Row],[Inversión publicidad]],0)</f>
        <v>0</v>
      </c>
      <c r="AE895" s="14">
        <f>IFERROR(TableDailySummary[[#This Row],[Ventas primer cliente]]/TableDailySummary[[#This Row],[Inversión publicidad]],0)</f>
        <v>0</v>
      </c>
      <c r="AF895" s="14"/>
      <c r="AG895" s="11"/>
      <c r="AM895" s="11">
        <f>_xlfn.XLOOKUP(TableDailySummary[[#This Row],[Fecha]],SummaryDaily[day],SummaryDaily[net_sales_with_cost_recorded],0)</f>
        <v>0</v>
      </c>
      <c r="AN895" s="11">
        <f>_xlfn.XLOOKUP(TableDailySummary[[#This Row],[Fecha]],SummaryDaily[day],SummaryDaily[cost_of_goods_sold],0)</f>
        <v>0</v>
      </c>
      <c r="AO895" s="11">
        <f>_xlfn.XLOOKUP(TableDailySummary[[#This Row],[Fecha]],SummaryDaily[day],SummaryDaily[gross_profit],0)</f>
        <v>0</v>
      </c>
      <c r="AP895" s="18">
        <f>IFERROR(TableDailySummary[[#This Row],[Utilidad bruta]]/TableDailySummary[[#This Row],[Ventas netas con costo registrado]],0)</f>
        <v>0</v>
      </c>
    </row>
    <row r="896" spans="2:42" x14ac:dyDescent="0.2">
      <c r="B896" s="15" cm="1">
        <f t="array" ref="B896">ParamFechaInicioReporte + (ROW(TableDailySummary[#This Row]) - ROW(TableDailySummary[[#Headers],[Dia]]) - 1)</f>
        <v>45423</v>
      </c>
      <c r="C896" s="6">
        <f>TableDailySummary[[#This Row],[Dia]]</f>
        <v>45423</v>
      </c>
      <c r="D896" s="11">
        <f>_xlfn.XLOOKUP(TableDailySummary[[#This Row],[Fecha]],SummaryDaily[day],SummaryDaily[net_sales],0)</f>
        <v>0</v>
      </c>
      <c r="E896" s="11">
        <f>_xlfn.XLOOKUP(TableDailySummary[[#This Row],[Fecha]],SummaryDaily[day],SummaryDaily[orders],0)</f>
        <v>0</v>
      </c>
      <c r="F896" s="11">
        <f>_xlfn.XLOOKUP(TableDailySummary[[#This Row],[Fecha]],SummaryDaily[day],SummaryDaily[average_order_value],0)</f>
        <v>0</v>
      </c>
      <c r="G896" s="24" cm="1">
        <f t="array" ref="G896">_xlfn.XLOOKUP(TableDailySummary[[#This Row],[Fecha]]&amp;"Total site",ConversionRateByReferral[day]&amp;ConversionRateByReferral[referrer_source],ConversionRateByReferral[conversion_rate],0)</f>
        <v>0</v>
      </c>
      <c r="H896" s="11">
        <f>TableDailySummary[[#This Row],[Órden promedio totales]]*TableDailySummary[[#This Row],[CR totales]]</f>
        <v>0</v>
      </c>
      <c r="I896" s="11">
        <f>_xlfn.XLOOKUP(TableDailySummary[[#This Row],[Fecha]],SummaryDaily[day],SummaryDaily[new_net_sales],0)</f>
        <v>0</v>
      </c>
      <c r="J896" s="11">
        <f>_xlfn.XLOOKUP(TableDailySummary[[#This Row],[Fecha]],SummaryDaily[day],SummaryDaily[new_orders],0)</f>
        <v>0</v>
      </c>
      <c r="K896" s="11">
        <f>_xlfn.XLOOKUP(TableDailySummary[[#This Row],[Fecha]],SummaryDaily[day],SummaryDaily[new_average_order_value],0)</f>
        <v>0</v>
      </c>
      <c r="L896" s="11">
        <f>_xlfn.XLOOKUP(TableDailySummary[[#This Row],[Fecha]],SummaryDaily[day],SummaryDaily[Online Store_net_sales],0)</f>
        <v>0</v>
      </c>
      <c r="M896" s="11">
        <f>_xlfn.XLOOKUP(TableDailySummary[[#This Row],[Fecha]],SummaryDaily[day],SummaryDaily[Online Store_orders],0)</f>
        <v>0</v>
      </c>
      <c r="N896" s="11">
        <f>_xlfn.XLOOKUP(TableDailySummary[[#This Row],[Fecha]],SummaryDaily[day],SummaryDaily[Online Store_average_order_value],0)</f>
        <v>0</v>
      </c>
      <c r="O896" s="11">
        <f>_xlfn.XLOOKUP(TableDailySummary[[#This Row],[Fecha]],SummaryDaily[day],SummaryDaily[Tienda 81_net_sales],0)</f>
        <v>0</v>
      </c>
      <c r="P896" s="11">
        <f>_xlfn.XLOOKUP(TableDailySummary[[#This Row],[Fecha]],SummaryDaily[day],SummaryDaily[Tienda 81_orders],0)</f>
        <v>0</v>
      </c>
      <c r="Q896" s="11">
        <f>_xlfn.XLOOKUP(TableDailySummary[[#This Row],[Fecha]],SummaryDaily[day],SummaryDaily[Tienda 81_average_order_value],0)</f>
        <v>0</v>
      </c>
      <c r="R896" s="11">
        <f>_xlfn.XLOOKUP(TableDailySummary[[#This Row],[Fecha]],SummaryDaily[day],SummaryDaily[Rappi_net_sales],0)</f>
        <v>0</v>
      </c>
      <c r="S896" s="11">
        <f>_xlfn.XLOOKUP(TableDailySummary[[#This Row],[Fecha]],SummaryDaily[day],SummaryDaily[Rappi_orders],0)</f>
        <v>0</v>
      </c>
      <c r="T896" s="11">
        <f>_xlfn.XLOOKUP(TableDailySummary[[#This Row],[Fecha]],SummaryDaily[day],SummaryDaily[Rappi_average_order_value],0)</f>
        <v>0</v>
      </c>
      <c r="U896" s="11">
        <f>_xlfn.XLOOKUP(TableDailySummary[[#This Row],[Fecha]],SummaryDaily[day],SummaryDaily[Corporativo no tienda_net_sales],0)</f>
        <v>0</v>
      </c>
      <c r="V896" s="11">
        <f>_xlfn.XLOOKUP(TableDailySummary[[#This Row],[Fecha]],SummaryDaily[day],SummaryDaily[Corporativo no tienda_orders],0)</f>
        <v>0</v>
      </c>
      <c r="W896" s="11">
        <f>_xlfn.XLOOKUP(TableDailySummary[[#This Row],[Fecha]],SummaryDaily[day],SummaryDaily[Corporativo no tienda_average_order_value],0)</f>
        <v>0</v>
      </c>
      <c r="X896" s="11">
        <f>_xlfn.XLOOKUP(TableDailySummary[[#This Row],[Fecha]],SummaryDaily[day],SummaryDaily[GoogleAdsOperation.Cost],0)</f>
        <v>0</v>
      </c>
      <c r="Y896" s="11">
        <f>SUMIFS(SalesByUTMDaily[google],SalesByUTMDaily[day],TableDailySummary[[#This Row],[Fecha]])</f>
        <v>0</v>
      </c>
      <c r="Z896" s="11">
        <f>_xlfn.XLOOKUP(TableDailySummary[[#This Row],[Fecha]],SummaryDaily[day],SummaryDaily[MetaAdsOperation.spend],0)</f>
        <v>0</v>
      </c>
      <c r="AA896" s="11">
        <f>SUMIFS(SalesByUTMDaily[facebook],SalesByUTMDaily[day],TableDailySummary[[#This Row],[Fecha]])</f>
        <v>0</v>
      </c>
      <c r="AB896" s="11">
        <f>TableDailySummary[[#This Row],[Inversión google ads]]+TableDailySummary[[#This Row],[Inversión meta ads]]</f>
        <v>0</v>
      </c>
      <c r="AC896" s="11">
        <f>TableDailySummary[[#This Row],[Ventas google ads]]+TableDailySummary[[#This Row],[Ventas meta ads]]</f>
        <v>0</v>
      </c>
      <c r="AD896" s="14">
        <f>IFERROR(TableDailySummary[[#This Row],[Ventas publicidad]]/TableDailySummary[[#This Row],[Inversión publicidad]],0)</f>
        <v>0</v>
      </c>
      <c r="AE896" s="14">
        <f>IFERROR(TableDailySummary[[#This Row],[Ventas primer cliente]]/TableDailySummary[[#This Row],[Inversión publicidad]],0)</f>
        <v>0</v>
      </c>
      <c r="AF896" s="14"/>
      <c r="AG896" s="11"/>
      <c r="AM896" s="11">
        <f>_xlfn.XLOOKUP(TableDailySummary[[#This Row],[Fecha]],SummaryDaily[day],SummaryDaily[net_sales_with_cost_recorded],0)</f>
        <v>0</v>
      </c>
      <c r="AN896" s="11">
        <f>_xlfn.XLOOKUP(TableDailySummary[[#This Row],[Fecha]],SummaryDaily[day],SummaryDaily[cost_of_goods_sold],0)</f>
        <v>0</v>
      </c>
      <c r="AO896" s="11">
        <f>_xlfn.XLOOKUP(TableDailySummary[[#This Row],[Fecha]],SummaryDaily[day],SummaryDaily[gross_profit],0)</f>
        <v>0</v>
      </c>
      <c r="AP896" s="18">
        <f>IFERROR(TableDailySummary[[#This Row],[Utilidad bruta]]/TableDailySummary[[#This Row],[Ventas netas con costo registrado]],0)</f>
        <v>0</v>
      </c>
    </row>
    <row r="897" spans="2:42" x14ac:dyDescent="0.2">
      <c r="B897" s="15" cm="1">
        <f t="array" ref="B897">ParamFechaInicioReporte + (ROW(TableDailySummary[#This Row]) - ROW(TableDailySummary[[#Headers],[Dia]]) - 1)</f>
        <v>45424</v>
      </c>
      <c r="C897" s="6">
        <f>TableDailySummary[[#This Row],[Dia]]</f>
        <v>45424</v>
      </c>
      <c r="D897" s="11">
        <f>_xlfn.XLOOKUP(TableDailySummary[[#This Row],[Fecha]],SummaryDaily[day],SummaryDaily[net_sales],0)</f>
        <v>0</v>
      </c>
      <c r="E897" s="11">
        <f>_xlfn.XLOOKUP(TableDailySummary[[#This Row],[Fecha]],SummaryDaily[day],SummaryDaily[orders],0)</f>
        <v>0</v>
      </c>
      <c r="F897" s="11">
        <f>_xlfn.XLOOKUP(TableDailySummary[[#This Row],[Fecha]],SummaryDaily[day],SummaryDaily[average_order_value],0)</f>
        <v>0</v>
      </c>
      <c r="G897" s="24" cm="1">
        <f t="array" ref="G897">_xlfn.XLOOKUP(TableDailySummary[[#This Row],[Fecha]]&amp;"Total site",ConversionRateByReferral[day]&amp;ConversionRateByReferral[referrer_source],ConversionRateByReferral[conversion_rate],0)</f>
        <v>0</v>
      </c>
      <c r="H897" s="11">
        <f>TableDailySummary[[#This Row],[Órden promedio totales]]*TableDailySummary[[#This Row],[CR totales]]</f>
        <v>0</v>
      </c>
      <c r="I897" s="11">
        <f>_xlfn.XLOOKUP(TableDailySummary[[#This Row],[Fecha]],SummaryDaily[day],SummaryDaily[new_net_sales],0)</f>
        <v>0</v>
      </c>
      <c r="J897" s="11">
        <f>_xlfn.XLOOKUP(TableDailySummary[[#This Row],[Fecha]],SummaryDaily[day],SummaryDaily[new_orders],0)</f>
        <v>0</v>
      </c>
      <c r="K897" s="11">
        <f>_xlfn.XLOOKUP(TableDailySummary[[#This Row],[Fecha]],SummaryDaily[day],SummaryDaily[new_average_order_value],0)</f>
        <v>0</v>
      </c>
      <c r="L897" s="11">
        <f>_xlfn.XLOOKUP(TableDailySummary[[#This Row],[Fecha]],SummaryDaily[day],SummaryDaily[Online Store_net_sales],0)</f>
        <v>0</v>
      </c>
      <c r="M897" s="11">
        <f>_xlfn.XLOOKUP(TableDailySummary[[#This Row],[Fecha]],SummaryDaily[day],SummaryDaily[Online Store_orders],0)</f>
        <v>0</v>
      </c>
      <c r="N897" s="11">
        <f>_xlfn.XLOOKUP(TableDailySummary[[#This Row],[Fecha]],SummaryDaily[day],SummaryDaily[Online Store_average_order_value],0)</f>
        <v>0</v>
      </c>
      <c r="O897" s="11">
        <f>_xlfn.XLOOKUP(TableDailySummary[[#This Row],[Fecha]],SummaryDaily[day],SummaryDaily[Tienda 81_net_sales],0)</f>
        <v>0</v>
      </c>
      <c r="P897" s="11">
        <f>_xlfn.XLOOKUP(TableDailySummary[[#This Row],[Fecha]],SummaryDaily[day],SummaryDaily[Tienda 81_orders],0)</f>
        <v>0</v>
      </c>
      <c r="Q897" s="11">
        <f>_xlfn.XLOOKUP(TableDailySummary[[#This Row],[Fecha]],SummaryDaily[day],SummaryDaily[Tienda 81_average_order_value],0)</f>
        <v>0</v>
      </c>
      <c r="R897" s="11">
        <f>_xlfn.XLOOKUP(TableDailySummary[[#This Row],[Fecha]],SummaryDaily[day],SummaryDaily[Rappi_net_sales],0)</f>
        <v>0</v>
      </c>
      <c r="S897" s="11">
        <f>_xlfn.XLOOKUP(TableDailySummary[[#This Row],[Fecha]],SummaryDaily[day],SummaryDaily[Rappi_orders],0)</f>
        <v>0</v>
      </c>
      <c r="T897" s="11">
        <f>_xlfn.XLOOKUP(TableDailySummary[[#This Row],[Fecha]],SummaryDaily[day],SummaryDaily[Rappi_average_order_value],0)</f>
        <v>0</v>
      </c>
      <c r="U897" s="11">
        <f>_xlfn.XLOOKUP(TableDailySummary[[#This Row],[Fecha]],SummaryDaily[day],SummaryDaily[Corporativo no tienda_net_sales],0)</f>
        <v>0</v>
      </c>
      <c r="V897" s="11">
        <f>_xlfn.XLOOKUP(TableDailySummary[[#This Row],[Fecha]],SummaryDaily[day],SummaryDaily[Corporativo no tienda_orders],0)</f>
        <v>0</v>
      </c>
      <c r="W897" s="11">
        <f>_xlfn.XLOOKUP(TableDailySummary[[#This Row],[Fecha]],SummaryDaily[day],SummaryDaily[Corporativo no tienda_average_order_value],0)</f>
        <v>0</v>
      </c>
      <c r="X897" s="11">
        <f>_xlfn.XLOOKUP(TableDailySummary[[#This Row],[Fecha]],SummaryDaily[day],SummaryDaily[GoogleAdsOperation.Cost],0)</f>
        <v>0</v>
      </c>
      <c r="Y897" s="11">
        <f>SUMIFS(SalesByUTMDaily[google],SalesByUTMDaily[day],TableDailySummary[[#This Row],[Fecha]])</f>
        <v>0</v>
      </c>
      <c r="Z897" s="11">
        <f>_xlfn.XLOOKUP(TableDailySummary[[#This Row],[Fecha]],SummaryDaily[day],SummaryDaily[MetaAdsOperation.spend],0)</f>
        <v>0</v>
      </c>
      <c r="AA897" s="11">
        <f>SUMIFS(SalesByUTMDaily[facebook],SalesByUTMDaily[day],TableDailySummary[[#This Row],[Fecha]])</f>
        <v>0</v>
      </c>
      <c r="AB897" s="11">
        <f>TableDailySummary[[#This Row],[Inversión google ads]]+TableDailySummary[[#This Row],[Inversión meta ads]]</f>
        <v>0</v>
      </c>
      <c r="AC897" s="11">
        <f>TableDailySummary[[#This Row],[Ventas google ads]]+TableDailySummary[[#This Row],[Ventas meta ads]]</f>
        <v>0</v>
      </c>
      <c r="AD897" s="14">
        <f>IFERROR(TableDailySummary[[#This Row],[Ventas publicidad]]/TableDailySummary[[#This Row],[Inversión publicidad]],0)</f>
        <v>0</v>
      </c>
      <c r="AE897" s="14">
        <f>IFERROR(TableDailySummary[[#This Row],[Ventas primer cliente]]/TableDailySummary[[#This Row],[Inversión publicidad]],0)</f>
        <v>0</v>
      </c>
      <c r="AF897" s="14"/>
      <c r="AG897" s="11"/>
      <c r="AM897" s="11">
        <f>_xlfn.XLOOKUP(TableDailySummary[[#This Row],[Fecha]],SummaryDaily[day],SummaryDaily[net_sales_with_cost_recorded],0)</f>
        <v>0</v>
      </c>
      <c r="AN897" s="11">
        <f>_xlfn.XLOOKUP(TableDailySummary[[#This Row],[Fecha]],SummaryDaily[day],SummaryDaily[cost_of_goods_sold],0)</f>
        <v>0</v>
      </c>
      <c r="AO897" s="11">
        <f>_xlfn.XLOOKUP(TableDailySummary[[#This Row],[Fecha]],SummaryDaily[day],SummaryDaily[gross_profit],0)</f>
        <v>0</v>
      </c>
      <c r="AP897" s="18">
        <f>IFERROR(TableDailySummary[[#This Row],[Utilidad bruta]]/TableDailySummary[[#This Row],[Ventas netas con costo registrado]],0)</f>
        <v>0</v>
      </c>
    </row>
    <row r="898" spans="2:42" x14ac:dyDescent="0.2">
      <c r="B898" s="15" cm="1">
        <f t="array" ref="B898">ParamFechaInicioReporte + (ROW(TableDailySummary[#This Row]) - ROW(TableDailySummary[[#Headers],[Dia]]) - 1)</f>
        <v>45425</v>
      </c>
      <c r="C898" s="6">
        <f>TableDailySummary[[#This Row],[Dia]]</f>
        <v>45425</v>
      </c>
      <c r="D898" s="11">
        <f>_xlfn.XLOOKUP(TableDailySummary[[#This Row],[Fecha]],SummaryDaily[day],SummaryDaily[net_sales],0)</f>
        <v>0</v>
      </c>
      <c r="E898" s="11">
        <f>_xlfn.XLOOKUP(TableDailySummary[[#This Row],[Fecha]],SummaryDaily[day],SummaryDaily[orders],0)</f>
        <v>0</v>
      </c>
      <c r="F898" s="11">
        <f>_xlfn.XLOOKUP(TableDailySummary[[#This Row],[Fecha]],SummaryDaily[day],SummaryDaily[average_order_value],0)</f>
        <v>0</v>
      </c>
      <c r="G898" s="24" cm="1">
        <f t="array" ref="G898">_xlfn.XLOOKUP(TableDailySummary[[#This Row],[Fecha]]&amp;"Total site",ConversionRateByReferral[day]&amp;ConversionRateByReferral[referrer_source],ConversionRateByReferral[conversion_rate],0)</f>
        <v>0</v>
      </c>
      <c r="H898" s="11">
        <f>TableDailySummary[[#This Row],[Órden promedio totales]]*TableDailySummary[[#This Row],[CR totales]]</f>
        <v>0</v>
      </c>
      <c r="I898" s="11">
        <f>_xlfn.XLOOKUP(TableDailySummary[[#This Row],[Fecha]],SummaryDaily[day],SummaryDaily[new_net_sales],0)</f>
        <v>0</v>
      </c>
      <c r="J898" s="11">
        <f>_xlfn.XLOOKUP(TableDailySummary[[#This Row],[Fecha]],SummaryDaily[day],SummaryDaily[new_orders],0)</f>
        <v>0</v>
      </c>
      <c r="K898" s="11">
        <f>_xlfn.XLOOKUP(TableDailySummary[[#This Row],[Fecha]],SummaryDaily[day],SummaryDaily[new_average_order_value],0)</f>
        <v>0</v>
      </c>
      <c r="L898" s="11">
        <f>_xlfn.XLOOKUP(TableDailySummary[[#This Row],[Fecha]],SummaryDaily[day],SummaryDaily[Online Store_net_sales],0)</f>
        <v>0</v>
      </c>
      <c r="M898" s="11">
        <f>_xlfn.XLOOKUP(TableDailySummary[[#This Row],[Fecha]],SummaryDaily[day],SummaryDaily[Online Store_orders],0)</f>
        <v>0</v>
      </c>
      <c r="N898" s="11">
        <f>_xlfn.XLOOKUP(TableDailySummary[[#This Row],[Fecha]],SummaryDaily[day],SummaryDaily[Online Store_average_order_value],0)</f>
        <v>0</v>
      </c>
      <c r="O898" s="11">
        <f>_xlfn.XLOOKUP(TableDailySummary[[#This Row],[Fecha]],SummaryDaily[day],SummaryDaily[Tienda 81_net_sales],0)</f>
        <v>0</v>
      </c>
      <c r="P898" s="11">
        <f>_xlfn.XLOOKUP(TableDailySummary[[#This Row],[Fecha]],SummaryDaily[day],SummaryDaily[Tienda 81_orders],0)</f>
        <v>0</v>
      </c>
      <c r="Q898" s="11">
        <f>_xlfn.XLOOKUP(TableDailySummary[[#This Row],[Fecha]],SummaryDaily[day],SummaryDaily[Tienda 81_average_order_value],0)</f>
        <v>0</v>
      </c>
      <c r="R898" s="11">
        <f>_xlfn.XLOOKUP(TableDailySummary[[#This Row],[Fecha]],SummaryDaily[day],SummaryDaily[Rappi_net_sales],0)</f>
        <v>0</v>
      </c>
      <c r="S898" s="11">
        <f>_xlfn.XLOOKUP(TableDailySummary[[#This Row],[Fecha]],SummaryDaily[day],SummaryDaily[Rappi_orders],0)</f>
        <v>0</v>
      </c>
      <c r="T898" s="11">
        <f>_xlfn.XLOOKUP(TableDailySummary[[#This Row],[Fecha]],SummaryDaily[day],SummaryDaily[Rappi_average_order_value],0)</f>
        <v>0</v>
      </c>
      <c r="U898" s="11">
        <f>_xlfn.XLOOKUP(TableDailySummary[[#This Row],[Fecha]],SummaryDaily[day],SummaryDaily[Corporativo no tienda_net_sales],0)</f>
        <v>0</v>
      </c>
      <c r="V898" s="11">
        <f>_xlfn.XLOOKUP(TableDailySummary[[#This Row],[Fecha]],SummaryDaily[day],SummaryDaily[Corporativo no tienda_orders],0)</f>
        <v>0</v>
      </c>
      <c r="W898" s="11">
        <f>_xlfn.XLOOKUP(TableDailySummary[[#This Row],[Fecha]],SummaryDaily[day],SummaryDaily[Corporativo no tienda_average_order_value],0)</f>
        <v>0</v>
      </c>
      <c r="X898" s="11">
        <f>_xlfn.XLOOKUP(TableDailySummary[[#This Row],[Fecha]],SummaryDaily[day],SummaryDaily[GoogleAdsOperation.Cost],0)</f>
        <v>0</v>
      </c>
      <c r="Y898" s="11">
        <f>SUMIFS(SalesByUTMDaily[google],SalesByUTMDaily[day],TableDailySummary[[#This Row],[Fecha]])</f>
        <v>0</v>
      </c>
      <c r="Z898" s="11">
        <f>_xlfn.XLOOKUP(TableDailySummary[[#This Row],[Fecha]],SummaryDaily[day],SummaryDaily[MetaAdsOperation.spend],0)</f>
        <v>0</v>
      </c>
      <c r="AA898" s="11">
        <f>SUMIFS(SalesByUTMDaily[facebook],SalesByUTMDaily[day],TableDailySummary[[#This Row],[Fecha]])</f>
        <v>0</v>
      </c>
      <c r="AB898" s="11">
        <f>TableDailySummary[[#This Row],[Inversión google ads]]+TableDailySummary[[#This Row],[Inversión meta ads]]</f>
        <v>0</v>
      </c>
      <c r="AC898" s="11">
        <f>TableDailySummary[[#This Row],[Ventas google ads]]+TableDailySummary[[#This Row],[Ventas meta ads]]</f>
        <v>0</v>
      </c>
      <c r="AD898" s="14">
        <f>IFERROR(TableDailySummary[[#This Row],[Ventas publicidad]]/TableDailySummary[[#This Row],[Inversión publicidad]],0)</f>
        <v>0</v>
      </c>
      <c r="AE898" s="14">
        <f>IFERROR(TableDailySummary[[#This Row],[Ventas primer cliente]]/TableDailySummary[[#This Row],[Inversión publicidad]],0)</f>
        <v>0</v>
      </c>
      <c r="AF898" s="14"/>
      <c r="AG898" s="11"/>
      <c r="AM898" s="11">
        <f>_xlfn.XLOOKUP(TableDailySummary[[#This Row],[Fecha]],SummaryDaily[day],SummaryDaily[net_sales_with_cost_recorded],0)</f>
        <v>0</v>
      </c>
      <c r="AN898" s="11">
        <f>_xlfn.XLOOKUP(TableDailySummary[[#This Row],[Fecha]],SummaryDaily[day],SummaryDaily[cost_of_goods_sold],0)</f>
        <v>0</v>
      </c>
      <c r="AO898" s="11">
        <f>_xlfn.XLOOKUP(TableDailySummary[[#This Row],[Fecha]],SummaryDaily[day],SummaryDaily[gross_profit],0)</f>
        <v>0</v>
      </c>
      <c r="AP898" s="18">
        <f>IFERROR(TableDailySummary[[#This Row],[Utilidad bruta]]/TableDailySummary[[#This Row],[Ventas netas con costo registrado]],0)</f>
        <v>0</v>
      </c>
    </row>
    <row r="899" spans="2:42" x14ac:dyDescent="0.2">
      <c r="B899" s="15" cm="1">
        <f t="array" ref="B899">ParamFechaInicioReporte + (ROW(TableDailySummary[#This Row]) - ROW(TableDailySummary[[#Headers],[Dia]]) - 1)</f>
        <v>45426</v>
      </c>
      <c r="C899" s="6">
        <f>TableDailySummary[[#This Row],[Dia]]</f>
        <v>45426</v>
      </c>
      <c r="D899" s="11">
        <f>_xlfn.XLOOKUP(TableDailySummary[[#This Row],[Fecha]],SummaryDaily[day],SummaryDaily[net_sales],0)</f>
        <v>0</v>
      </c>
      <c r="E899" s="11">
        <f>_xlfn.XLOOKUP(TableDailySummary[[#This Row],[Fecha]],SummaryDaily[day],SummaryDaily[orders],0)</f>
        <v>0</v>
      </c>
      <c r="F899" s="11">
        <f>_xlfn.XLOOKUP(TableDailySummary[[#This Row],[Fecha]],SummaryDaily[day],SummaryDaily[average_order_value],0)</f>
        <v>0</v>
      </c>
      <c r="G899" s="24" cm="1">
        <f t="array" ref="G899">_xlfn.XLOOKUP(TableDailySummary[[#This Row],[Fecha]]&amp;"Total site",ConversionRateByReferral[day]&amp;ConversionRateByReferral[referrer_source],ConversionRateByReferral[conversion_rate],0)</f>
        <v>0</v>
      </c>
      <c r="H899" s="11">
        <f>TableDailySummary[[#This Row],[Órden promedio totales]]*TableDailySummary[[#This Row],[CR totales]]</f>
        <v>0</v>
      </c>
      <c r="I899" s="11">
        <f>_xlfn.XLOOKUP(TableDailySummary[[#This Row],[Fecha]],SummaryDaily[day],SummaryDaily[new_net_sales],0)</f>
        <v>0</v>
      </c>
      <c r="J899" s="11">
        <f>_xlfn.XLOOKUP(TableDailySummary[[#This Row],[Fecha]],SummaryDaily[day],SummaryDaily[new_orders],0)</f>
        <v>0</v>
      </c>
      <c r="K899" s="11">
        <f>_xlfn.XLOOKUP(TableDailySummary[[#This Row],[Fecha]],SummaryDaily[day],SummaryDaily[new_average_order_value],0)</f>
        <v>0</v>
      </c>
      <c r="L899" s="11">
        <f>_xlfn.XLOOKUP(TableDailySummary[[#This Row],[Fecha]],SummaryDaily[day],SummaryDaily[Online Store_net_sales],0)</f>
        <v>0</v>
      </c>
      <c r="M899" s="11">
        <f>_xlfn.XLOOKUP(TableDailySummary[[#This Row],[Fecha]],SummaryDaily[day],SummaryDaily[Online Store_orders],0)</f>
        <v>0</v>
      </c>
      <c r="N899" s="11">
        <f>_xlfn.XLOOKUP(TableDailySummary[[#This Row],[Fecha]],SummaryDaily[day],SummaryDaily[Online Store_average_order_value],0)</f>
        <v>0</v>
      </c>
      <c r="O899" s="11">
        <f>_xlfn.XLOOKUP(TableDailySummary[[#This Row],[Fecha]],SummaryDaily[day],SummaryDaily[Tienda 81_net_sales],0)</f>
        <v>0</v>
      </c>
      <c r="P899" s="11">
        <f>_xlfn.XLOOKUP(TableDailySummary[[#This Row],[Fecha]],SummaryDaily[day],SummaryDaily[Tienda 81_orders],0)</f>
        <v>0</v>
      </c>
      <c r="Q899" s="11">
        <f>_xlfn.XLOOKUP(TableDailySummary[[#This Row],[Fecha]],SummaryDaily[day],SummaryDaily[Tienda 81_average_order_value],0)</f>
        <v>0</v>
      </c>
      <c r="R899" s="11">
        <f>_xlfn.XLOOKUP(TableDailySummary[[#This Row],[Fecha]],SummaryDaily[day],SummaryDaily[Rappi_net_sales],0)</f>
        <v>0</v>
      </c>
      <c r="S899" s="11">
        <f>_xlfn.XLOOKUP(TableDailySummary[[#This Row],[Fecha]],SummaryDaily[day],SummaryDaily[Rappi_orders],0)</f>
        <v>0</v>
      </c>
      <c r="T899" s="11">
        <f>_xlfn.XLOOKUP(TableDailySummary[[#This Row],[Fecha]],SummaryDaily[day],SummaryDaily[Rappi_average_order_value],0)</f>
        <v>0</v>
      </c>
      <c r="U899" s="11">
        <f>_xlfn.XLOOKUP(TableDailySummary[[#This Row],[Fecha]],SummaryDaily[day],SummaryDaily[Corporativo no tienda_net_sales],0)</f>
        <v>0</v>
      </c>
      <c r="V899" s="11">
        <f>_xlfn.XLOOKUP(TableDailySummary[[#This Row],[Fecha]],SummaryDaily[day],SummaryDaily[Corporativo no tienda_orders],0)</f>
        <v>0</v>
      </c>
      <c r="W899" s="11">
        <f>_xlfn.XLOOKUP(TableDailySummary[[#This Row],[Fecha]],SummaryDaily[day],SummaryDaily[Corporativo no tienda_average_order_value],0)</f>
        <v>0</v>
      </c>
      <c r="X899" s="11">
        <f>_xlfn.XLOOKUP(TableDailySummary[[#This Row],[Fecha]],SummaryDaily[day],SummaryDaily[GoogleAdsOperation.Cost],0)</f>
        <v>0</v>
      </c>
      <c r="Y899" s="11">
        <f>SUMIFS(SalesByUTMDaily[google],SalesByUTMDaily[day],TableDailySummary[[#This Row],[Fecha]])</f>
        <v>0</v>
      </c>
      <c r="Z899" s="11">
        <f>_xlfn.XLOOKUP(TableDailySummary[[#This Row],[Fecha]],SummaryDaily[day],SummaryDaily[MetaAdsOperation.spend],0)</f>
        <v>0</v>
      </c>
      <c r="AA899" s="11">
        <f>SUMIFS(SalesByUTMDaily[facebook],SalesByUTMDaily[day],TableDailySummary[[#This Row],[Fecha]])</f>
        <v>0</v>
      </c>
      <c r="AB899" s="11">
        <f>TableDailySummary[[#This Row],[Inversión google ads]]+TableDailySummary[[#This Row],[Inversión meta ads]]</f>
        <v>0</v>
      </c>
      <c r="AC899" s="11">
        <f>TableDailySummary[[#This Row],[Ventas google ads]]+TableDailySummary[[#This Row],[Ventas meta ads]]</f>
        <v>0</v>
      </c>
      <c r="AD899" s="14">
        <f>IFERROR(TableDailySummary[[#This Row],[Ventas publicidad]]/TableDailySummary[[#This Row],[Inversión publicidad]],0)</f>
        <v>0</v>
      </c>
      <c r="AE899" s="14">
        <f>IFERROR(TableDailySummary[[#This Row],[Ventas primer cliente]]/TableDailySummary[[#This Row],[Inversión publicidad]],0)</f>
        <v>0</v>
      </c>
      <c r="AF899" s="14"/>
      <c r="AG899" s="11"/>
      <c r="AM899" s="11">
        <f>_xlfn.XLOOKUP(TableDailySummary[[#This Row],[Fecha]],SummaryDaily[day],SummaryDaily[net_sales_with_cost_recorded],0)</f>
        <v>0</v>
      </c>
      <c r="AN899" s="11">
        <f>_xlfn.XLOOKUP(TableDailySummary[[#This Row],[Fecha]],SummaryDaily[day],SummaryDaily[cost_of_goods_sold],0)</f>
        <v>0</v>
      </c>
      <c r="AO899" s="11">
        <f>_xlfn.XLOOKUP(TableDailySummary[[#This Row],[Fecha]],SummaryDaily[day],SummaryDaily[gross_profit],0)</f>
        <v>0</v>
      </c>
      <c r="AP899" s="18">
        <f>IFERROR(TableDailySummary[[#This Row],[Utilidad bruta]]/TableDailySummary[[#This Row],[Ventas netas con costo registrado]],0)</f>
        <v>0</v>
      </c>
    </row>
    <row r="900" spans="2:42" x14ac:dyDescent="0.2">
      <c r="B900" s="15" cm="1">
        <f t="array" ref="B900">ParamFechaInicioReporte + (ROW(TableDailySummary[#This Row]) - ROW(TableDailySummary[[#Headers],[Dia]]) - 1)</f>
        <v>45427</v>
      </c>
      <c r="C900" s="6">
        <f>TableDailySummary[[#This Row],[Dia]]</f>
        <v>45427</v>
      </c>
      <c r="D900" s="11">
        <f>_xlfn.XLOOKUP(TableDailySummary[[#This Row],[Fecha]],SummaryDaily[day],SummaryDaily[net_sales],0)</f>
        <v>0</v>
      </c>
      <c r="E900" s="11">
        <f>_xlfn.XLOOKUP(TableDailySummary[[#This Row],[Fecha]],SummaryDaily[day],SummaryDaily[orders],0)</f>
        <v>0</v>
      </c>
      <c r="F900" s="11">
        <f>_xlfn.XLOOKUP(TableDailySummary[[#This Row],[Fecha]],SummaryDaily[day],SummaryDaily[average_order_value],0)</f>
        <v>0</v>
      </c>
      <c r="G900" s="24" cm="1">
        <f t="array" ref="G900">_xlfn.XLOOKUP(TableDailySummary[[#This Row],[Fecha]]&amp;"Total site",ConversionRateByReferral[day]&amp;ConversionRateByReferral[referrer_source],ConversionRateByReferral[conversion_rate],0)</f>
        <v>0</v>
      </c>
      <c r="H900" s="11">
        <f>TableDailySummary[[#This Row],[Órden promedio totales]]*TableDailySummary[[#This Row],[CR totales]]</f>
        <v>0</v>
      </c>
      <c r="I900" s="11">
        <f>_xlfn.XLOOKUP(TableDailySummary[[#This Row],[Fecha]],SummaryDaily[day],SummaryDaily[new_net_sales],0)</f>
        <v>0</v>
      </c>
      <c r="J900" s="11">
        <f>_xlfn.XLOOKUP(TableDailySummary[[#This Row],[Fecha]],SummaryDaily[day],SummaryDaily[new_orders],0)</f>
        <v>0</v>
      </c>
      <c r="K900" s="11">
        <f>_xlfn.XLOOKUP(TableDailySummary[[#This Row],[Fecha]],SummaryDaily[day],SummaryDaily[new_average_order_value],0)</f>
        <v>0</v>
      </c>
      <c r="L900" s="11">
        <f>_xlfn.XLOOKUP(TableDailySummary[[#This Row],[Fecha]],SummaryDaily[day],SummaryDaily[Online Store_net_sales],0)</f>
        <v>0</v>
      </c>
      <c r="M900" s="11">
        <f>_xlfn.XLOOKUP(TableDailySummary[[#This Row],[Fecha]],SummaryDaily[day],SummaryDaily[Online Store_orders],0)</f>
        <v>0</v>
      </c>
      <c r="N900" s="11">
        <f>_xlfn.XLOOKUP(TableDailySummary[[#This Row],[Fecha]],SummaryDaily[day],SummaryDaily[Online Store_average_order_value],0)</f>
        <v>0</v>
      </c>
      <c r="O900" s="11">
        <f>_xlfn.XLOOKUP(TableDailySummary[[#This Row],[Fecha]],SummaryDaily[day],SummaryDaily[Tienda 81_net_sales],0)</f>
        <v>0</v>
      </c>
      <c r="P900" s="11">
        <f>_xlfn.XLOOKUP(TableDailySummary[[#This Row],[Fecha]],SummaryDaily[day],SummaryDaily[Tienda 81_orders],0)</f>
        <v>0</v>
      </c>
      <c r="Q900" s="11">
        <f>_xlfn.XLOOKUP(TableDailySummary[[#This Row],[Fecha]],SummaryDaily[day],SummaryDaily[Tienda 81_average_order_value],0)</f>
        <v>0</v>
      </c>
      <c r="R900" s="11">
        <f>_xlfn.XLOOKUP(TableDailySummary[[#This Row],[Fecha]],SummaryDaily[day],SummaryDaily[Rappi_net_sales],0)</f>
        <v>0</v>
      </c>
      <c r="S900" s="11">
        <f>_xlfn.XLOOKUP(TableDailySummary[[#This Row],[Fecha]],SummaryDaily[day],SummaryDaily[Rappi_orders],0)</f>
        <v>0</v>
      </c>
      <c r="T900" s="11">
        <f>_xlfn.XLOOKUP(TableDailySummary[[#This Row],[Fecha]],SummaryDaily[day],SummaryDaily[Rappi_average_order_value],0)</f>
        <v>0</v>
      </c>
      <c r="U900" s="11">
        <f>_xlfn.XLOOKUP(TableDailySummary[[#This Row],[Fecha]],SummaryDaily[day],SummaryDaily[Corporativo no tienda_net_sales],0)</f>
        <v>0</v>
      </c>
      <c r="V900" s="11">
        <f>_xlfn.XLOOKUP(TableDailySummary[[#This Row],[Fecha]],SummaryDaily[day],SummaryDaily[Corporativo no tienda_orders],0)</f>
        <v>0</v>
      </c>
      <c r="W900" s="11">
        <f>_xlfn.XLOOKUP(TableDailySummary[[#This Row],[Fecha]],SummaryDaily[day],SummaryDaily[Corporativo no tienda_average_order_value],0)</f>
        <v>0</v>
      </c>
      <c r="X900" s="11">
        <f>_xlfn.XLOOKUP(TableDailySummary[[#This Row],[Fecha]],SummaryDaily[day],SummaryDaily[GoogleAdsOperation.Cost],0)</f>
        <v>0</v>
      </c>
      <c r="Y900" s="11">
        <f>SUMIFS(SalesByUTMDaily[google],SalesByUTMDaily[day],TableDailySummary[[#This Row],[Fecha]])</f>
        <v>0</v>
      </c>
      <c r="Z900" s="11">
        <f>_xlfn.XLOOKUP(TableDailySummary[[#This Row],[Fecha]],SummaryDaily[day],SummaryDaily[MetaAdsOperation.spend],0)</f>
        <v>0</v>
      </c>
      <c r="AA900" s="11">
        <f>SUMIFS(SalesByUTMDaily[facebook],SalesByUTMDaily[day],TableDailySummary[[#This Row],[Fecha]])</f>
        <v>0</v>
      </c>
      <c r="AB900" s="11">
        <f>TableDailySummary[[#This Row],[Inversión google ads]]+TableDailySummary[[#This Row],[Inversión meta ads]]</f>
        <v>0</v>
      </c>
      <c r="AC900" s="11">
        <f>TableDailySummary[[#This Row],[Ventas google ads]]+TableDailySummary[[#This Row],[Ventas meta ads]]</f>
        <v>0</v>
      </c>
      <c r="AD900" s="14">
        <f>IFERROR(TableDailySummary[[#This Row],[Ventas publicidad]]/TableDailySummary[[#This Row],[Inversión publicidad]],0)</f>
        <v>0</v>
      </c>
      <c r="AE900" s="14">
        <f>IFERROR(TableDailySummary[[#This Row],[Ventas primer cliente]]/TableDailySummary[[#This Row],[Inversión publicidad]],0)</f>
        <v>0</v>
      </c>
      <c r="AF900" s="14"/>
      <c r="AG900" s="11"/>
      <c r="AM900" s="11">
        <f>_xlfn.XLOOKUP(TableDailySummary[[#This Row],[Fecha]],SummaryDaily[day],SummaryDaily[net_sales_with_cost_recorded],0)</f>
        <v>0</v>
      </c>
      <c r="AN900" s="11">
        <f>_xlfn.XLOOKUP(TableDailySummary[[#This Row],[Fecha]],SummaryDaily[day],SummaryDaily[cost_of_goods_sold],0)</f>
        <v>0</v>
      </c>
      <c r="AO900" s="11">
        <f>_xlfn.XLOOKUP(TableDailySummary[[#This Row],[Fecha]],SummaryDaily[day],SummaryDaily[gross_profit],0)</f>
        <v>0</v>
      </c>
      <c r="AP900" s="18">
        <f>IFERROR(TableDailySummary[[#This Row],[Utilidad bruta]]/TableDailySummary[[#This Row],[Ventas netas con costo registrado]],0)</f>
        <v>0</v>
      </c>
    </row>
    <row r="901" spans="2:42" x14ac:dyDescent="0.2">
      <c r="B901" s="15" cm="1">
        <f t="array" ref="B901">ParamFechaInicioReporte + (ROW(TableDailySummary[#This Row]) - ROW(TableDailySummary[[#Headers],[Dia]]) - 1)</f>
        <v>45428</v>
      </c>
      <c r="C901" s="6">
        <f>TableDailySummary[[#This Row],[Dia]]</f>
        <v>45428</v>
      </c>
      <c r="D901" s="11">
        <f>_xlfn.XLOOKUP(TableDailySummary[[#This Row],[Fecha]],SummaryDaily[day],SummaryDaily[net_sales],0)</f>
        <v>0</v>
      </c>
      <c r="E901" s="11">
        <f>_xlfn.XLOOKUP(TableDailySummary[[#This Row],[Fecha]],SummaryDaily[day],SummaryDaily[orders],0)</f>
        <v>0</v>
      </c>
      <c r="F901" s="11">
        <f>_xlfn.XLOOKUP(TableDailySummary[[#This Row],[Fecha]],SummaryDaily[day],SummaryDaily[average_order_value],0)</f>
        <v>0</v>
      </c>
      <c r="G901" s="24" cm="1">
        <f t="array" ref="G901">_xlfn.XLOOKUP(TableDailySummary[[#This Row],[Fecha]]&amp;"Total site",ConversionRateByReferral[day]&amp;ConversionRateByReferral[referrer_source],ConversionRateByReferral[conversion_rate],0)</f>
        <v>0</v>
      </c>
      <c r="H901" s="11">
        <f>TableDailySummary[[#This Row],[Órden promedio totales]]*TableDailySummary[[#This Row],[CR totales]]</f>
        <v>0</v>
      </c>
      <c r="I901" s="11">
        <f>_xlfn.XLOOKUP(TableDailySummary[[#This Row],[Fecha]],SummaryDaily[day],SummaryDaily[new_net_sales],0)</f>
        <v>0</v>
      </c>
      <c r="J901" s="11">
        <f>_xlfn.XLOOKUP(TableDailySummary[[#This Row],[Fecha]],SummaryDaily[day],SummaryDaily[new_orders],0)</f>
        <v>0</v>
      </c>
      <c r="K901" s="11">
        <f>_xlfn.XLOOKUP(TableDailySummary[[#This Row],[Fecha]],SummaryDaily[day],SummaryDaily[new_average_order_value],0)</f>
        <v>0</v>
      </c>
      <c r="L901" s="11">
        <f>_xlfn.XLOOKUP(TableDailySummary[[#This Row],[Fecha]],SummaryDaily[day],SummaryDaily[Online Store_net_sales],0)</f>
        <v>0</v>
      </c>
      <c r="M901" s="11">
        <f>_xlfn.XLOOKUP(TableDailySummary[[#This Row],[Fecha]],SummaryDaily[day],SummaryDaily[Online Store_orders],0)</f>
        <v>0</v>
      </c>
      <c r="N901" s="11">
        <f>_xlfn.XLOOKUP(TableDailySummary[[#This Row],[Fecha]],SummaryDaily[day],SummaryDaily[Online Store_average_order_value],0)</f>
        <v>0</v>
      </c>
      <c r="O901" s="11">
        <f>_xlfn.XLOOKUP(TableDailySummary[[#This Row],[Fecha]],SummaryDaily[day],SummaryDaily[Tienda 81_net_sales],0)</f>
        <v>0</v>
      </c>
      <c r="P901" s="11">
        <f>_xlfn.XLOOKUP(TableDailySummary[[#This Row],[Fecha]],SummaryDaily[day],SummaryDaily[Tienda 81_orders],0)</f>
        <v>0</v>
      </c>
      <c r="Q901" s="11">
        <f>_xlfn.XLOOKUP(TableDailySummary[[#This Row],[Fecha]],SummaryDaily[day],SummaryDaily[Tienda 81_average_order_value],0)</f>
        <v>0</v>
      </c>
      <c r="R901" s="11">
        <f>_xlfn.XLOOKUP(TableDailySummary[[#This Row],[Fecha]],SummaryDaily[day],SummaryDaily[Rappi_net_sales],0)</f>
        <v>0</v>
      </c>
      <c r="S901" s="11">
        <f>_xlfn.XLOOKUP(TableDailySummary[[#This Row],[Fecha]],SummaryDaily[day],SummaryDaily[Rappi_orders],0)</f>
        <v>0</v>
      </c>
      <c r="T901" s="11">
        <f>_xlfn.XLOOKUP(TableDailySummary[[#This Row],[Fecha]],SummaryDaily[day],SummaryDaily[Rappi_average_order_value],0)</f>
        <v>0</v>
      </c>
      <c r="U901" s="11">
        <f>_xlfn.XLOOKUP(TableDailySummary[[#This Row],[Fecha]],SummaryDaily[day],SummaryDaily[Corporativo no tienda_net_sales],0)</f>
        <v>0</v>
      </c>
      <c r="V901" s="11">
        <f>_xlfn.XLOOKUP(TableDailySummary[[#This Row],[Fecha]],SummaryDaily[day],SummaryDaily[Corporativo no tienda_orders],0)</f>
        <v>0</v>
      </c>
      <c r="W901" s="11">
        <f>_xlfn.XLOOKUP(TableDailySummary[[#This Row],[Fecha]],SummaryDaily[day],SummaryDaily[Corporativo no tienda_average_order_value],0)</f>
        <v>0</v>
      </c>
      <c r="X901" s="11">
        <f>_xlfn.XLOOKUP(TableDailySummary[[#This Row],[Fecha]],SummaryDaily[day],SummaryDaily[GoogleAdsOperation.Cost],0)</f>
        <v>0</v>
      </c>
      <c r="Y901" s="11">
        <f>SUMIFS(SalesByUTMDaily[google],SalesByUTMDaily[day],TableDailySummary[[#This Row],[Fecha]])</f>
        <v>0</v>
      </c>
      <c r="Z901" s="11">
        <f>_xlfn.XLOOKUP(TableDailySummary[[#This Row],[Fecha]],SummaryDaily[day],SummaryDaily[MetaAdsOperation.spend],0)</f>
        <v>0</v>
      </c>
      <c r="AA901" s="11">
        <f>SUMIFS(SalesByUTMDaily[facebook],SalesByUTMDaily[day],TableDailySummary[[#This Row],[Fecha]])</f>
        <v>0</v>
      </c>
      <c r="AB901" s="11">
        <f>TableDailySummary[[#This Row],[Inversión google ads]]+TableDailySummary[[#This Row],[Inversión meta ads]]</f>
        <v>0</v>
      </c>
      <c r="AC901" s="11">
        <f>TableDailySummary[[#This Row],[Ventas google ads]]+TableDailySummary[[#This Row],[Ventas meta ads]]</f>
        <v>0</v>
      </c>
      <c r="AD901" s="14">
        <f>IFERROR(TableDailySummary[[#This Row],[Ventas publicidad]]/TableDailySummary[[#This Row],[Inversión publicidad]],0)</f>
        <v>0</v>
      </c>
      <c r="AE901" s="14">
        <f>IFERROR(TableDailySummary[[#This Row],[Ventas primer cliente]]/TableDailySummary[[#This Row],[Inversión publicidad]],0)</f>
        <v>0</v>
      </c>
      <c r="AF901" s="14"/>
      <c r="AG901" s="11"/>
      <c r="AM901" s="11">
        <f>_xlfn.XLOOKUP(TableDailySummary[[#This Row],[Fecha]],SummaryDaily[day],SummaryDaily[net_sales_with_cost_recorded],0)</f>
        <v>0</v>
      </c>
      <c r="AN901" s="11">
        <f>_xlfn.XLOOKUP(TableDailySummary[[#This Row],[Fecha]],SummaryDaily[day],SummaryDaily[cost_of_goods_sold],0)</f>
        <v>0</v>
      </c>
      <c r="AO901" s="11">
        <f>_xlfn.XLOOKUP(TableDailySummary[[#This Row],[Fecha]],SummaryDaily[day],SummaryDaily[gross_profit],0)</f>
        <v>0</v>
      </c>
      <c r="AP901" s="18">
        <f>IFERROR(TableDailySummary[[#This Row],[Utilidad bruta]]/TableDailySummary[[#This Row],[Ventas netas con costo registrado]],0)</f>
        <v>0</v>
      </c>
    </row>
    <row r="902" spans="2:42" x14ac:dyDescent="0.2">
      <c r="B902" s="15" cm="1">
        <f t="array" ref="B902">ParamFechaInicioReporte + (ROW(TableDailySummary[#This Row]) - ROW(TableDailySummary[[#Headers],[Dia]]) - 1)</f>
        <v>45429</v>
      </c>
      <c r="C902" s="6">
        <f>TableDailySummary[[#This Row],[Dia]]</f>
        <v>45429</v>
      </c>
      <c r="D902" s="11">
        <f>_xlfn.XLOOKUP(TableDailySummary[[#This Row],[Fecha]],SummaryDaily[day],SummaryDaily[net_sales],0)</f>
        <v>0</v>
      </c>
      <c r="E902" s="11">
        <f>_xlfn.XLOOKUP(TableDailySummary[[#This Row],[Fecha]],SummaryDaily[day],SummaryDaily[orders],0)</f>
        <v>0</v>
      </c>
      <c r="F902" s="11">
        <f>_xlfn.XLOOKUP(TableDailySummary[[#This Row],[Fecha]],SummaryDaily[day],SummaryDaily[average_order_value],0)</f>
        <v>0</v>
      </c>
      <c r="G902" s="24" cm="1">
        <f t="array" ref="G902">_xlfn.XLOOKUP(TableDailySummary[[#This Row],[Fecha]]&amp;"Total site",ConversionRateByReferral[day]&amp;ConversionRateByReferral[referrer_source],ConversionRateByReferral[conversion_rate],0)</f>
        <v>0</v>
      </c>
      <c r="H902" s="11">
        <f>TableDailySummary[[#This Row],[Órden promedio totales]]*TableDailySummary[[#This Row],[CR totales]]</f>
        <v>0</v>
      </c>
      <c r="I902" s="11">
        <f>_xlfn.XLOOKUP(TableDailySummary[[#This Row],[Fecha]],SummaryDaily[day],SummaryDaily[new_net_sales],0)</f>
        <v>0</v>
      </c>
      <c r="J902" s="11">
        <f>_xlfn.XLOOKUP(TableDailySummary[[#This Row],[Fecha]],SummaryDaily[day],SummaryDaily[new_orders],0)</f>
        <v>0</v>
      </c>
      <c r="K902" s="11">
        <f>_xlfn.XLOOKUP(TableDailySummary[[#This Row],[Fecha]],SummaryDaily[day],SummaryDaily[new_average_order_value],0)</f>
        <v>0</v>
      </c>
      <c r="L902" s="11">
        <f>_xlfn.XLOOKUP(TableDailySummary[[#This Row],[Fecha]],SummaryDaily[day],SummaryDaily[Online Store_net_sales],0)</f>
        <v>0</v>
      </c>
      <c r="M902" s="11">
        <f>_xlfn.XLOOKUP(TableDailySummary[[#This Row],[Fecha]],SummaryDaily[day],SummaryDaily[Online Store_orders],0)</f>
        <v>0</v>
      </c>
      <c r="N902" s="11">
        <f>_xlfn.XLOOKUP(TableDailySummary[[#This Row],[Fecha]],SummaryDaily[day],SummaryDaily[Online Store_average_order_value],0)</f>
        <v>0</v>
      </c>
      <c r="O902" s="11">
        <f>_xlfn.XLOOKUP(TableDailySummary[[#This Row],[Fecha]],SummaryDaily[day],SummaryDaily[Tienda 81_net_sales],0)</f>
        <v>0</v>
      </c>
      <c r="P902" s="11">
        <f>_xlfn.XLOOKUP(TableDailySummary[[#This Row],[Fecha]],SummaryDaily[day],SummaryDaily[Tienda 81_orders],0)</f>
        <v>0</v>
      </c>
      <c r="Q902" s="11">
        <f>_xlfn.XLOOKUP(TableDailySummary[[#This Row],[Fecha]],SummaryDaily[day],SummaryDaily[Tienda 81_average_order_value],0)</f>
        <v>0</v>
      </c>
      <c r="R902" s="11">
        <f>_xlfn.XLOOKUP(TableDailySummary[[#This Row],[Fecha]],SummaryDaily[day],SummaryDaily[Rappi_net_sales],0)</f>
        <v>0</v>
      </c>
      <c r="S902" s="11">
        <f>_xlfn.XLOOKUP(TableDailySummary[[#This Row],[Fecha]],SummaryDaily[day],SummaryDaily[Rappi_orders],0)</f>
        <v>0</v>
      </c>
      <c r="T902" s="11">
        <f>_xlfn.XLOOKUP(TableDailySummary[[#This Row],[Fecha]],SummaryDaily[day],SummaryDaily[Rappi_average_order_value],0)</f>
        <v>0</v>
      </c>
      <c r="U902" s="11">
        <f>_xlfn.XLOOKUP(TableDailySummary[[#This Row],[Fecha]],SummaryDaily[day],SummaryDaily[Corporativo no tienda_net_sales],0)</f>
        <v>0</v>
      </c>
      <c r="V902" s="11">
        <f>_xlfn.XLOOKUP(TableDailySummary[[#This Row],[Fecha]],SummaryDaily[day],SummaryDaily[Corporativo no tienda_orders],0)</f>
        <v>0</v>
      </c>
      <c r="W902" s="11">
        <f>_xlfn.XLOOKUP(TableDailySummary[[#This Row],[Fecha]],SummaryDaily[day],SummaryDaily[Corporativo no tienda_average_order_value],0)</f>
        <v>0</v>
      </c>
      <c r="X902" s="11">
        <f>_xlfn.XLOOKUP(TableDailySummary[[#This Row],[Fecha]],SummaryDaily[day],SummaryDaily[GoogleAdsOperation.Cost],0)</f>
        <v>0</v>
      </c>
      <c r="Y902" s="11">
        <f>SUMIFS(SalesByUTMDaily[google],SalesByUTMDaily[day],TableDailySummary[[#This Row],[Fecha]])</f>
        <v>0</v>
      </c>
      <c r="Z902" s="11">
        <f>_xlfn.XLOOKUP(TableDailySummary[[#This Row],[Fecha]],SummaryDaily[day],SummaryDaily[MetaAdsOperation.spend],0)</f>
        <v>0</v>
      </c>
      <c r="AA902" s="11">
        <f>SUMIFS(SalesByUTMDaily[facebook],SalesByUTMDaily[day],TableDailySummary[[#This Row],[Fecha]])</f>
        <v>0</v>
      </c>
      <c r="AB902" s="11">
        <f>TableDailySummary[[#This Row],[Inversión google ads]]+TableDailySummary[[#This Row],[Inversión meta ads]]</f>
        <v>0</v>
      </c>
      <c r="AC902" s="11">
        <f>TableDailySummary[[#This Row],[Ventas google ads]]+TableDailySummary[[#This Row],[Ventas meta ads]]</f>
        <v>0</v>
      </c>
      <c r="AD902" s="14">
        <f>IFERROR(TableDailySummary[[#This Row],[Ventas publicidad]]/TableDailySummary[[#This Row],[Inversión publicidad]],0)</f>
        <v>0</v>
      </c>
      <c r="AE902" s="14">
        <f>IFERROR(TableDailySummary[[#This Row],[Ventas primer cliente]]/TableDailySummary[[#This Row],[Inversión publicidad]],0)</f>
        <v>0</v>
      </c>
      <c r="AF902" s="14"/>
      <c r="AG902" s="11"/>
      <c r="AM902" s="11">
        <f>_xlfn.XLOOKUP(TableDailySummary[[#This Row],[Fecha]],SummaryDaily[day],SummaryDaily[net_sales_with_cost_recorded],0)</f>
        <v>0</v>
      </c>
      <c r="AN902" s="11">
        <f>_xlfn.XLOOKUP(TableDailySummary[[#This Row],[Fecha]],SummaryDaily[day],SummaryDaily[cost_of_goods_sold],0)</f>
        <v>0</v>
      </c>
      <c r="AO902" s="11">
        <f>_xlfn.XLOOKUP(TableDailySummary[[#This Row],[Fecha]],SummaryDaily[day],SummaryDaily[gross_profit],0)</f>
        <v>0</v>
      </c>
      <c r="AP902" s="18">
        <f>IFERROR(TableDailySummary[[#This Row],[Utilidad bruta]]/TableDailySummary[[#This Row],[Ventas netas con costo registrado]],0)</f>
        <v>0</v>
      </c>
    </row>
    <row r="903" spans="2:42" x14ac:dyDescent="0.2">
      <c r="B903" s="15" cm="1">
        <f t="array" ref="B903">ParamFechaInicioReporte + (ROW(TableDailySummary[#This Row]) - ROW(TableDailySummary[[#Headers],[Dia]]) - 1)</f>
        <v>45430</v>
      </c>
      <c r="C903" s="6">
        <f>TableDailySummary[[#This Row],[Dia]]</f>
        <v>45430</v>
      </c>
      <c r="D903" s="11">
        <f>_xlfn.XLOOKUP(TableDailySummary[[#This Row],[Fecha]],SummaryDaily[day],SummaryDaily[net_sales],0)</f>
        <v>0</v>
      </c>
      <c r="E903" s="11">
        <f>_xlfn.XLOOKUP(TableDailySummary[[#This Row],[Fecha]],SummaryDaily[day],SummaryDaily[orders],0)</f>
        <v>0</v>
      </c>
      <c r="F903" s="11">
        <f>_xlfn.XLOOKUP(TableDailySummary[[#This Row],[Fecha]],SummaryDaily[day],SummaryDaily[average_order_value],0)</f>
        <v>0</v>
      </c>
      <c r="G903" s="24" cm="1">
        <f t="array" ref="G903">_xlfn.XLOOKUP(TableDailySummary[[#This Row],[Fecha]]&amp;"Total site",ConversionRateByReferral[day]&amp;ConversionRateByReferral[referrer_source],ConversionRateByReferral[conversion_rate],0)</f>
        <v>0</v>
      </c>
      <c r="H903" s="11">
        <f>TableDailySummary[[#This Row],[Órden promedio totales]]*TableDailySummary[[#This Row],[CR totales]]</f>
        <v>0</v>
      </c>
      <c r="I903" s="11">
        <f>_xlfn.XLOOKUP(TableDailySummary[[#This Row],[Fecha]],SummaryDaily[day],SummaryDaily[new_net_sales],0)</f>
        <v>0</v>
      </c>
      <c r="J903" s="11">
        <f>_xlfn.XLOOKUP(TableDailySummary[[#This Row],[Fecha]],SummaryDaily[day],SummaryDaily[new_orders],0)</f>
        <v>0</v>
      </c>
      <c r="K903" s="11">
        <f>_xlfn.XLOOKUP(TableDailySummary[[#This Row],[Fecha]],SummaryDaily[day],SummaryDaily[new_average_order_value],0)</f>
        <v>0</v>
      </c>
      <c r="L903" s="11">
        <f>_xlfn.XLOOKUP(TableDailySummary[[#This Row],[Fecha]],SummaryDaily[day],SummaryDaily[Online Store_net_sales],0)</f>
        <v>0</v>
      </c>
      <c r="M903" s="11">
        <f>_xlfn.XLOOKUP(TableDailySummary[[#This Row],[Fecha]],SummaryDaily[day],SummaryDaily[Online Store_orders],0)</f>
        <v>0</v>
      </c>
      <c r="N903" s="11">
        <f>_xlfn.XLOOKUP(TableDailySummary[[#This Row],[Fecha]],SummaryDaily[day],SummaryDaily[Online Store_average_order_value],0)</f>
        <v>0</v>
      </c>
      <c r="O903" s="11">
        <f>_xlfn.XLOOKUP(TableDailySummary[[#This Row],[Fecha]],SummaryDaily[day],SummaryDaily[Tienda 81_net_sales],0)</f>
        <v>0</v>
      </c>
      <c r="P903" s="11">
        <f>_xlfn.XLOOKUP(TableDailySummary[[#This Row],[Fecha]],SummaryDaily[day],SummaryDaily[Tienda 81_orders],0)</f>
        <v>0</v>
      </c>
      <c r="Q903" s="11">
        <f>_xlfn.XLOOKUP(TableDailySummary[[#This Row],[Fecha]],SummaryDaily[day],SummaryDaily[Tienda 81_average_order_value],0)</f>
        <v>0</v>
      </c>
      <c r="R903" s="11">
        <f>_xlfn.XLOOKUP(TableDailySummary[[#This Row],[Fecha]],SummaryDaily[day],SummaryDaily[Rappi_net_sales],0)</f>
        <v>0</v>
      </c>
      <c r="S903" s="11">
        <f>_xlfn.XLOOKUP(TableDailySummary[[#This Row],[Fecha]],SummaryDaily[day],SummaryDaily[Rappi_orders],0)</f>
        <v>0</v>
      </c>
      <c r="T903" s="11">
        <f>_xlfn.XLOOKUP(TableDailySummary[[#This Row],[Fecha]],SummaryDaily[day],SummaryDaily[Rappi_average_order_value],0)</f>
        <v>0</v>
      </c>
      <c r="U903" s="11">
        <f>_xlfn.XLOOKUP(TableDailySummary[[#This Row],[Fecha]],SummaryDaily[day],SummaryDaily[Corporativo no tienda_net_sales],0)</f>
        <v>0</v>
      </c>
      <c r="V903" s="11">
        <f>_xlfn.XLOOKUP(TableDailySummary[[#This Row],[Fecha]],SummaryDaily[day],SummaryDaily[Corporativo no tienda_orders],0)</f>
        <v>0</v>
      </c>
      <c r="W903" s="11">
        <f>_xlfn.XLOOKUP(TableDailySummary[[#This Row],[Fecha]],SummaryDaily[day],SummaryDaily[Corporativo no tienda_average_order_value],0)</f>
        <v>0</v>
      </c>
      <c r="X903" s="11">
        <f>_xlfn.XLOOKUP(TableDailySummary[[#This Row],[Fecha]],SummaryDaily[day],SummaryDaily[GoogleAdsOperation.Cost],0)</f>
        <v>0</v>
      </c>
      <c r="Y903" s="11">
        <f>SUMIFS(SalesByUTMDaily[google],SalesByUTMDaily[day],TableDailySummary[[#This Row],[Fecha]])</f>
        <v>0</v>
      </c>
      <c r="Z903" s="11">
        <f>_xlfn.XLOOKUP(TableDailySummary[[#This Row],[Fecha]],SummaryDaily[day],SummaryDaily[MetaAdsOperation.spend],0)</f>
        <v>0</v>
      </c>
      <c r="AA903" s="11">
        <f>SUMIFS(SalesByUTMDaily[facebook],SalesByUTMDaily[day],TableDailySummary[[#This Row],[Fecha]])</f>
        <v>0</v>
      </c>
      <c r="AB903" s="11">
        <f>TableDailySummary[[#This Row],[Inversión google ads]]+TableDailySummary[[#This Row],[Inversión meta ads]]</f>
        <v>0</v>
      </c>
      <c r="AC903" s="11">
        <f>TableDailySummary[[#This Row],[Ventas google ads]]+TableDailySummary[[#This Row],[Ventas meta ads]]</f>
        <v>0</v>
      </c>
      <c r="AD903" s="14">
        <f>IFERROR(TableDailySummary[[#This Row],[Ventas publicidad]]/TableDailySummary[[#This Row],[Inversión publicidad]],0)</f>
        <v>0</v>
      </c>
      <c r="AE903" s="14">
        <f>IFERROR(TableDailySummary[[#This Row],[Ventas primer cliente]]/TableDailySummary[[#This Row],[Inversión publicidad]],0)</f>
        <v>0</v>
      </c>
      <c r="AF903" s="14"/>
      <c r="AG903" s="11"/>
      <c r="AM903" s="11">
        <f>_xlfn.XLOOKUP(TableDailySummary[[#This Row],[Fecha]],SummaryDaily[day],SummaryDaily[net_sales_with_cost_recorded],0)</f>
        <v>0</v>
      </c>
      <c r="AN903" s="11">
        <f>_xlfn.XLOOKUP(TableDailySummary[[#This Row],[Fecha]],SummaryDaily[day],SummaryDaily[cost_of_goods_sold],0)</f>
        <v>0</v>
      </c>
      <c r="AO903" s="11">
        <f>_xlfn.XLOOKUP(TableDailySummary[[#This Row],[Fecha]],SummaryDaily[day],SummaryDaily[gross_profit],0)</f>
        <v>0</v>
      </c>
      <c r="AP903" s="18">
        <f>IFERROR(TableDailySummary[[#This Row],[Utilidad bruta]]/TableDailySummary[[#This Row],[Ventas netas con costo registrado]],0)</f>
        <v>0</v>
      </c>
    </row>
    <row r="904" spans="2:42" x14ac:dyDescent="0.2">
      <c r="B904" s="15" cm="1">
        <f t="array" ref="B904">ParamFechaInicioReporte + (ROW(TableDailySummary[#This Row]) - ROW(TableDailySummary[[#Headers],[Dia]]) - 1)</f>
        <v>45431</v>
      </c>
      <c r="C904" s="6">
        <f>TableDailySummary[[#This Row],[Dia]]</f>
        <v>45431</v>
      </c>
      <c r="D904" s="11">
        <f>_xlfn.XLOOKUP(TableDailySummary[[#This Row],[Fecha]],SummaryDaily[day],SummaryDaily[net_sales],0)</f>
        <v>0</v>
      </c>
      <c r="E904" s="11">
        <f>_xlfn.XLOOKUP(TableDailySummary[[#This Row],[Fecha]],SummaryDaily[day],SummaryDaily[orders],0)</f>
        <v>0</v>
      </c>
      <c r="F904" s="11">
        <f>_xlfn.XLOOKUP(TableDailySummary[[#This Row],[Fecha]],SummaryDaily[day],SummaryDaily[average_order_value],0)</f>
        <v>0</v>
      </c>
      <c r="G904" s="24" cm="1">
        <f t="array" ref="G904">_xlfn.XLOOKUP(TableDailySummary[[#This Row],[Fecha]]&amp;"Total site",ConversionRateByReferral[day]&amp;ConversionRateByReferral[referrer_source],ConversionRateByReferral[conversion_rate],0)</f>
        <v>0</v>
      </c>
      <c r="H904" s="11">
        <f>TableDailySummary[[#This Row],[Órden promedio totales]]*TableDailySummary[[#This Row],[CR totales]]</f>
        <v>0</v>
      </c>
      <c r="I904" s="11">
        <f>_xlfn.XLOOKUP(TableDailySummary[[#This Row],[Fecha]],SummaryDaily[day],SummaryDaily[new_net_sales],0)</f>
        <v>0</v>
      </c>
      <c r="J904" s="11">
        <f>_xlfn.XLOOKUP(TableDailySummary[[#This Row],[Fecha]],SummaryDaily[day],SummaryDaily[new_orders],0)</f>
        <v>0</v>
      </c>
      <c r="K904" s="11">
        <f>_xlfn.XLOOKUP(TableDailySummary[[#This Row],[Fecha]],SummaryDaily[day],SummaryDaily[new_average_order_value],0)</f>
        <v>0</v>
      </c>
      <c r="L904" s="11">
        <f>_xlfn.XLOOKUP(TableDailySummary[[#This Row],[Fecha]],SummaryDaily[day],SummaryDaily[Online Store_net_sales],0)</f>
        <v>0</v>
      </c>
      <c r="M904" s="11">
        <f>_xlfn.XLOOKUP(TableDailySummary[[#This Row],[Fecha]],SummaryDaily[day],SummaryDaily[Online Store_orders],0)</f>
        <v>0</v>
      </c>
      <c r="N904" s="11">
        <f>_xlfn.XLOOKUP(TableDailySummary[[#This Row],[Fecha]],SummaryDaily[day],SummaryDaily[Online Store_average_order_value],0)</f>
        <v>0</v>
      </c>
      <c r="O904" s="11">
        <f>_xlfn.XLOOKUP(TableDailySummary[[#This Row],[Fecha]],SummaryDaily[day],SummaryDaily[Tienda 81_net_sales],0)</f>
        <v>0</v>
      </c>
      <c r="P904" s="11">
        <f>_xlfn.XLOOKUP(TableDailySummary[[#This Row],[Fecha]],SummaryDaily[day],SummaryDaily[Tienda 81_orders],0)</f>
        <v>0</v>
      </c>
      <c r="Q904" s="11">
        <f>_xlfn.XLOOKUP(TableDailySummary[[#This Row],[Fecha]],SummaryDaily[day],SummaryDaily[Tienda 81_average_order_value],0)</f>
        <v>0</v>
      </c>
      <c r="R904" s="11">
        <f>_xlfn.XLOOKUP(TableDailySummary[[#This Row],[Fecha]],SummaryDaily[day],SummaryDaily[Rappi_net_sales],0)</f>
        <v>0</v>
      </c>
      <c r="S904" s="11">
        <f>_xlfn.XLOOKUP(TableDailySummary[[#This Row],[Fecha]],SummaryDaily[day],SummaryDaily[Rappi_orders],0)</f>
        <v>0</v>
      </c>
      <c r="T904" s="11">
        <f>_xlfn.XLOOKUP(TableDailySummary[[#This Row],[Fecha]],SummaryDaily[day],SummaryDaily[Rappi_average_order_value],0)</f>
        <v>0</v>
      </c>
      <c r="U904" s="11">
        <f>_xlfn.XLOOKUP(TableDailySummary[[#This Row],[Fecha]],SummaryDaily[day],SummaryDaily[Corporativo no tienda_net_sales],0)</f>
        <v>0</v>
      </c>
      <c r="V904" s="11">
        <f>_xlfn.XLOOKUP(TableDailySummary[[#This Row],[Fecha]],SummaryDaily[day],SummaryDaily[Corporativo no tienda_orders],0)</f>
        <v>0</v>
      </c>
      <c r="W904" s="11">
        <f>_xlfn.XLOOKUP(TableDailySummary[[#This Row],[Fecha]],SummaryDaily[day],SummaryDaily[Corporativo no tienda_average_order_value],0)</f>
        <v>0</v>
      </c>
      <c r="X904" s="11">
        <f>_xlfn.XLOOKUP(TableDailySummary[[#This Row],[Fecha]],SummaryDaily[day],SummaryDaily[GoogleAdsOperation.Cost],0)</f>
        <v>0</v>
      </c>
      <c r="Y904" s="11">
        <f>SUMIFS(SalesByUTMDaily[google],SalesByUTMDaily[day],TableDailySummary[[#This Row],[Fecha]])</f>
        <v>0</v>
      </c>
      <c r="Z904" s="11">
        <f>_xlfn.XLOOKUP(TableDailySummary[[#This Row],[Fecha]],SummaryDaily[day],SummaryDaily[MetaAdsOperation.spend],0)</f>
        <v>0</v>
      </c>
      <c r="AA904" s="11">
        <f>SUMIFS(SalesByUTMDaily[facebook],SalesByUTMDaily[day],TableDailySummary[[#This Row],[Fecha]])</f>
        <v>0</v>
      </c>
      <c r="AB904" s="11">
        <f>TableDailySummary[[#This Row],[Inversión google ads]]+TableDailySummary[[#This Row],[Inversión meta ads]]</f>
        <v>0</v>
      </c>
      <c r="AC904" s="11">
        <f>TableDailySummary[[#This Row],[Ventas google ads]]+TableDailySummary[[#This Row],[Ventas meta ads]]</f>
        <v>0</v>
      </c>
      <c r="AD904" s="14">
        <f>IFERROR(TableDailySummary[[#This Row],[Ventas publicidad]]/TableDailySummary[[#This Row],[Inversión publicidad]],0)</f>
        <v>0</v>
      </c>
      <c r="AE904" s="14">
        <f>IFERROR(TableDailySummary[[#This Row],[Ventas primer cliente]]/TableDailySummary[[#This Row],[Inversión publicidad]],0)</f>
        <v>0</v>
      </c>
      <c r="AF904" s="14"/>
      <c r="AG904" s="11"/>
      <c r="AM904" s="11">
        <f>_xlfn.XLOOKUP(TableDailySummary[[#This Row],[Fecha]],SummaryDaily[day],SummaryDaily[net_sales_with_cost_recorded],0)</f>
        <v>0</v>
      </c>
      <c r="AN904" s="11">
        <f>_xlfn.XLOOKUP(TableDailySummary[[#This Row],[Fecha]],SummaryDaily[day],SummaryDaily[cost_of_goods_sold],0)</f>
        <v>0</v>
      </c>
      <c r="AO904" s="11">
        <f>_xlfn.XLOOKUP(TableDailySummary[[#This Row],[Fecha]],SummaryDaily[day],SummaryDaily[gross_profit],0)</f>
        <v>0</v>
      </c>
      <c r="AP904" s="18">
        <f>IFERROR(TableDailySummary[[#This Row],[Utilidad bruta]]/TableDailySummary[[#This Row],[Ventas netas con costo registrado]],0)</f>
        <v>0</v>
      </c>
    </row>
    <row r="905" spans="2:42" x14ac:dyDescent="0.2">
      <c r="B905" s="15" cm="1">
        <f t="array" ref="B905">ParamFechaInicioReporte + (ROW(TableDailySummary[#This Row]) - ROW(TableDailySummary[[#Headers],[Dia]]) - 1)</f>
        <v>45432</v>
      </c>
      <c r="C905" s="6">
        <f>TableDailySummary[[#This Row],[Dia]]</f>
        <v>45432</v>
      </c>
      <c r="D905" s="11">
        <f>_xlfn.XLOOKUP(TableDailySummary[[#This Row],[Fecha]],SummaryDaily[day],SummaryDaily[net_sales],0)</f>
        <v>0</v>
      </c>
      <c r="E905" s="11">
        <f>_xlfn.XLOOKUP(TableDailySummary[[#This Row],[Fecha]],SummaryDaily[day],SummaryDaily[orders],0)</f>
        <v>0</v>
      </c>
      <c r="F905" s="11">
        <f>_xlfn.XLOOKUP(TableDailySummary[[#This Row],[Fecha]],SummaryDaily[day],SummaryDaily[average_order_value],0)</f>
        <v>0</v>
      </c>
      <c r="G905" s="24" cm="1">
        <f t="array" ref="G905">_xlfn.XLOOKUP(TableDailySummary[[#This Row],[Fecha]]&amp;"Total site",ConversionRateByReferral[day]&amp;ConversionRateByReferral[referrer_source],ConversionRateByReferral[conversion_rate],0)</f>
        <v>0</v>
      </c>
      <c r="H905" s="11">
        <f>TableDailySummary[[#This Row],[Órden promedio totales]]*TableDailySummary[[#This Row],[CR totales]]</f>
        <v>0</v>
      </c>
      <c r="I905" s="11">
        <f>_xlfn.XLOOKUP(TableDailySummary[[#This Row],[Fecha]],SummaryDaily[day],SummaryDaily[new_net_sales],0)</f>
        <v>0</v>
      </c>
      <c r="J905" s="11">
        <f>_xlfn.XLOOKUP(TableDailySummary[[#This Row],[Fecha]],SummaryDaily[day],SummaryDaily[new_orders],0)</f>
        <v>0</v>
      </c>
      <c r="K905" s="11">
        <f>_xlfn.XLOOKUP(TableDailySummary[[#This Row],[Fecha]],SummaryDaily[day],SummaryDaily[new_average_order_value],0)</f>
        <v>0</v>
      </c>
      <c r="L905" s="11">
        <f>_xlfn.XLOOKUP(TableDailySummary[[#This Row],[Fecha]],SummaryDaily[day],SummaryDaily[Online Store_net_sales],0)</f>
        <v>0</v>
      </c>
      <c r="M905" s="11">
        <f>_xlfn.XLOOKUP(TableDailySummary[[#This Row],[Fecha]],SummaryDaily[day],SummaryDaily[Online Store_orders],0)</f>
        <v>0</v>
      </c>
      <c r="N905" s="11">
        <f>_xlfn.XLOOKUP(TableDailySummary[[#This Row],[Fecha]],SummaryDaily[day],SummaryDaily[Online Store_average_order_value],0)</f>
        <v>0</v>
      </c>
      <c r="O905" s="11">
        <f>_xlfn.XLOOKUP(TableDailySummary[[#This Row],[Fecha]],SummaryDaily[day],SummaryDaily[Tienda 81_net_sales],0)</f>
        <v>0</v>
      </c>
      <c r="P905" s="11">
        <f>_xlfn.XLOOKUP(TableDailySummary[[#This Row],[Fecha]],SummaryDaily[day],SummaryDaily[Tienda 81_orders],0)</f>
        <v>0</v>
      </c>
      <c r="Q905" s="11">
        <f>_xlfn.XLOOKUP(TableDailySummary[[#This Row],[Fecha]],SummaryDaily[day],SummaryDaily[Tienda 81_average_order_value],0)</f>
        <v>0</v>
      </c>
      <c r="R905" s="11">
        <f>_xlfn.XLOOKUP(TableDailySummary[[#This Row],[Fecha]],SummaryDaily[day],SummaryDaily[Rappi_net_sales],0)</f>
        <v>0</v>
      </c>
      <c r="S905" s="11">
        <f>_xlfn.XLOOKUP(TableDailySummary[[#This Row],[Fecha]],SummaryDaily[day],SummaryDaily[Rappi_orders],0)</f>
        <v>0</v>
      </c>
      <c r="T905" s="11">
        <f>_xlfn.XLOOKUP(TableDailySummary[[#This Row],[Fecha]],SummaryDaily[day],SummaryDaily[Rappi_average_order_value],0)</f>
        <v>0</v>
      </c>
      <c r="U905" s="11">
        <f>_xlfn.XLOOKUP(TableDailySummary[[#This Row],[Fecha]],SummaryDaily[day],SummaryDaily[Corporativo no tienda_net_sales],0)</f>
        <v>0</v>
      </c>
      <c r="V905" s="11">
        <f>_xlfn.XLOOKUP(TableDailySummary[[#This Row],[Fecha]],SummaryDaily[day],SummaryDaily[Corporativo no tienda_orders],0)</f>
        <v>0</v>
      </c>
      <c r="W905" s="11">
        <f>_xlfn.XLOOKUP(TableDailySummary[[#This Row],[Fecha]],SummaryDaily[day],SummaryDaily[Corporativo no tienda_average_order_value],0)</f>
        <v>0</v>
      </c>
      <c r="X905" s="11">
        <f>_xlfn.XLOOKUP(TableDailySummary[[#This Row],[Fecha]],SummaryDaily[day],SummaryDaily[GoogleAdsOperation.Cost],0)</f>
        <v>0</v>
      </c>
      <c r="Y905" s="11">
        <f>SUMIFS(SalesByUTMDaily[google],SalesByUTMDaily[day],TableDailySummary[[#This Row],[Fecha]])</f>
        <v>0</v>
      </c>
      <c r="Z905" s="11">
        <f>_xlfn.XLOOKUP(TableDailySummary[[#This Row],[Fecha]],SummaryDaily[day],SummaryDaily[MetaAdsOperation.spend],0)</f>
        <v>0</v>
      </c>
      <c r="AA905" s="11">
        <f>SUMIFS(SalesByUTMDaily[facebook],SalesByUTMDaily[day],TableDailySummary[[#This Row],[Fecha]])</f>
        <v>0</v>
      </c>
      <c r="AB905" s="11">
        <f>TableDailySummary[[#This Row],[Inversión google ads]]+TableDailySummary[[#This Row],[Inversión meta ads]]</f>
        <v>0</v>
      </c>
      <c r="AC905" s="11">
        <f>TableDailySummary[[#This Row],[Ventas google ads]]+TableDailySummary[[#This Row],[Ventas meta ads]]</f>
        <v>0</v>
      </c>
      <c r="AD905" s="14">
        <f>IFERROR(TableDailySummary[[#This Row],[Ventas publicidad]]/TableDailySummary[[#This Row],[Inversión publicidad]],0)</f>
        <v>0</v>
      </c>
      <c r="AE905" s="14">
        <f>IFERROR(TableDailySummary[[#This Row],[Ventas primer cliente]]/TableDailySummary[[#This Row],[Inversión publicidad]],0)</f>
        <v>0</v>
      </c>
      <c r="AF905" s="14"/>
      <c r="AG905" s="11"/>
      <c r="AM905" s="11">
        <f>_xlfn.XLOOKUP(TableDailySummary[[#This Row],[Fecha]],SummaryDaily[day],SummaryDaily[net_sales_with_cost_recorded],0)</f>
        <v>0</v>
      </c>
      <c r="AN905" s="11">
        <f>_xlfn.XLOOKUP(TableDailySummary[[#This Row],[Fecha]],SummaryDaily[day],SummaryDaily[cost_of_goods_sold],0)</f>
        <v>0</v>
      </c>
      <c r="AO905" s="11">
        <f>_xlfn.XLOOKUP(TableDailySummary[[#This Row],[Fecha]],SummaryDaily[day],SummaryDaily[gross_profit],0)</f>
        <v>0</v>
      </c>
      <c r="AP905" s="18">
        <f>IFERROR(TableDailySummary[[#This Row],[Utilidad bruta]]/TableDailySummary[[#This Row],[Ventas netas con costo registrado]],0)</f>
        <v>0</v>
      </c>
    </row>
    <row r="906" spans="2:42" x14ac:dyDescent="0.2">
      <c r="B906" s="15" cm="1">
        <f t="array" ref="B906">ParamFechaInicioReporte + (ROW(TableDailySummary[#This Row]) - ROW(TableDailySummary[[#Headers],[Dia]]) - 1)</f>
        <v>45433</v>
      </c>
      <c r="C906" s="6">
        <f>TableDailySummary[[#This Row],[Dia]]</f>
        <v>45433</v>
      </c>
      <c r="D906" s="11">
        <f>_xlfn.XLOOKUP(TableDailySummary[[#This Row],[Fecha]],SummaryDaily[day],SummaryDaily[net_sales],0)</f>
        <v>0</v>
      </c>
      <c r="E906" s="11">
        <f>_xlfn.XLOOKUP(TableDailySummary[[#This Row],[Fecha]],SummaryDaily[day],SummaryDaily[orders],0)</f>
        <v>0</v>
      </c>
      <c r="F906" s="11">
        <f>_xlfn.XLOOKUP(TableDailySummary[[#This Row],[Fecha]],SummaryDaily[day],SummaryDaily[average_order_value],0)</f>
        <v>0</v>
      </c>
      <c r="G906" s="24" cm="1">
        <f t="array" ref="G906">_xlfn.XLOOKUP(TableDailySummary[[#This Row],[Fecha]]&amp;"Total site",ConversionRateByReferral[day]&amp;ConversionRateByReferral[referrer_source],ConversionRateByReferral[conversion_rate],0)</f>
        <v>0</v>
      </c>
      <c r="H906" s="11">
        <f>TableDailySummary[[#This Row],[Órden promedio totales]]*TableDailySummary[[#This Row],[CR totales]]</f>
        <v>0</v>
      </c>
      <c r="I906" s="11">
        <f>_xlfn.XLOOKUP(TableDailySummary[[#This Row],[Fecha]],SummaryDaily[day],SummaryDaily[new_net_sales],0)</f>
        <v>0</v>
      </c>
      <c r="J906" s="11">
        <f>_xlfn.XLOOKUP(TableDailySummary[[#This Row],[Fecha]],SummaryDaily[day],SummaryDaily[new_orders],0)</f>
        <v>0</v>
      </c>
      <c r="K906" s="11">
        <f>_xlfn.XLOOKUP(TableDailySummary[[#This Row],[Fecha]],SummaryDaily[day],SummaryDaily[new_average_order_value],0)</f>
        <v>0</v>
      </c>
      <c r="L906" s="11">
        <f>_xlfn.XLOOKUP(TableDailySummary[[#This Row],[Fecha]],SummaryDaily[day],SummaryDaily[Online Store_net_sales],0)</f>
        <v>0</v>
      </c>
      <c r="M906" s="11">
        <f>_xlfn.XLOOKUP(TableDailySummary[[#This Row],[Fecha]],SummaryDaily[day],SummaryDaily[Online Store_orders],0)</f>
        <v>0</v>
      </c>
      <c r="N906" s="11">
        <f>_xlfn.XLOOKUP(TableDailySummary[[#This Row],[Fecha]],SummaryDaily[day],SummaryDaily[Online Store_average_order_value],0)</f>
        <v>0</v>
      </c>
      <c r="O906" s="11">
        <f>_xlfn.XLOOKUP(TableDailySummary[[#This Row],[Fecha]],SummaryDaily[day],SummaryDaily[Tienda 81_net_sales],0)</f>
        <v>0</v>
      </c>
      <c r="P906" s="11">
        <f>_xlfn.XLOOKUP(TableDailySummary[[#This Row],[Fecha]],SummaryDaily[day],SummaryDaily[Tienda 81_orders],0)</f>
        <v>0</v>
      </c>
      <c r="Q906" s="11">
        <f>_xlfn.XLOOKUP(TableDailySummary[[#This Row],[Fecha]],SummaryDaily[day],SummaryDaily[Tienda 81_average_order_value],0)</f>
        <v>0</v>
      </c>
      <c r="R906" s="11">
        <f>_xlfn.XLOOKUP(TableDailySummary[[#This Row],[Fecha]],SummaryDaily[day],SummaryDaily[Rappi_net_sales],0)</f>
        <v>0</v>
      </c>
      <c r="S906" s="11">
        <f>_xlfn.XLOOKUP(TableDailySummary[[#This Row],[Fecha]],SummaryDaily[day],SummaryDaily[Rappi_orders],0)</f>
        <v>0</v>
      </c>
      <c r="T906" s="11">
        <f>_xlfn.XLOOKUP(TableDailySummary[[#This Row],[Fecha]],SummaryDaily[day],SummaryDaily[Rappi_average_order_value],0)</f>
        <v>0</v>
      </c>
      <c r="U906" s="11">
        <f>_xlfn.XLOOKUP(TableDailySummary[[#This Row],[Fecha]],SummaryDaily[day],SummaryDaily[Corporativo no tienda_net_sales],0)</f>
        <v>0</v>
      </c>
      <c r="V906" s="11">
        <f>_xlfn.XLOOKUP(TableDailySummary[[#This Row],[Fecha]],SummaryDaily[day],SummaryDaily[Corporativo no tienda_orders],0)</f>
        <v>0</v>
      </c>
      <c r="W906" s="11">
        <f>_xlfn.XLOOKUP(TableDailySummary[[#This Row],[Fecha]],SummaryDaily[day],SummaryDaily[Corporativo no tienda_average_order_value],0)</f>
        <v>0</v>
      </c>
      <c r="X906" s="11">
        <f>_xlfn.XLOOKUP(TableDailySummary[[#This Row],[Fecha]],SummaryDaily[day],SummaryDaily[GoogleAdsOperation.Cost],0)</f>
        <v>0</v>
      </c>
      <c r="Y906" s="11">
        <f>SUMIFS(SalesByUTMDaily[google],SalesByUTMDaily[day],TableDailySummary[[#This Row],[Fecha]])</f>
        <v>0</v>
      </c>
      <c r="Z906" s="11">
        <f>_xlfn.XLOOKUP(TableDailySummary[[#This Row],[Fecha]],SummaryDaily[day],SummaryDaily[MetaAdsOperation.spend],0)</f>
        <v>0</v>
      </c>
      <c r="AA906" s="11">
        <f>SUMIFS(SalesByUTMDaily[facebook],SalesByUTMDaily[day],TableDailySummary[[#This Row],[Fecha]])</f>
        <v>0</v>
      </c>
      <c r="AB906" s="11">
        <f>TableDailySummary[[#This Row],[Inversión google ads]]+TableDailySummary[[#This Row],[Inversión meta ads]]</f>
        <v>0</v>
      </c>
      <c r="AC906" s="11">
        <f>TableDailySummary[[#This Row],[Ventas google ads]]+TableDailySummary[[#This Row],[Ventas meta ads]]</f>
        <v>0</v>
      </c>
      <c r="AD906" s="14">
        <f>IFERROR(TableDailySummary[[#This Row],[Ventas publicidad]]/TableDailySummary[[#This Row],[Inversión publicidad]],0)</f>
        <v>0</v>
      </c>
      <c r="AE906" s="14">
        <f>IFERROR(TableDailySummary[[#This Row],[Ventas primer cliente]]/TableDailySummary[[#This Row],[Inversión publicidad]],0)</f>
        <v>0</v>
      </c>
      <c r="AF906" s="14"/>
      <c r="AG906" s="11"/>
      <c r="AM906" s="11">
        <f>_xlfn.XLOOKUP(TableDailySummary[[#This Row],[Fecha]],SummaryDaily[day],SummaryDaily[net_sales_with_cost_recorded],0)</f>
        <v>0</v>
      </c>
      <c r="AN906" s="11">
        <f>_xlfn.XLOOKUP(TableDailySummary[[#This Row],[Fecha]],SummaryDaily[day],SummaryDaily[cost_of_goods_sold],0)</f>
        <v>0</v>
      </c>
      <c r="AO906" s="11">
        <f>_xlfn.XLOOKUP(TableDailySummary[[#This Row],[Fecha]],SummaryDaily[day],SummaryDaily[gross_profit],0)</f>
        <v>0</v>
      </c>
      <c r="AP906" s="18">
        <f>IFERROR(TableDailySummary[[#This Row],[Utilidad bruta]]/TableDailySummary[[#This Row],[Ventas netas con costo registrado]],0)</f>
        <v>0</v>
      </c>
    </row>
    <row r="907" spans="2:42" x14ac:dyDescent="0.2">
      <c r="B907" s="15" cm="1">
        <f t="array" ref="B907">ParamFechaInicioReporte + (ROW(TableDailySummary[#This Row]) - ROW(TableDailySummary[[#Headers],[Dia]]) - 1)</f>
        <v>45434</v>
      </c>
      <c r="C907" s="6">
        <f>TableDailySummary[[#This Row],[Dia]]</f>
        <v>45434</v>
      </c>
      <c r="D907" s="11">
        <f>_xlfn.XLOOKUP(TableDailySummary[[#This Row],[Fecha]],SummaryDaily[day],SummaryDaily[net_sales],0)</f>
        <v>0</v>
      </c>
      <c r="E907" s="11">
        <f>_xlfn.XLOOKUP(TableDailySummary[[#This Row],[Fecha]],SummaryDaily[day],SummaryDaily[orders],0)</f>
        <v>0</v>
      </c>
      <c r="F907" s="11">
        <f>_xlfn.XLOOKUP(TableDailySummary[[#This Row],[Fecha]],SummaryDaily[day],SummaryDaily[average_order_value],0)</f>
        <v>0</v>
      </c>
      <c r="G907" s="24" cm="1">
        <f t="array" ref="G907">_xlfn.XLOOKUP(TableDailySummary[[#This Row],[Fecha]]&amp;"Total site",ConversionRateByReferral[day]&amp;ConversionRateByReferral[referrer_source],ConversionRateByReferral[conversion_rate],0)</f>
        <v>0</v>
      </c>
      <c r="H907" s="11">
        <f>TableDailySummary[[#This Row],[Órden promedio totales]]*TableDailySummary[[#This Row],[CR totales]]</f>
        <v>0</v>
      </c>
      <c r="I907" s="11">
        <f>_xlfn.XLOOKUP(TableDailySummary[[#This Row],[Fecha]],SummaryDaily[day],SummaryDaily[new_net_sales],0)</f>
        <v>0</v>
      </c>
      <c r="J907" s="11">
        <f>_xlfn.XLOOKUP(TableDailySummary[[#This Row],[Fecha]],SummaryDaily[day],SummaryDaily[new_orders],0)</f>
        <v>0</v>
      </c>
      <c r="K907" s="11">
        <f>_xlfn.XLOOKUP(TableDailySummary[[#This Row],[Fecha]],SummaryDaily[day],SummaryDaily[new_average_order_value],0)</f>
        <v>0</v>
      </c>
      <c r="L907" s="11">
        <f>_xlfn.XLOOKUP(TableDailySummary[[#This Row],[Fecha]],SummaryDaily[day],SummaryDaily[Online Store_net_sales],0)</f>
        <v>0</v>
      </c>
      <c r="M907" s="11">
        <f>_xlfn.XLOOKUP(TableDailySummary[[#This Row],[Fecha]],SummaryDaily[day],SummaryDaily[Online Store_orders],0)</f>
        <v>0</v>
      </c>
      <c r="N907" s="11">
        <f>_xlfn.XLOOKUP(TableDailySummary[[#This Row],[Fecha]],SummaryDaily[day],SummaryDaily[Online Store_average_order_value],0)</f>
        <v>0</v>
      </c>
      <c r="O907" s="11">
        <f>_xlfn.XLOOKUP(TableDailySummary[[#This Row],[Fecha]],SummaryDaily[day],SummaryDaily[Tienda 81_net_sales],0)</f>
        <v>0</v>
      </c>
      <c r="P907" s="11">
        <f>_xlfn.XLOOKUP(TableDailySummary[[#This Row],[Fecha]],SummaryDaily[day],SummaryDaily[Tienda 81_orders],0)</f>
        <v>0</v>
      </c>
      <c r="Q907" s="11">
        <f>_xlfn.XLOOKUP(TableDailySummary[[#This Row],[Fecha]],SummaryDaily[day],SummaryDaily[Tienda 81_average_order_value],0)</f>
        <v>0</v>
      </c>
      <c r="R907" s="11">
        <f>_xlfn.XLOOKUP(TableDailySummary[[#This Row],[Fecha]],SummaryDaily[day],SummaryDaily[Rappi_net_sales],0)</f>
        <v>0</v>
      </c>
      <c r="S907" s="11">
        <f>_xlfn.XLOOKUP(TableDailySummary[[#This Row],[Fecha]],SummaryDaily[day],SummaryDaily[Rappi_orders],0)</f>
        <v>0</v>
      </c>
      <c r="T907" s="11">
        <f>_xlfn.XLOOKUP(TableDailySummary[[#This Row],[Fecha]],SummaryDaily[day],SummaryDaily[Rappi_average_order_value],0)</f>
        <v>0</v>
      </c>
      <c r="U907" s="11">
        <f>_xlfn.XLOOKUP(TableDailySummary[[#This Row],[Fecha]],SummaryDaily[day],SummaryDaily[Corporativo no tienda_net_sales],0)</f>
        <v>0</v>
      </c>
      <c r="V907" s="11">
        <f>_xlfn.XLOOKUP(TableDailySummary[[#This Row],[Fecha]],SummaryDaily[day],SummaryDaily[Corporativo no tienda_orders],0)</f>
        <v>0</v>
      </c>
      <c r="W907" s="11">
        <f>_xlfn.XLOOKUP(TableDailySummary[[#This Row],[Fecha]],SummaryDaily[day],SummaryDaily[Corporativo no tienda_average_order_value],0)</f>
        <v>0</v>
      </c>
      <c r="X907" s="11">
        <f>_xlfn.XLOOKUP(TableDailySummary[[#This Row],[Fecha]],SummaryDaily[day],SummaryDaily[GoogleAdsOperation.Cost],0)</f>
        <v>0</v>
      </c>
      <c r="Y907" s="11">
        <f>SUMIFS(SalesByUTMDaily[google],SalesByUTMDaily[day],TableDailySummary[[#This Row],[Fecha]])</f>
        <v>0</v>
      </c>
      <c r="Z907" s="11">
        <f>_xlfn.XLOOKUP(TableDailySummary[[#This Row],[Fecha]],SummaryDaily[day],SummaryDaily[MetaAdsOperation.spend],0)</f>
        <v>0</v>
      </c>
      <c r="AA907" s="11">
        <f>SUMIFS(SalesByUTMDaily[facebook],SalesByUTMDaily[day],TableDailySummary[[#This Row],[Fecha]])</f>
        <v>0</v>
      </c>
      <c r="AB907" s="11">
        <f>TableDailySummary[[#This Row],[Inversión google ads]]+TableDailySummary[[#This Row],[Inversión meta ads]]</f>
        <v>0</v>
      </c>
      <c r="AC907" s="11">
        <f>TableDailySummary[[#This Row],[Ventas google ads]]+TableDailySummary[[#This Row],[Ventas meta ads]]</f>
        <v>0</v>
      </c>
      <c r="AD907" s="14">
        <f>IFERROR(TableDailySummary[[#This Row],[Ventas publicidad]]/TableDailySummary[[#This Row],[Inversión publicidad]],0)</f>
        <v>0</v>
      </c>
      <c r="AE907" s="14">
        <f>IFERROR(TableDailySummary[[#This Row],[Ventas primer cliente]]/TableDailySummary[[#This Row],[Inversión publicidad]],0)</f>
        <v>0</v>
      </c>
      <c r="AF907" s="14"/>
      <c r="AG907" s="11"/>
      <c r="AM907" s="11">
        <f>_xlfn.XLOOKUP(TableDailySummary[[#This Row],[Fecha]],SummaryDaily[day],SummaryDaily[net_sales_with_cost_recorded],0)</f>
        <v>0</v>
      </c>
      <c r="AN907" s="11">
        <f>_xlfn.XLOOKUP(TableDailySummary[[#This Row],[Fecha]],SummaryDaily[day],SummaryDaily[cost_of_goods_sold],0)</f>
        <v>0</v>
      </c>
      <c r="AO907" s="11">
        <f>_xlfn.XLOOKUP(TableDailySummary[[#This Row],[Fecha]],SummaryDaily[day],SummaryDaily[gross_profit],0)</f>
        <v>0</v>
      </c>
      <c r="AP907" s="18">
        <f>IFERROR(TableDailySummary[[#This Row],[Utilidad bruta]]/TableDailySummary[[#This Row],[Ventas netas con costo registrado]],0)</f>
        <v>0</v>
      </c>
    </row>
    <row r="908" spans="2:42" x14ac:dyDescent="0.2">
      <c r="B908" s="15" cm="1">
        <f t="array" ref="B908">ParamFechaInicioReporte + (ROW(TableDailySummary[#This Row]) - ROW(TableDailySummary[[#Headers],[Dia]]) - 1)</f>
        <v>45435</v>
      </c>
      <c r="C908" s="6">
        <f>TableDailySummary[[#This Row],[Dia]]</f>
        <v>45435</v>
      </c>
      <c r="D908" s="11">
        <f>_xlfn.XLOOKUP(TableDailySummary[[#This Row],[Fecha]],SummaryDaily[day],SummaryDaily[net_sales],0)</f>
        <v>0</v>
      </c>
      <c r="E908" s="11">
        <f>_xlfn.XLOOKUP(TableDailySummary[[#This Row],[Fecha]],SummaryDaily[day],SummaryDaily[orders],0)</f>
        <v>0</v>
      </c>
      <c r="F908" s="11">
        <f>_xlfn.XLOOKUP(TableDailySummary[[#This Row],[Fecha]],SummaryDaily[day],SummaryDaily[average_order_value],0)</f>
        <v>0</v>
      </c>
      <c r="G908" s="24" cm="1">
        <f t="array" ref="G908">_xlfn.XLOOKUP(TableDailySummary[[#This Row],[Fecha]]&amp;"Total site",ConversionRateByReferral[day]&amp;ConversionRateByReferral[referrer_source],ConversionRateByReferral[conversion_rate],0)</f>
        <v>0</v>
      </c>
      <c r="H908" s="11">
        <f>TableDailySummary[[#This Row],[Órden promedio totales]]*TableDailySummary[[#This Row],[CR totales]]</f>
        <v>0</v>
      </c>
      <c r="I908" s="11">
        <f>_xlfn.XLOOKUP(TableDailySummary[[#This Row],[Fecha]],SummaryDaily[day],SummaryDaily[new_net_sales],0)</f>
        <v>0</v>
      </c>
      <c r="J908" s="11">
        <f>_xlfn.XLOOKUP(TableDailySummary[[#This Row],[Fecha]],SummaryDaily[day],SummaryDaily[new_orders],0)</f>
        <v>0</v>
      </c>
      <c r="K908" s="11">
        <f>_xlfn.XLOOKUP(TableDailySummary[[#This Row],[Fecha]],SummaryDaily[day],SummaryDaily[new_average_order_value],0)</f>
        <v>0</v>
      </c>
      <c r="L908" s="11">
        <f>_xlfn.XLOOKUP(TableDailySummary[[#This Row],[Fecha]],SummaryDaily[day],SummaryDaily[Online Store_net_sales],0)</f>
        <v>0</v>
      </c>
      <c r="M908" s="11">
        <f>_xlfn.XLOOKUP(TableDailySummary[[#This Row],[Fecha]],SummaryDaily[day],SummaryDaily[Online Store_orders],0)</f>
        <v>0</v>
      </c>
      <c r="N908" s="11">
        <f>_xlfn.XLOOKUP(TableDailySummary[[#This Row],[Fecha]],SummaryDaily[day],SummaryDaily[Online Store_average_order_value],0)</f>
        <v>0</v>
      </c>
      <c r="O908" s="11">
        <f>_xlfn.XLOOKUP(TableDailySummary[[#This Row],[Fecha]],SummaryDaily[day],SummaryDaily[Tienda 81_net_sales],0)</f>
        <v>0</v>
      </c>
      <c r="P908" s="11">
        <f>_xlfn.XLOOKUP(TableDailySummary[[#This Row],[Fecha]],SummaryDaily[day],SummaryDaily[Tienda 81_orders],0)</f>
        <v>0</v>
      </c>
      <c r="Q908" s="11">
        <f>_xlfn.XLOOKUP(TableDailySummary[[#This Row],[Fecha]],SummaryDaily[day],SummaryDaily[Tienda 81_average_order_value],0)</f>
        <v>0</v>
      </c>
      <c r="R908" s="11">
        <f>_xlfn.XLOOKUP(TableDailySummary[[#This Row],[Fecha]],SummaryDaily[day],SummaryDaily[Rappi_net_sales],0)</f>
        <v>0</v>
      </c>
      <c r="S908" s="11">
        <f>_xlfn.XLOOKUP(TableDailySummary[[#This Row],[Fecha]],SummaryDaily[day],SummaryDaily[Rappi_orders],0)</f>
        <v>0</v>
      </c>
      <c r="T908" s="11">
        <f>_xlfn.XLOOKUP(TableDailySummary[[#This Row],[Fecha]],SummaryDaily[day],SummaryDaily[Rappi_average_order_value],0)</f>
        <v>0</v>
      </c>
      <c r="U908" s="11">
        <f>_xlfn.XLOOKUP(TableDailySummary[[#This Row],[Fecha]],SummaryDaily[day],SummaryDaily[Corporativo no tienda_net_sales],0)</f>
        <v>0</v>
      </c>
      <c r="V908" s="11">
        <f>_xlfn.XLOOKUP(TableDailySummary[[#This Row],[Fecha]],SummaryDaily[day],SummaryDaily[Corporativo no tienda_orders],0)</f>
        <v>0</v>
      </c>
      <c r="W908" s="11">
        <f>_xlfn.XLOOKUP(TableDailySummary[[#This Row],[Fecha]],SummaryDaily[day],SummaryDaily[Corporativo no tienda_average_order_value],0)</f>
        <v>0</v>
      </c>
      <c r="X908" s="11">
        <f>_xlfn.XLOOKUP(TableDailySummary[[#This Row],[Fecha]],SummaryDaily[day],SummaryDaily[GoogleAdsOperation.Cost],0)</f>
        <v>0</v>
      </c>
      <c r="Y908" s="11">
        <f>SUMIFS(SalesByUTMDaily[google],SalesByUTMDaily[day],TableDailySummary[[#This Row],[Fecha]])</f>
        <v>0</v>
      </c>
      <c r="Z908" s="11">
        <f>_xlfn.XLOOKUP(TableDailySummary[[#This Row],[Fecha]],SummaryDaily[day],SummaryDaily[MetaAdsOperation.spend],0)</f>
        <v>0</v>
      </c>
      <c r="AA908" s="11">
        <f>SUMIFS(SalesByUTMDaily[facebook],SalesByUTMDaily[day],TableDailySummary[[#This Row],[Fecha]])</f>
        <v>0</v>
      </c>
      <c r="AB908" s="11">
        <f>TableDailySummary[[#This Row],[Inversión google ads]]+TableDailySummary[[#This Row],[Inversión meta ads]]</f>
        <v>0</v>
      </c>
      <c r="AC908" s="11">
        <f>TableDailySummary[[#This Row],[Ventas google ads]]+TableDailySummary[[#This Row],[Ventas meta ads]]</f>
        <v>0</v>
      </c>
      <c r="AD908" s="14">
        <f>IFERROR(TableDailySummary[[#This Row],[Ventas publicidad]]/TableDailySummary[[#This Row],[Inversión publicidad]],0)</f>
        <v>0</v>
      </c>
      <c r="AE908" s="14">
        <f>IFERROR(TableDailySummary[[#This Row],[Ventas primer cliente]]/TableDailySummary[[#This Row],[Inversión publicidad]],0)</f>
        <v>0</v>
      </c>
      <c r="AF908" s="14"/>
      <c r="AG908" s="11"/>
      <c r="AM908" s="11">
        <f>_xlfn.XLOOKUP(TableDailySummary[[#This Row],[Fecha]],SummaryDaily[day],SummaryDaily[net_sales_with_cost_recorded],0)</f>
        <v>0</v>
      </c>
      <c r="AN908" s="11">
        <f>_xlfn.XLOOKUP(TableDailySummary[[#This Row],[Fecha]],SummaryDaily[day],SummaryDaily[cost_of_goods_sold],0)</f>
        <v>0</v>
      </c>
      <c r="AO908" s="11">
        <f>_xlfn.XLOOKUP(TableDailySummary[[#This Row],[Fecha]],SummaryDaily[day],SummaryDaily[gross_profit],0)</f>
        <v>0</v>
      </c>
      <c r="AP908" s="18">
        <f>IFERROR(TableDailySummary[[#This Row],[Utilidad bruta]]/TableDailySummary[[#This Row],[Ventas netas con costo registrado]],0)</f>
        <v>0</v>
      </c>
    </row>
    <row r="909" spans="2:42" x14ac:dyDescent="0.2">
      <c r="B909" s="15" cm="1">
        <f t="array" ref="B909">ParamFechaInicioReporte + (ROW(TableDailySummary[#This Row]) - ROW(TableDailySummary[[#Headers],[Dia]]) - 1)</f>
        <v>45436</v>
      </c>
      <c r="C909" s="6">
        <f>TableDailySummary[[#This Row],[Dia]]</f>
        <v>45436</v>
      </c>
      <c r="D909" s="11">
        <f>_xlfn.XLOOKUP(TableDailySummary[[#This Row],[Fecha]],SummaryDaily[day],SummaryDaily[net_sales],0)</f>
        <v>0</v>
      </c>
      <c r="E909" s="11">
        <f>_xlfn.XLOOKUP(TableDailySummary[[#This Row],[Fecha]],SummaryDaily[day],SummaryDaily[orders],0)</f>
        <v>0</v>
      </c>
      <c r="F909" s="11">
        <f>_xlfn.XLOOKUP(TableDailySummary[[#This Row],[Fecha]],SummaryDaily[day],SummaryDaily[average_order_value],0)</f>
        <v>0</v>
      </c>
      <c r="G909" s="24" cm="1">
        <f t="array" ref="G909">_xlfn.XLOOKUP(TableDailySummary[[#This Row],[Fecha]]&amp;"Total site",ConversionRateByReferral[day]&amp;ConversionRateByReferral[referrer_source],ConversionRateByReferral[conversion_rate],0)</f>
        <v>0</v>
      </c>
      <c r="H909" s="11">
        <f>TableDailySummary[[#This Row],[Órden promedio totales]]*TableDailySummary[[#This Row],[CR totales]]</f>
        <v>0</v>
      </c>
      <c r="I909" s="11">
        <f>_xlfn.XLOOKUP(TableDailySummary[[#This Row],[Fecha]],SummaryDaily[day],SummaryDaily[new_net_sales],0)</f>
        <v>0</v>
      </c>
      <c r="J909" s="11">
        <f>_xlfn.XLOOKUP(TableDailySummary[[#This Row],[Fecha]],SummaryDaily[day],SummaryDaily[new_orders],0)</f>
        <v>0</v>
      </c>
      <c r="K909" s="11">
        <f>_xlfn.XLOOKUP(TableDailySummary[[#This Row],[Fecha]],SummaryDaily[day],SummaryDaily[new_average_order_value],0)</f>
        <v>0</v>
      </c>
      <c r="L909" s="11">
        <f>_xlfn.XLOOKUP(TableDailySummary[[#This Row],[Fecha]],SummaryDaily[day],SummaryDaily[Online Store_net_sales],0)</f>
        <v>0</v>
      </c>
      <c r="M909" s="11">
        <f>_xlfn.XLOOKUP(TableDailySummary[[#This Row],[Fecha]],SummaryDaily[day],SummaryDaily[Online Store_orders],0)</f>
        <v>0</v>
      </c>
      <c r="N909" s="11">
        <f>_xlfn.XLOOKUP(TableDailySummary[[#This Row],[Fecha]],SummaryDaily[day],SummaryDaily[Online Store_average_order_value],0)</f>
        <v>0</v>
      </c>
      <c r="O909" s="11">
        <f>_xlfn.XLOOKUP(TableDailySummary[[#This Row],[Fecha]],SummaryDaily[day],SummaryDaily[Tienda 81_net_sales],0)</f>
        <v>0</v>
      </c>
      <c r="P909" s="11">
        <f>_xlfn.XLOOKUP(TableDailySummary[[#This Row],[Fecha]],SummaryDaily[day],SummaryDaily[Tienda 81_orders],0)</f>
        <v>0</v>
      </c>
      <c r="Q909" s="11">
        <f>_xlfn.XLOOKUP(TableDailySummary[[#This Row],[Fecha]],SummaryDaily[day],SummaryDaily[Tienda 81_average_order_value],0)</f>
        <v>0</v>
      </c>
      <c r="R909" s="11">
        <f>_xlfn.XLOOKUP(TableDailySummary[[#This Row],[Fecha]],SummaryDaily[day],SummaryDaily[Rappi_net_sales],0)</f>
        <v>0</v>
      </c>
      <c r="S909" s="11">
        <f>_xlfn.XLOOKUP(TableDailySummary[[#This Row],[Fecha]],SummaryDaily[day],SummaryDaily[Rappi_orders],0)</f>
        <v>0</v>
      </c>
      <c r="T909" s="11">
        <f>_xlfn.XLOOKUP(TableDailySummary[[#This Row],[Fecha]],SummaryDaily[day],SummaryDaily[Rappi_average_order_value],0)</f>
        <v>0</v>
      </c>
      <c r="U909" s="11">
        <f>_xlfn.XLOOKUP(TableDailySummary[[#This Row],[Fecha]],SummaryDaily[day],SummaryDaily[Corporativo no tienda_net_sales],0)</f>
        <v>0</v>
      </c>
      <c r="V909" s="11">
        <f>_xlfn.XLOOKUP(TableDailySummary[[#This Row],[Fecha]],SummaryDaily[day],SummaryDaily[Corporativo no tienda_orders],0)</f>
        <v>0</v>
      </c>
      <c r="W909" s="11">
        <f>_xlfn.XLOOKUP(TableDailySummary[[#This Row],[Fecha]],SummaryDaily[day],SummaryDaily[Corporativo no tienda_average_order_value],0)</f>
        <v>0</v>
      </c>
      <c r="X909" s="11">
        <f>_xlfn.XLOOKUP(TableDailySummary[[#This Row],[Fecha]],SummaryDaily[day],SummaryDaily[GoogleAdsOperation.Cost],0)</f>
        <v>0</v>
      </c>
      <c r="Y909" s="11">
        <f>SUMIFS(SalesByUTMDaily[google],SalesByUTMDaily[day],TableDailySummary[[#This Row],[Fecha]])</f>
        <v>0</v>
      </c>
      <c r="Z909" s="11">
        <f>_xlfn.XLOOKUP(TableDailySummary[[#This Row],[Fecha]],SummaryDaily[day],SummaryDaily[MetaAdsOperation.spend],0)</f>
        <v>0</v>
      </c>
      <c r="AA909" s="11">
        <f>SUMIFS(SalesByUTMDaily[facebook],SalesByUTMDaily[day],TableDailySummary[[#This Row],[Fecha]])</f>
        <v>0</v>
      </c>
      <c r="AB909" s="11">
        <f>TableDailySummary[[#This Row],[Inversión google ads]]+TableDailySummary[[#This Row],[Inversión meta ads]]</f>
        <v>0</v>
      </c>
      <c r="AC909" s="11">
        <f>TableDailySummary[[#This Row],[Ventas google ads]]+TableDailySummary[[#This Row],[Ventas meta ads]]</f>
        <v>0</v>
      </c>
      <c r="AD909" s="14">
        <f>IFERROR(TableDailySummary[[#This Row],[Ventas publicidad]]/TableDailySummary[[#This Row],[Inversión publicidad]],0)</f>
        <v>0</v>
      </c>
      <c r="AE909" s="14">
        <f>IFERROR(TableDailySummary[[#This Row],[Ventas primer cliente]]/TableDailySummary[[#This Row],[Inversión publicidad]],0)</f>
        <v>0</v>
      </c>
      <c r="AF909" s="14"/>
      <c r="AG909" s="11"/>
      <c r="AM909" s="11">
        <f>_xlfn.XLOOKUP(TableDailySummary[[#This Row],[Fecha]],SummaryDaily[day],SummaryDaily[net_sales_with_cost_recorded],0)</f>
        <v>0</v>
      </c>
      <c r="AN909" s="11">
        <f>_xlfn.XLOOKUP(TableDailySummary[[#This Row],[Fecha]],SummaryDaily[day],SummaryDaily[cost_of_goods_sold],0)</f>
        <v>0</v>
      </c>
      <c r="AO909" s="11">
        <f>_xlfn.XLOOKUP(TableDailySummary[[#This Row],[Fecha]],SummaryDaily[day],SummaryDaily[gross_profit],0)</f>
        <v>0</v>
      </c>
      <c r="AP909" s="18">
        <f>IFERROR(TableDailySummary[[#This Row],[Utilidad bruta]]/TableDailySummary[[#This Row],[Ventas netas con costo registrado]],0)</f>
        <v>0</v>
      </c>
    </row>
    <row r="910" spans="2:42" x14ac:dyDescent="0.2">
      <c r="B910" s="15" cm="1">
        <f t="array" ref="B910">ParamFechaInicioReporte + (ROW(TableDailySummary[#This Row]) - ROW(TableDailySummary[[#Headers],[Dia]]) - 1)</f>
        <v>45437</v>
      </c>
      <c r="C910" s="6">
        <f>TableDailySummary[[#This Row],[Dia]]</f>
        <v>45437</v>
      </c>
      <c r="D910" s="11">
        <f>_xlfn.XLOOKUP(TableDailySummary[[#This Row],[Fecha]],SummaryDaily[day],SummaryDaily[net_sales],0)</f>
        <v>0</v>
      </c>
      <c r="E910" s="11">
        <f>_xlfn.XLOOKUP(TableDailySummary[[#This Row],[Fecha]],SummaryDaily[day],SummaryDaily[orders],0)</f>
        <v>0</v>
      </c>
      <c r="F910" s="11">
        <f>_xlfn.XLOOKUP(TableDailySummary[[#This Row],[Fecha]],SummaryDaily[day],SummaryDaily[average_order_value],0)</f>
        <v>0</v>
      </c>
      <c r="G910" s="24" cm="1">
        <f t="array" ref="G910">_xlfn.XLOOKUP(TableDailySummary[[#This Row],[Fecha]]&amp;"Total site",ConversionRateByReferral[day]&amp;ConversionRateByReferral[referrer_source],ConversionRateByReferral[conversion_rate],0)</f>
        <v>0</v>
      </c>
      <c r="H910" s="11">
        <f>TableDailySummary[[#This Row],[Órden promedio totales]]*TableDailySummary[[#This Row],[CR totales]]</f>
        <v>0</v>
      </c>
      <c r="I910" s="11">
        <f>_xlfn.XLOOKUP(TableDailySummary[[#This Row],[Fecha]],SummaryDaily[day],SummaryDaily[new_net_sales],0)</f>
        <v>0</v>
      </c>
      <c r="J910" s="11">
        <f>_xlfn.XLOOKUP(TableDailySummary[[#This Row],[Fecha]],SummaryDaily[day],SummaryDaily[new_orders],0)</f>
        <v>0</v>
      </c>
      <c r="K910" s="11">
        <f>_xlfn.XLOOKUP(TableDailySummary[[#This Row],[Fecha]],SummaryDaily[day],SummaryDaily[new_average_order_value],0)</f>
        <v>0</v>
      </c>
      <c r="L910" s="11">
        <f>_xlfn.XLOOKUP(TableDailySummary[[#This Row],[Fecha]],SummaryDaily[day],SummaryDaily[Online Store_net_sales],0)</f>
        <v>0</v>
      </c>
      <c r="M910" s="11">
        <f>_xlfn.XLOOKUP(TableDailySummary[[#This Row],[Fecha]],SummaryDaily[day],SummaryDaily[Online Store_orders],0)</f>
        <v>0</v>
      </c>
      <c r="N910" s="11">
        <f>_xlfn.XLOOKUP(TableDailySummary[[#This Row],[Fecha]],SummaryDaily[day],SummaryDaily[Online Store_average_order_value],0)</f>
        <v>0</v>
      </c>
      <c r="O910" s="11">
        <f>_xlfn.XLOOKUP(TableDailySummary[[#This Row],[Fecha]],SummaryDaily[day],SummaryDaily[Tienda 81_net_sales],0)</f>
        <v>0</v>
      </c>
      <c r="P910" s="11">
        <f>_xlfn.XLOOKUP(TableDailySummary[[#This Row],[Fecha]],SummaryDaily[day],SummaryDaily[Tienda 81_orders],0)</f>
        <v>0</v>
      </c>
      <c r="Q910" s="11">
        <f>_xlfn.XLOOKUP(TableDailySummary[[#This Row],[Fecha]],SummaryDaily[day],SummaryDaily[Tienda 81_average_order_value],0)</f>
        <v>0</v>
      </c>
      <c r="R910" s="11">
        <f>_xlfn.XLOOKUP(TableDailySummary[[#This Row],[Fecha]],SummaryDaily[day],SummaryDaily[Rappi_net_sales],0)</f>
        <v>0</v>
      </c>
      <c r="S910" s="11">
        <f>_xlfn.XLOOKUP(TableDailySummary[[#This Row],[Fecha]],SummaryDaily[day],SummaryDaily[Rappi_orders],0)</f>
        <v>0</v>
      </c>
      <c r="T910" s="11">
        <f>_xlfn.XLOOKUP(TableDailySummary[[#This Row],[Fecha]],SummaryDaily[day],SummaryDaily[Rappi_average_order_value],0)</f>
        <v>0</v>
      </c>
      <c r="U910" s="11">
        <f>_xlfn.XLOOKUP(TableDailySummary[[#This Row],[Fecha]],SummaryDaily[day],SummaryDaily[Corporativo no tienda_net_sales],0)</f>
        <v>0</v>
      </c>
      <c r="V910" s="11">
        <f>_xlfn.XLOOKUP(TableDailySummary[[#This Row],[Fecha]],SummaryDaily[day],SummaryDaily[Corporativo no tienda_orders],0)</f>
        <v>0</v>
      </c>
      <c r="W910" s="11">
        <f>_xlfn.XLOOKUP(TableDailySummary[[#This Row],[Fecha]],SummaryDaily[day],SummaryDaily[Corporativo no tienda_average_order_value],0)</f>
        <v>0</v>
      </c>
      <c r="X910" s="11">
        <f>_xlfn.XLOOKUP(TableDailySummary[[#This Row],[Fecha]],SummaryDaily[day],SummaryDaily[GoogleAdsOperation.Cost],0)</f>
        <v>0</v>
      </c>
      <c r="Y910" s="11">
        <f>SUMIFS(SalesByUTMDaily[google],SalesByUTMDaily[day],TableDailySummary[[#This Row],[Fecha]])</f>
        <v>0</v>
      </c>
      <c r="Z910" s="11">
        <f>_xlfn.XLOOKUP(TableDailySummary[[#This Row],[Fecha]],SummaryDaily[day],SummaryDaily[MetaAdsOperation.spend],0)</f>
        <v>0</v>
      </c>
      <c r="AA910" s="11">
        <f>SUMIFS(SalesByUTMDaily[facebook],SalesByUTMDaily[day],TableDailySummary[[#This Row],[Fecha]])</f>
        <v>0</v>
      </c>
      <c r="AB910" s="11">
        <f>TableDailySummary[[#This Row],[Inversión google ads]]+TableDailySummary[[#This Row],[Inversión meta ads]]</f>
        <v>0</v>
      </c>
      <c r="AC910" s="11">
        <f>TableDailySummary[[#This Row],[Ventas google ads]]+TableDailySummary[[#This Row],[Ventas meta ads]]</f>
        <v>0</v>
      </c>
      <c r="AD910" s="14">
        <f>IFERROR(TableDailySummary[[#This Row],[Ventas publicidad]]/TableDailySummary[[#This Row],[Inversión publicidad]],0)</f>
        <v>0</v>
      </c>
      <c r="AE910" s="14">
        <f>IFERROR(TableDailySummary[[#This Row],[Ventas primer cliente]]/TableDailySummary[[#This Row],[Inversión publicidad]],0)</f>
        <v>0</v>
      </c>
      <c r="AF910" s="14"/>
      <c r="AG910" s="11"/>
      <c r="AM910" s="11">
        <f>_xlfn.XLOOKUP(TableDailySummary[[#This Row],[Fecha]],SummaryDaily[day],SummaryDaily[net_sales_with_cost_recorded],0)</f>
        <v>0</v>
      </c>
      <c r="AN910" s="11">
        <f>_xlfn.XLOOKUP(TableDailySummary[[#This Row],[Fecha]],SummaryDaily[day],SummaryDaily[cost_of_goods_sold],0)</f>
        <v>0</v>
      </c>
      <c r="AO910" s="11">
        <f>_xlfn.XLOOKUP(TableDailySummary[[#This Row],[Fecha]],SummaryDaily[day],SummaryDaily[gross_profit],0)</f>
        <v>0</v>
      </c>
      <c r="AP910" s="18">
        <f>IFERROR(TableDailySummary[[#This Row],[Utilidad bruta]]/TableDailySummary[[#This Row],[Ventas netas con costo registrado]],0)</f>
        <v>0</v>
      </c>
    </row>
    <row r="911" spans="2:42" x14ac:dyDescent="0.2">
      <c r="B911" s="15" cm="1">
        <f t="array" ref="B911">ParamFechaInicioReporte + (ROW(TableDailySummary[#This Row]) - ROW(TableDailySummary[[#Headers],[Dia]]) - 1)</f>
        <v>45438</v>
      </c>
      <c r="C911" s="6">
        <f>TableDailySummary[[#This Row],[Dia]]</f>
        <v>45438</v>
      </c>
      <c r="D911" s="11">
        <f>_xlfn.XLOOKUP(TableDailySummary[[#This Row],[Fecha]],SummaryDaily[day],SummaryDaily[net_sales],0)</f>
        <v>0</v>
      </c>
      <c r="E911" s="11">
        <f>_xlfn.XLOOKUP(TableDailySummary[[#This Row],[Fecha]],SummaryDaily[day],SummaryDaily[orders],0)</f>
        <v>0</v>
      </c>
      <c r="F911" s="11">
        <f>_xlfn.XLOOKUP(TableDailySummary[[#This Row],[Fecha]],SummaryDaily[day],SummaryDaily[average_order_value],0)</f>
        <v>0</v>
      </c>
      <c r="G911" s="24" cm="1">
        <f t="array" ref="G911">_xlfn.XLOOKUP(TableDailySummary[[#This Row],[Fecha]]&amp;"Total site",ConversionRateByReferral[day]&amp;ConversionRateByReferral[referrer_source],ConversionRateByReferral[conversion_rate],0)</f>
        <v>0</v>
      </c>
      <c r="H911" s="11">
        <f>TableDailySummary[[#This Row],[Órden promedio totales]]*TableDailySummary[[#This Row],[CR totales]]</f>
        <v>0</v>
      </c>
      <c r="I911" s="11">
        <f>_xlfn.XLOOKUP(TableDailySummary[[#This Row],[Fecha]],SummaryDaily[day],SummaryDaily[new_net_sales],0)</f>
        <v>0</v>
      </c>
      <c r="J911" s="11">
        <f>_xlfn.XLOOKUP(TableDailySummary[[#This Row],[Fecha]],SummaryDaily[day],SummaryDaily[new_orders],0)</f>
        <v>0</v>
      </c>
      <c r="K911" s="11">
        <f>_xlfn.XLOOKUP(TableDailySummary[[#This Row],[Fecha]],SummaryDaily[day],SummaryDaily[new_average_order_value],0)</f>
        <v>0</v>
      </c>
      <c r="L911" s="11">
        <f>_xlfn.XLOOKUP(TableDailySummary[[#This Row],[Fecha]],SummaryDaily[day],SummaryDaily[Online Store_net_sales],0)</f>
        <v>0</v>
      </c>
      <c r="M911" s="11">
        <f>_xlfn.XLOOKUP(TableDailySummary[[#This Row],[Fecha]],SummaryDaily[day],SummaryDaily[Online Store_orders],0)</f>
        <v>0</v>
      </c>
      <c r="N911" s="11">
        <f>_xlfn.XLOOKUP(TableDailySummary[[#This Row],[Fecha]],SummaryDaily[day],SummaryDaily[Online Store_average_order_value],0)</f>
        <v>0</v>
      </c>
      <c r="O911" s="11">
        <f>_xlfn.XLOOKUP(TableDailySummary[[#This Row],[Fecha]],SummaryDaily[day],SummaryDaily[Tienda 81_net_sales],0)</f>
        <v>0</v>
      </c>
      <c r="P911" s="11">
        <f>_xlfn.XLOOKUP(TableDailySummary[[#This Row],[Fecha]],SummaryDaily[day],SummaryDaily[Tienda 81_orders],0)</f>
        <v>0</v>
      </c>
      <c r="Q911" s="11">
        <f>_xlfn.XLOOKUP(TableDailySummary[[#This Row],[Fecha]],SummaryDaily[day],SummaryDaily[Tienda 81_average_order_value],0)</f>
        <v>0</v>
      </c>
      <c r="R911" s="11">
        <f>_xlfn.XLOOKUP(TableDailySummary[[#This Row],[Fecha]],SummaryDaily[day],SummaryDaily[Rappi_net_sales],0)</f>
        <v>0</v>
      </c>
      <c r="S911" s="11">
        <f>_xlfn.XLOOKUP(TableDailySummary[[#This Row],[Fecha]],SummaryDaily[day],SummaryDaily[Rappi_orders],0)</f>
        <v>0</v>
      </c>
      <c r="T911" s="11">
        <f>_xlfn.XLOOKUP(TableDailySummary[[#This Row],[Fecha]],SummaryDaily[day],SummaryDaily[Rappi_average_order_value],0)</f>
        <v>0</v>
      </c>
      <c r="U911" s="11">
        <f>_xlfn.XLOOKUP(TableDailySummary[[#This Row],[Fecha]],SummaryDaily[day],SummaryDaily[Corporativo no tienda_net_sales],0)</f>
        <v>0</v>
      </c>
      <c r="V911" s="11">
        <f>_xlfn.XLOOKUP(TableDailySummary[[#This Row],[Fecha]],SummaryDaily[day],SummaryDaily[Corporativo no tienda_orders],0)</f>
        <v>0</v>
      </c>
      <c r="W911" s="11">
        <f>_xlfn.XLOOKUP(TableDailySummary[[#This Row],[Fecha]],SummaryDaily[day],SummaryDaily[Corporativo no tienda_average_order_value],0)</f>
        <v>0</v>
      </c>
      <c r="X911" s="11">
        <f>_xlfn.XLOOKUP(TableDailySummary[[#This Row],[Fecha]],SummaryDaily[day],SummaryDaily[GoogleAdsOperation.Cost],0)</f>
        <v>0</v>
      </c>
      <c r="Y911" s="11">
        <f>SUMIFS(SalesByUTMDaily[google],SalesByUTMDaily[day],TableDailySummary[[#This Row],[Fecha]])</f>
        <v>0</v>
      </c>
      <c r="Z911" s="11">
        <f>_xlfn.XLOOKUP(TableDailySummary[[#This Row],[Fecha]],SummaryDaily[day],SummaryDaily[MetaAdsOperation.spend],0)</f>
        <v>0</v>
      </c>
      <c r="AA911" s="11">
        <f>SUMIFS(SalesByUTMDaily[facebook],SalesByUTMDaily[day],TableDailySummary[[#This Row],[Fecha]])</f>
        <v>0</v>
      </c>
      <c r="AB911" s="11">
        <f>TableDailySummary[[#This Row],[Inversión google ads]]+TableDailySummary[[#This Row],[Inversión meta ads]]</f>
        <v>0</v>
      </c>
      <c r="AC911" s="11">
        <f>TableDailySummary[[#This Row],[Ventas google ads]]+TableDailySummary[[#This Row],[Ventas meta ads]]</f>
        <v>0</v>
      </c>
      <c r="AD911" s="14">
        <f>IFERROR(TableDailySummary[[#This Row],[Ventas publicidad]]/TableDailySummary[[#This Row],[Inversión publicidad]],0)</f>
        <v>0</v>
      </c>
      <c r="AE911" s="14">
        <f>IFERROR(TableDailySummary[[#This Row],[Ventas primer cliente]]/TableDailySummary[[#This Row],[Inversión publicidad]],0)</f>
        <v>0</v>
      </c>
      <c r="AF911" s="14"/>
      <c r="AG911" s="11"/>
      <c r="AM911" s="11">
        <f>_xlfn.XLOOKUP(TableDailySummary[[#This Row],[Fecha]],SummaryDaily[day],SummaryDaily[net_sales_with_cost_recorded],0)</f>
        <v>0</v>
      </c>
      <c r="AN911" s="11">
        <f>_xlfn.XLOOKUP(TableDailySummary[[#This Row],[Fecha]],SummaryDaily[day],SummaryDaily[cost_of_goods_sold],0)</f>
        <v>0</v>
      </c>
      <c r="AO911" s="11">
        <f>_xlfn.XLOOKUP(TableDailySummary[[#This Row],[Fecha]],SummaryDaily[day],SummaryDaily[gross_profit],0)</f>
        <v>0</v>
      </c>
      <c r="AP911" s="18">
        <f>IFERROR(TableDailySummary[[#This Row],[Utilidad bruta]]/TableDailySummary[[#This Row],[Ventas netas con costo registrado]],0)</f>
        <v>0</v>
      </c>
    </row>
    <row r="912" spans="2:42" x14ac:dyDescent="0.2">
      <c r="B912" s="15" cm="1">
        <f t="array" ref="B912">ParamFechaInicioReporte + (ROW(TableDailySummary[#This Row]) - ROW(TableDailySummary[[#Headers],[Dia]]) - 1)</f>
        <v>45439</v>
      </c>
      <c r="C912" s="6">
        <f>TableDailySummary[[#This Row],[Dia]]</f>
        <v>45439</v>
      </c>
      <c r="D912" s="11">
        <f>_xlfn.XLOOKUP(TableDailySummary[[#This Row],[Fecha]],SummaryDaily[day],SummaryDaily[net_sales],0)</f>
        <v>0</v>
      </c>
      <c r="E912" s="11">
        <f>_xlfn.XLOOKUP(TableDailySummary[[#This Row],[Fecha]],SummaryDaily[day],SummaryDaily[orders],0)</f>
        <v>0</v>
      </c>
      <c r="F912" s="11">
        <f>_xlfn.XLOOKUP(TableDailySummary[[#This Row],[Fecha]],SummaryDaily[day],SummaryDaily[average_order_value],0)</f>
        <v>0</v>
      </c>
      <c r="G912" s="24" cm="1">
        <f t="array" ref="G912">_xlfn.XLOOKUP(TableDailySummary[[#This Row],[Fecha]]&amp;"Total site",ConversionRateByReferral[day]&amp;ConversionRateByReferral[referrer_source],ConversionRateByReferral[conversion_rate],0)</f>
        <v>0</v>
      </c>
      <c r="H912" s="11">
        <f>TableDailySummary[[#This Row],[Órden promedio totales]]*TableDailySummary[[#This Row],[CR totales]]</f>
        <v>0</v>
      </c>
      <c r="I912" s="11">
        <f>_xlfn.XLOOKUP(TableDailySummary[[#This Row],[Fecha]],SummaryDaily[day],SummaryDaily[new_net_sales],0)</f>
        <v>0</v>
      </c>
      <c r="J912" s="11">
        <f>_xlfn.XLOOKUP(TableDailySummary[[#This Row],[Fecha]],SummaryDaily[day],SummaryDaily[new_orders],0)</f>
        <v>0</v>
      </c>
      <c r="K912" s="11">
        <f>_xlfn.XLOOKUP(TableDailySummary[[#This Row],[Fecha]],SummaryDaily[day],SummaryDaily[new_average_order_value],0)</f>
        <v>0</v>
      </c>
      <c r="L912" s="11">
        <f>_xlfn.XLOOKUP(TableDailySummary[[#This Row],[Fecha]],SummaryDaily[day],SummaryDaily[Online Store_net_sales],0)</f>
        <v>0</v>
      </c>
      <c r="M912" s="11">
        <f>_xlfn.XLOOKUP(TableDailySummary[[#This Row],[Fecha]],SummaryDaily[day],SummaryDaily[Online Store_orders],0)</f>
        <v>0</v>
      </c>
      <c r="N912" s="11">
        <f>_xlfn.XLOOKUP(TableDailySummary[[#This Row],[Fecha]],SummaryDaily[day],SummaryDaily[Online Store_average_order_value],0)</f>
        <v>0</v>
      </c>
      <c r="O912" s="11">
        <f>_xlfn.XLOOKUP(TableDailySummary[[#This Row],[Fecha]],SummaryDaily[day],SummaryDaily[Tienda 81_net_sales],0)</f>
        <v>0</v>
      </c>
      <c r="P912" s="11">
        <f>_xlfn.XLOOKUP(TableDailySummary[[#This Row],[Fecha]],SummaryDaily[day],SummaryDaily[Tienda 81_orders],0)</f>
        <v>0</v>
      </c>
      <c r="Q912" s="11">
        <f>_xlfn.XLOOKUP(TableDailySummary[[#This Row],[Fecha]],SummaryDaily[day],SummaryDaily[Tienda 81_average_order_value],0)</f>
        <v>0</v>
      </c>
      <c r="R912" s="11">
        <f>_xlfn.XLOOKUP(TableDailySummary[[#This Row],[Fecha]],SummaryDaily[day],SummaryDaily[Rappi_net_sales],0)</f>
        <v>0</v>
      </c>
      <c r="S912" s="11">
        <f>_xlfn.XLOOKUP(TableDailySummary[[#This Row],[Fecha]],SummaryDaily[day],SummaryDaily[Rappi_orders],0)</f>
        <v>0</v>
      </c>
      <c r="T912" s="11">
        <f>_xlfn.XLOOKUP(TableDailySummary[[#This Row],[Fecha]],SummaryDaily[day],SummaryDaily[Rappi_average_order_value],0)</f>
        <v>0</v>
      </c>
      <c r="U912" s="11">
        <f>_xlfn.XLOOKUP(TableDailySummary[[#This Row],[Fecha]],SummaryDaily[day],SummaryDaily[Corporativo no tienda_net_sales],0)</f>
        <v>0</v>
      </c>
      <c r="V912" s="11">
        <f>_xlfn.XLOOKUP(TableDailySummary[[#This Row],[Fecha]],SummaryDaily[day],SummaryDaily[Corporativo no tienda_orders],0)</f>
        <v>0</v>
      </c>
      <c r="W912" s="11">
        <f>_xlfn.XLOOKUP(TableDailySummary[[#This Row],[Fecha]],SummaryDaily[day],SummaryDaily[Corporativo no tienda_average_order_value],0)</f>
        <v>0</v>
      </c>
      <c r="X912" s="11">
        <f>_xlfn.XLOOKUP(TableDailySummary[[#This Row],[Fecha]],SummaryDaily[day],SummaryDaily[GoogleAdsOperation.Cost],0)</f>
        <v>0</v>
      </c>
      <c r="Y912" s="11">
        <f>SUMIFS(SalesByUTMDaily[google],SalesByUTMDaily[day],TableDailySummary[[#This Row],[Fecha]])</f>
        <v>0</v>
      </c>
      <c r="Z912" s="11">
        <f>_xlfn.XLOOKUP(TableDailySummary[[#This Row],[Fecha]],SummaryDaily[day],SummaryDaily[MetaAdsOperation.spend],0)</f>
        <v>0</v>
      </c>
      <c r="AA912" s="11">
        <f>SUMIFS(SalesByUTMDaily[facebook],SalesByUTMDaily[day],TableDailySummary[[#This Row],[Fecha]])</f>
        <v>0</v>
      </c>
      <c r="AB912" s="11">
        <f>TableDailySummary[[#This Row],[Inversión google ads]]+TableDailySummary[[#This Row],[Inversión meta ads]]</f>
        <v>0</v>
      </c>
      <c r="AC912" s="11">
        <f>TableDailySummary[[#This Row],[Ventas google ads]]+TableDailySummary[[#This Row],[Ventas meta ads]]</f>
        <v>0</v>
      </c>
      <c r="AD912" s="14">
        <f>IFERROR(TableDailySummary[[#This Row],[Ventas publicidad]]/TableDailySummary[[#This Row],[Inversión publicidad]],0)</f>
        <v>0</v>
      </c>
      <c r="AE912" s="14">
        <f>IFERROR(TableDailySummary[[#This Row],[Ventas primer cliente]]/TableDailySummary[[#This Row],[Inversión publicidad]],0)</f>
        <v>0</v>
      </c>
      <c r="AF912" s="14"/>
      <c r="AG912" s="11"/>
      <c r="AM912" s="11">
        <f>_xlfn.XLOOKUP(TableDailySummary[[#This Row],[Fecha]],SummaryDaily[day],SummaryDaily[net_sales_with_cost_recorded],0)</f>
        <v>0</v>
      </c>
      <c r="AN912" s="11">
        <f>_xlfn.XLOOKUP(TableDailySummary[[#This Row],[Fecha]],SummaryDaily[day],SummaryDaily[cost_of_goods_sold],0)</f>
        <v>0</v>
      </c>
      <c r="AO912" s="11">
        <f>_xlfn.XLOOKUP(TableDailySummary[[#This Row],[Fecha]],SummaryDaily[day],SummaryDaily[gross_profit],0)</f>
        <v>0</v>
      </c>
      <c r="AP912" s="18">
        <f>IFERROR(TableDailySummary[[#This Row],[Utilidad bruta]]/TableDailySummary[[#This Row],[Ventas netas con costo registrado]],0)</f>
        <v>0</v>
      </c>
    </row>
    <row r="913" spans="2:42" x14ac:dyDescent="0.2">
      <c r="B913" s="15" cm="1">
        <f t="array" ref="B913">ParamFechaInicioReporte + (ROW(TableDailySummary[#This Row]) - ROW(TableDailySummary[[#Headers],[Dia]]) - 1)</f>
        <v>45440</v>
      </c>
      <c r="C913" s="6">
        <f>TableDailySummary[[#This Row],[Dia]]</f>
        <v>45440</v>
      </c>
      <c r="D913" s="11">
        <f>_xlfn.XLOOKUP(TableDailySummary[[#This Row],[Fecha]],SummaryDaily[day],SummaryDaily[net_sales],0)</f>
        <v>0</v>
      </c>
      <c r="E913" s="11">
        <f>_xlfn.XLOOKUP(TableDailySummary[[#This Row],[Fecha]],SummaryDaily[day],SummaryDaily[orders],0)</f>
        <v>0</v>
      </c>
      <c r="F913" s="11">
        <f>_xlfn.XLOOKUP(TableDailySummary[[#This Row],[Fecha]],SummaryDaily[day],SummaryDaily[average_order_value],0)</f>
        <v>0</v>
      </c>
      <c r="G913" s="24" cm="1">
        <f t="array" ref="G913">_xlfn.XLOOKUP(TableDailySummary[[#This Row],[Fecha]]&amp;"Total site",ConversionRateByReferral[day]&amp;ConversionRateByReferral[referrer_source],ConversionRateByReferral[conversion_rate],0)</f>
        <v>0</v>
      </c>
      <c r="H913" s="11">
        <f>TableDailySummary[[#This Row],[Órden promedio totales]]*TableDailySummary[[#This Row],[CR totales]]</f>
        <v>0</v>
      </c>
      <c r="I913" s="11">
        <f>_xlfn.XLOOKUP(TableDailySummary[[#This Row],[Fecha]],SummaryDaily[day],SummaryDaily[new_net_sales],0)</f>
        <v>0</v>
      </c>
      <c r="J913" s="11">
        <f>_xlfn.XLOOKUP(TableDailySummary[[#This Row],[Fecha]],SummaryDaily[day],SummaryDaily[new_orders],0)</f>
        <v>0</v>
      </c>
      <c r="K913" s="11">
        <f>_xlfn.XLOOKUP(TableDailySummary[[#This Row],[Fecha]],SummaryDaily[day],SummaryDaily[new_average_order_value],0)</f>
        <v>0</v>
      </c>
      <c r="L913" s="11">
        <f>_xlfn.XLOOKUP(TableDailySummary[[#This Row],[Fecha]],SummaryDaily[day],SummaryDaily[Online Store_net_sales],0)</f>
        <v>0</v>
      </c>
      <c r="M913" s="11">
        <f>_xlfn.XLOOKUP(TableDailySummary[[#This Row],[Fecha]],SummaryDaily[day],SummaryDaily[Online Store_orders],0)</f>
        <v>0</v>
      </c>
      <c r="N913" s="11">
        <f>_xlfn.XLOOKUP(TableDailySummary[[#This Row],[Fecha]],SummaryDaily[day],SummaryDaily[Online Store_average_order_value],0)</f>
        <v>0</v>
      </c>
      <c r="O913" s="11">
        <f>_xlfn.XLOOKUP(TableDailySummary[[#This Row],[Fecha]],SummaryDaily[day],SummaryDaily[Tienda 81_net_sales],0)</f>
        <v>0</v>
      </c>
      <c r="P913" s="11">
        <f>_xlfn.XLOOKUP(TableDailySummary[[#This Row],[Fecha]],SummaryDaily[day],SummaryDaily[Tienda 81_orders],0)</f>
        <v>0</v>
      </c>
      <c r="Q913" s="11">
        <f>_xlfn.XLOOKUP(TableDailySummary[[#This Row],[Fecha]],SummaryDaily[day],SummaryDaily[Tienda 81_average_order_value],0)</f>
        <v>0</v>
      </c>
      <c r="R913" s="11">
        <f>_xlfn.XLOOKUP(TableDailySummary[[#This Row],[Fecha]],SummaryDaily[day],SummaryDaily[Rappi_net_sales],0)</f>
        <v>0</v>
      </c>
      <c r="S913" s="11">
        <f>_xlfn.XLOOKUP(TableDailySummary[[#This Row],[Fecha]],SummaryDaily[day],SummaryDaily[Rappi_orders],0)</f>
        <v>0</v>
      </c>
      <c r="T913" s="11">
        <f>_xlfn.XLOOKUP(TableDailySummary[[#This Row],[Fecha]],SummaryDaily[day],SummaryDaily[Rappi_average_order_value],0)</f>
        <v>0</v>
      </c>
      <c r="U913" s="11">
        <f>_xlfn.XLOOKUP(TableDailySummary[[#This Row],[Fecha]],SummaryDaily[day],SummaryDaily[Corporativo no tienda_net_sales],0)</f>
        <v>0</v>
      </c>
      <c r="V913" s="11">
        <f>_xlfn.XLOOKUP(TableDailySummary[[#This Row],[Fecha]],SummaryDaily[day],SummaryDaily[Corporativo no tienda_orders],0)</f>
        <v>0</v>
      </c>
      <c r="W913" s="11">
        <f>_xlfn.XLOOKUP(TableDailySummary[[#This Row],[Fecha]],SummaryDaily[day],SummaryDaily[Corporativo no tienda_average_order_value],0)</f>
        <v>0</v>
      </c>
      <c r="X913" s="11">
        <f>_xlfn.XLOOKUP(TableDailySummary[[#This Row],[Fecha]],SummaryDaily[day],SummaryDaily[GoogleAdsOperation.Cost],0)</f>
        <v>0</v>
      </c>
      <c r="Y913" s="11">
        <f>SUMIFS(SalesByUTMDaily[google],SalesByUTMDaily[day],TableDailySummary[[#This Row],[Fecha]])</f>
        <v>0</v>
      </c>
      <c r="Z913" s="11">
        <f>_xlfn.XLOOKUP(TableDailySummary[[#This Row],[Fecha]],SummaryDaily[day],SummaryDaily[MetaAdsOperation.spend],0)</f>
        <v>0</v>
      </c>
      <c r="AA913" s="11">
        <f>SUMIFS(SalesByUTMDaily[facebook],SalesByUTMDaily[day],TableDailySummary[[#This Row],[Fecha]])</f>
        <v>0</v>
      </c>
      <c r="AB913" s="11">
        <f>TableDailySummary[[#This Row],[Inversión google ads]]+TableDailySummary[[#This Row],[Inversión meta ads]]</f>
        <v>0</v>
      </c>
      <c r="AC913" s="11">
        <f>TableDailySummary[[#This Row],[Ventas google ads]]+TableDailySummary[[#This Row],[Ventas meta ads]]</f>
        <v>0</v>
      </c>
      <c r="AD913" s="14">
        <f>IFERROR(TableDailySummary[[#This Row],[Ventas publicidad]]/TableDailySummary[[#This Row],[Inversión publicidad]],0)</f>
        <v>0</v>
      </c>
      <c r="AE913" s="14">
        <f>IFERROR(TableDailySummary[[#This Row],[Ventas primer cliente]]/TableDailySummary[[#This Row],[Inversión publicidad]],0)</f>
        <v>0</v>
      </c>
      <c r="AF913" s="14"/>
      <c r="AG913" s="11"/>
      <c r="AM913" s="11">
        <f>_xlfn.XLOOKUP(TableDailySummary[[#This Row],[Fecha]],SummaryDaily[day],SummaryDaily[net_sales_with_cost_recorded],0)</f>
        <v>0</v>
      </c>
      <c r="AN913" s="11">
        <f>_xlfn.XLOOKUP(TableDailySummary[[#This Row],[Fecha]],SummaryDaily[day],SummaryDaily[cost_of_goods_sold],0)</f>
        <v>0</v>
      </c>
      <c r="AO913" s="11">
        <f>_xlfn.XLOOKUP(TableDailySummary[[#This Row],[Fecha]],SummaryDaily[day],SummaryDaily[gross_profit],0)</f>
        <v>0</v>
      </c>
      <c r="AP913" s="18">
        <f>IFERROR(TableDailySummary[[#This Row],[Utilidad bruta]]/TableDailySummary[[#This Row],[Ventas netas con costo registrado]],0)</f>
        <v>0</v>
      </c>
    </row>
    <row r="914" spans="2:42" x14ac:dyDescent="0.2">
      <c r="B914" s="15" cm="1">
        <f t="array" ref="B914">ParamFechaInicioReporte + (ROW(TableDailySummary[#This Row]) - ROW(TableDailySummary[[#Headers],[Dia]]) - 1)</f>
        <v>45441</v>
      </c>
      <c r="C914" s="6">
        <f>TableDailySummary[[#This Row],[Dia]]</f>
        <v>45441</v>
      </c>
      <c r="D914" s="11">
        <f>_xlfn.XLOOKUP(TableDailySummary[[#This Row],[Fecha]],SummaryDaily[day],SummaryDaily[net_sales],0)</f>
        <v>0</v>
      </c>
      <c r="E914" s="11">
        <f>_xlfn.XLOOKUP(TableDailySummary[[#This Row],[Fecha]],SummaryDaily[day],SummaryDaily[orders],0)</f>
        <v>0</v>
      </c>
      <c r="F914" s="11">
        <f>_xlfn.XLOOKUP(TableDailySummary[[#This Row],[Fecha]],SummaryDaily[day],SummaryDaily[average_order_value],0)</f>
        <v>0</v>
      </c>
      <c r="G914" s="24" cm="1">
        <f t="array" ref="G914">_xlfn.XLOOKUP(TableDailySummary[[#This Row],[Fecha]]&amp;"Total site",ConversionRateByReferral[day]&amp;ConversionRateByReferral[referrer_source],ConversionRateByReferral[conversion_rate],0)</f>
        <v>0</v>
      </c>
      <c r="H914" s="11">
        <f>TableDailySummary[[#This Row],[Órden promedio totales]]*TableDailySummary[[#This Row],[CR totales]]</f>
        <v>0</v>
      </c>
      <c r="I914" s="11">
        <f>_xlfn.XLOOKUP(TableDailySummary[[#This Row],[Fecha]],SummaryDaily[day],SummaryDaily[new_net_sales],0)</f>
        <v>0</v>
      </c>
      <c r="J914" s="11">
        <f>_xlfn.XLOOKUP(TableDailySummary[[#This Row],[Fecha]],SummaryDaily[day],SummaryDaily[new_orders],0)</f>
        <v>0</v>
      </c>
      <c r="K914" s="11">
        <f>_xlfn.XLOOKUP(TableDailySummary[[#This Row],[Fecha]],SummaryDaily[day],SummaryDaily[new_average_order_value],0)</f>
        <v>0</v>
      </c>
      <c r="L914" s="11">
        <f>_xlfn.XLOOKUP(TableDailySummary[[#This Row],[Fecha]],SummaryDaily[day],SummaryDaily[Online Store_net_sales],0)</f>
        <v>0</v>
      </c>
      <c r="M914" s="11">
        <f>_xlfn.XLOOKUP(TableDailySummary[[#This Row],[Fecha]],SummaryDaily[day],SummaryDaily[Online Store_orders],0)</f>
        <v>0</v>
      </c>
      <c r="N914" s="11">
        <f>_xlfn.XLOOKUP(TableDailySummary[[#This Row],[Fecha]],SummaryDaily[day],SummaryDaily[Online Store_average_order_value],0)</f>
        <v>0</v>
      </c>
      <c r="O914" s="11">
        <f>_xlfn.XLOOKUP(TableDailySummary[[#This Row],[Fecha]],SummaryDaily[day],SummaryDaily[Tienda 81_net_sales],0)</f>
        <v>0</v>
      </c>
      <c r="P914" s="11">
        <f>_xlfn.XLOOKUP(TableDailySummary[[#This Row],[Fecha]],SummaryDaily[day],SummaryDaily[Tienda 81_orders],0)</f>
        <v>0</v>
      </c>
      <c r="Q914" s="11">
        <f>_xlfn.XLOOKUP(TableDailySummary[[#This Row],[Fecha]],SummaryDaily[day],SummaryDaily[Tienda 81_average_order_value],0)</f>
        <v>0</v>
      </c>
      <c r="R914" s="11">
        <f>_xlfn.XLOOKUP(TableDailySummary[[#This Row],[Fecha]],SummaryDaily[day],SummaryDaily[Rappi_net_sales],0)</f>
        <v>0</v>
      </c>
      <c r="S914" s="11">
        <f>_xlfn.XLOOKUP(TableDailySummary[[#This Row],[Fecha]],SummaryDaily[day],SummaryDaily[Rappi_orders],0)</f>
        <v>0</v>
      </c>
      <c r="T914" s="11">
        <f>_xlfn.XLOOKUP(TableDailySummary[[#This Row],[Fecha]],SummaryDaily[day],SummaryDaily[Rappi_average_order_value],0)</f>
        <v>0</v>
      </c>
      <c r="U914" s="11">
        <f>_xlfn.XLOOKUP(TableDailySummary[[#This Row],[Fecha]],SummaryDaily[day],SummaryDaily[Corporativo no tienda_net_sales],0)</f>
        <v>0</v>
      </c>
      <c r="V914" s="11">
        <f>_xlfn.XLOOKUP(TableDailySummary[[#This Row],[Fecha]],SummaryDaily[day],SummaryDaily[Corporativo no tienda_orders],0)</f>
        <v>0</v>
      </c>
      <c r="W914" s="11">
        <f>_xlfn.XLOOKUP(TableDailySummary[[#This Row],[Fecha]],SummaryDaily[day],SummaryDaily[Corporativo no tienda_average_order_value],0)</f>
        <v>0</v>
      </c>
      <c r="X914" s="11">
        <f>_xlfn.XLOOKUP(TableDailySummary[[#This Row],[Fecha]],SummaryDaily[day],SummaryDaily[GoogleAdsOperation.Cost],0)</f>
        <v>0</v>
      </c>
      <c r="Y914" s="11">
        <f>SUMIFS(SalesByUTMDaily[google],SalesByUTMDaily[day],TableDailySummary[[#This Row],[Fecha]])</f>
        <v>0</v>
      </c>
      <c r="Z914" s="11">
        <f>_xlfn.XLOOKUP(TableDailySummary[[#This Row],[Fecha]],SummaryDaily[day],SummaryDaily[MetaAdsOperation.spend],0)</f>
        <v>0</v>
      </c>
      <c r="AA914" s="11">
        <f>SUMIFS(SalesByUTMDaily[facebook],SalesByUTMDaily[day],TableDailySummary[[#This Row],[Fecha]])</f>
        <v>0</v>
      </c>
      <c r="AB914" s="11">
        <f>TableDailySummary[[#This Row],[Inversión google ads]]+TableDailySummary[[#This Row],[Inversión meta ads]]</f>
        <v>0</v>
      </c>
      <c r="AC914" s="11">
        <f>TableDailySummary[[#This Row],[Ventas google ads]]+TableDailySummary[[#This Row],[Ventas meta ads]]</f>
        <v>0</v>
      </c>
      <c r="AD914" s="14">
        <f>IFERROR(TableDailySummary[[#This Row],[Ventas publicidad]]/TableDailySummary[[#This Row],[Inversión publicidad]],0)</f>
        <v>0</v>
      </c>
      <c r="AE914" s="14">
        <f>IFERROR(TableDailySummary[[#This Row],[Ventas primer cliente]]/TableDailySummary[[#This Row],[Inversión publicidad]],0)</f>
        <v>0</v>
      </c>
      <c r="AF914" s="14"/>
      <c r="AG914" s="11"/>
      <c r="AM914" s="11">
        <f>_xlfn.XLOOKUP(TableDailySummary[[#This Row],[Fecha]],SummaryDaily[day],SummaryDaily[net_sales_with_cost_recorded],0)</f>
        <v>0</v>
      </c>
      <c r="AN914" s="11">
        <f>_xlfn.XLOOKUP(TableDailySummary[[#This Row],[Fecha]],SummaryDaily[day],SummaryDaily[cost_of_goods_sold],0)</f>
        <v>0</v>
      </c>
      <c r="AO914" s="11">
        <f>_xlfn.XLOOKUP(TableDailySummary[[#This Row],[Fecha]],SummaryDaily[day],SummaryDaily[gross_profit],0)</f>
        <v>0</v>
      </c>
      <c r="AP914" s="18">
        <f>IFERROR(TableDailySummary[[#This Row],[Utilidad bruta]]/TableDailySummary[[#This Row],[Ventas netas con costo registrado]],0)</f>
        <v>0</v>
      </c>
    </row>
    <row r="915" spans="2:42" x14ac:dyDescent="0.2">
      <c r="B915" s="15" cm="1">
        <f t="array" ref="B915">ParamFechaInicioReporte + (ROW(TableDailySummary[#This Row]) - ROW(TableDailySummary[[#Headers],[Dia]]) - 1)</f>
        <v>45442</v>
      </c>
      <c r="C915" s="6">
        <f>TableDailySummary[[#This Row],[Dia]]</f>
        <v>45442</v>
      </c>
      <c r="D915" s="11">
        <f>_xlfn.XLOOKUP(TableDailySummary[[#This Row],[Fecha]],SummaryDaily[day],SummaryDaily[net_sales],0)</f>
        <v>0</v>
      </c>
      <c r="E915" s="11">
        <f>_xlfn.XLOOKUP(TableDailySummary[[#This Row],[Fecha]],SummaryDaily[day],SummaryDaily[orders],0)</f>
        <v>0</v>
      </c>
      <c r="F915" s="11">
        <f>_xlfn.XLOOKUP(TableDailySummary[[#This Row],[Fecha]],SummaryDaily[day],SummaryDaily[average_order_value],0)</f>
        <v>0</v>
      </c>
      <c r="G915" s="24" cm="1">
        <f t="array" ref="G915">_xlfn.XLOOKUP(TableDailySummary[[#This Row],[Fecha]]&amp;"Total site",ConversionRateByReferral[day]&amp;ConversionRateByReferral[referrer_source],ConversionRateByReferral[conversion_rate],0)</f>
        <v>0</v>
      </c>
      <c r="H915" s="11">
        <f>TableDailySummary[[#This Row],[Órden promedio totales]]*TableDailySummary[[#This Row],[CR totales]]</f>
        <v>0</v>
      </c>
      <c r="I915" s="11">
        <f>_xlfn.XLOOKUP(TableDailySummary[[#This Row],[Fecha]],SummaryDaily[day],SummaryDaily[new_net_sales],0)</f>
        <v>0</v>
      </c>
      <c r="J915" s="11">
        <f>_xlfn.XLOOKUP(TableDailySummary[[#This Row],[Fecha]],SummaryDaily[day],SummaryDaily[new_orders],0)</f>
        <v>0</v>
      </c>
      <c r="K915" s="11">
        <f>_xlfn.XLOOKUP(TableDailySummary[[#This Row],[Fecha]],SummaryDaily[day],SummaryDaily[new_average_order_value],0)</f>
        <v>0</v>
      </c>
      <c r="L915" s="11">
        <f>_xlfn.XLOOKUP(TableDailySummary[[#This Row],[Fecha]],SummaryDaily[day],SummaryDaily[Online Store_net_sales],0)</f>
        <v>0</v>
      </c>
      <c r="M915" s="11">
        <f>_xlfn.XLOOKUP(TableDailySummary[[#This Row],[Fecha]],SummaryDaily[day],SummaryDaily[Online Store_orders],0)</f>
        <v>0</v>
      </c>
      <c r="N915" s="11">
        <f>_xlfn.XLOOKUP(TableDailySummary[[#This Row],[Fecha]],SummaryDaily[day],SummaryDaily[Online Store_average_order_value],0)</f>
        <v>0</v>
      </c>
      <c r="O915" s="11">
        <f>_xlfn.XLOOKUP(TableDailySummary[[#This Row],[Fecha]],SummaryDaily[day],SummaryDaily[Tienda 81_net_sales],0)</f>
        <v>0</v>
      </c>
      <c r="P915" s="11">
        <f>_xlfn.XLOOKUP(TableDailySummary[[#This Row],[Fecha]],SummaryDaily[day],SummaryDaily[Tienda 81_orders],0)</f>
        <v>0</v>
      </c>
      <c r="Q915" s="11">
        <f>_xlfn.XLOOKUP(TableDailySummary[[#This Row],[Fecha]],SummaryDaily[day],SummaryDaily[Tienda 81_average_order_value],0)</f>
        <v>0</v>
      </c>
      <c r="R915" s="11">
        <f>_xlfn.XLOOKUP(TableDailySummary[[#This Row],[Fecha]],SummaryDaily[day],SummaryDaily[Rappi_net_sales],0)</f>
        <v>0</v>
      </c>
      <c r="S915" s="11">
        <f>_xlfn.XLOOKUP(TableDailySummary[[#This Row],[Fecha]],SummaryDaily[day],SummaryDaily[Rappi_orders],0)</f>
        <v>0</v>
      </c>
      <c r="T915" s="11">
        <f>_xlfn.XLOOKUP(TableDailySummary[[#This Row],[Fecha]],SummaryDaily[day],SummaryDaily[Rappi_average_order_value],0)</f>
        <v>0</v>
      </c>
      <c r="U915" s="11">
        <f>_xlfn.XLOOKUP(TableDailySummary[[#This Row],[Fecha]],SummaryDaily[day],SummaryDaily[Corporativo no tienda_net_sales],0)</f>
        <v>0</v>
      </c>
      <c r="V915" s="11">
        <f>_xlfn.XLOOKUP(TableDailySummary[[#This Row],[Fecha]],SummaryDaily[day],SummaryDaily[Corporativo no tienda_orders],0)</f>
        <v>0</v>
      </c>
      <c r="W915" s="11">
        <f>_xlfn.XLOOKUP(TableDailySummary[[#This Row],[Fecha]],SummaryDaily[day],SummaryDaily[Corporativo no tienda_average_order_value],0)</f>
        <v>0</v>
      </c>
      <c r="X915" s="11">
        <f>_xlfn.XLOOKUP(TableDailySummary[[#This Row],[Fecha]],SummaryDaily[day],SummaryDaily[GoogleAdsOperation.Cost],0)</f>
        <v>0</v>
      </c>
      <c r="Y915" s="11">
        <f>SUMIFS(SalesByUTMDaily[google],SalesByUTMDaily[day],TableDailySummary[[#This Row],[Fecha]])</f>
        <v>0</v>
      </c>
      <c r="Z915" s="11">
        <f>_xlfn.XLOOKUP(TableDailySummary[[#This Row],[Fecha]],SummaryDaily[day],SummaryDaily[MetaAdsOperation.spend],0)</f>
        <v>0</v>
      </c>
      <c r="AA915" s="11">
        <f>SUMIFS(SalesByUTMDaily[facebook],SalesByUTMDaily[day],TableDailySummary[[#This Row],[Fecha]])</f>
        <v>0</v>
      </c>
      <c r="AB915" s="11">
        <f>TableDailySummary[[#This Row],[Inversión google ads]]+TableDailySummary[[#This Row],[Inversión meta ads]]</f>
        <v>0</v>
      </c>
      <c r="AC915" s="11">
        <f>TableDailySummary[[#This Row],[Ventas google ads]]+TableDailySummary[[#This Row],[Ventas meta ads]]</f>
        <v>0</v>
      </c>
      <c r="AD915" s="14">
        <f>IFERROR(TableDailySummary[[#This Row],[Ventas publicidad]]/TableDailySummary[[#This Row],[Inversión publicidad]],0)</f>
        <v>0</v>
      </c>
      <c r="AE915" s="14">
        <f>IFERROR(TableDailySummary[[#This Row],[Ventas primer cliente]]/TableDailySummary[[#This Row],[Inversión publicidad]],0)</f>
        <v>0</v>
      </c>
      <c r="AF915" s="14"/>
      <c r="AG915" s="11"/>
      <c r="AM915" s="11">
        <f>_xlfn.XLOOKUP(TableDailySummary[[#This Row],[Fecha]],SummaryDaily[day],SummaryDaily[net_sales_with_cost_recorded],0)</f>
        <v>0</v>
      </c>
      <c r="AN915" s="11">
        <f>_xlfn.XLOOKUP(TableDailySummary[[#This Row],[Fecha]],SummaryDaily[day],SummaryDaily[cost_of_goods_sold],0)</f>
        <v>0</v>
      </c>
      <c r="AO915" s="11">
        <f>_xlfn.XLOOKUP(TableDailySummary[[#This Row],[Fecha]],SummaryDaily[day],SummaryDaily[gross_profit],0)</f>
        <v>0</v>
      </c>
      <c r="AP915" s="18">
        <f>IFERROR(TableDailySummary[[#This Row],[Utilidad bruta]]/TableDailySummary[[#This Row],[Ventas netas con costo registrado]],0)</f>
        <v>0</v>
      </c>
    </row>
    <row r="916" spans="2:42" x14ac:dyDescent="0.2">
      <c r="B916" s="15" cm="1">
        <f t="array" ref="B916">ParamFechaInicioReporte + (ROW(TableDailySummary[#This Row]) - ROW(TableDailySummary[[#Headers],[Dia]]) - 1)</f>
        <v>45443</v>
      </c>
      <c r="C916" s="6">
        <f>TableDailySummary[[#This Row],[Dia]]</f>
        <v>45443</v>
      </c>
      <c r="D916" s="11">
        <f>_xlfn.XLOOKUP(TableDailySummary[[#This Row],[Fecha]],SummaryDaily[day],SummaryDaily[net_sales],0)</f>
        <v>0</v>
      </c>
      <c r="E916" s="11">
        <f>_xlfn.XLOOKUP(TableDailySummary[[#This Row],[Fecha]],SummaryDaily[day],SummaryDaily[orders],0)</f>
        <v>0</v>
      </c>
      <c r="F916" s="11">
        <f>_xlfn.XLOOKUP(TableDailySummary[[#This Row],[Fecha]],SummaryDaily[day],SummaryDaily[average_order_value],0)</f>
        <v>0</v>
      </c>
      <c r="G916" s="24" cm="1">
        <f t="array" ref="G916">_xlfn.XLOOKUP(TableDailySummary[[#This Row],[Fecha]]&amp;"Total site",ConversionRateByReferral[day]&amp;ConversionRateByReferral[referrer_source],ConversionRateByReferral[conversion_rate],0)</f>
        <v>0</v>
      </c>
      <c r="H916" s="11">
        <f>TableDailySummary[[#This Row],[Órden promedio totales]]*TableDailySummary[[#This Row],[CR totales]]</f>
        <v>0</v>
      </c>
      <c r="I916" s="11">
        <f>_xlfn.XLOOKUP(TableDailySummary[[#This Row],[Fecha]],SummaryDaily[day],SummaryDaily[new_net_sales],0)</f>
        <v>0</v>
      </c>
      <c r="J916" s="11">
        <f>_xlfn.XLOOKUP(TableDailySummary[[#This Row],[Fecha]],SummaryDaily[day],SummaryDaily[new_orders],0)</f>
        <v>0</v>
      </c>
      <c r="K916" s="11">
        <f>_xlfn.XLOOKUP(TableDailySummary[[#This Row],[Fecha]],SummaryDaily[day],SummaryDaily[new_average_order_value],0)</f>
        <v>0</v>
      </c>
      <c r="L916" s="11">
        <f>_xlfn.XLOOKUP(TableDailySummary[[#This Row],[Fecha]],SummaryDaily[day],SummaryDaily[Online Store_net_sales],0)</f>
        <v>0</v>
      </c>
      <c r="M916" s="11">
        <f>_xlfn.XLOOKUP(TableDailySummary[[#This Row],[Fecha]],SummaryDaily[day],SummaryDaily[Online Store_orders],0)</f>
        <v>0</v>
      </c>
      <c r="N916" s="11">
        <f>_xlfn.XLOOKUP(TableDailySummary[[#This Row],[Fecha]],SummaryDaily[day],SummaryDaily[Online Store_average_order_value],0)</f>
        <v>0</v>
      </c>
      <c r="O916" s="11">
        <f>_xlfn.XLOOKUP(TableDailySummary[[#This Row],[Fecha]],SummaryDaily[day],SummaryDaily[Tienda 81_net_sales],0)</f>
        <v>0</v>
      </c>
      <c r="P916" s="11">
        <f>_xlfn.XLOOKUP(TableDailySummary[[#This Row],[Fecha]],SummaryDaily[day],SummaryDaily[Tienda 81_orders],0)</f>
        <v>0</v>
      </c>
      <c r="Q916" s="11">
        <f>_xlfn.XLOOKUP(TableDailySummary[[#This Row],[Fecha]],SummaryDaily[day],SummaryDaily[Tienda 81_average_order_value],0)</f>
        <v>0</v>
      </c>
      <c r="R916" s="11">
        <f>_xlfn.XLOOKUP(TableDailySummary[[#This Row],[Fecha]],SummaryDaily[day],SummaryDaily[Rappi_net_sales],0)</f>
        <v>0</v>
      </c>
      <c r="S916" s="11">
        <f>_xlfn.XLOOKUP(TableDailySummary[[#This Row],[Fecha]],SummaryDaily[day],SummaryDaily[Rappi_orders],0)</f>
        <v>0</v>
      </c>
      <c r="T916" s="11">
        <f>_xlfn.XLOOKUP(TableDailySummary[[#This Row],[Fecha]],SummaryDaily[day],SummaryDaily[Rappi_average_order_value],0)</f>
        <v>0</v>
      </c>
      <c r="U916" s="11">
        <f>_xlfn.XLOOKUP(TableDailySummary[[#This Row],[Fecha]],SummaryDaily[day],SummaryDaily[Corporativo no tienda_net_sales],0)</f>
        <v>0</v>
      </c>
      <c r="V916" s="11">
        <f>_xlfn.XLOOKUP(TableDailySummary[[#This Row],[Fecha]],SummaryDaily[day],SummaryDaily[Corporativo no tienda_orders],0)</f>
        <v>0</v>
      </c>
      <c r="W916" s="11">
        <f>_xlfn.XLOOKUP(TableDailySummary[[#This Row],[Fecha]],SummaryDaily[day],SummaryDaily[Corporativo no tienda_average_order_value],0)</f>
        <v>0</v>
      </c>
      <c r="X916" s="11">
        <f>_xlfn.XLOOKUP(TableDailySummary[[#This Row],[Fecha]],SummaryDaily[day],SummaryDaily[GoogleAdsOperation.Cost],0)</f>
        <v>0</v>
      </c>
      <c r="Y916" s="11">
        <f>SUMIFS(SalesByUTMDaily[google],SalesByUTMDaily[day],TableDailySummary[[#This Row],[Fecha]])</f>
        <v>0</v>
      </c>
      <c r="Z916" s="11">
        <f>_xlfn.XLOOKUP(TableDailySummary[[#This Row],[Fecha]],SummaryDaily[day],SummaryDaily[MetaAdsOperation.spend],0)</f>
        <v>0</v>
      </c>
      <c r="AA916" s="11">
        <f>SUMIFS(SalesByUTMDaily[facebook],SalesByUTMDaily[day],TableDailySummary[[#This Row],[Fecha]])</f>
        <v>0</v>
      </c>
      <c r="AB916" s="11">
        <f>TableDailySummary[[#This Row],[Inversión google ads]]+TableDailySummary[[#This Row],[Inversión meta ads]]</f>
        <v>0</v>
      </c>
      <c r="AC916" s="11">
        <f>TableDailySummary[[#This Row],[Ventas google ads]]+TableDailySummary[[#This Row],[Ventas meta ads]]</f>
        <v>0</v>
      </c>
      <c r="AD916" s="14">
        <f>IFERROR(TableDailySummary[[#This Row],[Ventas publicidad]]/TableDailySummary[[#This Row],[Inversión publicidad]],0)</f>
        <v>0</v>
      </c>
      <c r="AE916" s="14">
        <f>IFERROR(TableDailySummary[[#This Row],[Ventas primer cliente]]/TableDailySummary[[#This Row],[Inversión publicidad]],0)</f>
        <v>0</v>
      </c>
      <c r="AF916" s="14"/>
      <c r="AG916" s="11"/>
      <c r="AM916" s="11">
        <f>_xlfn.XLOOKUP(TableDailySummary[[#This Row],[Fecha]],SummaryDaily[day],SummaryDaily[net_sales_with_cost_recorded],0)</f>
        <v>0</v>
      </c>
      <c r="AN916" s="11">
        <f>_xlfn.XLOOKUP(TableDailySummary[[#This Row],[Fecha]],SummaryDaily[day],SummaryDaily[cost_of_goods_sold],0)</f>
        <v>0</v>
      </c>
      <c r="AO916" s="11">
        <f>_xlfn.XLOOKUP(TableDailySummary[[#This Row],[Fecha]],SummaryDaily[day],SummaryDaily[gross_profit],0)</f>
        <v>0</v>
      </c>
      <c r="AP916" s="18">
        <f>IFERROR(TableDailySummary[[#This Row],[Utilidad bruta]]/TableDailySummary[[#This Row],[Ventas netas con costo registrado]],0)</f>
        <v>0</v>
      </c>
    </row>
    <row r="917" spans="2:42" x14ac:dyDescent="0.2">
      <c r="B917" s="15" cm="1">
        <f t="array" ref="B917">ParamFechaInicioReporte + (ROW(TableDailySummary[#This Row]) - ROW(TableDailySummary[[#Headers],[Dia]]) - 1)</f>
        <v>45444</v>
      </c>
      <c r="C917" s="6">
        <f>TableDailySummary[[#This Row],[Dia]]</f>
        <v>45444</v>
      </c>
      <c r="D917" s="11">
        <f>_xlfn.XLOOKUP(TableDailySummary[[#This Row],[Fecha]],SummaryDaily[day],SummaryDaily[net_sales],0)</f>
        <v>0</v>
      </c>
      <c r="E917" s="11">
        <f>_xlfn.XLOOKUP(TableDailySummary[[#This Row],[Fecha]],SummaryDaily[day],SummaryDaily[orders],0)</f>
        <v>0</v>
      </c>
      <c r="F917" s="11">
        <f>_xlfn.XLOOKUP(TableDailySummary[[#This Row],[Fecha]],SummaryDaily[day],SummaryDaily[average_order_value],0)</f>
        <v>0</v>
      </c>
      <c r="G917" s="24" cm="1">
        <f t="array" ref="G917">_xlfn.XLOOKUP(TableDailySummary[[#This Row],[Fecha]]&amp;"Total site",ConversionRateByReferral[day]&amp;ConversionRateByReferral[referrer_source],ConversionRateByReferral[conversion_rate],0)</f>
        <v>0</v>
      </c>
      <c r="H917" s="11">
        <f>TableDailySummary[[#This Row],[Órden promedio totales]]*TableDailySummary[[#This Row],[CR totales]]</f>
        <v>0</v>
      </c>
      <c r="I917" s="11">
        <f>_xlfn.XLOOKUP(TableDailySummary[[#This Row],[Fecha]],SummaryDaily[day],SummaryDaily[new_net_sales],0)</f>
        <v>0</v>
      </c>
      <c r="J917" s="11">
        <f>_xlfn.XLOOKUP(TableDailySummary[[#This Row],[Fecha]],SummaryDaily[day],SummaryDaily[new_orders],0)</f>
        <v>0</v>
      </c>
      <c r="K917" s="11">
        <f>_xlfn.XLOOKUP(TableDailySummary[[#This Row],[Fecha]],SummaryDaily[day],SummaryDaily[new_average_order_value],0)</f>
        <v>0</v>
      </c>
      <c r="L917" s="11">
        <f>_xlfn.XLOOKUP(TableDailySummary[[#This Row],[Fecha]],SummaryDaily[day],SummaryDaily[Online Store_net_sales],0)</f>
        <v>0</v>
      </c>
      <c r="M917" s="11">
        <f>_xlfn.XLOOKUP(TableDailySummary[[#This Row],[Fecha]],SummaryDaily[day],SummaryDaily[Online Store_orders],0)</f>
        <v>0</v>
      </c>
      <c r="N917" s="11">
        <f>_xlfn.XLOOKUP(TableDailySummary[[#This Row],[Fecha]],SummaryDaily[day],SummaryDaily[Online Store_average_order_value],0)</f>
        <v>0</v>
      </c>
      <c r="O917" s="11">
        <f>_xlfn.XLOOKUP(TableDailySummary[[#This Row],[Fecha]],SummaryDaily[day],SummaryDaily[Tienda 81_net_sales],0)</f>
        <v>0</v>
      </c>
      <c r="P917" s="11">
        <f>_xlfn.XLOOKUP(TableDailySummary[[#This Row],[Fecha]],SummaryDaily[day],SummaryDaily[Tienda 81_orders],0)</f>
        <v>0</v>
      </c>
      <c r="Q917" s="11">
        <f>_xlfn.XLOOKUP(TableDailySummary[[#This Row],[Fecha]],SummaryDaily[day],SummaryDaily[Tienda 81_average_order_value],0)</f>
        <v>0</v>
      </c>
      <c r="R917" s="11">
        <f>_xlfn.XLOOKUP(TableDailySummary[[#This Row],[Fecha]],SummaryDaily[day],SummaryDaily[Rappi_net_sales],0)</f>
        <v>0</v>
      </c>
      <c r="S917" s="11">
        <f>_xlfn.XLOOKUP(TableDailySummary[[#This Row],[Fecha]],SummaryDaily[day],SummaryDaily[Rappi_orders],0)</f>
        <v>0</v>
      </c>
      <c r="T917" s="11">
        <f>_xlfn.XLOOKUP(TableDailySummary[[#This Row],[Fecha]],SummaryDaily[day],SummaryDaily[Rappi_average_order_value],0)</f>
        <v>0</v>
      </c>
      <c r="U917" s="11">
        <f>_xlfn.XLOOKUP(TableDailySummary[[#This Row],[Fecha]],SummaryDaily[day],SummaryDaily[Corporativo no tienda_net_sales],0)</f>
        <v>0</v>
      </c>
      <c r="V917" s="11">
        <f>_xlfn.XLOOKUP(TableDailySummary[[#This Row],[Fecha]],SummaryDaily[day],SummaryDaily[Corporativo no tienda_orders],0)</f>
        <v>0</v>
      </c>
      <c r="W917" s="11">
        <f>_xlfn.XLOOKUP(TableDailySummary[[#This Row],[Fecha]],SummaryDaily[day],SummaryDaily[Corporativo no tienda_average_order_value],0)</f>
        <v>0</v>
      </c>
      <c r="X917" s="11">
        <f>_xlfn.XLOOKUP(TableDailySummary[[#This Row],[Fecha]],SummaryDaily[day],SummaryDaily[GoogleAdsOperation.Cost],0)</f>
        <v>0</v>
      </c>
      <c r="Y917" s="11">
        <f>SUMIFS(SalesByUTMDaily[google],SalesByUTMDaily[day],TableDailySummary[[#This Row],[Fecha]])</f>
        <v>0</v>
      </c>
      <c r="Z917" s="11">
        <f>_xlfn.XLOOKUP(TableDailySummary[[#This Row],[Fecha]],SummaryDaily[day],SummaryDaily[MetaAdsOperation.spend],0)</f>
        <v>0</v>
      </c>
      <c r="AA917" s="11">
        <f>SUMIFS(SalesByUTMDaily[facebook],SalesByUTMDaily[day],TableDailySummary[[#This Row],[Fecha]])</f>
        <v>0</v>
      </c>
      <c r="AB917" s="11">
        <f>TableDailySummary[[#This Row],[Inversión google ads]]+TableDailySummary[[#This Row],[Inversión meta ads]]</f>
        <v>0</v>
      </c>
      <c r="AC917" s="11">
        <f>TableDailySummary[[#This Row],[Ventas google ads]]+TableDailySummary[[#This Row],[Ventas meta ads]]</f>
        <v>0</v>
      </c>
      <c r="AD917" s="14">
        <f>IFERROR(TableDailySummary[[#This Row],[Ventas publicidad]]/TableDailySummary[[#This Row],[Inversión publicidad]],0)</f>
        <v>0</v>
      </c>
      <c r="AE917" s="14">
        <f>IFERROR(TableDailySummary[[#This Row],[Ventas primer cliente]]/TableDailySummary[[#This Row],[Inversión publicidad]],0)</f>
        <v>0</v>
      </c>
      <c r="AF917" s="14"/>
      <c r="AG917" s="11"/>
      <c r="AM917" s="11">
        <f>_xlfn.XLOOKUP(TableDailySummary[[#This Row],[Fecha]],SummaryDaily[day],SummaryDaily[net_sales_with_cost_recorded],0)</f>
        <v>0</v>
      </c>
      <c r="AN917" s="11">
        <f>_xlfn.XLOOKUP(TableDailySummary[[#This Row],[Fecha]],SummaryDaily[day],SummaryDaily[cost_of_goods_sold],0)</f>
        <v>0</v>
      </c>
      <c r="AO917" s="11">
        <f>_xlfn.XLOOKUP(TableDailySummary[[#This Row],[Fecha]],SummaryDaily[day],SummaryDaily[gross_profit],0)</f>
        <v>0</v>
      </c>
      <c r="AP917" s="18">
        <f>IFERROR(TableDailySummary[[#This Row],[Utilidad bruta]]/TableDailySummary[[#This Row],[Ventas netas con costo registrado]],0)</f>
        <v>0</v>
      </c>
    </row>
    <row r="918" spans="2:42" x14ac:dyDescent="0.2">
      <c r="B918" s="15" cm="1">
        <f t="array" ref="B918">ParamFechaInicioReporte + (ROW(TableDailySummary[#This Row]) - ROW(TableDailySummary[[#Headers],[Dia]]) - 1)</f>
        <v>45445</v>
      </c>
      <c r="C918" s="6">
        <f>TableDailySummary[[#This Row],[Dia]]</f>
        <v>45445</v>
      </c>
      <c r="D918" s="11">
        <f>_xlfn.XLOOKUP(TableDailySummary[[#This Row],[Fecha]],SummaryDaily[day],SummaryDaily[net_sales],0)</f>
        <v>0</v>
      </c>
      <c r="E918" s="11">
        <f>_xlfn.XLOOKUP(TableDailySummary[[#This Row],[Fecha]],SummaryDaily[day],SummaryDaily[orders],0)</f>
        <v>0</v>
      </c>
      <c r="F918" s="11">
        <f>_xlfn.XLOOKUP(TableDailySummary[[#This Row],[Fecha]],SummaryDaily[day],SummaryDaily[average_order_value],0)</f>
        <v>0</v>
      </c>
      <c r="G918" s="24" cm="1">
        <f t="array" ref="G918">_xlfn.XLOOKUP(TableDailySummary[[#This Row],[Fecha]]&amp;"Total site",ConversionRateByReferral[day]&amp;ConversionRateByReferral[referrer_source],ConversionRateByReferral[conversion_rate],0)</f>
        <v>0</v>
      </c>
      <c r="H918" s="11">
        <f>TableDailySummary[[#This Row],[Órden promedio totales]]*TableDailySummary[[#This Row],[CR totales]]</f>
        <v>0</v>
      </c>
      <c r="I918" s="11">
        <f>_xlfn.XLOOKUP(TableDailySummary[[#This Row],[Fecha]],SummaryDaily[day],SummaryDaily[new_net_sales],0)</f>
        <v>0</v>
      </c>
      <c r="J918" s="11">
        <f>_xlfn.XLOOKUP(TableDailySummary[[#This Row],[Fecha]],SummaryDaily[day],SummaryDaily[new_orders],0)</f>
        <v>0</v>
      </c>
      <c r="K918" s="11">
        <f>_xlfn.XLOOKUP(TableDailySummary[[#This Row],[Fecha]],SummaryDaily[day],SummaryDaily[new_average_order_value],0)</f>
        <v>0</v>
      </c>
      <c r="L918" s="11">
        <f>_xlfn.XLOOKUP(TableDailySummary[[#This Row],[Fecha]],SummaryDaily[day],SummaryDaily[Online Store_net_sales],0)</f>
        <v>0</v>
      </c>
      <c r="M918" s="11">
        <f>_xlfn.XLOOKUP(TableDailySummary[[#This Row],[Fecha]],SummaryDaily[day],SummaryDaily[Online Store_orders],0)</f>
        <v>0</v>
      </c>
      <c r="N918" s="11">
        <f>_xlfn.XLOOKUP(TableDailySummary[[#This Row],[Fecha]],SummaryDaily[day],SummaryDaily[Online Store_average_order_value],0)</f>
        <v>0</v>
      </c>
      <c r="O918" s="11">
        <f>_xlfn.XLOOKUP(TableDailySummary[[#This Row],[Fecha]],SummaryDaily[day],SummaryDaily[Tienda 81_net_sales],0)</f>
        <v>0</v>
      </c>
      <c r="P918" s="11">
        <f>_xlfn.XLOOKUP(TableDailySummary[[#This Row],[Fecha]],SummaryDaily[day],SummaryDaily[Tienda 81_orders],0)</f>
        <v>0</v>
      </c>
      <c r="Q918" s="11">
        <f>_xlfn.XLOOKUP(TableDailySummary[[#This Row],[Fecha]],SummaryDaily[day],SummaryDaily[Tienda 81_average_order_value],0)</f>
        <v>0</v>
      </c>
      <c r="R918" s="11">
        <f>_xlfn.XLOOKUP(TableDailySummary[[#This Row],[Fecha]],SummaryDaily[day],SummaryDaily[Rappi_net_sales],0)</f>
        <v>0</v>
      </c>
      <c r="S918" s="11">
        <f>_xlfn.XLOOKUP(TableDailySummary[[#This Row],[Fecha]],SummaryDaily[day],SummaryDaily[Rappi_orders],0)</f>
        <v>0</v>
      </c>
      <c r="T918" s="11">
        <f>_xlfn.XLOOKUP(TableDailySummary[[#This Row],[Fecha]],SummaryDaily[day],SummaryDaily[Rappi_average_order_value],0)</f>
        <v>0</v>
      </c>
      <c r="U918" s="11">
        <f>_xlfn.XLOOKUP(TableDailySummary[[#This Row],[Fecha]],SummaryDaily[day],SummaryDaily[Corporativo no tienda_net_sales],0)</f>
        <v>0</v>
      </c>
      <c r="V918" s="11">
        <f>_xlfn.XLOOKUP(TableDailySummary[[#This Row],[Fecha]],SummaryDaily[day],SummaryDaily[Corporativo no tienda_orders],0)</f>
        <v>0</v>
      </c>
      <c r="W918" s="11">
        <f>_xlfn.XLOOKUP(TableDailySummary[[#This Row],[Fecha]],SummaryDaily[day],SummaryDaily[Corporativo no tienda_average_order_value],0)</f>
        <v>0</v>
      </c>
      <c r="X918" s="11">
        <f>_xlfn.XLOOKUP(TableDailySummary[[#This Row],[Fecha]],SummaryDaily[day],SummaryDaily[GoogleAdsOperation.Cost],0)</f>
        <v>0</v>
      </c>
      <c r="Y918" s="11">
        <f>SUMIFS(SalesByUTMDaily[google],SalesByUTMDaily[day],TableDailySummary[[#This Row],[Fecha]])</f>
        <v>0</v>
      </c>
      <c r="Z918" s="11">
        <f>_xlfn.XLOOKUP(TableDailySummary[[#This Row],[Fecha]],SummaryDaily[day],SummaryDaily[MetaAdsOperation.spend],0)</f>
        <v>0</v>
      </c>
      <c r="AA918" s="11">
        <f>SUMIFS(SalesByUTMDaily[facebook],SalesByUTMDaily[day],TableDailySummary[[#This Row],[Fecha]])</f>
        <v>0</v>
      </c>
      <c r="AB918" s="11">
        <f>TableDailySummary[[#This Row],[Inversión google ads]]+TableDailySummary[[#This Row],[Inversión meta ads]]</f>
        <v>0</v>
      </c>
      <c r="AC918" s="11">
        <f>TableDailySummary[[#This Row],[Ventas google ads]]+TableDailySummary[[#This Row],[Ventas meta ads]]</f>
        <v>0</v>
      </c>
      <c r="AD918" s="14">
        <f>IFERROR(TableDailySummary[[#This Row],[Ventas publicidad]]/TableDailySummary[[#This Row],[Inversión publicidad]],0)</f>
        <v>0</v>
      </c>
      <c r="AE918" s="14">
        <f>IFERROR(TableDailySummary[[#This Row],[Ventas primer cliente]]/TableDailySummary[[#This Row],[Inversión publicidad]],0)</f>
        <v>0</v>
      </c>
      <c r="AF918" s="14"/>
      <c r="AG918" s="11"/>
      <c r="AM918" s="11">
        <f>_xlfn.XLOOKUP(TableDailySummary[[#This Row],[Fecha]],SummaryDaily[day],SummaryDaily[net_sales_with_cost_recorded],0)</f>
        <v>0</v>
      </c>
      <c r="AN918" s="11">
        <f>_xlfn.XLOOKUP(TableDailySummary[[#This Row],[Fecha]],SummaryDaily[day],SummaryDaily[cost_of_goods_sold],0)</f>
        <v>0</v>
      </c>
      <c r="AO918" s="11">
        <f>_xlfn.XLOOKUP(TableDailySummary[[#This Row],[Fecha]],SummaryDaily[day],SummaryDaily[gross_profit],0)</f>
        <v>0</v>
      </c>
      <c r="AP918" s="18">
        <f>IFERROR(TableDailySummary[[#This Row],[Utilidad bruta]]/TableDailySummary[[#This Row],[Ventas netas con costo registrado]],0)</f>
        <v>0</v>
      </c>
    </row>
    <row r="919" spans="2:42" x14ac:dyDescent="0.2">
      <c r="B919" s="15" cm="1">
        <f t="array" ref="B919">ParamFechaInicioReporte + (ROW(TableDailySummary[#This Row]) - ROW(TableDailySummary[[#Headers],[Dia]]) - 1)</f>
        <v>45446</v>
      </c>
      <c r="C919" s="6">
        <f>TableDailySummary[[#This Row],[Dia]]</f>
        <v>45446</v>
      </c>
      <c r="D919" s="11">
        <f>_xlfn.XLOOKUP(TableDailySummary[[#This Row],[Fecha]],SummaryDaily[day],SummaryDaily[net_sales],0)</f>
        <v>0</v>
      </c>
      <c r="E919" s="11">
        <f>_xlfn.XLOOKUP(TableDailySummary[[#This Row],[Fecha]],SummaryDaily[day],SummaryDaily[orders],0)</f>
        <v>0</v>
      </c>
      <c r="F919" s="11">
        <f>_xlfn.XLOOKUP(TableDailySummary[[#This Row],[Fecha]],SummaryDaily[day],SummaryDaily[average_order_value],0)</f>
        <v>0</v>
      </c>
      <c r="G919" s="24" cm="1">
        <f t="array" ref="G919">_xlfn.XLOOKUP(TableDailySummary[[#This Row],[Fecha]]&amp;"Total site",ConversionRateByReferral[day]&amp;ConversionRateByReferral[referrer_source],ConversionRateByReferral[conversion_rate],0)</f>
        <v>0</v>
      </c>
      <c r="H919" s="11">
        <f>TableDailySummary[[#This Row],[Órden promedio totales]]*TableDailySummary[[#This Row],[CR totales]]</f>
        <v>0</v>
      </c>
      <c r="I919" s="11">
        <f>_xlfn.XLOOKUP(TableDailySummary[[#This Row],[Fecha]],SummaryDaily[day],SummaryDaily[new_net_sales],0)</f>
        <v>0</v>
      </c>
      <c r="J919" s="11">
        <f>_xlfn.XLOOKUP(TableDailySummary[[#This Row],[Fecha]],SummaryDaily[day],SummaryDaily[new_orders],0)</f>
        <v>0</v>
      </c>
      <c r="K919" s="11">
        <f>_xlfn.XLOOKUP(TableDailySummary[[#This Row],[Fecha]],SummaryDaily[day],SummaryDaily[new_average_order_value],0)</f>
        <v>0</v>
      </c>
      <c r="L919" s="11">
        <f>_xlfn.XLOOKUP(TableDailySummary[[#This Row],[Fecha]],SummaryDaily[day],SummaryDaily[Online Store_net_sales],0)</f>
        <v>0</v>
      </c>
      <c r="M919" s="11">
        <f>_xlfn.XLOOKUP(TableDailySummary[[#This Row],[Fecha]],SummaryDaily[day],SummaryDaily[Online Store_orders],0)</f>
        <v>0</v>
      </c>
      <c r="N919" s="11">
        <f>_xlfn.XLOOKUP(TableDailySummary[[#This Row],[Fecha]],SummaryDaily[day],SummaryDaily[Online Store_average_order_value],0)</f>
        <v>0</v>
      </c>
      <c r="O919" s="11">
        <f>_xlfn.XLOOKUP(TableDailySummary[[#This Row],[Fecha]],SummaryDaily[day],SummaryDaily[Tienda 81_net_sales],0)</f>
        <v>0</v>
      </c>
      <c r="P919" s="11">
        <f>_xlfn.XLOOKUP(TableDailySummary[[#This Row],[Fecha]],SummaryDaily[day],SummaryDaily[Tienda 81_orders],0)</f>
        <v>0</v>
      </c>
      <c r="Q919" s="11">
        <f>_xlfn.XLOOKUP(TableDailySummary[[#This Row],[Fecha]],SummaryDaily[day],SummaryDaily[Tienda 81_average_order_value],0)</f>
        <v>0</v>
      </c>
      <c r="R919" s="11">
        <f>_xlfn.XLOOKUP(TableDailySummary[[#This Row],[Fecha]],SummaryDaily[day],SummaryDaily[Rappi_net_sales],0)</f>
        <v>0</v>
      </c>
      <c r="S919" s="11">
        <f>_xlfn.XLOOKUP(TableDailySummary[[#This Row],[Fecha]],SummaryDaily[day],SummaryDaily[Rappi_orders],0)</f>
        <v>0</v>
      </c>
      <c r="T919" s="11">
        <f>_xlfn.XLOOKUP(TableDailySummary[[#This Row],[Fecha]],SummaryDaily[day],SummaryDaily[Rappi_average_order_value],0)</f>
        <v>0</v>
      </c>
      <c r="U919" s="11">
        <f>_xlfn.XLOOKUP(TableDailySummary[[#This Row],[Fecha]],SummaryDaily[day],SummaryDaily[Corporativo no tienda_net_sales],0)</f>
        <v>0</v>
      </c>
      <c r="V919" s="11">
        <f>_xlfn.XLOOKUP(TableDailySummary[[#This Row],[Fecha]],SummaryDaily[day],SummaryDaily[Corporativo no tienda_orders],0)</f>
        <v>0</v>
      </c>
      <c r="W919" s="11">
        <f>_xlfn.XLOOKUP(TableDailySummary[[#This Row],[Fecha]],SummaryDaily[day],SummaryDaily[Corporativo no tienda_average_order_value],0)</f>
        <v>0</v>
      </c>
      <c r="X919" s="11">
        <f>_xlfn.XLOOKUP(TableDailySummary[[#This Row],[Fecha]],SummaryDaily[day],SummaryDaily[GoogleAdsOperation.Cost],0)</f>
        <v>0</v>
      </c>
      <c r="Y919" s="11">
        <f>SUMIFS(SalesByUTMDaily[google],SalesByUTMDaily[day],TableDailySummary[[#This Row],[Fecha]])</f>
        <v>0</v>
      </c>
      <c r="Z919" s="11">
        <f>_xlfn.XLOOKUP(TableDailySummary[[#This Row],[Fecha]],SummaryDaily[day],SummaryDaily[MetaAdsOperation.spend],0)</f>
        <v>0</v>
      </c>
      <c r="AA919" s="11">
        <f>SUMIFS(SalesByUTMDaily[facebook],SalesByUTMDaily[day],TableDailySummary[[#This Row],[Fecha]])</f>
        <v>0</v>
      </c>
      <c r="AB919" s="11">
        <f>TableDailySummary[[#This Row],[Inversión google ads]]+TableDailySummary[[#This Row],[Inversión meta ads]]</f>
        <v>0</v>
      </c>
      <c r="AC919" s="11">
        <f>TableDailySummary[[#This Row],[Ventas google ads]]+TableDailySummary[[#This Row],[Ventas meta ads]]</f>
        <v>0</v>
      </c>
      <c r="AD919" s="14">
        <f>IFERROR(TableDailySummary[[#This Row],[Ventas publicidad]]/TableDailySummary[[#This Row],[Inversión publicidad]],0)</f>
        <v>0</v>
      </c>
      <c r="AE919" s="14">
        <f>IFERROR(TableDailySummary[[#This Row],[Ventas primer cliente]]/TableDailySummary[[#This Row],[Inversión publicidad]],0)</f>
        <v>0</v>
      </c>
      <c r="AF919" s="14"/>
      <c r="AG919" s="11"/>
      <c r="AM919" s="11">
        <f>_xlfn.XLOOKUP(TableDailySummary[[#This Row],[Fecha]],SummaryDaily[day],SummaryDaily[net_sales_with_cost_recorded],0)</f>
        <v>0</v>
      </c>
      <c r="AN919" s="11">
        <f>_xlfn.XLOOKUP(TableDailySummary[[#This Row],[Fecha]],SummaryDaily[day],SummaryDaily[cost_of_goods_sold],0)</f>
        <v>0</v>
      </c>
      <c r="AO919" s="11">
        <f>_xlfn.XLOOKUP(TableDailySummary[[#This Row],[Fecha]],SummaryDaily[day],SummaryDaily[gross_profit],0)</f>
        <v>0</v>
      </c>
      <c r="AP919" s="18">
        <f>IFERROR(TableDailySummary[[#This Row],[Utilidad bruta]]/TableDailySummary[[#This Row],[Ventas netas con costo registrado]],0)</f>
        <v>0</v>
      </c>
    </row>
    <row r="920" spans="2:42" x14ac:dyDescent="0.2">
      <c r="B920" s="15" cm="1">
        <f t="array" ref="B920">ParamFechaInicioReporte + (ROW(TableDailySummary[#This Row]) - ROW(TableDailySummary[[#Headers],[Dia]]) - 1)</f>
        <v>45447</v>
      </c>
      <c r="C920" s="6">
        <f>TableDailySummary[[#This Row],[Dia]]</f>
        <v>45447</v>
      </c>
      <c r="D920" s="11">
        <f>_xlfn.XLOOKUP(TableDailySummary[[#This Row],[Fecha]],SummaryDaily[day],SummaryDaily[net_sales],0)</f>
        <v>0</v>
      </c>
      <c r="E920" s="11">
        <f>_xlfn.XLOOKUP(TableDailySummary[[#This Row],[Fecha]],SummaryDaily[day],SummaryDaily[orders],0)</f>
        <v>0</v>
      </c>
      <c r="F920" s="11">
        <f>_xlfn.XLOOKUP(TableDailySummary[[#This Row],[Fecha]],SummaryDaily[day],SummaryDaily[average_order_value],0)</f>
        <v>0</v>
      </c>
      <c r="G920" s="24" cm="1">
        <f t="array" ref="G920">_xlfn.XLOOKUP(TableDailySummary[[#This Row],[Fecha]]&amp;"Total site",ConversionRateByReferral[day]&amp;ConversionRateByReferral[referrer_source],ConversionRateByReferral[conversion_rate],0)</f>
        <v>0</v>
      </c>
      <c r="H920" s="11">
        <f>TableDailySummary[[#This Row],[Órden promedio totales]]*TableDailySummary[[#This Row],[CR totales]]</f>
        <v>0</v>
      </c>
      <c r="I920" s="11">
        <f>_xlfn.XLOOKUP(TableDailySummary[[#This Row],[Fecha]],SummaryDaily[day],SummaryDaily[new_net_sales],0)</f>
        <v>0</v>
      </c>
      <c r="J920" s="11">
        <f>_xlfn.XLOOKUP(TableDailySummary[[#This Row],[Fecha]],SummaryDaily[day],SummaryDaily[new_orders],0)</f>
        <v>0</v>
      </c>
      <c r="K920" s="11">
        <f>_xlfn.XLOOKUP(TableDailySummary[[#This Row],[Fecha]],SummaryDaily[day],SummaryDaily[new_average_order_value],0)</f>
        <v>0</v>
      </c>
      <c r="L920" s="11">
        <f>_xlfn.XLOOKUP(TableDailySummary[[#This Row],[Fecha]],SummaryDaily[day],SummaryDaily[Online Store_net_sales],0)</f>
        <v>0</v>
      </c>
      <c r="M920" s="11">
        <f>_xlfn.XLOOKUP(TableDailySummary[[#This Row],[Fecha]],SummaryDaily[day],SummaryDaily[Online Store_orders],0)</f>
        <v>0</v>
      </c>
      <c r="N920" s="11">
        <f>_xlfn.XLOOKUP(TableDailySummary[[#This Row],[Fecha]],SummaryDaily[day],SummaryDaily[Online Store_average_order_value],0)</f>
        <v>0</v>
      </c>
      <c r="O920" s="11">
        <f>_xlfn.XLOOKUP(TableDailySummary[[#This Row],[Fecha]],SummaryDaily[day],SummaryDaily[Tienda 81_net_sales],0)</f>
        <v>0</v>
      </c>
      <c r="P920" s="11">
        <f>_xlfn.XLOOKUP(TableDailySummary[[#This Row],[Fecha]],SummaryDaily[day],SummaryDaily[Tienda 81_orders],0)</f>
        <v>0</v>
      </c>
      <c r="Q920" s="11">
        <f>_xlfn.XLOOKUP(TableDailySummary[[#This Row],[Fecha]],SummaryDaily[day],SummaryDaily[Tienda 81_average_order_value],0)</f>
        <v>0</v>
      </c>
      <c r="R920" s="11">
        <f>_xlfn.XLOOKUP(TableDailySummary[[#This Row],[Fecha]],SummaryDaily[day],SummaryDaily[Rappi_net_sales],0)</f>
        <v>0</v>
      </c>
      <c r="S920" s="11">
        <f>_xlfn.XLOOKUP(TableDailySummary[[#This Row],[Fecha]],SummaryDaily[day],SummaryDaily[Rappi_orders],0)</f>
        <v>0</v>
      </c>
      <c r="T920" s="11">
        <f>_xlfn.XLOOKUP(TableDailySummary[[#This Row],[Fecha]],SummaryDaily[day],SummaryDaily[Rappi_average_order_value],0)</f>
        <v>0</v>
      </c>
      <c r="U920" s="11">
        <f>_xlfn.XLOOKUP(TableDailySummary[[#This Row],[Fecha]],SummaryDaily[day],SummaryDaily[Corporativo no tienda_net_sales],0)</f>
        <v>0</v>
      </c>
      <c r="V920" s="11">
        <f>_xlfn.XLOOKUP(TableDailySummary[[#This Row],[Fecha]],SummaryDaily[day],SummaryDaily[Corporativo no tienda_orders],0)</f>
        <v>0</v>
      </c>
      <c r="W920" s="11">
        <f>_xlfn.XLOOKUP(TableDailySummary[[#This Row],[Fecha]],SummaryDaily[day],SummaryDaily[Corporativo no tienda_average_order_value],0)</f>
        <v>0</v>
      </c>
      <c r="X920" s="11">
        <f>_xlfn.XLOOKUP(TableDailySummary[[#This Row],[Fecha]],SummaryDaily[day],SummaryDaily[GoogleAdsOperation.Cost],0)</f>
        <v>0</v>
      </c>
      <c r="Y920" s="11">
        <f>SUMIFS(SalesByUTMDaily[google],SalesByUTMDaily[day],TableDailySummary[[#This Row],[Fecha]])</f>
        <v>0</v>
      </c>
      <c r="Z920" s="11">
        <f>_xlfn.XLOOKUP(TableDailySummary[[#This Row],[Fecha]],SummaryDaily[day],SummaryDaily[MetaAdsOperation.spend],0)</f>
        <v>0</v>
      </c>
      <c r="AA920" s="11">
        <f>SUMIFS(SalesByUTMDaily[facebook],SalesByUTMDaily[day],TableDailySummary[[#This Row],[Fecha]])</f>
        <v>0</v>
      </c>
      <c r="AB920" s="11">
        <f>TableDailySummary[[#This Row],[Inversión google ads]]+TableDailySummary[[#This Row],[Inversión meta ads]]</f>
        <v>0</v>
      </c>
      <c r="AC920" s="11">
        <f>TableDailySummary[[#This Row],[Ventas google ads]]+TableDailySummary[[#This Row],[Ventas meta ads]]</f>
        <v>0</v>
      </c>
      <c r="AD920" s="14">
        <f>IFERROR(TableDailySummary[[#This Row],[Ventas publicidad]]/TableDailySummary[[#This Row],[Inversión publicidad]],0)</f>
        <v>0</v>
      </c>
      <c r="AE920" s="14">
        <f>IFERROR(TableDailySummary[[#This Row],[Ventas primer cliente]]/TableDailySummary[[#This Row],[Inversión publicidad]],0)</f>
        <v>0</v>
      </c>
      <c r="AF920" s="14"/>
      <c r="AG920" s="11"/>
      <c r="AM920" s="11">
        <f>_xlfn.XLOOKUP(TableDailySummary[[#This Row],[Fecha]],SummaryDaily[day],SummaryDaily[net_sales_with_cost_recorded],0)</f>
        <v>0</v>
      </c>
      <c r="AN920" s="11">
        <f>_xlfn.XLOOKUP(TableDailySummary[[#This Row],[Fecha]],SummaryDaily[day],SummaryDaily[cost_of_goods_sold],0)</f>
        <v>0</v>
      </c>
      <c r="AO920" s="11">
        <f>_xlfn.XLOOKUP(TableDailySummary[[#This Row],[Fecha]],SummaryDaily[day],SummaryDaily[gross_profit],0)</f>
        <v>0</v>
      </c>
      <c r="AP920" s="18">
        <f>IFERROR(TableDailySummary[[#This Row],[Utilidad bruta]]/TableDailySummary[[#This Row],[Ventas netas con costo registrado]],0)</f>
        <v>0</v>
      </c>
    </row>
    <row r="921" spans="2:42" x14ac:dyDescent="0.2">
      <c r="B921" s="15" cm="1">
        <f t="array" ref="B921">ParamFechaInicioReporte + (ROW(TableDailySummary[#This Row]) - ROW(TableDailySummary[[#Headers],[Dia]]) - 1)</f>
        <v>45448</v>
      </c>
      <c r="C921" s="6">
        <f>TableDailySummary[[#This Row],[Dia]]</f>
        <v>45448</v>
      </c>
      <c r="D921" s="11">
        <f>_xlfn.XLOOKUP(TableDailySummary[[#This Row],[Fecha]],SummaryDaily[day],SummaryDaily[net_sales],0)</f>
        <v>0</v>
      </c>
      <c r="E921" s="11">
        <f>_xlfn.XLOOKUP(TableDailySummary[[#This Row],[Fecha]],SummaryDaily[day],SummaryDaily[orders],0)</f>
        <v>0</v>
      </c>
      <c r="F921" s="11">
        <f>_xlfn.XLOOKUP(TableDailySummary[[#This Row],[Fecha]],SummaryDaily[day],SummaryDaily[average_order_value],0)</f>
        <v>0</v>
      </c>
      <c r="G921" s="24" cm="1">
        <f t="array" ref="G921">_xlfn.XLOOKUP(TableDailySummary[[#This Row],[Fecha]]&amp;"Total site",ConversionRateByReferral[day]&amp;ConversionRateByReferral[referrer_source],ConversionRateByReferral[conversion_rate],0)</f>
        <v>0</v>
      </c>
      <c r="H921" s="11">
        <f>TableDailySummary[[#This Row],[Órden promedio totales]]*TableDailySummary[[#This Row],[CR totales]]</f>
        <v>0</v>
      </c>
      <c r="I921" s="11">
        <f>_xlfn.XLOOKUP(TableDailySummary[[#This Row],[Fecha]],SummaryDaily[day],SummaryDaily[new_net_sales],0)</f>
        <v>0</v>
      </c>
      <c r="J921" s="11">
        <f>_xlfn.XLOOKUP(TableDailySummary[[#This Row],[Fecha]],SummaryDaily[day],SummaryDaily[new_orders],0)</f>
        <v>0</v>
      </c>
      <c r="K921" s="11">
        <f>_xlfn.XLOOKUP(TableDailySummary[[#This Row],[Fecha]],SummaryDaily[day],SummaryDaily[new_average_order_value],0)</f>
        <v>0</v>
      </c>
      <c r="L921" s="11">
        <f>_xlfn.XLOOKUP(TableDailySummary[[#This Row],[Fecha]],SummaryDaily[day],SummaryDaily[Online Store_net_sales],0)</f>
        <v>0</v>
      </c>
      <c r="M921" s="11">
        <f>_xlfn.XLOOKUP(TableDailySummary[[#This Row],[Fecha]],SummaryDaily[day],SummaryDaily[Online Store_orders],0)</f>
        <v>0</v>
      </c>
      <c r="N921" s="11">
        <f>_xlfn.XLOOKUP(TableDailySummary[[#This Row],[Fecha]],SummaryDaily[day],SummaryDaily[Online Store_average_order_value],0)</f>
        <v>0</v>
      </c>
      <c r="O921" s="11">
        <f>_xlfn.XLOOKUP(TableDailySummary[[#This Row],[Fecha]],SummaryDaily[day],SummaryDaily[Tienda 81_net_sales],0)</f>
        <v>0</v>
      </c>
      <c r="P921" s="11">
        <f>_xlfn.XLOOKUP(TableDailySummary[[#This Row],[Fecha]],SummaryDaily[day],SummaryDaily[Tienda 81_orders],0)</f>
        <v>0</v>
      </c>
      <c r="Q921" s="11">
        <f>_xlfn.XLOOKUP(TableDailySummary[[#This Row],[Fecha]],SummaryDaily[day],SummaryDaily[Tienda 81_average_order_value],0)</f>
        <v>0</v>
      </c>
      <c r="R921" s="11">
        <f>_xlfn.XLOOKUP(TableDailySummary[[#This Row],[Fecha]],SummaryDaily[day],SummaryDaily[Rappi_net_sales],0)</f>
        <v>0</v>
      </c>
      <c r="S921" s="11">
        <f>_xlfn.XLOOKUP(TableDailySummary[[#This Row],[Fecha]],SummaryDaily[day],SummaryDaily[Rappi_orders],0)</f>
        <v>0</v>
      </c>
      <c r="T921" s="11">
        <f>_xlfn.XLOOKUP(TableDailySummary[[#This Row],[Fecha]],SummaryDaily[day],SummaryDaily[Rappi_average_order_value],0)</f>
        <v>0</v>
      </c>
      <c r="U921" s="11">
        <f>_xlfn.XLOOKUP(TableDailySummary[[#This Row],[Fecha]],SummaryDaily[day],SummaryDaily[Corporativo no tienda_net_sales],0)</f>
        <v>0</v>
      </c>
      <c r="V921" s="11">
        <f>_xlfn.XLOOKUP(TableDailySummary[[#This Row],[Fecha]],SummaryDaily[day],SummaryDaily[Corporativo no tienda_orders],0)</f>
        <v>0</v>
      </c>
      <c r="W921" s="11">
        <f>_xlfn.XLOOKUP(TableDailySummary[[#This Row],[Fecha]],SummaryDaily[day],SummaryDaily[Corporativo no tienda_average_order_value],0)</f>
        <v>0</v>
      </c>
      <c r="X921" s="11">
        <f>_xlfn.XLOOKUP(TableDailySummary[[#This Row],[Fecha]],SummaryDaily[day],SummaryDaily[GoogleAdsOperation.Cost],0)</f>
        <v>0</v>
      </c>
      <c r="Y921" s="11">
        <f>SUMIFS(SalesByUTMDaily[google],SalesByUTMDaily[day],TableDailySummary[[#This Row],[Fecha]])</f>
        <v>0</v>
      </c>
      <c r="Z921" s="11">
        <f>_xlfn.XLOOKUP(TableDailySummary[[#This Row],[Fecha]],SummaryDaily[day],SummaryDaily[MetaAdsOperation.spend],0)</f>
        <v>0</v>
      </c>
      <c r="AA921" s="11">
        <f>SUMIFS(SalesByUTMDaily[facebook],SalesByUTMDaily[day],TableDailySummary[[#This Row],[Fecha]])</f>
        <v>0</v>
      </c>
      <c r="AB921" s="11">
        <f>TableDailySummary[[#This Row],[Inversión google ads]]+TableDailySummary[[#This Row],[Inversión meta ads]]</f>
        <v>0</v>
      </c>
      <c r="AC921" s="11">
        <f>TableDailySummary[[#This Row],[Ventas google ads]]+TableDailySummary[[#This Row],[Ventas meta ads]]</f>
        <v>0</v>
      </c>
      <c r="AD921" s="14">
        <f>IFERROR(TableDailySummary[[#This Row],[Ventas publicidad]]/TableDailySummary[[#This Row],[Inversión publicidad]],0)</f>
        <v>0</v>
      </c>
      <c r="AE921" s="14">
        <f>IFERROR(TableDailySummary[[#This Row],[Ventas primer cliente]]/TableDailySummary[[#This Row],[Inversión publicidad]],0)</f>
        <v>0</v>
      </c>
      <c r="AF921" s="14"/>
      <c r="AG921" s="11"/>
      <c r="AM921" s="11">
        <f>_xlfn.XLOOKUP(TableDailySummary[[#This Row],[Fecha]],SummaryDaily[day],SummaryDaily[net_sales_with_cost_recorded],0)</f>
        <v>0</v>
      </c>
      <c r="AN921" s="11">
        <f>_xlfn.XLOOKUP(TableDailySummary[[#This Row],[Fecha]],SummaryDaily[day],SummaryDaily[cost_of_goods_sold],0)</f>
        <v>0</v>
      </c>
      <c r="AO921" s="11">
        <f>_xlfn.XLOOKUP(TableDailySummary[[#This Row],[Fecha]],SummaryDaily[day],SummaryDaily[gross_profit],0)</f>
        <v>0</v>
      </c>
      <c r="AP921" s="18">
        <f>IFERROR(TableDailySummary[[#This Row],[Utilidad bruta]]/TableDailySummary[[#This Row],[Ventas netas con costo registrado]],0)</f>
        <v>0</v>
      </c>
    </row>
    <row r="922" spans="2:42" x14ac:dyDescent="0.2">
      <c r="B922" s="15" cm="1">
        <f t="array" ref="B922">ParamFechaInicioReporte + (ROW(TableDailySummary[#This Row]) - ROW(TableDailySummary[[#Headers],[Dia]]) - 1)</f>
        <v>45449</v>
      </c>
      <c r="C922" s="6">
        <f>TableDailySummary[[#This Row],[Dia]]</f>
        <v>45449</v>
      </c>
      <c r="D922" s="11">
        <f>_xlfn.XLOOKUP(TableDailySummary[[#This Row],[Fecha]],SummaryDaily[day],SummaryDaily[net_sales],0)</f>
        <v>0</v>
      </c>
      <c r="E922" s="11">
        <f>_xlfn.XLOOKUP(TableDailySummary[[#This Row],[Fecha]],SummaryDaily[day],SummaryDaily[orders],0)</f>
        <v>0</v>
      </c>
      <c r="F922" s="11">
        <f>_xlfn.XLOOKUP(TableDailySummary[[#This Row],[Fecha]],SummaryDaily[day],SummaryDaily[average_order_value],0)</f>
        <v>0</v>
      </c>
      <c r="G922" s="24" cm="1">
        <f t="array" ref="G922">_xlfn.XLOOKUP(TableDailySummary[[#This Row],[Fecha]]&amp;"Total site",ConversionRateByReferral[day]&amp;ConversionRateByReferral[referrer_source],ConversionRateByReferral[conversion_rate],0)</f>
        <v>0</v>
      </c>
      <c r="H922" s="11">
        <f>TableDailySummary[[#This Row],[Órden promedio totales]]*TableDailySummary[[#This Row],[CR totales]]</f>
        <v>0</v>
      </c>
      <c r="I922" s="11">
        <f>_xlfn.XLOOKUP(TableDailySummary[[#This Row],[Fecha]],SummaryDaily[day],SummaryDaily[new_net_sales],0)</f>
        <v>0</v>
      </c>
      <c r="J922" s="11">
        <f>_xlfn.XLOOKUP(TableDailySummary[[#This Row],[Fecha]],SummaryDaily[day],SummaryDaily[new_orders],0)</f>
        <v>0</v>
      </c>
      <c r="K922" s="11">
        <f>_xlfn.XLOOKUP(TableDailySummary[[#This Row],[Fecha]],SummaryDaily[day],SummaryDaily[new_average_order_value],0)</f>
        <v>0</v>
      </c>
      <c r="L922" s="11">
        <f>_xlfn.XLOOKUP(TableDailySummary[[#This Row],[Fecha]],SummaryDaily[day],SummaryDaily[Online Store_net_sales],0)</f>
        <v>0</v>
      </c>
      <c r="M922" s="11">
        <f>_xlfn.XLOOKUP(TableDailySummary[[#This Row],[Fecha]],SummaryDaily[day],SummaryDaily[Online Store_orders],0)</f>
        <v>0</v>
      </c>
      <c r="N922" s="11">
        <f>_xlfn.XLOOKUP(TableDailySummary[[#This Row],[Fecha]],SummaryDaily[day],SummaryDaily[Online Store_average_order_value],0)</f>
        <v>0</v>
      </c>
      <c r="O922" s="11">
        <f>_xlfn.XLOOKUP(TableDailySummary[[#This Row],[Fecha]],SummaryDaily[day],SummaryDaily[Tienda 81_net_sales],0)</f>
        <v>0</v>
      </c>
      <c r="P922" s="11">
        <f>_xlfn.XLOOKUP(TableDailySummary[[#This Row],[Fecha]],SummaryDaily[day],SummaryDaily[Tienda 81_orders],0)</f>
        <v>0</v>
      </c>
      <c r="Q922" s="11">
        <f>_xlfn.XLOOKUP(TableDailySummary[[#This Row],[Fecha]],SummaryDaily[day],SummaryDaily[Tienda 81_average_order_value],0)</f>
        <v>0</v>
      </c>
      <c r="R922" s="11">
        <f>_xlfn.XLOOKUP(TableDailySummary[[#This Row],[Fecha]],SummaryDaily[day],SummaryDaily[Rappi_net_sales],0)</f>
        <v>0</v>
      </c>
      <c r="S922" s="11">
        <f>_xlfn.XLOOKUP(TableDailySummary[[#This Row],[Fecha]],SummaryDaily[day],SummaryDaily[Rappi_orders],0)</f>
        <v>0</v>
      </c>
      <c r="T922" s="11">
        <f>_xlfn.XLOOKUP(TableDailySummary[[#This Row],[Fecha]],SummaryDaily[day],SummaryDaily[Rappi_average_order_value],0)</f>
        <v>0</v>
      </c>
      <c r="U922" s="11">
        <f>_xlfn.XLOOKUP(TableDailySummary[[#This Row],[Fecha]],SummaryDaily[day],SummaryDaily[Corporativo no tienda_net_sales],0)</f>
        <v>0</v>
      </c>
      <c r="V922" s="11">
        <f>_xlfn.XLOOKUP(TableDailySummary[[#This Row],[Fecha]],SummaryDaily[day],SummaryDaily[Corporativo no tienda_orders],0)</f>
        <v>0</v>
      </c>
      <c r="W922" s="11">
        <f>_xlfn.XLOOKUP(TableDailySummary[[#This Row],[Fecha]],SummaryDaily[day],SummaryDaily[Corporativo no tienda_average_order_value],0)</f>
        <v>0</v>
      </c>
      <c r="X922" s="11">
        <f>_xlfn.XLOOKUP(TableDailySummary[[#This Row],[Fecha]],SummaryDaily[day],SummaryDaily[GoogleAdsOperation.Cost],0)</f>
        <v>0</v>
      </c>
      <c r="Y922" s="11">
        <f>SUMIFS(SalesByUTMDaily[google],SalesByUTMDaily[day],TableDailySummary[[#This Row],[Fecha]])</f>
        <v>0</v>
      </c>
      <c r="Z922" s="11">
        <f>_xlfn.XLOOKUP(TableDailySummary[[#This Row],[Fecha]],SummaryDaily[day],SummaryDaily[MetaAdsOperation.spend],0)</f>
        <v>0</v>
      </c>
      <c r="AA922" s="11">
        <f>SUMIFS(SalesByUTMDaily[facebook],SalesByUTMDaily[day],TableDailySummary[[#This Row],[Fecha]])</f>
        <v>0</v>
      </c>
      <c r="AB922" s="11">
        <f>TableDailySummary[[#This Row],[Inversión google ads]]+TableDailySummary[[#This Row],[Inversión meta ads]]</f>
        <v>0</v>
      </c>
      <c r="AC922" s="11">
        <f>TableDailySummary[[#This Row],[Ventas google ads]]+TableDailySummary[[#This Row],[Ventas meta ads]]</f>
        <v>0</v>
      </c>
      <c r="AD922" s="14">
        <f>IFERROR(TableDailySummary[[#This Row],[Ventas publicidad]]/TableDailySummary[[#This Row],[Inversión publicidad]],0)</f>
        <v>0</v>
      </c>
      <c r="AE922" s="14">
        <f>IFERROR(TableDailySummary[[#This Row],[Ventas primer cliente]]/TableDailySummary[[#This Row],[Inversión publicidad]],0)</f>
        <v>0</v>
      </c>
      <c r="AF922" s="14"/>
      <c r="AG922" s="11"/>
      <c r="AM922" s="11">
        <f>_xlfn.XLOOKUP(TableDailySummary[[#This Row],[Fecha]],SummaryDaily[day],SummaryDaily[net_sales_with_cost_recorded],0)</f>
        <v>0</v>
      </c>
      <c r="AN922" s="11">
        <f>_xlfn.XLOOKUP(TableDailySummary[[#This Row],[Fecha]],SummaryDaily[day],SummaryDaily[cost_of_goods_sold],0)</f>
        <v>0</v>
      </c>
      <c r="AO922" s="11">
        <f>_xlfn.XLOOKUP(TableDailySummary[[#This Row],[Fecha]],SummaryDaily[day],SummaryDaily[gross_profit],0)</f>
        <v>0</v>
      </c>
      <c r="AP922" s="18">
        <f>IFERROR(TableDailySummary[[#This Row],[Utilidad bruta]]/TableDailySummary[[#This Row],[Ventas netas con costo registrado]],0)</f>
        <v>0</v>
      </c>
    </row>
    <row r="923" spans="2:42" x14ac:dyDescent="0.2">
      <c r="B923" s="15" cm="1">
        <f t="array" ref="B923">ParamFechaInicioReporte + (ROW(TableDailySummary[#This Row]) - ROW(TableDailySummary[[#Headers],[Dia]]) - 1)</f>
        <v>45450</v>
      </c>
      <c r="C923" s="6">
        <f>TableDailySummary[[#This Row],[Dia]]</f>
        <v>45450</v>
      </c>
      <c r="D923" s="11">
        <f>_xlfn.XLOOKUP(TableDailySummary[[#This Row],[Fecha]],SummaryDaily[day],SummaryDaily[net_sales],0)</f>
        <v>0</v>
      </c>
      <c r="E923" s="11">
        <f>_xlfn.XLOOKUP(TableDailySummary[[#This Row],[Fecha]],SummaryDaily[day],SummaryDaily[orders],0)</f>
        <v>0</v>
      </c>
      <c r="F923" s="11">
        <f>_xlfn.XLOOKUP(TableDailySummary[[#This Row],[Fecha]],SummaryDaily[day],SummaryDaily[average_order_value],0)</f>
        <v>0</v>
      </c>
      <c r="G923" s="24" cm="1">
        <f t="array" ref="G923">_xlfn.XLOOKUP(TableDailySummary[[#This Row],[Fecha]]&amp;"Total site",ConversionRateByReferral[day]&amp;ConversionRateByReferral[referrer_source],ConversionRateByReferral[conversion_rate],0)</f>
        <v>0</v>
      </c>
      <c r="H923" s="11">
        <f>TableDailySummary[[#This Row],[Órden promedio totales]]*TableDailySummary[[#This Row],[CR totales]]</f>
        <v>0</v>
      </c>
      <c r="I923" s="11">
        <f>_xlfn.XLOOKUP(TableDailySummary[[#This Row],[Fecha]],SummaryDaily[day],SummaryDaily[new_net_sales],0)</f>
        <v>0</v>
      </c>
      <c r="J923" s="11">
        <f>_xlfn.XLOOKUP(TableDailySummary[[#This Row],[Fecha]],SummaryDaily[day],SummaryDaily[new_orders],0)</f>
        <v>0</v>
      </c>
      <c r="K923" s="11">
        <f>_xlfn.XLOOKUP(TableDailySummary[[#This Row],[Fecha]],SummaryDaily[day],SummaryDaily[new_average_order_value],0)</f>
        <v>0</v>
      </c>
      <c r="L923" s="11">
        <f>_xlfn.XLOOKUP(TableDailySummary[[#This Row],[Fecha]],SummaryDaily[day],SummaryDaily[Online Store_net_sales],0)</f>
        <v>0</v>
      </c>
      <c r="M923" s="11">
        <f>_xlfn.XLOOKUP(TableDailySummary[[#This Row],[Fecha]],SummaryDaily[day],SummaryDaily[Online Store_orders],0)</f>
        <v>0</v>
      </c>
      <c r="N923" s="11">
        <f>_xlfn.XLOOKUP(TableDailySummary[[#This Row],[Fecha]],SummaryDaily[day],SummaryDaily[Online Store_average_order_value],0)</f>
        <v>0</v>
      </c>
      <c r="O923" s="11">
        <f>_xlfn.XLOOKUP(TableDailySummary[[#This Row],[Fecha]],SummaryDaily[day],SummaryDaily[Tienda 81_net_sales],0)</f>
        <v>0</v>
      </c>
      <c r="P923" s="11">
        <f>_xlfn.XLOOKUP(TableDailySummary[[#This Row],[Fecha]],SummaryDaily[day],SummaryDaily[Tienda 81_orders],0)</f>
        <v>0</v>
      </c>
      <c r="Q923" s="11">
        <f>_xlfn.XLOOKUP(TableDailySummary[[#This Row],[Fecha]],SummaryDaily[day],SummaryDaily[Tienda 81_average_order_value],0)</f>
        <v>0</v>
      </c>
      <c r="R923" s="11">
        <f>_xlfn.XLOOKUP(TableDailySummary[[#This Row],[Fecha]],SummaryDaily[day],SummaryDaily[Rappi_net_sales],0)</f>
        <v>0</v>
      </c>
      <c r="S923" s="11">
        <f>_xlfn.XLOOKUP(TableDailySummary[[#This Row],[Fecha]],SummaryDaily[day],SummaryDaily[Rappi_orders],0)</f>
        <v>0</v>
      </c>
      <c r="T923" s="11">
        <f>_xlfn.XLOOKUP(TableDailySummary[[#This Row],[Fecha]],SummaryDaily[day],SummaryDaily[Rappi_average_order_value],0)</f>
        <v>0</v>
      </c>
      <c r="U923" s="11">
        <f>_xlfn.XLOOKUP(TableDailySummary[[#This Row],[Fecha]],SummaryDaily[day],SummaryDaily[Corporativo no tienda_net_sales],0)</f>
        <v>0</v>
      </c>
      <c r="V923" s="11">
        <f>_xlfn.XLOOKUP(TableDailySummary[[#This Row],[Fecha]],SummaryDaily[day],SummaryDaily[Corporativo no tienda_orders],0)</f>
        <v>0</v>
      </c>
      <c r="W923" s="11">
        <f>_xlfn.XLOOKUP(TableDailySummary[[#This Row],[Fecha]],SummaryDaily[day],SummaryDaily[Corporativo no tienda_average_order_value],0)</f>
        <v>0</v>
      </c>
      <c r="X923" s="11">
        <f>_xlfn.XLOOKUP(TableDailySummary[[#This Row],[Fecha]],SummaryDaily[day],SummaryDaily[GoogleAdsOperation.Cost],0)</f>
        <v>0</v>
      </c>
      <c r="Y923" s="11">
        <f>SUMIFS(SalesByUTMDaily[google],SalesByUTMDaily[day],TableDailySummary[[#This Row],[Fecha]])</f>
        <v>0</v>
      </c>
      <c r="Z923" s="11">
        <f>_xlfn.XLOOKUP(TableDailySummary[[#This Row],[Fecha]],SummaryDaily[day],SummaryDaily[MetaAdsOperation.spend],0)</f>
        <v>0</v>
      </c>
      <c r="AA923" s="11">
        <f>SUMIFS(SalesByUTMDaily[facebook],SalesByUTMDaily[day],TableDailySummary[[#This Row],[Fecha]])</f>
        <v>0</v>
      </c>
      <c r="AB923" s="11">
        <f>TableDailySummary[[#This Row],[Inversión google ads]]+TableDailySummary[[#This Row],[Inversión meta ads]]</f>
        <v>0</v>
      </c>
      <c r="AC923" s="11">
        <f>TableDailySummary[[#This Row],[Ventas google ads]]+TableDailySummary[[#This Row],[Ventas meta ads]]</f>
        <v>0</v>
      </c>
      <c r="AD923" s="14">
        <f>IFERROR(TableDailySummary[[#This Row],[Ventas publicidad]]/TableDailySummary[[#This Row],[Inversión publicidad]],0)</f>
        <v>0</v>
      </c>
      <c r="AE923" s="14">
        <f>IFERROR(TableDailySummary[[#This Row],[Ventas primer cliente]]/TableDailySummary[[#This Row],[Inversión publicidad]],0)</f>
        <v>0</v>
      </c>
      <c r="AF923" s="14"/>
      <c r="AG923" s="11"/>
      <c r="AM923" s="11">
        <f>_xlfn.XLOOKUP(TableDailySummary[[#This Row],[Fecha]],SummaryDaily[day],SummaryDaily[net_sales_with_cost_recorded],0)</f>
        <v>0</v>
      </c>
      <c r="AN923" s="11">
        <f>_xlfn.XLOOKUP(TableDailySummary[[#This Row],[Fecha]],SummaryDaily[day],SummaryDaily[cost_of_goods_sold],0)</f>
        <v>0</v>
      </c>
      <c r="AO923" s="11">
        <f>_xlfn.XLOOKUP(TableDailySummary[[#This Row],[Fecha]],SummaryDaily[day],SummaryDaily[gross_profit],0)</f>
        <v>0</v>
      </c>
      <c r="AP923" s="18">
        <f>IFERROR(TableDailySummary[[#This Row],[Utilidad bruta]]/TableDailySummary[[#This Row],[Ventas netas con costo registrado]],0)</f>
        <v>0</v>
      </c>
    </row>
    <row r="924" spans="2:42" x14ac:dyDescent="0.2">
      <c r="B924" s="15" cm="1">
        <f t="array" ref="B924">ParamFechaInicioReporte + (ROW(TableDailySummary[#This Row]) - ROW(TableDailySummary[[#Headers],[Dia]]) - 1)</f>
        <v>45451</v>
      </c>
      <c r="C924" s="6">
        <f>TableDailySummary[[#This Row],[Dia]]</f>
        <v>45451</v>
      </c>
      <c r="D924" s="11">
        <f>_xlfn.XLOOKUP(TableDailySummary[[#This Row],[Fecha]],SummaryDaily[day],SummaryDaily[net_sales],0)</f>
        <v>0</v>
      </c>
      <c r="E924" s="11">
        <f>_xlfn.XLOOKUP(TableDailySummary[[#This Row],[Fecha]],SummaryDaily[day],SummaryDaily[orders],0)</f>
        <v>0</v>
      </c>
      <c r="F924" s="11">
        <f>_xlfn.XLOOKUP(TableDailySummary[[#This Row],[Fecha]],SummaryDaily[day],SummaryDaily[average_order_value],0)</f>
        <v>0</v>
      </c>
      <c r="G924" s="24" cm="1">
        <f t="array" ref="G924">_xlfn.XLOOKUP(TableDailySummary[[#This Row],[Fecha]]&amp;"Total site",ConversionRateByReferral[day]&amp;ConversionRateByReferral[referrer_source],ConversionRateByReferral[conversion_rate],0)</f>
        <v>0</v>
      </c>
      <c r="H924" s="11">
        <f>TableDailySummary[[#This Row],[Órden promedio totales]]*TableDailySummary[[#This Row],[CR totales]]</f>
        <v>0</v>
      </c>
      <c r="I924" s="11">
        <f>_xlfn.XLOOKUP(TableDailySummary[[#This Row],[Fecha]],SummaryDaily[day],SummaryDaily[new_net_sales],0)</f>
        <v>0</v>
      </c>
      <c r="J924" s="11">
        <f>_xlfn.XLOOKUP(TableDailySummary[[#This Row],[Fecha]],SummaryDaily[day],SummaryDaily[new_orders],0)</f>
        <v>0</v>
      </c>
      <c r="K924" s="11">
        <f>_xlfn.XLOOKUP(TableDailySummary[[#This Row],[Fecha]],SummaryDaily[day],SummaryDaily[new_average_order_value],0)</f>
        <v>0</v>
      </c>
      <c r="L924" s="11">
        <f>_xlfn.XLOOKUP(TableDailySummary[[#This Row],[Fecha]],SummaryDaily[day],SummaryDaily[Online Store_net_sales],0)</f>
        <v>0</v>
      </c>
      <c r="M924" s="11">
        <f>_xlfn.XLOOKUP(TableDailySummary[[#This Row],[Fecha]],SummaryDaily[day],SummaryDaily[Online Store_orders],0)</f>
        <v>0</v>
      </c>
      <c r="N924" s="11">
        <f>_xlfn.XLOOKUP(TableDailySummary[[#This Row],[Fecha]],SummaryDaily[day],SummaryDaily[Online Store_average_order_value],0)</f>
        <v>0</v>
      </c>
      <c r="O924" s="11">
        <f>_xlfn.XLOOKUP(TableDailySummary[[#This Row],[Fecha]],SummaryDaily[day],SummaryDaily[Tienda 81_net_sales],0)</f>
        <v>0</v>
      </c>
      <c r="P924" s="11">
        <f>_xlfn.XLOOKUP(TableDailySummary[[#This Row],[Fecha]],SummaryDaily[day],SummaryDaily[Tienda 81_orders],0)</f>
        <v>0</v>
      </c>
      <c r="Q924" s="11">
        <f>_xlfn.XLOOKUP(TableDailySummary[[#This Row],[Fecha]],SummaryDaily[day],SummaryDaily[Tienda 81_average_order_value],0)</f>
        <v>0</v>
      </c>
      <c r="R924" s="11">
        <f>_xlfn.XLOOKUP(TableDailySummary[[#This Row],[Fecha]],SummaryDaily[day],SummaryDaily[Rappi_net_sales],0)</f>
        <v>0</v>
      </c>
      <c r="S924" s="11">
        <f>_xlfn.XLOOKUP(TableDailySummary[[#This Row],[Fecha]],SummaryDaily[day],SummaryDaily[Rappi_orders],0)</f>
        <v>0</v>
      </c>
      <c r="T924" s="11">
        <f>_xlfn.XLOOKUP(TableDailySummary[[#This Row],[Fecha]],SummaryDaily[day],SummaryDaily[Rappi_average_order_value],0)</f>
        <v>0</v>
      </c>
      <c r="U924" s="11">
        <f>_xlfn.XLOOKUP(TableDailySummary[[#This Row],[Fecha]],SummaryDaily[day],SummaryDaily[Corporativo no tienda_net_sales],0)</f>
        <v>0</v>
      </c>
      <c r="V924" s="11">
        <f>_xlfn.XLOOKUP(TableDailySummary[[#This Row],[Fecha]],SummaryDaily[day],SummaryDaily[Corporativo no tienda_orders],0)</f>
        <v>0</v>
      </c>
      <c r="W924" s="11">
        <f>_xlfn.XLOOKUP(TableDailySummary[[#This Row],[Fecha]],SummaryDaily[day],SummaryDaily[Corporativo no tienda_average_order_value],0)</f>
        <v>0</v>
      </c>
      <c r="X924" s="11">
        <f>_xlfn.XLOOKUP(TableDailySummary[[#This Row],[Fecha]],SummaryDaily[day],SummaryDaily[GoogleAdsOperation.Cost],0)</f>
        <v>0</v>
      </c>
      <c r="Y924" s="11">
        <f>SUMIFS(SalesByUTMDaily[google],SalesByUTMDaily[day],TableDailySummary[[#This Row],[Fecha]])</f>
        <v>0</v>
      </c>
      <c r="Z924" s="11">
        <f>_xlfn.XLOOKUP(TableDailySummary[[#This Row],[Fecha]],SummaryDaily[day],SummaryDaily[MetaAdsOperation.spend],0)</f>
        <v>0</v>
      </c>
      <c r="AA924" s="11">
        <f>SUMIFS(SalesByUTMDaily[facebook],SalesByUTMDaily[day],TableDailySummary[[#This Row],[Fecha]])</f>
        <v>0</v>
      </c>
      <c r="AB924" s="11">
        <f>TableDailySummary[[#This Row],[Inversión google ads]]+TableDailySummary[[#This Row],[Inversión meta ads]]</f>
        <v>0</v>
      </c>
      <c r="AC924" s="11">
        <f>TableDailySummary[[#This Row],[Ventas google ads]]+TableDailySummary[[#This Row],[Ventas meta ads]]</f>
        <v>0</v>
      </c>
      <c r="AD924" s="14">
        <f>IFERROR(TableDailySummary[[#This Row],[Ventas publicidad]]/TableDailySummary[[#This Row],[Inversión publicidad]],0)</f>
        <v>0</v>
      </c>
      <c r="AE924" s="14">
        <f>IFERROR(TableDailySummary[[#This Row],[Ventas primer cliente]]/TableDailySummary[[#This Row],[Inversión publicidad]],0)</f>
        <v>0</v>
      </c>
      <c r="AF924" s="14"/>
      <c r="AG924" s="11"/>
      <c r="AM924" s="11">
        <f>_xlfn.XLOOKUP(TableDailySummary[[#This Row],[Fecha]],SummaryDaily[day],SummaryDaily[net_sales_with_cost_recorded],0)</f>
        <v>0</v>
      </c>
      <c r="AN924" s="11">
        <f>_xlfn.XLOOKUP(TableDailySummary[[#This Row],[Fecha]],SummaryDaily[day],SummaryDaily[cost_of_goods_sold],0)</f>
        <v>0</v>
      </c>
      <c r="AO924" s="11">
        <f>_xlfn.XLOOKUP(TableDailySummary[[#This Row],[Fecha]],SummaryDaily[day],SummaryDaily[gross_profit],0)</f>
        <v>0</v>
      </c>
      <c r="AP924" s="18">
        <f>IFERROR(TableDailySummary[[#This Row],[Utilidad bruta]]/TableDailySummary[[#This Row],[Ventas netas con costo registrado]],0)</f>
        <v>0</v>
      </c>
    </row>
    <row r="925" spans="2:42" x14ac:dyDescent="0.2">
      <c r="B925" s="15" cm="1">
        <f t="array" ref="B925">ParamFechaInicioReporte + (ROW(TableDailySummary[#This Row]) - ROW(TableDailySummary[[#Headers],[Dia]]) - 1)</f>
        <v>45452</v>
      </c>
      <c r="C925" s="6">
        <f>TableDailySummary[[#This Row],[Dia]]</f>
        <v>45452</v>
      </c>
      <c r="D925" s="11">
        <f>_xlfn.XLOOKUP(TableDailySummary[[#This Row],[Fecha]],SummaryDaily[day],SummaryDaily[net_sales],0)</f>
        <v>0</v>
      </c>
      <c r="E925" s="11">
        <f>_xlfn.XLOOKUP(TableDailySummary[[#This Row],[Fecha]],SummaryDaily[day],SummaryDaily[orders],0)</f>
        <v>0</v>
      </c>
      <c r="F925" s="11">
        <f>_xlfn.XLOOKUP(TableDailySummary[[#This Row],[Fecha]],SummaryDaily[day],SummaryDaily[average_order_value],0)</f>
        <v>0</v>
      </c>
      <c r="G925" s="24" cm="1">
        <f t="array" ref="G925">_xlfn.XLOOKUP(TableDailySummary[[#This Row],[Fecha]]&amp;"Total site",ConversionRateByReferral[day]&amp;ConversionRateByReferral[referrer_source],ConversionRateByReferral[conversion_rate],0)</f>
        <v>0</v>
      </c>
      <c r="H925" s="11">
        <f>TableDailySummary[[#This Row],[Órden promedio totales]]*TableDailySummary[[#This Row],[CR totales]]</f>
        <v>0</v>
      </c>
      <c r="I925" s="11">
        <f>_xlfn.XLOOKUP(TableDailySummary[[#This Row],[Fecha]],SummaryDaily[day],SummaryDaily[new_net_sales],0)</f>
        <v>0</v>
      </c>
      <c r="J925" s="11">
        <f>_xlfn.XLOOKUP(TableDailySummary[[#This Row],[Fecha]],SummaryDaily[day],SummaryDaily[new_orders],0)</f>
        <v>0</v>
      </c>
      <c r="K925" s="11">
        <f>_xlfn.XLOOKUP(TableDailySummary[[#This Row],[Fecha]],SummaryDaily[day],SummaryDaily[new_average_order_value],0)</f>
        <v>0</v>
      </c>
      <c r="L925" s="11">
        <f>_xlfn.XLOOKUP(TableDailySummary[[#This Row],[Fecha]],SummaryDaily[day],SummaryDaily[Online Store_net_sales],0)</f>
        <v>0</v>
      </c>
      <c r="M925" s="11">
        <f>_xlfn.XLOOKUP(TableDailySummary[[#This Row],[Fecha]],SummaryDaily[day],SummaryDaily[Online Store_orders],0)</f>
        <v>0</v>
      </c>
      <c r="N925" s="11">
        <f>_xlfn.XLOOKUP(TableDailySummary[[#This Row],[Fecha]],SummaryDaily[day],SummaryDaily[Online Store_average_order_value],0)</f>
        <v>0</v>
      </c>
      <c r="O925" s="11">
        <f>_xlfn.XLOOKUP(TableDailySummary[[#This Row],[Fecha]],SummaryDaily[day],SummaryDaily[Tienda 81_net_sales],0)</f>
        <v>0</v>
      </c>
      <c r="P925" s="11">
        <f>_xlfn.XLOOKUP(TableDailySummary[[#This Row],[Fecha]],SummaryDaily[day],SummaryDaily[Tienda 81_orders],0)</f>
        <v>0</v>
      </c>
      <c r="Q925" s="11">
        <f>_xlfn.XLOOKUP(TableDailySummary[[#This Row],[Fecha]],SummaryDaily[day],SummaryDaily[Tienda 81_average_order_value],0)</f>
        <v>0</v>
      </c>
      <c r="R925" s="11">
        <f>_xlfn.XLOOKUP(TableDailySummary[[#This Row],[Fecha]],SummaryDaily[day],SummaryDaily[Rappi_net_sales],0)</f>
        <v>0</v>
      </c>
      <c r="S925" s="11">
        <f>_xlfn.XLOOKUP(TableDailySummary[[#This Row],[Fecha]],SummaryDaily[day],SummaryDaily[Rappi_orders],0)</f>
        <v>0</v>
      </c>
      <c r="T925" s="11">
        <f>_xlfn.XLOOKUP(TableDailySummary[[#This Row],[Fecha]],SummaryDaily[day],SummaryDaily[Rappi_average_order_value],0)</f>
        <v>0</v>
      </c>
      <c r="U925" s="11">
        <f>_xlfn.XLOOKUP(TableDailySummary[[#This Row],[Fecha]],SummaryDaily[day],SummaryDaily[Corporativo no tienda_net_sales],0)</f>
        <v>0</v>
      </c>
      <c r="V925" s="11">
        <f>_xlfn.XLOOKUP(TableDailySummary[[#This Row],[Fecha]],SummaryDaily[day],SummaryDaily[Corporativo no tienda_orders],0)</f>
        <v>0</v>
      </c>
      <c r="W925" s="11">
        <f>_xlfn.XLOOKUP(TableDailySummary[[#This Row],[Fecha]],SummaryDaily[day],SummaryDaily[Corporativo no tienda_average_order_value],0)</f>
        <v>0</v>
      </c>
      <c r="X925" s="11">
        <f>_xlfn.XLOOKUP(TableDailySummary[[#This Row],[Fecha]],SummaryDaily[day],SummaryDaily[GoogleAdsOperation.Cost],0)</f>
        <v>0</v>
      </c>
      <c r="Y925" s="11">
        <f>SUMIFS(SalesByUTMDaily[google],SalesByUTMDaily[day],TableDailySummary[[#This Row],[Fecha]])</f>
        <v>0</v>
      </c>
      <c r="Z925" s="11">
        <f>_xlfn.XLOOKUP(TableDailySummary[[#This Row],[Fecha]],SummaryDaily[day],SummaryDaily[MetaAdsOperation.spend],0)</f>
        <v>0</v>
      </c>
      <c r="AA925" s="11">
        <f>SUMIFS(SalesByUTMDaily[facebook],SalesByUTMDaily[day],TableDailySummary[[#This Row],[Fecha]])</f>
        <v>0</v>
      </c>
      <c r="AB925" s="11">
        <f>TableDailySummary[[#This Row],[Inversión google ads]]+TableDailySummary[[#This Row],[Inversión meta ads]]</f>
        <v>0</v>
      </c>
      <c r="AC925" s="11">
        <f>TableDailySummary[[#This Row],[Ventas google ads]]+TableDailySummary[[#This Row],[Ventas meta ads]]</f>
        <v>0</v>
      </c>
      <c r="AD925" s="14">
        <f>IFERROR(TableDailySummary[[#This Row],[Ventas publicidad]]/TableDailySummary[[#This Row],[Inversión publicidad]],0)</f>
        <v>0</v>
      </c>
      <c r="AE925" s="14">
        <f>IFERROR(TableDailySummary[[#This Row],[Ventas primer cliente]]/TableDailySummary[[#This Row],[Inversión publicidad]],0)</f>
        <v>0</v>
      </c>
      <c r="AF925" s="14"/>
      <c r="AG925" s="11"/>
      <c r="AM925" s="11">
        <f>_xlfn.XLOOKUP(TableDailySummary[[#This Row],[Fecha]],SummaryDaily[day],SummaryDaily[net_sales_with_cost_recorded],0)</f>
        <v>0</v>
      </c>
      <c r="AN925" s="11">
        <f>_xlfn.XLOOKUP(TableDailySummary[[#This Row],[Fecha]],SummaryDaily[day],SummaryDaily[cost_of_goods_sold],0)</f>
        <v>0</v>
      </c>
      <c r="AO925" s="11">
        <f>_xlfn.XLOOKUP(TableDailySummary[[#This Row],[Fecha]],SummaryDaily[day],SummaryDaily[gross_profit],0)</f>
        <v>0</v>
      </c>
      <c r="AP925" s="18">
        <f>IFERROR(TableDailySummary[[#This Row],[Utilidad bruta]]/TableDailySummary[[#This Row],[Ventas netas con costo registrado]],0)</f>
        <v>0</v>
      </c>
    </row>
    <row r="926" spans="2:42" x14ac:dyDescent="0.2">
      <c r="B926" s="15" cm="1">
        <f t="array" ref="B926">ParamFechaInicioReporte + (ROW(TableDailySummary[#This Row]) - ROW(TableDailySummary[[#Headers],[Dia]]) - 1)</f>
        <v>45453</v>
      </c>
      <c r="C926" s="6">
        <f>TableDailySummary[[#This Row],[Dia]]</f>
        <v>45453</v>
      </c>
      <c r="D926" s="11">
        <f>_xlfn.XLOOKUP(TableDailySummary[[#This Row],[Fecha]],SummaryDaily[day],SummaryDaily[net_sales],0)</f>
        <v>0</v>
      </c>
      <c r="E926" s="11">
        <f>_xlfn.XLOOKUP(TableDailySummary[[#This Row],[Fecha]],SummaryDaily[day],SummaryDaily[orders],0)</f>
        <v>0</v>
      </c>
      <c r="F926" s="11">
        <f>_xlfn.XLOOKUP(TableDailySummary[[#This Row],[Fecha]],SummaryDaily[day],SummaryDaily[average_order_value],0)</f>
        <v>0</v>
      </c>
      <c r="G926" s="24" cm="1">
        <f t="array" ref="G926">_xlfn.XLOOKUP(TableDailySummary[[#This Row],[Fecha]]&amp;"Total site",ConversionRateByReferral[day]&amp;ConversionRateByReferral[referrer_source],ConversionRateByReferral[conversion_rate],0)</f>
        <v>0</v>
      </c>
      <c r="H926" s="11">
        <f>TableDailySummary[[#This Row],[Órden promedio totales]]*TableDailySummary[[#This Row],[CR totales]]</f>
        <v>0</v>
      </c>
      <c r="I926" s="11">
        <f>_xlfn.XLOOKUP(TableDailySummary[[#This Row],[Fecha]],SummaryDaily[day],SummaryDaily[new_net_sales],0)</f>
        <v>0</v>
      </c>
      <c r="J926" s="11">
        <f>_xlfn.XLOOKUP(TableDailySummary[[#This Row],[Fecha]],SummaryDaily[day],SummaryDaily[new_orders],0)</f>
        <v>0</v>
      </c>
      <c r="K926" s="11">
        <f>_xlfn.XLOOKUP(TableDailySummary[[#This Row],[Fecha]],SummaryDaily[day],SummaryDaily[new_average_order_value],0)</f>
        <v>0</v>
      </c>
      <c r="L926" s="11">
        <f>_xlfn.XLOOKUP(TableDailySummary[[#This Row],[Fecha]],SummaryDaily[day],SummaryDaily[Online Store_net_sales],0)</f>
        <v>0</v>
      </c>
      <c r="M926" s="11">
        <f>_xlfn.XLOOKUP(TableDailySummary[[#This Row],[Fecha]],SummaryDaily[day],SummaryDaily[Online Store_orders],0)</f>
        <v>0</v>
      </c>
      <c r="N926" s="11">
        <f>_xlfn.XLOOKUP(TableDailySummary[[#This Row],[Fecha]],SummaryDaily[day],SummaryDaily[Online Store_average_order_value],0)</f>
        <v>0</v>
      </c>
      <c r="O926" s="11">
        <f>_xlfn.XLOOKUP(TableDailySummary[[#This Row],[Fecha]],SummaryDaily[day],SummaryDaily[Tienda 81_net_sales],0)</f>
        <v>0</v>
      </c>
      <c r="P926" s="11">
        <f>_xlfn.XLOOKUP(TableDailySummary[[#This Row],[Fecha]],SummaryDaily[day],SummaryDaily[Tienda 81_orders],0)</f>
        <v>0</v>
      </c>
      <c r="Q926" s="11">
        <f>_xlfn.XLOOKUP(TableDailySummary[[#This Row],[Fecha]],SummaryDaily[day],SummaryDaily[Tienda 81_average_order_value],0)</f>
        <v>0</v>
      </c>
      <c r="R926" s="11">
        <f>_xlfn.XLOOKUP(TableDailySummary[[#This Row],[Fecha]],SummaryDaily[day],SummaryDaily[Rappi_net_sales],0)</f>
        <v>0</v>
      </c>
      <c r="S926" s="11">
        <f>_xlfn.XLOOKUP(TableDailySummary[[#This Row],[Fecha]],SummaryDaily[day],SummaryDaily[Rappi_orders],0)</f>
        <v>0</v>
      </c>
      <c r="T926" s="11">
        <f>_xlfn.XLOOKUP(TableDailySummary[[#This Row],[Fecha]],SummaryDaily[day],SummaryDaily[Rappi_average_order_value],0)</f>
        <v>0</v>
      </c>
      <c r="U926" s="11">
        <f>_xlfn.XLOOKUP(TableDailySummary[[#This Row],[Fecha]],SummaryDaily[day],SummaryDaily[Corporativo no tienda_net_sales],0)</f>
        <v>0</v>
      </c>
      <c r="V926" s="11">
        <f>_xlfn.XLOOKUP(TableDailySummary[[#This Row],[Fecha]],SummaryDaily[day],SummaryDaily[Corporativo no tienda_orders],0)</f>
        <v>0</v>
      </c>
      <c r="W926" s="11">
        <f>_xlfn.XLOOKUP(TableDailySummary[[#This Row],[Fecha]],SummaryDaily[day],SummaryDaily[Corporativo no tienda_average_order_value],0)</f>
        <v>0</v>
      </c>
      <c r="X926" s="11">
        <f>_xlfn.XLOOKUP(TableDailySummary[[#This Row],[Fecha]],SummaryDaily[day],SummaryDaily[GoogleAdsOperation.Cost],0)</f>
        <v>0</v>
      </c>
      <c r="Y926" s="11">
        <f>SUMIFS(SalesByUTMDaily[google],SalesByUTMDaily[day],TableDailySummary[[#This Row],[Fecha]])</f>
        <v>0</v>
      </c>
      <c r="Z926" s="11">
        <f>_xlfn.XLOOKUP(TableDailySummary[[#This Row],[Fecha]],SummaryDaily[day],SummaryDaily[MetaAdsOperation.spend],0)</f>
        <v>0</v>
      </c>
      <c r="AA926" s="11">
        <f>SUMIFS(SalesByUTMDaily[facebook],SalesByUTMDaily[day],TableDailySummary[[#This Row],[Fecha]])</f>
        <v>0</v>
      </c>
      <c r="AB926" s="11">
        <f>TableDailySummary[[#This Row],[Inversión google ads]]+TableDailySummary[[#This Row],[Inversión meta ads]]</f>
        <v>0</v>
      </c>
      <c r="AC926" s="11">
        <f>TableDailySummary[[#This Row],[Ventas google ads]]+TableDailySummary[[#This Row],[Ventas meta ads]]</f>
        <v>0</v>
      </c>
      <c r="AD926" s="14">
        <f>IFERROR(TableDailySummary[[#This Row],[Ventas publicidad]]/TableDailySummary[[#This Row],[Inversión publicidad]],0)</f>
        <v>0</v>
      </c>
      <c r="AE926" s="14">
        <f>IFERROR(TableDailySummary[[#This Row],[Ventas primer cliente]]/TableDailySummary[[#This Row],[Inversión publicidad]],0)</f>
        <v>0</v>
      </c>
      <c r="AF926" s="14"/>
      <c r="AG926" s="11"/>
      <c r="AM926" s="11">
        <f>_xlfn.XLOOKUP(TableDailySummary[[#This Row],[Fecha]],SummaryDaily[day],SummaryDaily[net_sales_with_cost_recorded],0)</f>
        <v>0</v>
      </c>
      <c r="AN926" s="11">
        <f>_xlfn.XLOOKUP(TableDailySummary[[#This Row],[Fecha]],SummaryDaily[day],SummaryDaily[cost_of_goods_sold],0)</f>
        <v>0</v>
      </c>
      <c r="AO926" s="11">
        <f>_xlfn.XLOOKUP(TableDailySummary[[#This Row],[Fecha]],SummaryDaily[day],SummaryDaily[gross_profit],0)</f>
        <v>0</v>
      </c>
      <c r="AP926" s="18">
        <f>IFERROR(TableDailySummary[[#This Row],[Utilidad bruta]]/TableDailySummary[[#This Row],[Ventas netas con costo registrado]],0)</f>
        <v>0</v>
      </c>
    </row>
    <row r="927" spans="2:42" x14ac:dyDescent="0.2">
      <c r="B927" s="15" cm="1">
        <f t="array" ref="B927">ParamFechaInicioReporte + (ROW(TableDailySummary[#This Row]) - ROW(TableDailySummary[[#Headers],[Dia]]) - 1)</f>
        <v>45454</v>
      </c>
      <c r="C927" s="6">
        <f>TableDailySummary[[#This Row],[Dia]]</f>
        <v>45454</v>
      </c>
      <c r="D927" s="11">
        <f>_xlfn.XLOOKUP(TableDailySummary[[#This Row],[Fecha]],SummaryDaily[day],SummaryDaily[net_sales],0)</f>
        <v>0</v>
      </c>
      <c r="E927" s="11">
        <f>_xlfn.XLOOKUP(TableDailySummary[[#This Row],[Fecha]],SummaryDaily[day],SummaryDaily[orders],0)</f>
        <v>0</v>
      </c>
      <c r="F927" s="11">
        <f>_xlfn.XLOOKUP(TableDailySummary[[#This Row],[Fecha]],SummaryDaily[day],SummaryDaily[average_order_value],0)</f>
        <v>0</v>
      </c>
      <c r="G927" s="24" cm="1">
        <f t="array" ref="G927">_xlfn.XLOOKUP(TableDailySummary[[#This Row],[Fecha]]&amp;"Total site",ConversionRateByReferral[day]&amp;ConversionRateByReferral[referrer_source],ConversionRateByReferral[conversion_rate],0)</f>
        <v>0</v>
      </c>
      <c r="H927" s="11">
        <f>TableDailySummary[[#This Row],[Órden promedio totales]]*TableDailySummary[[#This Row],[CR totales]]</f>
        <v>0</v>
      </c>
      <c r="I927" s="11">
        <f>_xlfn.XLOOKUP(TableDailySummary[[#This Row],[Fecha]],SummaryDaily[day],SummaryDaily[new_net_sales],0)</f>
        <v>0</v>
      </c>
      <c r="J927" s="11">
        <f>_xlfn.XLOOKUP(TableDailySummary[[#This Row],[Fecha]],SummaryDaily[day],SummaryDaily[new_orders],0)</f>
        <v>0</v>
      </c>
      <c r="K927" s="11">
        <f>_xlfn.XLOOKUP(TableDailySummary[[#This Row],[Fecha]],SummaryDaily[day],SummaryDaily[new_average_order_value],0)</f>
        <v>0</v>
      </c>
      <c r="L927" s="11">
        <f>_xlfn.XLOOKUP(TableDailySummary[[#This Row],[Fecha]],SummaryDaily[day],SummaryDaily[Online Store_net_sales],0)</f>
        <v>0</v>
      </c>
      <c r="M927" s="11">
        <f>_xlfn.XLOOKUP(TableDailySummary[[#This Row],[Fecha]],SummaryDaily[day],SummaryDaily[Online Store_orders],0)</f>
        <v>0</v>
      </c>
      <c r="N927" s="11">
        <f>_xlfn.XLOOKUP(TableDailySummary[[#This Row],[Fecha]],SummaryDaily[day],SummaryDaily[Online Store_average_order_value],0)</f>
        <v>0</v>
      </c>
      <c r="O927" s="11">
        <f>_xlfn.XLOOKUP(TableDailySummary[[#This Row],[Fecha]],SummaryDaily[day],SummaryDaily[Tienda 81_net_sales],0)</f>
        <v>0</v>
      </c>
      <c r="P927" s="11">
        <f>_xlfn.XLOOKUP(TableDailySummary[[#This Row],[Fecha]],SummaryDaily[day],SummaryDaily[Tienda 81_orders],0)</f>
        <v>0</v>
      </c>
      <c r="Q927" s="11">
        <f>_xlfn.XLOOKUP(TableDailySummary[[#This Row],[Fecha]],SummaryDaily[day],SummaryDaily[Tienda 81_average_order_value],0)</f>
        <v>0</v>
      </c>
      <c r="R927" s="11">
        <f>_xlfn.XLOOKUP(TableDailySummary[[#This Row],[Fecha]],SummaryDaily[day],SummaryDaily[Rappi_net_sales],0)</f>
        <v>0</v>
      </c>
      <c r="S927" s="11">
        <f>_xlfn.XLOOKUP(TableDailySummary[[#This Row],[Fecha]],SummaryDaily[day],SummaryDaily[Rappi_orders],0)</f>
        <v>0</v>
      </c>
      <c r="T927" s="11">
        <f>_xlfn.XLOOKUP(TableDailySummary[[#This Row],[Fecha]],SummaryDaily[day],SummaryDaily[Rappi_average_order_value],0)</f>
        <v>0</v>
      </c>
      <c r="U927" s="11">
        <f>_xlfn.XLOOKUP(TableDailySummary[[#This Row],[Fecha]],SummaryDaily[day],SummaryDaily[Corporativo no tienda_net_sales],0)</f>
        <v>0</v>
      </c>
      <c r="V927" s="11">
        <f>_xlfn.XLOOKUP(TableDailySummary[[#This Row],[Fecha]],SummaryDaily[day],SummaryDaily[Corporativo no tienda_orders],0)</f>
        <v>0</v>
      </c>
      <c r="W927" s="11">
        <f>_xlfn.XLOOKUP(TableDailySummary[[#This Row],[Fecha]],SummaryDaily[day],SummaryDaily[Corporativo no tienda_average_order_value],0)</f>
        <v>0</v>
      </c>
      <c r="X927" s="11">
        <f>_xlfn.XLOOKUP(TableDailySummary[[#This Row],[Fecha]],SummaryDaily[day],SummaryDaily[GoogleAdsOperation.Cost],0)</f>
        <v>0</v>
      </c>
      <c r="Y927" s="11">
        <f>SUMIFS(SalesByUTMDaily[google],SalesByUTMDaily[day],TableDailySummary[[#This Row],[Fecha]])</f>
        <v>0</v>
      </c>
      <c r="Z927" s="11">
        <f>_xlfn.XLOOKUP(TableDailySummary[[#This Row],[Fecha]],SummaryDaily[day],SummaryDaily[MetaAdsOperation.spend],0)</f>
        <v>0</v>
      </c>
      <c r="AA927" s="11">
        <f>SUMIFS(SalesByUTMDaily[facebook],SalesByUTMDaily[day],TableDailySummary[[#This Row],[Fecha]])</f>
        <v>0</v>
      </c>
      <c r="AB927" s="11">
        <f>TableDailySummary[[#This Row],[Inversión google ads]]+TableDailySummary[[#This Row],[Inversión meta ads]]</f>
        <v>0</v>
      </c>
      <c r="AC927" s="11">
        <f>TableDailySummary[[#This Row],[Ventas google ads]]+TableDailySummary[[#This Row],[Ventas meta ads]]</f>
        <v>0</v>
      </c>
      <c r="AD927" s="14">
        <f>IFERROR(TableDailySummary[[#This Row],[Ventas publicidad]]/TableDailySummary[[#This Row],[Inversión publicidad]],0)</f>
        <v>0</v>
      </c>
      <c r="AE927" s="14">
        <f>IFERROR(TableDailySummary[[#This Row],[Ventas primer cliente]]/TableDailySummary[[#This Row],[Inversión publicidad]],0)</f>
        <v>0</v>
      </c>
      <c r="AF927" s="14"/>
      <c r="AG927" s="11"/>
      <c r="AM927" s="11">
        <f>_xlfn.XLOOKUP(TableDailySummary[[#This Row],[Fecha]],SummaryDaily[day],SummaryDaily[net_sales_with_cost_recorded],0)</f>
        <v>0</v>
      </c>
      <c r="AN927" s="11">
        <f>_xlfn.XLOOKUP(TableDailySummary[[#This Row],[Fecha]],SummaryDaily[day],SummaryDaily[cost_of_goods_sold],0)</f>
        <v>0</v>
      </c>
      <c r="AO927" s="11">
        <f>_xlfn.XLOOKUP(TableDailySummary[[#This Row],[Fecha]],SummaryDaily[day],SummaryDaily[gross_profit],0)</f>
        <v>0</v>
      </c>
      <c r="AP927" s="18">
        <f>IFERROR(TableDailySummary[[#This Row],[Utilidad bruta]]/TableDailySummary[[#This Row],[Ventas netas con costo registrado]],0)</f>
        <v>0</v>
      </c>
    </row>
    <row r="928" spans="2:42" x14ac:dyDescent="0.2">
      <c r="B928" s="15" cm="1">
        <f t="array" ref="B928">ParamFechaInicioReporte + (ROW(TableDailySummary[#This Row]) - ROW(TableDailySummary[[#Headers],[Dia]]) - 1)</f>
        <v>45455</v>
      </c>
      <c r="C928" s="6">
        <f>TableDailySummary[[#This Row],[Dia]]</f>
        <v>45455</v>
      </c>
      <c r="D928" s="11">
        <f>_xlfn.XLOOKUP(TableDailySummary[[#This Row],[Fecha]],SummaryDaily[day],SummaryDaily[net_sales],0)</f>
        <v>0</v>
      </c>
      <c r="E928" s="11">
        <f>_xlfn.XLOOKUP(TableDailySummary[[#This Row],[Fecha]],SummaryDaily[day],SummaryDaily[orders],0)</f>
        <v>0</v>
      </c>
      <c r="F928" s="11">
        <f>_xlfn.XLOOKUP(TableDailySummary[[#This Row],[Fecha]],SummaryDaily[day],SummaryDaily[average_order_value],0)</f>
        <v>0</v>
      </c>
      <c r="G928" s="24" cm="1">
        <f t="array" ref="G928">_xlfn.XLOOKUP(TableDailySummary[[#This Row],[Fecha]]&amp;"Total site",ConversionRateByReferral[day]&amp;ConversionRateByReferral[referrer_source],ConversionRateByReferral[conversion_rate],0)</f>
        <v>0</v>
      </c>
      <c r="H928" s="11">
        <f>TableDailySummary[[#This Row],[Órden promedio totales]]*TableDailySummary[[#This Row],[CR totales]]</f>
        <v>0</v>
      </c>
      <c r="I928" s="11">
        <f>_xlfn.XLOOKUP(TableDailySummary[[#This Row],[Fecha]],SummaryDaily[day],SummaryDaily[new_net_sales],0)</f>
        <v>0</v>
      </c>
      <c r="J928" s="11">
        <f>_xlfn.XLOOKUP(TableDailySummary[[#This Row],[Fecha]],SummaryDaily[day],SummaryDaily[new_orders],0)</f>
        <v>0</v>
      </c>
      <c r="K928" s="11">
        <f>_xlfn.XLOOKUP(TableDailySummary[[#This Row],[Fecha]],SummaryDaily[day],SummaryDaily[new_average_order_value],0)</f>
        <v>0</v>
      </c>
      <c r="L928" s="11">
        <f>_xlfn.XLOOKUP(TableDailySummary[[#This Row],[Fecha]],SummaryDaily[day],SummaryDaily[Online Store_net_sales],0)</f>
        <v>0</v>
      </c>
      <c r="M928" s="11">
        <f>_xlfn.XLOOKUP(TableDailySummary[[#This Row],[Fecha]],SummaryDaily[day],SummaryDaily[Online Store_orders],0)</f>
        <v>0</v>
      </c>
      <c r="N928" s="11">
        <f>_xlfn.XLOOKUP(TableDailySummary[[#This Row],[Fecha]],SummaryDaily[day],SummaryDaily[Online Store_average_order_value],0)</f>
        <v>0</v>
      </c>
      <c r="O928" s="11">
        <f>_xlfn.XLOOKUP(TableDailySummary[[#This Row],[Fecha]],SummaryDaily[day],SummaryDaily[Tienda 81_net_sales],0)</f>
        <v>0</v>
      </c>
      <c r="P928" s="11">
        <f>_xlfn.XLOOKUP(TableDailySummary[[#This Row],[Fecha]],SummaryDaily[day],SummaryDaily[Tienda 81_orders],0)</f>
        <v>0</v>
      </c>
      <c r="Q928" s="11">
        <f>_xlfn.XLOOKUP(TableDailySummary[[#This Row],[Fecha]],SummaryDaily[day],SummaryDaily[Tienda 81_average_order_value],0)</f>
        <v>0</v>
      </c>
      <c r="R928" s="11">
        <f>_xlfn.XLOOKUP(TableDailySummary[[#This Row],[Fecha]],SummaryDaily[day],SummaryDaily[Rappi_net_sales],0)</f>
        <v>0</v>
      </c>
      <c r="S928" s="11">
        <f>_xlfn.XLOOKUP(TableDailySummary[[#This Row],[Fecha]],SummaryDaily[day],SummaryDaily[Rappi_orders],0)</f>
        <v>0</v>
      </c>
      <c r="T928" s="11">
        <f>_xlfn.XLOOKUP(TableDailySummary[[#This Row],[Fecha]],SummaryDaily[day],SummaryDaily[Rappi_average_order_value],0)</f>
        <v>0</v>
      </c>
      <c r="U928" s="11">
        <f>_xlfn.XLOOKUP(TableDailySummary[[#This Row],[Fecha]],SummaryDaily[day],SummaryDaily[Corporativo no tienda_net_sales],0)</f>
        <v>0</v>
      </c>
      <c r="V928" s="11">
        <f>_xlfn.XLOOKUP(TableDailySummary[[#This Row],[Fecha]],SummaryDaily[day],SummaryDaily[Corporativo no tienda_orders],0)</f>
        <v>0</v>
      </c>
      <c r="W928" s="11">
        <f>_xlfn.XLOOKUP(TableDailySummary[[#This Row],[Fecha]],SummaryDaily[day],SummaryDaily[Corporativo no tienda_average_order_value],0)</f>
        <v>0</v>
      </c>
      <c r="X928" s="11">
        <f>_xlfn.XLOOKUP(TableDailySummary[[#This Row],[Fecha]],SummaryDaily[day],SummaryDaily[GoogleAdsOperation.Cost],0)</f>
        <v>0</v>
      </c>
      <c r="Y928" s="11">
        <f>SUMIFS(SalesByUTMDaily[google],SalesByUTMDaily[day],TableDailySummary[[#This Row],[Fecha]])</f>
        <v>0</v>
      </c>
      <c r="Z928" s="11">
        <f>_xlfn.XLOOKUP(TableDailySummary[[#This Row],[Fecha]],SummaryDaily[day],SummaryDaily[MetaAdsOperation.spend],0)</f>
        <v>0</v>
      </c>
      <c r="AA928" s="11">
        <f>SUMIFS(SalesByUTMDaily[facebook],SalesByUTMDaily[day],TableDailySummary[[#This Row],[Fecha]])</f>
        <v>0</v>
      </c>
      <c r="AB928" s="11">
        <f>TableDailySummary[[#This Row],[Inversión google ads]]+TableDailySummary[[#This Row],[Inversión meta ads]]</f>
        <v>0</v>
      </c>
      <c r="AC928" s="11">
        <f>TableDailySummary[[#This Row],[Ventas google ads]]+TableDailySummary[[#This Row],[Ventas meta ads]]</f>
        <v>0</v>
      </c>
      <c r="AD928" s="14">
        <f>IFERROR(TableDailySummary[[#This Row],[Ventas publicidad]]/TableDailySummary[[#This Row],[Inversión publicidad]],0)</f>
        <v>0</v>
      </c>
      <c r="AE928" s="14">
        <f>IFERROR(TableDailySummary[[#This Row],[Ventas primer cliente]]/TableDailySummary[[#This Row],[Inversión publicidad]],0)</f>
        <v>0</v>
      </c>
      <c r="AF928" s="14"/>
      <c r="AG928" s="11"/>
      <c r="AM928" s="11">
        <f>_xlfn.XLOOKUP(TableDailySummary[[#This Row],[Fecha]],SummaryDaily[day],SummaryDaily[net_sales_with_cost_recorded],0)</f>
        <v>0</v>
      </c>
      <c r="AN928" s="11">
        <f>_xlfn.XLOOKUP(TableDailySummary[[#This Row],[Fecha]],SummaryDaily[day],SummaryDaily[cost_of_goods_sold],0)</f>
        <v>0</v>
      </c>
      <c r="AO928" s="11">
        <f>_xlfn.XLOOKUP(TableDailySummary[[#This Row],[Fecha]],SummaryDaily[day],SummaryDaily[gross_profit],0)</f>
        <v>0</v>
      </c>
      <c r="AP928" s="18">
        <f>IFERROR(TableDailySummary[[#This Row],[Utilidad bruta]]/TableDailySummary[[#This Row],[Ventas netas con costo registrado]],0)</f>
        <v>0</v>
      </c>
    </row>
    <row r="929" spans="2:42" x14ac:dyDescent="0.2">
      <c r="B929" s="15" cm="1">
        <f t="array" ref="B929">ParamFechaInicioReporte + (ROW(TableDailySummary[#This Row]) - ROW(TableDailySummary[[#Headers],[Dia]]) - 1)</f>
        <v>45456</v>
      </c>
      <c r="C929" s="6">
        <f>TableDailySummary[[#This Row],[Dia]]</f>
        <v>45456</v>
      </c>
      <c r="D929" s="11">
        <f>_xlfn.XLOOKUP(TableDailySummary[[#This Row],[Fecha]],SummaryDaily[day],SummaryDaily[net_sales],0)</f>
        <v>0</v>
      </c>
      <c r="E929" s="11">
        <f>_xlfn.XLOOKUP(TableDailySummary[[#This Row],[Fecha]],SummaryDaily[day],SummaryDaily[orders],0)</f>
        <v>0</v>
      </c>
      <c r="F929" s="11">
        <f>_xlfn.XLOOKUP(TableDailySummary[[#This Row],[Fecha]],SummaryDaily[day],SummaryDaily[average_order_value],0)</f>
        <v>0</v>
      </c>
      <c r="G929" s="24" cm="1">
        <f t="array" ref="G929">_xlfn.XLOOKUP(TableDailySummary[[#This Row],[Fecha]]&amp;"Total site",ConversionRateByReferral[day]&amp;ConversionRateByReferral[referrer_source],ConversionRateByReferral[conversion_rate],0)</f>
        <v>0</v>
      </c>
      <c r="H929" s="11">
        <f>TableDailySummary[[#This Row],[Órden promedio totales]]*TableDailySummary[[#This Row],[CR totales]]</f>
        <v>0</v>
      </c>
      <c r="I929" s="11">
        <f>_xlfn.XLOOKUP(TableDailySummary[[#This Row],[Fecha]],SummaryDaily[day],SummaryDaily[new_net_sales],0)</f>
        <v>0</v>
      </c>
      <c r="J929" s="11">
        <f>_xlfn.XLOOKUP(TableDailySummary[[#This Row],[Fecha]],SummaryDaily[day],SummaryDaily[new_orders],0)</f>
        <v>0</v>
      </c>
      <c r="K929" s="11">
        <f>_xlfn.XLOOKUP(TableDailySummary[[#This Row],[Fecha]],SummaryDaily[day],SummaryDaily[new_average_order_value],0)</f>
        <v>0</v>
      </c>
      <c r="L929" s="11">
        <f>_xlfn.XLOOKUP(TableDailySummary[[#This Row],[Fecha]],SummaryDaily[day],SummaryDaily[Online Store_net_sales],0)</f>
        <v>0</v>
      </c>
      <c r="M929" s="11">
        <f>_xlfn.XLOOKUP(TableDailySummary[[#This Row],[Fecha]],SummaryDaily[day],SummaryDaily[Online Store_orders],0)</f>
        <v>0</v>
      </c>
      <c r="N929" s="11">
        <f>_xlfn.XLOOKUP(TableDailySummary[[#This Row],[Fecha]],SummaryDaily[day],SummaryDaily[Online Store_average_order_value],0)</f>
        <v>0</v>
      </c>
      <c r="O929" s="11">
        <f>_xlfn.XLOOKUP(TableDailySummary[[#This Row],[Fecha]],SummaryDaily[day],SummaryDaily[Tienda 81_net_sales],0)</f>
        <v>0</v>
      </c>
      <c r="P929" s="11">
        <f>_xlfn.XLOOKUP(TableDailySummary[[#This Row],[Fecha]],SummaryDaily[day],SummaryDaily[Tienda 81_orders],0)</f>
        <v>0</v>
      </c>
      <c r="Q929" s="11">
        <f>_xlfn.XLOOKUP(TableDailySummary[[#This Row],[Fecha]],SummaryDaily[day],SummaryDaily[Tienda 81_average_order_value],0)</f>
        <v>0</v>
      </c>
      <c r="R929" s="11">
        <f>_xlfn.XLOOKUP(TableDailySummary[[#This Row],[Fecha]],SummaryDaily[day],SummaryDaily[Rappi_net_sales],0)</f>
        <v>0</v>
      </c>
      <c r="S929" s="11">
        <f>_xlfn.XLOOKUP(TableDailySummary[[#This Row],[Fecha]],SummaryDaily[day],SummaryDaily[Rappi_orders],0)</f>
        <v>0</v>
      </c>
      <c r="T929" s="11">
        <f>_xlfn.XLOOKUP(TableDailySummary[[#This Row],[Fecha]],SummaryDaily[day],SummaryDaily[Rappi_average_order_value],0)</f>
        <v>0</v>
      </c>
      <c r="U929" s="11">
        <f>_xlfn.XLOOKUP(TableDailySummary[[#This Row],[Fecha]],SummaryDaily[day],SummaryDaily[Corporativo no tienda_net_sales],0)</f>
        <v>0</v>
      </c>
      <c r="V929" s="11">
        <f>_xlfn.XLOOKUP(TableDailySummary[[#This Row],[Fecha]],SummaryDaily[day],SummaryDaily[Corporativo no tienda_orders],0)</f>
        <v>0</v>
      </c>
      <c r="W929" s="11">
        <f>_xlfn.XLOOKUP(TableDailySummary[[#This Row],[Fecha]],SummaryDaily[day],SummaryDaily[Corporativo no tienda_average_order_value],0)</f>
        <v>0</v>
      </c>
      <c r="X929" s="11">
        <f>_xlfn.XLOOKUP(TableDailySummary[[#This Row],[Fecha]],SummaryDaily[day],SummaryDaily[GoogleAdsOperation.Cost],0)</f>
        <v>0</v>
      </c>
      <c r="Y929" s="11">
        <f>SUMIFS(SalesByUTMDaily[google],SalesByUTMDaily[day],TableDailySummary[[#This Row],[Fecha]])</f>
        <v>0</v>
      </c>
      <c r="Z929" s="11">
        <f>_xlfn.XLOOKUP(TableDailySummary[[#This Row],[Fecha]],SummaryDaily[day],SummaryDaily[MetaAdsOperation.spend],0)</f>
        <v>0</v>
      </c>
      <c r="AA929" s="11">
        <f>SUMIFS(SalesByUTMDaily[facebook],SalesByUTMDaily[day],TableDailySummary[[#This Row],[Fecha]])</f>
        <v>0</v>
      </c>
      <c r="AB929" s="11">
        <f>TableDailySummary[[#This Row],[Inversión google ads]]+TableDailySummary[[#This Row],[Inversión meta ads]]</f>
        <v>0</v>
      </c>
      <c r="AC929" s="11">
        <f>TableDailySummary[[#This Row],[Ventas google ads]]+TableDailySummary[[#This Row],[Ventas meta ads]]</f>
        <v>0</v>
      </c>
      <c r="AD929" s="14">
        <f>IFERROR(TableDailySummary[[#This Row],[Ventas publicidad]]/TableDailySummary[[#This Row],[Inversión publicidad]],0)</f>
        <v>0</v>
      </c>
      <c r="AE929" s="14">
        <f>IFERROR(TableDailySummary[[#This Row],[Ventas primer cliente]]/TableDailySummary[[#This Row],[Inversión publicidad]],0)</f>
        <v>0</v>
      </c>
      <c r="AF929" s="14"/>
      <c r="AG929" s="11"/>
      <c r="AM929" s="11">
        <f>_xlfn.XLOOKUP(TableDailySummary[[#This Row],[Fecha]],SummaryDaily[day],SummaryDaily[net_sales_with_cost_recorded],0)</f>
        <v>0</v>
      </c>
      <c r="AN929" s="11">
        <f>_xlfn.XLOOKUP(TableDailySummary[[#This Row],[Fecha]],SummaryDaily[day],SummaryDaily[cost_of_goods_sold],0)</f>
        <v>0</v>
      </c>
      <c r="AO929" s="11">
        <f>_xlfn.XLOOKUP(TableDailySummary[[#This Row],[Fecha]],SummaryDaily[day],SummaryDaily[gross_profit],0)</f>
        <v>0</v>
      </c>
      <c r="AP929" s="18">
        <f>IFERROR(TableDailySummary[[#This Row],[Utilidad bruta]]/TableDailySummary[[#This Row],[Ventas netas con costo registrado]],0)</f>
        <v>0</v>
      </c>
    </row>
    <row r="930" spans="2:42" x14ac:dyDescent="0.2">
      <c r="B930" s="15" cm="1">
        <f t="array" ref="B930">ParamFechaInicioReporte + (ROW(TableDailySummary[#This Row]) - ROW(TableDailySummary[[#Headers],[Dia]]) - 1)</f>
        <v>45457</v>
      </c>
      <c r="C930" s="6">
        <f>TableDailySummary[[#This Row],[Dia]]</f>
        <v>45457</v>
      </c>
      <c r="D930" s="11">
        <f>_xlfn.XLOOKUP(TableDailySummary[[#This Row],[Fecha]],SummaryDaily[day],SummaryDaily[net_sales],0)</f>
        <v>0</v>
      </c>
      <c r="E930" s="11">
        <f>_xlfn.XLOOKUP(TableDailySummary[[#This Row],[Fecha]],SummaryDaily[day],SummaryDaily[orders],0)</f>
        <v>0</v>
      </c>
      <c r="F930" s="11">
        <f>_xlfn.XLOOKUP(TableDailySummary[[#This Row],[Fecha]],SummaryDaily[day],SummaryDaily[average_order_value],0)</f>
        <v>0</v>
      </c>
      <c r="G930" s="24" cm="1">
        <f t="array" ref="G930">_xlfn.XLOOKUP(TableDailySummary[[#This Row],[Fecha]]&amp;"Total site",ConversionRateByReferral[day]&amp;ConversionRateByReferral[referrer_source],ConversionRateByReferral[conversion_rate],0)</f>
        <v>0</v>
      </c>
      <c r="H930" s="11">
        <f>TableDailySummary[[#This Row],[Órden promedio totales]]*TableDailySummary[[#This Row],[CR totales]]</f>
        <v>0</v>
      </c>
      <c r="I930" s="11">
        <f>_xlfn.XLOOKUP(TableDailySummary[[#This Row],[Fecha]],SummaryDaily[day],SummaryDaily[new_net_sales],0)</f>
        <v>0</v>
      </c>
      <c r="J930" s="11">
        <f>_xlfn.XLOOKUP(TableDailySummary[[#This Row],[Fecha]],SummaryDaily[day],SummaryDaily[new_orders],0)</f>
        <v>0</v>
      </c>
      <c r="K930" s="11">
        <f>_xlfn.XLOOKUP(TableDailySummary[[#This Row],[Fecha]],SummaryDaily[day],SummaryDaily[new_average_order_value],0)</f>
        <v>0</v>
      </c>
      <c r="L930" s="11">
        <f>_xlfn.XLOOKUP(TableDailySummary[[#This Row],[Fecha]],SummaryDaily[day],SummaryDaily[Online Store_net_sales],0)</f>
        <v>0</v>
      </c>
      <c r="M930" s="11">
        <f>_xlfn.XLOOKUP(TableDailySummary[[#This Row],[Fecha]],SummaryDaily[day],SummaryDaily[Online Store_orders],0)</f>
        <v>0</v>
      </c>
      <c r="N930" s="11">
        <f>_xlfn.XLOOKUP(TableDailySummary[[#This Row],[Fecha]],SummaryDaily[day],SummaryDaily[Online Store_average_order_value],0)</f>
        <v>0</v>
      </c>
      <c r="O930" s="11">
        <f>_xlfn.XLOOKUP(TableDailySummary[[#This Row],[Fecha]],SummaryDaily[day],SummaryDaily[Tienda 81_net_sales],0)</f>
        <v>0</v>
      </c>
      <c r="P930" s="11">
        <f>_xlfn.XLOOKUP(TableDailySummary[[#This Row],[Fecha]],SummaryDaily[day],SummaryDaily[Tienda 81_orders],0)</f>
        <v>0</v>
      </c>
      <c r="Q930" s="11">
        <f>_xlfn.XLOOKUP(TableDailySummary[[#This Row],[Fecha]],SummaryDaily[day],SummaryDaily[Tienda 81_average_order_value],0)</f>
        <v>0</v>
      </c>
      <c r="R930" s="11">
        <f>_xlfn.XLOOKUP(TableDailySummary[[#This Row],[Fecha]],SummaryDaily[day],SummaryDaily[Rappi_net_sales],0)</f>
        <v>0</v>
      </c>
      <c r="S930" s="11">
        <f>_xlfn.XLOOKUP(TableDailySummary[[#This Row],[Fecha]],SummaryDaily[day],SummaryDaily[Rappi_orders],0)</f>
        <v>0</v>
      </c>
      <c r="T930" s="11">
        <f>_xlfn.XLOOKUP(TableDailySummary[[#This Row],[Fecha]],SummaryDaily[day],SummaryDaily[Rappi_average_order_value],0)</f>
        <v>0</v>
      </c>
      <c r="U930" s="11">
        <f>_xlfn.XLOOKUP(TableDailySummary[[#This Row],[Fecha]],SummaryDaily[day],SummaryDaily[Corporativo no tienda_net_sales],0)</f>
        <v>0</v>
      </c>
      <c r="V930" s="11">
        <f>_xlfn.XLOOKUP(TableDailySummary[[#This Row],[Fecha]],SummaryDaily[day],SummaryDaily[Corporativo no tienda_orders],0)</f>
        <v>0</v>
      </c>
      <c r="W930" s="11">
        <f>_xlfn.XLOOKUP(TableDailySummary[[#This Row],[Fecha]],SummaryDaily[day],SummaryDaily[Corporativo no tienda_average_order_value],0)</f>
        <v>0</v>
      </c>
      <c r="X930" s="11">
        <f>_xlfn.XLOOKUP(TableDailySummary[[#This Row],[Fecha]],SummaryDaily[day],SummaryDaily[GoogleAdsOperation.Cost],0)</f>
        <v>0</v>
      </c>
      <c r="Y930" s="11">
        <f>SUMIFS(SalesByUTMDaily[google],SalesByUTMDaily[day],TableDailySummary[[#This Row],[Fecha]])</f>
        <v>0</v>
      </c>
      <c r="Z930" s="11">
        <f>_xlfn.XLOOKUP(TableDailySummary[[#This Row],[Fecha]],SummaryDaily[day],SummaryDaily[MetaAdsOperation.spend],0)</f>
        <v>0</v>
      </c>
      <c r="AA930" s="11">
        <f>SUMIFS(SalesByUTMDaily[facebook],SalesByUTMDaily[day],TableDailySummary[[#This Row],[Fecha]])</f>
        <v>0</v>
      </c>
      <c r="AB930" s="11">
        <f>TableDailySummary[[#This Row],[Inversión google ads]]+TableDailySummary[[#This Row],[Inversión meta ads]]</f>
        <v>0</v>
      </c>
      <c r="AC930" s="11">
        <f>TableDailySummary[[#This Row],[Ventas google ads]]+TableDailySummary[[#This Row],[Ventas meta ads]]</f>
        <v>0</v>
      </c>
      <c r="AD930" s="14">
        <f>IFERROR(TableDailySummary[[#This Row],[Ventas publicidad]]/TableDailySummary[[#This Row],[Inversión publicidad]],0)</f>
        <v>0</v>
      </c>
      <c r="AE930" s="14">
        <f>IFERROR(TableDailySummary[[#This Row],[Ventas primer cliente]]/TableDailySummary[[#This Row],[Inversión publicidad]],0)</f>
        <v>0</v>
      </c>
      <c r="AF930" s="14"/>
      <c r="AG930" s="11"/>
      <c r="AM930" s="11">
        <f>_xlfn.XLOOKUP(TableDailySummary[[#This Row],[Fecha]],SummaryDaily[day],SummaryDaily[net_sales_with_cost_recorded],0)</f>
        <v>0</v>
      </c>
      <c r="AN930" s="11">
        <f>_xlfn.XLOOKUP(TableDailySummary[[#This Row],[Fecha]],SummaryDaily[day],SummaryDaily[cost_of_goods_sold],0)</f>
        <v>0</v>
      </c>
      <c r="AO930" s="11">
        <f>_xlfn.XLOOKUP(TableDailySummary[[#This Row],[Fecha]],SummaryDaily[day],SummaryDaily[gross_profit],0)</f>
        <v>0</v>
      </c>
      <c r="AP930" s="18">
        <f>IFERROR(TableDailySummary[[#This Row],[Utilidad bruta]]/TableDailySummary[[#This Row],[Ventas netas con costo registrado]],0)</f>
        <v>0</v>
      </c>
    </row>
    <row r="931" spans="2:42" x14ac:dyDescent="0.2">
      <c r="B931" s="15" cm="1">
        <f t="array" ref="B931">ParamFechaInicioReporte + (ROW(TableDailySummary[#This Row]) - ROW(TableDailySummary[[#Headers],[Dia]]) - 1)</f>
        <v>45458</v>
      </c>
      <c r="C931" s="6">
        <f>TableDailySummary[[#This Row],[Dia]]</f>
        <v>45458</v>
      </c>
      <c r="D931" s="11">
        <f>_xlfn.XLOOKUP(TableDailySummary[[#This Row],[Fecha]],SummaryDaily[day],SummaryDaily[net_sales],0)</f>
        <v>0</v>
      </c>
      <c r="E931" s="11">
        <f>_xlfn.XLOOKUP(TableDailySummary[[#This Row],[Fecha]],SummaryDaily[day],SummaryDaily[orders],0)</f>
        <v>0</v>
      </c>
      <c r="F931" s="11">
        <f>_xlfn.XLOOKUP(TableDailySummary[[#This Row],[Fecha]],SummaryDaily[day],SummaryDaily[average_order_value],0)</f>
        <v>0</v>
      </c>
      <c r="G931" s="24" cm="1">
        <f t="array" ref="G931">_xlfn.XLOOKUP(TableDailySummary[[#This Row],[Fecha]]&amp;"Total site",ConversionRateByReferral[day]&amp;ConversionRateByReferral[referrer_source],ConversionRateByReferral[conversion_rate],0)</f>
        <v>0</v>
      </c>
      <c r="H931" s="11">
        <f>TableDailySummary[[#This Row],[Órden promedio totales]]*TableDailySummary[[#This Row],[CR totales]]</f>
        <v>0</v>
      </c>
      <c r="I931" s="11">
        <f>_xlfn.XLOOKUP(TableDailySummary[[#This Row],[Fecha]],SummaryDaily[day],SummaryDaily[new_net_sales],0)</f>
        <v>0</v>
      </c>
      <c r="J931" s="11">
        <f>_xlfn.XLOOKUP(TableDailySummary[[#This Row],[Fecha]],SummaryDaily[day],SummaryDaily[new_orders],0)</f>
        <v>0</v>
      </c>
      <c r="K931" s="11">
        <f>_xlfn.XLOOKUP(TableDailySummary[[#This Row],[Fecha]],SummaryDaily[day],SummaryDaily[new_average_order_value],0)</f>
        <v>0</v>
      </c>
      <c r="L931" s="11">
        <f>_xlfn.XLOOKUP(TableDailySummary[[#This Row],[Fecha]],SummaryDaily[day],SummaryDaily[Online Store_net_sales],0)</f>
        <v>0</v>
      </c>
      <c r="M931" s="11">
        <f>_xlfn.XLOOKUP(TableDailySummary[[#This Row],[Fecha]],SummaryDaily[day],SummaryDaily[Online Store_orders],0)</f>
        <v>0</v>
      </c>
      <c r="N931" s="11">
        <f>_xlfn.XLOOKUP(TableDailySummary[[#This Row],[Fecha]],SummaryDaily[day],SummaryDaily[Online Store_average_order_value],0)</f>
        <v>0</v>
      </c>
      <c r="O931" s="11">
        <f>_xlfn.XLOOKUP(TableDailySummary[[#This Row],[Fecha]],SummaryDaily[day],SummaryDaily[Tienda 81_net_sales],0)</f>
        <v>0</v>
      </c>
      <c r="P931" s="11">
        <f>_xlfn.XLOOKUP(TableDailySummary[[#This Row],[Fecha]],SummaryDaily[day],SummaryDaily[Tienda 81_orders],0)</f>
        <v>0</v>
      </c>
      <c r="Q931" s="11">
        <f>_xlfn.XLOOKUP(TableDailySummary[[#This Row],[Fecha]],SummaryDaily[day],SummaryDaily[Tienda 81_average_order_value],0)</f>
        <v>0</v>
      </c>
      <c r="R931" s="11">
        <f>_xlfn.XLOOKUP(TableDailySummary[[#This Row],[Fecha]],SummaryDaily[day],SummaryDaily[Rappi_net_sales],0)</f>
        <v>0</v>
      </c>
      <c r="S931" s="11">
        <f>_xlfn.XLOOKUP(TableDailySummary[[#This Row],[Fecha]],SummaryDaily[day],SummaryDaily[Rappi_orders],0)</f>
        <v>0</v>
      </c>
      <c r="T931" s="11">
        <f>_xlfn.XLOOKUP(TableDailySummary[[#This Row],[Fecha]],SummaryDaily[day],SummaryDaily[Rappi_average_order_value],0)</f>
        <v>0</v>
      </c>
      <c r="U931" s="11">
        <f>_xlfn.XLOOKUP(TableDailySummary[[#This Row],[Fecha]],SummaryDaily[day],SummaryDaily[Corporativo no tienda_net_sales],0)</f>
        <v>0</v>
      </c>
      <c r="V931" s="11">
        <f>_xlfn.XLOOKUP(TableDailySummary[[#This Row],[Fecha]],SummaryDaily[day],SummaryDaily[Corporativo no tienda_orders],0)</f>
        <v>0</v>
      </c>
      <c r="W931" s="11">
        <f>_xlfn.XLOOKUP(TableDailySummary[[#This Row],[Fecha]],SummaryDaily[day],SummaryDaily[Corporativo no tienda_average_order_value],0)</f>
        <v>0</v>
      </c>
      <c r="X931" s="11">
        <f>_xlfn.XLOOKUP(TableDailySummary[[#This Row],[Fecha]],SummaryDaily[day],SummaryDaily[GoogleAdsOperation.Cost],0)</f>
        <v>0</v>
      </c>
      <c r="Y931" s="11">
        <f>SUMIFS(SalesByUTMDaily[google],SalesByUTMDaily[day],TableDailySummary[[#This Row],[Fecha]])</f>
        <v>0</v>
      </c>
      <c r="Z931" s="11">
        <f>_xlfn.XLOOKUP(TableDailySummary[[#This Row],[Fecha]],SummaryDaily[day],SummaryDaily[MetaAdsOperation.spend],0)</f>
        <v>0</v>
      </c>
      <c r="AA931" s="11">
        <f>SUMIFS(SalesByUTMDaily[facebook],SalesByUTMDaily[day],TableDailySummary[[#This Row],[Fecha]])</f>
        <v>0</v>
      </c>
      <c r="AB931" s="11">
        <f>TableDailySummary[[#This Row],[Inversión google ads]]+TableDailySummary[[#This Row],[Inversión meta ads]]</f>
        <v>0</v>
      </c>
      <c r="AC931" s="11">
        <f>TableDailySummary[[#This Row],[Ventas google ads]]+TableDailySummary[[#This Row],[Ventas meta ads]]</f>
        <v>0</v>
      </c>
      <c r="AD931" s="14">
        <f>IFERROR(TableDailySummary[[#This Row],[Ventas publicidad]]/TableDailySummary[[#This Row],[Inversión publicidad]],0)</f>
        <v>0</v>
      </c>
      <c r="AE931" s="14">
        <f>IFERROR(TableDailySummary[[#This Row],[Ventas primer cliente]]/TableDailySummary[[#This Row],[Inversión publicidad]],0)</f>
        <v>0</v>
      </c>
      <c r="AF931" s="14"/>
      <c r="AG931" s="11"/>
      <c r="AM931" s="11">
        <f>_xlfn.XLOOKUP(TableDailySummary[[#This Row],[Fecha]],SummaryDaily[day],SummaryDaily[net_sales_with_cost_recorded],0)</f>
        <v>0</v>
      </c>
      <c r="AN931" s="11">
        <f>_xlfn.XLOOKUP(TableDailySummary[[#This Row],[Fecha]],SummaryDaily[day],SummaryDaily[cost_of_goods_sold],0)</f>
        <v>0</v>
      </c>
      <c r="AO931" s="11">
        <f>_xlfn.XLOOKUP(TableDailySummary[[#This Row],[Fecha]],SummaryDaily[day],SummaryDaily[gross_profit],0)</f>
        <v>0</v>
      </c>
      <c r="AP931" s="18">
        <f>IFERROR(TableDailySummary[[#This Row],[Utilidad bruta]]/TableDailySummary[[#This Row],[Ventas netas con costo registrado]],0)</f>
        <v>0</v>
      </c>
    </row>
    <row r="932" spans="2:42" x14ac:dyDescent="0.2">
      <c r="B932" s="15" cm="1">
        <f t="array" ref="B932">ParamFechaInicioReporte + (ROW(TableDailySummary[#This Row]) - ROW(TableDailySummary[[#Headers],[Dia]]) - 1)</f>
        <v>45459</v>
      </c>
      <c r="C932" s="6">
        <f>TableDailySummary[[#This Row],[Dia]]</f>
        <v>45459</v>
      </c>
      <c r="D932" s="11">
        <f>_xlfn.XLOOKUP(TableDailySummary[[#This Row],[Fecha]],SummaryDaily[day],SummaryDaily[net_sales],0)</f>
        <v>0</v>
      </c>
      <c r="E932" s="11">
        <f>_xlfn.XLOOKUP(TableDailySummary[[#This Row],[Fecha]],SummaryDaily[day],SummaryDaily[orders],0)</f>
        <v>0</v>
      </c>
      <c r="F932" s="11">
        <f>_xlfn.XLOOKUP(TableDailySummary[[#This Row],[Fecha]],SummaryDaily[day],SummaryDaily[average_order_value],0)</f>
        <v>0</v>
      </c>
      <c r="G932" s="24" cm="1">
        <f t="array" ref="G932">_xlfn.XLOOKUP(TableDailySummary[[#This Row],[Fecha]]&amp;"Total site",ConversionRateByReferral[day]&amp;ConversionRateByReferral[referrer_source],ConversionRateByReferral[conversion_rate],0)</f>
        <v>0</v>
      </c>
      <c r="H932" s="11">
        <f>TableDailySummary[[#This Row],[Órden promedio totales]]*TableDailySummary[[#This Row],[CR totales]]</f>
        <v>0</v>
      </c>
      <c r="I932" s="11">
        <f>_xlfn.XLOOKUP(TableDailySummary[[#This Row],[Fecha]],SummaryDaily[day],SummaryDaily[new_net_sales],0)</f>
        <v>0</v>
      </c>
      <c r="J932" s="11">
        <f>_xlfn.XLOOKUP(TableDailySummary[[#This Row],[Fecha]],SummaryDaily[day],SummaryDaily[new_orders],0)</f>
        <v>0</v>
      </c>
      <c r="K932" s="11">
        <f>_xlfn.XLOOKUP(TableDailySummary[[#This Row],[Fecha]],SummaryDaily[day],SummaryDaily[new_average_order_value],0)</f>
        <v>0</v>
      </c>
      <c r="L932" s="11">
        <f>_xlfn.XLOOKUP(TableDailySummary[[#This Row],[Fecha]],SummaryDaily[day],SummaryDaily[Online Store_net_sales],0)</f>
        <v>0</v>
      </c>
      <c r="M932" s="11">
        <f>_xlfn.XLOOKUP(TableDailySummary[[#This Row],[Fecha]],SummaryDaily[day],SummaryDaily[Online Store_orders],0)</f>
        <v>0</v>
      </c>
      <c r="N932" s="11">
        <f>_xlfn.XLOOKUP(TableDailySummary[[#This Row],[Fecha]],SummaryDaily[day],SummaryDaily[Online Store_average_order_value],0)</f>
        <v>0</v>
      </c>
      <c r="O932" s="11">
        <f>_xlfn.XLOOKUP(TableDailySummary[[#This Row],[Fecha]],SummaryDaily[day],SummaryDaily[Tienda 81_net_sales],0)</f>
        <v>0</v>
      </c>
      <c r="P932" s="11">
        <f>_xlfn.XLOOKUP(TableDailySummary[[#This Row],[Fecha]],SummaryDaily[day],SummaryDaily[Tienda 81_orders],0)</f>
        <v>0</v>
      </c>
      <c r="Q932" s="11">
        <f>_xlfn.XLOOKUP(TableDailySummary[[#This Row],[Fecha]],SummaryDaily[day],SummaryDaily[Tienda 81_average_order_value],0)</f>
        <v>0</v>
      </c>
      <c r="R932" s="11">
        <f>_xlfn.XLOOKUP(TableDailySummary[[#This Row],[Fecha]],SummaryDaily[day],SummaryDaily[Rappi_net_sales],0)</f>
        <v>0</v>
      </c>
      <c r="S932" s="11">
        <f>_xlfn.XLOOKUP(TableDailySummary[[#This Row],[Fecha]],SummaryDaily[day],SummaryDaily[Rappi_orders],0)</f>
        <v>0</v>
      </c>
      <c r="T932" s="11">
        <f>_xlfn.XLOOKUP(TableDailySummary[[#This Row],[Fecha]],SummaryDaily[day],SummaryDaily[Rappi_average_order_value],0)</f>
        <v>0</v>
      </c>
      <c r="U932" s="11">
        <f>_xlfn.XLOOKUP(TableDailySummary[[#This Row],[Fecha]],SummaryDaily[day],SummaryDaily[Corporativo no tienda_net_sales],0)</f>
        <v>0</v>
      </c>
      <c r="V932" s="11">
        <f>_xlfn.XLOOKUP(TableDailySummary[[#This Row],[Fecha]],SummaryDaily[day],SummaryDaily[Corporativo no tienda_orders],0)</f>
        <v>0</v>
      </c>
      <c r="W932" s="11">
        <f>_xlfn.XLOOKUP(TableDailySummary[[#This Row],[Fecha]],SummaryDaily[day],SummaryDaily[Corporativo no tienda_average_order_value],0)</f>
        <v>0</v>
      </c>
      <c r="X932" s="11">
        <f>_xlfn.XLOOKUP(TableDailySummary[[#This Row],[Fecha]],SummaryDaily[day],SummaryDaily[GoogleAdsOperation.Cost],0)</f>
        <v>0</v>
      </c>
      <c r="Y932" s="11">
        <f>SUMIFS(SalesByUTMDaily[google],SalesByUTMDaily[day],TableDailySummary[[#This Row],[Fecha]])</f>
        <v>0</v>
      </c>
      <c r="Z932" s="11">
        <f>_xlfn.XLOOKUP(TableDailySummary[[#This Row],[Fecha]],SummaryDaily[day],SummaryDaily[MetaAdsOperation.spend],0)</f>
        <v>0</v>
      </c>
      <c r="AA932" s="11">
        <f>SUMIFS(SalesByUTMDaily[facebook],SalesByUTMDaily[day],TableDailySummary[[#This Row],[Fecha]])</f>
        <v>0</v>
      </c>
      <c r="AB932" s="11">
        <f>TableDailySummary[[#This Row],[Inversión google ads]]+TableDailySummary[[#This Row],[Inversión meta ads]]</f>
        <v>0</v>
      </c>
      <c r="AC932" s="11">
        <f>TableDailySummary[[#This Row],[Ventas google ads]]+TableDailySummary[[#This Row],[Ventas meta ads]]</f>
        <v>0</v>
      </c>
      <c r="AD932" s="14">
        <f>IFERROR(TableDailySummary[[#This Row],[Ventas publicidad]]/TableDailySummary[[#This Row],[Inversión publicidad]],0)</f>
        <v>0</v>
      </c>
      <c r="AE932" s="14">
        <f>IFERROR(TableDailySummary[[#This Row],[Ventas primer cliente]]/TableDailySummary[[#This Row],[Inversión publicidad]],0)</f>
        <v>0</v>
      </c>
      <c r="AF932" s="14"/>
      <c r="AG932" s="11"/>
      <c r="AM932" s="11">
        <f>_xlfn.XLOOKUP(TableDailySummary[[#This Row],[Fecha]],SummaryDaily[day],SummaryDaily[net_sales_with_cost_recorded],0)</f>
        <v>0</v>
      </c>
      <c r="AN932" s="11">
        <f>_xlfn.XLOOKUP(TableDailySummary[[#This Row],[Fecha]],SummaryDaily[day],SummaryDaily[cost_of_goods_sold],0)</f>
        <v>0</v>
      </c>
      <c r="AO932" s="11">
        <f>_xlfn.XLOOKUP(TableDailySummary[[#This Row],[Fecha]],SummaryDaily[day],SummaryDaily[gross_profit],0)</f>
        <v>0</v>
      </c>
      <c r="AP932" s="18">
        <f>IFERROR(TableDailySummary[[#This Row],[Utilidad bruta]]/TableDailySummary[[#This Row],[Ventas netas con costo registrado]],0)</f>
        <v>0</v>
      </c>
    </row>
    <row r="933" spans="2:42" x14ac:dyDescent="0.2">
      <c r="B933" s="15" cm="1">
        <f t="array" ref="B933">ParamFechaInicioReporte + (ROW(TableDailySummary[#This Row]) - ROW(TableDailySummary[[#Headers],[Dia]]) - 1)</f>
        <v>45460</v>
      </c>
      <c r="C933" s="6">
        <f>TableDailySummary[[#This Row],[Dia]]</f>
        <v>45460</v>
      </c>
      <c r="D933" s="11">
        <f>_xlfn.XLOOKUP(TableDailySummary[[#This Row],[Fecha]],SummaryDaily[day],SummaryDaily[net_sales],0)</f>
        <v>0</v>
      </c>
      <c r="E933" s="11">
        <f>_xlfn.XLOOKUP(TableDailySummary[[#This Row],[Fecha]],SummaryDaily[day],SummaryDaily[orders],0)</f>
        <v>0</v>
      </c>
      <c r="F933" s="11">
        <f>_xlfn.XLOOKUP(TableDailySummary[[#This Row],[Fecha]],SummaryDaily[day],SummaryDaily[average_order_value],0)</f>
        <v>0</v>
      </c>
      <c r="G933" s="24" cm="1">
        <f t="array" ref="G933">_xlfn.XLOOKUP(TableDailySummary[[#This Row],[Fecha]]&amp;"Total site",ConversionRateByReferral[day]&amp;ConversionRateByReferral[referrer_source],ConversionRateByReferral[conversion_rate],0)</f>
        <v>0</v>
      </c>
      <c r="H933" s="11">
        <f>TableDailySummary[[#This Row],[Órden promedio totales]]*TableDailySummary[[#This Row],[CR totales]]</f>
        <v>0</v>
      </c>
      <c r="I933" s="11">
        <f>_xlfn.XLOOKUP(TableDailySummary[[#This Row],[Fecha]],SummaryDaily[day],SummaryDaily[new_net_sales],0)</f>
        <v>0</v>
      </c>
      <c r="J933" s="11">
        <f>_xlfn.XLOOKUP(TableDailySummary[[#This Row],[Fecha]],SummaryDaily[day],SummaryDaily[new_orders],0)</f>
        <v>0</v>
      </c>
      <c r="K933" s="11">
        <f>_xlfn.XLOOKUP(TableDailySummary[[#This Row],[Fecha]],SummaryDaily[day],SummaryDaily[new_average_order_value],0)</f>
        <v>0</v>
      </c>
      <c r="L933" s="11">
        <f>_xlfn.XLOOKUP(TableDailySummary[[#This Row],[Fecha]],SummaryDaily[day],SummaryDaily[Online Store_net_sales],0)</f>
        <v>0</v>
      </c>
      <c r="M933" s="11">
        <f>_xlfn.XLOOKUP(TableDailySummary[[#This Row],[Fecha]],SummaryDaily[day],SummaryDaily[Online Store_orders],0)</f>
        <v>0</v>
      </c>
      <c r="N933" s="11">
        <f>_xlfn.XLOOKUP(TableDailySummary[[#This Row],[Fecha]],SummaryDaily[day],SummaryDaily[Online Store_average_order_value],0)</f>
        <v>0</v>
      </c>
      <c r="O933" s="11">
        <f>_xlfn.XLOOKUP(TableDailySummary[[#This Row],[Fecha]],SummaryDaily[day],SummaryDaily[Tienda 81_net_sales],0)</f>
        <v>0</v>
      </c>
      <c r="P933" s="11">
        <f>_xlfn.XLOOKUP(TableDailySummary[[#This Row],[Fecha]],SummaryDaily[day],SummaryDaily[Tienda 81_orders],0)</f>
        <v>0</v>
      </c>
      <c r="Q933" s="11">
        <f>_xlfn.XLOOKUP(TableDailySummary[[#This Row],[Fecha]],SummaryDaily[day],SummaryDaily[Tienda 81_average_order_value],0)</f>
        <v>0</v>
      </c>
      <c r="R933" s="11">
        <f>_xlfn.XLOOKUP(TableDailySummary[[#This Row],[Fecha]],SummaryDaily[day],SummaryDaily[Rappi_net_sales],0)</f>
        <v>0</v>
      </c>
      <c r="S933" s="11">
        <f>_xlfn.XLOOKUP(TableDailySummary[[#This Row],[Fecha]],SummaryDaily[day],SummaryDaily[Rappi_orders],0)</f>
        <v>0</v>
      </c>
      <c r="T933" s="11">
        <f>_xlfn.XLOOKUP(TableDailySummary[[#This Row],[Fecha]],SummaryDaily[day],SummaryDaily[Rappi_average_order_value],0)</f>
        <v>0</v>
      </c>
      <c r="U933" s="11">
        <f>_xlfn.XLOOKUP(TableDailySummary[[#This Row],[Fecha]],SummaryDaily[day],SummaryDaily[Corporativo no tienda_net_sales],0)</f>
        <v>0</v>
      </c>
      <c r="V933" s="11">
        <f>_xlfn.XLOOKUP(TableDailySummary[[#This Row],[Fecha]],SummaryDaily[day],SummaryDaily[Corporativo no tienda_orders],0)</f>
        <v>0</v>
      </c>
      <c r="W933" s="11">
        <f>_xlfn.XLOOKUP(TableDailySummary[[#This Row],[Fecha]],SummaryDaily[day],SummaryDaily[Corporativo no tienda_average_order_value],0)</f>
        <v>0</v>
      </c>
      <c r="X933" s="11">
        <f>_xlfn.XLOOKUP(TableDailySummary[[#This Row],[Fecha]],SummaryDaily[day],SummaryDaily[GoogleAdsOperation.Cost],0)</f>
        <v>0</v>
      </c>
      <c r="Y933" s="11">
        <f>SUMIFS(SalesByUTMDaily[google],SalesByUTMDaily[day],TableDailySummary[[#This Row],[Fecha]])</f>
        <v>0</v>
      </c>
      <c r="Z933" s="11">
        <f>_xlfn.XLOOKUP(TableDailySummary[[#This Row],[Fecha]],SummaryDaily[day],SummaryDaily[MetaAdsOperation.spend],0)</f>
        <v>0</v>
      </c>
      <c r="AA933" s="11">
        <f>SUMIFS(SalesByUTMDaily[facebook],SalesByUTMDaily[day],TableDailySummary[[#This Row],[Fecha]])</f>
        <v>0</v>
      </c>
      <c r="AB933" s="11">
        <f>TableDailySummary[[#This Row],[Inversión google ads]]+TableDailySummary[[#This Row],[Inversión meta ads]]</f>
        <v>0</v>
      </c>
      <c r="AC933" s="11">
        <f>TableDailySummary[[#This Row],[Ventas google ads]]+TableDailySummary[[#This Row],[Ventas meta ads]]</f>
        <v>0</v>
      </c>
      <c r="AD933" s="14">
        <f>IFERROR(TableDailySummary[[#This Row],[Ventas publicidad]]/TableDailySummary[[#This Row],[Inversión publicidad]],0)</f>
        <v>0</v>
      </c>
      <c r="AE933" s="14">
        <f>IFERROR(TableDailySummary[[#This Row],[Ventas primer cliente]]/TableDailySummary[[#This Row],[Inversión publicidad]],0)</f>
        <v>0</v>
      </c>
      <c r="AF933" s="14"/>
      <c r="AG933" s="11"/>
      <c r="AM933" s="11">
        <f>_xlfn.XLOOKUP(TableDailySummary[[#This Row],[Fecha]],SummaryDaily[day],SummaryDaily[net_sales_with_cost_recorded],0)</f>
        <v>0</v>
      </c>
      <c r="AN933" s="11">
        <f>_xlfn.XLOOKUP(TableDailySummary[[#This Row],[Fecha]],SummaryDaily[day],SummaryDaily[cost_of_goods_sold],0)</f>
        <v>0</v>
      </c>
      <c r="AO933" s="11">
        <f>_xlfn.XLOOKUP(TableDailySummary[[#This Row],[Fecha]],SummaryDaily[day],SummaryDaily[gross_profit],0)</f>
        <v>0</v>
      </c>
      <c r="AP933" s="18">
        <f>IFERROR(TableDailySummary[[#This Row],[Utilidad bruta]]/TableDailySummary[[#This Row],[Ventas netas con costo registrado]],0)</f>
        <v>0</v>
      </c>
    </row>
    <row r="934" spans="2:42" x14ac:dyDescent="0.2">
      <c r="B934" s="15" cm="1">
        <f t="array" ref="B934">ParamFechaInicioReporte + (ROW(TableDailySummary[#This Row]) - ROW(TableDailySummary[[#Headers],[Dia]]) - 1)</f>
        <v>45461</v>
      </c>
      <c r="C934" s="6">
        <f>TableDailySummary[[#This Row],[Dia]]</f>
        <v>45461</v>
      </c>
      <c r="D934" s="11">
        <f>_xlfn.XLOOKUP(TableDailySummary[[#This Row],[Fecha]],SummaryDaily[day],SummaryDaily[net_sales],0)</f>
        <v>0</v>
      </c>
      <c r="E934" s="11">
        <f>_xlfn.XLOOKUP(TableDailySummary[[#This Row],[Fecha]],SummaryDaily[day],SummaryDaily[orders],0)</f>
        <v>0</v>
      </c>
      <c r="F934" s="11">
        <f>_xlfn.XLOOKUP(TableDailySummary[[#This Row],[Fecha]],SummaryDaily[day],SummaryDaily[average_order_value],0)</f>
        <v>0</v>
      </c>
      <c r="G934" s="24" cm="1">
        <f t="array" ref="G934">_xlfn.XLOOKUP(TableDailySummary[[#This Row],[Fecha]]&amp;"Total site",ConversionRateByReferral[day]&amp;ConversionRateByReferral[referrer_source],ConversionRateByReferral[conversion_rate],0)</f>
        <v>0</v>
      </c>
      <c r="H934" s="11">
        <f>TableDailySummary[[#This Row],[Órden promedio totales]]*TableDailySummary[[#This Row],[CR totales]]</f>
        <v>0</v>
      </c>
      <c r="I934" s="11">
        <f>_xlfn.XLOOKUP(TableDailySummary[[#This Row],[Fecha]],SummaryDaily[day],SummaryDaily[new_net_sales],0)</f>
        <v>0</v>
      </c>
      <c r="J934" s="11">
        <f>_xlfn.XLOOKUP(TableDailySummary[[#This Row],[Fecha]],SummaryDaily[day],SummaryDaily[new_orders],0)</f>
        <v>0</v>
      </c>
      <c r="K934" s="11">
        <f>_xlfn.XLOOKUP(TableDailySummary[[#This Row],[Fecha]],SummaryDaily[day],SummaryDaily[new_average_order_value],0)</f>
        <v>0</v>
      </c>
      <c r="L934" s="11">
        <f>_xlfn.XLOOKUP(TableDailySummary[[#This Row],[Fecha]],SummaryDaily[day],SummaryDaily[Online Store_net_sales],0)</f>
        <v>0</v>
      </c>
      <c r="M934" s="11">
        <f>_xlfn.XLOOKUP(TableDailySummary[[#This Row],[Fecha]],SummaryDaily[day],SummaryDaily[Online Store_orders],0)</f>
        <v>0</v>
      </c>
      <c r="N934" s="11">
        <f>_xlfn.XLOOKUP(TableDailySummary[[#This Row],[Fecha]],SummaryDaily[day],SummaryDaily[Online Store_average_order_value],0)</f>
        <v>0</v>
      </c>
      <c r="O934" s="11">
        <f>_xlfn.XLOOKUP(TableDailySummary[[#This Row],[Fecha]],SummaryDaily[day],SummaryDaily[Tienda 81_net_sales],0)</f>
        <v>0</v>
      </c>
      <c r="P934" s="11">
        <f>_xlfn.XLOOKUP(TableDailySummary[[#This Row],[Fecha]],SummaryDaily[day],SummaryDaily[Tienda 81_orders],0)</f>
        <v>0</v>
      </c>
      <c r="Q934" s="11">
        <f>_xlfn.XLOOKUP(TableDailySummary[[#This Row],[Fecha]],SummaryDaily[day],SummaryDaily[Tienda 81_average_order_value],0)</f>
        <v>0</v>
      </c>
      <c r="R934" s="11">
        <f>_xlfn.XLOOKUP(TableDailySummary[[#This Row],[Fecha]],SummaryDaily[day],SummaryDaily[Rappi_net_sales],0)</f>
        <v>0</v>
      </c>
      <c r="S934" s="11">
        <f>_xlfn.XLOOKUP(TableDailySummary[[#This Row],[Fecha]],SummaryDaily[day],SummaryDaily[Rappi_orders],0)</f>
        <v>0</v>
      </c>
      <c r="T934" s="11">
        <f>_xlfn.XLOOKUP(TableDailySummary[[#This Row],[Fecha]],SummaryDaily[day],SummaryDaily[Rappi_average_order_value],0)</f>
        <v>0</v>
      </c>
      <c r="U934" s="11">
        <f>_xlfn.XLOOKUP(TableDailySummary[[#This Row],[Fecha]],SummaryDaily[day],SummaryDaily[Corporativo no tienda_net_sales],0)</f>
        <v>0</v>
      </c>
      <c r="V934" s="11">
        <f>_xlfn.XLOOKUP(TableDailySummary[[#This Row],[Fecha]],SummaryDaily[day],SummaryDaily[Corporativo no tienda_orders],0)</f>
        <v>0</v>
      </c>
      <c r="W934" s="11">
        <f>_xlfn.XLOOKUP(TableDailySummary[[#This Row],[Fecha]],SummaryDaily[day],SummaryDaily[Corporativo no tienda_average_order_value],0)</f>
        <v>0</v>
      </c>
      <c r="X934" s="11">
        <f>_xlfn.XLOOKUP(TableDailySummary[[#This Row],[Fecha]],SummaryDaily[day],SummaryDaily[GoogleAdsOperation.Cost],0)</f>
        <v>0</v>
      </c>
      <c r="Y934" s="11">
        <f>SUMIFS(SalesByUTMDaily[google],SalesByUTMDaily[day],TableDailySummary[[#This Row],[Fecha]])</f>
        <v>0</v>
      </c>
      <c r="Z934" s="11">
        <f>_xlfn.XLOOKUP(TableDailySummary[[#This Row],[Fecha]],SummaryDaily[day],SummaryDaily[MetaAdsOperation.spend],0)</f>
        <v>0</v>
      </c>
      <c r="AA934" s="11">
        <f>SUMIFS(SalesByUTMDaily[facebook],SalesByUTMDaily[day],TableDailySummary[[#This Row],[Fecha]])</f>
        <v>0</v>
      </c>
      <c r="AB934" s="11">
        <f>TableDailySummary[[#This Row],[Inversión google ads]]+TableDailySummary[[#This Row],[Inversión meta ads]]</f>
        <v>0</v>
      </c>
      <c r="AC934" s="11">
        <f>TableDailySummary[[#This Row],[Ventas google ads]]+TableDailySummary[[#This Row],[Ventas meta ads]]</f>
        <v>0</v>
      </c>
      <c r="AD934" s="14">
        <f>IFERROR(TableDailySummary[[#This Row],[Ventas publicidad]]/TableDailySummary[[#This Row],[Inversión publicidad]],0)</f>
        <v>0</v>
      </c>
      <c r="AE934" s="14">
        <f>IFERROR(TableDailySummary[[#This Row],[Ventas primer cliente]]/TableDailySummary[[#This Row],[Inversión publicidad]],0)</f>
        <v>0</v>
      </c>
      <c r="AF934" s="14"/>
      <c r="AG934" s="11"/>
      <c r="AM934" s="11">
        <f>_xlfn.XLOOKUP(TableDailySummary[[#This Row],[Fecha]],SummaryDaily[day],SummaryDaily[net_sales_with_cost_recorded],0)</f>
        <v>0</v>
      </c>
      <c r="AN934" s="11">
        <f>_xlfn.XLOOKUP(TableDailySummary[[#This Row],[Fecha]],SummaryDaily[day],SummaryDaily[cost_of_goods_sold],0)</f>
        <v>0</v>
      </c>
      <c r="AO934" s="11">
        <f>_xlfn.XLOOKUP(TableDailySummary[[#This Row],[Fecha]],SummaryDaily[day],SummaryDaily[gross_profit],0)</f>
        <v>0</v>
      </c>
      <c r="AP934" s="18">
        <f>IFERROR(TableDailySummary[[#This Row],[Utilidad bruta]]/TableDailySummary[[#This Row],[Ventas netas con costo registrado]],0)</f>
        <v>0</v>
      </c>
    </row>
    <row r="935" spans="2:42" x14ac:dyDescent="0.2">
      <c r="B935" s="15" cm="1">
        <f t="array" ref="B935">ParamFechaInicioReporte + (ROW(TableDailySummary[#This Row]) - ROW(TableDailySummary[[#Headers],[Dia]]) - 1)</f>
        <v>45462</v>
      </c>
      <c r="C935" s="6">
        <f>TableDailySummary[[#This Row],[Dia]]</f>
        <v>45462</v>
      </c>
      <c r="D935" s="11">
        <f>_xlfn.XLOOKUP(TableDailySummary[[#This Row],[Fecha]],SummaryDaily[day],SummaryDaily[net_sales],0)</f>
        <v>0</v>
      </c>
      <c r="E935" s="11">
        <f>_xlfn.XLOOKUP(TableDailySummary[[#This Row],[Fecha]],SummaryDaily[day],SummaryDaily[orders],0)</f>
        <v>0</v>
      </c>
      <c r="F935" s="11">
        <f>_xlfn.XLOOKUP(TableDailySummary[[#This Row],[Fecha]],SummaryDaily[day],SummaryDaily[average_order_value],0)</f>
        <v>0</v>
      </c>
      <c r="G935" s="24" cm="1">
        <f t="array" ref="G935">_xlfn.XLOOKUP(TableDailySummary[[#This Row],[Fecha]]&amp;"Total site",ConversionRateByReferral[day]&amp;ConversionRateByReferral[referrer_source],ConversionRateByReferral[conversion_rate],0)</f>
        <v>0</v>
      </c>
      <c r="H935" s="11">
        <f>TableDailySummary[[#This Row],[Órden promedio totales]]*TableDailySummary[[#This Row],[CR totales]]</f>
        <v>0</v>
      </c>
      <c r="I935" s="11">
        <f>_xlfn.XLOOKUP(TableDailySummary[[#This Row],[Fecha]],SummaryDaily[day],SummaryDaily[new_net_sales],0)</f>
        <v>0</v>
      </c>
      <c r="J935" s="11">
        <f>_xlfn.XLOOKUP(TableDailySummary[[#This Row],[Fecha]],SummaryDaily[day],SummaryDaily[new_orders],0)</f>
        <v>0</v>
      </c>
      <c r="K935" s="11">
        <f>_xlfn.XLOOKUP(TableDailySummary[[#This Row],[Fecha]],SummaryDaily[day],SummaryDaily[new_average_order_value],0)</f>
        <v>0</v>
      </c>
      <c r="L935" s="11">
        <f>_xlfn.XLOOKUP(TableDailySummary[[#This Row],[Fecha]],SummaryDaily[day],SummaryDaily[Online Store_net_sales],0)</f>
        <v>0</v>
      </c>
      <c r="M935" s="11">
        <f>_xlfn.XLOOKUP(TableDailySummary[[#This Row],[Fecha]],SummaryDaily[day],SummaryDaily[Online Store_orders],0)</f>
        <v>0</v>
      </c>
      <c r="N935" s="11">
        <f>_xlfn.XLOOKUP(TableDailySummary[[#This Row],[Fecha]],SummaryDaily[day],SummaryDaily[Online Store_average_order_value],0)</f>
        <v>0</v>
      </c>
      <c r="O935" s="11">
        <f>_xlfn.XLOOKUP(TableDailySummary[[#This Row],[Fecha]],SummaryDaily[day],SummaryDaily[Tienda 81_net_sales],0)</f>
        <v>0</v>
      </c>
      <c r="P935" s="11">
        <f>_xlfn.XLOOKUP(TableDailySummary[[#This Row],[Fecha]],SummaryDaily[day],SummaryDaily[Tienda 81_orders],0)</f>
        <v>0</v>
      </c>
      <c r="Q935" s="11">
        <f>_xlfn.XLOOKUP(TableDailySummary[[#This Row],[Fecha]],SummaryDaily[day],SummaryDaily[Tienda 81_average_order_value],0)</f>
        <v>0</v>
      </c>
      <c r="R935" s="11">
        <f>_xlfn.XLOOKUP(TableDailySummary[[#This Row],[Fecha]],SummaryDaily[day],SummaryDaily[Rappi_net_sales],0)</f>
        <v>0</v>
      </c>
      <c r="S935" s="11">
        <f>_xlfn.XLOOKUP(TableDailySummary[[#This Row],[Fecha]],SummaryDaily[day],SummaryDaily[Rappi_orders],0)</f>
        <v>0</v>
      </c>
      <c r="T935" s="11">
        <f>_xlfn.XLOOKUP(TableDailySummary[[#This Row],[Fecha]],SummaryDaily[day],SummaryDaily[Rappi_average_order_value],0)</f>
        <v>0</v>
      </c>
      <c r="U935" s="11">
        <f>_xlfn.XLOOKUP(TableDailySummary[[#This Row],[Fecha]],SummaryDaily[day],SummaryDaily[Corporativo no tienda_net_sales],0)</f>
        <v>0</v>
      </c>
      <c r="V935" s="11">
        <f>_xlfn.XLOOKUP(TableDailySummary[[#This Row],[Fecha]],SummaryDaily[day],SummaryDaily[Corporativo no tienda_orders],0)</f>
        <v>0</v>
      </c>
      <c r="W935" s="11">
        <f>_xlfn.XLOOKUP(TableDailySummary[[#This Row],[Fecha]],SummaryDaily[day],SummaryDaily[Corporativo no tienda_average_order_value],0)</f>
        <v>0</v>
      </c>
      <c r="X935" s="11">
        <f>_xlfn.XLOOKUP(TableDailySummary[[#This Row],[Fecha]],SummaryDaily[day],SummaryDaily[GoogleAdsOperation.Cost],0)</f>
        <v>0</v>
      </c>
      <c r="Y935" s="11">
        <f>SUMIFS(SalesByUTMDaily[google],SalesByUTMDaily[day],TableDailySummary[[#This Row],[Fecha]])</f>
        <v>0</v>
      </c>
      <c r="Z935" s="11">
        <f>_xlfn.XLOOKUP(TableDailySummary[[#This Row],[Fecha]],SummaryDaily[day],SummaryDaily[MetaAdsOperation.spend],0)</f>
        <v>0</v>
      </c>
      <c r="AA935" s="11">
        <f>SUMIFS(SalesByUTMDaily[facebook],SalesByUTMDaily[day],TableDailySummary[[#This Row],[Fecha]])</f>
        <v>0</v>
      </c>
      <c r="AB935" s="11">
        <f>TableDailySummary[[#This Row],[Inversión google ads]]+TableDailySummary[[#This Row],[Inversión meta ads]]</f>
        <v>0</v>
      </c>
      <c r="AC935" s="11">
        <f>TableDailySummary[[#This Row],[Ventas google ads]]+TableDailySummary[[#This Row],[Ventas meta ads]]</f>
        <v>0</v>
      </c>
      <c r="AD935" s="14">
        <f>IFERROR(TableDailySummary[[#This Row],[Ventas publicidad]]/TableDailySummary[[#This Row],[Inversión publicidad]],0)</f>
        <v>0</v>
      </c>
      <c r="AE935" s="14">
        <f>IFERROR(TableDailySummary[[#This Row],[Ventas primer cliente]]/TableDailySummary[[#This Row],[Inversión publicidad]],0)</f>
        <v>0</v>
      </c>
      <c r="AF935" s="14"/>
      <c r="AG935" s="11"/>
      <c r="AM935" s="11">
        <f>_xlfn.XLOOKUP(TableDailySummary[[#This Row],[Fecha]],SummaryDaily[day],SummaryDaily[net_sales_with_cost_recorded],0)</f>
        <v>0</v>
      </c>
      <c r="AN935" s="11">
        <f>_xlfn.XLOOKUP(TableDailySummary[[#This Row],[Fecha]],SummaryDaily[day],SummaryDaily[cost_of_goods_sold],0)</f>
        <v>0</v>
      </c>
      <c r="AO935" s="11">
        <f>_xlfn.XLOOKUP(TableDailySummary[[#This Row],[Fecha]],SummaryDaily[day],SummaryDaily[gross_profit],0)</f>
        <v>0</v>
      </c>
      <c r="AP935" s="18">
        <f>IFERROR(TableDailySummary[[#This Row],[Utilidad bruta]]/TableDailySummary[[#This Row],[Ventas netas con costo registrado]],0)</f>
        <v>0</v>
      </c>
    </row>
    <row r="936" spans="2:42" x14ac:dyDescent="0.2">
      <c r="B936" s="15" cm="1">
        <f t="array" ref="B936">ParamFechaInicioReporte + (ROW(TableDailySummary[#This Row]) - ROW(TableDailySummary[[#Headers],[Dia]]) - 1)</f>
        <v>45463</v>
      </c>
      <c r="C936" s="6">
        <f>TableDailySummary[[#This Row],[Dia]]</f>
        <v>45463</v>
      </c>
      <c r="D936" s="11">
        <f>_xlfn.XLOOKUP(TableDailySummary[[#This Row],[Fecha]],SummaryDaily[day],SummaryDaily[net_sales],0)</f>
        <v>0</v>
      </c>
      <c r="E936" s="11">
        <f>_xlfn.XLOOKUP(TableDailySummary[[#This Row],[Fecha]],SummaryDaily[day],SummaryDaily[orders],0)</f>
        <v>0</v>
      </c>
      <c r="F936" s="11">
        <f>_xlfn.XLOOKUP(TableDailySummary[[#This Row],[Fecha]],SummaryDaily[day],SummaryDaily[average_order_value],0)</f>
        <v>0</v>
      </c>
      <c r="G936" s="24" cm="1">
        <f t="array" ref="G936">_xlfn.XLOOKUP(TableDailySummary[[#This Row],[Fecha]]&amp;"Total site",ConversionRateByReferral[day]&amp;ConversionRateByReferral[referrer_source],ConversionRateByReferral[conversion_rate],0)</f>
        <v>0</v>
      </c>
      <c r="H936" s="11">
        <f>TableDailySummary[[#This Row],[Órden promedio totales]]*TableDailySummary[[#This Row],[CR totales]]</f>
        <v>0</v>
      </c>
      <c r="I936" s="11">
        <f>_xlfn.XLOOKUP(TableDailySummary[[#This Row],[Fecha]],SummaryDaily[day],SummaryDaily[new_net_sales],0)</f>
        <v>0</v>
      </c>
      <c r="J936" s="11">
        <f>_xlfn.XLOOKUP(TableDailySummary[[#This Row],[Fecha]],SummaryDaily[day],SummaryDaily[new_orders],0)</f>
        <v>0</v>
      </c>
      <c r="K936" s="11">
        <f>_xlfn.XLOOKUP(TableDailySummary[[#This Row],[Fecha]],SummaryDaily[day],SummaryDaily[new_average_order_value],0)</f>
        <v>0</v>
      </c>
      <c r="L936" s="11">
        <f>_xlfn.XLOOKUP(TableDailySummary[[#This Row],[Fecha]],SummaryDaily[day],SummaryDaily[Online Store_net_sales],0)</f>
        <v>0</v>
      </c>
      <c r="M936" s="11">
        <f>_xlfn.XLOOKUP(TableDailySummary[[#This Row],[Fecha]],SummaryDaily[day],SummaryDaily[Online Store_orders],0)</f>
        <v>0</v>
      </c>
      <c r="N936" s="11">
        <f>_xlfn.XLOOKUP(TableDailySummary[[#This Row],[Fecha]],SummaryDaily[day],SummaryDaily[Online Store_average_order_value],0)</f>
        <v>0</v>
      </c>
      <c r="O936" s="11">
        <f>_xlfn.XLOOKUP(TableDailySummary[[#This Row],[Fecha]],SummaryDaily[day],SummaryDaily[Tienda 81_net_sales],0)</f>
        <v>0</v>
      </c>
      <c r="P936" s="11">
        <f>_xlfn.XLOOKUP(TableDailySummary[[#This Row],[Fecha]],SummaryDaily[day],SummaryDaily[Tienda 81_orders],0)</f>
        <v>0</v>
      </c>
      <c r="Q936" s="11">
        <f>_xlfn.XLOOKUP(TableDailySummary[[#This Row],[Fecha]],SummaryDaily[day],SummaryDaily[Tienda 81_average_order_value],0)</f>
        <v>0</v>
      </c>
      <c r="R936" s="11">
        <f>_xlfn.XLOOKUP(TableDailySummary[[#This Row],[Fecha]],SummaryDaily[day],SummaryDaily[Rappi_net_sales],0)</f>
        <v>0</v>
      </c>
      <c r="S936" s="11">
        <f>_xlfn.XLOOKUP(TableDailySummary[[#This Row],[Fecha]],SummaryDaily[day],SummaryDaily[Rappi_orders],0)</f>
        <v>0</v>
      </c>
      <c r="T936" s="11">
        <f>_xlfn.XLOOKUP(TableDailySummary[[#This Row],[Fecha]],SummaryDaily[day],SummaryDaily[Rappi_average_order_value],0)</f>
        <v>0</v>
      </c>
      <c r="U936" s="11">
        <f>_xlfn.XLOOKUP(TableDailySummary[[#This Row],[Fecha]],SummaryDaily[day],SummaryDaily[Corporativo no tienda_net_sales],0)</f>
        <v>0</v>
      </c>
      <c r="V936" s="11">
        <f>_xlfn.XLOOKUP(TableDailySummary[[#This Row],[Fecha]],SummaryDaily[day],SummaryDaily[Corporativo no tienda_orders],0)</f>
        <v>0</v>
      </c>
      <c r="W936" s="11">
        <f>_xlfn.XLOOKUP(TableDailySummary[[#This Row],[Fecha]],SummaryDaily[day],SummaryDaily[Corporativo no tienda_average_order_value],0)</f>
        <v>0</v>
      </c>
      <c r="X936" s="11">
        <f>_xlfn.XLOOKUP(TableDailySummary[[#This Row],[Fecha]],SummaryDaily[day],SummaryDaily[GoogleAdsOperation.Cost],0)</f>
        <v>0</v>
      </c>
      <c r="Y936" s="11">
        <f>SUMIFS(SalesByUTMDaily[google],SalesByUTMDaily[day],TableDailySummary[[#This Row],[Fecha]])</f>
        <v>0</v>
      </c>
      <c r="Z936" s="11">
        <f>_xlfn.XLOOKUP(TableDailySummary[[#This Row],[Fecha]],SummaryDaily[day],SummaryDaily[MetaAdsOperation.spend],0)</f>
        <v>0</v>
      </c>
      <c r="AA936" s="11">
        <f>SUMIFS(SalesByUTMDaily[facebook],SalesByUTMDaily[day],TableDailySummary[[#This Row],[Fecha]])</f>
        <v>0</v>
      </c>
      <c r="AB936" s="11">
        <f>TableDailySummary[[#This Row],[Inversión google ads]]+TableDailySummary[[#This Row],[Inversión meta ads]]</f>
        <v>0</v>
      </c>
      <c r="AC936" s="11">
        <f>TableDailySummary[[#This Row],[Ventas google ads]]+TableDailySummary[[#This Row],[Ventas meta ads]]</f>
        <v>0</v>
      </c>
      <c r="AD936" s="14">
        <f>IFERROR(TableDailySummary[[#This Row],[Ventas publicidad]]/TableDailySummary[[#This Row],[Inversión publicidad]],0)</f>
        <v>0</v>
      </c>
      <c r="AE936" s="14">
        <f>IFERROR(TableDailySummary[[#This Row],[Ventas primer cliente]]/TableDailySummary[[#This Row],[Inversión publicidad]],0)</f>
        <v>0</v>
      </c>
      <c r="AF936" s="14"/>
      <c r="AG936" s="11"/>
      <c r="AM936" s="11">
        <f>_xlfn.XLOOKUP(TableDailySummary[[#This Row],[Fecha]],SummaryDaily[day],SummaryDaily[net_sales_with_cost_recorded],0)</f>
        <v>0</v>
      </c>
      <c r="AN936" s="11">
        <f>_xlfn.XLOOKUP(TableDailySummary[[#This Row],[Fecha]],SummaryDaily[day],SummaryDaily[cost_of_goods_sold],0)</f>
        <v>0</v>
      </c>
      <c r="AO936" s="11">
        <f>_xlfn.XLOOKUP(TableDailySummary[[#This Row],[Fecha]],SummaryDaily[day],SummaryDaily[gross_profit],0)</f>
        <v>0</v>
      </c>
      <c r="AP936" s="18">
        <f>IFERROR(TableDailySummary[[#This Row],[Utilidad bruta]]/TableDailySummary[[#This Row],[Ventas netas con costo registrado]],0)</f>
        <v>0</v>
      </c>
    </row>
    <row r="937" spans="2:42" x14ac:dyDescent="0.2">
      <c r="B937" s="15" cm="1">
        <f t="array" ref="B937">ParamFechaInicioReporte + (ROW(TableDailySummary[#This Row]) - ROW(TableDailySummary[[#Headers],[Dia]]) - 1)</f>
        <v>45464</v>
      </c>
      <c r="C937" s="6">
        <f>TableDailySummary[[#This Row],[Dia]]</f>
        <v>45464</v>
      </c>
      <c r="D937" s="11">
        <f>_xlfn.XLOOKUP(TableDailySummary[[#This Row],[Fecha]],SummaryDaily[day],SummaryDaily[net_sales],0)</f>
        <v>0</v>
      </c>
      <c r="E937" s="11">
        <f>_xlfn.XLOOKUP(TableDailySummary[[#This Row],[Fecha]],SummaryDaily[day],SummaryDaily[orders],0)</f>
        <v>0</v>
      </c>
      <c r="F937" s="11">
        <f>_xlfn.XLOOKUP(TableDailySummary[[#This Row],[Fecha]],SummaryDaily[day],SummaryDaily[average_order_value],0)</f>
        <v>0</v>
      </c>
      <c r="G937" s="24" cm="1">
        <f t="array" ref="G937">_xlfn.XLOOKUP(TableDailySummary[[#This Row],[Fecha]]&amp;"Total site",ConversionRateByReferral[day]&amp;ConversionRateByReferral[referrer_source],ConversionRateByReferral[conversion_rate],0)</f>
        <v>0</v>
      </c>
      <c r="H937" s="11">
        <f>TableDailySummary[[#This Row],[Órden promedio totales]]*TableDailySummary[[#This Row],[CR totales]]</f>
        <v>0</v>
      </c>
      <c r="I937" s="11">
        <f>_xlfn.XLOOKUP(TableDailySummary[[#This Row],[Fecha]],SummaryDaily[day],SummaryDaily[new_net_sales],0)</f>
        <v>0</v>
      </c>
      <c r="J937" s="11">
        <f>_xlfn.XLOOKUP(TableDailySummary[[#This Row],[Fecha]],SummaryDaily[day],SummaryDaily[new_orders],0)</f>
        <v>0</v>
      </c>
      <c r="K937" s="11">
        <f>_xlfn.XLOOKUP(TableDailySummary[[#This Row],[Fecha]],SummaryDaily[day],SummaryDaily[new_average_order_value],0)</f>
        <v>0</v>
      </c>
      <c r="L937" s="11">
        <f>_xlfn.XLOOKUP(TableDailySummary[[#This Row],[Fecha]],SummaryDaily[day],SummaryDaily[Online Store_net_sales],0)</f>
        <v>0</v>
      </c>
      <c r="M937" s="11">
        <f>_xlfn.XLOOKUP(TableDailySummary[[#This Row],[Fecha]],SummaryDaily[day],SummaryDaily[Online Store_orders],0)</f>
        <v>0</v>
      </c>
      <c r="N937" s="11">
        <f>_xlfn.XLOOKUP(TableDailySummary[[#This Row],[Fecha]],SummaryDaily[day],SummaryDaily[Online Store_average_order_value],0)</f>
        <v>0</v>
      </c>
      <c r="O937" s="11">
        <f>_xlfn.XLOOKUP(TableDailySummary[[#This Row],[Fecha]],SummaryDaily[day],SummaryDaily[Tienda 81_net_sales],0)</f>
        <v>0</v>
      </c>
      <c r="P937" s="11">
        <f>_xlfn.XLOOKUP(TableDailySummary[[#This Row],[Fecha]],SummaryDaily[day],SummaryDaily[Tienda 81_orders],0)</f>
        <v>0</v>
      </c>
      <c r="Q937" s="11">
        <f>_xlfn.XLOOKUP(TableDailySummary[[#This Row],[Fecha]],SummaryDaily[day],SummaryDaily[Tienda 81_average_order_value],0)</f>
        <v>0</v>
      </c>
      <c r="R937" s="11">
        <f>_xlfn.XLOOKUP(TableDailySummary[[#This Row],[Fecha]],SummaryDaily[day],SummaryDaily[Rappi_net_sales],0)</f>
        <v>0</v>
      </c>
      <c r="S937" s="11">
        <f>_xlfn.XLOOKUP(TableDailySummary[[#This Row],[Fecha]],SummaryDaily[day],SummaryDaily[Rappi_orders],0)</f>
        <v>0</v>
      </c>
      <c r="T937" s="11">
        <f>_xlfn.XLOOKUP(TableDailySummary[[#This Row],[Fecha]],SummaryDaily[day],SummaryDaily[Rappi_average_order_value],0)</f>
        <v>0</v>
      </c>
      <c r="U937" s="11">
        <f>_xlfn.XLOOKUP(TableDailySummary[[#This Row],[Fecha]],SummaryDaily[day],SummaryDaily[Corporativo no tienda_net_sales],0)</f>
        <v>0</v>
      </c>
      <c r="V937" s="11">
        <f>_xlfn.XLOOKUP(TableDailySummary[[#This Row],[Fecha]],SummaryDaily[day],SummaryDaily[Corporativo no tienda_orders],0)</f>
        <v>0</v>
      </c>
      <c r="W937" s="11">
        <f>_xlfn.XLOOKUP(TableDailySummary[[#This Row],[Fecha]],SummaryDaily[day],SummaryDaily[Corporativo no tienda_average_order_value],0)</f>
        <v>0</v>
      </c>
      <c r="X937" s="11">
        <f>_xlfn.XLOOKUP(TableDailySummary[[#This Row],[Fecha]],SummaryDaily[day],SummaryDaily[GoogleAdsOperation.Cost],0)</f>
        <v>0</v>
      </c>
      <c r="Y937" s="11">
        <f>SUMIFS(SalesByUTMDaily[google],SalesByUTMDaily[day],TableDailySummary[[#This Row],[Fecha]])</f>
        <v>0</v>
      </c>
      <c r="Z937" s="11">
        <f>_xlfn.XLOOKUP(TableDailySummary[[#This Row],[Fecha]],SummaryDaily[day],SummaryDaily[MetaAdsOperation.spend],0)</f>
        <v>0</v>
      </c>
      <c r="AA937" s="11">
        <f>SUMIFS(SalesByUTMDaily[facebook],SalesByUTMDaily[day],TableDailySummary[[#This Row],[Fecha]])</f>
        <v>0</v>
      </c>
      <c r="AB937" s="11">
        <f>TableDailySummary[[#This Row],[Inversión google ads]]+TableDailySummary[[#This Row],[Inversión meta ads]]</f>
        <v>0</v>
      </c>
      <c r="AC937" s="11">
        <f>TableDailySummary[[#This Row],[Ventas google ads]]+TableDailySummary[[#This Row],[Ventas meta ads]]</f>
        <v>0</v>
      </c>
      <c r="AD937" s="14">
        <f>IFERROR(TableDailySummary[[#This Row],[Ventas publicidad]]/TableDailySummary[[#This Row],[Inversión publicidad]],0)</f>
        <v>0</v>
      </c>
      <c r="AE937" s="14">
        <f>IFERROR(TableDailySummary[[#This Row],[Ventas primer cliente]]/TableDailySummary[[#This Row],[Inversión publicidad]],0)</f>
        <v>0</v>
      </c>
      <c r="AF937" s="14"/>
      <c r="AG937" s="11"/>
      <c r="AM937" s="11">
        <f>_xlfn.XLOOKUP(TableDailySummary[[#This Row],[Fecha]],SummaryDaily[day],SummaryDaily[net_sales_with_cost_recorded],0)</f>
        <v>0</v>
      </c>
      <c r="AN937" s="11">
        <f>_xlfn.XLOOKUP(TableDailySummary[[#This Row],[Fecha]],SummaryDaily[day],SummaryDaily[cost_of_goods_sold],0)</f>
        <v>0</v>
      </c>
      <c r="AO937" s="11">
        <f>_xlfn.XLOOKUP(TableDailySummary[[#This Row],[Fecha]],SummaryDaily[day],SummaryDaily[gross_profit],0)</f>
        <v>0</v>
      </c>
      <c r="AP937" s="18">
        <f>IFERROR(TableDailySummary[[#This Row],[Utilidad bruta]]/TableDailySummary[[#This Row],[Ventas netas con costo registrado]],0)</f>
        <v>0</v>
      </c>
    </row>
    <row r="938" spans="2:42" x14ac:dyDescent="0.2">
      <c r="B938" s="15" cm="1">
        <f t="array" ref="B938">ParamFechaInicioReporte + (ROW(TableDailySummary[#This Row]) - ROW(TableDailySummary[[#Headers],[Dia]]) - 1)</f>
        <v>45465</v>
      </c>
      <c r="C938" s="6">
        <f>TableDailySummary[[#This Row],[Dia]]</f>
        <v>45465</v>
      </c>
      <c r="D938" s="11">
        <f>_xlfn.XLOOKUP(TableDailySummary[[#This Row],[Fecha]],SummaryDaily[day],SummaryDaily[net_sales],0)</f>
        <v>0</v>
      </c>
      <c r="E938" s="11">
        <f>_xlfn.XLOOKUP(TableDailySummary[[#This Row],[Fecha]],SummaryDaily[day],SummaryDaily[orders],0)</f>
        <v>0</v>
      </c>
      <c r="F938" s="11">
        <f>_xlfn.XLOOKUP(TableDailySummary[[#This Row],[Fecha]],SummaryDaily[day],SummaryDaily[average_order_value],0)</f>
        <v>0</v>
      </c>
      <c r="G938" s="24" cm="1">
        <f t="array" ref="G938">_xlfn.XLOOKUP(TableDailySummary[[#This Row],[Fecha]]&amp;"Total site",ConversionRateByReferral[day]&amp;ConversionRateByReferral[referrer_source],ConversionRateByReferral[conversion_rate],0)</f>
        <v>0</v>
      </c>
      <c r="H938" s="11">
        <f>TableDailySummary[[#This Row],[Órden promedio totales]]*TableDailySummary[[#This Row],[CR totales]]</f>
        <v>0</v>
      </c>
      <c r="I938" s="11">
        <f>_xlfn.XLOOKUP(TableDailySummary[[#This Row],[Fecha]],SummaryDaily[day],SummaryDaily[new_net_sales],0)</f>
        <v>0</v>
      </c>
      <c r="J938" s="11">
        <f>_xlfn.XLOOKUP(TableDailySummary[[#This Row],[Fecha]],SummaryDaily[day],SummaryDaily[new_orders],0)</f>
        <v>0</v>
      </c>
      <c r="K938" s="11">
        <f>_xlfn.XLOOKUP(TableDailySummary[[#This Row],[Fecha]],SummaryDaily[day],SummaryDaily[new_average_order_value],0)</f>
        <v>0</v>
      </c>
      <c r="L938" s="11">
        <f>_xlfn.XLOOKUP(TableDailySummary[[#This Row],[Fecha]],SummaryDaily[day],SummaryDaily[Online Store_net_sales],0)</f>
        <v>0</v>
      </c>
      <c r="M938" s="11">
        <f>_xlfn.XLOOKUP(TableDailySummary[[#This Row],[Fecha]],SummaryDaily[day],SummaryDaily[Online Store_orders],0)</f>
        <v>0</v>
      </c>
      <c r="N938" s="11">
        <f>_xlfn.XLOOKUP(TableDailySummary[[#This Row],[Fecha]],SummaryDaily[day],SummaryDaily[Online Store_average_order_value],0)</f>
        <v>0</v>
      </c>
      <c r="O938" s="11">
        <f>_xlfn.XLOOKUP(TableDailySummary[[#This Row],[Fecha]],SummaryDaily[day],SummaryDaily[Tienda 81_net_sales],0)</f>
        <v>0</v>
      </c>
      <c r="P938" s="11">
        <f>_xlfn.XLOOKUP(TableDailySummary[[#This Row],[Fecha]],SummaryDaily[day],SummaryDaily[Tienda 81_orders],0)</f>
        <v>0</v>
      </c>
      <c r="Q938" s="11">
        <f>_xlfn.XLOOKUP(TableDailySummary[[#This Row],[Fecha]],SummaryDaily[day],SummaryDaily[Tienda 81_average_order_value],0)</f>
        <v>0</v>
      </c>
      <c r="R938" s="11">
        <f>_xlfn.XLOOKUP(TableDailySummary[[#This Row],[Fecha]],SummaryDaily[day],SummaryDaily[Rappi_net_sales],0)</f>
        <v>0</v>
      </c>
      <c r="S938" s="11">
        <f>_xlfn.XLOOKUP(TableDailySummary[[#This Row],[Fecha]],SummaryDaily[day],SummaryDaily[Rappi_orders],0)</f>
        <v>0</v>
      </c>
      <c r="T938" s="11">
        <f>_xlfn.XLOOKUP(TableDailySummary[[#This Row],[Fecha]],SummaryDaily[day],SummaryDaily[Rappi_average_order_value],0)</f>
        <v>0</v>
      </c>
      <c r="U938" s="11">
        <f>_xlfn.XLOOKUP(TableDailySummary[[#This Row],[Fecha]],SummaryDaily[day],SummaryDaily[Corporativo no tienda_net_sales],0)</f>
        <v>0</v>
      </c>
      <c r="V938" s="11">
        <f>_xlfn.XLOOKUP(TableDailySummary[[#This Row],[Fecha]],SummaryDaily[day],SummaryDaily[Corporativo no tienda_orders],0)</f>
        <v>0</v>
      </c>
      <c r="W938" s="11">
        <f>_xlfn.XLOOKUP(TableDailySummary[[#This Row],[Fecha]],SummaryDaily[day],SummaryDaily[Corporativo no tienda_average_order_value],0)</f>
        <v>0</v>
      </c>
      <c r="X938" s="11">
        <f>_xlfn.XLOOKUP(TableDailySummary[[#This Row],[Fecha]],SummaryDaily[day],SummaryDaily[GoogleAdsOperation.Cost],0)</f>
        <v>0</v>
      </c>
      <c r="Y938" s="11">
        <f>SUMIFS(SalesByUTMDaily[google],SalesByUTMDaily[day],TableDailySummary[[#This Row],[Fecha]])</f>
        <v>0</v>
      </c>
      <c r="Z938" s="11">
        <f>_xlfn.XLOOKUP(TableDailySummary[[#This Row],[Fecha]],SummaryDaily[day],SummaryDaily[MetaAdsOperation.spend],0)</f>
        <v>0</v>
      </c>
      <c r="AA938" s="11">
        <f>SUMIFS(SalesByUTMDaily[facebook],SalesByUTMDaily[day],TableDailySummary[[#This Row],[Fecha]])</f>
        <v>0</v>
      </c>
      <c r="AB938" s="11">
        <f>TableDailySummary[[#This Row],[Inversión google ads]]+TableDailySummary[[#This Row],[Inversión meta ads]]</f>
        <v>0</v>
      </c>
      <c r="AC938" s="11">
        <f>TableDailySummary[[#This Row],[Ventas google ads]]+TableDailySummary[[#This Row],[Ventas meta ads]]</f>
        <v>0</v>
      </c>
      <c r="AD938" s="14">
        <f>IFERROR(TableDailySummary[[#This Row],[Ventas publicidad]]/TableDailySummary[[#This Row],[Inversión publicidad]],0)</f>
        <v>0</v>
      </c>
      <c r="AE938" s="14">
        <f>IFERROR(TableDailySummary[[#This Row],[Ventas primer cliente]]/TableDailySummary[[#This Row],[Inversión publicidad]],0)</f>
        <v>0</v>
      </c>
      <c r="AF938" s="14"/>
      <c r="AG938" s="11"/>
      <c r="AM938" s="11">
        <f>_xlfn.XLOOKUP(TableDailySummary[[#This Row],[Fecha]],SummaryDaily[day],SummaryDaily[net_sales_with_cost_recorded],0)</f>
        <v>0</v>
      </c>
      <c r="AN938" s="11">
        <f>_xlfn.XLOOKUP(TableDailySummary[[#This Row],[Fecha]],SummaryDaily[day],SummaryDaily[cost_of_goods_sold],0)</f>
        <v>0</v>
      </c>
      <c r="AO938" s="11">
        <f>_xlfn.XLOOKUP(TableDailySummary[[#This Row],[Fecha]],SummaryDaily[day],SummaryDaily[gross_profit],0)</f>
        <v>0</v>
      </c>
      <c r="AP938" s="18">
        <f>IFERROR(TableDailySummary[[#This Row],[Utilidad bruta]]/TableDailySummary[[#This Row],[Ventas netas con costo registrado]],0)</f>
        <v>0</v>
      </c>
    </row>
    <row r="939" spans="2:42" x14ac:dyDescent="0.2">
      <c r="B939" s="15" cm="1">
        <f t="array" ref="B939">ParamFechaInicioReporte + (ROW(TableDailySummary[#This Row]) - ROW(TableDailySummary[[#Headers],[Dia]]) - 1)</f>
        <v>45466</v>
      </c>
      <c r="C939" s="6">
        <f>TableDailySummary[[#This Row],[Dia]]</f>
        <v>45466</v>
      </c>
      <c r="D939" s="11">
        <f>_xlfn.XLOOKUP(TableDailySummary[[#This Row],[Fecha]],SummaryDaily[day],SummaryDaily[net_sales],0)</f>
        <v>0</v>
      </c>
      <c r="E939" s="11">
        <f>_xlfn.XLOOKUP(TableDailySummary[[#This Row],[Fecha]],SummaryDaily[day],SummaryDaily[orders],0)</f>
        <v>0</v>
      </c>
      <c r="F939" s="11">
        <f>_xlfn.XLOOKUP(TableDailySummary[[#This Row],[Fecha]],SummaryDaily[day],SummaryDaily[average_order_value],0)</f>
        <v>0</v>
      </c>
      <c r="G939" s="24" cm="1">
        <f t="array" ref="G939">_xlfn.XLOOKUP(TableDailySummary[[#This Row],[Fecha]]&amp;"Total site",ConversionRateByReferral[day]&amp;ConversionRateByReferral[referrer_source],ConversionRateByReferral[conversion_rate],0)</f>
        <v>0</v>
      </c>
      <c r="H939" s="11">
        <f>TableDailySummary[[#This Row],[Órden promedio totales]]*TableDailySummary[[#This Row],[CR totales]]</f>
        <v>0</v>
      </c>
      <c r="I939" s="11">
        <f>_xlfn.XLOOKUP(TableDailySummary[[#This Row],[Fecha]],SummaryDaily[day],SummaryDaily[new_net_sales],0)</f>
        <v>0</v>
      </c>
      <c r="J939" s="11">
        <f>_xlfn.XLOOKUP(TableDailySummary[[#This Row],[Fecha]],SummaryDaily[day],SummaryDaily[new_orders],0)</f>
        <v>0</v>
      </c>
      <c r="K939" s="11">
        <f>_xlfn.XLOOKUP(TableDailySummary[[#This Row],[Fecha]],SummaryDaily[day],SummaryDaily[new_average_order_value],0)</f>
        <v>0</v>
      </c>
      <c r="L939" s="11">
        <f>_xlfn.XLOOKUP(TableDailySummary[[#This Row],[Fecha]],SummaryDaily[day],SummaryDaily[Online Store_net_sales],0)</f>
        <v>0</v>
      </c>
      <c r="M939" s="11">
        <f>_xlfn.XLOOKUP(TableDailySummary[[#This Row],[Fecha]],SummaryDaily[day],SummaryDaily[Online Store_orders],0)</f>
        <v>0</v>
      </c>
      <c r="N939" s="11">
        <f>_xlfn.XLOOKUP(TableDailySummary[[#This Row],[Fecha]],SummaryDaily[day],SummaryDaily[Online Store_average_order_value],0)</f>
        <v>0</v>
      </c>
      <c r="O939" s="11">
        <f>_xlfn.XLOOKUP(TableDailySummary[[#This Row],[Fecha]],SummaryDaily[day],SummaryDaily[Tienda 81_net_sales],0)</f>
        <v>0</v>
      </c>
      <c r="P939" s="11">
        <f>_xlfn.XLOOKUP(TableDailySummary[[#This Row],[Fecha]],SummaryDaily[day],SummaryDaily[Tienda 81_orders],0)</f>
        <v>0</v>
      </c>
      <c r="Q939" s="11">
        <f>_xlfn.XLOOKUP(TableDailySummary[[#This Row],[Fecha]],SummaryDaily[day],SummaryDaily[Tienda 81_average_order_value],0)</f>
        <v>0</v>
      </c>
      <c r="R939" s="11">
        <f>_xlfn.XLOOKUP(TableDailySummary[[#This Row],[Fecha]],SummaryDaily[day],SummaryDaily[Rappi_net_sales],0)</f>
        <v>0</v>
      </c>
      <c r="S939" s="11">
        <f>_xlfn.XLOOKUP(TableDailySummary[[#This Row],[Fecha]],SummaryDaily[day],SummaryDaily[Rappi_orders],0)</f>
        <v>0</v>
      </c>
      <c r="T939" s="11">
        <f>_xlfn.XLOOKUP(TableDailySummary[[#This Row],[Fecha]],SummaryDaily[day],SummaryDaily[Rappi_average_order_value],0)</f>
        <v>0</v>
      </c>
      <c r="U939" s="11">
        <f>_xlfn.XLOOKUP(TableDailySummary[[#This Row],[Fecha]],SummaryDaily[day],SummaryDaily[Corporativo no tienda_net_sales],0)</f>
        <v>0</v>
      </c>
      <c r="V939" s="11">
        <f>_xlfn.XLOOKUP(TableDailySummary[[#This Row],[Fecha]],SummaryDaily[day],SummaryDaily[Corporativo no tienda_orders],0)</f>
        <v>0</v>
      </c>
      <c r="W939" s="11">
        <f>_xlfn.XLOOKUP(TableDailySummary[[#This Row],[Fecha]],SummaryDaily[day],SummaryDaily[Corporativo no tienda_average_order_value],0)</f>
        <v>0</v>
      </c>
      <c r="X939" s="11">
        <f>_xlfn.XLOOKUP(TableDailySummary[[#This Row],[Fecha]],SummaryDaily[day],SummaryDaily[GoogleAdsOperation.Cost],0)</f>
        <v>0</v>
      </c>
      <c r="Y939" s="11">
        <f>SUMIFS(SalesByUTMDaily[google],SalesByUTMDaily[day],TableDailySummary[[#This Row],[Fecha]])</f>
        <v>0</v>
      </c>
      <c r="Z939" s="11">
        <f>_xlfn.XLOOKUP(TableDailySummary[[#This Row],[Fecha]],SummaryDaily[day],SummaryDaily[MetaAdsOperation.spend],0)</f>
        <v>0</v>
      </c>
      <c r="AA939" s="11">
        <f>SUMIFS(SalesByUTMDaily[facebook],SalesByUTMDaily[day],TableDailySummary[[#This Row],[Fecha]])</f>
        <v>0</v>
      </c>
      <c r="AB939" s="11">
        <f>TableDailySummary[[#This Row],[Inversión google ads]]+TableDailySummary[[#This Row],[Inversión meta ads]]</f>
        <v>0</v>
      </c>
      <c r="AC939" s="11">
        <f>TableDailySummary[[#This Row],[Ventas google ads]]+TableDailySummary[[#This Row],[Ventas meta ads]]</f>
        <v>0</v>
      </c>
      <c r="AD939" s="14">
        <f>IFERROR(TableDailySummary[[#This Row],[Ventas publicidad]]/TableDailySummary[[#This Row],[Inversión publicidad]],0)</f>
        <v>0</v>
      </c>
      <c r="AE939" s="14">
        <f>IFERROR(TableDailySummary[[#This Row],[Ventas primer cliente]]/TableDailySummary[[#This Row],[Inversión publicidad]],0)</f>
        <v>0</v>
      </c>
      <c r="AF939" s="14"/>
      <c r="AG939" s="11"/>
      <c r="AM939" s="11">
        <f>_xlfn.XLOOKUP(TableDailySummary[[#This Row],[Fecha]],SummaryDaily[day],SummaryDaily[net_sales_with_cost_recorded],0)</f>
        <v>0</v>
      </c>
      <c r="AN939" s="11">
        <f>_xlfn.XLOOKUP(TableDailySummary[[#This Row],[Fecha]],SummaryDaily[day],SummaryDaily[cost_of_goods_sold],0)</f>
        <v>0</v>
      </c>
      <c r="AO939" s="11">
        <f>_xlfn.XLOOKUP(TableDailySummary[[#This Row],[Fecha]],SummaryDaily[day],SummaryDaily[gross_profit],0)</f>
        <v>0</v>
      </c>
      <c r="AP939" s="18">
        <f>IFERROR(TableDailySummary[[#This Row],[Utilidad bruta]]/TableDailySummary[[#This Row],[Ventas netas con costo registrado]],0)</f>
        <v>0</v>
      </c>
    </row>
    <row r="940" spans="2:42" x14ac:dyDescent="0.2">
      <c r="B940" s="15" cm="1">
        <f t="array" ref="B940">ParamFechaInicioReporte + (ROW(TableDailySummary[#This Row]) - ROW(TableDailySummary[[#Headers],[Dia]]) - 1)</f>
        <v>45467</v>
      </c>
      <c r="C940" s="6">
        <f>TableDailySummary[[#This Row],[Dia]]</f>
        <v>45467</v>
      </c>
      <c r="D940" s="11">
        <f>_xlfn.XLOOKUP(TableDailySummary[[#This Row],[Fecha]],SummaryDaily[day],SummaryDaily[net_sales],0)</f>
        <v>0</v>
      </c>
      <c r="E940" s="11">
        <f>_xlfn.XLOOKUP(TableDailySummary[[#This Row],[Fecha]],SummaryDaily[day],SummaryDaily[orders],0)</f>
        <v>0</v>
      </c>
      <c r="F940" s="11">
        <f>_xlfn.XLOOKUP(TableDailySummary[[#This Row],[Fecha]],SummaryDaily[day],SummaryDaily[average_order_value],0)</f>
        <v>0</v>
      </c>
      <c r="G940" s="24" cm="1">
        <f t="array" ref="G940">_xlfn.XLOOKUP(TableDailySummary[[#This Row],[Fecha]]&amp;"Total site",ConversionRateByReferral[day]&amp;ConversionRateByReferral[referrer_source],ConversionRateByReferral[conversion_rate],0)</f>
        <v>0</v>
      </c>
      <c r="H940" s="11">
        <f>TableDailySummary[[#This Row],[Órden promedio totales]]*TableDailySummary[[#This Row],[CR totales]]</f>
        <v>0</v>
      </c>
      <c r="I940" s="11">
        <f>_xlfn.XLOOKUP(TableDailySummary[[#This Row],[Fecha]],SummaryDaily[day],SummaryDaily[new_net_sales],0)</f>
        <v>0</v>
      </c>
      <c r="J940" s="11">
        <f>_xlfn.XLOOKUP(TableDailySummary[[#This Row],[Fecha]],SummaryDaily[day],SummaryDaily[new_orders],0)</f>
        <v>0</v>
      </c>
      <c r="K940" s="11">
        <f>_xlfn.XLOOKUP(TableDailySummary[[#This Row],[Fecha]],SummaryDaily[day],SummaryDaily[new_average_order_value],0)</f>
        <v>0</v>
      </c>
      <c r="L940" s="11">
        <f>_xlfn.XLOOKUP(TableDailySummary[[#This Row],[Fecha]],SummaryDaily[day],SummaryDaily[Online Store_net_sales],0)</f>
        <v>0</v>
      </c>
      <c r="M940" s="11">
        <f>_xlfn.XLOOKUP(TableDailySummary[[#This Row],[Fecha]],SummaryDaily[day],SummaryDaily[Online Store_orders],0)</f>
        <v>0</v>
      </c>
      <c r="N940" s="11">
        <f>_xlfn.XLOOKUP(TableDailySummary[[#This Row],[Fecha]],SummaryDaily[day],SummaryDaily[Online Store_average_order_value],0)</f>
        <v>0</v>
      </c>
      <c r="O940" s="11">
        <f>_xlfn.XLOOKUP(TableDailySummary[[#This Row],[Fecha]],SummaryDaily[day],SummaryDaily[Tienda 81_net_sales],0)</f>
        <v>0</v>
      </c>
      <c r="P940" s="11">
        <f>_xlfn.XLOOKUP(TableDailySummary[[#This Row],[Fecha]],SummaryDaily[day],SummaryDaily[Tienda 81_orders],0)</f>
        <v>0</v>
      </c>
      <c r="Q940" s="11">
        <f>_xlfn.XLOOKUP(TableDailySummary[[#This Row],[Fecha]],SummaryDaily[day],SummaryDaily[Tienda 81_average_order_value],0)</f>
        <v>0</v>
      </c>
      <c r="R940" s="11">
        <f>_xlfn.XLOOKUP(TableDailySummary[[#This Row],[Fecha]],SummaryDaily[day],SummaryDaily[Rappi_net_sales],0)</f>
        <v>0</v>
      </c>
      <c r="S940" s="11">
        <f>_xlfn.XLOOKUP(TableDailySummary[[#This Row],[Fecha]],SummaryDaily[day],SummaryDaily[Rappi_orders],0)</f>
        <v>0</v>
      </c>
      <c r="T940" s="11">
        <f>_xlfn.XLOOKUP(TableDailySummary[[#This Row],[Fecha]],SummaryDaily[day],SummaryDaily[Rappi_average_order_value],0)</f>
        <v>0</v>
      </c>
      <c r="U940" s="11">
        <f>_xlfn.XLOOKUP(TableDailySummary[[#This Row],[Fecha]],SummaryDaily[day],SummaryDaily[Corporativo no tienda_net_sales],0)</f>
        <v>0</v>
      </c>
      <c r="V940" s="11">
        <f>_xlfn.XLOOKUP(TableDailySummary[[#This Row],[Fecha]],SummaryDaily[day],SummaryDaily[Corporativo no tienda_orders],0)</f>
        <v>0</v>
      </c>
      <c r="W940" s="11">
        <f>_xlfn.XLOOKUP(TableDailySummary[[#This Row],[Fecha]],SummaryDaily[day],SummaryDaily[Corporativo no tienda_average_order_value],0)</f>
        <v>0</v>
      </c>
      <c r="X940" s="11">
        <f>_xlfn.XLOOKUP(TableDailySummary[[#This Row],[Fecha]],SummaryDaily[day],SummaryDaily[GoogleAdsOperation.Cost],0)</f>
        <v>0</v>
      </c>
      <c r="Y940" s="11">
        <f>SUMIFS(SalesByUTMDaily[google],SalesByUTMDaily[day],TableDailySummary[[#This Row],[Fecha]])</f>
        <v>0</v>
      </c>
      <c r="Z940" s="11">
        <f>_xlfn.XLOOKUP(TableDailySummary[[#This Row],[Fecha]],SummaryDaily[day],SummaryDaily[MetaAdsOperation.spend],0)</f>
        <v>0</v>
      </c>
      <c r="AA940" s="11">
        <f>SUMIFS(SalesByUTMDaily[facebook],SalesByUTMDaily[day],TableDailySummary[[#This Row],[Fecha]])</f>
        <v>0</v>
      </c>
      <c r="AB940" s="11">
        <f>TableDailySummary[[#This Row],[Inversión google ads]]+TableDailySummary[[#This Row],[Inversión meta ads]]</f>
        <v>0</v>
      </c>
      <c r="AC940" s="11">
        <f>TableDailySummary[[#This Row],[Ventas google ads]]+TableDailySummary[[#This Row],[Ventas meta ads]]</f>
        <v>0</v>
      </c>
      <c r="AD940" s="14">
        <f>IFERROR(TableDailySummary[[#This Row],[Ventas publicidad]]/TableDailySummary[[#This Row],[Inversión publicidad]],0)</f>
        <v>0</v>
      </c>
      <c r="AE940" s="14">
        <f>IFERROR(TableDailySummary[[#This Row],[Ventas primer cliente]]/TableDailySummary[[#This Row],[Inversión publicidad]],0)</f>
        <v>0</v>
      </c>
      <c r="AF940" s="14"/>
      <c r="AG940" s="11"/>
      <c r="AM940" s="11">
        <f>_xlfn.XLOOKUP(TableDailySummary[[#This Row],[Fecha]],SummaryDaily[day],SummaryDaily[net_sales_with_cost_recorded],0)</f>
        <v>0</v>
      </c>
      <c r="AN940" s="11">
        <f>_xlfn.XLOOKUP(TableDailySummary[[#This Row],[Fecha]],SummaryDaily[day],SummaryDaily[cost_of_goods_sold],0)</f>
        <v>0</v>
      </c>
      <c r="AO940" s="11">
        <f>_xlfn.XLOOKUP(TableDailySummary[[#This Row],[Fecha]],SummaryDaily[day],SummaryDaily[gross_profit],0)</f>
        <v>0</v>
      </c>
      <c r="AP940" s="18">
        <f>IFERROR(TableDailySummary[[#This Row],[Utilidad bruta]]/TableDailySummary[[#This Row],[Ventas netas con costo registrado]],0)</f>
        <v>0</v>
      </c>
    </row>
    <row r="941" spans="2:42" x14ac:dyDescent="0.2">
      <c r="B941" s="15" cm="1">
        <f t="array" ref="B941">ParamFechaInicioReporte + (ROW(TableDailySummary[#This Row]) - ROW(TableDailySummary[[#Headers],[Dia]]) - 1)</f>
        <v>45468</v>
      </c>
      <c r="C941" s="6">
        <f>TableDailySummary[[#This Row],[Dia]]</f>
        <v>45468</v>
      </c>
      <c r="D941" s="11">
        <f>_xlfn.XLOOKUP(TableDailySummary[[#This Row],[Fecha]],SummaryDaily[day],SummaryDaily[net_sales],0)</f>
        <v>0</v>
      </c>
      <c r="E941" s="11">
        <f>_xlfn.XLOOKUP(TableDailySummary[[#This Row],[Fecha]],SummaryDaily[day],SummaryDaily[orders],0)</f>
        <v>0</v>
      </c>
      <c r="F941" s="11">
        <f>_xlfn.XLOOKUP(TableDailySummary[[#This Row],[Fecha]],SummaryDaily[day],SummaryDaily[average_order_value],0)</f>
        <v>0</v>
      </c>
      <c r="G941" s="24" cm="1">
        <f t="array" ref="G941">_xlfn.XLOOKUP(TableDailySummary[[#This Row],[Fecha]]&amp;"Total site",ConversionRateByReferral[day]&amp;ConversionRateByReferral[referrer_source],ConversionRateByReferral[conversion_rate],0)</f>
        <v>0</v>
      </c>
      <c r="H941" s="11">
        <f>TableDailySummary[[#This Row],[Órden promedio totales]]*TableDailySummary[[#This Row],[CR totales]]</f>
        <v>0</v>
      </c>
      <c r="I941" s="11">
        <f>_xlfn.XLOOKUP(TableDailySummary[[#This Row],[Fecha]],SummaryDaily[day],SummaryDaily[new_net_sales],0)</f>
        <v>0</v>
      </c>
      <c r="J941" s="11">
        <f>_xlfn.XLOOKUP(TableDailySummary[[#This Row],[Fecha]],SummaryDaily[day],SummaryDaily[new_orders],0)</f>
        <v>0</v>
      </c>
      <c r="K941" s="11">
        <f>_xlfn.XLOOKUP(TableDailySummary[[#This Row],[Fecha]],SummaryDaily[day],SummaryDaily[new_average_order_value],0)</f>
        <v>0</v>
      </c>
      <c r="L941" s="11">
        <f>_xlfn.XLOOKUP(TableDailySummary[[#This Row],[Fecha]],SummaryDaily[day],SummaryDaily[Online Store_net_sales],0)</f>
        <v>0</v>
      </c>
      <c r="M941" s="11">
        <f>_xlfn.XLOOKUP(TableDailySummary[[#This Row],[Fecha]],SummaryDaily[day],SummaryDaily[Online Store_orders],0)</f>
        <v>0</v>
      </c>
      <c r="N941" s="11">
        <f>_xlfn.XLOOKUP(TableDailySummary[[#This Row],[Fecha]],SummaryDaily[day],SummaryDaily[Online Store_average_order_value],0)</f>
        <v>0</v>
      </c>
      <c r="O941" s="11">
        <f>_xlfn.XLOOKUP(TableDailySummary[[#This Row],[Fecha]],SummaryDaily[day],SummaryDaily[Tienda 81_net_sales],0)</f>
        <v>0</v>
      </c>
      <c r="P941" s="11">
        <f>_xlfn.XLOOKUP(TableDailySummary[[#This Row],[Fecha]],SummaryDaily[day],SummaryDaily[Tienda 81_orders],0)</f>
        <v>0</v>
      </c>
      <c r="Q941" s="11">
        <f>_xlfn.XLOOKUP(TableDailySummary[[#This Row],[Fecha]],SummaryDaily[day],SummaryDaily[Tienda 81_average_order_value],0)</f>
        <v>0</v>
      </c>
      <c r="R941" s="11">
        <f>_xlfn.XLOOKUP(TableDailySummary[[#This Row],[Fecha]],SummaryDaily[day],SummaryDaily[Rappi_net_sales],0)</f>
        <v>0</v>
      </c>
      <c r="S941" s="11">
        <f>_xlfn.XLOOKUP(TableDailySummary[[#This Row],[Fecha]],SummaryDaily[day],SummaryDaily[Rappi_orders],0)</f>
        <v>0</v>
      </c>
      <c r="T941" s="11">
        <f>_xlfn.XLOOKUP(TableDailySummary[[#This Row],[Fecha]],SummaryDaily[day],SummaryDaily[Rappi_average_order_value],0)</f>
        <v>0</v>
      </c>
      <c r="U941" s="11">
        <f>_xlfn.XLOOKUP(TableDailySummary[[#This Row],[Fecha]],SummaryDaily[day],SummaryDaily[Corporativo no tienda_net_sales],0)</f>
        <v>0</v>
      </c>
      <c r="V941" s="11">
        <f>_xlfn.XLOOKUP(TableDailySummary[[#This Row],[Fecha]],SummaryDaily[day],SummaryDaily[Corporativo no tienda_orders],0)</f>
        <v>0</v>
      </c>
      <c r="W941" s="11">
        <f>_xlfn.XLOOKUP(TableDailySummary[[#This Row],[Fecha]],SummaryDaily[day],SummaryDaily[Corporativo no tienda_average_order_value],0)</f>
        <v>0</v>
      </c>
      <c r="X941" s="11">
        <f>_xlfn.XLOOKUP(TableDailySummary[[#This Row],[Fecha]],SummaryDaily[day],SummaryDaily[GoogleAdsOperation.Cost],0)</f>
        <v>0</v>
      </c>
      <c r="Y941" s="11">
        <f>SUMIFS(SalesByUTMDaily[google],SalesByUTMDaily[day],TableDailySummary[[#This Row],[Fecha]])</f>
        <v>0</v>
      </c>
      <c r="Z941" s="11">
        <f>_xlfn.XLOOKUP(TableDailySummary[[#This Row],[Fecha]],SummaryDaily[day],SummaryDaily[MetaAdsOperation.spend],0)</f>
        <v>0</v>
      </c>
      <c r="AA941" s="11">
        <f>SUMIFS(SalesByUTMDaily[facebook],SalesByUTMDaily[day],TableDailySummary[[#This Row],[Fecha]])</f>
        <v>0</v>
      </c>
      <c r="AB941" s="11">
        <f>TableDailySummary[[#This Row],[Inversión google ads]]+TableDailySummary[[#This Row],[Inversión meta ads]]</f>
        <v>0</v>
      </c>
      <c r="AC941" s="11">
        <f>TableDailySummary[[#This Row],[Ventas google ads]]+TableDailySummary[[#This Row],[Ventas meta ads]]</f>
        <v>0</v>
      </c>
      <c r="AD941" s="14">
        <f>IFERROR(TableDailySummary[[#This Row],[Ventas publicidad]]/TableDailySummary[[#This Row],[Inversión publicidad]],0)</f>
        <v>0</v>
      </c>
      <c r="AE941" s="14">
        <f>IFERROR(TableDailySummary[[#This Row],[Ventas primer cliente]]/TableDailySummary[[#This Row],[Inversión publicidad]],0)</f>
        <v>0</v>
      </c>
      <c r="AF941" s="14"/>
      <c r="AG941" s="11"/>
      <c r="AM941" s="11">
        <f>_xlfn.XLOOKUP(TableDailySummary[[#This Row],[Fecha]],SummaryDaily[day],SummaryDaily[net_sales_with_cost_recorded],0)</f>
        <v>0</v>
      </c>
      <c r="AN941" s="11">
        <f>_xlfn.XLOOKUP(TableDailySummary[[#This Row],[Fecha]],SummaryDaily[day],SummaryDaily[cost_of_goods_sold],0)</f>
        <v>0</v>
      </c>
      <c r="AO941" s="11">
        <f>_xlfn.XLOOKUP(TableDailySummary[[#This Row],[Fecha]],SummaryDaily[day],SummaryDaily[gross_profit],0)</f>
        <v>0</v>
      </c>
      <c r="AP941" s="18">
        <f>IFERROR(TableDailySummary[[#This Row],[Utilidad bruta]]/TableDailySummary[[#This Row],[Ventas netas con costo registrado]],0)</f>
        <v>0</v>
      </c>
    </row>
    <row r="942" spans="2:42" x14ac:dyDescent="0.2">
      <c r="B942" s="15" cm="1">
        <f t="array" ref="B942">ParamFechaInicioReporte + (ROW(TableDailySummary[#This Row]) - ROW(TableDailySummary[[#Headers],[Dia]]) - 1)</f>
        <v>45469</v>
      </c>
      <c r="C942" s="6">
        <f>TableDailySummary[[#This Row],[Dia]]</f>
        <v>45469</v>
      </c>
      <c r="D942" s="11">
        <f>_xlfn.XLOOKUP(TableDailySummary[[#This Row],[Fecha]],SummaryDaily[day],SummaryDaily[net_sales],0)</f>
        <v>0</v>
      </c>
      <c r="E942" s="11">
        <f>_xlfn.XLOOKUP(TableDailySummary[[#This Row],[Fecha]],SummaryDaily[day],SummaryDaily[orders],0)</f>
        <v>0</v>
      </c>
      <c r="F942" s="11">
        <f>_xlfn.XLOOKUP(TableDailySummary[[#This Row],[Fecha]],SummaryDaily[day],SummaryDaily[average_order_value],0)</f>
        <v>0</v>
      </c>
      <c r="G942" s="24" cm="1">
        <f t="array" ref="G942">_xlfn.XLOOKUP(TableDailySummary[[#This Row],[Fecha]]&amp;"Total site",ConversionRateByReferral[day]&amp;ConversionRateByReferral[referrer_source],ConversionRateByReferral[conversion_rate],0)</f>
        <v>0</v>
      </c>
      <c r="H942" s="11">
        <f>TableDailySummary[[#This Row],[Órden promedio totales]]*TableDailySummary[[#This Row],[CR totales]]</f>
        <v>0</v>
      </c>
      <c r="I942" s="11">
        <f>_xlfn.XLOOKUP(TableDailySummary[[#This Row],[Fecha]],SummaryDaily[day],SummaryDaily[new_net_sales],0)</f>
        <v>0</v>
      </c>
      <c r="J942" s="11">
        <f>_xlfn.XLOOKUP(TableDailySummary[[#This Row],[Fecha]],SummaryDaily[day],SummaryDaily[new_orders],0)</f>
        <v>0</v>
      </c>
      <c r="K942" s="11">
        <f>_xlfn.XLOOKUP(TableDailySummary[[#This Row],[Fecha]],SummaryDaily[day],SummaryDaily[new_average_order_value],0)</f>
        <v>0</v>
      </c>
      <c r="L942" s="11">
        <f>_xlfn.XLOOKUP(TableDailySummary[[#This Row],[Fecha]],SummaryDaily[day],SummaryDaily[Online Store_net_sales],0)</f>
        <v>0</v>
      </c>
      <c r="M942" s="11">
        <f>_xlfn.XLOOKUP(TableDailySummary[[#This Row],[Fecha]],SummaryDaily[day],SummaryDaily[Online Store_orders],0)</f>
        <v>0</v>
      </c>
      <c r="N942" s="11">
        <f>_xlfn.XLOOKUP(TableDailySummary[[#This Row],[Fecha]],SummaryDaily[day],SummaryDaily[Online Store_average_order_value],0)</f>
        <v>0</v>
      </c>
      <c r="O942" s="11">
        <f>_xlfn.XLOOKUP(TableDailySummary[[#This Row],[Fecha]],SummaryDaily[day],SummaryDaily[Tienda 81_net_sales],0)</f>
        <v>0</v>
      </c>
      <c r="P942" s="11">
        <f>_xlfn.XLOOKUP(TableDailySummary[[#This Row],[Fecha]],SummaryDaily[day],SummaryDaily[Tienda 81_orders],0)</f>
        <v>0</v>
      </c>
      <c r="Q942" s="11">
        <f>_xlfn.XLOOKUP(TableDailySummary[[#This Row],[Fecha]],SummaryDaily[day],SummaryDaily[Tienda 81_average_order_value],0)</f>
        <v>0</v>
      </c>
      <c r="R942" s="11">
        <f>_xlfn.XLOOKUP(TableDailySummary[[#This Row],[Fecha]],SummaryDaily[day],SummaryDaily[Rappi_net_sales],0)</f>
        <v>0</v>
      </c>
      <c r="S942" s="11">
        <f>_xlfn.XLOOKUP(TableDailySummary[[#This Row],[Fecha]],SummaryDaily[day],SummaryDaily[Rappi_orders],0)</f>
        <v>0</v>
      </c>
      <c r="T942" s="11">
        <f>_xlfn.XLOOKUP(TableDailySummary[[#This Row],[Fecha]],SummaryDaily[day],SummaryDaily[Rappi_average_order_value],0)</f>
        <v>0</v>
      </c>
      <c r="U942" s="11">
        <f>_xlfn.XLOOKUP(TableDailySummary[[#This Row],[Fecha]],SummaryDaily[day],SummaryDaily[Corporativo no tienda_net_sales],0)</f>
        <v>0</v>
      </c>
      <c r="V942" s="11">
        <f>_xlfn.XLOOKUP(TableDailySummary[[#This Row],[Fecha]],SummaryDaily[day],SummaryDaily[Corporativo no tienda_orders],0)</f>
        <v>0</v>
      </c>
      <c r="W942" s="11">
        <f>_xlfn.XLOOKUP(TableDailySummary[[#This Row],[Fecha]],SummaryDaily[day],SummaryDaily[Corporativo no tienda_average_order_value],0)</f>
        <v>0</v>
      </c>
      <c r="X942" s="11">
        <f>_xlfn.XLOOKUP(TableDailySummary[[#This Row],[Fecha]],SummaryDaily[day],SummaryDaily[GoogleAdsOperation.Cost],0)</f>
        <v>0</v>
      </c>
      <c r="Y942" s="11">
        <f>SUMIFS(SalesByUTMDaily[google],SalesByUTMDaily[day],TableDailySummary[[#This Row],[Fecha]])</f>
        <v>0</v>
      </c>
      <c r="Z942" s="11">
        <f>_xlfn.XLOOKUP(TableDailySummary[[#This Row],[Fecha]],SummaryDaily[day],SummaryDaily[MetaAdsOperation.spend],0)</f>
        <v>0</v>
      </c>
      <c r="AA942" s="11">
        <f>SUMIFS(SalesByUTMDaily[facebook],SalesByUTMDaily[day],TableDailySummary[[#This Row],[Fecha]])</f>
        <v>0</v>
      </c>
      <c r="AB942" s="11">
        <f>TableDailySummary[[#This Row],[Inversión google ads]]+TableDailySummary[[#This Row],[Inversión meta ads]]</f>
        <v>0</v>
      </c>
      <c r="AC942" s="11">
        <f>TableDailySummary[[#This Row],[Ventas google ads]]+TableDailySummary[[#This Row],[Ventas meta ads]]</f>
        <v>0</v>
      </c>
      <c r="AD942" s="14">
        <f>IFERROR(TableDailySummary[[#This Row],[Ventas publicidad]]/TableDailySummary[[#This Row],[Inversión publicidad]],0)</f>
        <v>0</v>
      </c>
      <c r="AE942" s="14">
        <f>IFERROR(TableDailySummary[[#This Row],[Ventas primer cliente]]/TableDailySummary[[#This Row],[Inversión publicidad]],0)</f>
        <v>0</v>
      </c>
      <c r="AF942" s="14"/>
      <c r="AG942" s="11"/>
      <c r="AM942" s="11">
        <f>_xlfn.XLOOKUP(TableDailySummary[[#This Row],[Fecha]],SummaryDaily[day],SummaryDaily[net_sales_with_cost_recorded],0)</f>
        <v>0</v>
      </c>
      <c r="AN942" s="11">
        <f>_xlfn.XLOOKUP(TableDailySummary[[#This Row],[Fecha]],SummaryDaily[day],SummaryDaily[cost_of_goods_sold],0)</f>
        <v>0</v>
      </c>
      <c r="AO942" s="11">
        <f>_xlfn.XLOOKUP(TableDailySummary[[#This Row],[Fecha]],SummaryDaily[day],SummaryDaily[gross_profit],0)</f>
        <v>0</v>
      </c>
      <c r="AP942" s="18">
        <f>IFERROR(TableDailySummary[[#This Row],[Utilidad bruta]]/TableDailySummary[[#This Row],[Ventas netas con costo registrado]],0)</f>
        <v>0</v>
      </c>
    </row>
    <row r="943" spans="2:42" x14ac:dyDescent="0.2">
      <c r="B943" s="15" cm="1">
        <f t="array" ref="B943">ParamFechaInicioReporte + (ROW(TableDailySummary[#This Row]) - ROW(TableDailySummary[[#Headers],[Dia]]) - 1)</f>
        <v>45470</v>
      </c>
      <c r="C943" s="6">
        <f>TableDailySummary[[#This Row],[Dia]]</f>
        <v>45470</v>
      </c>
      <c r="D943" s="11">
        <f>_xlfn.XLOOKUP(TableDailySummary[[#This Row],[Fecha]],SummaryDaily[day],SummaryDaily[net_sales],0)</f>
        <v>0</v>
      </c>
      <c r="E943" s="11">
        <f>_xlfn.XLOOKUP(TableDailySummary[[#This Row],[Fecha]],SummaryDaily[day],SummaryDaily[orders],0)</f>
        <v>0</v>
      </c>
      <c r="F943" s="11">
        <f>_xlfn.XLOOKUP(TableDailySummary[[#This Row],[Fecha]],SummaryDaily[day],SummaryDaily[average_order_value],0)</f>
        <v>0</v>
      </c>
      <c r="G943" s="24" cm="1">
        <f t="array" ref="G943">_xlfn.XLOOKUP(TableDailySummary[[#This Row],[Fecha]]&amp;"Total site",ConversionRateByReferral[day]&amp;ConversionRateByReferral[referrer_source],ConversionRateByReferral[conversion_rate],0)</f>
        <v>0</v>
      </c>
      <c r="H943" s="11">
        <f>TableDailySummary[[#This Row],[Órden promedio totales]]*TableDailySummary[[#This Row],[CR totales]]</f>
        <v>0</v>
      </c>
      <c r="I943" s="11">
        <f>_xlfn.XLOOKUP(TableDailySummary[[#This Row],[Fecha]],SummaryDaily[day],SummaryDaily[new_net_sales],0)</f>
        <v>0</v>
      </c>
      <c r="J943" s="11">
        <f>_xlfn.XLOOKUP(TableDailySummary[[#This Row],[Fecha]],SummaryDaily[day],SummaryDaily[new_orders],0)</f>
        <v>0</v>
      </c>
      <c r="K943" s="11">
        <f>_xlfn.XLOOKUP(TableDailySummary[[#This Row],[Fecha]],SummaryDaily[day],SummaryDaily[new_average_order_value],0)</f>
        <v>0</v>
      </c>
      <c r="L943" s="11">
        <f>_xlfn.XLOOKUP(TableDailySummary[[#This Row],[Fecha]],SummaryDaily[day],SummaryDaily[Online Store_net_sales],0)</f>
        <v>0</v>
      </c>
      <c r="M943" s="11">
        <f>_xlfn.XLOOKUP(TableDailySummary[[#This Row],[Fecha]],SummaryDaily[day],SummaryDaily[Online Store_orders],0)</f>
        <v>0</v>
      </c>
      <c r="N943" s="11">
        <f>_xlfn.XLOOKUP(TableDailySummary[[#This Row],[Fecha]],SummaryDaily[day],SummaryDaily[Online Store_average_order_value],0)</f>
        <v>0</v>
      </c>
      <c r="O943" s="11">
        <f>_xlfn.XLOOKUP(TableDailySummary[[#This Row],[Fecha]],SummaryDaily[day],SummaryDaily[Tienda 81_net_sales],0)</f>
        <v>0</v>
      </c>
      <c r="P943" s="11">
        <f>_xlfn.XLOOKUP(TableDailySummary[[#This Row],[Fecha]],SummaryDaily[day],SummaryDaily[Tienda 81_orders],0)</f>
        <v>0</v>
      </c>
      <c r="Q943" s="11">
        <f>_xlfn.XLOOKUP(TableDailySummary[[#This Row],[Fecha]],SummaryDaily[day],SummaryDaily[Tienda 81_average_order_value],0)</f>
        <v>0</v>
      </c>
      <c r="R943" s="11">
        <f>_xlfn.XLOOKUP(TableDailySummary[[#This Row],[Fecha]],SummaryDaily[day],SummaryDaily[Rappi_net_sales],0)</f>
        <v>0</v>
      </c>
      <c r="S943" s="11">
        <f>_xlfn.XLOOKUP(TableDailySummary[[#This Row],[Fecha]],SummaryDaily[day],SummaryDaily[Rappi_orders],0)</f>
        <v>0</v>
      </c>
      <c r="T943" s="11">
        <f>_xlfn.XLOOKUP(TableDailySummary[[#This Row],[Fecha]],SummaryDaily[day],SummaryDaily[Rappi_average_order_value],0)</f>
        <v>0</v>
      </c>
      <c r="U943" s="11">
        <f>_xlfn.XLOOKUP(TableDailySummary[[#This Row],[Fecha]],SummaryDaily[day],SummaryDaily[Corporativo no tienda_net_sales],0)</f>
        <v>0</v>
      </c>
      <c r="V943" s="11">
        <f>_xlfn.XLOOKUP(TableDailySummary[[#This Row],[Fecha]],SummaryDaily[day],SummaryDaily[Corporativo no tienda_orders],0)</f>
        <v>0</v>
      </c>
      <c r="W943" s="11">
        <f>_xlfn.XLOOKUP(TableDailySummary[[#This Row],[Fecha]],SummaryDaily[day],SummaryDaily[Corporativo no tienda_average_order_value],0)</f>
        <v>0</v>
      </c>
      <c r="X943" s="11">
        <f>_xlfn.XLOOKUP(TableDailySummary[[#This Row],[Fecha]],SummaryDaily[day],SummaryDaily[GoogleAdsOperation.Cost],0)</f>
        <v>0</v>
      </c>
      <c r="Y943" s="11">
        <f>SUMIFS(SalesByUTMDaily[google],SalesByUTMDaily[day],TableDailySummary[[#This Row],[Fecha]])</f>
        <v>0</v>
      </c>
      <c r="Z943" s="11">
        <f>_xlfn.XLOOKUP(TableDailySummary[[#This Row],[Fecha]],SummaryDaily[day],SummaryDaily[MetaAdsOperation.spend],0)</f>
        <v>0</v>
      </c>
      <c r="AA943" s="11">
        <f>SUMIFS(SalesByUTMDaily[facebook],SalesByUTMDaily[day],TableDailySummary[[#This Row],[Fecha]])</f>
        <v>0</v>
      </c>
      <c r="AB943" s="11">
        <f>TableDailySummary[[#This Row],[Inversión google ads]]+TableDailySummary[[#This Row],[Inversión meta ads]]</f>
        <v>0</v>
      </c>
      <c r="AC943" s="11">
        <f>TableDailySummary[[#This Row],[Ventas google ads]]+TableDailySummary[[#This Row],[Ventas meta ads]]</f>
        <v>0</v>
      </c>
      <c r="AD943" s="14">
        <f>IFERROR(TableDailySummary[[#This Row],[Ventas publicidad]]/TableDailySummary[[#This Row],[Inversión publicidad]],0)</f>
        <v>0</v>
      </c>
      <c r="AE943" s="14">
        <f>IFERROR(TableDailySummary[[#This Row],[Ventas primer cliente]]/TableDailySummary[[#This Row],[Inversión publicidad]],0)</f>
        <v>0</v>
      </c>
      <c r="AF943" s="14"/>
      <c r="AG943" s="11"/>
      <c r="AM943" s="11">
        <f>_xlfn.XLOOKUP(TableDailySummary[[#This Row],[Fecha]],SummaryDaily[day],SummaryDaily[net_sales_with_cost_recorded],0)</f>
        <v>0</v>
      </c>
      <c r="AN943" s="11">
        <f>_xlfn.XLOOKUP(TableDailySummary[[#This Row],[Fecha]],SummaryDaily[day],SummaryDaily[cost_of_goods_sold],0)</f>
        <v>0</v>
      </c>
      <c r="AO943" s="11">
        <f>_xlfn.XLOOKUP(TableDailySummary[[#This Row],[Fecha]],SummaryDaily[day],SummaryDaily[gross_profit],0)</f>
        <v>0</v>
      </c>
      <c r="AP943" s="18">
        <f>IFERROR(TableDailySummary[[#This Row],[Utilidad bruta]]/TableDailySummary[[#This Row],[Ventas netas con costo registrado]],0)</f>
        <v>0</v>
      </c>
    </row>
    <row r="944" spans="2:42" x14ac:dyDescent="0.2">
      <c r="B944" s="15" cm="1">
        <f t="array" ref="B944">ParamFechaInicioReporte + (ROW(TableDailySummary[#This Row]) - ROW(TableDailySummary[[#Headers],[Dia]]) - 1)</f>
        <v>45471</v>
      </c>
      <c r="C944" s="6">
        <f>TableDailySummary[[#This Row],[Dia]]</f>
        <v>45471</v>
      </c>
      <c r="D944" s="11">
        <f>_xlfn.XLOOKUP(TableDailySummary[[#This Row],[Fecha]],SummaryDaily[day],SummaryDaily[net_sales],0)</f>
        <v>0</v>
      </c>
      <c r="E944" s="11">
        <f>_xlfn.XLOOKUP(TableDailySummary[[#This Row],[Fecha]],SummaryDaily[day],SummaryDaily[orders],0)</f>
        <v>0</v>
      </c>
      <c r="F944" s="11">
        <f>_xlfn.XLOOKUP(TableDailySummary[[#This Row],[Fecha]],SummaryDaily[day],SummaryDaily[average_order_value],0)</f>
        <v>0</v>
      </c>
      <c r="G944" s="24" cm="1">
        <f t="array" ref="G944">_xlfn.XLOOKUP(TableDailySummary[[#This Row],[Fecha]]&amp;"Total site",ConversionRateByReferral[day]&amp;ConversionRateByReferral[referrer_source],ConversionRateByReferral[conversion_rate],0)</f>
        <v>0</v>
      </c>
      <c r="H944" s="11">
        <f>TableDailySummary[[#This Row],[Órden promedio totales]]*TableDailySummary[[#This Row],[CR totales]]</f>
        <v>0</v>
      </c>
      <c r="I944" s="11">
        <f>_xlfn.XLOOKUP(TableDailySummary[[#This Row],[Fecha]],SummaryDaily[day],SummaryDaily[new_net_sales],0)</f>
        <v>0</v>
      </c>
      <c r="J944" s="11">
        <f>_xlfn.XLOOKUP(TableDailySummary[[#This Row],[Fecha]],SummaryDaily[day],SummaryDaily[new_orders],0)</f>
        <v>0</v>
      </c>
      <c r="K944" s="11">
        <f>_xlfn.XLOOKUP(TableDailySummary[[#This Row],[Fecha]],SummaryDaily[day],SummaryDaily[new_average_order_value],0)</f>
        <v>0</v>
      </c>
      <c r="L944" s="11">
        <f>_xlfn.XLOOKUP(TableDailySummary[[#This Row],[Fecha]],SummaryDaily[day],SummaryDaily[Online Store_net_sales],0)</f>
        <v>0</v>
      </c>
      <c r="M944" s="11">
        <f>_xlfn.XLOOKUP(TableDailySummary[[#This Row],[Fecha]],SummaryDaily[day],SummaryDaily[Online Store_orders],0)</f>
        <v>0</v>
      </c>
      <c r="N944" s="11">
        <f>_xlfn.XLOOKUP(TableDailySummary[[#This Row],[Fecha]],SummaryDaily[day],SummaryDaily[Online Store_average_order_value],0)</f>
        <v>0</v>
      </c>
      <c r="O944" s="11">
        <f>_xlfn.XLOOKUP(TableDailySummary[[#This Row],[Fecha]],SummaryDaily[day],SummaryDaily[Tienda 81_net_sales],0)</f>
        <v>0</v>
      </c>
      <c r="P944" s="11">
        <f>_xlfn.XLOOKUP(TableDailySummary[[#This Row],[Fecha]],SummaryDaily[day],SummaryDaily[Tienda 81_orders],0)</f>
        <v>0</v>
      </c>
      <c r="Q944" s="11">
        <f>_xlfn.XLOOKUP(TableDailySummary[[#This Row],[Fecha]],SummaryDaily[day],SummaryDaily[Tienda 81_average_order_value],0)</f>
        <v>0</v>
      </c>
      <c r="R944" s="11">
        <f>_xlfn.XLOOKUP(TableDailySummary[[#This Row],[Fecha]],SummaryDaily[day],SummaryDaily[Rappi_net_sales],0)</f>
        <v>0</v>
      </c>
      <c r="S944" s="11">
        <f>_xlfn.XLOOKUP(TableDailySummary[[#This Row],[Fecha]],SummaryDaily[day],SummaryDaily[Rappi_orders],0)</f>
        <v>0</v>
      </c>
      <c r="T944" s="11">
        <f>_xlfn.XLOOKUP(TableDailySummary[[#This Row],[Fecha]],SummaryDaily[day],SummaryDaily[Rappi_average_order_value],0)</f>
        <v>0</v>
      </c>
      <c r="U944" s="11">
        <f>_xlfn.XLOOKUP(TableDailySummary[[#This Row],[Fecha]],SummaryDaily[day],SummaryDaily[Corporativo no tienda_net_sales],0)</f>
        <v>0</v>
      </c>
      <c r="V944" s="11">
        <f>_xlfn.XLOOKUP(TableDailySummary[[#This Row],[Fecha]],SummaryDaily[day],SummaryDaily[Corporativo no tienda_orders],0)</f>
        <v>0</v>
      </c>
      <c r="W944" s="11">
        <f>_xlfn.XLOOKUP(TableDailySummary[[#This Row],[Fecha]],SummaryDaily[day],SummaryDaily[Corporativo no tienda_average_order_value],0)</f>
        <v>0</v>
      </c>
      <c r="X944" s="11">
        <f>_xlfn.XLOOKUP(TableDailySummary[[#This Row],[Fecha]],SummaryDaily[day],SummaryDaily[GoogleAdsOperation.Cost],0)</f>
        <v>0</v>
      </c>
      <c r="Y944" s="11">
        <f>SUMIFS(SalesByUTMDaily[google],SalesByUTMDaily[day],TableDailySummary[[#This Row],[Fecha]])</f>
        <v>0</v>
      </c>
      <c r="Z944" s="11">
        <f>_xlfn.XLOOKUP(TableDailySummary[[#This Row],[Fecha]],SummaryDaily[day],SummaryDaily[MetaAdsOperation.spend],0)</f>
        <v>0</v>
      </c>
      <c r="AA944" s="11">
        <f>SUMIFS(SalesByUTMDaily[facebook],SalesByUTMDaily[day],TableDailySummary[[#This Row],[Fecha]])</f>
        <v>0</v>
      </c>
      <c r="AB944" s="11">
        <f>TableDailySummary[[#This Row],[Inversión google ads]]+TableDailySummary[[#This Row],[Inversión meta ads]]</f>
        <v>0</v>
      </c>
      <c r="AC944" s="11">
        <f>TableDailySummary[[#This Row],[Ventas google ads]]+TableDailySummary[[#This Row],[Ventas meta ads]]</f>
        <v>0</v>
      </c>
      <c r="AD944" s="14">
        <f>IFERROR(TableDailySummary[[#This Row],[Ventas publicidad]]/TableDailySummary[[#This Row],[Inversión publicidad]],0)</f>
        <v>0</v>
      </c>
      <c r="AE944" s="14">
        <f>IFERROR(TableDailySummary[[#This Row],[Ventas primer cliente]]/TableDailySummary[[#This Row],[Inversión publicidad]],0)</f>
        <v>0</v>
      </c>
      <c r="AF944" s="14"/>
      <c r="AG944" s="11"/>
      <c r="AM944" s="11">
        <f>_xlfn.XLOOKUP(TableDailySummary[[#This Row],[Fecha]],SummaryDaily[day],SummaryDaily[net_sales_with_cost_recorded],0)</f>
        <v>0</v>
      </c>
      <c r="AN944" s="11">
        <f>_xlfn.XLOOKUP(TableDailySummary[[#This Row],[Fecha]],SummaryDaily[day],SummaryDaily[cost_of_goods_sold],0)</f>
        <v>0</v>
      </c>
      <c r="AO944" s="11">
        <f>_xlfn.XLOOKUP(TableDailySummary[[#This Row],[Fecha]],SummaryDaily[day],SummaryDaily[gross_profit],0)</f>
        <v>0</v>
      </c>
      <c r="AP944" s="18">
        <f>IFERROR(TableDailySummary[[#This Row],[Utilidad bruta]]/TableDailySummary[[#This Row],[Ventas netas con costo registrado]],0)</f>
        <v>0</v>
      </c>
    </row>
    <row r="945" spans="2:42" x14ac:dyDescent="0.2">
      <c r="B945" s="15" cm="1">
        <f t="array" ref="B945">ParamFechaInicioReporte + (ROW(TableDailySummary[#This Row]) - ROW(TableDailySummary[[#Headers],[Dia]]) - 1)</f>
        <v>45472</v>
      </c>
      <c r="C945" s="6">
        <f>TableDailySummary[[#This Row],[Dia]]</f>
        <v>45472</v>
      </c>
      <c r="D945" s="11">
        <f>_xlfn.XLOOKUP(TableDailySummary[[#This Row],[Fecha]],SummaryDaily[day],SummaryDaily[net_sales],0)</f>
        <v>0</v>
      </c>
      <c r="E945" s="11">
        <f>_xlfn.XLOOKUP(TableDailySummary[[#This Row],[Fecha]],SummaryDaily[day],SummaryDaily[orders],0)</f>
        <v>0</v>
      </c>
      <c r="F945" s="11">
        <f>_xlfn.XLOOKUP(TableDailySummary[[#This Row],[Fecha]],SummaryDaily[day],SummaryDaily[average_order_value],0)</f>
        <v>0</v>
      </c>
      <c r="G945" s="24" cm="1">
        <f t="array" ref="G945">_xlfn.XLOOKUP(TableDailySummary[[#This Row],[Fecha]]&amp;"Total site",ConversionRateByReferral[day]&amp;ConversionRateByReferral[referrer_source],ConversionRateByReferral[conversion_rate],0)</f>
        <v>0</v>
      </c>
      <c r="H945" s="11">
        <f>TableDailySummary[[#This Row],[Órden promedio totales]]*TableDailySummary[[#This Row],[CR totales]]</f>
        <v>0</v>
      </c>
      <c r="I945" s="11">
        <f>_xlfn.XLOOKUP(TableDailySummary[[#This Row],[Fecha]],SummaryDaily[day],SummaryDaily[new_net_sales],0)</f>
        <v>0</v>
      </c>
      <c r="J945" s="11">
        <f>_xlfn.XLOOKUP(TableDailySummary[[#This Row],[Fecha]],SummaryDaily[day],SummaryDaily[new_orders],0)</f>
        <v>0</v>
      </c>
      <c r="K945" s="11">
        <f>_xlfn.XLOOKUP(TableDailySummary[[#This Row],[Fecha]],SummaryDaily[day],SummaryDaily[new_average_order_value],0)</f>
        <v>0</v>
      </c>
      <c r="L945" s="11">
        <f>_xlfn.XLOOKUP(TableDailySummary[[#This Row],[Fecha]],SummaryDaily[day],SummaryDaily[Online Store_net_sales],0)</f>
        <v>0</v>
      </c>
      <c r="M945" s="11">
        <f>_xlfn.XLOOKUP(TableDailySummary[[#This Row],[Fecha]],SummaryDaily[day],SummaryDaily[Online Store_orders],0)</f>
        <v>0</v>
      </c>
      <c r="N945" s="11">
        <f>_xlfn.XLOOKUP(TableDailySummary[[#This Row],[Fecha]],SummaryDaily[day],SummaryDaily[Online Store_average_order_value],0)</f>
        <v>0</v>
      </c>
      <c r="O945" s="11">
        <f>_xlfn.XLOOKUP(TableDailySummary[[#This Row],[Fecha]],SummaryDaily[day],SummaryDaily[Tienda 81_net_sales],0)</f>
        <v>0</v>
      </c>
      <c r="P945" s="11">
        <f>_xlfn.XLOOKUP(TableDailySummary[[#This Row],[Fecha]],SummaryDaily[day],SummaryDaily[Tienda 81_orders],0)</f>
        <v>0</v>
      </c>
      <c r="Q945" s="11">
        <f>_xlfn.XLOOKUP(TableDailySummary[[#This Row],[Fecha]],SummaryDaily[day],SummaryDaily[Tienda 81_average_order_value],0)</f>
        <v>0</v>
      </c>
      <c r="R945" s="11">
        <f>_xlfn.XLOOKUP(TableDailySummary[[#This Row],[Fecha]],SummaryDaily[day],SummaryDaily[Rappi_net_sales],0)</f>
        <v>0</v>
      </c>
      <c r="S945" s="11">
        <f>_xlfn.XLOOKUP(TableDailySummary[[#This Row],[Fecha]],SummaryDaily[day],SummaryDaily[Rappi_orders],0)</f>
        <v>0</v>
      </c>
      <c r="T945" s="11">
        <f>_xlfn.XLOOKUP(TableDailySummary[[#This Row],[Fecha]],SummaryDaily[day],SummaryDaily[Rappi_average_order_value],0)</f>
        <v>0</v>
      </c>
      <c r="U945" s="11">
        <f>_xlfn.XLOOKUP(TableDailySummary[[#This Row],[Fecha]],SummaryDaily[day],SummaryDaily[Corporativo no tienda_net_sales],0)</f>
        <v>0</v>
      </c>
      <c r="V945" s="11">
        <f>_xlfn.XLOOKUP(TableDailySummary[[#This Row],[Fecha]],SummaryDaily[day],SummaryDaily[Corporativo no tienda_orders],0)</f>
        <v>0</v>
      </c>
      <c r="W945" s="11">
        <f>_xlfn.XLOOKUP(TableDailySummary[[#This Row],[Fecha]],SummaryDaily[day],SummaryDaily[Corporativo no tienda_average_order_value],0)</f>
        <v>0</v>
      </c>
      <c r="X945" s="11">
        <f>_xlfn.XLOOKUP(TableDailySummary[[#This Row],[Fecha]],SummaryDaily[day],SummaryDaily[GoogleAdsOperation.Cost],0)</f>
        <v>0</v>
      </c>
      <c r="Y945" s="11">
        <f>SUMIFS(SalesByUTMDaily[google],SalesByUTMDaily[day],TableDailySummary[[#This Row],[Fecha]])</f>
        <v>0</v>
      </c>
      <c r="Z945" s="11">
        <f>_xlfn.XLOOKUP(TableDailySummary[[#This Row],[Fecha]],SummaryDaily[day],SummaryDaily[MetaAdsOperation.spend],0)</f>
        <v>0</v>
      </c>
      <c r="AA945" s="11">
        <f>SUMIFS(SalesByUTMDaily[facebook],SalesByUTMDaily[day],TableDailySummary[[#This Row],[Fecha]])</f>
        <v>0</v>
      </c>
      <c r="AB945" s="11">
        <f>TableDailySummary[[#This Row],[Inversión google ads]]+TableDailySummary[[#This Row],[Inversión meta ads]]</f>
        <v>0</v>
      </c>
      <c r="AC945" s="11">
        <f>TableDailySummary[[#This Row],[Ventas google ads]]+TableDailySummary[[#This Row],[Ventas meta ads]]</f>
        <v>0</v>
      </c>
      <c r="AD945" s="14">
        <f>IFERROR(TableDailySummary[[#This Row],[Ventas publicidad]]/TableDailySummary[[#This Row],[Inversión publicidad]],0)</f>
        <v>0</v>
      </c>
      <c r="AE945" s="14">
        <f>IFERROR(TableDailySummary[[#This Row],[Ventas primer cliente]]/TableDailySummary[[#This Row],[Inversión publicidad]],0)</f>
        <v>0</v>
      </c>
      <c r="AF945" s="14"/>
      <c r="AG945" s="11"/>
      <c r="AM945" s="11">
        <f>_xlfn.XLOOKUP(TableDailySummary[[#This Row],[Fecha]],SummaryDaily[day],SummaryDaily[net_sales_with_cost_recorded],0)</f>
        <v>0</v>
      </c>
      <c r="AN945" s="11">
        <f>_xlfn.XLOOKUP(TableDailySummary[[#This Row],[Fecha]],SummaryDaily[day],SummaryDaily[cost_of_goods_sold],0)</f>
        <v>0</v>
      </c>
      <c r="AO945" s="11">
        <f>_xlfn.XLOOKUP(TableDailySummary[[#This Row],[Fecha]],SummaryDaily[day],SummaryDaily[gross_profit],0)</f>
        <v>0</v>
      </c>
      <c r="AP945" s="18">
        <f>IFERROR(TableDailySummary[[#This Row],[Utilidad bruta]]/TableDailySummary[[#This Row],[Ventas netas con costo registrado]],0)</f>
        <v>0</v>
      </c>
    </row>
    <row r="946" spans="2:42" x14ac:dyDescent="0.2">
      <c r="B946" s="15" cm="1">
        <f t="array" ref="B946">ParamFechaInicioReporte + (ROW(TableDailySummary[#This Row]) - ROW(TableDailySummary[[#Headers],[Dia]]) - 1)</f>
        <v>45473</v>
      </c>
      <c r="C946" s="6">
        <f>TableDailySummary[[#This Row],[Dia]]</f>
        <v>45473</v>
      </c>
      <c r="D946" s="11">
        <f>_xlfn.XLOOKUP(TableDailySummary[[#This Row],[Fecha]],SummaryDaily[day],SummaryDaily[net_sales],0)</f>
        <v>0</v>
      </c>
      <c r="E946" s="11">
        <f>_xlfn.XLOOKUP(TableDailySummary[[#This Row],[Fecha]],SummaryDaily[day],SummaryDaily[orders],0)</f>
        <v>0</v>
      </c>
      <c r="F946" s="11">
        <f>_xlfn.XLOOKUP(TableDailySummary[[#This Row],[Fecha]],SummaryDaily[day],SummaryDaily[average_order_value],0)</f>
        <v>0</v>
      </c>
      <c r="G946" s="24" cm="1">
        <f t="array" ref="G946">_xlfn.XLOOKUP(TableDailySummary[[#This Row],[Fecha]]&amp;"Total site",ConversionRateByReferral[day]&amp;ConversionRateByReferral[referrer_source],ConversionRateByReferral[conversion_rate],0)</f>
        <v>0</v>
      </c>
      <c r="H946" s="11">
        <f>TableDailySummary[[#This Row],[Órden promedio totales]]*TableDailySummary[[#This Row],[CR totales]]</f>
        <v>0</v>
      </c>
      <c r="I946" s="11">
        <f>_xlfn.XLOOKUP(TableDailySummary[[#This Row],[Fecha]],SummaryDaily[day],SummaryDaily[new_net_sales],0)</f>
        <v>0</v>
      </c>
      <c r="J946" s="11">
        <f>_xlfn.XLOOKUP(TableDailySummary[[#This Row],[Fecha]],SummaryDaily[day],SummaryDaily[new_orders],0)</f>
        <v>0</v>
      </c>
      <c r="K946" s="11">
        <f>_xlfn.XLOOKUP(TableDailySummary[[#This Row],[Fecha]],SummaryDaily[day],SummaryDaily[new_average_order_value],0)</f>
        <v>0</v>
      </c>
      <c r="L946" s="11">
        <f>_xlfn.XLOOKUP(TableDailySummary[[#This Row],[Fecha]],SummaryDaily[day],SummaryDaily[Online Store_net_sales],0)</f>
        <v>0</v>
      </c>
      <c r="M946" s="11">
        <f>_xlfn.XLOOKUP(TableDailySummary[[#This Row],[Fecha]],SummaryDaily[day],SummaryDaily[Online Store_orders],0)</f>
        <v>0</v>
      </c>
      <c r="N946" s="11">
        <f>_xlfn.XLOOKUP(TableDailySummary[[#This Row],[Fecha]],SummaryDaily[day],SummaryDaily[Online Store_average_order_value],0)</f>
        <v>0</v>
      </c>
      <c r="O946" s="11">
        <f>_xlfn.XLOOKUP(TableDailySummary[[#This Row],[Fecha]],SummaryDaily[day],SummaryDaily[Tienda 81_net_sales],0)</f>
        <v>0</v>
      </c>
      <c r="P946" s="11">
        <f>_xlfn.XLOOKUP(TableDailySummary[[#This Row],[Fecha]],SummaryDaily[day],SummaryDaily[Tienda 81_orders],0)</f>
        <v>0</v>
      </c>
      <c r="Q946" s="11">
        <f>_xlfn.XLOOKUP(TableDailySummary[[#This Row],[Fecha]],SummaryDaily[day],SummaryDaily[Tienda 81_average_order_value],0)</f>
        <v>0</v>
      </c>
      <c r="R946" s="11">
        <f>_xlfn.XLOOKUP(TableDailySummary[[#This Row],[Fecha]],SummaryDaily[day],SummaryDaily[Rappi_net_sales],0)</f>
        <v>0</v>
      </c>
      <c r="S946" s="11">
        <f>_xlfn.XLOOKUP(TableDailySummary[[#This Row],[Fecha]],SummaryDaily[day],SummaryDaily[Rappi_orders],0)</f>
        <v>0</v>
      </c>
      <c r="T946" s="11">
        <f>_xlfn.XLOOKUP(TableDailySummary[[#This Row],[Fecha]],SummaryDaily[day],SummaryDaily[Rappi_average_order_value],0)</f>
        <v>0</v>
      </c>
      <c r="U946" s="11">
        <f>_xlfn.XLOOKUP(TableDailySummary[[#This Row],[Fecha]],SummaryDaily[day],SummaryDaily[Corporativo no tienda_net_sales],0)</f>
        <v>0</v>
      </c>
      <c r="V946" s="11">
        <f>_xlfn.XLOOKUP(TableDailySummary[[#This Row],[Fecha]],SummaryDaily[day],SummaryDaily[Corporativo no tienda_orders],0)</f>
        <v>0</v>
      </c>
      <c r="W946" s="11">
        <f>_xlfn.XLOOKUP(TableDailySummary[[#This Row],[Fecha]],SummaryDaily[day],SummaryDaily[Corporativo no tienda_average_order_value],0)</f>
        <v>0</v>
      </c>
      <c r="X946" s="11">
        <f>_xlfn.XLOOKUP(TableDailySummary[[#This Row],[Fecha]],SummaryDaily[day],SummaryDaily[GoogleAdsOperation.Cost],0)</f>
        <v>0</v>
      </c>
      <c r="Y946" s="11">
        <f>SUMIFS(SalesByUTMDaily[google],SalesByUTMDaily[day],TableDailySummary[[#This Row],[Fecha]])</f>
        <v>0</v>
      </c>
      <c r="Z946" s="11">
        <f>_xlfn.XLOOKUP(TableDailySummary[[#This Row],[Fecha]],SummaryDaily[day],SummaryDaily[MetaAdsOperation.spend],0)</f>
        <v>0</v>
      </c>
      <c r="AA946" s="11">
        <f>SUMIFS(SalesByUTMDaily[facebook],SalesByUTMDaily[day],TableDailySummary[[#This Row],[Fecha]])</f>
        <v>0</v>
      </c>
      <c r="AB946" s="11">
        <f>TableDailySummary[[#This Row],[Inversión google ads]]+TableDailySummary[[#This Row],[Inversión meta ads]]</f>
        <v>0</v>
      </c>
      <c r="AC946" s="11">
        <f>TableDailySummary[[#This Row],[Ventas google ads]]+TableDailySummary[[#This Row],[Ventas meta ads]]</f>
        <v>0</v>
      </c>
      <c r="AD946" s="14">
        <f>IFERROR(TableDailySummary[[#This Row],[Ventas publicidad]]/TableDailySummary[[#This Row],[Inversión publicidad]],0)</f>
        <v>0</v>
      </c>
      <c r="AE946" s="14">
        <f>IFERROR(TableDailySummary[[#This Row],[Ventas primer cliente]]/TableDailySummary[[#This Row],[Inversión publicidad]],0)</f>
        <v>0</v>
      </c>
      <c r="AF946" s="14"/>
      <c r="AG946" s="11"/>
      <c r="AM946" s="11">
        <f>_xlfn.XLOOKUP(TableDailySummary[[#This Row],[Fecha]],SummaryDaily[day],SummaryDaily[net_sales_with_cost_recorded],0)</f>
        <v>0</v>
      </c>
      <c r="AN946" s="11">
        <f>_xlfn.XLOOKUP(TableDailySummary[[#This Row],[Fecha]],SummaryDaily[day],SummaryDaily[cost_of_goods_sold],0)</f>
        <v>0</v>
      </c>
      <c r="AO946" s="11">
        <f>_xlfn.XLOOKUP(TableDailySummary[[#This Row],[Fecha]],SummaryDaily[day],SummaryDaily[gross_profit],0)</f>
        <v>0</v>
      </c>
      <c r="AP946" s="18">
        <f>IFERROR(TableDailySummary[[#This Row],[Utilidad bruta]]/TableDailySummary[[#This Row],[Ventas netas con costo registrado]],0)</f>
        <v>0</v>
      </c>
    </row>
    <row r="947" spans="2:42" x14ac:dyDescent="0.2">
      <c r="B947" s="15" cm="1">
        <f t="array" ref="B947">ParamFechaInicioReporte + (ROW(TableDailySummary[#This Row]) - ROW(TableDailySummary[[#Headers],[Dia]]) - 1)</f>
        <v>45474</v>
      </c>
      <c r="C947" s="6">
        <f>TableDailySummary[[#This Row],[Dia]]</f>
        <v>45474</v>
      </c>
      <c r="D947" s="11">
        <f>_xlfn.XLOOKUP(TableDailySummary[[#This Row],[Fecha]],SummaryDaily[day],SummaryDaily[net_sales],0)</f>
        <v>0</v>
      </c>
      <c r="E947" s="11">
        <f>_xlfn.XLOOKUP(TableDailySummary[[#This Row],[Fecha]],SummaryDaily[day],SummaryDaily[orders],0)</f>
        <v>0</v>
      </c>
      <c r="F947" s="11">
        <f>_xlfn.XLOOKUP(TableDailySummary[[#This Row],[Fecha]],SummaryDaily[day],SummaryDaily[average_order_value],0)</f>
        <v>0</v>
      </c>
      <c r="G947" s="24" cm="1">
        <f t="array" ref="G947">_xlfn.XLOOKUP(TableDailySummary[[#This Row],[Fecha]]&amp;"Total site",ConversionRateByReferral[day]&amp;ConversionRateByReferral[referrer_source],ConversionRateByReferral[conversion_rate],0)</f>
        <v>0</v>
      </c>
      <c r="H947" s="11">
        <f>TableDailySummary[[#This Row],[Órden promedio totales]]*TableDailySummary[[#This Row],[CR totales]]</f>
        <v>0</v>
      </c>
      <c r="I947" s="11">
        <f>_xlfn.XLOOKUP(TableDailySummary[[#This Row],[Fecha]],SummaryDaily[day],SummaryDaily[new_net_sales],0)</f>
        <v>0</v>
      </c>
      <c r="J947" s="11">
        <f>_xlfn.XLOOKUP(TableDailySummary[[#This Row],[Fecha]],SummaryDaily[day],SummaryDaily[new_orders],0)</f>
        <v>0</v>
      </c>
      <c r="K947" s="11">
        <f>_xlfn.XLOOKUP(TableDailySummary[[#This Row],[Fecha]],SummaryDaily[day],SummaryDaily[new_average_order_value],0)</f>
        <v>0</v>
      </c>
      <c r="L947" s="11">
        <f>_xlfn.XLOOKUP(TableDailySummary[[#This Row],[Fecha]],SummaryDaily[day],SummaryDaily[Online Store_net_sales],0)</f>
        <v>0</v>
      </c>
      <c r="M947" s="11">
        <f>_xlfn.XLOOKUP(TableDailySummary[[#This Row],[Fecha]],SummaryDaily[day],SummaryDaily[Online Store_orders],0)</f>
        <v>0</v>
      </c>
      <c r="N947" s="11">
        <f>_xlfn.XLOOKUP(TableDailySummary[[#This Row],[Fecha]],SummaryDaily[day],SummaryDaily[Online Store_average_order_value],0)</f>
        <v>0</v>
      </c>
      <c r="O947" s="11">
        <f>_xlfn.XLOOKUP(TableDailySummary[[#This Row],[Fecha]],SummaryDaily[day],SummaryDaily[Tienda 81_net_sales],0)</f>
        <v>0</v>
      </c>
      <c r="P947" s="11">
        <f>_xlfn.XLOOKUP(TableDailySummary[[#This Row],[Fecha]],SummaryDaily[day],SummaryDaily[Tienda 81_orders],0)</f>
        <v>0</v>
      </c>
      <c r="Q947" s="11">
        <f>_xlfn.XLOOKUP(TableDailySummary[[#This Row],[Fecha]],SummaryDaily[day],SummaryDaily[Tienda 81_average_order_value],0)</f>
        <v>0</v>
      </c>
      <c r="R947" s="11">
        <f>_xlfn.XLOOKUP(TableDailySummary[[#This Row],[Fecha]],SummaryDaily[day],SummaryDaily[Rappi_net_sales],0)</f>
        <v>0</v>
      </c>
      <c r="S947" s="11">
        <f>_xlfn.XLOOKUP(TableDailySummary[[#This Row],[Fecha]],SummaryDaily[day],SummaryDaily[Rappi_orders],0)</f>
        <v>0</v>
      </c>
      <c r="T947" s="11">
        <f>_xlfn.XLOOKUP(TableDailySummary[[#This Row],[Fecha]],SummaryDaily[day],SummaryDaily[Rappi_average_order_value],0)</f>
        <v>0</v>
      </c>
      <c r="U947" s="11">
        <f>_xlfn.XLOOKUP(TableDailySummary[[#This Row],[Fecha]],SummaryDaily[day],SummaryDaily[Corporativo no tienda_net_sales],0)</f>
        <v>0</v>
      </c>
      <c r="V947" s="11">
        <f>_xlfn.XLOOKUP(TableDailySummary[[#This Row],[Fecha]],SummaryDaily[day],SummaryDaily[Corporativo no tienda_orders],0)</f>
        <v>0</v>
      </c>
      <c r="W947" s="11">
        <f>_xlfn.XLOOKUP(TableDailySummary[[#This Row],[Fecha]],SummaryDaily[day],SummaryDaily[Corporativo no tienda_average_order_value],0)</f>
        <v>0</v>
      </c>
      <c r="X947" s="11">
        <f>_xlfn.XLOOKUP(TableDailySummary[[#This Row],[Fecha]],SummaryDaily[day],SummaryDaily[GoogleAdsOperation.Cost],0)</f>
        <v>0</v>
      </c>
      <c r="Y947" s="11">
        <f>SUMIFS(SalesByUTMDaily[google],SalesByUTMDaily[day],TableDailySummary[[#This Row],[Fecha]])</f>
        <v>0</v>
      </c>
      <c r="Z947" s="11">
        <f>_xlfn.XLOOKUP(TableDailySummary[[#This Row],[Fecha]],SummaryDaily[day],SummaryDaily[MetaAdsOperation.spend],0)</f>
        <v>0</v>
      </c>
      <c r="AA947" s="11">
        <f>SUMIFS(SalesByUTMDaily[facebook],SalesByUTMDaily[day],TableDailySummary[[#This Row],[Fecha]])</f>
        <v>0</v>
      </c>
      <c r="AB947" s="11">
        <f>TableDailySummary[[#This Row],[Inversión google ads]]+TableDailySummary[[#This Row],[Inversión meta ads]]</f>
        <v>0</v>
      </c>
      <c r="AC947" s="11">
        <f>TableDailySummary[[#This Row],[Ventas google ads]]+TableDailySummary[[#This Row],[Ventas meta ads]]</f>
        <v>0</v>
      </c>
      <c r="AD947" s="14">
        <f>IFERROR(TableDailySummary[[#This Row],[Ventas publicidad]]/TableDailySummary[[#This Row],[Inversión publicidad]],0)</f>
        <v>0</v>
      </c>
      <c r="AE947" s="14">
        <f>IFERROR(TableDailySummary[[#This Row],[Ventas primer cliente]]/TableDailySummary[[#This Row],[Inversión publicidad]],0)</f>
        <v>0</v>
      </c>
      <c r="AF947" s="14"/>
      <c r="AG947" s="11"/>
      <c r="AM947" s="11">
        <f>_xlfn.XLOOKUP(TableDailySummary[[#This Row],[Fecha]],SummaryDaily[day],SummaryDaily[net_sales_with_cost_recorded],0)</f>
        <v>0</v>
      </c>
      <c r="AN947" s="11">
        <f>_xlfn.XLOOKUP(TableDailySummary[[#This Row],[Fecha]],SummaryDaily[day],SummaryDaily[cost_of_goods_sold],0)</f>
        <v>0</v>
      </c>
      <c r="AO947" s="11">
        <f>_xlfn.XLOOKUP(TableDailySummary[[#This Row],[Fecha]],SummaryDaily[day],SummaryDaily[gross_profit],0)</f>
        <v>0</v>
      </c>
      <c r="AP947" s="18">
        <f>IFERROR(TableDailySummary[[#This Row],[Utilidad bruta]]/TableDailySummary[[#This Row],[Ventas netas con costo registrado]],0)</f>
        <v>0</v>
      </c>
    </row>
    <row r="948" spans="2:42" x14ac:dyDescent="0.2">
      <c r="B948" s="15" cm="1">
        <f t="array" ref="B948">ParamFechaInicioReporte + (ROW(TableDailySummary[#This Row]) - ROW(TableDailySummary[[#Headers],[Dia]]) - 1)</f>
        <v>45475</v>
      </c>
      <c r="C948" s="6">
        <f>TableDailySummary[[#This Row],[Dia]]</f>
        <v>45475</v>
      </c>
      <c r="D948" s="11">
        <f>_xlfn.XLOOKUP(TableDailySummary[[#This Row],[Fecha]],SummaryDaily[day],SummaryDaily[net_sales],0)</f>
        <v>0</v>
      </c>
      <c r="E948" s="11">
        <f>_xlfn.XLOOKUP(TableDailySummary[[#This Row],[Fecha]],SummaryDaily[day],SummaryDaily[orders],0)</f>
        <v>0</v>
      </c>
      <c r="F948" s="11">
        <f>_xlfn.XLOOKUP(TableDailySummary[[#This Row],[Fecha]],SummaryDaily[day],SummaryDaily[average_order_value],0)</f>
        <v>0</v>
      </c>
      <c r="G948" s="24" cm="1">
        <f t="array" ref="G948">_xlfn.XLOOKUP(TableDailySummary[[#This Row],[Fecha]]&amp;"Total site",ConversionRateByReferral[day]&amp;ConversionRateByReferral[referrer_source],ConversionRateByReferral[conversion_rate],0)</f>
        <v>0</v>
      </c>
      <c r="H948" s="11">
        <f>TableDailySummary[[#This Row],[Órden promedio totales]]*TableDailySummary[[#This Row],[CR totales]]</f>
        <v>0</v>
      </c>
      <c r="I948" s="11">
        <f>_xlfn.XLOOKUP(TableDailySummary[[#This Row],[Fecha]],SummaryDaily[day],SummaryDaily[new_net_sales],0)</f>
        <v>0</v>
      </c>
      <c r="J948" s="11">
        <f>_xlfn.XLOOKUP(TableDailySummary[[#This Row],[Fecha]],SummaryDaily[day],SummaryDaily[new_orders],0)</f>
        <v>0</v>
      </c>
      <c r="K948" s="11">
        <f>_xlfn.XLOOKUP(TableDailySummary[[#This Row],[Fecha]],SummaryDaily[day],SummaryDaily[new_average_order_value],0)</f>
        <v>0</v>
      </c>
      <c r="L948" s="11">
        <f>_xlfn.XLOOKUP(TableDailySummary[[#This Row],[Fecha]],SummaryDaily[day],SummaryDaily[Online Store_net_sales],0)</f>
        <v>0</v>
      </c>
      <c r="M948" s="11">
        <f>_xlfn.XLOOKUP(TableDailySummary[[#This Row],[Fecha]],SummaryDaily[day],SummaryDaily[Online Store_orders],0)</f>
        <v>0</v>
      </c>
      <c r="N948" s="11">
        <f>_xlfn.XLOOKUP(TableDailySummary[[#This Row],[Fecha]],SummaryDaily[day],SummaryDaily[Online Store_average_order_value],0)</f>
        <v>0</v>
      </c>
      <c r="O948" s="11">
        <f>_xlfn.XLOOKUP(TableDailySummary[[#This Row],[Fecha]],SummaryDaily[day],SummaryDaily[Tienda 81_net_sales],0)</f>
        <v>0</v>
      </c>
      <c r="P948" s="11">
        <f>_xlfn.XLOOKUP(TableDailySummary[[#This Row],[Fecha]],SummaryDaily[day],SummaryDaily[Tienda 81_orders],0)</f>
        <v>0</v>
      </c>
      <c r="Q948" s="11">
        <f>_xlfn.XLOOKUP(TableDailySummary[[#This Row],[Fecha]],SummaryDaily[day],SummaryDaily[Tienda 81_average_order_value],0)</f>
        <v>0</v>
      </c>
      <c r="R948" s="11">
        <f>_xlfn.XLOOKUP(TableDailySummary[[#This Row],[Fecha]],SummaryDaily[day],SummaryDaily[Rappi_net_sales],0)</f>
        <v>0</v>
      </c>
      <c r="S948" s="11">
        <f>_xlfn.XLOOKUP(TableDailySummary[[#This Row],[Fecha]],SummaryDaily[day],SummaryDaily[Rappi_orders],0)</f>
        <v>0</v>
      </c>
      <c r="T948" s="11">
        <f>_xlfn.XLOOKUP(TableDailySummary[[#This Row],[Fecha]],SummaryDaily[day],SummaryDaily[Rappi_average_order_value],0)</f>
        <v>0</v>
      </c>
      <c r="U948" s="11">
        <f>_xlfn.XLOOKUP(TableDailySummary[[#This Row],[Fecha]],SummaryDaily[day],SummaryDaily[Corporativo no tienda_net_sales],0)</f>
        <v>0</v>
      </c>
      <c r="V948" s="11">
        <f>_xlfn.XLOOKUP(TableDailySummary[[#This Row],[Fecha]],SummaryDaily[day],SummaryDaily[Corporativo no tienda_orders],0)</f>
        <v>0</v>
      </c>
      <c r="W948" s="11">
        <f>_xlfn.XLOOKUP(TableDailySummary[[#This Row],[Fecha]],SummaryDaily[day],SummaryDaily[Corporativo no tienda_average_order_value],0)</f>
        <v>0</v>
      </c>
      <c r="X948" s="11">
        <f>_xlfn.XLOOKUP(TableDailySummary[[#This Row],[Fecha]],SummaryDaily[day],SummaryDaily[GoogleAdsOperation.Cost],0)</f>
        <v>0</v>
      </c>
      <c r="Y948" s="11">
        <f>SUMIFS(SalesByUTMDaily[google],SalesByUTMDaily[day],TableDailySummary[[#This Row],[Fecha]])</f>
        <v>0</v>
      </c>
      <c r="Z948" s="11">
        <f>_xlfn.XLOOKUP(TableDailySummary[[#This Row],[Fecha]],SummaryDaily[day],SummaryDaily[MetaAdsOperation.spend],0)</f>
        <v>0</v>
      </c>
      <c r="AA948" s="11">
        <f>SUMIFS(SalesByUTMDaily[facebook],SalesByUTMDaily[day],TableDailySummary[[#This Row],[Fecha]])</f>
        <v>0</v>
      </c>
      <c r="AB948" s="11">
        <f>TableDailySummary[[#This Row],[Inversión google ads]]+TableDailySummary[[#This Row],[Inversión meta ads]]</f>
        <v>0</v>
      </c>
      <c r="AC948" s="11">
        <f>TableDailySummary[[#This Row],[Ventas google ads]]+TableDailySummary[[#This Row],[Ventas meta ads]]</f>
        <v>0</v>
      </c>
      <c r="AD948" s="14">
        <f>IFERROR(TableDailySummary[[#This Row],[Ventas publicidad]]/TableDailySummary[[#This Row],[Inversión publicidad]],0)</f>
        <v>0</v>
      </c>
      <c r="AE948" s="14">
        <f>IFERROR(TableDailySummary[[#This Row],[Ventas primer cliente]]/TableDailySummary[[#This Row],[Inversión publicidad]],0)</f>
        <v>0</v>
      </c>
      <c r="AF948" s="14"/>
      <c r="AG948" s="11"/>
      <c r="AM948" s="11">
        <f>_xlfn.XLOOKUP(TableDailySummary[[#This Row],[Fecha]],SummaryDaily[day],SummaryDaily[net_sales_with_cost_recorded],0)</f>
        <v>0</v>
      </c>
      <c r="AN948" s="11">
        <f>_xlfn.XLOOKUP(TableDailySummary[[#This Row],[Fecha]],SummaryDaily[day],SummaryDaily[cost_of_goods_sold],0)</f>
        <v>0</v>
      </c>
      <c r="AO948" s="11">
        <f>_xlfn.XLOOKUP(TableDailySummary[[#This Row],[Fecha]],SummaryDaily[day],SummaryDaily[gross_profit],0)</f>
        <v>0</v>
      </c>
      <c r="AP948" s="18">
        <f>IFERROR(TableDailySummary[[#This Row],[Utilidad bruta]]/TableDailySummary[[#This Row],[Ventas netas con costo registrado]],0)</f>
        <v>0</v>
      </c>
    </row>
    <row r="949" spans="2:42" x14ac:dyDescent="0.2">
      <c r="B949" s="15" cm="1">
        <f t="array" ref="B949">ParamFechaInicioReporte + (ROW(TableDailySummary[#This Row]) - ROW(TableDailySummary[[#Headers],[Dia]]) - 1)</f>
        <v>45476</v>
      </c>
      <c r="C949" s="6">
        <f>TableDailySummary[[#This Row],[Dia]]</f>
        <v>45476</v>
      </c>
      <c r="D949" s="11">
        <f>_xlfn.XLOOKUP(TableDailySummary[[#This Row],[Fecha]],SummaryDaily[day],SummaryDaily[net_sales],0)</f>
        <v>0</v>
      </c>
      <c r="E949" s="11">
        <f>_xlfn.XLOOKUP(TableDailySummary[[#This Row],[Fecha]],SummaryDaily[day],SummaryDaily[orders],0)</f>
        <v>0</v>
      </c>
      <c r="F949" s="11">
        <f>_xlfn.XLOOKUP(TableDailySummary[[#This Row],[Fecha]],SummaryDaily[day],SummaryDaily[average_order_value],0)</f>
        <v>0</v>
      </c>
      <c r="G949" s="24" cm="1">
        <f t="array" ref="G949">_xlfn.XLOOKUP(TableDailySummary[[#This Row],[Fecha]]&amp;"Total site",ConversionRateByReferral[day]&amp;ConversionRateByReferral[referrer_source],ConversionRateByReferral[conversion_rate],0)</f>
        <v>0</v>
      </c>
      <c r="H949" s="11">
        <f>TableDailySummary[[#This Row],[Órden promedio totales]]*TableDailySummary[[#This Row],[CR totales]]</f>
        <v>0</v>
      </c>
      <c r="I949" s="11">
        <f>_xlfn.XLOOKUP(TableDailySummary[[#This Row],[Fecha]],SummaryDaily[day],SummaryDaily[new_net_sales],0)</f>
        <v>0</v>
      </c>
      <c r="J949" s="11">
        <f>_xlfn.XLOOKUP(TableDailySummary[[#This Row],[Fecha]],SummaryDaily[day],SummaryDaily[new_orders],0)</f>
        <v>0</v>
      </c>
      <c r="K949" s="11">
        <f>_xlfn.XLOOKUP(TableDailySummary[[#This Row],[Fecha]],SummaryDaily[day],SummaryDaily[new_average_order_value],0)</f>
        <v>0</v>
      </c>
      <c r="L949" s="11">
        <f>_xlfn.XLOOKUP(TableDailySummary[[#This Row],[Fecha]],SummaryDaily[day],SummaryDaily[Online Store_net_sales],0)</f>
        <v>0</v>
      </c>
      <c r="M949" s="11">
        <f>_xlfn.XLOOKUP(TableDailySummary[[#This Row],[Fecha]],SummaryDaily[day],SummaryDaily[Online Store_orders],0)</f>
        <v>0</v>
      </c>
      <c r="N949" s="11">
        <f>_xlfn.XLOOKUP(TableDailySummary[[#This Row],[Fecha]],SummaryDaily[day],SummaryDaily[Online Store_average_order_value],0)</f>
        <v>0</v>
      </c>
      <c r="O949" s="11">
        <f>_xlfn.XLOOKUP(TableDailySummary[[#This Row],[Fecha]],SummaryDaily[day],SummaryDaily[Tienda 81_net_sales],0)</f>
        <v>0</v>
      </c>
      <c r="P949" s="11">
        <f>_xlfn.XLOOKUP(TableDailySummary[[#This Row],[Fecha]],SummaryDaily[day],SummaryDaily[Tienda 81_orders],0)</f>
        <v>0</v>
      </c>
      <c r="Q949" s="11">
        <f>_xlfn.XLOOKUP(TableDailySummary[[#This Row],[Fecha]],SummaryDaily[day],SummaryDaily[Tienda 81_average_order_value],0)</f>
        <v>0</v>
      </c>
      <c r="R949" s="11">
        <f>_xlfn.XLOOKUP(TableDailySummary[[#This Row],[Fecha]],SummaryDaily[day],SummaryDaily[Rappi_net_sales],0)</f>
        <v>0</v>
      </c>
      <c r="S949" s="11">
        <f>_xlfn.XLOOKUP(TableDailySummary[[#This Row],[Fecha]],SummaryDaily[day],SummaryDaily[Rappi_orders],0)</f>
        <v>0</v>
      </c>
      <c r="T949" s="11">
        <f>_xlfn.XLOOKUP(TableDailySummary[[#This Row],[Fecha]],SummaryDaily[day],SummaryDaily[Rappi_average_order_value],0)</f>
        <v>0</v>
      </c>
      <c r="U949" s="11">
        <f>_xlfn.XLOOKUP(TableDailySummary[[#This Row],[Fecha]],SummaryDaily[day],SummaryDaily[Corporativo no tienda_net_sales],0)</f>
        <v>0</v>
      </c>
      <c r="V949" s="11">
        <f>_xlfn.XLOOKUP(TableDailySummary[[#This Row],[Fecha]],SummaryDaily[day],SummaryDaily[Corporativo no tienda_orders],0)</f>
        <v>0</v>
      </c>
      <c r="W949" s="11">
        <f>_xlfn.XLOOKUP(TableDailySummary[[#This Row],[Fecha]],SummaryDaily[day],SummaryDaily[Corporativo no tienda_average_order_value],0)</f>
        <v>0</v>
      </c>
      <c r="X949" s="11">
        <f>_xlfn.XLOOKUP(TableDailySummary[[#This Row],[Fecha]],SummaryDaily[day],SummaryDaily[GoogleAdsOperation.Cost],0)</f>
        <v>0</v>
      </c>
      <c r="Y949" s="11">
        <f>SUMIFS(SalesByUTMDaily[google],SalesByUTMDaily[day],TableDailySummary[[#This Row],[Fecha]])</f>
        <v>0</v>
      </c>
      <c r="Z949" s="11">
        <f>_xlfn.XLOOKUP(TableDailySummary[[#This Row],[Fecha]],SummaryDaily[day],SummaryDaily[MetaAdsOperation.spend],0)</f>
        <v>0</v>
      </c>
      <c r="AA949" s="11">
        <f>SUMIFS(SalesByUTMDaily[facebook],SalesByUTMDaily[day],TableDailySummary[[#This Row],[Fecha]])</f>
        <v>0</v>
      </c>
      <c r="AB949" s="11">
        <f>TableDailySummary[[#This Row],[Inversión google ads]]+TableDailySummary[[#This Row],[Inversión meta ads]]</f>
        <v>0</v>
      </c>
      <c r="AC949" s="11">
        <f>TableDailySummary[[#This Row],[Ventas google ads]]+TableDailySummary[[#This Row],[Ventas meta ads]]</f>
        <v>0</v>
      </c>
      <c r="AD949" s="14">
        <f>IFERROR(TableDailySummary[[#This Row],[Ventas publicidad]]/TableDailySummary[[#This Row],[Inversión publicidad]],0)</f>
        <v>0</v>
      </c>
      <c r="AE949" s="14">
        <f>IFERROR(TableDailySummary[[#This Row],[Ventas primer cliente]]/TableDailySummary[[#This Row],[Inversión publicidad]],0)</f>
        <v>0</v>
      </c>
      <c r="AF949" s="14"/>
      <c r="AG949" s="11"/>
      <c r="AM949" s="11">
        <f>_xlfn.XLOOKUP(TableDailySummary[[#This Row],[Fecha]],SummaryDaily[day],SummaryDaily[net_sales_with_cost_recorded],0)</f>
        <v>0</v>
      </c>
      <c r="AN949" s="11">
        <f>_xlfn.XLOOKUP(TableDailySummary[[#This Row],[Fecha]],SummaryDaily[day],SummaryDaily[cost_of_goods_sold],0)</f>
        <v>0</v>
      </c>
      <c r="AO949" s="11">
        <f>_xlfn.XLOOKUP(TableDailySummary[[#This Row],[Fecha]],SummaryDaily[day],SummaryDaily[gross_profit],0)</f>
        <v>0</v>
      </c>
      <c r="AP949" s="18">
        <f>IFERROR(TableDailySummary[[#This Row],[Utilidad bruta]]/TableDailySummary[[#This Row],[Ventas netas con costo registrado]],0)</f>
        <v>0</v>
      </c>
    </row>
    <row r="950" spans="2:42" x14ac:dyDescent="0.2">
      <c r="B950" s="15" cm="1">
        <f t="array" ref="B950">ParamFechaInicioReporte + (ROW(TableDailySummary[#This Row]) - ROW(TableDailySummary[[#Headers],[Dia]]) - 1)</f>
        <v>45477</v>
      </c>
      <c r="C950" s="6">
        <f>TableDailySummary[[#This Row],[Dia]]</f>
        <v>45477</v>
      </c>
      <c r="D950" s="11">
        <f>_xlfn.XLOOKUP(TableDailySummary[[#This Row],[Fecha]],SummaryDaily[day],SummaryDaily[net_sales],0)</f>
        <v>0</v>
      </c>
      <c r="E950" s="11">
        <f>_xlfn.XLOOKUP(TableDailySummary[[#This Row],[Fecha]],SummaryDaily[day],SummaryDaily[orders],0)</f>
        <v>0</v>
      </c>
      <c r="F950" s="11">
        <f>_xlfn.XLOOKUP(TableDailySummary[[#This Row],[Fecha]],SummaryDaily[day],SummaryDaily[average_order_value],0)</f>
        <v>0</v>
      </c>
      <c r="G950" s="24" cm="1">
        <f t="array" ref="G950">_xlfn.XLOOKUP(TableDailySummary[[#This Row],[Fecha]]&amp;"Total site",ConversionRateByReferral[day]&amp;ConversionRateByReferral[referrer_source],ConversionRateByReferral[conversion_rate],0)</f>
        <v>0</v>
      </c>
      <c r="H950" s="11">
        <f>TableDailySummary[[#This Row],[Órden promedio totales]]*TableDailySummary[[#This Row],[CR totales]]</f>
        <v>0</v>
      </c>
      <c r="I950" s="11">
        <f>_xlfn.XLOOKUP(TableDailySummary[[#This Row],[Fecha]],SummaryDaily[day],SummaryDaily[new_net_sales],0)</f>
        <v>0</v>
      </c>
      <c r="J950" s="11">
        <f>_xlfn.XLOOKUP(TableDailySummary[[#This Row],[Fecha]],SummaryDaily[day],SummaryDaily[new_orders],0)</f>
        <v>0</v>
      </c>
      <c r="K950" s="11">
        <f>_xlfn.XLOOKUP(TableDailySummary[[#This Row],[Fecha]],SummaryDaily[day],SummaryDaily[new_average_order_value],0)</f>
        <v>0</v>
      </c>
      <c r="L950" s="11">
        <f>_xlfn.XLOOKUP(TableDailySummary[[#This Row],[Fecha]],SummaryDaily[day],SummaryDaily[Online Store_net_sales],0)</f>
        <v>0</v>
      </c>
      <c r="M950" s="11">
        <f>_xlfn.XLOOKUP(TableDailySummary[[#This Row],[Fecha]],SummaryDaily[day],SummaryDaily[Online Store_orders],0)</f>
        <v>0</v>
      </c>
      <c r="N950" s="11">
        <f>_xlfn.XLOOKUP(TableDailySummary[[#This Row],[Fecha]],SummaryDaily[day],SummaryDaily[Online Store_average_order_value],0)</f>
        <v>0</v>
      </c>
      <c r="O950" s="11">
        <f>_xlfn.XLOOKUP(TableDailySummary[[#This Row],[Fecha]],SummaryDaily[day],SummaryDaily[Tienda 81_net_sales],0)</f>
        <v>0</v>
      </c>
      <c r="P950" s="11">
        <f>_xlfn.XLOOKUP(TableDailySummary[[#This Row],[Fecha]],SummaryDaily[day],SummaryDaily[Tienda 81_orders],0)</f>
        <v>0</v>
      </c>
      <c r="Q950" s="11">
        <f>_xlfn.XLOOKUP(TableDailySummary[[#This Row],[Fecha]],SummaryDaily[day],SummaryDaily[Tienda 81_average_order_value],0)</f>
        <v>0</v>
      </c>
      <c r="R950" s="11">
        <f>_xlfn.XLOOKUP(TableDailySummary[[#This Row],[Fecha]],SummaryDaily[day],SummaryDaily[Rappi_net_sales],0)</f>
        <v>0</v>
      </c>
      <c r="S950" s="11">
        <f>_xlfn.XLOOKUP(TableDailySummary[[#This Row],[Fecha]],SummaryDaily[day],SummaryDaily[Rappi_orders],0)</f>
        <v>0</v>
      </c>
      <c r="T950" s="11">
        <f>_xlfn.XLOOKUP(TableDailySummary[[#This Row],[Fecha]],SummaryDaily[day],SummaryDaily[Rappi_average_order_value],0)</f>
        <v>0</v>
      </c>
      <c r="U950" s="11">
        <f>_xlfn.XLOOKUP(TableDailySummary[[#This Row],[Fecha]],SummaryDaily[day],SummaryDaily[Corporativo no tienda_net_sales],0)</f>
        <v>0</v>
      </c>
      <c r="V950" s="11">
        <f>_xlfn.XLOOKUP(TableDailySummary[[#This Row],[Fecha]],SummaryDaily[day],SummaryDaily[Corporativo no tienda_orders],0)</f>
        <v>0</v>
      </c>
      <c r="W950" s="11">
        <f>_xlfn.XLOOKUP(TableDailySummary[[#This Row],[Fecha]],SummaryDaily[day],SummaryDaily[Corporativo no tienda_average_order_value],0)</f>
        <v>0</v>
      </c>
      <c r="X950" s="11">
        <f>_xlfn.XLOOKUP(TableDailySummary[[#This Row],[Fecha]],SummaryDaily[day],SummaryDaily[GoogleAdsOperation.Cost],0)</f>
        <v>0</v>
      </c>
      <c r="Y950" s="11">
        <f>SUMIFS(SalesByUTMDaily[google],SalesByUTMDaily[day],TableDailySummary[[#This Row],[Fecha]])</f>
        <v>0</v>
      </c>
      <c r="Z950" s="11">
        <f>_xlfn.XLOOKUP(TableDailySummary[[#This Row],[Fecha]],SummaryDaily[day],SummaryDaily[MetaAdsOperation.spend],0)</f>
        <v>0</v>
      </c>
      <c r="AA950" s="11">
        <f>SUMIFS(SalesByUTMDaily[facebook],SalesByUTMDaily[day],TableDailySummary[[#This Row],[Fecha]])</f>
        <v>0</v>
      </c>
      <c r="AB950" s="11">
        <f>TableDailySummary[[#This Row],[Inversión google ads]]+TableDailySummary[[#This Row],[Inversión meta ads]]</f>
        <v>0</v>
      </c>
      <c r="AC950" s="11">
        <f>TableDailySummary[[#This Row],[Ventas google ads]]+TableDailySummary[[#This Row],[Ventas meta ads]]</f>
        <v>0</v>
      </c>
      <c r="AD950" s="14">
        <f>IFERROR(TableDailySummary[[#This Row],[Ventas publicidad]]/TableDailySummary[[#This Row],[Inversión publicidad]],0)</f>
        <v>0</v>
      </c>
      <c r="AE950" s="14">
        <f>IFERROR(TableDailySummary[[#This Row],[Ventas primer cliente]]/TableDailySummary[[#This Row],[Inversión publicidad]],0)</f>
        <v>0</v>
      </c>
      <c r="AF950" s="14"/>
      <c r="AG950" s="11"/>
      <c r="AM950" s="11">
        <f>_xlfn.XLOOKUP(TableDailySummary[[#This Row],[Fecha]],SummaryDaily[day],SummaryDaily[net_sales_with_cost_recorded],0)</f>
        <v>0</v>
      </c>
      <c r="AN950" s="11">
        <f>_xlfn.XLOOKUP(TableDailySummary[[#This Row],[Fecha]],SummaryDaily[day],SummaryDaily[cost_of_goods_sold],0)</f>
        <v>0</v>
      </c>
      <c r="AO950" s="11">
        <f>_xlfn.XLOOKUP(TableDailySummary[[#This Row],[Fecha]],SummaryDaily[day],SummaryDaily[gross_profit],0)</f>
        <v>0</v>
      </c>
      <c r="AP950" s="18">
        <f>IFERROR(TableDailySummary[[#This Row],[Utilidad bruta]]/TableDailySummary[[#This Row],[Ventas netas con costo registrado]],0)</f>
        <v>0</v>
      </c>
    </row>
    <row r="951" spans="2:42" x14ac:dyDescent="0.2">
      <c r="B951" s="15" cm="1">
        <f t="array" ref="B951">ParamFechaInicioReporte + (ROW(TableDailySummary[#This Row]) - ROW(TableDailySummary[[#Headers],[Dia]]) - 1)</f>
        <v>45478</v>
      </c>
      <c r="C951" s="6">
        <f>TableDailySummary[[#This Row],[Dia]]</f>
        <v>45478</v>
      </c>
      <c r="D951" s="11">
        <f>_xlfn.XLOOKUP(TableDailySummary[[#This Row],[Fecha]],SummaryDaily[day],SummaryDaily[net_sales],0)</f>
        <v>0</v>
      </c>
      <c r="E951" s="11">
        <f>_xlfn.XLOOKUP(TableDailySummary[[#This Row],[Fecha]],SummaryDaily[day],SummaryDaily[orders],0)</f>
        <v>0</v>
      </c>
      <c r="F951" s="11">
        <f>_xlfn.XLOOKUP(TableDailySummary[[#This Row],[Fecha]],SummaryDaily[day],SummaryDaily[average_order_value],0)</f>
        <v>0</v>
      </c>
      <c r="G951" s="24" cm="1">
        <f t="array" ref="G951">_xlfn.XLOOKUP(TableDailySummary[[#This Row],[Fecha]]&amp;"Total site",ConversionRateByReferral[day]&amp;ConversionRateByReferral[referrer_source],ConversionRateByReferral[conversion_rate],0)</f>
        <v>0</v>
      </c>
      <c r="H951" s="11">
        <f>TableDailySummary[[#This Row],[Órden promedio totales]]*TableDailySummary[[#This Row],[CR totales]]</f>
        <v>0</v>
      </c>
      <c r="I951" s="11">
        <f>_xlfn.XLOOKUP(TableDailySummary[[#This Row],[Fecha]],SummaryDaily[day],SummaryDaily[new_net_sales],0)</f>
        <v>0</v>
      </c>
      <c r="J951" s="11">
        <f>_xlfn.XLOOKUP(TableDailySummary[[#This Row],[Fecha]],SummaryDaily[day],SummaryDaily[new_orders],0)</f>
        <v>0</v>
      </c>
      <c r="K951" s="11">
        <f>_xlfn.XLOOKUP(TableDailySummary[[#This Row],[Fecha]],SummaryDaily[day],SummaryDaily[new_average_order_value],0)</f>
        <v>0</v>
      </c>
      <c r="L951" s="11">
        <f>_xlfn.XLOOKUP(TableDailySummary[[#This Row],[Fecha]],SummaryDaily[day],SummaryDaily[Online Store_net_sales],0)</f>
        <v>0</v>
      </c>
      <c r="M951" s="11">
        <f>_xlfn.XLOOKUP(TableDailySummary[[#This Row],[Fecha]],SummaryDaily[day],SummaryDaily[Online Store_orders],0)</f>
        <v>0</v>
      </c>
      <c r="N951" s="11">
        <f>_xlfn.XLOOKUP(TableDailySummary[[#This Row],[Fecha]],SummaryDaily[day],SummaryDaily[Online Store_average_order_value],0)</f>
        <v>0</v>
      </c>
      <c r="O951" s="11">
        <f>_xlfn.XLOOKUP(TableDailySummary[[#This Row],[Fecha]],SummaryDaily[day],SummaryDaily[Tienda 81_net_sales],0)</f>
        <v>0</v>
      </c>
      <c r="P951" s="11">
        <f>_xlfn.XLOOKUP(TableDailySummary[[#This Row],[Fecha]],SummaryDaily[day],SummaryDaily[Tienda 81_orders],0)</f>
        <v>0</v>
      </c>
      <c r="Q951" s="11">
        <f>_xlfn.XLOOKUP(TableDailySummary[[#This Row],[Fecha]],SummaryDaily[day],SummaryDaily[Tienda 81_average_order_value],0)</f>
        <v>0</v>
      </c>
      <c r="R951" s="11">
        <f>_xlfn.XLOOKUP(TableDailySummary[[#This Row],[Fecha]],SummaryDaily[day],SummaryDaily[Rappi_net_sales],0)</f>
        <v>0</v>
      </c>
      <c r="S951" s="11">
        <f>_xlfn.XLOOKUP(TableDailySummary[[#This Row],[Fecha]],SummaryDaily[day],SummaryDaily[Rappi_orders],0)</f>
        <v>0</v>
      </c>
      <c r="T951" s="11">
        <f>_xlfn.XLOOKUP(TableDailySummary[[#This Row],[Fecha]],SummaryDaily[day],SummaryDaily[Rappi_average_order_value],0)</f>
        <v>0</v>
      </c>
      <c r="U951" s="11">
        <f>_xlfn.XLOOKUP(TableDailySummary[[#This Row],[Fecha]],SummaryDaily[day],SummaryDaily[Corporativo no tienda_net_sales],0)</f>
        <v>0</v>
      </c>
      <c r="V951" s="11">
        <f>_xlfn.XLOOKUP(TableDailySummary[[#This Row],[Fecha]],SummaryDaily[day],SummaryDaily[Corporativo no tienda_orders],0)</f>
        <v>0</v>
      </c>
      <c r="W951" s="11">
        <f>_xlfn.XLOOKUP(TableDailySummary[[#This Row],[Fecha]],SummaryDaily[day],SummaryDaily[Corporativo no tienda_average_order_value],0)</f>
        <v>0</v>
      </c>
      <c r="X951" s="11">
        <f>_xlfn.XLOOKUP(TableDailySummary[[#This Row],[Fecha]],SummaryDaily[day],SummaryDaily[GoogleAdsOperation.Cost],0)</f>
        <v>0</v>
      </c>
      <c r="Y951" s="11">
        <f>SUMIFS(SalesByUTMDaily[google],SalesByUTMDaily[day],TableDailySummary[[#This Row],[Fecha]])</f>
        <v>0</v>
      </c>
      <c r="Z951" s="11">
        <f>_xlfn.XLOOKUP(TableDailySummary[[#This Row],[Fecha]],SummaryDaily[day],SummaryDaily[MetaAdsOperation.spend],0)</f>
        <v>0</v>
      </c>
      <c r="AA951" s="11">
        <f>SUMIFS(SalesByUTMDaily[facebook],SalesByUTMDaily[day],TableDailySummary[[#This Row],[Fecha]])</f>
        <v>0</v>
      </c>
      <c r="AB951" s="11">
        <f>TableDailySummary[[#This Row],[Inversión google ads]]+TableDailySummary[[#This Row],[Inversión meta ads]]</f>
        <v>0</v>
      </c>
      <c r="AC951" s="11">
        <f>TableDailySummary[[#This Row],[Ventas google ads]]+TableDailySummary[[#This Row],[Ventas meta ads]]</f>
        <v>0</v>
      </c>
      <c r="AD951" s="14">
        <f>IFERROR(TableDailySummary[[#This Row],[Ventas publicidad]]/TableDailySummary[[#This Row],[Inversión publicidad]],0)</f>
        <v>0</v>
      </c>
      <c r="AE951" s="14">
        <f>IFERROR(TableDailySummary[[#This Row],[Ventas primer cliente]]/TableDailySummary[[#This Row],[Inversión publicidad]],0)</f>
        <v>0</v>
      </c>
      <c r="AF951" s="14"/>
      <c r="AG951" s="11"/>
      <c r="AM951" s="11">
        <f>_xlfn.XLOOKUP(TableDailySummary[[#This Row],[Fecha]],SummaryDaily[day],SummaryDaily[net_sales_with_cost_recorded],0)</f>
        <v>0</v>
      </c>
      <c r="AN951" s="11">
        <f>_xlfn.XLOOKUP(TableDailySummary[[#This Row],[Fecha]],SummaryDaily[day],SummaryDaily[cost_of_goods_sold],0)</f>
        <v>0</v>
      </c>
      <c r="AO951" s="11">
        <f>_xlfn.XLOOKUP(TableDailySummary[[#This Row],[Fecha]],SummaryDaily[day],SummaryDaily[gross_profit],0)</f>
        <v>0</v>
      </c>
      <c r="AP951" s="18">
        <f>IFERROR(TableDailySummary[[#This Row],[Utilidad bruta]]/TableDailySummary[[#This Row],[Ventas netas con costo registrado]],0)</f>
        <v>0</v>
      </c>
    </row>
    <row r="952" spans="2:42" x14ac:dyDescent="0.2">
      <c r="B952" s="15" cm="1">
        <f t="array" ref="B952">ParamFechaInicioReporte + (ROW(TableDailySummary[#This Row]) - ROW(TableDailySummary[[#Headers],[Dia]]) - 1)</f>
        <v>45479</v>
      </c>
      <c r="C952" s="6">
        <f>TableDailySummary[[#This Row],[Dia]]</f>
        <v>45479</v>
      </c>
      <c r="D952" s="11">
        <f>_xlfn.XLOOKUP(TableDailySummary[[#This Row],[Fecha]],SummaryDaily[day],SummaryDaily[net_sales],0)</f>
        <v>0</v>
      </c>
      <c r="E952" s="11">
        <f>_xlfn.XLOOKUP(TableDailySummary[[#This Row],[Fecha]],SummaryDaily[day],SummaryDaily[orders],0)</f>
        <v>0</v>
      </c>
      <c r="F952" s="11">
        <f>_xlfn.XLOOKUP(TableDailySummary[[#This Row],[Fecha]],SummaryDaily[day],SummaryDaily[average_order_value],0)</f>
        <v>0</v>
      </c>
      <c r="G952" s="24" cm="1">
        <f t="array" ref="G952">_xlfn.XLOOKUP(TableDailySummary[[#This Row],[Fecha]]&amp;"Total site",ConversionRateByReferral[day]&amp;ConversionRateByReferral[referrer_source],ConversionRateByReferral[conversion_rate],0)</f>
        <v>0</v>
      </c>
      <c r="H952" s="11">
        <f>TableDailySummary[[#This Row],[Órden promedio totales]]*TableDailySummary[[#This Row],[CR totales]]</f>
        <v>0</v>
      </c>
      <c r="I952" s="11">
        <f>_xlfn.XLOOKUP(TableDailySummary[[#This Row],[Fecha]],SummaryDaily[day],SummaryDaily[new_net_sales],0)</f>
        <v>0</v>
      </c>
      <c r="J952" s="11">
        <f>_xlfn.XLOOKUP(TableDailySummary[[#This Row],[Fecha]],SummaryDaily[day],SummaryDaily[new_orders],0)</f>
        <v>0</v>
      </c>
      <c r="K952" s="11">
        <f>_xlfn.XLOOKUP(TableDailySummary[[#This Row],[Fecha]],SummaryDaily[day],SummaryDaily[new_average_order_value],0)</f>
        <v>0</v>
      </c>
      <c r="L952" s="11">
        <f>_xlfn.XLOOKUP(TableDailySummary[[#This Row],[Fecha]],SummaryDaily[day],SummaryDaily[Online Store_net_sales],0)</f>
        <v>0</v>
      </c>
      <c r="M952" s="11">
        <f>_xlfn.XLOOKUP(TableDailySummary[[#This Row],[Fecha]],SummaryDaily[day],SummaryDaily[Online Store_orders],0)</f>
        <v>0</v>
      </c>
      <c r="N952" s="11">
        <f>_xlfn.XLOOKUP(TableDailySummary[[#This Row],[Fecha]],SummaryDaily[day],SummaryDaily[Online Store_average_order_value],0)</f>
        <v>0</v>
      </c>
      <c r="O952" s="11">
        <f>_xlfn.XLOOKUP(TableDailySummary[[#This Row],[Fecha]],SummaryDaily[day],SummaryDaily[Tienda 81_net_sales],0)</f>
        <v>0</v>
      </c>
      <c r="P952" s="11">
        <f>_xlfn.XLOOKUP(TableDailySummary[[#This Row],[Fecha]],SummaryDaily[day],SummaryDaily[Tienda 81_orders],0)</f>
        <v>0</v>
      </c>
      <c r="Q952" s="11">
        <f>_xlfn.XLOOKUP(TableDailySummary[[#This Row],[Fecha]],SummaryDaily[day],SummaryDaily[Tienda 81_average_order_value],0)</f>
        <v>0</v>
      </c>
      <c r="R952" s="11">
        <f>_xlfn.XLOOKUP(TableDailySummary[[#This Row],[Fecha]],SummaryDaily[day],SummaryDaily[Rappi_net_sales],0)</f>
        <v>0</v>
      </c>
      <c r="S952" s="11">
        <f>_xlfn.XLOOKUP(TableDailySummary[[#This Row],[Fecha]],SummaryDaily[day],SummaryDaily[Rappi_orders],0)</f>
        <v>0</v>
      </c>
      <c r="T952" s="11">
        <f>_xlfn.XLOOKUP(TableDailySummary[[#This Row],[Fecha]],SummaryDaily[day],SummaryDaily[Rappi_average_order_value],0)</f>
        <v>0</v>
      </c>
      <c r="U952" s="11">
        <f>_xlfn.XLOOKUP(TableDailySummary[[#This Row],[Fecha]],SummaryDaily[day],SummaryDaily[Corporativo no tienda_net_sales],0)</f>
        <v>0</v>
      </c>
      <c r="V952" s="11">
        <f>_xlfn.XLOOKUP(TableDailySummary[[#This Row],[Fecha]],SummaryDaily[day],SummaryDaily[Corporativo no tienda_orders],0)</f>
        <v>0</v>
      </c>
      <c r="W952" s="11">
        <f>_xlfn.XLOOKUP(TableDailySummary[[#This Row],[Fecha]],SummaryDaily[day],SummaryDaily[Corporativo no tienda_average_order_value],0)</f>
        <v>0</v>
      </c>
      <c r="X952" s="11">
        <f>_xlfn.XLOOKUP(TableDailySummary[[#This Row],[Fecha]],SummaryDaily[day],SummaryDaily[GoogleAdsOperation.Cost],0)</f>
        <v>0</v>
      </c>
      <c r="Y952" s="11">
        <f>SUMIFS(SalesByUTMDaily[google],SalesByUTMDaily[day],TableDailySummary[[#This Row],[Fecha]])</f>
        <v>0</v>
      </c>
      <c r="Z952" s="11">
        <f>_xlfn.XLOOKUP(TableDailySummary[[#This Row],[Fecha]],SummaryDaily[day],SummaryDaily[MetaAdsOperation.spend],0)</f>
        <v>0</v>
      </c>
      <c r="AA952" s="11">
        <f>SUMIFS(SalesByUTMDaily[facebook],SalesByUTMDaily[day],TableDailySummary[[#This Row],[Fecha]])</f>
        <v>0</v>
      </c>
      <c r="AB952" s="11">
        <f>TableDailySummary[[#This Row],[Inversión google ads]]+TableDailySummary[[#This Row],[Inversión meta ads]]</f>
        <v>0</v>
      </c>
      <c r="AC952" s="11">
        <f>TableDailySummary[[#This Row],[Ventas google ads]]+TableDailySummary[[#This Row],[Ventas meta ads]]</f>
        <v>0</v>
      </c>
      <c r="AD952" s="14">
        <f>IFERROR(TableDailySummary[[#This Row],[Ventas publicidad]]/TableDailySummary[[#This Row],[Inversión publicidad]],0)</f>
        <v>0</v>
      </c>
      <c r="AE952" s="14">
        <f>IFERROR(TableDailySummary[[#This Row],[Ventas primer cliente]]/TableDailySummary[[#This Row],[Inversión publicidad]],0)</f>
        <v>0</v>
      </c>
      <c r="AF952" s="14"/>
      <c r="AG952" s="11"/>
      <c r="AM952" s="11">
        <f>_xlfn.XLOOKUP(TableDailySummary[[#This Row],[Fecha]],SummaryDaily[day],SummaryDaily[net_sales_with_cost_recorded],0)</f>
        <v>0</v>
      </c>
      <c r="AN952" s="11">
        <f>_xlfn.XLOOKUP(TableDailySummary[[#This Row],[Fecha]],SummaryDaily[day],SummaryDaily[cost_of_goods_sold],0)</f>
        <v>0</v>
      </c>
      <c r="AO952" s="11">
        <f>_xlfn.XLOOKUP(TableDailySummary[[#This Row],[Fecha]],SummaryDaily[day],SummaryDaily[gross_profit],0)</f>
        <v>0</v>
      </c>
      <c r="AP952" s="18">
        <f>IFERROR(TableDailySummary[[#This Row],[Utilidad bruta]]/TableDailySummary[[#This Row],[Ventas netas con costo registrado]],0)</f>
        <v>0</v>
      </c>
    </row>
    <row r="953" spans="2:42" x14ac:dyDescent="0.2">
      <c r="B953" s="15" cm="1">
        <f t="array" ref="B953">ParamFechaInicioReporte + (ROW(TableDailySummary[#This Row]) - ROW(TableDailySummary[[#Headers],[Dia]]) - 1)</f>
        <v>45480</v>
      </c>
      <c r="C953" s="6">
        <f>TableDailySummary[[#This Row],[Dia]]</f>
        <v>45480</v>
      </c>
      <c r="D953" s="11">
        <f>_xlfn.XLOOKUP(TableDailySummary[[#This Row],[Fecha]],SummaryDaily[day],SummaryDaily[net_sales],0)</f>
        <v>0</v>
      </c>
      <c r="E953" s="11">
        <f>_xlfn.XLOOKUP(TableDailySummary[[#This Row],[Fecha]],SummaryDaily[day],SummaryDaily[orders],0)</f>
        <v>0</v>
      </c>
      <c r="F953" s="11">
        <f>_xlfn.XLOOKUP(TableDailySummary[[#This Row],[Fecha]],SummaryDaily[day],SummaryDaily[average_order_value],0)</f>
        <v>0</v>
      </c>
      <c r="G953" s="24" cm="1">
        <f t="array" ref="G953">_xlfn.XLOOKUP(TableDailySummary[[#This Row],[Fecha]]&amp;"Total site",ConversionRateByReferral[day]&amp;ConversionRateByReferral[referrer_source],ConversionRateByReferral[conversion_rate],0)</f>
        <v>0</v>
      </c>
      <c r="H953" s="11">
        <f>TableDailySummary[[#This Row],[Órden promedio totales]]*TableDailySummary[[#This Row],[CR totales]]</f>
        <v>0</v>
      </c>
      <c r="I953" s="11">
        <f>_xlfn.XLOOKUP(TableDailySummary[[#This Row],[Fecha]],SummaryDaily[day],SummaryDaily[new_net_sales],0)</f>
        <v>0</v>
      </c>
      <c r="J953" s="11">
        <f>_xlfn.XLOOKUP(TableDailySummary[[#This Row],[Fecha]],SummaryDaily[day],SummaryDaily[new_orders],0)</f>
        <v>0</v>
      </c>
      <c r="K953" s="11">
        <f>_xlfn.XLOOKUP(TableDailySummary[[#This Row],[Fecha]],SummaryDaily[day],SummaryDaily[new_average_order_value],0)</f>
        <v>0</v>
      </c>
      <c r="L953" s="11">
        <f>_xlfn.XLOOKUP(TableDailySummary[[#This Row],[Fecha]],SummaryDaily[day],SummaryDaily[Online Store_net_sales],0)</f>
        <v>0</v>
      </c>
      <c r="M953" s="11">
        <f>_xlfn.XLOOKUP(TableDailySummary[[#This Row],[Fecha]],SummaryDaily[day],SummaryDaily[Online Store_orders],0)</f>
        <v>0</v>
      </c>
      <c r="N953" s="11">
        <f>_xlfn.XLOOKUP(TableDailySummary[[#This Row],[Fecha]],SummaryDaily[day],SummaryDaily[Online Store_average_order_value],0)</f>
        <v>0</v>
      </c>
      <c r="O953" s="11">
        <f>_xlfn.XLOOKUP(TableDailySummary[[#This Row],[Fecha]],SummaryDaily[day],SummaryDaily[Tienda 81_net_sales],0)</f>
        <v>0</v>
      </c>
      <c r="P953" s="11">
        <f>_xlfn.XLOOKUP(TableDailySummary[[#This Row],[Fecha]],SummaryDaily[day],SummaryDaily[Tienda 81_orders],0)</f>
        <v>0</v>
      </c>
      <c r="Q953" s="11">
        <f>_xlfn.XLOOKUP(TableDailySummary[[#This Row],[Fecha]],SummaryDaily[day],SummaryDaily[Tienda 81_average_order_value],0)</f>
        <v>0</v>
      </c>
      <c r="R953" s="11">
        <f>_xlfn.XLOOKUP(TableDailySummary[[#This Row],[Fecha]],SummaryDaily[day],SummaryDaily[Rappi_net_sales],0)</f>
        <v>0</v>
      </c>
      <c r="S953" s="11">
        <f>_xlfn.XLOOKUP(TableDailySummary[[#This Row],[Fecha]],SummaryDaily[day],SummaryDaily[Rappi_orders],0)</f>
        <v>0</v>
      </c>
      <c r="T953" s="11">
        <f>_xlfn.XLOOKUP(TableDailySummary[[#This Row],[Fecha]],SummaryDaily[day],SummaryDaily[Rappi_average_order_value],0)</f>
        <v>0</v>
      </c>
      <c r="U953" s="11">
        <f>_xlfn.XLOOKUP(TableDailySummary[[#This Row],[Fecha]],SummaryDaily[day],SummaryDaily[Corporativo no tienda_net_sales],0)</f>
        <v>0</v>
      </c>
      <c r="V953" s="11">
        <f>_xlfn.XLOOKUP(TableDailySummary[[#This Row],[Fecha]],SummaryDaily[day],SummaryDaily[Corporativo no tienda_orders],0)</f>
        <v>0</v>
      </c>
      <c r="W953" s="11">
        <f>_xlfn.XLOOKUP(TableDailySummary[[#This Row],[Fecha]],SummaryDaily[day],SummaryDaily[Corporativo no tienda_average_order_value],0)</f>
        <v>0</v>
      </c>
      <c r="X953" s="11">
        <f>_xlfn.XLOOKUP(TableDailySummary[[#This Row],[Fecha]],SummaryDaily[day],SummaryDaily[GoogleAdsOperation.Cost],0)</f>
        <v>0</v>
      </c>
      <c r="Y953" s="11">
        <f>SUMIFS(SalesByUTMDaily[google],SalesByUTMDaily[day],TableDailySummary[[#This Row],[Fecha]])</f>
        <v>0</v>
      </c>
      <c r="Z953" s="11">
        <f>_xlfn.XLOOKUP(TableDailySummary[[#This Row],[Fecha]],SummaryDaily[day],SummaryDaily[MetaAdsOperation.spend],0)</f>
        <v>0</v>
      </c>
      <c r="AA953" s="11">
        <f>SUMIFS(SalesByUTMDaily[facebook],SalesByUTMDaily[day],TableDailySummary[[#This Row],[Fecha]])</f>
        <v>0</v>
      </c>
      <c r="AB953" s="11">
        <f>TableDailySummary[[#This Row],[Inversión google ads]]+TableDailySummary[[#This Row],[Inversión meta ads]]</f>
        <v>0</v>
      </c>
      <c r="AC953" s="11">
        <f>TableDailySummary[[#This Row],[Ventas google ads]]+TableDailySummary[[#This Row],[Ventas meta ads]]</f>
        <v>0</v>
      </c>
      <c r="AD953" s="14">
        <f>IFERROR(TableDailySummary[[#This Row],[Ventas publicidad]]/TableDailySummary[[#This Row],[Inversión publicidad]],0)</f>
        <v>0</v>
      </c>
      <c r="AE953" s="14">
        <f>IFERROR(TableDailySummary[[#This Row],[Ventas primer cliente]]/TableDailySummary[[#This Row],[Inversión publicidad]],0)</f>
        <v>0</v>
      </c>
      <c r="AF953" s="14"/>
      <c r="AG953" s="11"/>
      <c r="AM953" s="11">
        <f>_xlfn.XLOOKUP(TableDailySummary[[#This Row],[Fecha]],SummaryDaily[day],SummaryDaily[net_sales_with_cost_recorded],0)</f>
        <v>0</v>
      </c>
      <c r="AN953" s="11">
        <f>_xlfn.XLOOKUP(TableDailySummary[[#This Row],[Fecha]],SummaryDaily[day],SummaryDaily[cost_of_goods_sold],0)</f>
        <v>0</v>
      </c>
      <c r="AO953" s="11">
        <f>_xlfn.XLOOKUP(TableDailySummary[[#This Row],[Fecha]],SummaryDaily[day],SummaryDaily[gross_profit],0)</f>
        <v>0</v>
      </c>
      <c r="AP953" s="18">
        <f>IFERROR(TableDailySummary[[#This Row],[Utilidad bruta]]/TableDailySummary[[#This Row],[Ventas netas con costo registrado]],0)</f>
        <v>0</v>
      </c>
    </row>
    <row r="954" spans="2:42" x14ac:dyDescent="0.2">
      <c r="B954" s="15" cm="1">
        <f t="array" ref="B954">ParamFechaInicioReporte + (ROW(TableDailySummary[#This Row]) - ROW(TableDailySummary[[#Headers],[Dia]]) - 1)</f>
        <v>45481</v>
      </c>
      <c r="C954" s="6">
        <f>TableDailySummary[[#This Row],[Dia]]</f>
        <v>45481</v>
      </c>
      <c r="D954" s="11">
        <f>_xlfn.XLOOKUP(TableDailySummary[[#This Row],[Fecha]],SummaryDaily[day],SummaryDaily[net_sales],0)</f>
        <v>0</v>
      </c>
      <c r="E954" s="11">
        <f>_xlfn.XLOOKUP(TableDailySummary[[#This Row],[Fecha]],SummaryDaily[day],SummaryDaily[orders],0)</f>
        <v>0</v>
      </c>
      <c r="F954" s="11">
        <f>_xlfn.XLOOKUP(TableDailySummary[[#This Row],[Fecha]],SummaryDaily[day],SummaryDaily[average_order_value],0)</f>
        <v>0</v>
      </c>
      <c r="G954" s="24" cm="1">
        <f t="array" ref="G954">_xlfn.XLOOKUP(TableDailySummary[[#This Row],[Fecha]]&amp;"Total site",ConversionRateByReferral[day]&amp;ConversionRateByReferral[referrer_source],ConversionRateByReferral[conversion_rate],0)</f>
        <v>0</v>
      </c>
      <c r="H954" s="11">
        <f>TableDailySummary[[#This Row],[Órden promedio totales]]*TableDailySummary[[#This Row],[CR totales]]</f>
        <v>0</v>
      </c>
      <c r="I954" s="11">
        <f>_xlfn.XLOOKUP(TableDailySummary[[#This Row],[Fecha]],SummaryDaily[day],SummaryDaily[new_net_sales],0)</f>
        <v>0</v>
      </c>
      <c r="J954" s="11">
        <f>_xlfn.XLOOKUP(TableDailySummary[[#This Row],[Fecha]],SummaryDaily[day],SummaryDaily[new_orders],0)</f>
        <v>0</v>
      </c>
      <c r="K954" s="11">
        <f>_xlfn.XLOOKUP(TableDailySummary[[#This Row],[Fecha]],SummaryDaily[day],SummaryDaily[new_average_order_value],0)</f>
        <v>0</v>
      </c>
      <c r="L954" s="11">
        <f>_xlfn.XLOOKUP(TableDailySummary[[#This Row],[Fecha]],SummaryDaily[day],SummaryDaily[Online Store_net_sales],0)</f>
        <v>0</v>
      </c>
      <c r="M954" s="11">
        <f>_xlfn.XLOOKUP(TableDailySummary[[#This Row],[Fecha]],SummaryDaily[day],SummaryDaily[Online Store_orders],0)</f>
        <v>0</v>
      </c>
      <c r="N954" s="11">
        <f>_xlfn.XLOOKUP(TableDailySummary[[#This Row],[Fecha]],SummaryDaily[day],SummaryDaily[Online Store_average_order_value],0)</f>
        <v>0</v>
      </c>
      <c r="O954" s="11">
        <f>_xlfn.XLOOKUP(TableDailySummary[[#This Row],[Fecha]],SummaryDaily[day],SummaryDaily[Tienda 81_net_sales],0)</f>
        <v>0</v>
      </c>
      <c r="P954" s="11">
        <f>_xlfn.XLOOKUP(TableDailySummary[[#This Row],[Fecha]],SummaryDaily[day],SummaryDaily[Tienda 81_orders],0)</f>
        <v>0</v>
      </c>
      <c r="Q954" s="11">
        <f>_xlfn.XLOOKUP(TableDailySummary[[#This Row],[Fecha]],SummaryDaily[day],SummaryDaily[Tienda 81_average_order_value],0)</f>
        <v>0</v>
      </c>
      <c r="R954" s="11">
        <f>_xlfn.XLOOKUP(TableDailySummary[[#This Row],[Fecha]],SummaryDaily[day],SummaryDaily[Rappi_net_sales],0)</f>
        <v>0</v>
      </c>
      <c r="S954" s="11">
        <f>_xlfn.XLOOKUP(TableDailySummary[[#This Row],[Fecha]],SummaryDaily[day],SummaryDaily[Rappi_orders],0)</f>
        <v>0</v>
      </c>
      <c r="T954" s="11">
        <f>_xlfn.XLOOKUP(TableDailySummary[[#This Row],[Fecha]],SummaryDaily[day],SummaryDaily[Rappi_average_order_value],0)</f>
        <v>0</v>
      </c>
      <c r="U954" s="11">
        <f>_xlfn.XLOOKUP(TableDailySummary[[#This Row],[Fecha]],SummaryDaily[day],SummaryDaily[Corporativo no tienda_net_sales],0)</f>
        <v>0</v>
      </c>
      <c r="V954" s="11">
        <f>_xlfn.XLOOKUP(TableDailySummary[[#This Row],[Fecha]],SummaryDaily[day],SummaryDaily[Corporativo no tienda_orders],0)</f>
        <v>0</v>
      </c>
      <c r="W954" s="11">
        <f>_xlfn.XLOOKUP(TableDailySummary[[#This Row],[Fecha]],SummaryDaily[day],SummaryDaily[Corporativo no tienda_average_order_value],0)</f>
        <v>0</v>
      </c>
      <c r="X954" s="11">
        <f>_xlfn.XLOOKUP(TableDailySummary[[#This Row],[Fecha]],SummaryDaily[day],SummaryDaily[GoogleAdsOperation.Cost],0)</f>
        <v>0</v>
      </c>
      <c r="Y954" s="11">
        <f>SUMIFS(SalesByUTMDaily[google],SalesByUTMDaily[day],TableDailySummary[[#This Row],[Fecha]])</f>
        <v>0</v>
      </c>
      <c r="Z954" s="11">
        <f>_xlfn.XLOOKUP(TableDailySummary[[#This Row],[Fecha]],SummaryDaily[day],SummaryDaily[MetaAdsOperation.spend],0)</f>
        <v>0</v>
      </c>
      <c r="AA954" s="11">
        <f>SUMIFS(SalesByUTMDaily[facebook],SalesByUTMDaily[day],TableDailySummary[[#This Row],[Fecha]])</f>
        <v>0</v>
      </c>
      <c r="AB954" s="11">
        <f>TableDailySummary[[#This Row],[Inversión google ads]]+TableDailySummary[[#This Row],[Inversión meta ads]]</f>
        <v>0</v>
      </c>
      <c r="AC954" s="11">
        <f>TableDailySummary[[#This Row],[Ventas google ads]]+TableDailySummary[[#This Row],[Ventas meta ads]]</f>
        <v>0</v>
      </c>
      <c r="AD954" s="14">
        <f>IFERROR(TableDailySummary[[#This Row],[Ventas publicidad]]/TableDailySummary[[#This Row],[Inversión publicidad]],0)</f>
        <v>0</v>
      </c>
      <c r="AE954" s="14">
        <f>IFERROR(TableDailySummary[[#This Row],[Ventas primer cliente]]/TableDailySummary[[#This Row],[Inversión publicidad]],0)</f>
        <v>0</v>
      </c>
      <c r="AF954" s="14"/>
      <c r="AG954" s="11"/>
      <c r="AM954" s="11">
        <f>_xlfn.XLOOKUP(TableDailySummary[[#This Row],[Fecha]],SummaryDaily[day],SummaryDaily[net_sales_with_cost_recorded],0)</f>
        <v>0</v>
      </c>
      <c r="AN954" s="11">
        <f>_xlfn.XLOOKUP(TableDailySummary[[#This Row],[Fecha]],SummaryDaily[day],SummaryDaily[cost_of_goods_sold],0)</f>
        <v>0</v>
      </c>
      <c r="AO954" s="11">
        <f>_xlfn.XLOOKUP(TableDailySummary[[#This Row],[Fecha]],SummaryDaily[day],SummaryDaily[gross_profit],0)</f>
        <v>0</v>
      </c>
      <c r="AP954" s="18">
        <f>IFERROR(TableDailySummary[[#This Row],[Utilidad bruta]]/TableDailySummary[[#This Row],[Ventas netas con costo registrado]],0)</f>
        <v>0</v>
      </c>
    </row>
    <row r="955" spans="2:42" x14ac:dyDescent="0.2">
      <c r="B955" s="15" cm="1">
        <f t="array" ref="B955">ParamFechaInicioReporte + (ROW(TableDailySummary[#This Row]) - ROW(TableDailySummary[[#Headers],[Dia]]) - 1)</f>
        <v>45482</v>
      </c>
      <c r="C955" s="6">
        <f>TableDailySummary[[#This Row],[Dia]]</f>
        <v>45482</v>
      </c>
      <c r="D955" s="11">
        <f>_xlfn.XLOOKUP(TableDailySummary[[#This Row],[Fecha]],SummaryDaily[day],SummaryDaily[net_sales],0)</f>
        <v>0</v>
      </c>
      <c r="E955" s="11">
        <f>_xlfn.XLOOKUP(TableDailySummary[[#This Row],[Fecha]],SummaryDaily[day],SummaryDaily[orders],0)</f>
        <v>0</v>
      </c>
      <c r="F955" s="11">
        <f>_xlfn.XLOOKUP(TableDailySummary[[#This Row],[Fecha]],SummaryDaily[day],SummaryDaily[average_order_value],0)</f>
        <v>0</v>
      </c>
      <c r="G955" s="24" cm="1">
        <f t="array" ref="G955">_xlfn.XLOOKUP(TableDailySummary[[#This Row],[Fecha]]&amp;"Total site",ConversionRateByReferral[day]&amp;ConversionRateByReferral[referrer_source],ConversionRateByReferral[conversion_rate],0)</f>
        <v>0</v>
      </c>
      <c r="H955" s="11">
        <f>TableDailySummary[[#This Row],[Órden promedio totales]]*TableDailySummary[[#This Row],[CR totales]]</f>
        <v>0</v>
      </c>
      <c r="I955" s="11">
        <f>_xlfn.XLOOKUP(TableDailySummary[[#This Row],[Fecha]],SummaryDaily[day],SummaryDaily[new_net_sales],0)</f>
        <v>0</v>
      </c>
      <c r="J955" s="11">
        <f>_xlfn.XLOOKUP(TableDailySummary[[#This Row],[Fecha]],SummaryDaily[day],SummaryDaily[new_orders],0)</f>
        <v>0</v>
      </c>
      <c r="K955" s="11">
        <f>_xlfn.XLOOKUP(TableDailySummary[[#This Row],[Fecha]],SummaryDaily[day],SummaryDaily[new_average_order_value],0)</f>
        <v>0</v>
      </c>
      <c r="L955" s="11">
        <f>_xlfn.XLOOKUP(TableDailySummary[[#This Row],[Fecha]],SummaryDaily[day],SummaryDaily[Online Store_net_sales],0)</f>
        <v>0</v>
      </c>
      <c r="M955" s="11">
        <f>_xlfn.XLOOKUP(TableDailySummary[[#This Row],[Fecha]],SummaryDaily[day],SummaryDaily[Online Store_orders],0)</f>
        <v>0</v>
      </c>
      <c r="N955" s="11">
        <f>_xlfn.XLOOKUP(TableDailySummary[[#This Row],[Fecha]],SummaryDaily[day],SummaryDaily[Online Store_average_order_value],0)</f>
        <v>0</v>
      </c>
      <c r="O955" s="11">
        <f>_xlfn.XLOOKUP(TableDailySummary[[#This Row],[Fecha]],SummaryDaily[day],SummaryDaily[Tienda 81_net_sales],0)</f>
        <v>0</v>
      </c>
      <c r="P955" s="11">
        <f>_xlfn.XLOOKUP(TableDailySummary[[#This Row],[Fecha]],SummaryDaily[day],SummaryDaily[Tienda 81_orders],0)</f>
        <v>0</v>
      </c>
      <c r="Q955" s="11">
        <f>_xlfn.XLOOKUP(TableDailySummary[[#This Row],[Fecha]],SummaryDaily[day],SummaryDaily[Tienda 81_average_order_value],0)</f>
        <v>0</v>
      </c>
      <c r="R955" s="11">
        <f>_xlfn.XLOOKUP(TableDailySummary[[#This Row],[Fecha]],SummaryDaily[day],SummaryDaily[Rappi_net_sales],0)</f>
        <v>0</v>
      </c>
      <c r="S955" s="11">
        <f>_xlfn.XLOOKUP(TableDailySummary[[#This Row],[Fecha]],SummaryDaily[day],SummaryDaily[Rappi_orders],0)</f>
        <v>0</v>
      </c>
      <c r="T955" s="11">
        <f>_xlfn.XLOOKUP(TableDailySummary[[#This Row],[Fecha]],SummaryDaily[day],SummaryDaily[Rappi_average_order_value],0)</f>
        <v>0</v>
      </c>
      <c r="U955" s="11">
        <f>_xlfn.XLOOKUP(TableDailySummary[[#This Row],[Fecha]],SummaryDaily[day],SummaryDaily[Corporativo no tienda_net_sales],0)</f>
        <v>0</v>
      </c>
      <c r="V955" s="11">
        <f>_xlfn.XLOOKUP(TableDailySummary[[#This Row],[Fecha]],SummaryDaily[day],SummaryDaily[Corporativo no tienda_orders],0)</f>
        <v>0</v>
      </c>
      <c r="W955" s="11">
        <f>_xlfn.XLOOKUP(TableDailySummary[[#This Row],[Fecha]],SummaryDaily[day],SummaryDaily[Corporativo no tienda_average_order_value],0)</f>
        <v>0</v>
      </c>
      <c r="X955" s="11">
        <f>_xlfn.XLOOKUP(TableDailySummary[[#This Row],[Fecha]],SummaryDaily[day],SummaryDaily[GoogleAdsOperation.Cost],0)</f>
        <v>0</v>
      </c>
      <c r="Y955" s="11">
        <f>SUMIFS(SalesByUTMDaily[google],SalesByUTMDaily[day],TableDailySummary[[#This Row],[Fecha]])</f>
        <v>0</v>
      </c>
      <c r="Z955" s="11">
        <f>_xlfn.XLOOKUP(TableDailySummary[[#This Row],[Fecha]],SummaryDaily[day],SummaryDaily[MetaAdsOperation.spend],0)</f>
        <v>0</v>
      </c>
      <c r="AA955" s="11">
        <f>SUMIFS(SalesByUTMDaily[facebook],SalesByUTMDaily[day],TableDailySummary[[#This Row],[Fecha]])</f>
        <v>0</v>
      </c>
      <c r="AB955" s="11">
        <f>TableDailySummary[[#This Row],[Inversión google ads]]+TableDailySummary[[#This Row],[Inversión meta ads]]</f>
        <v>0</v>
      </c>
      <c r="AC955" s="11">
        <f>TableDailySummary[[#This Row],[Ventas google ads]]+TableDailySummary[[#This Row],[Ventas meta ads]]</f>
        <v>0</v>
      </c>
      <c r="AD955" s="14">
        <f>IFERROR(TableDailySummary[[#This Row],[Ventas publicidad]]/TableDailySummary[[#This Row],[Inversión publicidad]],0)</f>
        <v>0</v>
      </c>
      <c r="AE955" s="14">
        <f>IFERROR(TableDailySummary[[#This Row],[Ventas primer cliente]]/TableDailySummary[[#This Row],[Inversión publicidad]],0)</f>
        <v>0</v>
      </c>
      <c r="AF955" s="14"/>
      <c r="AG955" s="11"/>
      <c r="AM955" s="11">
        <f>_xlfn.XLOOKUP(TableDailySummary[[#This Row],[Fecha]],SummaryDaily[day],SummaryDaily[net_sales_with_cost_recorded],0)</f>
        <v>0</v>
      </c>
      <c r="AN955" s="11">
        <f>_xlfn.XLOOKUP(TableDailySummary[[#This Row],[Fecha]],SummaryDaily[day],SummaryDaily[cost_of_goods_sold],0)</f>
        <v>0</v>
      </c>
      <c r="AO955" s="11">
        <f>_xlfn.XLOOKUP(TableDailySummary[[#This Row],[Fecha]],SummaryDaily[day],SummaryDaily[gross_profit],0)</f>
        <v>0</v>
      </c>
      <c r="AP955" s="18">
        <f>IFERROR(TableDailySummary[[#This Row],[Utilidad bruta]]/TableDailySummary[[#This Row],[Ventas netas con costo registrado]],0)</f>
        <v>0</v>
      </c>
    </row>
    <row r="956" spans="2:42" x14ac:dyDescent="0.2">
      <c r="B956" s="15" cm="1">
        <f t="array" ref="B956">ParamFechaInicioReporte + (ROW(TableDailySummary[#This Row]) - ROW(TableDailySummary[[#Headers],[Dia]]) - 1)</f>
        <v>45483</v>
      </c>
      <c r="C956" s="6">
        <f>TableDailySummary[[#This Row],[Dia]]</f>
        <v>45483</v>
      </c>
      <c r="D956" s="11">
        <f>_xlfn.XLOOKUP(TableDailySummary[[#This Row],[Fecha]],SummaryDaily[day],SummaryDaily[net_sales],0)</f>
        <v>0</v>
      </c>
      <c r="E956" s="11">
        <f>_xlfn.XLOOKUP(TableDailySummary[[#This Row],[Fecha]],SummaryDaily[day],SummaryDaily[orders],0)</f>
        <v>0</v>
      </c>
      <c r="F956" s="11">
        <f>_xlfn.XLOOKUP(TableDailySummary[[#This Row],[Fecha]],SummaryDaily[day],SummaryDaily[average_order_value],0)</f>
        <v>0</v>
      </c>
      <c r="G956" s="24" cm="1">
        <f t="array" ref="G956">_xlfn.XLOOKUP(TableDailySummary[[#This Row],[Fecha]]&amp;"Total site",ConversionRateByReferral[day]&amp;ConversionRateByReferral[referrer_source],ConversionRateByReferral[conversion_rate],0)</f>
        <v>0</v>
      </c>
      <c r="H956" s="11">
        <f>TableDailySummary[[#This Row],[Órden promedio totales]]*TableDailySummary[[#This Row],[CR totales]]</f>
        <v>0</v>
      </c>
      <c r="I956" s="11">
        <f>_xlfn.XLOOKUP(TableDailySummary[[#This Row],[Fecha]],SummaryDaily[day],SummaryDaily[new_net_sales],0)</f>
        <v>0</v>
      </c>
      <c r="J956" s="11">
        <f>_xlfn.XLOOKUP(TableDailySummary[[#This Row],[Fecha]],SummaryDaily[day],SummaryDaily[new_orders],0)</f>
        <v>0</v>
      </c>
      <c r="K956" s="11">
        <f>_xlfn.XLOOKUP(TableDailySummary[[#This Row],[Fecha]],SummaryDaily[day],SummaryDaily[new_average_order_value],0)</f>
        <v>0</v>
      </c>
      <c r="L956" s="11">
        <f>_xlfn.XLOOKUP(TableDailySummary[[#This Row],[Fecha]],SummaryDaily[day],SummaryDaily[Online Store_net_sales],0)</f>
        <v>0</v>
      </c>
      <c r="M956" s="11">
        <f>_xlfn.XLOOKUP(TableDailySummary[[#This Row],[Fecha]],SummaryDaily[day],SummaryDaily[Online Store_orders],0)</f>
        <v>0</v>
      </c>
      <c r="N956" s="11">
        <f>_xlfn.XLOOKUP(TableDailySummary[[#This Row],[Fecha]],SummaryDaily[day],SummaryDaily[Online Store_average_order_value],0)</f>
        <v>0</v>
      </c>
      <c r="O956" s="11">
        <f>_xlfn.XLOOKUP(TableDailySummary[[#This Row],[Fecha]],SummaryDaily[day],SummaryDaily[Tienda 81_net_sales],0)</f>
        <v>0</v>
      </c>
      <c r="P956" s="11">
        <f>_xlfn.XLOOKUP(TableDailySummary[[#This Row],[Fecha]],SummaryDaily[day],SummaryDaily[Tienda 81_orders],0)</f>
        <v>0</v>
      </c>
      <c r="Q956" s="11">
        <f>_xlfn.XLOOKUP(TableDailySummary[[#This Row],[Fecha]],SummaryDaily[day],SummaryDaily[Tienda 81_average_order_value],0)</f>
        <v>0</v>
      </c>
      <c r="R956" s="11">
        <f>_xlfn.XLOOKUP(TableDailySummary[[#This Row],[Fecha]],SummaryDaily[day],SummaryDaily[Rappi_net_sales],0)</f>
        <v>0</v>
      </c>
      <c r="S956" s="11">
        <f>_xlfn.XLOOKUP(TableDailySummary[[#This Row],[Fecha]],SummaryDaily[day],SummaryDaily[Rappi_orders],0)</f>
        <v>0</v>
      </c>
      <c r="T956" s="11">
        <f>_xlfn.XLOOKUP(TableDailySummary[[#This Row],[Fecha]],SummaryDaily[day],SummaryDaily[Rappi_average_order_value],0)</f>
        <v>0</v>
      </c>
      <c r="U956" s="11">
        <f>_xlfn.XLOOKUP(TableDailySummary[[#This Row],[Fecha]],SummaryDaily[day],SummaryDaily[Corporativo no tienda_net_sales],0)</f>
        <v>0</v>
      </c>
      <c r="V956" s="11">
        <f>_xlfn.XLOOKUP(TableDailySummary[[#This Row],[Fecha]],SummaryDaily[day],SummaryDaily[Corporativo no tienda_orders],0)</f>
        <v>0</v>
      </c>
      <c r="W956" s="11">
        <f>_xlfn.XLOOKUP(TableDailySummary[[#This Row],[Fecha]],SummaryDaily[day],SummaryDaily[Corporativo no tienda_average_order_value],0)</f>
        <v>0</v>
      </c>
      <c r="X956" s="11">
        <f>_xlfn.XLOOKUP(TableDailySummary[[#This Row],[Fecha]],SummaryDaily[day],SummaryDaily[GoogleAdsOperation.Cost],0)</f>
        <v>0</v>
      </c>
      <c r="Y956" s="11">
        <f>SUMIFS(SalesByUTMDaily[google],SalesByUTMDaily[day],TableDailySummary[[#This Row],[Fecha]])</f>
        <v>0</v>
      </c>
      <c r="Z956" s="11">
        <f>_xlfn.XLOOKUP(TableDailySummary[[#This Row],[Fecha]],SummaryDaily[day],SummaryDaily[MetaAdsOperation.spend],0)</f>
        <v>0</v>
      </c>
      <c r="AA956" s="11">
        <f>SUMIFS(SalesByUTMDaily[facebook],SalesByUTMDaily[day],TableDailySummary[[#This Row],[Fecha]])</f>
        <v>0</v>
      </c>
      <c r="AB956" s="11">
        <f>TableDailySummary[[#This Row],[Inversión google ads]]+TableDailySummary[[#This Row],[Inversión meta ads]]</f>
        <v>0</v>
      </c>
      <c r="AC956" s="11">
        <f>TableDailySummary[[#This Row],[Ventas google ads]]+TableDailySummary[[#This Row],[Ventas meta ads]]</f>
        <v>0</v>
      </c>
      <c r="AD956" s="14">
        <f>IFERROR(TableDailySummary[[#This Row],[Ventas publicidad]]/TableDailySummary[[#This Row],[Inversión publicidad]],0)</f>
        <v>0</v>
      </c>
      <c r="AE956" s="14">
        <f>IFERROR(TableDailySummary[[#This Row],[Ventas primer cliente]]/TableDailySummary[[#This Row],[Inversión publicidad]],0)</f>
        <v>0</v>
      </c>
      <c r="AF956" s="14"/>
      <c r="AG956" s="11"/>
      <c r="AM956" s="11">
        <f>_xlfn.XLOOKUP(TableDailySummary[[#This Row],[Fecha]],SummaryDaily[day],SummaryDaily[net_sales_with_cost_recorded],0)</f>
        <v>0</v>
      </c>
      <c r="AN956" s="11">
        <f>_xlfn.XLOOKUP(TableDailySummary[[#This Row],[Fecha]],SummaryDaily[day],SummaryDaily[cost_of_goods_sold],0)</f>
        <v>0</v>
      </c>
      <c r="AO956" s="11">
        <f>_xlfn.XLOOKUP(TableDailySummary[[#This Row],[Fecha]],SummaryDaily[day],SummaryDaily[gross_profit],0)</f>
        <v>0</v>
      </c>
      <c r="AP956" s="18">
        <f>IFERROR(TableDailySummary[[#This Row],[Utilidad bruta]]/TableDailySummary[[#This Row],[Ventas netas con costo registrado]],0)</f>
        <v>0</v>
      </c>
    </row>
    <row r="957" spans="2:42" x14ac:dyDescent="0.2">
      <c r="B957" s="15" cm="1">
        <f t="array" ref="B957">ParamFechaInicioReporte + (ROW(TableDailySummary[#This Row]) - ROW(TableDailySummary[[#Headers],[Dia]]) - 1)</f>
        <v>45484</v>
      </c>
      <c r="C957" s="6">
        <f>TableDailySummary[[#This Row],[Dia]]</f>
        <v>45484</v>
      </c>
      <c r="D957" s="11">
        <f>_xlfn.XLOOKUP(TableDailySummary[[#This Row],[Fecha]],SummaryDaily[day],SummaryDaily[net_sales],0)</f>
        <v>0</v>
      </c>
      <c r="E957" s="11">
        <f>_xlfn.XLOOKUP(TableDailySummary[[#This Row],[Fecha]],SummaryDaily[day],SummaryDaily[orders],0)</f>
        <v>0</v>
      </c>
      <c r="F957" s="11">
        <f>_xlfn.XLOOKUP(TableDailySummary[[#This Row],[Fecha]],SummaryDaily[day],SummaryDaily[average_order_value],0)</f>
        <v>0</v>
      </c>
      <c r="G957" s="24" cm="1">
        <f t="array" ref="G957">_xlfn.XLOOKUP(TableDailySummary[[#This Row],[Fecha]]&amp;"Total site",ConversionRateByReferral[day]&amp;ConversionRateByReferral[referrer_source],ConversionRateByReferral[conversion_rate],0)</f>
        <v>0</v>
      </c>
      <c r="H957" s="11">
        <f>TableDailySummary[[#This Row],[Órden promedio totales]]*TableDailySummary[[#This Row],[CR totales]]</f>
        <v>0</v>
      </c>
      <c r="I957" s="11">
        <f>_xlfn.XLOOKUP(TableDailySummary[[#This Row],[Fecha]],SummaryDaily[day],SummaryDaily[new_net_sales],0)</f>
        <v>0</v>
      </c>
      <c r="J957" s="11">
        <f>_xlfn.XLOOKUP(TableDailySummary[[#This Row],[Fecha]],SummaryDaily[day],SummaryDaily[new_orders],0)</f>
        <v>0</v>
      </c>
      <c r="K957" s="11">
        <f>_xlfn.XLOOKUP(TableDailySummary[[#This Row],[Fecha]],SummaryDaily[day],SummaryDaily[new_average_order_value],0)</f>
        <v>0</v>
      </c>
      <c r="L957" s="11">
        <f>_xlfn.XLOOKUP(TableDailySummary[[#This Row],[Fecha]],SummaryDaily[day],SummaryDaily[Online Store_net_sales],0)</f>
        <v>0</v>
      </c>
      <c r="M957" s="11">
        <f>_xlfn.XLOOKUP(TableDailySummary[[#This Row],[Fecha]],SummaryDaily[day],SummaryDaily[Online Store_orders],0)</f>
        <v>0</v>
      </c>
      <c r="N957" s="11">
        <f>_xlfn.XLOOKUP(TableDailySummary[[#This Row],[Fecha]],SummaryDaily[day],SummaryDaily[Online Store_average_order_value],0)</f>
        <v>0</v>
      </c>
      <c r="O957" s="11">
        <f>_xlfn.XLOOKUP(TableDailySummary[[#This Row],[Fecha]],SummaryDaily[day],SummaryDaily[Tienda 81_net_sales],0)</f>
        <v>0</v>
      </c>
      <c r="P957" s="11">
        <f>_xlfn.XLOOKUP(TableDailySummary[[#This Row],[Fecha]],SummaryDaily[day],SummaryDaily[Tienda 81_orders],0)</f>
        <v>0</v>
      </c>
      <c r="Q957" s="11">
        <f>_xlfn.XLOOKUP(TableDailySummary[[#This Row],[Fecha]],SummaryDaily[day],SummaryDaily[Tienda 81_average_order_value],0)</f>
        <v>0</v>
      </c>
      <c r="R957" s="11">
        <f>_xlfn.XLOOKUP(TableDailySummary[[#This Row],[Fecha]],SummaryDaily[day],SummaryDaily[Rappi_net_sales],0)</f>
        <v>0</v>
      </c>
      <c r="S957" s="11">
        <f>_xlfn.XLOOKUP(TableDailySummary[[#This Row],[Fecha]],SummaryDaily[day],SummaryDaily[Rappi_orders],0)</f>
        <v>0</v>
      </c>
      <c r="T957" s="11">
        <f>_xlfn.XLOOKUP(TableDailySummary[[#This Row],[Fecha]],SummaryDaily[day],SummaryDaily[Rappi_average_order_value],0)</f>
        <v>0</v>
      </c>
      <c r="U957" s="11">
        <f>_xlfn.XLOOKUP(TableDailySummary[[#This Row],[Fecha]],SummaryDaily[day],SummaryDaily[Corporativo no tienda_net_sales],0)</f>
        <v>0</v>
      </c>
      <c r="V957" s="11">
        <f>_xlfn.XLOOKUP(TableDailySummary[[#This Row],[Fecha]],SummaryDaily[day],SummaryDaily[Corporativo no tienda_orders],0)</f>
        <v>0</v>
      </c>
      <c r="W957" s="11">
        <f>_xlfn.XLOOKUP(TableDailySummary[[#This Row],[Fecha]],SummaryDaily[day],SummaryDaily[Corporativo no tienda_average_order_value],0)</f>
        <v>0</v>
      </c>
      <c r="X957" s="11">
        <f>_xlfn.XLOOKUP(TableDailySummary[[#This Row],[Fecha]],SummaryDaily[day],SummaryDaily[GoogleAdsOperation.Cost],0)</f>
        <v>0</v>
      </c>
      <c r="Y957" s="11">
        <f>SUMIFS(SalesByUTMDaily[google],SalesByUTMDaily[day],TableDailySummary[[#This Row],[Fecha]])</f>
        <v>0</v>
      </c>
      <c r="Z957" s="11">
        <f>_xlfn.XLOOKUP(TableDailySummary[[#This Row],[Fecha]],SummaryDaily[day],SummaryDaily[MetaAdsOperation.spend],0)</f>
        <v>0</v>
      </c>
      <c r="AA957" s="11">
        <f>SUMIFS(SalesByUTMDaily[facebook],SalesByUTMDaily[day],TableDailySummary[[#This Row],[Fecha]])</f>
        <v>0</v>
      </c>
      <c r="AB957" s="11">
        <f>TableDailySummary[[#This Row],[Inversión google ads]]+TableDailySummary[[#This Row],[Inversión meta ads]]</f>
        <v>0</v>
      </c>
      <c r="AC957" s="11">
        <f>TableDailySummary[[#This Row],[Ventas google ads]]+TableDailySummary[[#This Row],[Ventas meta ads]]</f>
        <v>0</v>
      </c>
      <c r="AD957" s="14">
        <f>IFERROR(TableDailySummary[[#This Row],[Ventas publicidad]]/TableDailySummary[[#This Row],[Inversión publicidad]],0)</f>
        <v>0</v>
      </c>
      <c r="AE957" s="14">
        <f>IFERROR(TableDailySummary[[#This Row],[Ventas primer cliente]]/TableDailySummary[[#This Row],[Inversión publicidad]],0)</f>
        <v>0</v>
      </c>
      <c r="AF957" s="14"/>
      <c r="AG957" s="11"/>
      <c r="AM957" s="11">
        <f>_xlfn.XLOOKUP(TableDailySummary[[#This Row],[Fecha]],SummaryDaily[day],SummaryDaily[net_sales_with_cost_recorded],0)</f>
        <v>0</v>
      </c>
      <c r="AN957" s="11">
        <f>_xlfn.XLOOKUP(TableDailySummary[[#This Row],[Fecha]],SummaryDaily[day],SummaryDaily[cost_of_goods_sold],0)</f>
        <v>0</v>
      </c>
      <c r="AO957" s="11">
        <f>_xlfn.XLOOKUP(TableDailySummary[[#This Row],[Fecha]],SummaryDaily[day],SummaryDaily[gross_profit],0)</f>
        <v>0</v>
      </c>
      <c r="AP957" s="18">
        <f>IFERROR(TableDailySummary[[#This Row],[Utilidad bruta]]/TableDailySummary[[#This Row],[Ventas netas con costo registrado]],0)</f>
        <v>0</v>
      </c>
    </row>
    <row r="958" spans="2:42" x14ac:dyDescent="0.2">
      <c r="B958" s="15" cm="1">
        <f t="array" ref="B958">ParamFechaInicioReporte + (ROW(TableDailySummary[#This Row]) - ROW(TableDailySummary[[#Headers],[Dia]]) - 1)</f>
        <v>45485</v>
      </c>
      <c r="C958" s="6">
        <f>TableDailySummary[[#This Row],[Dia]]</f>
        <v>45485</v>
      </c>
      <c r="D958" s="11">
        <f>_xlfn.XLOOKUP(TableDailySummary[[#This Row],[Fecha]],SummaryDaily[day],SummaryDaily[net_sales],0)</f>
        <v>0</v>
      </c>
      <c r="E958" s="11">
        <f>_xlfn.XLOOKUP(TableDailySummary[[#This Row],[Fecha]],SummaryDaily[day],SummaryDaily[orders],0)</f>
        <v>0</v>
      </c>
      <c r="F958" s="11">
        <f>_xlfn.XLOOKUP(TableDailySummary[[#This Row],[Fecha]],SummaryDaily[day],SummaryDaily[average_order_value],0)</f>
        <v>0</v>
      </c>
      <c r="G958" s="24" cm="1">
        <f t="array" ref="G958">_xlfn.XLOOKUP(TableDailySummary[[#This Row],[Fecha]]&amp;"Total site",ConversionRateByReferral[day]&amp;ConversionRateByReferral[referrer_source],ConversionRateByReferral[conversion_rate],0)</f>
        <v>0</v>
      </c>
      <c r="H958" s="11">
        <f>TableDailySummary[[#This Row],[Órden promedio totales]]*TableDailySummary[[#This Row],[CR totales]]</f>
        <v>0</v>
      </c>
      <c r="I958" s="11">
        <f>_xlfn.XLOOKUP(TableDailySummary[[#This Row],[Fecha]],SummaryDaily[day],SummaryDaily[new_net_sales],0)</f>
        <v>0</v>
      </c>
      <c r="J958" s="11">
        <f>_xlfn.XLOOKUP(TableDailySummary[[#This Row],[Fecha]],SummaryDaily[day],SummaryDaily[new_orders],0)</f>
        <v>0</v>
      </c>
      <c r="K958" s="11">
        <f>_xlfn.XLOOKUP(TableDailySummary[[#This Row],[Fecha]],SummaryDaily[day],SummaryDaily[new_average_order_value],0)</f>
        <v>0</v>
      </c>
      <c r="L958" s="11">
        <f>_xlfn.XLOOKUP(TableDailySummary[[#This Row],[Fecha]],SummaryDaily[day],SummaryDaily[Online Store_net_sales],0)</f>
        <v>0</v>
      </c>
      <c r="M958" s="11">
        <f>_xlfn.XLOOKUP(TableDailySummary[[#This Row],[Fecha]],SummaryDaily[day],SummaryDaily[Online Store_orders],0)</f>
        <v>0</v>
      </c>
      <c r="N958" s="11">
        <f>_xlfn.XLOOKUP(TableDailySummary[[#This Row],[Fecha]],SummaryDaily[day],SummaryDaily[Online Store_average_order_value],0)</f>
        <v>0</v>
      </c>
      <c r="O958" s="11">
        <f>_xlfn.XLOOKUP(TableDailySummary[[#This Row],[Fecha]],SummaryDaily[day],SummaryDaily[Tienda 81_net_sales],0)</f>
        <v>0</v>
      </c>
      <c r="P958" s="11">
        <f>_xlfn.XLOOKUP(TableDailySummary[[#This Row],[Fecha]],SummaryDaily[day],SummaryDaily[Tienda 81_orders],0)</f>
        <v>0</v>
      </c>
      <c r="Q958" s="11">
        <f>_xlfn.XLOOKUP(TableDailySummary[[#This Row],[Fecha]],SummaryDaily[day],SummaryDaily[Tienda 81_average_order_value],0)</f>
        <v>0</v>
      </c>
      <c r="R958" s="11">
        <f>_xlfn.XLOOKUP(TableDailySummary[[#This Row],[Fecha]],SummaryDaily[day],SummaryDaily[Rappi_net_sales],0)</f>
        <v>0</v>
      </c>
      <c r="S958" s="11">
        <f>_xlfn.XLOOKUP(TableDailySummary[[#This Row],[Fecha]],SummaryDaily[day],SummaryDaily[Rappi_orders],0)</f>
        <v>0</v>
      </c>
      <c r="T958" s="11">
        <f>_xlfn.XLOOKUP(TableDailySummary[[#This Row],[Fecha]],SummaryDaily[day],SummaryDaily[Rappi_average_order_value],0)</f>
        <v>0</v>
      </c>
      <c r="U958" s="11">
        <f>_xlfn.XLOOKUP(TableDailySummary[[#This Row],[Fecha]],SummaryDaily[day],SummaryDaily[Corporativo no tienda_net_sales],0)</f>
        <v>0</v>
      </c>
      <c r="V958" s="11">
        <f>_xlfn.XLOOKUP(TableDailySummary[[#This Row],[Fecha]],SummaryDaily[day],SummaryDaily[Corporativo no tienda_orders],0)</f>
        <v>0</v>
      </c>
      <c r="W958" s="11">
        <f>_xlfn.XLOOKUP(TableDailySummary[[#This Row],[Fecha]],SummaryDaily[day],SummaryDaily[Corporativo no tienda_average_order_value],0)</f>
        <v>0</v>
      </c>
      <c r="X958" s="11">
        <f>_xlfn.XLOOKUP(TableDailySummary[[#This Row],[Fecha]],SummaryDaily[day],SummaryDaily[GoogleAdsOperation.Cost],0)</f>
        <v>0</v>
      </c>
      <c r="Y958" s="11">
        <f>SUMIFS(SalesByUTMDaily[google],SalesByUTMDaily[day],TableDailySummary[[#This Row],[Fecha]])</f>
        <v>0</v>
      </c>
      <c r="Z958" s="11">
        <f>_xlfn.XLOOKUP(TableDailySummary[[#This Row],[Fecha]],SummaryDaily[day],SummaryDaily[MetaAdsOperation.spend],0)</f>
        <v>0</v>
      </c>
      <c r="AA958" s="11">
        <f>SUMIFS(SalesByUTMDaily[facebook],SalesByUTMDaily[day],TableDailySummary[[#This Row],[Fecha]])</f>
        <v>0</v>
      </c>
      <c r="AB958" s="11">
        <f>TableDailySummary[[#This Row],[Inversión google ads]]+TableDailySummary[[#This Row],[Inversión meta ads]]</f>
        <v>0</v>
      </c>
      <c r="AC958" s="11">
        <f>TableDailySummary[[#This Row],[Ventas google ads]]+TableDailySummary[[#This Row],[Ventas meta ads]]</f>
        <v>0</v>
      </c>
      <c r="AD958" s="14">
        <f>IFERROR(TableDailySummary[[#This Row],[Ventas publicidad]]/TableDailySummary[[#This Row],[Inversión publicidad]],0)</f>
        <v>0</v>
      </c>
      <c r="AE958" s="14">
        <f>IFERROR(TableDailySummary[[#This Row],[Ventas primer cliente]]/TableDailySummary[[#This Row],[Inversión publicidad]],0)</f>
        <v>0</v>
      </c>
      <c r="AF958" s="14"/>
      <c r="AG958" s="11"/>
      <c r="AM958" s="11">
        <f>_xlfn.XLOOKUP(TableDailySummary[[#This Row],[Fecha]],SummaryDaily[day],SummaryDaily[net_sales_with_cost_recorded],0)</f>
        <v>0</v>
      </c>
      <c r="AN958" s="11">
        <f>_xlfn.XLOOKUP(TableDailySummary[[#This Row],[Fecha]],SummaryDaily[day],SummaryDaily[cost_of_goods_sold],0)</f>
        <v>0</v>
      </c>
      <c r="AO958" s="11">
        <f>_xlfn.XLOOKUP(TableDailySummary[[#This Row],[Fecha]],SummaryDaily[day],SummaryDaily[gross_profit],0)</f>
        <v>0</v>
      </c>
      <c r="AP958" s="18">
        <f>IFERROR(TableDailySummary[[#This Row],[Utilidad bruta]]/TableDailySummary[[#This Row],[Ventas netas con costo registrado]],0)</f>
        <v>0</v>
      </c>
    </row>
    <row r="959" spans="2:42" x14ac:dyDescent="0.2">
      <c r="B959" s="15" cm="1">
        <f t="array" ref="B959">ParamFechaInicioReporte + (ROW(TableDailySummary[#This Row]) - ROW(TableDailySummary[[#Headers],[Dia]]) - 1)</f>
        <v>45486</v>
      </c>
      <c r="C959" s="6">
        <f>TableDailySummary[[#This Row],[Dia]]</f>
        <v>45486</v>
      </c>
      <c r="D959" s="11">
        <f>_xlfn.XLOOKUP(TableDailySummary[[#This Row],[Fecha]],SummaryDaily[day],SummaryDaily[net_sales],0)</f>
        <v>0</v>
      </c>
      <c r="E959" s="11">
        <f>_xlfn.XLOOKUP(TableDailySummary[[#This Row],[Fecha]],SummaryDaily[day],SummaryDaily[orders],0)</f>
        <v>0</v>
      </c>
      <c r="F959" s="11">
        <f>_xlfn.XLOOKUP(TableDailySummary[[#This Row],[Fecha]],SummaryDaily[day],SummaryDaily[average_order_value],0)</f>
        <v>0</v>
      </c>
      <c r="G959" s="24" cm="1">
        <f t="array" ref="G959">_xlfn.XLOOKUP(TableDailySummary[[#This Row],[Fecha]]&amp;"Total site",ConversionRateByReferral[day]&amp;ConversionRateByReferral[referrer_source],ConversionRateByReferral[conversion_rate],0)</f>
        <v>0</v>
      </c>
      <c r="H959" s="11">
        <f>TableDailySummary[[#This Row],[Órden promedio totales]]*TableDailySummary[[#This Row],[CR totales]]</f>
        <v>0</v>
      </c>
      <c r="I959" s="11">
        <f>_xlfn.XLOOKUP(TableDailySummary[[#This Row],[Fecha]],SummaryDaily[day],SummaryDaily[new_net_sales],0)</f>
        <v>0</v>
      </c>
      <c r="J959" s="11">
        <f>_xlfn.XLOOKUP(TableDailySummary[[#This Row],[Fecha]],SummaryDaily[day],SummaryDaily[new_orders],0)</f>
        <v>0</v>
      </c>
      <c r="K959" s="11">
        <f>_xlfn.XLOOKUP(TableDailySummary[[#This Row],[Fecha]],SummaryDaily[day],SummaryDaily[new_average_order_value],0)</f>
        <v>0</v>
      </c>
      <c r="L959" s="11">
        <f>_xlfn.XLOOKUP(TableDailySummary[[#This Row],[Fecha]],SummaryDaily[day],SummaryDaily[Online Store_net_sales],0)</f>
        <v>0</v>
      </c>
      <c r="M959" s="11">
        <f>_xlfn.XLOOKUP(TableDailySummary[[#This Row],[Fecha]],SummaryDaily[day],SummaryDaily[Online Store_orders],0)</f>
        <v>0</v>
      </c>
      <c r="N959" s="11">
        <f>_xlfn.XLOOKUP(TableDailySummary[[#This Row],[Fecha]],SummaryDaily[day],SummaryDaily[Online Store_average_order_value],0)</f>
        <v>0</v>
      </c>
      <c r="O959" s="11">
        <f>_xlfn.XLOOKUP(TableDailySummary[[#This Row],[Fecha]],SummaryDaily[day],SummaryDaily[Tienda 81_net_sales],0)</f>
        <v>0</v>
      </c>
      <c r="P959" s="11">
        <f>_xlfn.XLOOKUP(TableDailySummary[[#This Row],[Fecha]],SummaryDaily[day],SummaryDaily[Tienda 81_orders],0)</f>
        <v>0</v>
      </c>
      <c r="Q959" s="11">
        <f>_xlfn.XLOOKUP(TableDailySummary[[#This Row],[Fecha]],SummaryDaily[day],SummaryDaily[Tienda 81_average_order_value],0)</f>
        <v>0</v>
      </c>
      <c r="R959" s="11">
        <f>_xlfn.XLOOKUP(TableDailySummary[[#This Row],[Fecha]],SummaryDaily[day],SummaryDaily[Rappi_net_sales],0)</f>
        <v>0</v>
      </c>
      <c r="S959" s="11">
        <f>_xlfn.XLOOKUP(TableDailySummary[[#This Row],[Fecha]],SummaryDaily[day],SummaryDaily[Rappi_orders],0)</f>
        <v>0</v>
      </c>
      <c r="T959" s="11">
        <f>_xlfn.XLOOKUP(TableDailySummary[[#This Row],[Fecha]],SummaryDaily[day],SummaryDaily[Rappi_average_order_value],0)</f>
        <v>0</v>
      </c>
      <c r="U959" s="11">
        <f>_xlfn.XLOOKUP(TableDailySummary[[#This Row],[Fecha]],SummaryDaily[day],SummaryDaily[Corporativo no tienda_net_sales],0)</f>
        <v>0</v>
      </c>
      <c r="V959" s="11">
        <f>_xlfn.XLOOKUP(TableDailySummary[[#This Row],[Fecha]],SummaryDaily[day],SummaryDaily[Corporativo no tienda_orders],0)</f>
        <v>0</v>
      </c>
      <c r="W959" s="11">
        <f>_xlfn.XLOOKUP(TableDailySummary[[#This Row],[Fecha]],SummaryDaily[day],SummaryDaily[Corporativo no tienda_average_order_value],0)</f>
        <v>0</v>
      </c>
      <c r="X959" s="11">
        <f>_xlfn.XLOOKUP(TableDailySummary[[#This Row],[Fecha]],SummaryDaily[day],SummaryDaily[GoogleAdsOperation.Cost],0)</f>
        <v>0</v>
      </c>
      <c r="Y959" s="11">
        <f>SUMIFS(SalesByUTMDaily[google],SalesByUTMDaily[day],TableDailySummary[[#This Row],[Fecha]])</f>
        <v>0</v>
      </c>
      <c r="Z959" s="11">
        <f>_xlfn.XLOOKUP(TableDailySummary[[#This Row],[Fecha]],SummaryDaily[day],SummaryDaily[MetaAdsOperation.spend],0)</f>
        <v>0</v>
      </c>
      <c r="AA959" s="11">
        <f>SUMIFS(SalesByUTMDaily[facebook],SalesByUTMDaily[day],TableDailySummary[[#This Row],[Fecha]])</f>
        <v>0</v>
      </c>
      <c r="AB959" s="11">
        <f>TableDailySummary[[#This Row],[Inversión google ads]]+TableDailySummary[[#This Row],[Inversión meta ads]]</f>
        <v>0</v>
      </c>
      <c r="AC959" s="11">
        <f>TableDailySummary[[#This Row],[Ventas google ads]]+TableDailySummary[[#This Row],[Ventas meta ads]]</f>
        <v>0</v>
      </c>
      <c r="AD959" s="14">
        <f>IFERROR(TableDailySummary[[#This Row],[Ventas publicidad]]/TableDailySummary[[#This Row],[Inversión publicidad]],0)</f>
        <v>0</v>
      </c>
      <c r="AE959" s="14">
        <f>IFERROR(TableDailySummary[[#This Row],[Ventas primer cliente]]/TableDailySummary[[#This Row],[Inversión publicidad]],0)</f>
        <v>0</v>
      </c>
      <c r="AF959" s="14"/>
      <c r="AG959" s="11"/>
      <c r="AM959" s="11">
        <f>_xlfn.XLOOKUP(TableDailySummary[[#This Row],[Fecha]],SummaryDaily[day],SummaryDaily[net_sales_with_cost_recorded],0)</f>
        <v>0</v>
      </c>
      <c r="AN959" s="11">
        <f>_xlfn.XLOOKUP(TableDailySummary[[#This Row],[Fecha]],SummaryDaily[day],SummaryDaily[cost_of_goods_sold],0)</f>
        <v>0</v>
      </c>
      <c r="AO959" s="11">
        <f>_xlfn.XLOOKUP(TableDailySummary[[#This Row],[Fecha]],SummaryDaily[day],SummaryDaily[gross_profit],0)</f>
        <v>0</v>
      </c>
      <c r="AP959" s="18">
        <f>IFERROR(TableDailySummary[[#This Row],[Utilidad bruta]]/TableDailySummary[[#This Row],[Ventas netas con costo registrado]],0)</f>
        <v>0</v>
      </c>
    </row>
    <row r="960" spans="2:42" x14ac:dyDescent="0.2">
      <c r="B960" s="15" cm="1">
        <f t="array" ref="B960">ParamFechaInicioReporte + (ROW(TableDailySummary[#This Row]) - ROW(TableDailySummary[[#Headers],[Dia]]) - 1)</f>
        <v>45487</v>
      </c>
      <c r="C960" s="6">
        <f>TableDailySummary[[#This Row],[Dia]]</f>
        <v>45487</v>
      </c>
      <c r="D960" s="11">
        <f>_xlfn.XLOOKUP(TableDailySummary[[#This Row],[Fecha]],SummaryDaily[day],SummaryDaily[net_sales],0)</f>
        <v>0</v>
      </c>
      <c r="E960" s="11">
        <f>_xlfn.XLOOKUP(TableDailySummary[[#This Row],[Fecha]],SummaryDaily[day],SummaryDaily[orders],0)</f>
        <v>0</v>
      </c>
      <c r="F960" s="11">
        <f>_xlfn.XLOOKUP(TableDailySummary[[#This Row],[Fecha]],SummaryDaily[day],SummaryDaily[average_order_value],0)</f>
        <v>0</v>
      </c>
      <c r="G960" s="24" cm="1">
        <f t="array" ref="G960">_xlfn.XLOOKUP(TableDailySummary[[#This Row],[Fecha]]&amp;"Total site",ConversionRateByReferral[day]&amp;ConversionRateByReferral[referrer_source],ConversionRateByReferral[conversion_rate],0)</f>
        <v>0</v>
      </c>
      <c r="H960" s="11">
        <f>TableDailySummary[[#This Row],[Órden promedio totales]]*TableDailySummary[[#This Row],[CR totales]]</f>
        <v>0</v>
      </c>
      <c r="I960" s="11">
        <f>_xlfn.XLOOKUP(TableDailySummary[[#This Row],[Fecha]],SummaryDaily[day],SummaryDaily[new_net_sales],0)</f>
        <v>0</v>
      </c>
      <c r="J960" s="11">
        <f>_xlfn.XLOOKUP(TableDailySummary[[#This Row],[Fecha]],SummaryDaily[day],SummaryDaily[new_orders],0)</f>
        <v>0</v>
      </c>
      <c r="K960" s="11">
        <f>_xlfn.XLOOKUP(TableDailySummary[[#This Row],[Fecha]],SummaryDaily[day],SummaryDaily[new_average_order_value],0)</f>
        <v>0</v>
      </c>
      <c r="L960" s="11">
        <f>_xlfn.XLOOKUP(TableDailySummary[[#This Row],[Fecha]],SummaryDaily[day],SummaryDaily[Online Store_net_sales],0)</f>
        <v>0</v>
      </c>
      <c r="M960" s="11">
        <f>_xlfn.XLOOKUP(TableDailySummary[[#This Row],[Fecha]],SummaryDaily[day],SummaryDaily[Online Store_orders],0)</f>
        <v>0</v>
      </c>
      <c r="N960" s="11">
        <f>_xlfn.XLOOKUP(TableDailySummary[[#This Row],[Fecha]],SummaryDaily[day],SummaryDaily[Online Store_average_order_value],0)</f>
        <v>0</v>
      </c>
      <c r="O960" s="11">
        <f>_xlfn.XLOOKUP(TableDailySummary[[#This Row],[Fecha]],SummaryDaily[day],SummaryDaily[Tienda 81_net_sales],0)</f>
        <v>0</v>
      </c>
      <c r="P960" s="11">
        <f>_xlfn.XLOOKUP(TableDailySummary[[#This Row],[Fecha]],SummaryDaily[day],SummaryDaily[Tienda 81_orders],0)</f>
        <v>0</v>
      </c>
      <c r="Q960" s="11">
        <f>_xlfn.XLOOKUP(TableDailySummary[[#This Row],[Fecha]],SummaryDaily[day],SummaryDaily[Tienda 81_average_order_value],0)</f>
        <v>0</v>
      </c>
      <c r="R960" s="11">
        <f>_xlfn.XLOOKUP(TableDailySummary[[#This Row],[Fecha]],SummaryDaily[day],SummaryDaily[Rappi_net_sales],0)</f>
        <v>0</v>
      </c>
      <c r="S960" s="11">
        <f>_xlfn.XLOOKUP(TableDailySummary[[#This Row],[Fecha]],SummaryDaily[day],SummaryDaily[Rappi_orders],0)</f>
        <v>0</v>
      </c>
      <c r="T960" s="11">
        <f>_xlfn.XLOOKUP(TableDailySummary[[#This Row],[Fecha]],SummaryDaily[day],SummaryDaily[Rappi_average_order_value],0)</f>
        <v>0</v>
      </c>
      <c r="U960" s="11">
        <f>_xlfn.XLOOKUP(TableDailySummary[[#This Row],[Fecha]],SummaryDaily[day],SummaryDaily[Corporativo no tienda_net_sales],0)</f>
        <v>0</v>
      </c>
      <c r="V960" s="11">
        <f>_xlfn.XLOOKUP(TableDailySummary[[#This Row],[Fecha]],SummaryDaily[day],SummaryDaily[Corporativo no tienda_orders],0)</f>
        <v>0</v>
      </c>
      <c r="W960" s="11">
        <f>_xlfn.XLOOKUP(TableDailySummary[[#This Row],[Fecha]],SummaryDaily[day],SummaryDaily[Corporativo no tienda_average_order_value],0)</f>
        <v>0</v>
      </c>
      <c r="X960" s="11">
        <f>_xlfn.XLOOKUP(TableDailySummary[[#This Row],[Fecha]],SummaryDaily[day],SummaryDaily[GoogleAdsOperation.Cost],0)</f>
        <v>0</v>
      </c>
      <c r="Y960" s="11">
        <f>SUMIFS(SalesByUTMDaily[google],SalesByUTMDaily[day],TableDailySummary[[#This Row],[Fecha]])</f>
        <v>0</v>
      </c>
      <c r="Z960" s="11">
        <f>_xlfn.XLOOKUP(TableDailySummary[[#This Row],[Fecha]],SummaryDaily[day],SummaryDaily[MetaAdsOperation.spend],0)</f>
        <v>0</v>
      </c>
      <c r="AA960" s="11">
        <f>SUMIFS(SalesByUTMDaily[facebook],SalesByUTMDaily[day],TableDailySummary[[#This Row],[Fecha]])</f>
        <v>0</v>
      </c>
      <c r="AB960" s="11">
        <f>TableDailySummary[[#This Row],[Inversión google ads]]+TableDailySummary[[#This Row],[Inversión meta ads]]</f>
        <v>0</v>
      </c>
      <c r="AC960" s="11">
        <f>TableDailySummary[[#This Row],[Ventas google ads]]+TableDailySummary[[#This Row],[Ventas meta ads]]</f>
        <v>0</v>
      </c>
      <c r="AD960" s="14">
        <f>IFERROR(TableDailySummary[[#This Row],[Ventas publicidad]]/TableDailySummary[[#This Row],[Inversión publicidad]],0)</f>
        <v>0</v>
      </c>
      <c r="AE960" s="14">
        <f>IFERROR(TableDailySummary[[#This Row],[Ventas primer cliente]]/TableDailySummary[[#This Row],[Inversión publicidad]],0)</f>
        <v>0</v>
      </c>
      <c r="AF960" s="14"/>
      <c r="AG960" s="11"/>
      <c r="AM960" s="11">
        <f>_xlfn.XLOOKUP(TableDailySummary[[#This Row],[Fecha]],SummaryDaily[day],SummaryDaily[net_sales_with_cost_recorded],0)</f>
        <v>0</v>
      </c>
      <c r="AN960" s="11">
        <f>_xlfn.XLOOKUP(TableDailySummary[[#This Row],[Fecha]],SummaryDaily[day],SummaryDaily[cost_of_goods_sold],0)</f>
        <v>0</v>
      </c>
      <c r="AO960" s="11">
        <f>_xlfn.XLOOKUP(TableDailySummary[[#This Row],[Fecha]],SummaryDaily[day],SummaryDaily[gross_profit],0)</f>
        <v>0</v>
      </c>
      <c r="AP960" s="18">
        <f>IFERROR(TableDailySummary[[#This Row],[Utilidad bruta]]/TableDailySummary[[#This Row],[Ventas netas con costo registrado]],0)</f>
        <v>0</v>
      </c>
    </row>
    <row r="961" spans="2:42" x14ac:dyDescent="0.2">
      <c r="B961" s="15" cm="1">
        <f t="array" ref="B961">ParamFechaInicioReporte + (ROW(TableDailySummary[#This Row]) - ROW(TableDailySummary[[#Headers],[Dia]]) - 1)</f>
        <v>45488</v>
      </c>
      <c r="C961" s="6">
        <f>TableDailySummary[[#This Row],[Dia]]</f>
        <v>45488</v>
      </c>
      <c r="D961" s="11">
        <f>_xlfn.XLOOKUP(TableDailySummary[[#This Row],[Fecha]],SummaryDaily[day],SummaryDaily[net_sales],0)</f>
        <v>0</v>
      </c>
      <c r="E961" s="11">
        <f>_xlfn.XLOOKUP(TableDailySummary[[#This Row],[Fecha]],SummaryDaily[day],SummaryDaily[orders],0)</f>
        <v>0</v>
      </c>
      <c r="F961" s="11">
        <f>_xlfn.XLOOKUP(TableDailySummary[[#This Row],[Fecha]],SummaryDaily[day],SummaryDaily[average_order_value],0)</f>
        <v>0</v>
      </c>
      <c r="G961" s="24" cm="1">
        <f t="array" ref="G961">_xlfn.XLOOKUP(TableDailySummary[[#This Row],[Fecha]]&amp;"Total site",ConversionRateByReferral[day]&amp;ConversionRateByReferral[referrer_source],ConversionRateByReferral[conversion_rate],0)</f>
        <v>0</v>
      </c>
      <c r="H961" s="11">
        <f>TableDailySummary[[#This Row],[Órden promedio totales]]*TableDailySummary[[#This Row],[CR totales]]</f>
        <v>0</v>
      </c>
      <c r="I961" s="11">
        <f>_xlfn.XLOOKUP(TableDailySummary[[#This Row],[Fecha]],SummaryDaily[day],SummaryDaily[new_net_sales],0)</f>
        <v>0</v>
      </c>
      <c r="J961" s="11">
        <f>_xlfn.XLOOKUP(TableDailySummary[[#This Row],[Fecha]],SummaryDaily[day],SummaryDaily[new_orders],0)</f>
        <v>0</v>
      </c>
      <c r="K961" s="11">
        <f>_xlfn.XLOOKUP(TableDailySummary[[#This Row],[Fecha]],SummaryDaily[day],SummaryDaily[new_average_order_value],0)</f>
        <v>0</v>
      </c>
      <c r="L961" s="11">
        <f>_xlfn.XLOOKUP(TableDailySummary[[#This Row],[Fecha]],SummaryDaily[day],SummaryDaily[Online Store_net_sales],0)</f>
        <v>0</v>
      </c>
      <c r="M961" s="11">
        <f>_xlfn.XLOOKUP(TableDailySummary[[#This Row],[Fecha]],SummaryDaily[day],SummaryDaily[Online Store_orders],0)</f>
        <v>0</v>
      </c>
      <c r="N961" s="11">
        <f>_xlfn.XLOOKUP(TableDailySummary[[#This Row],[Fecha]],SummaryDaily[day],SummaryDaily[Online Store_average_order_value],0)</f>
        <v>0</v>
      </c>
      <c r="O961" s="11">
        <f>_xlfn.XLOOKUP(TableDailySummary[[#This Row],[Fecha]],SummaryDaily[day],SummaryDaily[Tienda 81_net_sales],0)</f>
        <v>0</v>
      </c>
      <c r="P961" s="11">
        <f>_xlfn.XLOOKUP(TableDailySummary[[#This Row],[Fecha]],SummaryDaily[day],SummaryDaily[Tienda 81_orders],0)</f>
        <v>0</v>
      </c>
      <c r="Q961" s="11">
        <f>_xlfn.XLOOKUP(TableDailySummary[[#This Row],[Fecha]],SummaryDaily[day],SummaryDaily[Tienda 81_average_order_value],0)</f>
        <v>0</v>
      </c>
      <c r="R961" s="11">
        <f>_xlfn.XLOOKUP(TableDailySummary[[#This Row],[Fecha]],SummaryDaily[day],SummaryDaily[Rappi_net_sales],0)</f>
        <v>0</v>
      </c>
      <c r="S961" s="11">
        <f>_xlfn.XLOOKUP(TableDailySummary[[#This Row],[Fecha]],SummaryDaily[day],SummaryDaily[Rappi_orders],0)</f>
        <v>0</v>
      </c>
      <c r="T961" s="11">
        <f>_xlfn.XLOOKUP(TableDailySummary[[#This Row],[Fecha]],SummaryDaily[day],SummaryDaily[Rappi_average_order_value],0)</f>
        <v>0</v>
      </c>
      <c r="U961" s="11">
        <f>_xlfn.XLOOKUP(TableDailySummary[[#This Row],[Fecha]],SummaryDaily[day],SummaryDaily[Corporativo no tienda_net_sales],0)</f>
        <v>0</v>
      </c>
      <c r="V961" s="11">
        <f>_xlfn.XLOOKUP(TableDailySummary[[#This Row],[Fecha]],SummaryDaily[day],SummaryDaily[Corporativo no tienda_orders],0)</f>
        <v>0</v>
      </c>
      <c r="W961" s="11">
        <f>_xlfn.XLOOKUP(TableDailySummary[[#This Row],[Fecha]],SummaryDaily[day],SummaryDaily[Corporativo no tienda_average_order_value],0)</f>
        <v>0</v>
      </c>
      <c r="X961" s="11">
        <f>_xlfn.XLOOKUP(TableDailySummary[[#This Row],[Fecha]],SummaryDaily[day],SummaryDaily[GoogleAdsOperation.Cost],0)</f>
        <v>0</v>
      </c>
      <c r="Y961" s="11">
        <f>SUMIFS(SalesByUTMDaily[google],SalesByUTMDaily[day],TableDailySummary[[#This Row],[Fecha]])</f>
        <v>0</v>
      </c>
      <c r="Z961" s="11">
        <f>_xlfn.XLOOKUP(TableDailySummary[[#This Row],[Fecha]],SummaryDaily[day],SummaryDaily[MetaAdsOperation.spend],0)</f>
        <v>0</v>
      </c>
      <c r="AA961" s="11">
        <f>SUMIFS(SalesByUTMDaily[facebook],SalesByUTMDaily[day],TableDailySummary[[#This Row],[Fecha]])</f>
        <v>0</v>
      </c>
      <c r="AB961" s="11">
        <f>TableDailySummary[[#This Row],[Inversión google ads]]+TableDailySummary[[#This Row],[Inversión meta ads]]</f>
        <v>0</v>
      </c>
      <c r="AC961" s="11">
        <f>TableDailySummary[[#This Row],[Ventas google ads]]+TableDailySummary[[#This Row],[Ventas meta ads]]</f>
        <v>0</v>
      </c>
      <c r="AD961" s="14">
        <f>IFERROR(TableDailySummary[[#This Row],[Ventas publicidad]]/TableDailySummary[[#This Row],[Inversión publicidad]],0)</f>
        <v>0</v>
      </c>
      <c r="AE961" s="14">
        <f>IFERROR(TableDailySummary[[#This Row],[Ventas primer cliente]]/TableDailySummary[[#This Row],[Inversión publicidad]],0)</f>
        <v>0</v>
      </c>
      <c r="AF961" s="14"/>
      <c r="AG961" s="11"/>
      <c r="AM961" s="11">
        <f>_xlfn.XLOOKUP(TableDailySummary[[#This Row],[Fecha]],SummaryDaily[day],SummaryDaily[net_sales_with_cost_recorded],0)</f>
        <v>0</v>
      </c>
      <c r="AN961" s="11">
        <f>_xlfn.XLOOKUP(TableDailySummary[[#This Row],[Fecha]],SummaryDaily[day],SummaryDaily[cost_of_goods_sold],0)</f>
        <v>0</v>
      </c>
      <c r="AO961" s="11">
        <f>_xlfn.XLOOKUP(TableDailySummary[[#This Row],[Fecha]],SummaryDaily[day],SummaryDaily[gross_profit],0)</f>
        <v>0</v>
      </c>
      <c r="AP961" s="18">
        <f>IFERROR(TableDailySummary[[#This Row],[Utilidad bruta]]/TableDailySummary[[#This Row],[Ventas netas con costo registrado]],0)</f>
        <v>0</v>
      </c>
    </row>
    <row r="962" spans="2:42" x14ac:dyDescent="0.2">
      <c r="B962" s="15" cm="1">
        <f t="array" ref="B962">ParamFechaInicioReporte + (ROW(TableDailySummary[#This Row]) - ROW(TableDailySummary[[#Headers],[Dia]]) - 1)</f>
        <v>45489</v>
      </c>
      <c r="C962" s="6">
        <f>TableDailySummary[[#This Row],[Dia]]</f>
        <v>45489</v>
      </c>
      <c r="D962" s="11">
        <f>_xlfn.XLOOKUP(TableDailySummary[[#This Row],[Fecha]],SummaryDaily[day],SummaryDaily[net_sales],0)</f>
        <v>0</v>
      </c>
      <c r="E962" s="11">
        <f>_xlfn.XLOOKUP(TableDailySummary[[#This Row],[Fecha]],SummaryDaily[day],SummaryDaily[orders],0)</f>
        <v>0</v>
      </c>
      <c r="F962" s="11">
        <f>_xlfn.XLOOKUP(TableDailySummary[[#This Row],[Fecha]],SummaryDaily[day],SummaryDaily[average_order_value],0)</f>
        <v>0</v>
      </c>
      <c r="G962" s="24" cm="1">
        <f t="array" ref="G962">_xlfn.XLOOKUP(TableDailySummary[[#This Row],[Fecha]]&amp;"Total site",ConversionRateByReferral[day]&amp;ConversionRateByReferral[referrer_source],ConversionRateByReferral[conversion_rate],0)</f>
        <v>0</v>
      </c>
      <c r="H962" s="11">
        <f>TableDailySummary[[#This Row],[Órden promedio totales]]*TableDailySummary[[#This Row],[CR totales]]</f>
        <v>0</v>
      </c>
      <c r="I962" s="11">
        <f>_xlfn.XLOOKUP(TableDailySummary[[#This Row],[Fecha]],SummaryDaily[day],SummaryDaily[new_net_sales],0)</f>
        <v>0</v>
      </c>
      <c r="J962" s="11">
        <f>_xlfn.XLOOKUP(TableDailySummary[[#This Row],[Fecha]],SummaryDaily[day],SummaryDaily[new_orders],0)</f>
        <v>0</v>
      </c>
      <c r="K962" s="11">
        <f>_xlfn.XLOOKUP(TableDailySummary[[#This Row],[Fecha]],SummaryDaily[day],SummaryDaily[new_average_order_value],0)</f>
        <v>0</v>
      </c>
      <c r="L962" s="11">
        <f>_xlfn.XLOOKUP(TableDailySummary[[#This Row],[Fecha]],SummaryDaily[day],SummaryDaily[Online Store_net_sales],0)</f>
        <v>0</v>
      </c>
      <c r="M962" s="11">
        <f>_xlfn.XLOOKUP(TableDailySummary[[#This Row],[Fecha]],SummaryDaily[day],SummaryDaily[Online Store_orders],0)</f>
        <v>0</v>
      </c>
      <c r="N962" s="11">
        <f>_xlfn.XLOOKUP(TableDailySummary[[#This Row],[Fecha]],SummaryDaily[day],SummaryDaily[Online Store_average_order_value],0)</f>
        <v>0</v>
      </c>
      <c r="O962" s="11">
        <f>_xlfn.XLOOKUP(TableDailySummary[[#This Row],[Fecha]],SummaryDaily[day],SummaryDaily[Tienda 81_net_sales],0)</f>
        <v>0</v>
      </c>
      <c r="P962" s="11">
        <f>_xlfn.XLOOKUP(TableDailySummary[[#This Row],[Fecha]],SummaryDaily[day],SummaryDaily[Tienda 81_orders],0)</f>
        <v>0</v>
      </c>
      <c r="Q962" s="11">
        <f>_xlfn.XLOOKUP(TableDailySummary[[#This Row],[Fecha]],SummaryDaily[day],SummaryDaily[Tienda 81_average_order_value],0)</f>
        <v>0</v>
      </c>
      <c r="R962" s="11">
        <f>_xlfn.XLOOKUP(TableDailySummary[[#This Row],[Fecha]],SummaryDaily[day],SummaryDaily[Rappi_net_sales],0)</f>
        <v>0</v>
      </c>
      <c r="S962" s="11">
        <f>_xlfn.XLOOKUP(TableDailySummary[[#This Row],[Fecha]],SummaryDaily[day],SummaryDaily[Rappi_orders],0)</f>
        <v>0</v>
      </c>
      <c r="T962" s="11">
        <f>_xlfn.XLOOKUP(TableDailySummary[[#This Row],[Fecha]],SummaryDaily[day],SummaryDaily[Rappi_average_order_value],0)</f>
        <v>0</v>
      </c>
      <c r="U962" s="11">
        <f>_xlfn.XLOOKUP(TableDailySummary[[#This Row],[Fecha]],SummaryDaily[day],SummaryDaily[Corporativo no tienda_net_sales],0)</f>
        <v>0</v>
      </c>
      <c r="V962" s="11">
        <f>_xlfn.XLOOKUP(TableDailySummary[[#This Row],[Fecha]],SummaryDaily[day],SummaryDaily[Corporativo no tienda_orders],0)</f>
        <v>0</v>
      </c>
      <c r="W962" s="11">
        <f>_xlfn.XLOOKUP(TableDailySummary[[#This Row],[Fecha]],SummaryDaily[day],SummaryDaily[Corporativo no tienda_average_order_value],0)</f>
        <v>0</v>
      </c>
      <c r="X962" s="11">
        <f>_xlfn.XLOOKUP(TableDailySummary[[#This Row],[Fecha]],SummaryDaily[day],SummaryDaily[GoogleAdsOperation.Cost],0)</f>
        <v>0</v>
      </c>
      <c r="Y962" s="11">
        <f>SUMIFS(SalesByUTMDaily[google],SalesByUTMDaily[day],TableDailySummary[[#This Row],[Fecha]])</f>
        <v>0</v>
      </c>
      <c r="Z962" s="11">
        <f>_xlfn.XLOOKUP(TableDailySummary[[#This Row],[Fecha]],SummaryDaily[day],SummaryDaily[MetaAdsOperation.spend],0)</f>
        <v>0</v>
      </c>
      <c r="AA962" s="11">
        <f>SUMIFS(SalesByUTMDaily[facebook],SalesByUTMDaily[day],TableDailySummary[[#This Row],[Fecha]])</f>
        <v>0</v>
      </c>
      <c r="AB962" s="11">
        <f>TableDailySummary[[#This Row],[Inversión google ads]]+TableDailySummary[[#This Row],[Inversión meta ads]]</f>
        <v>0</v>
      </c>
      <c r="AC962" s="11">
        <f>TableDailySummary[[#This Row],[Ventas google ads]]+TableDailySummary[[#This Row],[Ventas meta ads]]</f>
        <v>0</v>
      </c>
      <c r="AD962" s="14">
        <f>IFERROR(TableDailySummary[[#This Row],[Ventas publicidad]]/TableDailySummary[[#This Row],[Inversión publicidad]],0)</f>
        <v>0</v>
      </c>
      <c r="AE962" s="14">
        <f>IFERROR(TableDailySummary[[#This Row],[Ventas primer cliente]]/TableDailySummary[[#This Row],[Inversión publicidad]],0)</f>
        <v>0</v>
      </c>
      <c r="AF962" s="14"/>
      <c r="AG962" s="11"/>
      <c r="AM962" s="11">
        <f>_xlfn.XLOOKUP(TableDailySummary[[#This Row],[Fecha]],SummaryDaily[day],SummaryDaily[net_sales_with_cost_recorded],0)</f>
        <v>0</v>
      </c>
      <c r="AN962" s="11">
        <f>_xlfn.XLOOKUP(TableDailySummary[[#This Row],[Fecha]],SummaryDaily[day],SummaryDaily[cost_of_goods_sold],0)</f>
        <v>0</v>
      </c>
      <c r="AO962" s="11">
        <f>_xlfn.XLOOKUP(TableDailySummary[[#This Row],[Fecha]],SummaryDaily[day],SummaryDaily[gross_profit],0)</f>
        <v>0</v>
      </c>
      <c r="AP962" s="18">
        <f>IFERROR(TableDailySummary[[#This Row],[Utilidad bruta]]/TableDailySummary[[#This Row],[Ventas netas con costo registrado]],0)</f>
        <v>0</v>
      </c>
    </row>
    <row r="963" spans="2:42" x14ac:dyDescent="0.2">
      <c r="B963" s="15" cm="1">
        <f t="array" ref="B963">ParamFechaInicioReporte + (ROW(TableDailySummary[#This Row]) - ROW(TableDailySummary[[#Headers],[Dia]]) - 1)</f>
        <v>45490</v>
      </c>
      <c r="C963" s="6">
        <f>TableDailySummary[[#This Row],[Dia]]</f>
        <v>45490</v>
      </c>
      <c r="D963" s="11">
        <f>_xlfn.XLOOKUP(TableDailySummary[[#This Row],[Fecha]],SummaryDaily[day],SummaryDaily[net_sales],0)</f>
        <v>0</v>
      </c>
      <c r="E963" s="11">
        <f>_xlfn.XLOOKUP(TableDailySummary[[#This Row],[Fecha]],SummaryDaily[day],SummaryDaily[orders],0)</f>
        <v>0</v>
      </c>
      <c r="F963" s="11">
        <f>_xlfn.XLOOKUP(TableDailySummary[[#This Row],[Fecha]],SummaryDaily[day],SummaryDaily[average_order_value],0)</f>
        <v>0</v>
      </c>
      <c r="G963" s="24" cm="1">
        <f t="array" ref="G963">_xlfn.XLOOKUP(TableDailySummary[[#This Row],[Fecha]]&amp;"Total site",ConversionRateByReferral[day]&amp;ConversionRateByReferral[referrer_source],ConversionRateByReferral[conversion_rate],0)</f>
        <v>0</v>
      </c>
      <c r="H963" s="11">
        <f>TableDailySummary[[#This Row],[Órden promedio totales]]*TableDailySummary[[#This Row],[CR totales]]</f>
        <v>0</v>
      </c>
      <c r="I963" s="11">
        <f>_xlfn.XLOOKUP(TableDailySummary[[#This Row],[Fecha]],SummaryDaily[day],SummaryDaily[new_net_sales],0)</f>
        <v>0</v>
      </c>
      <c r="J963" s="11">
        <f>_xlfn.XLOOKUP(TableDailySummary[[#This Row],[Fecha]],SummaryDaily[day],SummaryDaily[new_orders],0)</f>
        <v>0</v>
      </c>
      <c r="K963" s="11">
        <f>_xlfn.XLOOKUP(TableDailySummary[[#This Row],[Fecha]],SummaryDaily[day],SummaryDaily[new_average_order_value],0)</f>
        <v>0</v>
      </c>
      <c r="L963" s="11">
        <f>_xlfn.XLOOKUP(TableDailySummary[[#This Row],[Fecha]],SummaryDaily[day],SummaryDaily[Online Store_net_sales],0)</f>
        <v>0</v>
      </c>
      <c r="M963" s="11">
        <f>_xlfn.XLOOKUP(TableDailySummary[[#This Row],[Fecha]],SummaryDaily[day],SummaryDaily[Online Store_orders],0)</f>
        <v>0</v>
      </c>
      <c r="N963" s="11">
        <f>_xlfn.XLOOKUP(TableDailySummary[[#This Row],[Fecha]],SummaryDaily[day],SummaryDaily[Online Store_average_order_value],0)</f>
        <v>0</v>
      </c>
      <c r="O963" s="11">
        <f>_xlfn.XLOOKUP(TableDailySummary[[#This Row],[Fecha]],SummaryDaily[day],SummaryDaily[Tienda 81_net_sales],0)</f>
        <v>0</v>
      </c>
      <c r="P963" s="11">
        <f>_xlfn.XLOOKUP(TableDailySummary[[#This Row],[Fecha]],SummaryDaily[day],SummaryDaily[Tienda 81_orders],0)</f>
        <v>0</v>
      </c>
      <c r="Q963" s="11">
        <f>_xlfn.XLOOKUP(TableDailySummary[[#This Row],[Fecha]],SummaryDaily[day],SummaryDaily[Tienda 81_average_order_value],0)</f>
        <v>0</v>
      </c>
      <c r="R963" s="11">
        <f>_xlfn.XLOOKUP(TableDailySummary[[#This Row],[Fecha]],SummaryDaily[day],SummaryDaily[Rappi_net_sales],0)</f>
        <v>0</v>
      </c>
      <c r="S963" s="11">
        <f>_xlfn.XLOOKUP(TableDailySummary[[#This Row],[Fecha]],SummaryDaily[day],SummaryDaily[Rappi_orders],0)</f>
        <v>0</v>
      </c>
      <c r="T963" s="11">
        <f>_xlfn.XLOOKUP(TableDailySummary[[#This Row],[Fecha]],SummaryDaily[day],SummaryDaily[Rappi_average_order_value],0)</f>
        <v>0</v>
      </c>
      <c r="U963" s="11">
        <f>_xlfn.XLOOKUP(TableDailySummary[[#This Row],[Fecha]],SummaryDaily[day],SummaryDaily[Corporativo no tienda_net_sales],0)</f>
        <v>0</v>
      </c>
      <c r="V963" s="11">
        <f>_xlfn.XLOOKUP(TableDailySummary[[#This Row],[Fecha]],SummaryDaily[day],SummaryDaily[Corporativo no tienda_orders],0)</f>
        <v>0</v>
      </c>
      <c r="W963" s="11">
        <f>_xlfn.XLOOKUP(TableDailySummary[[#This Row],[Fecha]],SummaryDaily[day],SummaryDaily[Corporativo no tienda_average_order_value],0)</f>
        <v>0</v>
      </c>
      <c r="X963" s="11">
        <f>_xlfn.XLOOKUP(TableDailySummary[[#This Row],[Fecha]],SummaryDaily[day],SummaryDaily[GoogleAdsOperation.Cost],0)</f>
        <v>0</v>
      </c>
      <c r="Y963" s="11">
        <f>SUMIFS(SalesByUTMDaily[google],SalesByUTMDaily[day],TableDailySummary[[#This Row],[Fecha]])</f>
        <v>0</v>
      </c>
      <c r="Z963" s="11">
        <f>_xlfn.XLOOKUP(TableDailySummary[[#This Row],[Fecha]],SummaryDaily[day],SummaryDaily[MetaAdsOperation.spend],0)</f>
        <v>0</v>
      </c>
      <c r="AA963" s="11">
        <f>SUMIFS(SalesByUTMDaily[facebook],SalesByUTMDaily[day],TableDailySummary[[#This Row],[Fecha]])</f>
        <v>0</v>
      </c>
      <c r="AB963" s="11">
        <f>TableDailySummary[[#This Row],[Inversión google ads]]+TableDailySummary[[#This Row],[Inversión meta ads]]</f>
        <v>0</v>
      </c>
      <c r="AC963" s="11">
        <f>TableDailySummary[[#This Row],[Ventas google ads]]+TableDailySummary[[#This Row],[Ventas meta ads]]</f>
        <v>0</v>
      </c>
      <c r="AD963" s="14">
        <f>IFERROR(TableDailySummary[[#This Row],[Ventas publicidad]]/TableDailySummary[[#This Row],[Inversión publicidad]],0)</f>
        <v>0</v>
      </c>
      <c r="AE963" s="14">
        <f>IFERROR(TableDailySummary[[#This Row],[Ventas primer cliente]]/TableDailySummary[[#This Row],[Inversión publicidad]],0)</f>
        <v>0</v>
      </c>
      <c r="AF963" s="14"/>
      <c r="AG963" s="11"/>
      <c r="AM963" s="11">
        <f>_xlfn.XLOOKUP(TableDailySummary[[#This Row],[Fecha]],SummaryDaily[day],SummaryDaily[net_sales_with_cost_recorded],0)</f>
        <v>0</v>
      </c>
      <c r="AN963" s="11">
        <f>_xlfn.XLOOKUP(TableDailySummary[[#This Row],[Fecha]],SummaryDaily[day],SummaryDaily[cost_of_goods_sold],0)</f>
        <v>0</v>
      </c>
      <c r="AO963" s="11">
        <f>_xlfn.XLOOKUP(TableDailySummary[[#This Row],[Fecha]],SummaryDaily[day],SummaryDaily[gross_profit],0)</f>
        <v>0</v>
      </c>
      <c r="AP963" s="18">
        <f>IFERROR(TableDailySummary[[#This Row],[Utilidad bruta]]/TableDailySummary[[#This Row],[Ventas netas con costo registrado]],0)</f>
        <v>0</v>
      </c>
    </row>
    <row r="964" spans="2:42" x14ac:dyDescent="0.2">
      <c r="B964" s="15" cm="1">
        <f t="array" ref="B964">ParamFechaInicioReporte + (ROW(TableDailySummary[#This Row]) - ROW(TableDailySummary[[#Headers],[Dia]]) - 1)</f>
        <v>45491</v>
      </c>
      <c r="C964" s="6">
        <f>TableDailySummary[[#This Row],[Dia]]</f>
        <v>45491</v>
      </c>
      <c r="D964" s="11">
        <f>_xlfn.XLOOKUP(TableDailySummary[[#This Row],[Fecha]],SummaryDaily[day],SummaryDaily[net_sales],0)</f>
        <v>0</v>
      </c>
      <c r="E964" s="11">
        <f>_xlfn.XLOOKUP(TableDailySummary[[#This Row],[Fecha]],SummaryDaily[day],SummaryDaily[orders],0)</f>
        <v>0</v>
      </c>
      <c r="F964" s="11">
        <f>_xlfn.XLOOKUP(TableDailySummary[[#This Row],[Fecha]],SummaryDaily[day],SummaryDaily[average_order_value],0)</f>
        <v>0</v>
      </c>
      <c r="G964" s="24" cm="1">
        <f t="array" ref="G964">_xlfn.XLOOKUP(TableDailySummary[[#This Row],[Fecha]]&amp;"Total site",ConversionRateByReferral[day]&amp;ConversionRateByReferral[referrer_source],ConversionRateByReferral[conversion_rate],0)</f>
        <v>0</v>
      </c>
      <c r="H964" s="11">
        <f>TableDailySummary[[#This Row],[Órden promedio totales]]*TableDailySummary[[#This Row],[CR totales]]</f>
        <v>0</v>
      </c>
      <c r="I964" s="11">
        <f>_xlfn.XLOOKUP(TableDailySummary[[#This Row],[Fecha]],SummaryDaily[day],SummaryDaily[new_net_sales],0)</f>
        <v>0</v>
      </c>
      <c r="J964" s="11">
        <f>_xlfn.XLOOKUP(TableDailySummary[[#This Row],[Fecha]],SummaryDaily[day],SummaryDaily[new_orders],0)</f>
        <v>0</v>
      </c>
      <c r="K964" s="11">
        <f>_xlfn.XLOOKUP(TableDailySummary[[#This Row],[Fecha]],SummaryDaily[day],SummaryDaily[new_average_order_value],0)</f>
        <v>0</v>
      </c>
      <c r="L964" s="11">
        <f>_xlfn.XLOOKUP(TableDailySummary[[#This Row],[Fecha]],SummaryDaily[day],SummaryDaily[Online Store_net_sales],0)</f>
        <v>0</v>
      </c>
      <c r="M964" s="11">
        <f>_xlfn.XLOOKUP(TableDailySummary[[#This Row],[Fecha]],SummaryDaily[day],SummaryDaily[Online Store_orders],0)</f>
        <v>0</v>
      </c>
      <c r="N964" s="11">
        <f>_xlfn.XLOOKUP(TableDailySummary[[#This Row],[Fecha]],SummaryDaily[day],SummaryDaily[Online Store_average_order_value],0)</f>
        <v>0</v>
      </c>
      <c r="O964" s="11">
        <f>_xlfn.XLOOKUP(TableDailySummary[[#This Row],[Fecha]],SummaryDaily[day],SummaryDaily[Tienda 81_net_sales],0)</f>
        <v>0</v>
      </c>
      <c r="P964" s="11">
        <f>_xlfn.XLOOKUP(TableDailySummary[[#This Row],[Fecha]],SummaryDaily[day],SummaryDaily[Tienda 81_orders],0)</f>
        <v>0</v>
      </c>
      <c r="Q964" s="11">
        <f>_xlfn.XLOOKUP(TableDailySummary[[#This Row],[Fecha]],SummaryDaily[day],SummaryDaily[Tienda 81_average_order_value],0)</f>
        <v>0</v>
      </c>
      <c r="R964" s="11">
        <f>_xlfn.XLOOKUP(TableDailySummary[[#This Row],[Fecha]],SummaryDaily[day],SummaryDaily[Rappi_net_sales],0)</f>
        <v>0</v>
      </c>
      <c r="S964" s="11">
        <f>_xlfn.XLOOKUP(TableDailySummary[[#This Row],[Fecha]],SummaryDaily[day],SummaryDaily[Rappi_orders],0)</f>
        <v>0</v>
      </c>
      <c r="T964" s="11">
        <f>_xlfn.XLOOKUP(TableDailySummary[[#This Row],[Fecha]],SummaryDaily[day],SummaryDaily[Rappi_average_order_value],0)</f>
        <v>0</v>
      </c>
      <c r="U964" s="11">
        <f>_xlfn.XLOOKUP(TableDailySummary[[#This Row],[Fecha]],SummaryDaily[day],SummaryDaily[Corporativo no tienda_net_sales],0)</f>
        <v>0</v>
      </c>
      <c r="V964" s="11">
        <f>_xlfn.XLOOKUP(TableDailySummary[[#This Row],[Fecha]],SummaryDaily[day],SummaryDaily[Corporativo no tienda_orders],0)</f>
        <v>0</v>
      </c>
      <c r="W964" s="11">
        <f>_xlfn.XLOOKUP(TableDailySummary[[#This Row],[Fecha]],SummaryDaily[day],SummaryDaily[Corporativo no tienda_average_order_value],0)</f>
        <v>0</v>
      </c>
      <c r="X964" s="11">
        <f>_xlfn.XLOOKUP(TableDailySummary[[#This Row],[Fecha]],SummaryDaily[day],SummaryDaily[GoogleAdsOperation.Cost],0)</f>
        <v>0</v>
      </c>
      <c r="Y964" s="11">
        <f>SUMIFS(SalesByUTMDaily[google],SalesByUTMDaily[day],TableDailySummary[[#This Row],[Fecha]])</f>
        <v>0</v>
      </c>
      <c r="Z964" s="11">
        <f>_xlfn.XLOOKUP(TableDailySummary[[#This Row],[Fecha]],SummaryDaily[day],SummaryDaily[MetaAdsOperation.spend],0)</f>
        <v>0</v>
      </c>
      <c r="AA964" s="11">
        <f>SUMIFS(SalesByUTMDaily[facebook],SalesByUTMDaily[day],TableDailySummary[[#This Row],[Fecha]])</f>
        <v>0</v>
      </c>
      <c r="AB964" s="11">
        <f>TableDailySummary[[#This Row],[Inversión google ads]]+TableDailySummary[[#This Row],[Inversión meta ads]]</f>
        <v>0</v>
      </c>
      <c r="AC964" s="11">
        <f>TableDailySummary[[#This Row],[Ventas google ads]]+TableDailySummary[[#This Row],[Ventas meta ads]]</f>
        <v>0</v>
      </c>
      <c r="AD964" s="14">
        <f>IFERROR(TableDailySummary[[#This Row],[Ventas publicidad]]/TableDailySummary[[#This Row],[Inversión publicidad]],0)</f>
        <v>0</v>
      </c>
      <c r="AE964" s="14">
        <f>IFERROR(TableDailySummary[[#This Row],[Ventas primer cliente]]/TableDailySummary[[#This Row],[Inversión publicidad]],0)</f>
        <v>0</v>
      </c>
      <c r="AF964" s="14"/>
      <c r="AG964" s="11"/>
      <c r="AM964" s="11">
        <f>_xlfn.XLOOKUP(TableDailySummary[[#This Row],[Fecha]],SummaryDaily[day],SummaryDaily[net_sales_with_cost_recorded],0)</f>
        <v>0</v>
      </c>
      <c r="AN964" s="11">
        <f>_xlfn.XLOOKUP(TableDailySummary[[#This Row],[Fecha]],SummaryDaily[day],SummaryDaily[cost_of_goods_sold],0)</f>
        <v>0</v>
      </c>
      <c r="AO964" s="11">
        <f>_xlfn.XLOOKUP(TableDailySummary[[#This Row],[Fecha]],SummaryDaily[day],SummaryDaily[gross_profit],0)</f>
        <v>0</v>
      </c>
      <c r="AP964" s="18">
        <f>IFERROR(TableDailySummary[[#This Row],[Utilidad bruta]]/TableDailySummary[[#This Row],[Ventas netas con costo registrado]],0)</f>
        <v>0</v>
      </c>
    </row>
    <row r="965" spans="2:42" x14ac:dyDescent="0.2">
      <c r="B965" s="15" cm="1">
        <f t="array" ref="B965">ParamFechaInicioReporte + (ROW(TableDailySummary[#This Row]) - ROW(TableDailySummary[[#Headers],[Dia]]) - 1)</f>
        <v>45492</v>
      </c>
      <c r="C965" s="6">
        <f>TableDailySummary[[#This Row],[Dia]]</f>
        <v>45492</v>
      </c>
      <c r="D965" s="11">
        <f>_xlfn.XLOOKUP(TableDailySummary[[#This Row],[Fecha]],SummaryDaily[day],SummaryDaily[net_sales],0)</f>
        <v>0</v>
      </c>
      <c r="E965" s="11">
        <f>_xlfn.XLOOKUP(TableDailySummary[[#This Row],[Fecha]],SummaryDaily[day],SummaryDaily[orders],0)</f>
        <v>0</v>
      </c>
      <c r="F965" s="11">
        <f>_xlfn.XLOOKUP(TableDailySummary[[#This Row],[Fecha]],SummaryDaily[day],SummaryDaily[average_order_value],0)</f>
        <v>0</v>
      </c>
      <c r="G965" s="24" cm="1">
        <f t="array" ref="G965">_xlfn.XLOOKUP(TableDailySummary[[#This Row],[Fecha]]&amp;"Total site",ConversionRateByReferral[day]&amp;ConversionRateByReferral[referrer_source],ConversionRateByReferral[conversion_rate],0)</f>
        <v>0</v>
      </c>
      <c r="H965" s="11">
        <f>TableDailySummary[[#This Row],[Órden promedio totales]]*TableDailySummary[[#This Row],[CR totales]]</f>
        <v>0</v>
      </c>
      <c r="I965" s="11">
        <f>_xlfn.XLOOKUP(TableDailySummary[[#This Row],[Fecha]],SummaryDaily[day],SummaryDaily[new_net_sales],0)</f>
        <v>0</v>
      </c>
      <c r="J965" s="11">
        <f>_xlfn.XLOOKUP(TableDailySummary[[#This Row],[Fecha]],SummaryDaily[day],SummaryDaily[new_orders],0)</f>
        <v>0</v>
      </c>
      <c r="K965" s="11">
        <f>_xlfn.XLOOKUP(TableDailySummary[[#This Row],[Fecha]],SummaryDaily[day],SummaryDaily[new_average_order_value],0)</f>
        <v>0</v>
      </c>
      <c r="L965" s="11">
        <f>_xlfn.XLOOKUP(TableDailySummary[[#This Row],[Fecha]],SummaryDaily[day],SummaryDaily[Online Store_net_sales],0)</f>
        <v>0</v>
      </c>
      <c r="M965" s="11">
        <f>_xlfn.XLOOKUP(TableDailySummary[[#This Row],[Fecha]],SummaryDaily[day],SummaryDaily[Online Store_orders],0)</f>
        <v>0</v>
      </c>
      <c r="N965" s="11">
        <f>_xlfn.XLOOKUP(TableDailySummary[[#This Row],[Fecha]],SummaryDaily[day],SummaryDaily[Online Store_average_order_value],0)</f>
        <v>0</v>
      </c>
      <c r="O965" s="11">
        <f>_xlfn.XLOOKUP(TableDailySummary[[#This Row],[Fecha]],SummaryDaily[day],SummaryDaily[Tienda 81_net_sales],0)</f>
        <v>0</v>
      </c>
      <c r="P965" s="11">
        <f>_xlfn.XLOOKUP(TableDailySummary[[#This Row],[Fecha]],SummaryDaily[day],SummaryDaily[Tienda 81_orders],0)</f>
        <v>0</v>
      </c>
      <c r="Q965" s="11">
        <f>_xlfn.XLOOKUP(TableDailySummary[[#This Row],[Fecha]],SummaryDaily[day],SummaryDaily[Tienda 81_average_order_value],0)</f>
        <v>0</v>
      </c>
      <c r="R965" s="11">
        <f>_xlfn.XLOOKUP(TableDailySummary[[#This Row],[Fecha]],SummaryDaily[day],SummaryDaily[Rappi_net_sales],0)</f>
        <v>0</v>
      </c>
      <c r="S965" s="11">
        <f>_xlfn.XLOOKUP(TableDailySummary[[#This Row],[Fecha]],SummaryDaily[day],SummaryDaily[Rappi_orders],0)</f>
        <v>0</v>
      </c>
      <c r="T965" s="11">
        <f>_xlfn.XLOOKUP(TableDailySummary[[#This Row],[Fecha]],SummaryDaily[day],SummaryDaily[Rappi_average_order_value],0)</f>
        <v>0</v>
      </c>
      <c r="U965" s="11">
        <f>_xlfn.XLOOKUP(TableDailySummary[[#This Row],[Fecha]],SummaryDaily[day],SummaryDaily[Corporativo no tienda_net_sales],0)</f>
        <v>0</v>
      </c>
      <c r="V965" s="11">
        <f>_xlfn.XLOOKUP(TableDailySummary[[#This Row],[Fecha]],SummaryDaily[day],SummaryDaily[Corporativo no tienda_orders],0)</f>
        <v>0</v>
      </c>
      <c r="W965" s="11">
        <f>_xlfn.XLOOKUP(TableDailySummary[[#This Row],[Fecha]],SummaryDaily[day],SummaryDaily[Corporativo no tienda_average_order_value],0)</f>
        <v>0</v>
      </c>
      <c r="X965" s="11">
        <f>_xlfn.XLOOKUP(TableDailySummary[[#This Row],[Fecha]],SummaryDaily[day],SummaryDaily[GoogleAdsOperation.Cost],0)</f>
        <v>0</v>
      </c>
      <c r="Y965" s="11">
        <f>SUMIFS(SalesByUTMDaily[google],SalesByUTMDaily[day],TableDailySummary[[#This Row],[Fecha]])</f>
        <v>0</v>
      </c>
      <c r="Z965" s="11">
        <f>_xlfn.XLOOKUP(TableDailySummary[[#This Row],[Fecha]],SummaryDaily[day],SummaryDaily[MetaAdsOperation.spend],0)</f>
        <v>0</v>
      </c>
      <c r="AA965" s="11">
        <f>SUMIFS(SalesByUTMDaily[facebook],SalesByUTMDaily[day],TableDailySummary[[#This Row],[Fecha]])</f>
        <v>0</v>
      </c>
      <c r="AB965" s="11">
        <f>TableDailySummary[[#This Row],[Inversión google ads]]+TableDailySummary[[#This Row],[Inversión meta ads]]</f>
        <v>0</v>
      </c>
      <c r="AC965" s="11">
        <f>TableDailySummary[[#This Row],[Ventas google ads]]+TableDailySummary[[#This Row],[Ventas meta ads]]</f>
        <v>0</v>
      </c>
      <c r="AD965" s="14">
        <f>IFERROR(TableDailySummary[[#This Row],[Ventas publicidad]]/TableDailySummary[[#This Row],[Inversión publicidad]],0)</f>
        <v>0</v>
      </c>
      <c r="AE965" s="14">
        <f>IFERROR(TableDailySummary[[#This Row],[Ventas primer cliente]]/TableDailySummary[[#This Row],[Inversión publicidad]],0)</f>
        <v>0</v>
      </c>
      <c r="AF965" s="14"/>
      <c r="AG965" s="11"/>
      <c r="AM965" s="11">
        <f>_xlfn.XLOOKUP(TableDailySummary[[#This Row],[Fecha]],SummaryDaily[day],SummaryDaily[net_sales_with_cost_recorded],0)</f>
        <v>0</v>
      </c>
      <c r="AN965" s="11">
        <f>_xlfn.XLOOKUP(TableDailySummary[[#This Row],[Fecha]],SummaryDaily[day],SummaryDaily[cost_of_goods_sold],0)</f>
        <v>0</v>
      </c>
      <c r="AO965" s="11">
        <f>_xlfn.XLOOKUP(TableDailySummary[[#This Row],[Fecha]],SummaryDaily[day],SummaryDaily[gross_profit],0)</f>
        <v>0</v>
      </c>
      <c r="AP965" s="18">
        <f>IFERROR(TableDailySummary[[#This Row],[Utilidad bruta]]/TableDailySummary[[#This Row],[Ventas netas con costo registrado]],0)</f>
        <v>0</v>
      </c>
    </row>
    <row r="966" spans="2:42" x14ac:dyDescent="0.2">
      <c r="B966" s="15" cm="1">
        <f t="array" ref="B966">ParamFechaInicioReporte + (ROW(TableDailySummary[#This Row]) - ROW(TableDailySummary[[#Headers],[Dia]]) - 1)</f>
        <v>45493</v>
      </c>
      <c r="C966" s="6">
        <f>TableDailySummary[[#This Row],[Dia]]</f>
        <v>45493</v>
      </c>
      <c r="D966" s="11">
        <f>_xlfn.XLOOKUP(TableDailySummary[[#This Row],[Fecha]],SummaryDaily[day],SummaryDaily[net_sales],0)</f>
        <v>0</v>
      </c>
      <c r="E966" s="11">
        <f>_xlfn.XLOOKUP(TableDailySummary[[#This Row],[Fecha]],SummaryDaily[day],SummaryDaily[orders],0)</f>
        <v>0</v>
      </c>
      <c r="F966" s="11">
        <f>_xlfn.XLOOKUP(TableDailySummary[[#This Row],[Fecha]],SummaryDaily[day],SummaryDaily[average_order_value],0)</f>
        <v>0</v>
      </c>
      <c r="G966" s="24" cm="1">
        <f t="array" ref="G966">_xlfn.XLOOKUP(TableDailySummary[[#This Row],[Fecha]]&amp;"Total site",ConversionRateByReferral[day]&amp;ConversionRateByReferral[referrer_source],ConversionRateByReferral[conversion_rate],0)</f>
        <v>0</v>
      </c>
      <c r="H966" s="11">
        <f>TableDailySummary[[#This Row],[Órden promedio totales]]*TableDailySummary[[#This Row],[CR totales]]</f>
        <v>0</v>
      </c>
      <c r="I966" s="11">
        <f>_xlfn.XLOOKUP(TableDailySummary[[#This Row],[Fecha]],SummaryDaily[day],SummaryDaily[new_net_sales],0)</f>
        <v>0</v>
      </c>
      <c r="J966" s="11">
        <f>_xlfn.XLOOKUP(TableDailySummary[[#This Row],[Fecha]],SummaryDaily[day],SummaryDaily[new_orders],0)</f>
        <v>0</v>
      </c>
      <c r="K966" s="11">
        <f>_xlfn.XLOOKUP(TableDailySummary[[#This Row],[Fecha]],SummaryDaily[day],SummaryDaily[new_average_order_value],0)</f>
        <v>0</v>
      </c>
      <c r="L966" s="11">
        <f>_xlfn.XLOOKUP(TableDailySummary[[#This Row],[Fecha]],SummaryDaily[day],SummaryDaily[Online Store_net_sales],0)</f>
        <v>0</v>
      </c>
      <c r="M966" s="11">
        <f>_xlfn.XLOOKUP(TableDailySummary[[#This Row],[Fecha]],SummaryDaily[day],SummaryDaily[Online Store_orders],0)</f>
        <v>0</v>
      </c>
      <c r="N966" s="11">
        <f>_xlfn.XLOOKUP(TableDailySummary[[#This Row],[Fecha]],SummaryDaily[day],SummaryDaily[Online Store_average_order_value],0)</f>
        <v>0</v>
      </c>
      <c r="O966" s="11">
        <f>_xlfn.XLOOKUP(TableDailySummary[[#This Row],[Fecha]],SummaryDaily[day],SummaryDaily[Tienda 81_net_sales],0)</f>
        <v>0</v>
      </c>
      <c r="P966" s="11">
        <f>_xlfn.XLOOKUP(TableDailySummary[[#This Row],[Fecha]],SummaryDaily[day],SummaryDaily[Tienda 81_orders],0)</f>
        <v>0</v>
      </c>
      <c r="Q966" s="11">
        <f>_xlfn.XLOOKUP(TableDailySummary[[#This Row],[Fecha]],SummaryDaily[day],SummaryDaily[Tienda 81_average_order_value],0)</f>
        <v>0</v>
      </c>
      <c r="R966" s="11">
        <f>_xlfn.XLOOKUP(TableDailySummary[[#This Row],[Fecha]],SummaryDaily[day],SummaryDaily[Rappi_net_sales],0)</f>
        <v>0</v>
      </c>
      <c r="S966" s="11">
        <f>_xlfn.XLOOKUP(TableDailySummary[[#This Row],[Fecha]],SummaryDaily[day],SummaryDaily[Rappi_orders],0)</f>
        <v>0</v>
      </c>
      <c r="T966" s="11">
        <f>_xlfn.XLOOKUP(TableDailySummary[[#This Row],[Fecha]],SummaryDaily[day],SummaryDaily[Rappi_average_order_value],0)</f>
        <v>0</v>
      </c>
      <c r="U966" s="11">
        <f>_xlfn.XLOOKUP(TableDailySummary[[#This Row],[Fecha]],SummaryDaily[day],SummaryDaily[Corporativo no tienda_net_sales],0)</f>
        <v>0</v>
      </c>
      <c r="V966" s="11">
        <f>_xlfn.XLOOKUP(TableDailySummary[[#This Row],[Fecha]],SummaryDaily[day],SummaryDaily[Corporativo no tienda_orders],0)</f>
        <v>0</v>
      </c>
      <c r="W966" s="11">
        <f>_xlfn.XLOOKUP(TableDailySummary[[#This Row],[Fecha]],SummaryDaily[day],SummaryDaily[Corporativo no tienda_average_order_value],0)</f>
        <v>0</v>
      </c>
      <c r="X966" s="11">
        <f>_xlfn.XLOOKUP(TableDailySummary[[#This Row],[Fecha]],SummaryDaily[day],SummaryDaily[GoogleAdsOperation.Cost],0)</f>
        <v>0</v>
      </c>
      <c r="Y966" s="11">
        <f>SUMIFS(SalesByUTMDaily[google],SalesByUTMDaily[day],TableDailySummary[[#This Row],[Fecha]])</f>
        <v>0</v>
      </c>
      <c r="Z966" s="11">
        <f>_xlfn.XLOOKUP(TableDailySummary[[#This Row],[Fecha]],SummaryDaily[day],SummaryDaily[MetaAdsOperation.spend],0)</f>
        <v>0</v>
      </c>
      <c r="AA966" s="11">
        <f>SUMIFS(SalesByUTMDaily[facebook],SalesByUTMDaily[day],TableDailySummary[[#This Row],[Fecha]])</f>
        <v>0</v>
      </c>
      <c r="AB966" s="11">
        <f>TableDailySummary[[#This Row],[Inversión google ads]]+TableDailySummary[[#This Row],[Inversión meta ads]]</f>
        <v>0</v>
      </c>
      <c r="AC966" s="11">
        <f>TableDailySummary[[#This Row],[Ventas google ads]]+TableDailySummary[[#This Row],[Ventas meta ads]]</f>
        <v>0</v>
      </c>
      <c r="AD966" s="14">
        <f>IFERROR(TableDailySummary[[#This Row],[Ventas publicidad]]/TableDailySummary[[#This Row],[Inversión publicidad]],0)</f>
        <v>0</v>
      </c>
      <c r="AE966" s="14">
        <f>IFERROR(TableDailySummary[[#This Row],[Ventas primer cliente]]/TableDailySummary[[#This Row],[Inversión publicidad]],0)</f>
        <v>0</v>
      </c>
      <c r="AF966" s="14"/>
      <c r="AG966" s="11"/>
      <c r="AM966" s="11">
        <f>_xlfn.XLOOKUP(TableDailySummary[[#This Row],[Fecha]],SummaryDaily[day],SummaryDaily[net_sales_with_cost_recorded],0)</f>
        <v>0</v>
      </c>
      <c r="AN966" s="11">
        <f>_xlfn.XLOOKUP(TableDailySummary[[#This Row],[Fecha]],SummaryDaily[day],SummaryDaily[cost_of_goods_sold],0)</f>
        <v>0</v>
      </c>
      <c r="AO966" s="11">
        <f>_xlfn.XLOOKUP(TableDailySummary[[#This Row],[Fecha]],SummaryDaily[day],SummaryDaily[gross_profit],0)</f>
        <v>0</v>
      </c>
      <c r="AP966" s="18">
        <f>IFERROR(TableDailySummary[[#This Row],[Utilidad bruta]]/TableDailySummary[[#This Row],[Ventas netas con costo registrado]],0)</f>
        <v>0</v>
      </c>
    </row>
    <row r="967" spans="2:42" x14ac:dyDescent="0.2">
      <c r="B967" s="15" cm="1">
        <f t="array" ref="B967">ParamFechaInicioReporte + (ROW(TableDailySummary[#This Row]) - ROW(TableDailySummary[[#Headers],[Dia]]) - 1)</f>
        <v>45494</v>
      </c>
      <c r="C967" s="6">
        <f>TableDailySummary[[#This Row],[Dia]]</f>
        <v>45494</v>
      </c>
      <c r="D967" s="11">
        <f>_xlfn.XLOOKUP(TableDailySummary[[#This Row],[Fecha]],SummaryDaily[day],SummaryDaily[net_sales],0)</f>
        <v>0</v>
      </c>
      <c r="E967" s="11">
        <f>_xlfn.XLOOKUP(TableDailySummary[[#This Row],[Fecha]],SummaryDaily[day],SummaryDaily[orders],0)</f>
        <v>0</v>
      </c>
      <c r="F967" s="11">
        <f>_xlfn.XLOOKUP(TableDailySummary[[#This Row],[Fecha]],SummaryDaily[day],SummaryDaily[average_order_value],0)</f>
        <v>0</v>
      </c>
      <c r="G967" s="24" cm="1">
        <f t="array" ref="G967">_xlfn.XLOOKUP(TableDailySummary[[#This Row],[Fecha]]&amp;"Total site",ConversionRateByReferral[day]&amp;ConversionRateByReferral[referrer_source],ConversionRateByReferral[conversion_rate],0)</f>
        <v>0</v>
      </c>
      <c r="H967" s="11">
        <f>TableDailySummary[[#This Row],[Órden promedio totales]]*TableDailySummary[[#This Row],[CR totales]]</f>
        <v>0</v>
      </c>
      <c r="I967" s="11">
        <f>_xlfn.XLOOKUP(TableDailySummary[[#This Row],[Fecha]],SummaryDaily[day],SummaryDaily[new_net_sales],0)</f>
        <v>0</v>
      </c>
      <c r="J967" s="11">
        <f>_xlfn.XLOOKUP(TableDailySummary[[#This Row],[Fecha]],SummaryDaily[day],SummaryDaily[new_orders],0)</f>
        <v>0</v>
      </c>
      <c r="K967" s="11">
        <f>_xlfn.XLOOKUP(TableDailySummary[[#This Row],[Fecha]],SummaryDaily[day],SummaryDaily[new_average_order_value],0)</f>
        <v>0</v>
      </c>
      <c r="L967" s="11">
        <f>_xlfn.XLOOKUP(TableDailySummary[[#This Row],[Fecha]],SummaryDaily[day],SummaryDaily[Online Store_net_sales],0)</f>
        <v>0</v>
      </c>
      <c r="M967" s="11">
        <f>_xlfn.XLOOKUP(TableDailySummary[[#This Row],[Fecha]],SummaryDaily[day],SummaryDaily[Online Store_orders],0)</f>
        <v>0</v>
      </c>
      <c r="N967" s="11">
        <f>_xlfn.XLOOKUP(TableDailySummary[[#This Row],[Fecha]],SummaryDaily[day],SummaryDaily[Online Store_average_order_value],0)</f>
        <v>0</v>
      </c>
      <c r="O967" s="11">
        <f>_xlfn.XLOOKUP(TableDailySummary[[#This Row],[Fecha]],SummaryDaily[day],SummaryDaily[Tienda 81_net_sales],0)</f>
        <v>0</v>
      </c>
      <c r="P967" s="11">
        <f>_xlfn.XLOOKUP(TableDailySummary[[#This Row],[Fecha]],SummaryDaily[day],SummaryDaily[Tienda 81_orders],0)</f>
        <v>0</v>
      </c>
      <c r="Q967" s="11">
        <f>_xlfn.XLOOKUP(TableDailySummary[[#This Row],[Fecha]],SummaryDaily[day],SummaryDaily[Tienda 81_average_order_value],0)</f>
        <v>0</v>
      </c>
      <c r="R967" s="11">
        <f>_xlfn.XLOOKUP(TableDailySummary[[#This Row],[Fecha]],SummaryDaily[day],SummaryDaily[Rappi_net_sales],0)</f>
        <v>0</v>
      </c>
      <c r="S967" s="11">
        <f>_xlfn.XLOOKUP(TableDailySummary[[#This Row],[Fecha]],SummaryDaily[day],SummaryDaily[Rappi_orders],0)</f>
        <v>0</v>
      </c>
      <c r="T967" s="11">
        <f>_xlfn.XLOOKUP(TableDailySummary[[#This Row],[Fecha]],SummaryDaily[day],SummaryDaily[Rappi_average_order_value],0)</f>
        <v>0</v>
      </c>
      <c r="U967" s="11">
        <f>_xlfn.XLOOKUP(TableDailySummary[[#This Row],[Fecha]],SummaryDaily[day],SummaryDaily[Corporativo no tienda_net_sales],0)</f>
        <v>0</v>
      </c>
      <c r="V967" s="11">
        <f>_xlfn.XLOOKUP(TableDailySummary[[#This Row],[Fecha]],SummaryDaily[day],SummaryDaily[Corporativo no tienda_orders],0)</f>
        <v>0</v>
      </c>
      <c r="W967" s="11">
        <f>_xlfn.XLOOKUP(TableDailySummary[[#This Row],[Fecha]],SummaryDaily[day],SummaryDaily[Corporativo no tienda_average_order_value],0)</f>
        <v>0</v>
      </c>
      <c r="X967" s="11">
        <f>_xlfn.XLOOKUP(TableDailySummary[[#This Row],[Fecha]],SummaryDaily[day],SummaryDaily[GoogleAdsOperation.Cost],0)</f>
        <v>0</v>
      </c>
      <c r="Y967" s="11">
        <f>SUMIFS(SalesByUTMDaily[google],SalesByUTMDaily[day],TableDailySummary[[#This Row],[Fecha]])</f>
        <v>0</v>
      </c>
      <c r="Z967" s="11">
        <f>_xlfn.XLOOKUP(TableDailySummary[[#This Row],[Fecha]],SummaryDaily[day],SummaryDaily[MetaAdsOperation.spend],0)</f>
        <v>0</v>
      </c>
      <c r="AA967" s="11">
        <f>SUMIFS(SalesByUTMDaily[facebook],SalesByUTMDaily[day],TableDailySummary[[#This Row],[Fecha]])</f>
        <v>0</v>
      </c>
      <c r="AB967" s="11">
        <f>TableDailySummary[[#This Row],[Inversión google ads]]+TableDailySummary[[#This Row],[Inversión meta ads]]</f>
        <v>0</v>
      </c>
      <c r="AC967" s="11">
        <f>TableDailySummary[[#This Row],[Ventas google ads]]+TableDailySummary[[#This Row],[Ventas meta ads]]</f>
        <v>0</v>
      </c>
      <c r="AD967" s="14">
        <f>IFERROR(TableDailySummary[[#This Row],[Ventas publicidad]]/TableDailySummary[[#This Row],[Inversión publicidad]],0)</f>
        <v>0</v>
      </c>
      <c r="AE967" s="14">
        <f>IFERROR(TableDailySummary[[#This Row],[Ventas primer cliente]]/TableDailySummary[[#This Row],[Inversión publicidad]],0)</f>
        <v>0</v>
      </c>
      <c r="AF967" s="14"/>
      <c r="AG967" s="11"/>
      <c r="AM967" s="11">
        <f>_xlfn.XLOOKUP(TableDailySummary[[#This Row],[Fecha]],SummaryDaily[day],SummaryDaily[net_sales_with_cost_recorded],0)</f>
        <v>0</v>
      </c>
      <c r="AN967" s="11">
        <f>_xlfn.XLOOKUP(TableDailySummary[[#This Row],[Fecha]],SummaryDaily[day],SummaryDaily[cost_of_goods_sold],0)</f>
        <v>0</v>
      </c>
      <c r="AO967" s="11">
        <f>_xlfn.XLOOKUP(TableDailySummary[[#This Row],[Fecha]],SummaryDaily[day],SummaryDaily[gross_profit],0)</f>
        <v>0</v>
      </c>
      <c r="AP967" s="18">
        <f>IFERROR(TableDailySummary[[#This Row],[Utilidad bruta]]/TableDailySummary[[#This Row],[Ventas netas con costo registrado]],0)</f>
        <v>0</v>
      </c>
    </row>
    <row r="968" spans="2:42" x14ac:dyDescent="0.2">
      <c r="B968" s="15" cm="1">
        <f t="array" ref="B968">ParamFechaInicioReporte + (ROW(TableDailySummary[#This Row]) - ROW(TableDailySummary[[#Headers],[Dia]]) - 1)</f>
        <v>45495</v>
      </c>
      <c r="C968" s="6">
        <f>TableDailySummary[[#This Row],[Dia]]</f>
        <v>45495</v>
      </c>
      <c r="D968" s="11">
        <f>_xlfn.XLOOKUP(TableDailySummary[[#This Row],[Fecha]],SummaryDaily[day],SummaryDaily[net_sales],0)</f>
        <v>0</v>
      </c>
      <c r="E968" s="11">
        <f>_xlfn.XLOOKUP(TableDailySummary[[#This Row],[Fecha]],SummaryDaily[day],SummaryDaily[orders],0)</f>
        <v>0</v>
      </c>
      <c r="F968" s="11">
        <f>_xlfn.XLOOKUP(TableDailySummary[[#This Row],[Fecha]],SummaryDaily[day],SummaryDaily[average_order_value],0)</f>
        <v>0</v>
      </c>
      <c r="G968" s="24" cm="1">
        <f t="array" ref="G968">_xlfn.XLOOKUP(TableDailySummary[[#This Row],[Fecha]]&amp;"Total site",ConversionRateByReferral[day]&amp;ConversionRateByReferral[referrer_source],ConversionRateByReferral[conversion_rate],0)</f>
        <v>0</v>
      </c>
      <c r="H968" s="11">
        <f>TableDailySummary[[#This Row],[Órden promedio totales]]*TableDailySummary[[#This Row],[CR totales]]</f>
        <v>0</v>
      </c>
      <c r="I968" s="11">
        <f>_xlfn.XLOOKUP(TableDailySummary[[#This Row],[Fecha]],SummaryDaily[day],SummaryDaily[new_net_sales],0)</f>
        <v>0</v>
      </c>
      <c r="J968" s="11">
        <f>_xlfn.XLOOKUP(TableDailySummary[[#This Row],[Fecha]],SummaryDaily[day],SummaryDaily[new_orders],0)</f>
        <v>0</v>
      </c>
      <c r="K968" s="11">
        <f>_xlfn.XLOOKUP(TableDailySummary[[#This Row],[Fecha]],SummaryDaily[day],SummaryDaily[new_average_order_value],0)</f>
        <v>0</v>
      </c>
      <c r="L968" s="11">
        <f>_xlfn.XLOOKUP(TableDailySummary[[#This Row],[Fecha]],SummaryDaily[day],SummaryDaily[Online Store_net_sales],0)</f>
        <v>0</v>
      </c>
      <c r="M968" s="11">
        <f>_xlfn.XLOOKUP(TableDailySummary[[#This Row],[Fecha]],SummaryDaily[day],SummaryDaily[Online Store_orders],0)</f>
        <v>0</v>
      </c>
      <c r="N968" s="11">
        <f>_xlfn.XLOOKUP(TableDailySummary[[#This Row],[Fecha]],SummaryDaily[day],SummaryDaily[Online Store_average_order_value],0)</f>
        <v>0</v>
      </c>
      <c r="O968" s="11">
        <f>_xlfn.XLOOKUP(TableDailySummary[[#This Row],[Fecha]],SummaryDaily[day],SummaryDaily[Tienda 81_net_sales],0)</f>
        <v>0</v>
      </c>
      <c r="P968" s="11">
        <f>_xlfn.XLOOKUP(TableDailySummary[[#This Row],[Fecha]],SummaryDaily[day],SummaryDaily[Tienda 81_orders],0)</f>
        <v>0</v>
      </c>
      <c r="Q968" s="11">
        <f>_xlfn.XLOOKUP(TableDailySummary[[#This Row],[Fecha]],SummaryDaily[day],SummaryDaily[Tienda 81_average_order_value],0)</f>
        <v>0</v>
      </c>
      <c r="R968" s="11">
        <f>_xlfn.XLOOKUP(TableDailySummary[[#This Row],[Fecha]],SummaryDaily[day],SummaryDaily[Rappi_net_sales],0)</f>
        <v>0</v>
      </c>
      <c r="S968" s="11">
        <f>_xlfn.XLOOKUP(TableDailySummary[[#This Row],[Fecha]],SummaryDaily[day],SummaryDaily[Rappi_orders],0)</f>
        <v>0</v>
      </c>
      <c r="T968" s="11">
        <f>_xlfn.XLOOKUP(TableDailySummary[[#This Row],[Fecha]],SummaryDaily[day],SummaryDaily[Rappi_average_order_value],0)</f>
        <v>0</v>
      </c>
      <c r="U968" s="11">
        <f>_xlfn.XLOOKUP(TableDailySummary[[#This Row],[Fecha]],SummaryDaily[day],SummaryDaily[Corporativo no tienda_net_sales],0)</f>
        <v>0</v>
      </c>
      <c r="V968" s="11">
        <f>_xlfn.XLOOKUP(TableDailySummary[[#This Row],[Fecha]],SummaryDaily[day],SummaryDaily[Corporativo no tienda_orders],0)</f>
        <v>0</v>
      </c>
      <c r="W968" s="11">
        <f>_xlfn.XLOOKUP(TableDailySummary[[#This Row],[Fecha]],SummaryDaily[day],SummaryDaily[Corporativo no tienda_average_order_value],0)</f>
        <v>0</v>
      </c>
      <c r="X968" s="11">
        <f>_xlfn.XLOOKUP(TableDailySummary[[#This Row],[Fecha]],SummaryDaily[day],SummaryDaily[GoogleAdsOperation.Cost],0)</f>
        <v>0</v>
      </c>
      <c r="Y968" s="11">
        <f>SUMIFS(SalesByUTMDaily[google],SalesByUTMDaily[day],TableDailySummary[[#This Row],[Fecha]])</f>
        <v>0</v>
      </c>
      <c r="Z968" s="11">
        <f>_xlfn.XLOOKUP(TableDailySummary[[#This Row],[Fecha]],SummaryDaily[day],SummaryDaily[MetaAdsOperation.spend],0)</f>
        <v>0</v>
      </c>
      <c r="AA968" s="11">
        <f>SUMIFS(SalesByUTMDaily[facebook],SalesByUTMDaily[day],TableDailySummary[[#This Row],[Fecha]])</f>
        <v>0</v>
      </c>
      <c r="AB968" s="11">
        <f>TableDailySummary[[#This Row],[Inversión google ads]]+TableDailySummary[[#This Row],[Inversión meta ads]]</f>
        <v>0</v>
      </c>
      <c r="AC968" s="11">
        <f>TableDailySummary[[#This Row],[Ventas google ads]]+TableDailySummary[[#This Row],[Ventas meta ads]]</f>
        <v>0</v>
      </c>
      <c r="AD968" s="14">
        <f>IFERROR(TableDailySummary[[#This Row],[Ventas publicidad]]/TableDailySummary[[#This Row],[Inversión publicidad]],0)</f>
        <v>0</v>
      </c>
      <c r="AE968" s="14">
        <f>IFERROR(TableDailySummary[[#This Row],[Ventas primer cliente]]/TableDailySummary[[#This Row],[Inversión publicidad]],0)</f>
        <v>0</v>
      </c>
      <c r="AF968" s="14"/>
      <c r="AG968" s="11"/>
      <c r="AM968" s="11">
        <f>_xlfn.XLOOKUP(TableDailySummary[[#This Row],[Fecha]],SummaryDaily[day],SummaryDaily[net_sales_with_cost_recorded],0)</f>
        <v>0</v>
      </c>
      <c r="AN968" s="11">
        <f>_xlfn.XLOOKUP(TableDailySummary[[#This Row],[Fecha]],SummaryDaily[day],SummaryDaily[cost_of_goods_sold],0)</f>
        <v>0</v>
      </c>
      <c r="AO968" s="11">
        <f>_xlfn.XLOOKUP(TableDailySummary[[#This Row],[Fecha]],SummaryDaily[day],SummaryDaily[gross_profit],0)</f>
        <v>0</v>
      </c>
      <c r="AP968" s="18">
        <f>IFERROR(TableDailySummary[[#This Row],[Utilidad bruta]]/TableDailySummary[[#This Row],[Ventas netas con costo registrado]],0)</f>
        <v>0</v>
      </c>
    </row>
    <row r="969" spans="2:42" x14ac:dyDescent="0.2">
      <c r="B969" s="15" cm="1">
        <f t="array" ref="B969">ParamFechaInicioReporte + (ROW(TableDailySummary[#This Row]) - ROW(TableDailySummary[[#Headers],[Dia]]) - 1)</f>
        <v>45496</v>
      </c>
      <c r="C969" s="6">
        <f>TableDailySummary[[#This Row],[Dia]]</f>
        <v>45496</v>
      </c>
      <c r="D969" s="11">
        <f>_xlfn.XLOOKUP(TableDailySummary[[#This Row],[Fecha]],SummaryDaily[day],SummaryDaily[net_sales],0)</f>
        <v>0</v>
      </c>
      <c r="E969" s="11">
        <f>_xlfn.XLOOKUP(TableDailySummary[[#This Row],[Fecha]],SummaryDaily[day],SummaryDaily[orders],0)</f>
        <v>0</v>
      </c>
      <c r="F969" s="11">
        <f>_xlfn.XLOOKUP(TableDailySummary[[#This Row],[Fecha]],SummaryDaily[day],SummaryDaily[average_order_value],0)</f>
        <v>0</v>
      </c>
      <c r="G969" s="24" cm="1">
        <f t="array" ref="G969">_xlfn.XLOOKUP(TableDailySummary[[#This Row],[Fecha]]&amp;"Total site",ConversionRateByReferral[day]&amp;ConversionRateByReferral[referrer_source],ConversionRateByReferral[conversion_rate],0)</f>
        <v>0</v>
      </c>
      <c r="H969" s="11">
        <f>TableDailySummary[[#This Row],[Órden promedio totales]]*TableDailySummary[[#This Row],[CR totales]]</f>
        <v>0</v>
      </c>
      <c r="I969" s="11">
        <f>_xlfn.XLOOKUP(TableDailySummary[[#This Row],[Fecha]],SummaryDaily[day],SummaryDaily[new_net_sales],0)</f>
        <v>0</v>
      </c>
      <c r="J969" s="11">
        <f>_xlfn.XLOOKUP(TableDailySummary[[#This Row],[Fecha]],SummaryDaily[day],SummaryDaily[new_orders],0)</f>
        <v>0</v>
      </c>
      <c r="K969" s="11">
        <f>_xlfn.XLOOKUP(TableDailySummary[[#This Row],[Fecha]],SummaryDaily[day],SummaryDaily[new_average_order_value],0)</f>
        <v>0</v>
      </c>
      <c r="L969" s="11">
        <f>_xlfn.XLOOKUP(TableDailySummary[[#This Row],[Fecha]],SummaryDaily[day],SummaryDaily[Online Store_net_sales],0)</f>
        <v>0</v>
      </c>
      <c r="M969" s="11">
        <f>_xlfn.XLOOKUP(TableDailySummary[[#This Row],[Fecha]],SummaryDaily[day],SummaryDaily[Online Store_orders],0)</f>
        <v>0</v>
      </c>
      <c r="N969" s="11">
        <f>_xlfn.XLOOKUP(TableDailySummary[[#This Row],[Fecha]],SummaryDaily[day],SummaryDaily[Online Store_average_order_value],0)</f>
        <v>0</v>
      </c>
      <c r="O969" s="11">
        <f>_xlfn.XLOOKUP(TableDailySummary[[#This Row],[Fecha]],SummaryDaily[day],SummaryDaily[Tienda 81_net_sales],0)</f>
        <v>0</v>
      </c>
      <c r="P969" s="11">
        <f>_xlfn.XLOOKUP(TableDailySummary[[#This Row],[Fecha]],SummaryDaily[day],SummaryDaily[Tienda 81_orders],0)</f>
        <v>0</v>
      </c>
      <c r="Q969" s="11">
        <f>_xlfn.XLOOKUP(TableDailySummary[[#This Row],[Fecha]],SummaryDaily[day],SummaryDaily[Tienda 81_average_order_value],0)</f>
        <v>0</v>
      </c>
      <c r="R969" s="11">
        <f>_xlfn.XLOOKUP(TableDailySummary[[#This Row],[Fecha]],SummaryDaily[day],SummaryDaily[Rappi_net_sales],0)</f>
        <v>0</v>
      </c>
      <c r="S969" s="11">
        <f>_xlfn.XLOOKUP(TableDailySummary[[#This Row],[Fecha]],SummaryDaily[day],SummaryDaily[Rappi_orders],0)</f>
        <v>0</v>
      </c>
      <c r="T969" s="11">
        <f>_xlfn.XLOOKUP(TableDailySummary[[#This Row],[Fecha]],SummaryDaily[day],SummaryDaily[Rappi_average_order_value],0)</f>
        <v>0</v>
      </c>
      <c r="U969" s="11">
        <f>_xlfn.XLOOKUP(TableDailySummary[[#This Row],[Fecha]],SummaryDaily[day],SummaryDaily[Corporativo no tienda_net_sales],0)</f>
        <v>0</v>
      </c>
      <c r="V969" s="11">
        <f>_xlfn.XLOOKUP(TableDailySummary[[#This Row],[Fecha]],SummaryDaily[day],SummaryDaily[Corporativo no tienda_orders],0)</f>
        <v>0</v>
      </c>
      <c r="W969" s="11">
        <f>_xlfn.XLOOKUP(TableDailySummary[[#This Row],[Fecha]],SummaryDaily[day],SummaryDaily[Corporativo no tienda_average_order_value],0)</f>
        <v>0</v>
      </c>
      <c r="X969" s="11">
        <f>_xlfn.XLOOKUP(TableDailySummary[[#This Row],[Fecha]],SummaryDaily[day],SummaryDaily[GoogleAdsOperation.Cost],0)</f>
        <v>0</v>
      </c>
      <c r="Y969" s="11">
        <f>SUMIFS(SalesByUTMDaily[google],SalesByUTMDaily[day],TableDailySummary[[#This Row],[Fecha]])</f>
        <v>0</v>
      </c>
      <c r="Z969" s="11">
        <f>_xlfn.XLOOKUP(TableDailySummary[[#This Row],[Fecha]],SummaryDaily[day],SummaryDaily[MetaAdsOperation.spend],0)</f>
        <v>0</v>
      </c>
      <c r="AA969" s="11">
        <f>SUMIFS(SalesByUTMDaily[facebook],SalesByUTMDaily[day],TableDailySummary[[#This Row],[Fecha]])</f>
        <v>0</v>
      </c>
      <c r="AB969" s="11">
        <f>TableDailySummary[[#This Row],[Inversión google ads]]+TableDailySummary[[#This Row],[Inversión meta ads]]</f>
        <v>0</v>
      </c>
      <c r="AC969" s="11">
        <f>TableDailySummary[[#This Row],[Ventas google ads]]+TableDailySummary[[#This Row],[Ventas meta ads]]</f>
        <v>0</v>
      </c>
      <c r="AD969" s="14">
        <f>IFERROR(TableDailySummary[[#This Row],[Ventas publicidad]]/TableDailySummary[[#This Row],[Inversión publicidad]],0)</f>
        <v>0</v>
      </c>
      <c r="AE969" s="14">
        <f>IFERROR(TableDailySummary[[#This Row],[Ventas primer cliente]]/TableDailySummary[[#This Row],[Inversión publicidad]],0)</f>
        <v>0</v>
      </c>
      <c r="AF969" s="14"/>
      <c r="AG969" s="11"/>
      <c r="AM969" s="11">
        <f>_xlfn.XLOOKUP(TableDailySummary[[#This Row],[Fecha]],SummaryDaily[day],SummaryDaily[net_sales_with_cost_recorded],0)</f>
        <v>0</v>
      </c>
      <c r="AN969" s="11">
        <f>_xlfn.XLOOKUP(TableDailySummary[[#This Row],[Fecha]],SummaryDaily[day],SummaryDaily[cost_of_goods_sold],0)</f>
        <v>0</v>
      </c>
      <c r="AO969" s="11">
        <f>_xlfn.XLOOKUP(TableDailySummary[[#This Row],[Fecha]],SummaryDaily[day],SummaryDaily[gross_profit],0)</f>
        <v>0</v>
      </c>
      <c r="AP969" s="18">
        <f>IFERROR(TableDailySummary[[#This Row],[Utilidad bruta]]/TableDailySummary[[#This Row],[Ventas netas con costo registrado]],0)</f>
        <v>0</v>
      </c>
    </row>
    <row r="970" spans="2:42" x14ac:dyDescent="0.2">
      <c r="B970" s="15" cm="1">
        <f t="array" ref="B970">ParamFechaInicioReporte + (ROW(TableDailySummary[#This Row]) - ROW(TableDailySummary[[#Headers],[Dia]]) - 1)</f>
        <v>45497</v>
      </c>
      <c r="C970" s="6">
        <f>TableDailySummary[[#This Row],[Dia]]</f>
        <v>45497</v>
      </c>
      <c r="D970" s="11">
        <f>_xlfn.XLOOKUP(TableDailySummary[[#This Row],[Fecha]],SummaryDaily[day],SummaryDaily[net_sales],0)</f>
        <v>0</v>
      </c>
      <c r="E970" s="11">
        <f>_xlfn.XLOOKUP(TableDailySummary[[#This Row],[Fecha]],SummaryDaily[day],SummaryDaily[orders],0)</f>
        <v>0</v>
      </c>
      <c r="F970" s="11">
        <f>_xlfn.XLOOKUP(TableDailySummary[[#This Row],[Fecha]],SummaryDaily[day],SummaryDaily[average_order_value],0)</f>
        <v>0</v>
      </c>
      <c r="G970" s="24" cm="1">
        <f t="array" ref="G970">_xlfn.XLOOKUP(TableDailySummary[[#This Row],[Fecha]]&amp;"Total site",ConversionRateByReferral[day]&amp;ConversionRateByReferral[referrer_source],ConversionRateByReferral[conversion_rate],0)</f>
        <v>0</v>
      </c>
      <c r="H970" s="11">
        <f>TableDailySummary[[#This Row],[Órden promedio totales]]*TableDailySummary[[#This Row],[CR totales]]</f>
        <v>0</v>
      </c>
      <c r="I970" s="11">
        <f>_xlfn.XLOOKUP(TableDailySummary[[#This Row],[Fecha]],SummaryDaily[day],SummaryDaily[new_net_sales],0)</f>
        <v>0</v>
      </c>
      <c r="J970" s="11">
        <f>_xlfn.XLOOKUP(TableDailySummary[[#This Row],[Fecha]],SummaryDaily[day],SummaryDaily[new_orders],0)</f>
        <v>0</v>
      </c>
      <c r="K970" s="11">
        <f>_xlfn.XLOOKUP(TableDailySummary[[#This Row],[Fecha]],SummaryDaily[day],SummaryDaily[new_average_order_value],0)</f>
        <v>0</v>
      </c>
      <c r="L970" s="11">
        <f>_xlfn.XLOOKUP(TableDailySummary[[#This Row],[Fecha]],SummaryDaily[day],SummaryDaily[Online Store_net_sales],0)</f>
        <v>0</v>
      </c>
      <c r="M970" s="11">
        <f>_xlfn.XLOOKUP(TableDailySummary[[#This Row],[Fecha]],SummaryDaily[day],SummaryDaily[Online Store_orders],0)</f>
        <v>0</v>
      </c>
      <c r="N970" s="11">
        <f>_xlfn.XLOOKUP(TableDailySummary[[#This Row],[Fecha]],SummaryDaily[day],SummaryDaily[Online Store_average_order_value],0)</f>
        <v>0</v>
      </c>
      <c r="O970" s="11">
        <f>_xlfn.XLOOKUP(TableDailySummary[[#This Row],[Fecha]],SummaryDaily[day],SummaryDaily[Tienda 81_net_sales],0)</f>
        <v>0</v>
      </c>
      <c r="P970" s="11">
        <f>_xlfn.XLOOKUP(TableDailySummary[[#This Row],[Fecha]],SummaryDaily[day],SummaryDaily[Tienda 81_orders],0)</f>
        <v>0</v>
      </c>
      <c r="Q970" s="11">
        <f>_xlfn.XLOOKUP(TableDailySummary[[#This Row],[Fecha]],SummaryDaily[day],SummaryDaily[Tienda 81_average_order_value],0)</f>
        <v>0</v>
      </c>
      <c r="R970" s="11">
        <f>_xlfn.XLOOKUP(TableDailySummary[[#This Row],[Fecha]],SummaryDaily[day],SummaryDaily[Rappi_net_sales],0)</f>
        <v>0</v>
      </c>
      <c r="S970" s="11">
        <f>_xlfn.XLOOKUP(TableDailySummary[[#This Row],[Fecha]],SummaryDaily[day],SummaryDaily[Rappi_orders],0)</f>
        <v>0</v>
      </c>
      <c r="T970" s="11">
        <f>_xlfn.XLOOKUP(TableDailySummary[[#This Row],[Fecha]],SummaryDaily[day],SummaryDaily[Rappi_average_order_value],0)</f>
        <v>0</v>
      </c>
      <c r="U970" s="11">
        <f>_xlfn.XLOOKUP(TableDailySummary[[#This Row],[Fecha]],SummaryDaily[day],SummaryDaily[Corporativo no tienda_net_sales],0)</f>
        <v>0</v>
      </c>
      <c r="V970" s="11">
        <f>_xlfn.XLOOKUP(TableDailySummary[[#This Row],[Fecha]],SummaryDaily[day],SummaryDaily[Corporativo no tienda_orders],0)</f>
        <v>0</v>
      </c>
      <c r="W970" s="11">
        <f>_xlfn.XLOOKUP(TableDailySummary[[#This Row],[Fecha]],SummaryDaily[day],SummaryDaily[Corporativo no tienda_average_order_value],0)</f>
        <v>0</v>
      </c>
      <c r="X970" s="11">
        <f>_xlfn.XLOOKUP(TableDailySummary[[#This Row],[Fecha]],SummaryDaily[day],SummaryDaily[GoogleAdsOperation.Cost],0)</f>
        <v>0</v>
      </c>
      <c r="Y970" s="11">
        <f>SUMIFS(SalesByUTMDaily[google],SalesByUTMDaily[day],TableDailySummary[[#This Row],[Fecha]])</f>
        <v>0</v>
      </c>
      <c r="Z970" s="11">
        <f>_xlfn.XLOOKUP(TableDailySummary[[#This Row],[Fecha]],SummaryDaily[day],SummaryDaily[MetaAdsOperation.spend],0)</f>
        <v>0</v>
      </c>
      <c r="AA970" s="11">
        <f>SUMIFS(SalesByUTMDaily[facebook],SalesByUTMDaily[day],TableDailySummary[[#This Row],[Fecha]])</f>
        <v>0</v>
      </c>
      <c r="AB970" s="11">
        <f>TableDailySummary[[#This Row],[Inversión google ads]]+TableDailySummary[[#This Row],[Inversión meta ads]]</f>
        <v>0</v>
      </c>
      <c r="AC970" s="11">
        <f>TableDailySummary[[#This Row],[Ventas google ads]]+TableDailySummary[[#This Row],[Ventas meta ads]]</f>
        <v>0</v>
      </c>
      <c r="AD970" s="14">
        <f>IFERROR(TableDailySummary[[#This Row],[Ventas publicidad]]/TableDailySummary[[#This Row],[Inversión publicidad]],0)</f>
        <v>0</v>
      </c>
      <c r="AE970" s="14">
        <f>IFERROR(TableDailySummary[[#This Row],[Ventas primer cliente]]/TableDailySummary[[#This Row],[Inversión publicidad]],0)</f>
        <v>0</v>
      </c>
      <c r="AF970" s="14"/>
      <c r="AG970" s="11"/>
      <c r="AM970" s="11">
        <f>_xlfn.XLOOKUP(TableDailySummary[[#This Row],[Fecha]],SummaryDaily[day],SummaryDaily[net_sales_with_cost_recorded],0)</f>
        <v>0</v>
      </c>
      <c r="AN970" s="11">
        <f>_xlfn.XLOOKUP(TableDailySummary[[#This Row],[Fecha]],SummaryDaily[day],SummaryDaily[cost_of_goods_sold],0)</f>
        <v>0</v>
      </c>
      <c r="AO970" s="11">
        <f>_xlfn.XLOOKUP(TableDailySummary[[#This Row],[Fecha]],SummaryDaily[day],SummaryDaily[gross_profit],0)</f>
        <v>0</v>
      </c>
      <c r="AP970" s="18">
        <f>IFERROR(TableDailySummary[[#This Row],[Utilidad bruta]]/TableDailySummary[[#This Row],[Ventas netas con costo registrado]],0)</f>
        <v>0</v>
      </c>
    </row>
    <row r="971" spans="2:42" x14ac:dyDescent="0.2">
      <c r="B971" s="15" cm="1">
        <f t="array" ref="B971">ParamFechaInicioReporte + (ROW(TableDailySummary[#This Row]) - ROW(TableDailySummary[[#Headers],[Dia]]) - 1)</f>
        <v>45498</v>
      </c>
      <c r="C971" s="6">
        <f>TableDailySummary[[#This Row],[Dia]]</f>
        <v>45498</v>
      </c>
      <c r="D971" s="11">
        <f>_xlfn.XLOOKUP(TableDailySummary[[#This Row],[Fecha]],SummaryDaily[day],SummaryDaily[net_sales],0)</f>
        <v>0</v>
      </c>
      <c r="E971" s="11">
        <f>_xlfn.XLOOKUP(TableDailySummary[[#This Row],[Fecha]],SummaryDaily[day],SummaryDaily[orders],0)</f>
        <v>0</v>
      </c>
      <c r="F971" s="11">
        <f>_xlfn.XLOOKUP(TableDailySummary[[#This Row],[Fecha]],SummaryDaily[day],SummaryDaily[average_order_value],0)</f>
        <v>0</v>
      </c>
      <c r="G971" s="24" cm="1">
        <f t="array" ref="G971">_xlfn.XLOOKUP(TableDailySummary[[#This Row],[Fecha]]&amp;"Total site",ConversionRateByReferral[day]&amp;ConversionRateByReferral[referrer_source],ConversionRateByReferral[conversion_rate],0)</f>
        <v>0</v>
      </c>
      <c r="H971" s="11">
        <f>TableDailySummary[[#This Row],[Órden promedio totales]]*TableDailySummary[[#This Row],[CR totales]]</f>
        <v>0</v>
      </c>
      <c r="I971" s="11">
        <f>_xlfn.XLOOKUP(TableDailySummary[[#This Row],[Fecha]],SummaryDaily[day],SummaryDaily[new_net_sales],0)</f>
        <v>0</v>
      </c>
      <c r="J971" s="11">
        <f>_xlfn.XLOOKUP(TableDailySummary[[#This Row],[Fecha]],SummaryDaily[day],SummaryDaily[new_orders],0)</f>
        <v>0</v>
      </c>
      <c r="K971" s="11">
        <f>_xlfn.XLOOKUP(TableDailySummary[[#This Row],[Fecha]],SummaryDaily[day],SummaryDaily[new_average_order_value],0)</f>
        <v>0</v>
      </c>
      <c r="L971" s="11">
        <f>_xlfn.XLOOKUP(TableDailySummary[[#This Row],[Fecha]],SummaryDaily[day],SummaryDaily[Online Store_net_sales],0)</f>
        <v>0</v>
      </c>
      <c r="M971" s="11">
        <f>_xlfn.XLOOKUP(TableDailySummary[[#This Row],[Fecha]],SummaryDaily[day],SummaryDaily[Online Store_orders],0)</f>
        <v>0</v>
      </c>
      <c r="N971" s="11">
        <f>_xlfn.XLOOKUP(TableDailySummary[[#This Row],[Fecha]],SummaryDaily[day],SummaryDaily[Online Store_average_order_value],0)</f>
        <v>0</v>
      </c>
      <c r="O971" s="11">
        <f>_xlfn.XLOOKUP(TableDailySummary[[#This Row],[Fecha]],SummaryDaily[day],SummaryDaily[Tienda 81_net_sales],0)</f>
        <v>0</v>
      </c>
      <c r="P971" s="11">
        <f>_xlfn.XLOOKUP(TableDailySummary[[#This Row],[Fecha]],SummaryDaily[day],SummaryDaily[Tienda 81_orders],0)</f>
        <v>0</v>
      </c>
      <c r="Q971" s="11">
        <f>_xlfn.XLOOKUP(TableDailySummary[[#This Row],[Fecha]],SummaryDaily[day],SummaryDaily[Tienda 81_average_order_value],0)</f>
        <v>0</v>
      </c>
      <c r="R971" s="11">
        <f>_xlfn.XLOOKUP(TableDailySummary[[#This Row],[Fecha]],SummaryDaily[day],SummaryDaily[Rappi_net_sales],0)</f>
        <v>0</v>
      </c>
      <c r="S971" s="11">
        <f>_xlfn.XLOOKUP(TableDailySummary[[#This Row],[Fecha]],SummaryDaily[day],SummaryDaily[Rappi_orders],0)</f>
        <v>0</v>
      </c>
      <c r="T971" s="11">
        <f>_xlfn.XLOOKUP(TableDailySummary[[#This Row],[Fecha]],SummaryDaily[day],SummaryDaily[Rappi_average_order_value],0)</f>
        <v>0</v>
      </c>
      <c r="U971" s="11">
        <f>_xlfn.XLOOKUP(TableDailySummary[[#This Row],[Fecha]],SummaryDaily[day],SummaryDaily[Corporativo no tienda_net_sales],0)</f>
        <v>0</v>
      </c>
      <c r="V971" s="11">
        <f>_xlfn.XLOOKUP(TableDailySummary[[#This Row],[Fecha]],SummaryDaily[day],SummaryDaily[Corporativo no tienda_orders],0)</f>
        <v>0</v>
      </c>
      <c r="W971" s="11">
        <f>_xlfn.XLOOKUP(TableDailySummary[[#This Row],[Fecha]],SummaryDaily[day],SummaryDaily[Corporativo no tienda_average_order_value],0)</f>
        <v>0</v>
      </c>
      <c r="X971" s="11">
        <f>_xlfn.XLOOKUP(TableDailySummary[[#This Row],[Fecha]],SummaryDaily[day],SummaryDaily[GoogleAdsOperation.Cost],0)</f>
        <v>0</v>
      </c>
      <c r="Y971" s="11">
        <f>SUMIFS(SalesByUTMDaily[google],SalesByUTMDaily[day],TableDailySummary[[#This Row],[Fecha]])</f>
        <v>0</v>
      </c>
      <c r="Z971" s="11">
        <f>_xlfn.XLOOKUP(TableDailySummary[[#This Row],[Fecha]],SummaryDaily[day],SummaryDaily[MetaAdsOperation.spend],0)</f>
        <v>0</v>
      </c>
      <c r="AA971" s="11">
        <f>SUMIFS(SalesByUTMDaily[facebook],SalesByUTMDaily[day],TableDailySummary[[#This Row],[Fecha]])</f>
        <v>0</v>
      </c>
      <c r="AB971" s="11">
        <f>TableDailySummary[[#This Row],[Inversión google ads]]+TableDailySummary[[#This Row],[Inversión meta ads]]</f>
        <v>0</v>
      </c>
      <c r="AC971" s="11">
        <f>TableDailySummary[[#This Row],[Ventas google ads]]+TableDailySummary[[#This Row],[Ventas meta ads]]</f>
        <v>0</v>
      </c>
      <c r="AD971" s="14">
        <f>IFERROR(TableDailySummary[[#This Row],[Ventas publicidad]]/TableDailySummary[[#This Row],[Inversión publicidad]],0)</f>
        <v>0</v>
      </c>
      <c r="AE971" s="14">
        <f>IFERROR(TableDailySummary[[#This Row],[Ventas primer cliente]]/TableDailySummary[[#This Row],[Inversión publicidad]],0)</f>
        <v>0</v>
      </c>
      <c r="AF971" s="14"/>
      <c r="AG971" s="11"/>
      <c r="AM971" s="11">
        <f>_xlfn.XLOOKUP(TableDailySummary[[#This Row],[Fecha]],SummaryDaily[day],SummaryDaily[net_sales_with_cost_recorded],0)</f>
        <v>0</v>
      </c>
      <c r="AN971" s="11">
        <f>_xlfn.XLOOKUP(TableDailySummary[[#This Row],[Fecha]],SummaryDaily[day],SummaryDaily[cost_of_goods_sold],0)</f>
        <v>0</v>
      </c>
      <c r="AO971" s="11">
        <f>_xlfn.XLOOKUP(TableDailySummary[[#This Row],[Fecha]],SummaryDaily[day],SummaryDaily[gross_profit],0)</f>
        <v>0</v>
      </c>
      <c r="AP971" s="18">
        <f>IFERROR(TableDailySummary[[#This Row],[Utilidad bruta]]/TableDailySummary[[#This Row],[Ventas netas con costo registrado]],0)</f>
        <v>0</v>
      </c>
    </row>
    <row r="972" spans="2:42" x14ac:dyDescent="0.2">
      <c r="B972" s="15" cm="1">
        <f t="array" ref="B972">ParamFechaInicioReporte + (ROW(TableDailySummary[#This Row]) - ROW(TableDailySummary[[#Headers],[Dia]]) - 1)</f>
        <v>45499</v>
      </c>
      <c r="C972" s="6">
        <f>TableDailySummary[[#This Row],[Dia]]</f>
        <v>45499</v>
      </c>
      <c r="D972" s="11">
        <f>_xlfn.XLOOKUP(TableDailySummary[[#This Row],[Fecha]],SummaryDaily[day],SummaryDaily[net_sales],0)</f>
        <v>0</v>
      </c>
      <c r="E972" s="11">
        <f>_xlfn.XLOOKUP(TableDailySummary[[#This Row],[Fecha]],SummaryDaily[day],SummaryDaily[orders],0)</f>
        <v>0</v>
      </c>
      <c r="F972" s="11">
        <f>_xlfn.XLOOKUP(TableDailySummary[[#This Row],[Fecha]],SummaryDaily[day],SummaryDaily[average_order_value],0)</f>
        <v>0</v>
      </c>
      <c r="G972" s="24" cm="1">
        <f t="array" ref="G972">_xlfn.XLOOKUP(TableDailySummary[[#This Row],[Fecha]]&amp;"Total site",ConversionRateByReferral[day]&amp;ConversionRateByReferral[referrer_source],ConversionRateByReferral[conversion_rate],0)</f>
        <v>0</v>
      </c>
      <c r="H972" s="11">
        <f>TableDailySummary[[#This Row],[Órden promedio totales]]*TableDailySummary[[#This Row],[CR totales]]</f>
        <v>0</v>
      </c>
      <c r="I972" s="11">
        <f>_xlfn.XLOOKUP(TableDailySummary[[#This Row],[Fecha]],SummaryDaily[day],SummaryDaily[new_net_sales],0)</f>
        <v>0</v>
      </c>
      <c r="J972" s="11">
        <f>_xlfn.XLOOKUP(TableDailySummary[[#This Row],[Fecha]],SummaryDaily[day],SummaryDaily[new_orders],0)</f>
        <v>0</v>
      </c>
      <c r="K972" s="11">
        <f>_xlfn.XLOOKUP(TableDailySummary[[#This Row],[Fecha]],SummaryDaily[day],SummaryDaily[new_average_order_value],0)</f>
        <v>0</v>
      </c>
      <c r="L972" s="11">
        <f>_xlfn.XLOOKUP(TableDailySummary[[#This Row],[Fecha]],SummaryDaily[day],SummaryDaily[Online Store_net_sales],0)</f>
        <v>0</v>
      </c>
      <c r="M972" s="11">
        <f>_xlfn.XLOOKUP(TableDailySummary[[#This Row],[Fecha]],SummaryDaily[day],SummaryDaily[Online Store_orders],0)</f>
        <v>0</v>
      </c>
      <c r="N972" s="11">
        <f>_xlfn.XLOOKUP(TableDailySummary[[#This Row],[Fecha]],SummaryDaily[day],SummaryDaily[Online Store_average_order_value],0)</f>
        <v>0</v>
      </c>
      <c r="O972" s="11">
        <f>_xlfn.XLOOKUP(TableDailySummary[[#This Row],[Fecha]],SummaryDaily[day],SummaryDaily[Tienda 81_net_sales],0)</f>
        <v>0</v>
      </c>
      <c r="P972" s="11">
        <f>_xlfn.XLOOKUP(TableDailySummary[[#This Row],[Fecha]],SummaryDaily[day],SummaryDaily[Tienda 81_orders],0)</f>
        <v>0</v>
      </c>
      <c r="Q972" s="11">
        <f>_xlfn.XLOOKUP(TableDailySummary[[#This Row],[Fecha]],SummaryDaily[day],SummaryDaily[Tienda 81_average_order_value],0)</f>
        <v>0</v>
      </c>
      <c r="R972" s="11">
        <f>_xlfn.XLOOKUP(TableDailySummary[[#This Row],[Fecha]],SummaryDaily[day],SummaryDaily[Rappi_net_sales],0)</f>
        <v>0</v>
      </c>
      <c r="S972" s="11">
        <f>_xlfn.XLOOKUP(TableDailySummary[[#This Row],[Fecha]],SummaryDaily[day],SummaryDaily[Rappi_orders],0)</f>
        <v>0</v>
      </c>
      <c r="T972" s="11">
        <f>_xlfn.XLOOKUP(TableDailySummary[[#This Row],[Fecha]],SummaryDaily[day],SummaryDaily[Rappi_average_order_value],0)</f>
        <v>0</v>
      </c>
      <c r="U972" s="11">
        <f>_xlfn.XLOOKUP(TableDailySummary[[#This Row],[Fecha]],SummaryDaily[day],SummaryDaily[Corporativo no tienda_net_sales],0)</f>
        <v>0</v>
      </c>
      <c r="V972" s="11">
        <f>_xlfn.XLOOKUP(TableDailySummary[[#This Row],[Fecha]],SummaryDaily[day],SummaryDaily[Corporativo no tienda_orders],0)</f>
        <v>0</v>
      </c>
      <c r="W972" s="11">
        <f>_xlfn.XLOOKUP(TableDailySummary[[#This Row],[Fecha]],SummaryDaily[day],SummaryDaily[Corporativo no tienda_average_order_value],0)</f>
        <v>0</v>
      </c>
      <c r="X972" s="11">
        <f>_xlfn.XLOOKUP(TableDailySummary[[#This Row],[Fecha]],SummaryDaily[day],SummaryDaily[GoogleAdsOperation.Cost],0)</f>
        <v>0</v>
      </c>
      <c r="Y972" s="11">
        <f>SUMIFS(SalesByUTMDaily[google],SalesByUTMDaily[day],TableDailySummary[[#This Row],[Fecha]])</f>
        <v>0</v>
      </c>
      <c r="Z972" s="11">
        <f>_xlfn.XLOOKUP(TableDailySummary[[#This Row],[Fecha]],SummaryDaily[day],SummaryDaily[MetaAdsOperation.spend],0)</f>
        <v>0</v>
      </c>
      <c r="AA972" s="11">
        <f>SUMIFS(SalesByUTMDaily[facebook],SalesByUTMDaily[day],TableDailySummary[[#This Row],[Fecha]])</f>
        <v>0</v>
      </c>
      <c r="AB972" s="11">
        <f>TableDailySummary[[#This Row],[Inversión google ads]]+TableDailySummary[[#This Row],[Inversión meta ads]]</f>
        <v>0</v>
      </c>
      <c r="AC972" s="11">
        <f>TableDailySummary[[#This Row],[Ventas google ads]]+TableDailySummary[[#This Row],[Ventas meta ads]]</f>
        <v>0</v>
      </c>
      <c r="AD972" s="14">
        <f>IFERROR(TableDailySummary[[#This Row],[Ventas publicidad]]/TableDailySummary[[#This Row],[Inversión publicidad]],0)</f>
        <v>0</v>
      </c>
      <c r="AE972" s="14">
        <f>IFERROR(TableDailySummary[[#This Row],[Ventas primer cliente]]/TableDailySummary[[#This Row],[Inversión publicidad]],0)</f>
        <v>0</v>
      </c>
      <c r="AF972" s="14"/>
      <c r="AG972" s="11"/>
      <c r="AM972" s="11">
        <f>_xlfn.XLOOKUP(TableDailySummary[[#This Row],[Fecha]],SummaryDaily[day],SummaryDaily[net_sales_with_cost_recorded],0)</f>
        <v>0</v>
      </c>
      <c r="AN972" s="11">
        <f>_xlfn.XLOOKUP(TableDailySummary[[#This Row],[Fecha]],SummaryDaily[day],SummaryDaily[cost_of_goods_sold],0)</f>
        <v>0</v>
      </c>
      <c r="AO972" s="11">
        <f>_xlfn.XLOOKUP(TableDailySummary[[#This Row],[Fecha]],SummaryDaily[day],SummaryDaily[gross_profit],0)</f>
        <v>0</v>
      </c>
      <c r="AP972" s="18">
        <f>IFERROR(TableDailySummary[[#This Row],[Utilidad bruta]]/TableDailySummary[[#This Row],[Ventas netas con costo registrado]],0)</f>
        <v>0</v>
      </c>
    </row>
    <row r="973" spans="2:42" x14ac:dyDescent="0.2">
      <c r="B973" s="15" cm="1">
        <f t="array" ref="B973">ParamFechaInicioReporte + (ROW(TableDailySummary[#This Row]) - ROW(TableDailySummary[[#Headers],[Dia]]) - 1)</f>
        <v>45500</v>
      </c>
      <c r="C973" s="6">
        <f>TableDailySummary[[#This Row],[Dia]]</f>
        <v>45500</v>
      </c>
      <c r="D973" s="11">
        <f>_xlfn.XLOOKUP(TableDailySummary[[#This Row],[Fecha]],SummaryDaily[day],SummaryDaily[net_sales],0)</f>
        <v>0</v>
      </c>
      <c r="E973" s="11">
        <f>_xlfn.XLOOKUP(TableDailySummary[[#This Row],[Fecha]],SummaryDaily[day],SummaryDaily[orders],0)</f>
        <v>0</v>
      </c>
      <c r="F973" s="11">
        <f>_xlfn.XLOOKUP(TableDailySummary[[#This Row],[Fecha]],SummaryDaily[day],SummaryDaily[average_order_value],0)</f>
        <v>0</v>
      </c>
      <c r="G973" s="24" cm="1">
        <f t="array" ref="G973">_xlfn.XLOOKUP(TableDailySummary[[#This Row],[Fecha]]&amp;"Total site",ConversionRateByReferral[day]&amp;ConversionRateByReferral[referrer_source],ConversionRateByReferral[conversion_rate],0)</f>
        <v>0</v>
      </c>
      <c r="H973" s="11">
        <f>TableDailySummary[[#This Row],[Órden promedio totales]]*TableDailySummary[[#This Row],[CR totales]]</f>
        <v>0</v>
      </c>
      <c r="I973" s="11">
        <f>_xlfn.XLOOKUP(TableDailySummary[[#This Row],[Fecha]],SummaryDaily[day],SummaryDaily[new_net_sales],0)</f>
        <v>0</v>
      </c>
      <c r="J973" s="11">
        <f>_xlfn.XLOOKUP(TableDailySummary[[#This Row],[Fecha]],SummaryDaily[day],SummaryDaily[new_orders],0)</f>
        <v>0</v>
      </c>
      <c r="K973" s="11">
        <f>_xlfn.XLOOKUP(TableDailySummary[[#This Row],[Fecha]],SummaryDaily[day],SummaryDaily[new_average_order_value],0)</f>
        <v>0</v>
      </c>
      <c r="L973" s="11">
        <f>_xlfn.XLOOKUP(TableDailySummary[[#This Row],[Fecha]],SummaryDaily[day],SummaryDaily[Online Store_net_sales],0)</f>
        <v>0</v>
      </c>
      <c r="M973" s="11">
        <f>_xlfn.XLOOKUP(TableDailySummary[[#This Row],[Fecha]],SummaryDaily[day],SummaryDaily[Online Store_orders],0)</f>
        <v>0</v>
      </c>
      <c r="N973" s="11">
        <f>_xlfn.XLOOKUP(TableDailySummary[[#This Row],[Fecha]],SummaryDaily[day],SummaryDaily[Online Store_average_order_value],0)</f>
        <v>0</v>
      </c>
      <c r="O973" s="11">
        <f>_xlfn.XLOOKUP(TableDailySummary[[#This Row],[Fecha]],SummaryDaily[day],SummaryDaily[Tienda 81_net_sales],0)</f>
        <v>0</v>
      </c>
      <c r="P973" s="11">
        <f>_xlfn.XLOOKUP(TableDailySummary[[#This Row],[Fecha]],SummaryDaily[day],SummaryDaily[Tienda 81_orders],0)</f>
        <v>0</v>
      </c>
      <c r="Q973" s="11">
        <f>_xlfn.XLOOKUP(TableDailySummary[[#This Row],[Fecha]],SummaryDaily[day],SummaryDaily[Tienda 81_average_order_value],0)</f>
        <v>0</v>
      </c>
      <c r="R973" s="11">
        <f>_xlfn.XLOOKUP(TableDailySummary[[#This Row],[Fecha]],SummaryDaily[day],SummaryDaily[Rappi_net_sales],0)</f>
        <v>0</v>
      </c>
      <c r="S973" s="11">
        <f>_xlfn.XLOOKUP(TableDailySummary[[#This Row],[Fecha]],SummaryDaily[day],SummaryDaily[Rappi_orders],0)</f>
        <v>0</v>
      </c>
      <c r="T973" s="11">
        <f>_xlfn.XLOOKUP(TableDailySummary[[#This Row],[Fecha]],SummaryDaily[day],SummaryDaily[Rappi_average_order_value],0)</f>
        <v>0</v>
      </c>
      <c r="U973" s="11">
        <f>_xlfn.XLOOKUP(TableDailySummary[[#This Row],[Fecha]],SummaryDaily[day],SummaryDaily[Corporativo no tienda_net_sales],0)</f>
        <v>0</v>
      </c>
      <c r="V973" s="11">
        <f>_xlfn.XLOOKUP(TableDailySummary[[#This Row],[Fecha]],SummaryDaily[day],SummaryDaily[Corporativo no tienda_orders],0)</f>
        <v>0</v>
      </c>
      <c r="W973" s="11">
        <f>_xlfn.XLOOKUP(TableDailySummary[[#This Row],[Fecha]],SummaryDaily[day],SummaryDaily[Corporativo no tienda_average_order_value],0)</f>
        <v>0</v>
      </c>
      <c r="X973" s="11">
        <f>_xlfn.XLOOKUP(TableDailySummary[[#This Row],[Fecha]],SummaryDaily[day],SummaryDaily[GoogleAdsOperation.Cost],0)</f>
        <v>0</v>
      </c>
      <c r="Y973" s="11">
        <f>SUMIFS(SalesByUTMDaily[google],SalesByUTMDaily[day],TableDailySummary[[#This Row],[Fecha]])</f>
        <v>0</v>
      </c>
      <c r="Z973" s="11">
        <f>_xlfn.XLOOKUP(TableDailySummary[[#This Row],[Fecha]],SummaryDaily[day],SummaryDaily[MetaAdsOperation.spend],0)</f>
        <v>0</v>
      </c>
      <c r="AA973" s="11">
        <f>SUMIFS(SalesByUTMDaily[facebook],SalesByUTMDaily[day],TableDailySummary[[#This Row],[Fecha]])</f>
        <v>0</v>
      </c>
      <c r="AB973" s="11">
        <f>TableDailySummary[[#This Row],[Inversión google ads]]+TableDailySummary[[#This Row],[Inversión meta ads]]</f>
        <v>0</v>
      </c>
      <c r="AC973" s="11">
        <f>TableDailySummary[[#This Row],[Ventas google ads]]+TableDailySummary[[#This Row],[Ventas meta ads]]</f>
        <v>0</v>
      </c>
      <c r="AD973" s="14">
        <f>IFERROR(TableDailySummary[[#This Row],[Ventas publicidad]]/TableDailySummary[[#This Row],[Inversión publicidad]],0)</f>
        <v>0</v>
      </c>
      <c r="AE973" s="14">
        <f>IFERROR(TableDailySummary[[#This Row],[Ventas primer cliente]]/TableDailySummary[[#This Row],[Inversión publicidad]],0)</f>
        <v>0</v>
      </c>
      <c r="AF973" s="14"/>
      <c r="AG973" s="11"/>
      <c r="AM973" s="11">
        <f>_xlfn.XLOOKUP(TableDailySummary[[#This Row],[Fecha]],SummaryDaily[day],SummaryDaily[net_sales_with_cost_recorded],0)</f>
        <v>0</v>
      </c>
      <c r="AN973" s="11">
        <f>_xlfn.XLOOKUP(TableDailySummary[[#This Row],[Fecha]],SummaryDaily[day],SummaryDaily[cost_of_goods_sold],0)</f>
        <v>0</v>
      </c>
      <c r="AO973" s="11">
        <f>_xlfn.XLOOKUP(TableDailySummary[[#This Row],[Fecha]],SummaryDaily[day],SummaryDaily[gross_profit],0)</f>
        <v>0</v>
      </c>
      <c r="AP973" s="18">
        <f>IFERROR(TableDailySummary[[#This Row],[Utilidad bruta]]/TableDailySummary[[#This Row],[Ventas netas con costo registrado]],0)</f>
        <v>0</v>
      </c>
    </row>
    <row r="974" spans="2:42" x14ac:dyDescent="0.2">
      <c r="B974" s="15" cm="1">
        <f t="array" ref="B974">ParamFechaInicioReporte + (ROW(TableDailySummary[#This Row]) - ROW(TableDailySummary[[#Headers],[Dia]]) - 1)</f>
        <v>45501</v>
      </c>
      <c r="C974" s="6">
        <f>TableDailySummary[[#This Row],[Dia]]</f>
        <v>45501</v>
      </c>
      <c r="D974" s="11">
        <f>_xlfn.XLOOKUP(TableDailySummary[[#This Row],[Fecha]],SummaryDaily[day],SummaryDaily[net_sales],0)</f>
        <v>0</v>
      </c>
      <c r="E974" s="11">
        <f>_xlfn.XLOOKUP(TableDailySummary[[#This Row],[Fecha]],SummaryDaily[day],SummaryDaily[orders],0)</f>
        <v>0</v>
      </c>
      <c r="F974" s="11">
        <f>_xlfn.XLOOKUP(TableDailySummary[[#This Row],[Fecha]],SummaryDaily[day],SummaryDaily[average_order_value],0)</f>
        <v>0</v>
      </c>
      <c r="G974" s="24" cm="1">
        <f t="array" ref="G974">_xlfn.XLOOKUP(TableDailySummary[[#This Row],[Fecha]]&amp;"Total site",ConversionRateByReferral[day]&amp;ConversionRateByReferral[referrer_source],ConversionRateByReferral[conversion_rate],0)</f>
        <v>0</v>
      </c>
      <c r="H974" s="11">
        <f>TableDailySummary[[#This Row],[Órden promedio totales]]*TableDailySummary[[#This Row],[CR totales]]</f>
        <v>0</v>
      </c>
      <c r="I974" s="11">
        <f>_xlfn.XLOOKUP(TableDailySummary[[#This Row],[Fecha]],SummaryDaily[day],SummaryDaily[new_net_sales],0)</f>
        <v>0</v>
      </c>
      <c r="J974" s="11">
        <f>_xlfn.XLOOKUP(TableDailySummary[[#This Row],[Fecha]],SummaryDaily[day],SummaryDaily[new_orders],0)</f>
        <v>0</v>
      </c>
      <c r="K974" s="11">
        <f>_xlfn.XLOOKUP(TableDailySummary[[#This Row],[Fecha]],SummaryDaily[day],SummaryDaily[new_average_order_value],0)</f>
        <v>0</v>
      </c>
      <c r="L974" s="11">
        <f>_xlfn.XLOOKUP(TableDailySummary[[#This Row],[Fecha]],SummaryDaily[day],SummaryDaily[Online Store_net_sales],0)</f>
        <v>0</v>
      </c>
      <c r="M974" s="11">
        <f>_xlfn.XLOOKUP(TableDailySummary[[#This Row],[Fecha]],SummaryDaily[day],SummaryDaily[Online Store_orders],0)</f>
        <v>0</v>
      </c>
      <c r="N974" s="11">
        <f>_xlfn.XLOOKUP(TableDailySummary[[#This Row],[Fecha]],SummaryDaily[day],SummaryDaily[Online Store_average_order_value],0)</f>
        <v>0</v>
      </c>
      <c r="O974" s="11">
        <f>_xlfn.XLOOKUP(TableDailySummary[[#This Row],[Fecha]],SummaryDaily[day],SummaryDaily[Tienda 81_net_sales],0)</f>
        <v>0</v>
      </c>
      <c r="P974" s="11">
        <f>_xlfn.XLOOKUP(TableDailySummary[[#This Row],[Fecha]],SummaryDaily[day],SummaryDaily[Tienda 81_orders],0)</f>
        <v>0</v>
      </c>
      <c r="Q974" s="11">
        <f>_xlfn.XLOOKUP(TableDailySummary[[#This Row],[Fecha]],SummaryDaily[day],SummaryDaily[Tienda 81_average_order_value],0)</f>
        <v>0</v>
      </c>
      <c r="R974" s="11">
        <f>_xlfn.XLOOKUP(TableDailySummary[[#This Row],[Fecha]],SummaryDaily[day],SummaryDaily[Rappi_net_sales],0)</f>
        <v>0</v>
      </c>
      <c r="S974" s="11">
        <f>_xlfn.XLOOKUP(TableDailySummary[[#This Row],[Fecha]],SummaryDaily[day],SummaryDaily[Rappi_orders],0)</f>
        <v>0</v>
      </c>
      <c r="T974" s="11">
        <f>_xlfn.XLOOKUP(TableDailySummary[[#This Row],[Fecha]],SummaryDaily[day],SummaryDaily[Rappi_average_order_value],0)</f>
        <v>0</v>
      </c>
      <c r="U974" s="11">
        <f>_xlfn.XLOOKUP(TableDailySummary[[#This Row],[Fecha]],SummaryDaily[day],SummaryDaily[Corporativo no tienda_net_sales],0)</f>
        <v>0</v>
      </c>
      <c r="V974" s="11">
        <f>_xlfn.XLOOKUP(TableDailySummary[[#This Row],[Fecha]],SummaryDaily[day],SummaryDaily[Corporativo no tienda_orders],0)</f>
        <v>0</v>
      </c>
      <c r="W974" s="11">
        <f>_xlfn.XLOOKUP(TableDailySummary[[#This Row],[Fecha]],SummaryDaily[day],SummaryDaily[Corporativo no tienda_average_order_value],0)</f>
        <v>0</v>
      </c>
      <c r="X974" s="11">
        <f>_xlfn.XLOOKUP(TableDailySummary[[#This Row],[Fecha]],SummaryDaily[day],SummaryDaily[GoogleAdsOperation.Cost],0)</f>
        <v>0</v>
      </c>
      <c r="Y974" s="11">
        <f>SUMIFS(SalesByUTMDaily[google],SalesByUTMDaily[day],TableDailySummary[[#This Row],[Fecha]])</f>
        <v>0</v>
      </c>
      <c r="Z974" s="11">
        <f>_xlfn.XLOOKUP(TableDailySummary[[#This Row],[Fecha]],SummaryDaily[day],SummaryDaily[MetaAdsOperation.spend],0)</f>
        <v>0</v>
      </c>
      <c r="AA974" s="11">
        <f>SUMIFS(SalesByUTMDaily[facebook],SalesByUTMDaily[day],TableDailySummary[[#This Row],[Fecha]])</f>
        <v>0</v>
      </c>
      <c r="AB974" s="11">
        <f>TableDailySummary[[#This Row],[Inversión google ads]]+TableDailySummary[[#This Row],[Inversión meta ads]]</f>
        <v>0</v>
      </c>
      <c r="AC974" s="11">
        <f>TableDailySummary[[#This Row],[Ventas google ads]]+TableDailySummary[[#This Row],[Ventas meta ads]]</f>
        <v>0</v>
      </c>
      <c r="AD974" s="14">
        <f>IFERROR(TableDailySummary[[#This Row],[Ventas publicidad]]/TableDailySummary[[#This Row],[Inversión publicidad]],0)</f>
        <v>0</v>
      </c>
      <c r="AE974" s="14">
        <f>IFERROR(TableDailySummary[[#This Row],[Ventas primer cliente]]/TableDailySummary[[#This Row],[Inversión publicidad]],0)</f>
        <v>0</v>
      </c>
      <c r="AF974" s="14"/>
      <c r="AG974" s="11"/>
      <c r="AM974" s="11">
        <f>_xlfn.XLOOKUP(TableDailySummary[[#This Row],[Fecha]],SummaryDaily[day],SummaryDaily[net_sales_with_cost_recorded],0)</f>
        <v>0</v>
      </c>
      <c r="AN974" s="11">
        <f>_xlfn.XLOOKUP(TableDailySummary[[#This Row],[Fecha]],SummaryDaily[day],SummaryDaily[cost_of_goods_sold],0)</f>
        <v>0</v>
      </c>
      <c r="AO974" s="11">
        <f>_xlfn.XLOOKUP(TableDailySummary[[#This Row],[Fecha]],SummaryDaily[day],SummaryDaily[gross_profit],0)</f>
        <v>0</v>
      </c>
      <c r="AP974" s="18">
        <f>IFERROR(TableDailySummary[[#This Row],[Utilidad bruta]]/TableDailySummary[[#This Row],[Ventas netas con costo registrado]],0)</f>
        <v>0</v>
      </c>
    </row>
    <row r="975" spans="2:42" x14ac:dyDescent="0.2">
      <c r="B975" s="15" cm="1">
        <f t="array" ref="B975">ParamFechaInicioReporte + (ROW(TableDailySummary[#This Row]) - ROW(TableDailySummary[[#Headers],[Dia]]) - 1)</f>
        <v>45502</v>
      </c>
      <c r="C975" s="6">
        <f>TableDailySummary[[#This Row],[Dia]]</f>
        <v>45502</v>
      </c>
      <c r="D975" s="11">
        <f>_xlfn.XLOOKUP(TableDailySummary[[#This Row],[Fecha]],SummaryDaily[day],SummaryDaily[net_sales],0)</f>
        <v>0</v>
      </c>
      <c r="E975" s="11">
        <f>_xlfn.XLOOKUP(TableDailySummary[[#This Row],[Fecha]],SummaryDaily[day],SummaryDaily[orders],0)</f>
        <v>0</v>
      </c>
      <c r="F975" s="11">
        <f>_xlfn.XLOOKUP(TableDailySummary[[#This Row],[Fecha]],SummaryDaily[day],SummaryDaily[average_order_value],0)</f>
        <v>0</v>
      </c>
      <c r="G975" s="24" cm="1">
        <f t="array" ref="G975">_xlfn.XLOOKUP(TableDailySummary[[#This Row],[Fecha]]&amp;"Total site",ConversionRateByReferral[day]&amp;ConversionRateByReferral[referrer_source],ConversionRateByReferral[conversion_rate],0)</f>
        <v>0</v>
      </c>
      <c r="H975" s="11">
        <f>TableDailySummary[[#This Row],[Órden promedio totales]]*TableDailySummary[[#This Row],[CR totales]]</f>
        <v>0</v>
      </c>
      <c r="I975" s="11">
        <f>_xlfn.XLOOKUP(TableDailySummary[[#This Row],[Fecha]],SummaryDaily[day],SummaryDaily[new_net_sales],0)</f>
        <v>0</v>
      </c>
      <c r="J975" s="11">
        <f>_xlfn.XLOOKUP(TableDailySummary[[#This Row],[Fecha]],SummaryDaily[day],SummaryDaily[new_orders],0)</f>
        <v>0</v>
      </c>
      <c r="K975" s="11">
        <f>_xlfn.XLOOKUP(TableDailySummary[[#This Row],[Fecha]],SummaryDaily[day],SummaryDaily[new_average_order_value],0)</f>
        <v>0</v>
      </c>
      <c r="L975" s="11">
        <f>_xlfn.XLOOKUP(TableDailySummary[[#This Row],[Fecha]],SummaryDaily[day],SummaryDaily[Online Store_net_sales],0)</f>
        <v>0</v>
      </c>
      <c r="M975" s="11">
        <f>_xlfn.XLOOKUP(TableDailySummary[[#This Row],[Fecha]],SummaryDaily[day],SummaryDaily[Online Store_orders],0)</f>
        <v>0</v>
      </c>
      <c r="N975" s="11">
        <f>_xlfn.XLOOKUP(TableDailySummary[[#This Row],[Fecha]],SummaryDaily[day],SummaryDaily[Online Store_average_order_value],0)</f>
        <v>0</v>
      </c>
      <c r="O975" s="11">
        <f>_xlfn.XLOOKUP(TableDailySummary[[#This Row],[Fecha]],SummaryDaily[day],SummaryDaily[Tienda 81_net_sales],0)</f>
        <v>0</v>
      </c>
      <c r="P975" s="11">
        <f>_xlfn.XLOOKUP(TableDailySummary[[#This Row],[Fecha]],SummaryDaily[day],SummaryDaily[Tienda 81_orders],0)</f>
        <v>0</v>
      </c>
      <c r="Q975" s="11">
        <f>_xlfn.XLOOKUP(TableDailySummary[[#This Row],[Fecha]],SummaryDaily[day],SummaryDaily[Tienda 81_average_order_value],0)</f>
        <v>0</v>
      </c>
      <c r="R975" s="11">
        <f>_xlfn.XLOOKUP(TableDailySummary[[#This Row],[Fecha]],SummaryDaily[day],SummaryDaily[Rappi_net_sales],0)</f>
        <v>0</v>
      </c>
      <c r="S975" s="11">
        <f>_xlfn.XLOOKUP(TableDailySummary[[#This Row],[Fecha]],SummaryDaily[day],SummaryDaily[Rappi_orders],0)</f>
        <v>0</v>
      </c>
      <c r="T975" s="11">
        <f>_xlfn.XLOOKUP(TableDailySummary[[#This Row],[Fecha]],SummaryDaily[day],SummaryDaily[Rappi_average_order_value],0)</f>
        <v>0</v>
      </c>
      <c r="U975" s="11">
        <f>_xlfn.XLOOKUP(TableDailySummary[[#This Row],[Fecha]],SummaryDaily[day],SummaryDaily[Corporativo no tienda_net_sales],0)</f>
        <v>0</v>
      </c>
      <c r="V975" s="11">
        <f>_xlfn.XLOOKUP(TableDailySummary[[#This Row],[Fecha]],SummaryDaily[day],SummaryDaily[Corporativo no tienda_orders],0)</f>
        <v>0</v>
      </c>
      <c r="W975" s="11">
        <f>_xlfn.XLOOKUP(TableDailySummary[[#This Row],[Fecha]],SummaryDaily[day],SummaryDaily[Corporativo no tienda_average_order_value],0)</f>
        <v>0</v>
      </c>
      <c r="X975" s="11">
        <f>_xlfn.XLOOKUP(TableDailySummary[[#This Row],[Fecha]],SummaryDaily[day],SummaryDaily[GoogleAdsOperation.Cost],0)</f>
        <v>0</v>
      </c>
      <c r="Y975" s="11">
        <f>SUMIFS(SalesByUTMDaily[google],SalesByUTMDaily[day],TableDailySummary[[#This Row],[Fecha]])</f>
        <v>0</v>
      </c>
      <c r="Z975" s="11">
        <f>_xlfn.XLOOKUP(TableDailySummary[[#This Row],[Fecha]],SummaryDaily[day],SummaryDaily[MetaAdsOperation.spend],0)</f>
        <v>0</v>
      </c>
      <c r="AA975" s="11">
        <f>SUMIFS(SalesByUTMDaily[facebook],SalesByUTMDaily[day],TableDailySummary[[#This Row],[Fecha]])</f>
        <v>0</v>
      </c>
      <c r="AB975" s="11">
        <f>TableDailySummary[[#This Row],[Inversión google ads]]+TableDailySummary[[#This Row],[Inversión meta ads]]</f>
        <v>0</v>
      </c>
      <c r="AC975" s="11">
        <f>TableDailySummary[[#This Row],[Ventas google ads]]+TableDailySummary[[#This Row],[Ventas meta ads]]</f>
        <v>0</v>
      </c>
      <c r="AD975" s="14">
        <f>IFERROR(TableDailySummary[[#This Row],[Ventas publicidad]]/TableDailySummary[[#This Row],[Inversión publicidad]],0)</f>
        <v>0</v>
      </c>
      <c r="AE975" s="14">
        <f>IFERROR(TableDailySummary[[#This Row],[Ventas primer cliente]]/TableDailySummary[[#This Row],[Inversión publicidad]],0)</f>
        <v>0</v>
      </c>
      <c r="AF975" s="14"/>
      <c r="AG975" s="11"/>
      <c r="AM975" s="11">
        <f>_xlfn.XLOOKUP(TableDailySummary[[#This Row],[Fecha]],SummaryDaily[day],SummaryDaily[net_sales_with_cost_recorded],0)</f>
        <v>0</v>
      </c>
      <c r="AN975" s="11">
        <f>_xlfn.XLOOKUP(TableDailySummary[[#This Row],[Fecha]],SummaryDaily[day],SummaryDaily[cost_of_goods_sold],0)</f>
        <v>0</v>
      </c>
      <c r="AO975" s="11">
        <f>_xlfn.XLOOKUP(TableDailySummary[[#This Row],[Fecha]],SummaryDaily[day],SummaryDaily[gross_profit],0)</f>
        <v>0</v>
      </c>
      <c r="AP975" s="18">
        <f>IFERROR(TableDailySummary[[#This Row],[Utilidad bruta]]/TableDailySummary[[#This Row],[Ventas netas con costo registrado]],0)</f>
        <v>0</v>
      </c>
    </row>
    <row r="976" spans="2:42" x14ac:dyDescent="0.2">
      <c r="B976" s="15" cm="1">
        <f t="array" ref="B976">ParamFechaInicioReporte + (ROW(TableDailySummary[#This Row]) - ROW(TableDailySummary[[#Headers],[Dia]]) - 1)</f>
        <v>45503</v>
      </c>
      <c r="C976" s="6">
        <f>TableDailySummary[[#This Row],[Dia]]</f>
        <v>45503</v>
      </c>
      <c r="D976" s="11">
        <f>_xlfn.XLOOKUP(TableDailySummary[[#This Row],[Fecha]],SummaryDaily[day],SummaryDaily[net_sales],0)</f>
        <v>0</v>
      </c>
      <c r="E976" s="11">
        <f>_xlfn.XLOOKUP(TableDailySummary[[#This Row],[Fecha]],SummaryDaily[day],SummaryDaily[orders],0)</f>
        <v>0</v>
      </c>
      <c r="F976" s="11">
        <f>_xlfn.XLOOKUP(TableDailySummary[[#This Row],[Fecha]],SummaryDaily[day],SummaryDaily[average_order_value],0)</f>
        <v>0</v>
      </c>
      <c r="G976" s="24" cm="1">
        <f t="array" ref="G976">_xlfn.XLOOKUP(TableDailySummary[[#This Row],[Fecha]]&amp;"Total site",ConversionRateByReferral[day]&amp;ConversionRateByReferral[referrer_source],ConversionRateByReferral[conversion_rate],0)</f>
        <v>0</v>
      </c>
      <c r="H976" s="11">
        <f>TableDailySummary[[#This Row],[Órden promedio totales]]*TableDailySummary[[#This Row],[CR totales]]</f>
        <v>0</v>
      </c>
      <c r="I976" s="11">
        <f>_xlfn.XLOOKUP(TableDailySummary[[#This Row],[Fecha]],SummaryDaily[day],SummaryDaily[new_net_sales],0)</f>
        <v>0</v>
      </c>
      <c r="J976" s="11">
        <f>_xlfn.XLOOKUP(TableDailySummary[[#This Row],[Fecha]],SummaryDaily[day],SummaryDaily[new_orders],0)</f>
        <v>0</v>
      </c>
      <c r="K976" s="11">
        <f>_xlfn.XLOOKUP(TableDailySummary[[#This Row],[Fecha]],SummaryDaily[day],SummaryDaily[new_average_order_value],0)</f>
        <v>0</v>
      </c>
      <c r="L976" s="11">
        <f>_xlfn.XLOOKUP(TableDailySummary[[#This Row],[Fecha]],SummaryDaily[day],SummaryDaily[Online Store_net_sales],0)</f>
        <v>0</v>
      </c>
      <c r="M976" s="11">
        <f>_xlfn.XLOOKUP(TableDailySummary[[#This Row],[Fecha]],SummaryDaily[day],SummaryDaily[Online Store_orders],0)</f>
        <v>0</v>
      </c>
      <c r="N976" s="11">
        <f>_xlfn.XLOOKUP(TableDailySummary[[#This Row],[Fecha]],SummaryDaily[day],SummaryDaily[Online Store_average_order_value],0)</f>
        <v>0</v>
      </c>
      <c r="O976" s="11">
        <f>_xlfn.XLOOKUP(TableDailySummary[[#This Row],[Fecha]],SummaryDaily[day],SummaryDaily[Tienda 81_net_sales],0)</f>
        <v>0</v>
      </c>
      <c r="P976" s="11">
        <f>_xlfn.XLOOKUP(TableDailySummary[[#This Row],[Fecha]],SummaryDaily[day],SummaryDaily[Tienda 81_orders],0)</f>
        <v>0</v>
      </c>
      <c r="Q976" s="11">
        <f>_xlfn.XLOOKUP(TableDailySummary[[#This Row],[Fecha]],SummaryDaily[day],SummaryDaily[Tienda 81_average_order_value],0)</f>
        <v>0</v>
      </c>
      <c r="R976" s="11">
        <f>_xlfn.XLOOKUP(TableDailySummary[[#This Row],[Fecha]],SummaryDaily[day],SummaryDaily[Rappi_net_sales],0)</f>
        <v>0</v>
      </c>
      <c r="S976" s="11">
        <f>_xlfn.XLOOKUP(TableDailySummary[[#This Row],[Fecha]],SummaryDaily[day],SummaryDaily[Rappi_orders],0)</f>
        <v>0</v>
      </c>
      <c r="T976" s="11">
        <f>_xlfn.XLOOKUP(TableDailySummary[[#This Row],[Fecha]],SummaryDaily[day],SummaryDaily[Rappi_average_order_value],0)</f>
        <v>0</v>
      </c>
      <c r="U976" s="11">
        <f>_xlfn.XLOOKUP(TableDailySummary[[#This Row],[Fecha]],SummaryDaily[day],SummaryDaily[Corporativo no tienda_net_sales],0)</f>
        <v>0</v>
      </c>
      <c r="V976" s="11">
        <f>_xlfn.XLOOKUP(TableDailySummary[[#This Row],[Fecha]],SummaryDaily[day],SummaryDaily[Corporativo no tienda_orders],0)</f>
        <v>0</v>
      </c>
      <c r="W976" s="11">
        <f>_xlfn.XLOOKUP(TableDailySummary[[#This Row],[Fecha]],SummaryDaily[day],SummaryDaily[Corporativo no tienda_average_order_value],0)</f>
        <v>0</v>
      </c>
      <c r="X976" s="11">
        <f>_xlfn.XLOOKUP(TableDailySummary[[#This Row],[Fecha]],SummaryDaily[day],SummaryDaily[GoogleAdsOperation.Cost],0)</f>
        <v>0</v>
      </c>
      <c r="Y976" s="11">
        <f>SUMIFS(SalesByUTMDaily[google],SalesByUTMDaily[day],TableDailySummary[[#This Row],[Fecha]])</f>
        <v>0</v>
      </c>
      <c r="Z976" s="11">
        <f>_xlfn.XLOOKUP(TableDailySummary[[#This Row],[Fecha]],SummaryDaily[day],SummaryDaily[MetaAdsOperation.spend],0)</f>
        <v>0</v>
      </c>
      <c r="AA976" s="11">
        <f>SUMIFS(SalesByUTMDaily[facebook],SalesByUTMDaily[day],TableDailySummary[[#This Row],[Fecha]])</f>
        <v>0</v>
      </c>
      <c r="AB976" s="11">
        <f>TableDailySummary[[#This Row],[Inversión google ads]]+TableDailySummary[[#This Row],[Inversión meta ads]]</f>
        <v>0</v>
      </c>
      <c r="AC976" s="11">
        <f>TableDailySummary[[#This Row],[Ventas google ads]]+TableDailySummary[[#This Row],[Ventas meta ads]]</f>
        <v>0</v>
      </c>
      <c r="AD976" s="14">
        <f>IFERROR(TableDailySummary[[#This Row],[Ventas publicidad]]/TableDailySummary[[#This Row],[Inversión publicidad]],0)</f>
        <v>0</v>
      </c>
      <c r="AE976" s="14">
        <f>IFERROR(TableDailySummary[[#This Row],[Ventas primer cliente]]/TableDailySummary[[#This Row],[Inversión publicidad]],0)</f>
        <v>0</v>
      </c>
      <c r="AF976" s="14"/>
      <c r="AG976" s="11"/>
      <c r="AM976" s="11">
        <f>_xlfn.XLOOKUP(TableDailySummary[[#This Row],[Fecha]],SummaryDaily[day],SummaryDaily[net_sales_with_cost_recorded],0)</f>
        <v>0</v>
      </c>
      <c r="AN976" s="11">
        <f>_xlfn.XLOOKUP(TableDailySummary[[#This Row],[Fecha]],SummaryDaily[day],SummaryDaily[cost_of_goods_sold],0)</f>
        <v>0</v>
      </c>
      <c r="AO976" s="11">
        <f>_xlfn.XLOOKUP(TableDailySummary[[#This Row],[Fecha]],SummaryDaily[day],SummaryDaily[gross_profit],0)</f>
        <v>0</v>
      </c>
      <c r="AP976" s="18">
        <f>IFERROR(TableDailySummary[[#This Row],[Utilidad bruta]]/TableDailySummary[[#This Row],[Ventas netas con costo registrado]],0)</f>
        <v>0</v>
      </c>
    </row>
    <row r="977" spans="2:42" x14ac:dyDescent="0.2">
      <c r="B977" s="15" cm="1">
        <f t="array" ref="B977">ParamFechaInicioReporte + (ROW(TableDailySummary[#This Row]) - ROW(TableDailySummary[[#Headers],[Dia]]) - 1)</f>
        <v>45504</v>
      </c>
      <c r="C977" s="6">
        <f>TableDailySummary[[#This Row],[Dia]]</f>
        <v>45504</v>
      </c>
      <c r="D977" s="11">
        <f>_xlfn.XLOOKUP(TableDailySummary[[#This Row],[Fecha]],SummaryDaily[day],SummaryDaily[net_sales],0)</f>
        <v>0</v>
      </c>
      <c r="E977" s="11">
        <f>_xlfn.XLOOKUP(TableDailySummary[[#This Row],[Fecha]],SummaryDaily[day],SummaryDaily[orders],0)</f>
        <v>0</v>
      </c>
      <c r="F977" s="11">
        <f>_xlfn.XLOOKUP(TableDailySummary[[#This Row],[Fecha]],SummaryDaily[day],SummaryDaily[average_order_value],0)</f>
        <v>0</v>
      </c>
      <c r="G977" s="24" cm="1">
        <f t="array" ref="G977">_xlfn.XLOOKUP(TableDailySummary[[#This Row],[Fecha]]&amp;"Total site",ConversionRateByReferral[day]&amp;ConversionRateByReferral[referrer_source],ConversionRateByReferral[conversion_rate],0)</f>
        <v>0</v>
      </c>
      <c r="H977" s="11">
        <f>TableDailySummary[[#This Row],[Órden promedio totales]]*TableDailySummary[[#This Row],[CR totales]]</f>
        <v>0</v>
      </c>
      <c r="I977" s="11">
        <f>_xlfn.XLOOKUP(TableDailySummary[[#This Row],[Fecha]],SummaryDaily[day],SummaryDaily[new_net_sales],0)</f>
        <v>0</v>
      </c>
      <c r="J977" s="11">
        <f>_xlfn.XLOOKUP(TableDailySummary[[#This Row],[Fecha]],SummaryDaily[day],SummaryDaily[new_orders],0)</f>
        <v>0</v>
      </c>
      <c r="K977" s="11">
        <f>_xlfn.XLOOKUP(TableDailySummary[[#This Row],[Fecha]],SummaryDaily[day],SummaryDaily[new_average_order_value],0)</f>
        <v>0</v>
      </c>
      <c r="L977" s="11">
        <f>_xlfn.XLOOKUP(TableDailySummary[[#This Row],[Fecha]],SummaryDaily[day],SummaryDaily[Online Store_net_sales],0)</f>
        <v>0</v>
      </c>
      <c r="M977" s="11">
        <f>_xlfn.XLOOKUP(TableDailySummary[[#This Row],[Fecha]],SummaryDaily[day],SummaryDaily[Online Store_orders],0)</f>
        <v>0</v>
      </c>
      <c r="N977" s="11">
        <f>_xlfn.XLOOKUP(TableDailySummary[[#This Row],[Fecha]],SummaryDaily[day],SummaryDaily[Online Store_average_order_value],0)</f>
        <v>0</v>
      </c>
      <c r="O977" s="11">
        <f>_xlfn.XLOOKUP(TableDailySummary[[#This Row],[Fecha]],SummaryDaily[day],SummaryDaily[Tienda 81_net_sales],0)</f>
        <v>0</v>
      </c>
      <c r="P977" s="11">
        <f>_xlfn.XLOOKUP(TableDailySummary[[#This Row],[Fecha]],SummaryDaily[day],SummaryDaily[Tienda 81_orders],0)</f>
        <v>0</v>
      </c>
      <c r="Q977" s="11">
        <f>_xlfn.XLOOKUP(TableDailySummary[[#This Row],[Fecha]],SummaryDaily[day],SummaryDaily[Tienda 81_average_order_value],0)</f>
        <v>0</v>
      </c>
      <c r="R977" s="11">
        <f>_xlfn.XLOOKUP(TableDailySummary[[#This Row],[Fecha]],SummaryDaily[day],SummaryDaily[Rappi_net_sales],0)</f>
        <v>0</v>
      </c>
      <c r="S977" s="11">
        <f>_xlfn.XLOOKUP(TableDailySummary[[#This Row],[Fecha]],SummaryDaily[day],SummaryDaily[Rappi_orders],0)</f>
        <v>0</v>
      </c>
      <c r="T977" s="11">
        <f>_xlfn.XLOOKUP(TableDailySummary[[#This Row],[Fecha]],SummaryDaily[day],SummaryDaily[Rappi_average_order_value],0)</f>
        <v>0</v>
      </c>
      <c r="U977" s="11">
        <f>_xlfn.XLOOKUP(TableDailySummary[[#This Row],[Fecha]],SummaryDaily[day],SummaryDaily[Corporativo no tienda_net_sales],0)</f>
        <v>0</v>
      </c>
      <c r="V977" s="11">
        <f>_xlfn.XLOOKUP(TableDailySummary[[#This Row],[Fecha]],SummaryDaily[day],SummaryDaily[Corporativo no tienda_orders],0)</f>
        <v>0</v>
      </c>
      <c r="W977" s="11">
        <f>_xlfn.XLOOKUP(TableDailySummary[[#This Row],[Fecha]],SummaryDaily[day],SummaryDaily[Corporativo no tienda_average_order_value],0)</f>
        <v>0</v>
      </c>
      <c r="X977" s="11">
        <f>_xlfn.XLOOKUP(TableDailySummary[[#This Row],[Fecha]],SummaryDaily[day],SummaryDaily[GoogleAdsOperation.Cost],0)</f>
        <v>0</v>
      </c>
      <c r="Y977" s="11">
        <f>SUMIFS(SalesByUTMDaily[google],SalesByUTMDaily[day],TableDailySummary[[#This Row],[Fecha]])</f>
        <v>0</v>
      </c>
      <c r="Z977" s="11">
        <f>_xlfn.XLOOKUP(TableDailySummary[[#This Row],[Fecha]],SummaryDaily[day],SummaryDaily[MetaAdsOperation.spend],0)</f>
        <v>0</v>
      </c>
      <c r="AA977" s="11">
        <f>SUMIFS(SalesByUTMDaily[facebook],SalesByUTMDaily[day],TableDailySummary[[#This Row],[Fecha]])</f>
        <v>0</v>
      </c>
      <c r="AB977" s="11">
        <f>TableDailySummary[[#This Row],[Inversión google ads]]+TableDailySummary[[#This Row],[Inversión meta ads]]</f>
        <v>0</v>
      </c>
      <c r="AC977" s="11">
        <f>TableDailySummary[[#This Row],[Ventas google ads]]+TableDailySummary[[#This Row],[Ventas meta ads]]</f>
        <v>0</v>
      </c>
      <c r="AD977" s="14">
        <f>IFERROR(TableDailySummary[[#This Row],[Ventas publicidad]]/TableDailySummary[[#This Row],[Inversión publicidad]],0)</f>
        <v>0</v>
      </c>
      <c r="AE977" s="14">
        <f>IFERROR(TableDailySummary[[#This Row],[Ventas primer cliente]]/TableDailySummary[[#This Row],[Inversión publicidad]],0)</f>
        <v>0</v>
      </c>
      <c r="AF977" s="14"/>
      <c r="AG977" s="11"/>
      <c r="AM977" s="11">
        <f>_xlfn.XLOOKUP(TableDailySummary[[#This Row],[Fecha]],SummaryDaily[day],SummaryDaily[net_sales_with_cost_recorded],0)</f>
        <v>0</v>
      </c>
      <c r="AN977" s="11">
        <f>_xlfn.XLOOKUP(TableDailySummary[[#This Row],[Fecha]],SummaryDaily[day],SummaryDaily[cost_of_goods_sold],0)</f>
        <v>0</v>
      </c>
      <c r="AO977" s="11">
        <f>_xlfn.XLOOKUP(TableDailySummary[[#This Row],[Fecha]],SummaryDaily[day],SummaryDaily[gross_profit],0)</f>
        <v>0</v>
      </c>
      <c r="AP977" s="18">
        <f>IFERROR(TableDailySummary[[#This Row],[Utilidad bruta]]/TableDailySummary[[#This Row],[Ventas netas con costo registrado]],0)</f>
        <v>0</v>
      </c>
    </row>
    <row r="978" spans="2:42" x14ac:dyDescent="0.2">
      <c r="B978" s="15" cm="1">
        <f t="array" ref="B978">ParamFechaInicioReporte + (ROW(TableDailySummary[#This Row]) - ROW(TableDailySummary[[#Headers],[Dia]]) - 1)</f>
        <v>45505</v>
      </c>
      <c r="C978" s="6">
        <f>TableDailySummary[[#This Row],[Dia]]</f>
        <v>45505</v>
      </c>
      <c r="D978" s="11">
        <f>_xlfn.XLOOKUP(TableDailySummary[[#This Row],[Fecha]],SummaryDaily[day],SummaryDaily[net_sales],0)</f>
        <v>0</v>
      </c>
      <c r="E978" s="11">
        <f>_xlfn.XLOOKUP(TableDailySummary[[#This Row],[Fecha]],SummaryDaily[day],SummaryDaily[orders],0)</f>
        <v>0</v>
      </c>
      <c r="F978" s="11">
        <f>_xlfn.XLOOKUP(TableDailySummary[[#This Row],[Fecha]],SummaryDaily[day],SummaryDaily[average_order_value],0)</f>
        <v>0</v>
      </c>
      <c r="G978" s="24" cm="1">
        <f t="array" ref="G978">_xlfn.XLOOKUP(TableDailySummary[[#This Row],[Fecha]]&amp;"Total site",ConversionRateByReferral[day]&amp;ConversionRateByReferral[referrer_source],ConversionRateByReferral[conversion_rate],0)</f>
        <v>0</v>
      </c>
      <c r="H978" s="11">
        <f>TableDailySummary[[#This Row],[Órden promedio totales]]*TableDailySummary[[#This Row],[CR totales]]</f>
        <v>0</v>
      </c>
      <c r="I978" s="11">
        <f>_xlfn.XLOOKUP(TableDailySummary[[#This Row],[Fecha]],SummaryDaily[day],SummaryDaily[new_net_sales],0)</f>
        <v>0</v>
      </c>
      <c r="J978" s="11">
        <f>_xlfn.XLOOKUP(TableDailySummary[[#This Row],[Fecha]],SummaryDaily[day],SummaryDaily[new_orders],0)</f>
        <v>0</v>
      </c>
      <c r="K978" s="11">
        <f>_xlfn.XLOOKUP(TableDailySummary[[#This Row],[Fecha]],SummaryDaily[day],SummaryDaily[new_average_order_value],0)</f>
        <v>0</v>
      </c>
      <c r="L978" s="11">
        <f>_xlfn.XLOOKUP(TableDailySummary[[#This Row],[Fecha]],SummaryDaily[day],SummaryDaily[Online Store_net_sales],0)</f>
        <v>0</v>
      </c>
      <c r="M978" s="11">
        <f>_xlfn.XLOOKUP(TableDailySummary[[#This Row],[Fecha]],SummaryDaily[day],SummaryDaily[Online Store_orders],0)</f>
        <v>0</v>
      </c>
      <c r="N978" s="11">
        <f>_xlfn.XLOOKUP(TableDailySummary[[#This Row],[Fecha]],SummaryDaily[day],SummaryDaily[Online Store_average_order_value],0)</f>
        <v>0</v>
      </c>
      <c r="O978" s="11">
        <f>_xlfn.XLOOKUP(TableDailySummary[[#This Row],[Fecha]],SummaryDaily[day],SummaryDaily[Tienda 81_net_sales],0)</f>
        <v>0</v>
      </c>
      <c r="P978" s="11">
        <f>_xlfn.XLOOKUP(TableDailySummary[[#This Row],[Fecha]],SummaryDaily[day],SummaryDaily[Tienda 81_orders],0)</f>
        <v>0</v>
      </c>
      <c r="Q978" s="11">
        <f>_xlfn.XLOOKUP(TableDailySummary[[#This Row],[Fecha]],SummaryDaily[day],SummaryDaily[Tienda 81_average_order_value],0)</f>
        <v>0</v>
      </c>
      <c r="R978" s="11">
        <f>_xlfn.XLOOKUP(TableDailySummary[[#This Row],[Fecha]],SummaryDaily[day],SummaryDaily[Rappi_net_sales],0)</f>
        <v>0</v>
      </c>
      <c r="S978" s="11">
        <f>_xlfn.XLOOKUP(TableDailySummary[[#This Row],[Fecha]],SummaryDaily[day],SummaryDaily[Rappi_orders],0)</f>
        <v>0</v>
      </c>
      <c r="T978" s="11">
        <f>_xlfn.XLOOKUP(TableDailySummary[[#This Row],[Fecha]],SummaryDaily[day],SummaryDaily[Rappi_average_order_value],0)</f>
        <v>0</v>
      </c>
      <c r="U978" s="11">
        <f>_xlfn.XLOOKUP(TableDailySummary[[#This Row],[Fecha]],SummaryDaily[day],SummaryDaily[Corporativo no tienda_net_sales],0)</f>
        <v>0</v>
      </c>
      <c r="V978" s="11">
        <f>_xlfn.XLOOKUP(TableDailySummary[[#This Row],[Fecha]],SummaryDaily[day],SummaryDaily[Corporativo no tienda_orders],0)</f>
        <v>0</v>
      </c>
      <c r="W978" s="11">
        <f>_xlfn.XLOOKUP(TableDailySummary[[#This Row],[Fecha]],SummaryDaily[day],SummaryDaily[Corporativo no tienda_average_order_value],0)</f>
        <v>0</v>
      </c>
      <c r="X978" s="11">
        <f>_xlfn.XLOOKUP(TableDailySummary[[#This Row],[Fecha]],SummaryDaily[day],SummaryDaily[GoogleAdsOperation.Cost],0)</f>
        <v>0</v>
      </c>
      <c r="Y978" s="11">
        <f>SUMIFS(SalesByUTMDaily[google],SalesByUTMDaily[day],TableDailySummary[[#This Row],[Fecha]])</f>
        <v>0</v>
      </c>
      <c r="Z978" s="11">
        <f>_xlfn.XLOOKUP(TableDailySummary[[#This Row],[Fecha]],SummaryDaily[day],SummaryDaily[MetaAdsOperation.spend],0)</f>
        <v>0</v>
      </c>
      <c r="AA978" s="11">
        <f>SUMIFS(SalesByUTMDaily[facebook],SalesByUTMDaily[day],TableDailySummary[[#This Row],[Fecha]])</f>
        <v>0</v>
      </c>
      <c r="AB978" s="11">
        <f>TableDailySummary[[#This Row],[Inversión google ads]]+TableDailySummary[[#This Row],[Inversión meta ads]]</f>
        <v>0</v>
      </c>
      <c r="AC978" s="11">
        <f>TableDailySummary[[#This Row],[Ventas google ads]]+TableDailySummary[[#This Row],[Ventas meta ads]]</f>
        <v>0</v>
      </c>
      <c r="AD978" s="14">
        <f>IFERROR(TableDailySummary[[#This Row],[Ventas publicidad]]/TableDailySummary[[#This Row],[Inversión publicidad]],0)</f>
        <v>0</v>
      </c>
      <c r="AE978" s="14">
        <f>IFERROR(TableDailySummary[[#This Row],[Ventas primer cliente]]/TableDailySummary[[#This Row],[Inversión publicidad]],0)</f>
        <v>0</v>
      </c>
      <c r="AF978" s="14"/>
      <c r="AG978" s="11"/>
      <c r="AM978" s="11">
        <f>_xlfn.XLOOKUP(TableDailySummary[[#This Row],[Fecha]],SummaryDaily[day],SummaryDaily[net_sales_with_cost_recorded],0)</f>
        <v>0</v>
      </c>
      <c r="AN978" s="11">
        <f>_xlfn.XLOOKUP(TableDailySummary[[#This Row],[Fecha]],SummaryDaily[day],SummaryDaily[cost_of_goods_sold],0)</f>
        <v>0</v>
      </c>
      <c r="AO978" s="11">
        <f>_xlfn.XLOOKUP(TableDailySummary[[#This Row],[Fecha]],SummaryDaily[day],SummaryDaily[gross_profit],0)</f>
        <v>0</v>
      </c>
      <c r="AP978" s="18">
        <f>IFERROR(TableDailySummary[[#This Row],[Utilidad bruta]]/TableDailySummary[[#This Row],[Ventas netas con costo registrado]],0)</f>
        <v>0</v>
      </c>
    </row>
    <row r="979" spans="2:42" x14ac:dyDescent="0.2">
      <c r="B979" s="15" cm="1">
        <f t="array" ref="B979">ParamFechaInicioReporte + (ROW(TableDailySummary[#This Row]) - ROW(TableDailySummary[[#Headers],[Dia]]) - 1)</f>
        <v>45506</v>
      </c>
      <c r="C979" s="6">
        <f>TableDailySummary[[#This Row],[Dia]]</f>
        <v>45506</v>
      </c>
      <c r="D979" s="11">
        <f>_xlfn.XLOOKUP(TableDailySummary[[#This Row],[Fecha]],SummaryDaily[day],SummaryDaily[net_sales],0)</f>
        <v>0</v>
      </c>
      <c r="E979" s="11">
        <f>_xlfn.XLOOKUP(TableDailySummary[[#This Row],[Fecha]],SummaryDaily[day],SummaryDaily[orders],0)</f>
        <v>0</v>
      </c>
      <c r="F979" s="11">
        <f>_xlfn.XLOOKUP(TableDailySummary[[#This Row],[Fecha]],SummaryDaily[day],SummaryDaily[average_order_value],0)</f>
        <v>0</v>
      </c>
      <c r="G979" s="24" cm="1">
        <f t="array" ref="G979">_xlfn.XLOOKUP(TableDailySummary[[#This Row],[Fecha]]&amp;"Total site",ConversionRateByReferral[day]&amp;ConversionRateByReferral[referrer_source],ConversionRateByReferral[conversion_rate],0)</f>
        <v>0</v>
      </c>
      <c r="H979" s="11">
        <f>TableDailySummary[[#This Row],[Órden promedio totales]]*TableDailySummary[[#This Row],[CR totales]]</f>
        <v>0</v>
      </c>
      <c r="I979" s="11">
        <f>_xlfn.XLOOKUP(TableDailySummary[[#This Row],[Fecha]],SummaryDaily[day],SummaryDaily[new_net_sales],0)</f>
        <v>0</v>
      </c>
      <c r="J979" s="11">
        <f>_xlfn.XLOOKUP(TableDailySummary[[#This Row],[Fecha]],SummaryDaily[day],SummaryDaily[new_orders],0)</f>
        <v>0</v>
      </c>
      <c r="K979" s="11">
        <f>_xlfn.XLOOKUP(TableDailySummary[[#This Row],[Fecha]],SummaryDaily[day],SummaryDaily[new_average_order_value],0)</f>
        <v>0</v>
      </c>
      <c r="L979" s="11">
        <f>_xlfn.XLOOKUP(TableDailySummary[[#This Row],[Fecha]],SummaryDaily[day],SummaryDaily[Online Store_net_sales],0)</f>
        <v>0</v>
      </c>
      <c r="M979" s="11">
        <f>_xlfn.XLOOKUP(TableDailySummary[[#This Row],[Fecha]],SummaryDaily[day],SummaryDaily[Online Store_orders],0)</f>
        <v>0</v>
      </c>
      <c r="N979" s="11">
        <f>_xlfn.XLOOKUP(TableDailySummary[[#This Row],[Fecha]],SummaryDaily[day],SummaryDaily[Online Store_average_order_value],0)</f>
        <v>0</v>
      </c>
      <c r="O979" s="11">
        <f>_xlfn.XLOOKUP(TableDailySummary[[#This Row],[Fecha]],SummaryDaily[day],SummaryDaily[Tienda 81_net_sales],0)</f>
        <v>0</v>
      </c>
      <c r="P979" s="11">
        <f>_xlfn.XLOOKUP(TableDailySummary[[#This Row],[Fecha]],SummaryDaily[day],SummaryDaily[Tienda 81_orders],0)</f>
        <v>0</v>
      </c>
      <c r="Q979" s="11">
        <f>_xlfn.XLOOKUP(TableDailySummary[[#This Row],[Fecha]],SummaryDaily[day],SummaryDaily[Tienda 81_average_order_value],0)</f>
        <v>0</v>
      </c>
      <c r="R979" s="11">
        <f>_xlfn.XLOOKUP(TableDailySummary[[#This Row],[Fecha]],SummaryDaily[day],SummaryDaily[Rappi_net_sales],0)</f>
        <v>0</v>
      </c>
      <c r="S979" s="11">
        <f>_xlfn.XLOOKUP(TableDailySummary[[#This Row],[Fecha]],SummaryDaily[day],SummaryDaily[Rappi_orders],0)</f>
        <v>0</v>
      </c>
      <c r="T979" s="11">
        <f>_xlfn.XLOOKUP(TableDailySummary[[#This Row],[Fecha]],SummaryDaily[day],SummaryDaily[Rappi_average_order_value],0)</f>
        <v>0</v>
      </c>
      <c r="U979" s="11">
        <f>_xlfn.XLOOKUP(TableDailySummary[[#This Row],[Fecha]],SummaryDaily[day],SummaryDaily[Corporativo no tienda_net_sales],0)</f>
        <v>0</v>
      </c>
      <c r="V979" s="11">
        <f>_xlfn.XLOOKUP(TableDailySummary[[#This Row],[Fecha]],SummaryDaily[day],SummaryDaily[Corporativo no tienda_orders],0)</f>
        <v>0</v>
      </c>
      <c r="W979" s="11">
        <f>_xlfn.XLOOKUP(TableDailySummary[[#This Row],[Fecha]],SummaryDaily[day],SummaryDaily[Corporativo no tienda_average_order_value],0)</f>
        <v>0</v>
      </c>
      <c r="X979" s="11">
        <f>_xlfn.XLOOKUP(TableDailySummary[[#This Row],[Fecha]],SummaryDaily[day],SummaryDaily[GoogleAdsOperation.Cost],0)</f>
        <v>0</v>
      </c>
      <c r="Y979" s="11">
        <f>SUMIFS(SalesByUTMDaily[google],SalesByUTMDaily[day],TableDailySummary[[#This Row],[Fecha]])</f>
        <v>0</v>
      </c>
      <c r="Z979" s="11">
        <f>_xlfn.XLOOKUP(TableDailySummary[[#This Row],[Fecha]],SummaryDaily[day],SummaryDaily[MetaAdsOperation.spend],0)</f>
        <v>0</v>
      </c>
      <c r="AA979" s="11">
        <f>SUMIFS(SalesByUTMDaily[facebook],SalesByUTMDaily[day],TableDailySummary[[#This Row],[Fecha]])</f>
        <v>0</v>
      </c>
      <c r="AB979" s="11">
        <f>TableDailySummary[[#This Row],[Inversión google ads]]+TableDailySummary[[#This Row],[Inversión meta ads]]</f>
        <v>0</v>
      </c>
      <c r="AC979" s="11">
        <f>TableDailySummary[[#This Row],[Ventas google ads]]+TableDailySummary[[#This Row],[Ventas meta ads]]</f>
        <v>0</v>
      </c>
      <c r="AD979" s="14">
        <f>IFERROR(TableDailySummary[[#This Row],[Ventas publicidad]]/TableDailySummary[[#This Row],[Inversión publicidad]],0)</f>
        <v>0</v>
      </c>
      <c r="AE979" s="14">
        <f>IFERROR(TableDailySummary[[#This Row],[Ventas primer cliente]]/TableDailySummary[[#This Row],[Inversión publicidad]],0)</f>
        <v>0</v>
      </c>
      <c r="AF979" s="14"/>
      <c r="AG979" s="11"/>
      <c r="AM979" s="11">
        <f>_xlfn.XLOOKUP(TableDailySummary[[#This Row],[Fecha]],SummaryDaily[day],SummaryDaily[net_sales_with_cost_recorded],0)</f>
        <v>0</v>
      </c>
      <c r="AN979" s="11">
        <f>_xlfn.XLOOKUP(TableDailySummary[[#This Row],[Fecha]],SummaryDaily[day],SummaryDaily[cost_of_goods_sold],0)</f>
        <v>0</v>
      </c>
      <c r="AO979" s="11">
        <f>_xlfn.XLOOKUP(TableDailySummary[[#This Row],[Fecha]],SummaryDaily[day],SummaryDaily[gross_profit],0)</f>
        <v>0</v>
      </c>
      <c r="AP979" s="18">
        <f>IFERROR(TableDailySummary[[#This Row],[Utilidad bruta]]/TableDailySummary[[#This Row],[Ventas netas con costo registrado]],0)</f>
        <v>0</v>
      </c>
    </row>
    <row r="980" spans="2:42" x14ac:dyDescent="0.2">
      <c r="B980" s="15" cm="1">
        <f t="array" ref="B980">ParamFechaInicioReporte + (ROW(TableDailySummary[#This Row]) - ROW(TableDailySummary[[#Headers],[Dia]]) - 1)</f>
        <v>45507</v>
      </c>
      <c r="C980" s="6">
        <f>TableDailySummary[[#This Row],[Dia]]</f>
        <v>45507</v>
      </c>
      <c r="D980" s="11">
        <f>_xlfn.XLOOKUP(TableDailySummary[[#This Row],[Fecha]],SummaryDaily[day],SummaryDaily[net_sales],0)</f>
        <v>0</v>
      </c>
      <c r="E980" s="11">
        <f>_xlfn.XLOOKUP(TableDailySummary[[#This Row],[Fecha]],SummaryDaily[day],SummaryDaily[orders],0)</f>
        <v>0</v>
      </c>
      <c r="F980" s="11">
        <f>_xlfn.XLOOKUP(TableDailySummary[[#This Row],[Fecha]],SummaryDaily[day],SummaryDaily[average_order_value],0)</f>
        <v>0</v>
      </c>
      <c r="G980" s="24" cm="1">
        <f t="array" ref="G980">_xlfn.XLOOKUP(TableDailySummary[[#This Row],[Fecha]]&amp;"Total site",ConversionRateByReferral[day]&amp;ConversionRateByReferral[referrer_source],ConversionRateByReferral[conversion_rate],0)</f>
        <v>0</v>
      </c>
      <c r="H980" s="11">
        <f>TableDailySummary[[#This Row],[Órden promedio totales]]*TableDailySummary[[#This Row],[CR totales]]</f>
        <v>0</v>
      </c>
      <c r="I980" s="11">
        <f>_xlfn.XLOOKUP(TableDailySummary[[#This Row],[Fecha]],SummaryDaily[day],SummaryDaily[new_net_sales],0)</f>
        <v>0</v>
      </c>
      <c r="J980" s="11">
        <f>_xlfn.XLOOKUP(TableDailySummary[[#This Row],[Fecha]],SummaryDaily[day],SummaryDaily[new_orders],0)</f>
        <v>0</v>
      </c>
      <c r="K980" s="11">
        <f>_xlfn.XLOOKUP(TableDailySummary[[#This Row],[Fecha]],SummaryDaily[day],SummaryDaily[new_average_order_value],0)</f>
        <v>0</v>
      </c>
      <c r="L980" s="11">
        <f>_xlfn.XLOOKUP(TableDailySummary[[#This Row],[Fecha]],SummaryDaily[day],SummaryDaily[Online Store_net_sales],0)</f>
        <v>0</v>
      </c>
      <c r="M980" s="11">
        <f>_xlfn.XLOOKUP(TableDailySummary[[#This Row],[Fecha]],SummaryDaily[day],SummaryDaily[Online Store_orders],0)</f>
        <v>0</v>
      </c>
      <c r="N980" s="11">
        <f>_xlfn.XLOOKUP(TableDailySummary[[#This Row],[Fecha]],SummaryDaily[day],SummaryDaily[Online Store_average_order_value],0)</f>
        <v>0</v>
      </c>
      <c r="O980" s="11">
        <f>_xlfn.XLOOKUP(TableDailySummary[[#This Row],[Fecha]],SummaryDaily[day],SummaryDaily[Tienda 81_net_sales],0)</f>
        <v>0</v>
      </c>
      <c r="P980" s="11">
        <f>_xlfn.XLOOKUP(TableDailySummary[[#This Row],[Fecha]],SummaryDaily[day],SummaryDaily[Tienda 81_orders],0)</f>
        <v>0</v>
      </c>
      <c r="Q980" s="11">
        <f>_xlfn.XLOOKUP(TableDailySummary[[#This Row],[Fecha]],SummaryDaily[day],SummaryDaily[Tienda 81_average_order_value],0)</f>
        <v>0</v>
      </c>
      <c r="R980" s="11">
        <f>_xlfn.XLOOKUP(TableDailySummary[[#This Row],[Fecha]],SummaryDaily[day],SummaryDaily[Rappi_net_sales],0)</f>
        <v>0</v>
      </c>
      <c r="S980" s="11">
        <f>_xlfn.XLOOKUP(TableDailySummary[[#This Row],[Fecha]],SummaryDaily[day],SummaryDaily[Rappi_orders],0)</f>
        <v>0</v>
      </c>
      <c r="T980" s="11">
        <f>_xlfn.XLOOKUP(TableDailySummary[[#This Row],[Fecha]],SummaryDaily[day],SummaryDaily[Rappi_average_order_value],0)</f>
        <v>0</v>
      </c>
      <c r="U980" s="11">
        <f>_xlfn.XLOOKUP(TableDailySummary[[#This Row],[Fecha]],SummaryDaily[day],SummaryDaily[Corporativo no tienda_net_sales],0)</f>
        <v>0</v>
      </c>
      <c r="V980" s="11">
        <f>_xlfn.XLOOKUP(TableDailySummary[[#This Row],[Fecha]],SummaryDaily[day],SummaryDaily[Corporativo no tienda_orders],0)</f>
        <v>0</v>
      </c>
      <c r="W980" s="11">
        <f>_xlfn.XLOOKUP(TableDailySummary[[#This Row],[Fecha]],SummaryDaily[day],SummaryDaily[Corporativo no tienda_average_order_value],0)</f>
        <v>0</v>
      </c>
      <c r="X980" s="11">
        <f>_xlfn.XLOOKUP(TableDailySummary[[#This Row],[Fecha]],SummaryDaily[day],SummaryDaily[GoogleAdsOperation.Cost],0)</f>
        <v>0</v>
      </c>
      <c r="Y980" s="11">
        <f>SUMIFS(SalesByUTMDaily[google],SalesByUTMDaily[day],TableDailySummary[[#This Row],[Fecha]])</f>
        <v>0</v>
      </c>
      <c r="Z980" s="11">
        <f>_xlfn.XLOOKUP(TableDailySummary[[#This Row],[Fecha]],SummaryDaily[day],SummaryDaily[MetaAdsOperation.spend],0)</f>
        <v>0</v>
      </c>
      <c r="AA980" s="11">
        <f>SUMIFS(SalesByUTMDaily[facebook],SalesByUTMDaily[day],TableDailySummary[[#This Row],[Fecha]])</f>
        <v>0</v>
      </c>
      <c r="AB980" s="11">
        <f>TableDailySummary[[#This Row],[Inversión google ads]]+TableDailySummary[[#This Row],[Inversión meta ads]]</f>
        <v>0</v>
      </c>
      <c r="AC980" s="11">
        <f>TableDailySummary[[#This Row],[Ventas google ads]]+TableDailySummary[[#This Row],[Ventas meta ads]]</f>
        <v>0</v>
      </c>
      <c r="AD980" s="14">
        <f>IFERROR(TableDailySummary[[#This Row],[Ventas publicidad]]/TableDailySummary[[#This Row],[Inversión publicidad]],0)</f>
        <v>0</v>
      </c>
      <c r="AE980" s="14">
        <f>IFERROR(TableDailySummary[[#This Row],[Ventas primer cliente]]/TableDailySummary[[#This Row],[Inversión publicidad]],0)</f>
        <v>0</v>
      </c>
      <c r="AF980" s="14"/>
      <c r="AG980" s="11"/>
      <c r="AM980" s="11">
        <f>_xlfn.XLOOKUP(TableDailySummary[[#This Row],[Fecha]],SummaryDaily[day],SummaryDaily[net_sales_with_cost_recorded],0)</f>
        <v>0</v>
      </c>
      <c r="AN980" s="11">
        <f>_xlfn.XLOOKUP(TableDailySummary[[#This Row],[Fecha]],SummaryDaily[day],SummaryDaily[cost_of_goods_sold],0)</f>
        <v>0</v>
      </c>
      <c r="AO980" s="11">
        <f>_xlfn.XLOOKUP(TableDailySummary[[#This Row],[Fecha]],SummaryDaily[day],SummaryDaily[gross_profit],0)</f>
        <v>0</v>
      </c>
      <c r="AP980" s="18">
        <f>IFERROR(TableDailySummary[[#This Row],[Utilidad bruta]]/TableDailySummary[[#This Row],[Ventas netas con costo registrado]],0)</f>
        <v>0</v>
      </c>
    </row>
    <row r="981" spans="2:42" x14ac:dyDescent="0.2">
      <c r="B981" s="15" cm="1">
        <f t="array" ref="B981">ParamFechaInicioReporte + (ROW(TableDailySummary[#This Row]) - ROW(TableDailySummary[[#Headers],[Dia]]) - 1)</f>
        <v>45508</v>
      </c>
      <c r="C981" s="6">
        <f>TableDailySummary[[#This Row],[Dia]]</f>
        <v>45508</v>
      </c>
      <c r="D981" s="11">
        <f>_xlfn.XLOOKUP(TableDailySummary[[#This Row],[Fecha]],SummaryDaily[day],SummaryDaily[net_sales],0)</f>
        <v>0</v>
      </c>
      <c r="E981" s="11">
        <f>_xlfn.XLOOKUP(TableDailySummary[[#This Row],[Fecha]],SummaryDaily[day],SummaryDaily[orders],0)</f>
        <v>0</v>
      </c>
      <c r="F981" s="11">
        <f>_xlfn.XLOOKUP(TableDailySummary[[#This Row],[Fecha]],SummaryDaily[day],SummaryDaily[average_order_value],0)</f>
        <v>0</v>
      </c>
      <c r="G981" s="24" cm="1">
        <f t="array" ref="G981">_xlfn.XLOOKUP(TableDailySummary[[#This Row],[Fecha]]&amp;"Total site",ConversionRateByReferral[day]&amp;ConversionRateByReferral[referrer_source],ConversionRateByReferral[conversion_rate],0)</f>
        <v>0</v>
      </c>
      <c r="H981" s="11">
        <f>TableDailySummary[[#This Row],[Órden promedio totales]]*TableDailySummary[[#This Row],[CR totales]]</f>
        <v>0</v>
      </c>
      <c r="I981" s="11">
        <f>_xlfn.XLOOKUP(TableDailySummary[[#This Row],[Fecha]],SummaryDaily[day],SummaryDaily[new_net_sales],0)</f>
        <v>0</v>
      </c>
      <c r="J981" s="11">
        <f>_xlfn.XLOOKUP(TableDailySummary[[#This Row],[Fecha]],SummaryDaily[day],SummaryDaily[new_orders],0)</f>
        <v>0</v>
      </c>
      <c r="K981" s="11">
        <f>_xlfn.XLOOKUP(TableDailySummary[[#This Row],[Fecha]],SummaryDaily[day],SummaryDaily[new_average_order_value],0)</f>
        <v>0</v>
      </c>
      <c r="L981" s="11">
        <f>_xlfn.XLOOKUP(TableDailySummary[[#This Row],[Fecha]],SummaryDaily[day],SummaryDaily[Online Store_net_sales],0)</f>
        <v>0</v>
      </c>
      <c r="M981" s="11">
        <f>_xlfn.XLOOKUP(TableDailySummary[[#This Row],[Fecha]],SummaryDaily[day],SummaryDaily[Online Store_orders],0)</f>
        <v>0</v>
      </c>
      <c r="N981" s="11">
        <f>_xlfn.XLOOKUP(TableDailySummary[[#This Row],[Fecha]],SummaryDaily[day],SummaryDaily[Online Store_average_order_value],0)</f>
        <v>0</v>
      </c>
      <c r="O981" s="11">
        <f>_xlfn.XLOOKUP(TableDailySummary[[#This Row],[Fecha]],SummaryDaily[day],SummaryDaily[Tienda 81_net_sales],0)</f>
        <v>0</v>
      </c>
      <c r="P981" s="11">
        <f>_xlfn.XLOOKUP(TableDailySummary[[#This Row],[Fecha]],SummaryDaily[day],SummaryDaily[Tienda 81_orders],0)</f>
        <v>0</v>
      </c>
      <c r="Q981" s="11">
        <f>_xlfn.XLOOKUP(TableDailySummary[[#This Row],[Fecha]],SummaryDaily[day],SummaryDaily[Tienda 81_average_order_value],0)</f>
        <v>0</v>
      </c>
      <c r="R981" s="11">
        <f>_xlfn.XLOOKUP(TableDailySummary[[#This Row],[Fecha]],SummaryDaily[day],SummaryDaily[Rappi_net_sales],0)</f>
        <v>0</v>
      </c>
      <c r="S981" s="11">
        <f>_xlfn.XLOOKUP(TableDailySummary[[#This Row],[Fecha]],SummaryDaily[day],SummaryDaily[Rappi_orders],0)</f>
        <v>0</v>
      </c>
      <c r="T981" s="11">
        <f>_xlfn.XLOOKUP(TableDailySummary[[#This Row],[Fecha]],SummaryDaily[day],SummaryDaily[Rappi_average_order_value],0)</f>
        <v>0</v>
      </c>
      <c r="U981" s="11">
        <f>_xlfn.XLOOKUP(TableDailySummary[[#This Row],[Fecha]],SummaryDaily[day],SummaryDaily[Corporativo no tienda_net_sales],0)</f>
        <v>0</v>
      </c>
      <c r="V981" s="11">
        <f>_xlfn.XLOOKUP(TableDailySummary[[#This Row],[Fecha]],SummaryDaily[day],SummaryDaily[Corporativo no tienda_orders],0)</f>
        <v>0</v>
      </c>
      <c r="W981" s="11">
        <f>_xlfn.XLOOKUP(TableDailySummary[[#This Row],[Fecha]],SummaryDaily[day],SummaryDaily[Corporativo no tienda_average_order_value],0)</f>
        <v>0</v>
      </c>
      <c r="X981" s="11">
        <f>_xlfn.XLOOKUP(TableDailySummary[[#This Row],[Fecha]],SummaryDaily[day],SummaryDaily[GoogleAdsOperation.Cost],0)</f>
        <v>0</v>
      </c>
      <c r="Y981" s="11">
        <f>SUMIFS(SalesByUTMDaily[google],SalesByUTMDaily[day],TableDailySummary[[#This Row],[Fecha]])</f>
        <v>0</v>
      </c>
      <c r="Z981" s="11">
        <f>_xlfn.XLOOKUP(TableDailySummary[[#This Row],[Fecha]],SummaryDaily[day],SummaryDaily[MetaAdsOperation.spend],0)</f>
        <v>0</v>
      </c>
      <c r="AA981" s="11">
        <f>SUMIFS(SalesByUTMDaily[facebook],SalesByUTMDaily[day],TableDailySummary[[#This Row],[Fecha]])</f>
        <v>0</v>
      </c>
      <c r="AB981" s="11">
        <f>TableDailySummary[[#This Row],[Inversión google ads]]+TableDailySummary[[#This Row],[Inversión meta ads]]</f>
        <v>0</v>
      </c>
      <c r="AC981" s="11">
        <f>TableDailySummary[[#This Row],[Ventas google ads]]+TableDailySummary[[#This Row],[Ventas meta ads]]</f>
        <v>0</v>
      </c>
      <c r="AD981" s="14">
        <f>IFERROR(TableDailySummary[[#This Row],[Ventas publicidad]]/TableDailySummary[[#This Row],[Inversión publicidad]],0)</f>
        <v>0</v>
      </c>
      <c r="AE981" s="14">
        <f>IFERROR(TableDailySummary[[#This Row],[Ventas primer cliente]]/TableDailySummary[[#This Row],[Inversión publicidad]],0)</f>
        <v>0</v>
      </c>
      <c r="AF981" s="14"/>
      <c r="AG981" s="11"/>
      <c r="AM981" s="11">
        <f>_xlfn.XLOOKUP(TableDailySummary[[#This Row],[Fecha]],SummaryDaily[day],SummaryDaily[net_sales_with_cost_recorded],0)</f>
        <v>0</v>
      </c>
      <c r="AN981" s="11">
        <f>_xlfn.XLOOKUP(TableDailySummary[[#This Row],[Fecha]],SummaryDaily[day],SummaryDaily[cost_of_goods_sold],0)</f>
        <v>0</v>
      </c>
      <c r="AO981" s="11">
        <f>_xlfn.XLOOKUP(TableDailySummary[[#This Row],[Fecha]],SummaryDaily[day],SummaryDaily[gross_profit],0)</f>
        <v>0</v>
      </c>
      <c r="AP981" s="18">
        <f>IFERROR(TableDailySummary[[#This Row],[Utilidad bruta]]/TableDailySummary[[#This Row],[Ventas netas con costo registrado]],0)</f>
        <v>0</v>
      </c>
    </row>
    <row r="982" spans="2:42" x14ac:dyDescent="0.2">
      <c r="B982" s="15" cm="1">
        <f t="array" ref="B982">ParamFechaInicioReporte + (ROW(TableDailySummary[#This Row]) - ROW(TableDailySummary[[#Headers],[Dia]]) - 1)</f>
        <v>45509</v>
      </c>
      <c r="C982" s="6">
        <f>TableDailySummary[[#This Row],[Dia]]</f>
        <v>45509</v>
      </c>
      <c r="D982" s="11">
        <f>_xlfn.XLOOKUP(TableDailySummary[[#This Row],[Fecha]],SummaryDaily[day],SummaryDaily[net_sales],0)</f>
        <v>0</v>
      </c>
      <c r="E982" s="11">
        <f>_xlfn.XLOOKUP(TableDailySummary[[#This Row],[Fecha]],SummaryDaily[day],SummaryDaily[orders],0)</f>
        <v>0</v>
      </c>
      <c r="F982" s="11">
        <f>_xlfn.XLOOKUP(TableDailySummary[[#This Row],[Fecha]],SummaryDaily[day],SummaryDaily[average_order_value],0)</f>
        <v>0</v>
      </c>
      <c r="G982" s="24" cm="1">
        <f t="array" ref="G982">_xlfn.XLOOKUP(TableDailySummary[[#This Row],[Fecha]]&amp;"Total site",ConversionRateByReferral[day]&amp;ConversionRateByReferral[referrer_source],ConversionRateByReferral[conversion_rate],0)</f>
        <v>0</v>
      </c>
      <c r="H982" s="11">
        <f>TableDailySummary[[#This Row],[Órden promedio totales]]*TableDailySummary[[#This Row],[CR totales]]</f>
        <v>0</v>
      </c>
      <c r="I982" s="11">
        <f>_xlfn.XLOOKUP(TableDailySummary[[#This Row],[Fecha]],SummaryDaily[day],SummaryDaily[new_net_sales],0)</f>
        <v>0</v>
      </c>
      <c r="J982" s="11">
        <f>_xlfn.XLOOKUP(TableDailySummary[[#This Row],[Fecha]],SummaryDaily[day],SummaryDaily[new_orders],0)</f>
        <v>0</v>
      </c>
      <c r="K982" s="11">
        <f>_xlfn.XLOOKUP(TableDailySummary[[#This Row],[Fecha]],SummaryDaily[day],SummaryDaily[new_average_order_value],0)</f>
        <v>0</v>
      </c>
      <c r="L982" s="11">
        <f>_xlfn.XLOOKUP(TableDailySummary[[#This Row],[Fecha]],SummaryDaily[day],SummaryDaily[Online Store_net_sales],0)</f>
        <v>0</v>
      </c>
      <c r="M982" s="11">
        <f>_xlfn.XLOOKUP(TableDailySummary[[#This Row],[Fecha]],SummaryDaily[day],SummaryDaily[Online Store_orders],0)</f>
        <v>0</v>
      </c>
      <c r="N982" s="11">
        <f>_xlfn.XLOOKUP(TableDailySummary[[#This Row],[Fecha]],SummaryDaily[day],SummaryDaily[Online Store_average_order_value],0)</f>
        <v>0</v>
      </c>
      <c r="O982" s="11">
        <f>_xlfn.XLOOKUP(TableDailySummary[[#This Row],[Fecha]],SummaryDaily[day],SummaryDaily[Tienda 81_net_sales],0)</f>
        <v>0</v>
      </c>
      <c r="P982" s="11">
        <f>_xlfn.XLOOKUP(TableDailySummary[[#This Row],[Fecha]],SummaryDaily[day],SummaryDaily[Tienda 81_orders],0)</f>
        <v>0</v>
      </c>
      <c r="Q982" s="11">
        <f>_xlfn.XLOOKUP(TableDailySummary[[#This Row],[Fecha]],SummaryDaily[day],SummaryDaily[Tienda 81_average_order_value],0)</f>
        <v>0</v>
      </c>
      <c r="R982" s="11">
        <f>_xlfn.XLOOKUP(TableDailySummary[[#This Row],[Fecha]],SummaryDaily[day],SummaryDaily[Rappi_net_sales],0)</f>
        <v>0</v>
      </c>
      <c r="S982" s="11">
        <f>_xlfn.XLOOKUP(TableDailySummary[[#This Row],[Fecha]],SummaryDaily[day],SummaryDaily[Rappi_orders],0)</f>
        <v>0</v>
      </c>
      <c r="T982" s="11">
        <f>_xlfn.XLOOKUP(TableDailySummary[[#This Row],[Fecha]],SummaryDaily[day],SummaryDaily[Rappi_average_order_value],0)</f>
        <v>0</v>
      </c>
      <c r="U982" s="11">
        <f>_xlfn.XLOOKUP(TableDailySummary[[#This Row],[Fecha]],SummaryDaily[day],SummaryDaily[Corporativo no tienda_net_sales],0)</f>
        <v>0</v>
      </c>
      <c r="V982" s="11">
        <f>_xlfn.XLOOKUP(TableDailySummary[[#This Row],[Fecha]],SummaryDaily[day],SummaryDaily[Corporativo no tienda_orders],0)</f>
        <v>0</v>
      </c>
      <c r="W982" s="11">
        <f>_xlfn.XLOOKUP(TableDailySummary[[#This Row],[Fecha]],SummaryDaily[day],SummaryDaily[Corporativo no tienda_average_order_value],0)</f>
        <v>0</v>
      </c>
      <c r="X982" s="11">
        <f>_xlfn.XLOOKUP(TableDailySummary[[#This Row],[Fecha]],SummaryDaily[day],SummaryDaily[GoogleAdsOperation.Cost],0)</f>
        <v>0</v>
      </c>
      <c r="Y982" s="11">
        <f>SUMIFS(SalesByUTMDaily[google],SalesByUTMDaily[day],TableDailySummary[[#This Row],[Fecha]])</f>
        <v>0</v>
      </c>
      <c r="Z982" s="11">
        <f>_xlfn.XLOOKUP(TableDailySummary[[#This Row],[Fecha]],SummaryDaily[day],SummaryDaily[MetaAdsOperation.spend],0)</f>
        <v>0</v>
      </c>
      <c r="AA982" s="11">
        <f>SUMIFS(SalesByUTMDaily[facebook],SalesByUTMDaily[day],TableDailySummary[[#This Row],[Fecha]])</f>
        <v>0</v>
      </c>
      <c r="AB982" s="11">
        <f>TableDailySummary[[#This Row],[Inversión google ads]]+TableDailySummary[[#This Row],[Inversión meta ads]]</f>
        <v>0</v>
      </c>
      <c r="AC982" s="11">
        <f>TableDailySummary[[#This Row],[Ventas google ads]]+TableDailySummary[[#This Row],[Ventas meta ads]]</f>
        <v>0</v>
      </c>
      <c r="AD982" s="14">
        <f>IFERROR(TableDailySummary[[#This Row],[Ventas publicidad]]/TableDailySummary[[#This Row],[Inversión publicidad]],0)</f>
        <v>0</v>
      </c>
      <c r="AE982" s="14">
        <f>IFERROR(TableDailySummary[[#This Row],[Ventas primer cliente]]/TableDailySummary[[#This Row],[Inversión publicidad]],0)</f>
        <v>0</v>
      </c>
      <c r="AF982" s="14"/>
      <c r="AG982" s="11"/>
      <c r="AM982" s="11">
        <f>_xlfn.XLOOKUP(TableDailySummary[[#This Row],[Fecha]],SummaryDaily[day],SummaryDaily[net_sales_with_cost_recorded],0)</f>
        <v>0</v>
      </c>
      <c r="AN982" s="11">
        <f>_xlfn.XLOOKUP(TableDailySummary[[#This Row],[Fecha]],SummaryDaily[day],SummaryDaily[cost_of_goods_sold],0)</f>
        <v>0</v>
      </c>
      <c r="AO982" s="11">
        <f>_xlfn.XLOOKUP(TableDailySummary[[#This Row],[Fecha]],SummaryDaily[day],SummaryDaily[gross_profit],0)</f>
        <v>0</v>
      </c>
      <c r="AP982" s="18">
        <f>IFERROR(TableDailySummary[[#This Row],[Utilidad bruta]]/TableDailySummary[[#This Row],[Ventas netas con costo registrado]],0)</f>
        <v>0</v>
      </c>
    </row>
    <row r="983" spans="2:42" x14ac:dyDescent="0.2">
      <c r="B983" s="15" cm="1">
        <f t="array" ref="B983">ParamFechaInicioReporte + (ROW(TableDailySummary[#This Row]) - ROW(TableDailySummary[[#Headers],[Dia]]) - 1)</f>
        <v>45510</v>
      </c>
      <c r="C983" s="6">
        <f>TableDailySummary[[#This Row],[Dia]]</f>
        <v>45510</v>
      </c>
      <c r="D983" s="11">
        <f>_xlfn.XLOOKUP(TableDailySummary[[#This Row],[Fecha]],SummaryDaily[day],SummaryDaily[net_sales],0)</f>
        <v>0</v>
      </c>
      <c r="E983" s="11">
        <f>_xlfn.XLOOKUP(TableDailySummary[[#This Row],[Fecha]],SummaryDaily[day],SummaryDaily[orders],0)</f>
        <v>0</v>
      </c>
      <c r="F983" s="11">
        <f>_xlfn.XLOOKUP(TableDailySummary[[#This Row],[Fecha]],SummaryDaily[day],SummaryDaily[average_order_value],0)</f>
        <v>0</v>
      </c>
      <c r="G983" s="24" cm="1">
        <f t="array" ref="G983">_xlfn.XLOOKUP(TableDailySummary[[#This Row],[Fecha]]&amp;"Total site",ConversionRateByReferral[day]&amp;ConversionRateByReferral[referrer_source],ConversionRateByReferral[conversion_rate],0)</f>
        <v>0</v>
      </c>
      <c r="H983" s="11">
        <f>TableDailySummary[[#This Row],[Órden promedio totales]]*TableDailySummary[[#This Row],[CR totales]]</f>
        <v>0</v>
      </c>
      <c r="I983" s="11">
        <f>_xlfn.XLOOKUP(TableDailySummary[[#This Row],[Fecha]],SummaryDaily[day],SummaryDaily[new_net_sales],0)</f>
        <v>0</v>
      </c>
      <c r="J983" s="11">
        <f>_xlfn.XLOOKUP(TableDailySummary[[#This Row],[Fecha]],SummaryDaily[day],SummaryDaily[new_orders],0)</f>
        <v>0</v>
      </c>
      <c r="K983" s="11">
        <f>_xlfn.XLOOKUP(TableDailySummary[[#This Row],[Fecha]],SummaryDaily[day],SummaryDaily[new_average_order_value],0)</f>
        <v>0</v>
      </c>
      <c r="L983" s="11">
        <f>_xlfn.XLOOKUP(TableDailySummary[[#This Row],[Fecha]],SummaryDaily[day],SummaryDaily[Online Store_net_sales],0)</f>
        <v>0</v>
      </c>
      <c r="M983" s="11">
        <f>_xlfn.XLOOKUP(TableDailySummary[[#This Row],[Fecha]],SummaryDaily[day],SummaryDaily[Online Store_orders],0)</f>
        <v>0</v>
      </c>
      <c r="N983" s="11">
        <f>_xlfn.XLOOKUP(TableDailySummary[[#This Row],[Fecha]],SummaryDaily[day],SummaryDaily[Online Store_average_order_value],0)</f>
        <v>0</v>
      </c>
      <c r="O983" s="11">
        <f>_xlfn.XLOOKUP(TableDailySummary[[#This Row],[Fecha]],SummaryDaily[day],SummaryDaily[Tienda 81_net_sales],0)</f>
        <v>0</v>
      </c>
      <c r="P983" s="11">
        <f>_xlfn.XLOOKUP(TableDailySummary[[#This Row],[Fecha]],SummaryDaily[day],SummaryDaily[Tienda 81_orders],0)</f>
        <v>0</v>
      </c>
      <c r="Q983" s="11">
        <f>_xlfn.XLOOKUP(TableDailySummary[[#This Row],[Fecha]],SummaryDaily[day],SummaryDaily[Tienda 81_average_order_value],0)</f>
        <v>0</v>
      </c>
      <c r="R983" s="11">
        <f>_xlfn.XLOOKUP(TableDailySummary[[#This Row],[Fecha]],SummaryDaily[day],SummaryDaily[Rappi_net_sales],0)</f>
        <v>0</v>
      </c>
      <c r="S983" s="11">
        <f>_xlfn.XLOOKUP(TableDailySummary[[#This Row],[Fecha]],SummaryDaily[day],SummaryDaily[Rappi_orders],0)</f>
        <v>0</v>
      </c>
      <c r="T983" s="11">
        <f>_xlfn.XLOOKUP(TableDailySummary[[#This Row],[Fecha]],SummaryDaily[day],SummaryDaily[Rappi_average_order_value],0)</f>
        <v>0</v>
      </c>
      <c r="U983" s="11">
        <f>_xlfn.XLOOKUP(TableDailySummary[[#This Row],[Fecha]],SummaryDaily[day],SummaryDaily[Corporativo no tienda_net_sales],0)</f>
        <v>0</v>
      </c>
      <c r="V983" s="11">
        <f>_xlfn.XLOOKUP(TableDailySummary[[#This Row],[Fecha]],SummaryDaily[day],SummaryDaily[Corporativo no tienda_orders],0)</f>
        <v>0</v>
      </c>
      <c r="W983" s="11">
        <f>_xlfn.XLOOKUP(TableDailySummary[[#This Row],[Fecha]],SummaryDaily[day],SummaryDaily[Corporativo no tienda_average_order_value],0)</f>
        <v>0</v>
      </c>
      <c r="X983" s="11">
        <f>_xlfn.XLOOKUP(TableDailySummary[[#This Row],[Fecha]],SummaryDaily[day],SummaryDaily[GoogleAdsOperation.Cost],0)</f>
        <v>0</v>
      </c>
      <c r="Y983" s="11">
        <f>SUMIFS(SalesByUTMDaily[google],SalesByUTMDaily[day],TableDailySummary[[#This Row],[Fecha]])</f>
        <v>0</v>
      </c>
      <c r="Z983" s="11">
        <f>_xlfn.XLOOKUP(TableDailySummary[[#This Row],[Fecha]],SummaryDaily[day],SummaryDaily[MetaAdsOperation.spend],0)</f>
        <v>0</v>
      </c>
      <c r="AA983" s="11">
        <f>SUMIFS(SalesByUTMDaily[facebook],SalesByUTMDaily[day],TableDailySummary[[#This Row],[Fecha]])</f>
        <v>0</v>
      </c>
      <c r="AB983" s="11">
        <f>TableDailySummary[[#This Row],[Inversión google ads]]+TableDailySummary[[#This Row],[Inversión meta ads]]</f>
        <v>0</v>
      </c>
      <c r="AC983" s="11">
        <f>TableDailySummary[[#This Row],[Ventas google ads]]+TableDailySummary[[#This Row],[Ventas meta ads]]</f>
        <v>0</v>
      </c>
      <c r="AD983" s="14">
        <f>IFERROR(TableDailySummary[[#This Row],[Ventas publicidad]]/TableDailySummary[[#This Row],[Inversión publicidad]],0)</f>
        <v>0</v>
      </c>
      <c r="AE983" s="14">
        <f>IFERROR(TableDailySummary[[#This Row],[Ventas primer cliente]]/TableDailySummary[[#This Row],[Inversión publicidad]],0)</f>
        <v>0</v>
      </c>
      <c r="AF983" s="14"/>
      <c r="AG983" s="11"/>
      <c r="AM983" s="11">
        <f>_xlfn.XLOOKUP(TableDailySummary[[#This Row],[Fecha]],SummaryDaily[day],SummaryDaily[net_sales_with_cost_recorded],0)</f>
        <v>0</v>
      </c>
      <c r="AN983" s="11">
        <f>_xlfn.XLOOKUP(TableDailySummary[[#This Row],[Fecha]],SummaryDaily[day],SummaryDaily[cost_of_goods_sold],0)</f>
        <v>0</v>
      </c>
      <c r="AO983" s="11">
        <f>_xlfn.XLOOKUP(TableDailySummary[[#This Row],[Fecha]],SummaryDaily[day],SummaryDaily[gross_profit],0)</f>
        <v>0</v>
      </c>
      <c r="AP983" s="18">
        <f>IFERROR(TableDailySummary[[#This Row],[Utilidad bruta]]/TableDailySummary[[#This Row],[Ventas netas con costo registrado]],0)</f>
        <v>0</v>
      </c>
    </row>
    <row r="984" spans="2:42" x14ac:dyDescent="0.2">
      <c r="B984" s="15" cm="1">
        <f t="array" ref="B984">ParamFechaInicioReporte + (ROW(TableDailySummary[#This Row]) - ROW(TableDailySummary[[#Headers],[Dia]]) - 1)</f>
        <v>45511</v>
      </c>
      <c r="C984" s="6">
        <f>TableDailySummary[[#This Row],[Dia]]</f>
        <v>45511</v>
      </c>
      <c r="D984" s="11">
        <f>_xlfn.XLOOKUP(TableDailySummary[[#This Row],[Fecha]],SummaryDaily[day],SummaryDaily[net_sales],0)</f>
        <v>0</v>
      </c>
      <c r="E984" s="11">
        <f>_xlfn.XLOOKUP(TableDailySummary[[#This Row],[Fecha]],SummaryDaily[day],SummaryDaily[orders],0)</f>
        <v>0</v>
      </c>
      <c r="F984" s="11">
        <f>_xlfn.XLOOKUP(TableDailySummary[[#This Row],[Fecha]],SummaryDaily[day],SummaryDaily[average_order_value],0)</f>
        <v>0</v>
      </c>
      <c r="G984" s="24" cm="1">
        <f t="array" ref="G984">_xlfn.XLOOKUP(TableDailySummary[[#This Row],[Fecha]]&amp;"Total site",ConversionRateByReferral[day]&amp;ConversionRateByReferral[referrer_source],ConversionRateByReferral[conversion_rate],0)</f>
        <v>0</v>
      </c>
      <c r="H984" s="11">
        <f>TableDailySummary[[#This Row],[Órden promedio totales]]*TableDailySummary[[#This Row],[CR totales]]</f>
        <v>0</v>
      </c>
      <c r="I984" s="11">
        <f>_xlfn.XLOOKUP(TableDailySummary[[#This Row],[Fecha]],SummaryDaily[day],SummaryDaily[new_net_sales],0)</f>
        <v>0</v>
      </c>
      <c r="J984" s="11">
        <f>_xlfn.XLOOKUP(TableDailySummary[[#This Row],[Fecha]],SummaryDaily[day],SummaryDaily[new_orders],0)</f>
        <v>0</v>
      </c>
      <c r="K984" s="11">
        <f>_xlfn.XLOOKUP(TableDailySummary[[#This Row],[Fecha]],SummaryDaily[day],SummaryDaily[new_average_order_value],0)</f>
        <v>0</v>
      </c>
      <c r="L984" s="11">
        <f>_xlfn.XLOOKUP(TableDailySummary[[#This Row],[Fecha]],SummaryDaily[day],SummaryDaily[Online Store_net_sales],0)</f>
        <v>0</v>
      </c>
      <c r="M984" s="11">
        <f>_xlfn.XLOOKUP(TableDailySummary[[#This Row],[Fecha]],SummaryDaily[day],SummaryDaily[Online Store_orders],0)</f>
        <v>0</v>
      </c>
      <c r="N984" s="11">
        <f>_xlfn.XLOOKUP(TableDailySummary[[#This Row],[Fecha]],SummaryDaily[day],SummaryDaily[Online Store_average_order_value],0)</f>
        <v>0</v>
      </c>
      <c r="O984" s="11">
        <f>_xlfn.XLOOKUP(TableDailySummary[[#This Row],[Fecha]],SummaryDaily[day],SummaryDaily[Tienda 81_net_sales],0)</f>
        <v>0</v>
      </c>
      <c r="P984" s="11">
        <f>_xlfn.XLOOKUP(TableDailySummary[[#This Row],[Fecha]],SummaryDaily[day],SummaryDaily[Tienda 81_orders],0)</f>
        <v>0</v>
      </c>
      <c r="Q984" s="11">
        <f>_xlfn.XLOOKUP(TableDailySummary[[#This Row],[Fecha]],SummaryDaily[day],SummaryDaily[Tienda 81_average_order_value],0)</f>
        <v>0</v>
      </c>
      <c r="R984" s="11">
        <f>_xlfn.XLOOKUP(TableDailySummary[[#This Row],[Fecha]],SummaryDaily[day],SummaryDaily[Rappi_net_sales],0)</f>
        <v>0</v>
      </c>
      <c r="S984" s="11">
        <f>_xlfn.XLOOKUP(TableDailySummary[[#This Row],[Fecha]],SummaryDaily[day],SummaryDaily[Rappi_orders],0)</f>
        <v>0</v>
      </c>
      <c r="T984" s="11">
        <f>_xlfn.XLOOKUP(TableDailySummary[[#This Row],[Fecha]],SummaryDaily[day],SummaryDaily[Rappi_average_order_value],0)</f>
        <v>0</v>
      </c>
      <c r="U984" s="11">
        <f>_xlfn.XLOOKUP(TableDailySummary[[#This Row],[Fecha]],SummaryDaily[day],SummaryDaily[Corporativo no tienda_net_sales],0)</f>
        <v>0</v>
      </c>
      <c r="V984" s="11">
        <f>_xlfn.XLOOKUP(TableDailySummary[[#This Row],[Fecha]],SummaryDaily[day],SummaryDaily[Corporativo no tienda_orders],0)</f>
        <v>0</v>
      </c>
      <c r="W984" s="11">
        <f>_xlfn.XLOOKUP(TableDailySummary[[#This Row],[Fecha]],SummaryDaily[day],SummaryDaily[Corporativo no tienda_average_order_value],0)</f>
        <v>0</v>
      </c>
      <c r="X984" s="11">
        <f>_xlfn.XLOOKUP(TableDailySummary[[#This Row],[Fecha]],SummaryDaily[day],SummaryDaily[GoogleAdsOperation.Cost],0)</f>
        <v>0</v>
      </c>
      <c r="Y984" s="11">
        <f>SUMIFS(SalesByUTMDaily[google],SalesByUTMDaily[day],TableDailySummary[[#This Row],[Fecha]])</f>
        <v>0</v>
      </c>
      <c r="Z984" s="11">
        <f>_xlfn.XLOOKUP(TableDailySummary[[#This Row],[Fecha]],SummaryDaily[day],SummaryDaily[MetaAdsOperation.spend],0)</f>
        <v>0</v>
      </c>
      <c r="AA984" s="11">
        <f>SUMIFS(SalesByUTMDaily[facebook],SalesByUTMDaily[day],TableDailySummary[[#This Row],[Fecha]])</f>
        <v>0</v>
      </c>
      <c r="AB984" s="11">
        <f>TableDailySummary[[#This Row],[Inversión google ads]]+TableDailySummary[[#This Row],[Inversión meta ads]]</f>
        <v>0</v>
      </c>
      <c r="AC984" s="11">
        <f>TableDailySummary[[#This Row],[Ventas google ads]]+TableDailySummary[[#This Row],[Ventas meta ads]]</f>
        <v>0</v>
      </c>
      <c r="AD984" s="14">
        <f>IFERROR(TableDailySummary[[#This Row],[Ventas publicidad]]/TableDailySummary[[#This Row],[Inversión publicidad]],0)</f>
        <v>0</v>
      </c>
      <c r="AE984" s="14">
        <f>IFERROR(TableDailySummary[[#This Row],[Ventas primer cliente]]/TableDailySummary[[#This Row],[Inversión publicidad]],0)</f>
        <v>0</v>
      </c>
      <c r="AF984" s="14"/>
      <c r="AG984" s="11"/>
      <c r="AM984" s="11">
        <f>_xlfn.XLOOKUP(TableDailySummary[[#This Row],[Fecha]],SummaryDaily[day],SummaryDaily[net_sales_with_cost_recorded],0)</f>
        <v>0</v>
      </c>
      <c r="AN984" s="11">
        <f>_xlfn.XLOOKUP(TableDailySummary[[#This Row],[Fecha]],SummaryDaily[day],SummaryDaily[cost_of_goods_sold],0)</f>
        <v>0</v>
      </c>
      <c r="AO984" s="11">
        <f>_xlfn.XLOOKUP(TableDailySummary[[#This Row],[Fecha]],SummaryDaily[day],SummaryDaily[gross_profit],0)</f>
        <v>0</v>
      </c>
      <c r="AP984" s="18">
        <f>IFERROR(TableDailySummary[[#This Row],[Utilidad bruta]]/TableDailySummary[[#This Row],[Ventas netas con costo registrado]],0)</f>
        <v>0</v>
      </c>
    </row>
    <row r="985" spans="2:42" x14ac:dyDescent="0.2">
      <c r="B985" s="15" cm="1">
        <f t="array" ref="B985">ParamFechaInicioReporte + (ROW(TableDailySummary[#This Row]) - ROW(TableDailySummary[[#Headers],[Dia]]) - 1)</f>
        <v>45512</v>
      </c>
      <c r="C985" s="6">
        <f>TableDailySummary[[#This Row],[Dia]]</f>
        <v>45512</v>
      </c>
      <c r="D985" s="11">
        <f>_xlfn.XLOOKUP(TableDailySummary[[#This Row],[Fecha]],SummaryDaily[day],SummaryDaily[net_sales],0)</f>
        <v>0</v>
      </c>
      <c r="E985" s="11">
        <f>_xlfn.XLOOKUP(TableDailySummary[[#This Row],[Fecha]],SummaryDaily[day],SummaryDaily[orders],0)</f>
        <v>0</v>
      </c>
      <c r="F985" s="11">
        <f>_xlfn.XLOOKUP(TableDailySummary[[#This Row],[Fecha]],SummaryDaily[day],SummaryDaily[average_order_value],0)</f>
        <v>0</v>
      </c>
      <c r="G985" s="24" cm="1">
        <f t="array" ref="G985">_xlfn.XLOOKUP(TableDailySummary[[#This Row],[Fecha]]&amp;"Total site",ConversionRateByReferral[day]&amp;ConversionRateByReferral[referrer_source],ConversionRateByReferral[conversion_rate],0)</f>
        <v>0</v>
      </c>
      <c r="H985" s="11">
        <f>TableDailySummary[[#This Row],[Órden promedio totales]]*TableDailySummary[[#This Row],[CR totales]]</f>
        <v>0</v>
      </c>
      <c r="I985" s="11">
        <f>_xlfn.XLOOKUP(TableDailySummary[[#This Row],[Fecha]],SummaryDaily[day],SummaryDaily[new_net_sales],0)</f>
        <v>0</v>
      </c>
      <c r="J985" s="11">
        <f>_xlfn.XLOOKUP(TableDailySummary[[#This Row],[Fecha]],SummaryDaily[day],SummaryDaily[new_orders],0)</f>
        <v>0</v>
      </c>
      <c r="K985" s="11">
        <f>_xlfn.XLOOKUP(TableDailySummary[[#This Row],[Fecha]],SummaryDaily[day],SummaryDaily[new_average_order_value],0)</f>
        <v>0</v>
      </c>
      <c r="L985" s="11">
        <f>_xlfn.XLOOKUP(TableDailySummary[[#This Row],[Fecha]],SummaryDaily[day],SummaryDaily[Online Store_net_sales],0)</f>
        <v>0</v>
      </c>
      <c r="M985" s="11">
        <f>_xlfn.XLOOKUP(TableDailySummary[[#This Row],[Fecha]],SummaryDaily[day],SummaryDaily[Online Store_orders],0)</f>
        <v>0</v>
      </c>
      <c r="N985" s="11">
        <f>_xlfn.XLOOKUP(TableDailySummary[[#This Row],[Fecha]],SummaryDaily[day],SummaryDaily[Online Store_average_order_value],0)</f>
        <v>0</v>
      </c>
      <c r="O985" s="11">
        <f>_xlfn.XLOOKUP(TableDailySummary[[#This Row],[Fecha]],SummaryDaily[day],SummaryDaily[Tienda 81_net_sales],0)</f>
        <v>0</v>
      </c>
      <c r="P985" s="11">
        <f>_xlfn.XLOOKUP(TableDailySummary[[#This Row],[Fecha]],SummaryDaily[day],SummaryDaily[Tienda 81_orders],0)</f>
        <v>0</v>
      </c>
      <c r="Q985" s="11">
        <f>_xlfn.XLOOKUP(TableDailySummary[[#This Row],[Fecha]],SummaryDaily[day],SummaryDaily[Tienda 81_average_order_value],0)</f>
        <v>0</v>
      </c>
      <c r="R985" s="11">
        <f>_xlfn.XLOOKUP(TableDailySummary[[#This Row],[Fecha]],SummaryDaily[day],SummaryDaily[Rappi_net_sales],0)</f>
        <v>0</v>
      </c>
      <c r="S985" s="11">
        <f>_xlfn.XLOOKUP(TableDailySummary[[#This Row],[Fecha]],SummaryDaily[day],SummaryDaily[Rappi_orders],0)</f>
        <v>0</v>
      </c>
      <c r="T985" s="11">
        <f>_xlfn.XLOOKUP(TableDailySummary[[#This Row],[Fecha]],SummaryDaily[day],SummaryDaily[Rappi_average_order_value],0)</f>
        <v>0</v>
      </c>
      <c r="U985" s="11">
        <f>_xlfn.XLOOKUP(TableDailySummary[[#This Row],[Fecha]],SummaryDaily[day],SummaryDaily[Corporativo no tienda_net_sales],0)</f>
        <v>0</v>
      </c>
      <c r="V985" s="11">
        <f>_xlfn.XLOOKUP(TableDailySummary[[#This Row],[Fecha]],SummaryDaily[day],SummaryDaily[Corporativo no tienda_orders],0)</f>
        <v>0</v>
      </c>
      <c r="W985" s="11">
        <f>_xlfn.XLOOKUP(TableDailySummary[[#This Row],[Fecha]],SummaryDaily[day],SummaryDaily[Corporativo no tienda_average_order_value],0)</f>
        <v>0</v>
      </c>
      <c r="X985" s="11">
        <f>_xlfn.XLOOKUP(TableDailySummary[[#This Row],[Fecha]],SummaryDaily[day],SummaryDaily[GoogleAdsOperation.Cost],0)</f>
        <v>0</v>
      </c>
      <c r="Y985" s="11">
        <f>SUMIFS(SalesByUTMDaily[google],SalesByUTMDaily[day],TableDailySummary[[#This Row],[Fecha]])</f>
        <v>0</v>
      </c>
      <c r="Z985" s="11">
        <f>_xlfn.XLOOKUP(TableDailySummary[[#This Row],[Fecha]],SummaryDaily[day],SummaryDaily[MetaAdsOperation.spend],0)</f>
        <v>0</v>
      </c>
      <c r="AA985" s="11">
        <f>SUMIFS(SalesByUTMDaily[facebook],SalesByUTMDaily[day],TableDailySummary[[#This Row],[Fecha]])</f>
        <v>0</v>
      </c>
      <c r="AB985" s="11">
        <f>TableDailySummary[[#This Row],[Inversión google ads]]+TableDailySummary[[#This Row],[Inversión meta ads]]</f>
        <v>0</v>
      </c>
      <c r="AC985" s="11">
        <f>TableDailySummary[[#This Row],[Ventas google ads]]+TableDailySummary[[#This Row],[Ventas meta ads]]</f>
        <v>0</v>
      </c>
      <c r="AD985" s="14">
        <f>IFERROR(TableDailySummary[[#This Row],[Ventas publicidad]]/TableDailySummary[[#This Row],[Inversión publicidad]],0)</f>
        <v>0</v>
      </c>
      <c r="AE985" s="14">
        <f>IFERROR(TableDailySummary[[#This Row],[Ventas primer cliente]]/TableDailySummary[[#This Row],[Inversión publicidad]],0)</f>
        <v>0</v>
      </c>
      <c r="AF985" s="14"/>
      <c r="AG985" s="11"/>
      <c r="AM985" s="11">
        <f>_xlfn.XLOOKUP(TableDailySummary[[#This Row],[Fecha]],SummaryDaily[day],SummaryDaily[net_sales_with_cost_recorded],0)</f>
        <v>0</v>
      </c>
      <c r="AN985" s="11">
        <f>_xlfn.XLOOKUP(TableDailySummary[[#This Row],[Fecha]],SummaryDaily[day],SummaryDaily[cost_of_goods_sold],0)</f>
        <v>0</v>
      </c>
      <c r="AO985" s="11">
        <f>_xlfn.XLOOKUP(TableDailySummary[[#This Row],[Fecha]],SummaryDaily[day],SummaryDaily[gross_profit],0)</f>
        <v>0</v>
      </c>
      <c r="AP985" s="18">
        <f>IFERROR(TableDailySummary[[#This Row],[Utilidad bruta]]/TableDailySummary[[#This Row],[Ventas netas con costo registrado]],0)</f>
        <v>0</v>
      </c>
    </row>
    <row r="986" spans="2:42" x14ac:dyDescent="0.2">
      <c r="B986" s="15" cm="1">
        <f t="array" ref="B986">ParamFechaInicioReporte + (ROW(TableDailySummary[#This Row]) - ROW(TableDailySummary[[#Headers],[Dia]]) - 1)</f>
        <v>45513</v>
      </c>
      <c r="C986" s="6">
        <f>TableDailySummary[[#This Row],[Dia]]</f>
        <v>45513</v>
      </c>
      <c r="D986" s="11">
        <f>_xlfn.XLOOKUP(TableDailySummary[[#This Row],[Fecha]],SummaryDaily[day],SummaryDaily[net_sales],0)</f>
        <v>0</v>
      </c>
      <c r="E986" s="11">
        <f>_xlfn.XLOOKUP(TableDailySummary[[#This Row],[Fecha]],SummaryDaily[day],SummaryDaily[orders],0)</f>
        <v>0</v>
      </c>
      <c r="F986" s="11">
        <f>_xlfn.XLOOKUP(TableDailySummary[[#This Row],[Fecha]],SummaryDaily[day],SummaryDaily[average_order_value],0)</f>
        <v>0</v>
      </c>
      <c r="G986" s="24" cm="1">
        <f t="array" ref="G986">_xlfn.XLOOKUP(TableDailySummary[[#This Row],[Fecha]]&amp;"Total site",ConversionRateByReferral[day]&amp;ConversionRateByReferral[referrer_source],ConversionRateByReferral[conversion_rate],0)</f>
        <v>0</v>
      </c>
      <c r="H986" s="11">
        <f>TableDailySummary[[#This Row],[Órden promedio totales]]*TableDailySummary[[#This Row],[CR totales]]</f>
        <v>0</v>
      </c>
      <c r="I986" s="11">
        <f>_xlfn.XLOOKUP(TableDailySummary[[#This Row],[Fecha]],SummaryDaily[day],SummaryDaily[new_net_sales],0)</f>
        <v>0</v>
      </c>
      <c r="J986" s="11">
        <f>_xlfn.XLOOKUP(TableDailySummary[[#This Row],[Fecha]],SummaryDaily[day],SummaryDaily[new_orders],0)</f>
        <v>0</v>
      </c>
      <c r="K986" s="11">
        <f>_xlfn.XLOOKUP(TableDailySummary[[#This Row],[Fecha]],SummaryDaily[day],SummaryDaily[new_average_order_value],0)</f>
        <v>0</v>
      </c>
      <c r="L986" s="11">
        <f>_xlfn.XLOOKUP(TableDailySummary[[#This Row],[Fecha]],SummaryDaily[day],SummaryDaily[Online Store_net_sales],0)</f>
        <v>0</v>
      </c>
      <c r="M986" s="11">
        <f>_xlfn.XLOOKUP(TableDailySummary[[#This Row],[Fecha]],SummaryDaily[day],SummaryDaily[Online Store_orders],0)</f>
        <v>0</v>
      </c>
      <c r="N986" s="11">
        <f>_xlfn.XLOOKUP(TableDailySummary[[#This Row],[Fecha]],SummaryDaily[day],SummaryDaily[Online Store_average_order_value],0)</f>
        <v>0</v>
      </c>
      <c r="O986" s="11">
        <f>_xlfn.XLOOKUP(TableDailySummary[[#This Row],[Fecha]],SummaryDaily[day],SummaryDaily[Tienda 81_net_sales],0)</f>
        <v>0</v>
      </c>
      <c r="P986" s="11">
        <f>_xlfn.XLOOKUP(TableDailySummary[[#This Row],[Fecha]],SummaryDaily[day],SummaryDaily[Tienda 81_orders],0)</f>
        <v>0</v>
      </c>
      <c r="Q986" s="11">
        <f>_xlfn.XLOOKUP(TableDailySummary[[#This Row],[Fecha]],SummaryDaily[day],SummaryDaily[Tienda 81_average_order_value],0)</f>
        <v>0</v>
      </c>
      <c r="R986" s="11">
        <f>_xlfn.XLOOKUP(TableDailySummary[[#This Row],[Fecha]],SummaryDaily[day],SummaryDaily[Rappi_net_sales],0)</f>
        <v>0</v>
      </c>
      <c r="S986" s="11">
        <f>_xlfn.XLOOKUP(TableDailySummary[[#This Row],[Fecha]],SummaryDaily[day],SummaryDaily[Rappi_orders],0)</f>
        <v>0</v>
      </c>
      <c r="T986" s="11">
        <f>_xlfn.XLOOKUP(TableDailySummary[[#This Row],[Fecha]],SummaryDaily[day],SummaryDaily[Rappi_average_order_value],0)</f>
        <v>0</v>
      </c>
      <c r="U986" s="11">
        <f>_xlfn.XLOOKUP(TableDailySummary[[#This Row],[Fecha]],SummaryDaily[day],SummaryDaily[Corporativo no tienda_net_sales],0)</f>
        <v>0</v>
      </c>
      <c r="V986" s="11">
        <f>_xlfn.XLOOKUP(TableDailySummary[[#This Row],[Fecha]],SummaryDaily[day],SummaryDaily[Corporativo no tienda_orders],0)</f>
        <v>0</v>
      </c>
      <c r="W986" s="11">
        <f>_xlfn.XLOOKUP(TableDailySummary[[#This Row],[Fecha]],SummaryDaily[day],SummaryDaily[Corporativo no tienda_average_order_value],0)</f>
        <v>0</v>
      </c>
      <c r="X986" s="11">
        <f>_xlfn.XLOOKUP(TableDailySummary[[#This Row],[Fecha]],SummaryDaily[day],SummaryDaily[GoogleAdsOperation.Cost],0)</f>
        <v>0</v>
      </c>
      <c r="Y986" s="11">
        <f>SUMIFS(SalesByUTMDaily[google],SalesByUTMDaily[day],TableDailySummary[[#This Row],[Fecha]])</f>
        <v>0</v>
      </c>
      <c r="Z986" s="11">
        <f>_xlfn.XLOOKUP(TableDailySummary[[#This Row],[Fecha]],SummaryDaily[day],SummaryDaily[MetaAdsOperation.spend],0)</f>
        <v>0</v>
      </c>
      <c r="AA986" s="11">
        <f>SUMIFS(SalesByUTMDaily[facebook],SalesByUTMDaily[day],TableDailySummary[[#This Row],[Fecha]])</f>
        <v>0</v>
      </c>
      <c r="AB986" s="11">
        <f>TableDailySummary[[#This Row],[Inversión google ads]]+TableDailySummary[[#This Row],[Inversión meta ads]]</f>
        <v>0</v>
      </c>
      <c r="AC986" s="11">
        <f>TableDailySummary[[#This Row],[Ventas google ads]]+TableDailySummary[[#This Row],[Ventas meta ads]]</f>
        <v>0</v>
      </c>
      <c r="AD986" s="14">
        <f>IFERROR(TableDailySummary[[#This Row],[Ventas publicidad]]/TableDailySummary[[#This Row],[Inversión publicidad]],0)</f>
        <v>0</v>
      </c>
      <c r="AE986" s="14">
        <f>IFERROR(TableDailySummary[[#This Row],[Ventas primer cliente]]/TableDailySummary[[#This Row],[Inversión publicidad]],0)</f>
        <v>0</v>
      </c>
      <c r="AF986" s="14"/>
      <c r="AG986" s="11"/>
      <c r="AM986" s="11">
        <f>_xlfn.XLOOKUP(TableDailySummary[[#This Row],[Fecha]],SummaryDaily[day],SummaryDaily[net_sales_with_cost_recorded],0)</f>
        <v>0</v>
      </c>
      <c r="AN986" s="11">
        <f>_xlfn.XLOOKUP(TableDailySummary[[#This Row],[Fecha]],SummaryDaily[day],SummaryDaily[cost_of_goods_sold],0)</f>
        <v>0</v>
      </c>
      <c r="AO986" s="11">
        <f>_xlfn.XLOOKUP(TableDailySummary[[#This Row],[Fecha]],SummaryDaily[day],SummaryDaily[gross_profit],0)</f>
        <v>0</v>
      </c>
      <c r="AP986" s="18">
        <f>IFERROR(TableDailySummary[[#This Row],[Utilidad bruta]]/TableDailySummary[[#This Row],[Ventas netas con costo registrado]],0)</f>
        <v>0</v>
      </c>
    </row>
    <row r="987" spans="2:42" x14ac:dyDescent="0.2">
      <c r="B987" s="15" cm="1">
        <f t="array" ref="B987">ParamFechaInicioReporte + (ROW(TableDailySummary[#This Row]) - ROW(TableDailySummary[[#Headers],[Dia]]) - 1)</f>
        <v>45514</v>
      </c>
      <c r="C987" s="6">
        <f>TableDailySummary[[#This Row],[Dia]]</f>
        <v>45514</v>
      </c>
      <c r="D987" s="11">
        <f>_xlfn.XLOOKUP(TableDailySummary[[#This Row],[Fecha]],SummaryDaily[day],SummaryDaily[net_sales],0)</f>
        <v>0</v>
      </c>
      <c r="E987" s="11">
        <f>_xlfn.XLOOKUP(TableDailySummary[[#This Row],[Fecha]],SummaryDaily[day],SummaryDaily[orders],0)</f>
        <v>0</v>
      </c>
      <c r="F987" s="11">
        <f>_xlfn.XLOOKUP(TableDailySummary[[#This Row],[Fecha]],SummaryDaily[day],SummaryDaily[average_order_value],0)</f>
        <v>0</v>
      </c>
      <c r="G987" s="24" cm="1">
        <f t="array" ref="G987">_xlfn.XLOOKUP(TableDailySummary[[#This Row],[Fecha]]&amp;"Total site",ConversionRateByReferral[day]&amp;ConversionRateByReferral[referrer_source],ConversionRateByReferral[conversion_rate],0)</f>
        <v>0</v>
      </c>
      <c r="H987" s="11">
        <f>TableDailySummary[[#This Row],[Órden promedio totales]]*TableDailySummary[[#This Row],[CR totales]]</f>
        <v>0</v>
      </c>
      <c r="I987" s="11">
        <f>_xlfn.XLOOKUP(TableDailySummary[[#This Row],[Fecha]],SummaryDaily[day],SummaryDaily[new_net_sales],0)</f>
        <v>0</v>
      </c>
      <c r="J987" s="11">
        <f>_xlfn.XLOOKUP(TableDailySummary[[#This Row],[Fecha]],SummaryDaily[day],SummaryDaily[new_orders],0)</f>
        <v>0</v>
      </c>
      <c r="K987" s="11">
        <f>_xlfn.XLOOKUP(TableDailySummary[[#This Row],[Fecha]],SummaryDaily[day],SummaryDaily[new_average_order_value],0)</f>
        <v>0</v>
      </c>
      <c r="L987" s="11">
        <f>_xlfn.XLOOKUP(TableDailySummary[[#This Row],[Fecha]],SummaryDaily[day],SummaryDaily[Online Store_net_sales],0)</f>
        <v>0</v>
      </c>
      <c r="M987" s="11">
        <f>_xlfn.XLOOKUP(TableDailySummary[[#This Row],[Fecha]],SummaryDaily[day],SummaryDaily[Online Store_orders],0)</f>
        <v>0</v>
      </c>
      <c r="N987" s="11">
        <f>_xlfn.XLOOKUP(TableDailySummary[[#This Row],[Fecha]],SummaryDaily[day],SummaryDaily[Online Store_average_order_value],0)</f>
        <v>0</v>
      </c>
      <c r="O987" s="11">
        <f>_xlfn.XLOOKUP(TableDailySummary[[#This Row],[Fecha]],SummaryDaily[day],SummaryDaily[Tienda 81_net_sales],0)</f>
        <v>0</v>
      </c>
      <c r="P987" s="11">
        <f>_xlfn.XLOOKUP(TableDailySummary[[#This Row],[Fecha]],SummaryDaily[day],SummaryDaily[Tienda 81_orders],0)</f>
        <v>0</v>
      </c>
      <c r="Q987" s="11">
        <f>_xlfn.XLOOKUP(TableDailySummary[[#This Row],[Fecha]],SummaryDaily[day],SummaryDaily[Tienda 81_average_order_value],0)</f>
        <v>0</v>
      </c>
      <c r="R987" s="11">
        <f>_xlfn.XLOOKUP(TableDailySummary[[#This Row],[Fecha]],SummaryDaily[day],SummaryDaily[Rappi_net_sales],0)</f>
        <v>0</v>
      </c>
      <c r="S987" s="11">
        <f>_xlfn.XLOOKUP(TableDailySummary[[#This Row],[Fecha]],SummaryDaily[day],SummaryDaily[Rappi_orders],0)</f>
        <v>0</v>
      </c>
      <c r="T987" s="11">
        <f>_xlfn.XLOOKUP(TableDailySummary[[#This Row],[Fecha]],SummaryDaily[day],SummaryDaily[Rappi_average_order_value],0)</f>
        <v>0</v>
      </c>
      <c r="U987" s="11">
        <f>_xlfn.XLOOKUP(TableDailySummary[[#This Row],[Fecha]],SummaryDaily[day],SummaryDaily[Corporativo no tienda_net_sales],0)</f>
        <v>0</v>
      </c>
      <c r="V987" s="11">
        <f>_xlfn.XLOOKUP(TableDailySummary[[#This Row],[Fecha]],SummaryDaily[day],SummaryDaily[Corporativo no tienda_orders],0)</f>
        <v>0</v>
      </c>
      <c r="W987" s="11">
        <f>_xlfn.XLOOKUP(TableDailySummary[[#This Row],[Fecha]],SummaryDaily[day],SummaryDaily[Corporativo no tienda_average_order_value],0)</f>
        <v>0</v>
      </c>
      <c r="X987" s="11">
        <f>_xlfn.XLOOKUP(TableDailySummary[[#This Row],[Fecha]],SummaryDaily[day],SummaryDaily[GoogleAdsOperation.Cost],0)</f>
        <v>0</v>
      </c>
      <c r="Y987" s="11">
        <f>SUMIFS(SalesByUTMDaily[google],SalesByUTMDaily[day],TableDailySummary[[#This Row],[Fecha]])</f>
        <v>0</v>
      </c>
      <c r="Z987" s="11">
        <f>_xlfn.XLOOKUP(TableDailySummary[[#This Row],[Fecha]],SummaryDaily[day],SummaryDaily[MetaAdsOperation.spend],0)</f>
        <v>0</v>
      </c>
      <c r="AA987" s="11">
        <f>SUMIFS(SalesByUTMDaily[facebook],SalesByUTMDaily[day],TableDailySummary[[#This Row],[Fecha]])</f>
        <v>0</v>
      </c>
      <c r="AB987" s="11">
        <f>TableDailySummary[[#This Row],[Inversión google ads]]+TableDailySummary[[#This Row],[Inversión meta ads]]</f>
        <v>0</v>
      </c>
      <c r="AC987" s="11">
        <f>TableDailySummary[[#This Row],[Ventas google ads]]+TableDailySummary[[#This Row],[Ventas meta ads]]</f>
        <v>0</v>
      </c>
      <c r="AD987" s="14">
        <f>IFERROR(TableDailySummary[[#This Row],[Ventas publicidad]]/TableDailySummary[[#This Row],[Inversión publicidad]],0)</f>
        <v>0</v>
      </c>
      <c r="AE987" s="14">
        <f>IFERROR(TableDailySummary[[#This Row],[Ventas primer cliente]]/TableDailySummary[[#This Row],[Inversión publicidad]],0)</f>
        <v>0</v>
      </c>
      <c r="AF987" s="14"/>
      <c r="AG987" s="11"/>
      <c r="AM987" s="11">
        <f>_xlfn.XLOOKUP(TableDailySummary[[#This Row],[Fecha]],SummaryDaily[day],SummaryDaily[net_sales_with_cost_recorded],0)</f>
        <v>0</v>
      </c>
      <c r="AN987" s="11">
        <f>_xlfn.XLOOKUP(TableDailySummary[[#This Row],[Fecha]],SummaryDaily[day],SummaryDaily[cost_of_goods_sold],0)</f>
        <v>0</v>
      </c>
      <c r="AO987" s="11">
        <f>_xlfn.XLOOKUP(TableDailySummary[[#This Row],[Fecha]],SummaryDaily[day],SummaryDaily[gross_profit],0)</f>
        <v>0</v>
      </c>
      <c r="AP987" s="18">
        <f>IFERROR(TableDailySummary[[#This Row],[Utilidad bruta]]/TableDailySummary[[#This Row],[Ventas netas con costo registrado]],0)</f>
        <v>0</v>
      </c>
    </row>
    <row r="988" spans="2:42" x14ac:dyDescent="0.2">
      <c r="B988" s="15" cm="1">
        <f t="array" ref="B988">ParamFechaInicioReporte + (ROW(TableDailySummary[#This Row]) - ROW(TableDailySummary[[#Headers],[Dia]]) - 1)</f>
        <v>45515</v>
      </c>
      <c r="C988" s="6">
        <f>TableDailySummary[[#This Row],[Dia]]</f>
        <v>45515</v>
      </c>
      <c r="D988" s="11">
        <f>_xlfn.XLOOKUP(TableDailySummary[[#This Row],[Fecha]],SummaryDaily[day],SummaryDaily[net_sales],0)</f>
        <v>0</v>
      </c>
      <c r="E988" s="11">
        <f>_xlfn.XLOOKUP(TableDailySummary[[#This Row],[Fecha]],SummaryDaily[day],SummaryDaily[orders],0)</f>
        <v>0</v>
      </c>
      <c r="F988" s="11">
        <f>_xlfn.XLOOKUP(TableDailySummary[[#This Row],[Fecha]],SummaryDaily[day],SummaryDaily[average_order_value],0)</f>
        <v>0</v>
      </c>
      <c r="G988" s="24" cm="1">
        <f t="array" ref="G988">_xlfn.XLOOKUP(TableDailySummary[[#This Row],[Fecha]]&amp;"Total site",ConversionRateByReferral[day]&amp;ConversionRateByReferral[referrer_source],ConversionRateByReferral[conversion_rate],0)</f>
        <v>0</v>
      </c>
      <c r="H988" s="11">
        <f>TableDailySummary[[#This Row],[Órden promedio totales]]*TableDailySummary[[#This Row],[CR totales]]</f>
        <v>0</v>
      </c>
      <c r="I988" s="11">
        <f>_xlfn.XLOOKUP(TableDailySummary[[#This Row],[Fecha]],SummaryDaily[day],SummaryDaily[new_net_sales],0)</f>
        <v>0</v>
      </c>
      <c r="J988" s="11">
        <f>_xlfn.XLOOKUP(TableDailySummary[[#This Row],[Fecha]],SummaryDaily[day],SummaryDaily[new_orders],0)</f>
        <v>0</v>
      </c>
      <c r="K988" s="11">
        <f>_xlfn.XLOOKUP(TableDailySummary[[#This Row],[Fecha]],SummaryDaily[day],SummaryDaily[new_average_order_value],0)</f>
        <v>0</v>
      </c>
      <c r="L988" s="11">
        <f>_xlfn.XLOOKUP(TableDailySummary[[#This Row],[Fecha]],SummaryDaily[day],SummaryDaily[Online Store_net_sales],0)</f>
        <v>0</v>
      </c>
      <c r="M988" s="11">
        <f>_xlfn.XLOOKUP(TableDailySummary[[#This Row],[Fecha]],SummaryDaily[day],SummaryDaily[Online Store_orders],0)</f>
        <v>0</v>
      </c>
      <c r="N988" s="11">
        <f>_xlfn.XLOOKUP(TableDailySummary[[#This Row],[Fecha]],SummaryDaily[day],SummaryDaily[Online Store_average_order_value],0)</f>
        <v>0</v>
      </c>
      <c r="O988" s="11">
        <f>_xlfn.XLOOKUP(TableDailySummary[[#This Row],[Fecha]],SummaryDaily[day],SummaryDaily[Tienda 81_net_sales],0)</f>
        <v>0</v>
      </c>
      <c r="P988" s="11">
        <f>_xlfn.XLOOKUP(TableDailySummary[[#This Row],[Fecha]],SummaryDaily[day],SummaryDaily[Tienda 81_orders],0)</f>
        <v>0</v>
      </c>
      <c r="Q988" s="11">
        <f>_xlfn.XLOOKUP(TableDailySummary[[#This Row],[Fecha]],SummaryDaily[day],SummaryDaily[Tienda 81_average_order_value],0)</f>
        <v>0</v>
      </c>
      <c r="R988" s="11">
        <f>_xlfn.XLOOKUP(TableDailySummary[[#This Row],[Fecha]],SummaryDaily[day],SummaryDaily[Rappi_net_sales],0)</f>
        <v>0</v>
      </c>
      <c r="S988" s="11">
        <f>_xlfn.XLOOKUP(TableDailySummary[[#This Row],[Fecha]],SummaryDaily[day],SummaryDaily[Rappi_orders],0)</f>
        <v>0</v>
      </c>
      <c r="T988" s="11">
        <f>_xlfn.XLOOKUP(TableDailySummary[[#This Row],[Fecha]],SummaryDaily[day],SummaryDaily[Rappi_average_order_value],0)</f>
        <v>0</v>
      </c>
      <c r="U988" s="11">
        <f>_xlfn.XLOOKUP(TableDailySummary[[#This Row],[Fecha]],SummaryDaily[day],SummaryDaily[Corporativo no tienda_net_sales],0)</f>
        <v>0</v>
      </c>
      <c r="V988" s="11">
        <f>_xlfn.XLOOKUP(TableDailySummary[[#This Row],[Fecha]],SummaryDaily[day],SummaryDaily[Corporativo no tienda_orders],0)</f>
        <v>0</v>
      </c>
      <c r="W988" s="11">
        <f>_xlfn.XLOOKUP(TableDailySummary[[#This Row],[Fecha]],SummaryDaily[day],SummaryDaily[Corporativo no tienda_average_order_value],0)</f>
        <v>0</v>
      </c>
      <c r="X988" s="11">
        <f>_xlfn.XLOOKUP(TableDailySummary[[#This Row],[Fecha]],SummaryDaily[day],SummaryDaily[GoogleAdsOperation.Cost],0)</f>
        <v>0</v>
      </c>
      <c r="Y988" s="11">
        <f>SUMIFS(SalesByUTMDaily[google],SalesByUTMDaily[day],TableDailySummary[[#This Row],[Fecha]])</f>
        <v>0</v>
      </c>
      <c r="Z988" s="11">
        <f>_xlfn.XLOOKUP(TableDailySummary[[#This Row],[Fecha]],SummaryDaily[day],SummaryDaily[MetaAdsOperation.spend],0)</f>
        <v>0</v>
      </c>
      <c r="AA988" s="11">
        <f>SUMIFS(SalesByUTMDaily[facebook],SalesByUTMDaily[day],TableDailySummary[[#This Row],[Fecha]])</f>
        <v>0</v>
      </c>
      <c r="AB988" s="11">
        <f>TableDailySummary[[#This Row],[Inversión google ads]]+TableDailySummary[[#This Row],[Inversión meta ads]]</f>
        <v>0</v>
      </c>
      <c r="AC988" s="11">
        <f>TableDailySummary[[#This Row],[Ventas google ads]]+TableDailySummary[[#This Row],[Ventas meta ads]]</f>
        <v>0</v>
      </c>
      <c r="AD988" s="14">
        <f>IFERROR(TableDailySummary[[#This Row],[Ventas publicidad]]/TableDailySummary[[#This Row],[Inversión publicidad]],0)</f>
        <v>0</v>
      </c>
      <c r="AE988" s="14">
        <f>IFERROR(TableDailySummary[[#This Row],[Ventas primer cliente]]/TableDailySummary[[#This Row],[Inversión publicidad]],0)</f>
        <v>0</v>
      </c>
      <c r="AF988" s="14"/>
      <c r="AG988" s="11"/>
      <c r="AM988" s="11">
        <f>_xlfn.XLOOKUP(TableDailySummary[[#This Row],[Fecha]],SummaryDaily[day],SummaryDaily[net_sales_with_cost_recorded],0)</f>
        <v>0</v>
      </c>
      <c r="AN988" s="11">
        <f>_xlfn.XLOOKUP(TableDailySummary[[#This Row],[Fecha]],SummaryDaily[day],SummaryDaily[cost_of_goods_sold],0)</f>
        <v>0</v>
      </c>
      <c r="AO988" s="11">
        <f>_xlfn.XLOOKUP(TableDailySummary[[#This Row],[Fecha]],SummaryDaily[day],SummaryDaily[gross_profit],0)</f>
        <v>0</v>
      </c>
      <c r="AP988" s="18">
        <f>IFERROR(TableDailySummary[[#This Row],[Utilidad bruta]]/TableDailySummary[[#This Row],[Ventas netas con costo registrado]],0)</f>
        <v>0</v>
      </c>
    </row>
    <row r="989" spans="2:42" x14ac:dyDescent="0.2">
      <c r="B989" s="15" cm="1">
        <f t="array" ref="B989">ParamFechaInicioReporte + (ROW(TableDailySummary[#This Row]) - ROW(TableDailySummary[[#Headers],[Dia]]) - 1)</f>
        <v>45516</v>
      </c>
      <c r="C989" s="6">
        <f>TableDailySummary[[#This Row],[Dia]]</f>
        <v>45516</v>
      </c>
      <c r="D989" s="11">
        <f>_xlfn.XLOOKUP(TableDailySummary[[#This Row],[Fecha]],SummaryDaily[day],SummaryDaily[net_sales],0)</f>
        <v>0</v>
      </c>
      <c r="E989" s="11">
        <f>_xlfn.XLOOKUP(TableDailySummary[[#This Row],[Fecha]],SummaryDaily[day],SummaryDaily[orders],0)</f>
        <v>0</v>
      </c>
      <c r="F989" s="11">
        <f>_xlfn.XLOOKUP(TableDailySummary[[#This Row],[Fecha]],SummaryDaily[day],SummaryDaily[average_order_value],0)</f>
        <v>0</v>
      </c>
      <c r="G989" s="24" cm="1">
        <f t="array" ref="G989">_xlfn.XLOOKUP(TableDailySummary[[#This Row],[Fecha]]&amp;"Total site",ConversionRateByReferral[day]&amp;ConversionRateByReferral[referrer_source],ConversionRateByReferral[conversion_rate],0)</f>
        <v>0</v>
      </c>
      <c r="H989" s="11">
        <f>TableDailySummary[[#This Row],[Órden promedio totales]]*TableDailySummary[[#This Row],[CR totales]]</f>
        <v>0</v>
      </c>
      <c r="I989" s="11">
        <f>_xlfn.XLOOKUP(TableDailySummary[[#This Row],[Fecha]],SummaryDaily[day],SummaryDaily[new_net_sales],0)</f>
        <v>0</v>
      </c>
      <c r="J989" s="11">
        <f>_xlfn.XLOOKUP(TableDailySummary[[#This Row],[Fecha]],SummaryDaily[day],SummaryDaily[new_orders],0)</f>
        <v>0</v>
      </c>
      <c r="K989" s="11">
        <f>_xlfn.XLOOKUP(TableDailySummary[[#This Row],[Fecha]],SummaryDaily[day],SummaryDaily[new_average_order_value],0)</f>
        <v>0</v>
      </c>
      <c r="L989" s="11">
        <f>_xlfn.XLOOKUP(TableDailySummary[[#This Row],[Fecha]],SummaryDaily[day],SummaryDaily[Online Store_net_sales],0)</f>
        <v>0</v>
      </c>
      <c r="M989" s="11">
        <f>_xlfn.XLOOKUP(TableDailySummary[[#This Row],[Fecha]],SummaryDaily[day],SummaryDaily[Online Store_orders],0)</f>
        <v>0</v>
      </c>
      <c r="N989" s="11">
        <f>_xlfn.XLOOKUP(TableDailySummary[[#This Row],[Fecha]],SummaryDaily[day],SummaryDaily[Online Store_average_order_value],0)</f>
        <v>0</v>
      </c>
      <c r="O989" s="11">
        <f>_xlfn.XLOOKUP(TableDailySummary[[#This Row],[Fecha]],SummaryDaily[day],SummaryDaily[Tienda 81_net_sales],0)</f>
        <v>0</v>
      </c>
      <c r="P989" s="11">
        <f>_xlfn.XLOOKUP(TableDailySummary[[#This Row],[Fecha]],SummaryDaily[day],SummaryDaily[Tienda 81_orders],0)</f>
        <v>0</v>
      </c>
      <c r="Q989" s="11">
        <f>_xlfn.XLOOKUP(TableDailySummary[[#This Row],[Fecha]],SummaryDaily[day],SummaryDaily[Tienda 81_average_order_value],0)</f>
        <v>0</v>
      </c>
      <c r="R989" s="11">
        <f>_xlfn.XLOOKUP(TableDailySummary[[#This Row],[Fecha]],SummaryDaily[day],SummaryDaily[Rappi_net_sales],0)</f>
        <v>0</v>
      </c>
      <c r="S989" s="11">
        <f>_xlfn.XLOOKUP(TableDailySummary[[#This Row],[Fecha]],SummaryDaily[day],SummaryDaily[Rappi_orders],0)</f>
        <v>0</v>
      </c>
      <c r="T989" s="11">
        <f>_xlfn.XLOOKUP(TableDailySummary[[#This Row],[Fecha]],SummaryDaily[day],SummaryDaily[Rappi_average_order_value],0)</f>
        <v>0</v>
      </c>
      <c r="U989" s="11">
        <f>_xlfn.XLOOKUP(TableDailySummary[[#This Row],[Fecha]],SummaryDaily[day],SummaryDaily[Corporativo no tienda_net_sales],0)</f>
        <v>0</v>
      </c>
      <c r="V989" s="11">
        <f>_xlfn.XLOOKUP(TableDailySummary[[#This Row],[Fecha]],SummaryDaily[day],SummaryDaily[Corporativo no tienda_orders],0)</f>
        <v>0</v>
      </c>
      <c r="W989" s="11">
        <f>_xlfn.XLOOKUP(TableDailySummary[[#This Row],[Fecha]],SummaryDaily[day],SummaryDaily[Corporativo no tienda_average_order_value],0)</f>
        <v>0</v>
      </c>
      <c r="X989" s="11">
        <f>_xlfn.XLOOKUP(TableDailySummary[[#This Row],[Fecha]],SummaryDaily[day],SummaryDaily[GoogleAdsOperation.Cost],0)</f>
        <v>0</v>
      </c>
      <c r="Y989" s="11">
        <f>SUMIFS(SalesByUTMDaily[google],SalesByUTMDaily[day],TableDailySummary[[#This Row],[Fecha]])</f>
        <v>0</v>
      </c>
      <c r="Z989" s="11">
        <f>_xlfn.XLOOKUP(TableDailySummary[[#This Row],[Fecha]],SummaryDaily[day],SummaryDaily[MetaAdsOperation.spend],0)</f>
        <v>0</v>
      </c>
      <c r="AA989" s="11">
        <f>SUMIFS(SalesByUTMDaily[facebook],SalesByUTMDaily[day],TableDailySummary[[#This Row],[Fecha]])</f>
        <v>0</v>
      </c>
      <c r="AB989" s="11">
        <f>TableDailySummary[[#This Row],[Inversión google ads]]+TableDailySummary[[#This Row],[Inversión meta ads]]</f>
        <v>0</v>
      </c>
      <c r="AC989" s="11">
        <f>TableDailySummary[[#This Row],[Ventas google ads]]+TableDailySummary[[#This Row],[Ventas meta ads]]</f>
        <v>0</v>
      </c>
      <c r="AD989" s="14">
        <f>IFERROR(TableDailySummary[[#This Row],[Ventas publicidad]]/TableDailySummary[[#This Row],[Inversión publicidad]],0)</f>
        <v>0</v>
      </c>
      <c r="AE989" s="14">
        <f>IFERROR(TableDailySummary[[#This Row],[Ventas primer cliente]]/TableDailySummary[[#This Row],[Inversión publicidad]],0)</f>
        <v>0</v>
      </c>
      <c r="AF989" s="14"/>
      <c r="AG989" s="11"/>
      <c r="AM989" s="11">
        <f>_xlfn.XLOOKUP(TableDailySummary[[#This Row],[Fecha]],SummaryDaily[day],SummaryDaily[net_sales_with_cost_recorded],0)</f>
        <v>0</v>
      </c>
      <c r="AN989" s="11">
        <f>_xlfn.XLOOKUP(TableDailySummary[[#This Row],[Fecha]],SummaryDaily[day],SummaryDaily[cost_of_goods_sold],0)</f>
        <v>0</v>
      </c>
      <c r="AO989" s="11">
        <f>_xlfn.XLOOKUP(TableDailySummary[[#This Row],[Fecha]],SummaryDaily[day],SummaryDaily[gross_profit],0)</f>
        <v>0</v>
      </c>
      <c r="AP989" s="18">
        <f>IFERROR(TableDailySummary[[#This Row],[Utilidad bruta]]/TableDailySummary[[#This Row],[Ventas netas con costo registrado]],0)</f>
        <v>0</v>
      </c>
    </row>
    <row r="990" spans="2:42" x14ac:dyDescent="0.2">
      <c r="B990" s="15" cm="1">
        <f t="array" ref="B990">ParamFechaInicioReporte + (ROW(TableDailySummary[#This Row]) - ROW(TableDailySummary[[#Headers],[Dia]]) - 1)</f>
        <v>45517</v>
      </c>
      <c r="C990" s="6">
        <f>TableDailySummary[[#This Row],[Dia]]</f>
        <v>45517</v>
      </c>
      <c r="D990" s="11">
        <f>_xlfn.XLOOKUP(TableDailySummary[[#This Row],[Fecha]],SummaryDaily[day],SummaryDaily[net_sales],0)</f>
        <v>0</v>
      </c>
      <c r="E990" s="11">
        <f>_xlfn.XLOOKUP(TableDailySummary[[#This Row],[Fecha]],SummaryDaily[day],SummaryDaily[orders],0)</f>
        <v>0</v>
      </c>
      <c r="F990" s="11">
        <f>_xlfn.XLOOKUP(TableDailySummary[[#This Row],[Fecha]],SummaryDaily[day],SummaryDaily[average_order_value],0)</f>
        <v>0</v>
      </c>
      <c r="G990" s="24" cm="1">
        <f t="array" ref="G990">_xlfn.XLOOKUP(TableDailySummary[[#This Row],[Fecha]]&amp;"Total site",ConversionRateByReferral[day]&amp;ConversionRateByReferral[referrer_source],ConversionRateByReferral[conversion_rate],0)</f>
        <v>0</v>
      </c>
      <c r="H990" s="11">
        <f>TableDailySummary[[#This Row],[Órden promedio totales]]*TableDailySummary[[#This Row],[CR totales]]</f>
        <v>0</v>
      </c>
      <c r="I990" s="11">
        <f>_xlfn.XLOOKUP(TableDailySummary[[#This Row],[Fecha]],SummaryDaily[day],SummaryDaily[new_net_sales],0)</f>
        <v>0</v>
      </c>
      <c r="J990" s="11">
        <f>_xlfn.XLOOKUP(TableDailySummary[[#This Row],[Fecha]],SummaryDaily[day],SummaryDaily[new_orders],0)</f>
        <v>0</v>
      </c>
      <c r="K990" s="11">
        <f>_xlfn.XLOOKUP(TableDailySummary[[#This Row],[Fecha]],SummaryDaily[day],SummaryDaily[new_average_order_value],0)</f>
        <v>0</v>
      </c>
      <c r="L990" s="11">
        <f>_xlfn.XLOOKUP(TableDailySummary[[#This Row],[Fecha]],SummaryDaily[day],SummaryDaily[Online Store_net_sales],0)</f>
        <v>0</v>
      </c>
      <c r="M990" s="11">
        <f>_xlfn.XLOOKUP(TableDailySummary[[#This Row],[Fecha]],SummaryDaily[day],SummaryDaily[Online Store_orders],0)</f>
        <v>0</v>
      </c>
      <c r="N990" s="11">
        <f>_xlfn.XLOOKUP(TableDailySummary[[#This Row],[Fecha]],SummaryDaily[day],SummaryDaily[Online Store_average_order_value],0)</f>
        <v>0</v>
      </c>
      <c r="O990" s="11">
        <f>_xlfn.XLOOKUP(TableDailySummary[[#This Row],[Fecha]],SummaryDaily[day],SummaryDaily[Tienda 81_net_sales],0)</f>
        <v>0</v>
      </c>
      <c r="P990" s="11">
        <f>_xlfn.XLOOKUP(TableDailySummary[[#This Row],[Fecha]],SummaryDaily[day],SummaryDaily[Tienda 81_orders],0)</f>
        <v>0</v>
      </c>
      <c r="Q990" s="11">
        <f>_xlfn.XLOOKUP(TableDailySummary[[#This Row],[Fecha]],SummaryDaily[day],SummaryDaily[Tienda 81_average_order_value],0)</f>
        <v>0</v>
      </c>
      <c r="R990" s="11">
        <f>_xlfn.XLOOKUP(TableDailySummary[[#This Row],[Fecha]],SummaryDaily[day],SummaryDaily[Rappi_net_sales],0)</f>
        <v>0</v>
      </c>
      <c r="S990" s="11">
        <f>_xlfn.XLOOKUP(TableDailySummary[[#This Row],[Fecha]],SummaryDaily[day],SummaryDaily[Rappi_orders],0)</f>
        <v>0</v>
      </c>
      <c r="T990" s="11">
        <f>_xlfn.XLOOKUP(TableDailySummary[[#This Row],[Fecha]],SummaryDaily[day],SummaryDaily[Rappi_average_order_value],0)</f>
        <v>0</v>
      </c>
      <c r="U990" s="11">
        <f>_xlfn.XLOOKUP(TableDailySummary[[#This Row],[Fecha]],SummaryDaily[day],SummaryDaily[Corporativo no tienda_net_sales],0)</f>
        <v>0</v>
      </c>
      <c r="V990" s="11">
        <f>_xlfn.XLOOKUP(TableDailySummary[[#This Row],[Fecha]],SummaryDaily[day],SummaryDaily[Corporativo no tienda_orders],0)</f>
        <v>0</v>
      </c>
      <c r="W990" s="11">
        <f>_xlfn.XLOOKUP(TableDailySummary[[#This Row],[Fecha]],SummaryDaily[day],SummaryDaily[Corporativo no tienda_average_order_value],0)</f>
        <v>0</v>
      </c>
      <c r="X990" s="11">
        <f>_xlfn.XLOOKUP(TableDailySummary[[#This Row],[Fecha]],SummaryDaily[day],SummaryDaily[GoogleAdsOperation.Cost],0)</f>
        <v>0</v>
      </c>
      <c r="Y990" s="11">
        <f>SUMIFS(SalesByUTMDaily[google],SalesByUTMDaily[day],TableDailySummary[[#This Row],[Fecha]])</f>
        <v>0</v>
      </c>
      <c r="Z990" s="11">
        <f>_xlfn.XLOOKUP(TableDailySummary[[#This Row],[Fecha]],SummaryDaily[day],SummaryDaily[MetaAdsOperation.spend],0)</f>
        <v>0</v>
      </c>
      <c r="AA990" s="11">
        <f>SUMIFS(SalesByUTMDaily[facebook],SalesByUTMDaily[day],TableDailySummary[[#This Row],[Fecha]])</f>
        <v>0</v>
      </c>
      <c r="AB990" s="11">
        <f>TableDailySummary[[#This Row],[Inversión google ads]]+TableDailySummary[[#This Row],[Inversión meta ads]]</f>
        <v>0</v>
      </c>
      <c r="AC990" s="11">
        <f>TableDailySummary[[#This Row],[Ventas google ads]]+TableDailySummary[[#This Row],[Ventas meta ads]]</f>
        <v>0</v>
      </c>
      <c r="AD990" s="14">
        <f>IFERROR(TableDailySummary[[#This Row],[Ventas publicidad]]/TableDailySummary[[#This Row],[Inversión publicidad]],0)</f>
        <v>0</v>
      </c>
      <c r="AE990" s="14">
        <f>IFERROR(TableDailySummary[[#This Row],[Ventas primer cliente]]/TableDailySummary[[#This Row],[Inversión publicidad]],0)</f>
        <v>0</v>
      </c>
      <c r="AF990" s="14"/>
      <c r="AG990" s="11"/>
      <c r="AM990" s="11">
        <f>_xlfn.XLOOKUP(TableDailySummary[[#This Row],[Fecha]],SummaryDaily[day],SummaryDaily[net_sales_with_cost_recorded],0)</f>
        <v>0</v>
      </c>
      <c r="AN990" s="11">
        <f>_xlfn.XLOOKUP(TableDailySummary[[#This Row],[Fecha]],SummaryDaily[day],SummaryDaily[cost_of_goods_sold],0)</f>
        <v>0</v>
      </c>
      <c r="AO990" s="11">
        <f>_xlfn.XLOOKUP(TableDailySummary[[#This Row],[Fecha]],SummaryDaily[day],SummaryDaily[gross_profit],0)</f>
        <v>0</v>
      </c>
      <c r="AP990" s="18">
        <f>IFERROR(TableDailySummary[[#This Row],[Utilidad bruta]]/TableDailySummary[[#This Row],[Ventas netas con costo registrado]],0)</f>
        <v>0</v>
      </c>
    </row>
    <row r="991" spans="2:42" x14ac:dyDescent="0.2">
      <c r="B991" s="15" cm="1">
        <f t="array" ref="B991">ParamFechaInicioReporte + (ROW(TableDailySummary[#This Row]) - ROW(TableDailySummary[[#Headers],[Dia]]) - 1)</f>
        <v>45518</v>
      </c>
      <c r="C991" s="6">
        <f>TableDailySummary[[#This Row],[Dia]]</f>
        <v>45518</v>
      </c>
      <c r="D991" s="11">
        <f>_xlfn.XLOOKUP(TableDailySummary[[#This Row],[Fecha]],SummaryDaily[day],SummaryDaily[net_sales],0)</f>
        <v>0</v>
      </c>
      <c r="E991" s="11">
        <f>_xlfn.XLOOKUP(TableDailySummary[[#This Row],[Fecha]],SummaryDaily[day],SummaryDaily[orders],0)</f>
        <v>0</v>
      </c>
      <c r="F991" s="11">
        <f>_xlfn.XLOOKUP(TableDailySummary[[#This Row],[Fecha]],SummaryDaily[day],SummaryDaily[average_order_value],0)</f>
        <v>0</v>
      </c>
      <c r="G991" s="24" cm="1">
        <f t="array" ref="G991">_xlfn.XLOOKUP(TableDailySummary[[#This Row],[Fecha]]&amp;"Total site",ConversionRateByReferral[day]&amp;ConversionRateByReferral[referrer_source],ConversionRateByReferral[conversion_rate],0)</f>
        <v>0</v>
      </c>
      <c r="H991" s="11">
        <f>TableDailySummary[[#This Row],[Órden promedio totales]]*TableDailySummary[[#This Row],[CR totales]]</f>
        <v>0</v>
      </c>
      <c r="I991" s="11">
        <f>_xlfn.XLOOKUP(TableDailySummary[[#This Row],[Fecha]],SummaryDaily[day],SummaryDaily[new_net_sales],0)</f>
        <v>0</v>
      </c>
      <c r="J991" s="11">
        <f>_xlfn.XLOOKUP(TableDailySummary[[#This Row],[Fecha]],SummaryDaily[day],SummaryDaily[new_orders],0)</f>
        <v>0</v>
      </c>
      <c r="K991" s="11">
        <f>_xlfn.XLOOKUP(TableDailySummary[[#This Row],[Fecha]],SummaryDaily[day],SummaryDaily[new_average_order_value],0)</f>
        <v>0</v>
      </c>
      <c r="L991" s="11">
        <f>_xlfn.XLOOKUP(TableDailySummary[[#This Row],[Fecha]],SummaryDaily[day],SummaryDaily[Online Store_net_sales],0)</f>
        <v>0</v>
      </c>
      <c r="M991" s="11">
        <f>_xlfn.XLOOKUP(TableDailySummary[[#This Row],[Fecha]],SummaryDaily[day],SummaryDaily[Online Store_orders],0)</f>
        <v>0</v>
      </c>
      <c r="N991" s="11">
        <f>_xlfn.XLOOKUP(TableDailySummary[[#This Row],[Fecha]],SummaryDaily[day],SummaryDaily[Online Store_average_order_value],0)</f>
        <v>0</v>
      </c>
      <c r="O991" s="11">
        <f>_xlfn.XLOOKUP(TableDailySummary[[#This Row],[Fecha]],SummaryDaily[day],SummaryDaily[Tienda 81_net_sales],0)</f>
        <v>0</v>
      </c>
      <c r="P991" s="11">
        <f>_xlfn.XLOOKUP(TableDailySummary[[#This Row],[Fecha]],SummaryDaily[day],SummaryDaily[Tienda 81_orders],0)</f>
        <v>0</v>
      </c>
      <c r="Q991" s="11">
        <f>_xlfn.XLOOKUP(TableDailySummary[[#This Row],[Fecha]],SummaryDaily[day],SummaryDaily[Tienda 81_average_order_value],0)</f>
        <v>0</v>
      </c>
      <c r="R991" s="11">
        <f>_xlfn.XLOOKUP(TableDailySummary[[#This Row],[Fecha]],SummaryDaily[day],SummaryDaily[Rappi_net_sales],0)</f>
        <v>0</v>
      </c>
      <c r="S991" s="11">
        <f>_xlfn.XLOOKUP(TableDailySummary[[#This Row],[Fecha]],SummaryDaily[day],SummaryDaily[Rappi_orders],0)</f>
        <v>0</v>
      </c>
      <c r="T991" s="11">
        <f>_xlfn.XLOOKUP(TableDailySummary[[#This Row],[Fecha]],SummaryDaily[day],SummaryDaily[Rappi_average_order_value],0)</f>
        <v>0</v>
      </c>
      <c r="U991" s="11">
        <f>_xlfn.XLOOKUP(TableDailySummary[[#This Row],[Fecha]],SummaryDaily[day],SummaryDaily[Corporativo no tienda_net_sales],0)</f>
        <v>0</v>
      </c>
      <c r="V991" s="11">
        <f>_xlfn.XLOOKUP(TableDailySummary[[#This Row],[Fecha]],SummaryDaily[day],SummaryDaily[Corporativo no tienda_orders],0)</f>
        <v>0</v>
      </c>
      <c r="W991" s="11">
        <f>_xlfn.XLOOKUP(TableDailySummary[[#This Row],[Fecha]],SummaryDaily[day],SummaryDaily[Corporativo no tienda_average_order_value],0)</f>
        <v>0</v>
      </c>
      <c r="X991" s="11">
        <f>_xlfn.XLOOKUP(TableDailySummary[[#This Row],[Fecha]],SummaryDaily[day],SummaryDaily[GoogleAdsOperation.Cost],0)</f>
        <v>0</v>
      </c>
      <c r="Y991" s="11">
        <f>SUMIFS(SalesByUTMDaily[google],SalesByUTMDaily[day],TableDailySummary[[#This Row],[Fecha]])</f>
        <v>0</v>
      </c>
      <c r="Z991" s="11">
        <f>_xlfn.XLOOKUP(TableDailySummary[[#This Row],[Fecha]],SummaryDaily[day],SummaryDaily[MetaAdsOperation.spend],0)</f>
        <v>0</v>
      </c>
      <c r="AA991" s="11">
        <f>SUMIFS(SalesByUTMDaily[facebook],SalesByUTMDaily[day],TableDailySummary[[#This Row],[Fecha]])</f>
        <v>0</v>
      </c>
      <c r="AB991" s="11">
        <f>TableDailySummary[[#This Row],[Inversión google ads]]+TableDailySummary[[#This Row],[Inversión meta ads]]</f>
        <v>0</v>
      </c>
      <c r="AC991" s="11">
        <f>TableDailySummary[[#This Row],[Ventas google ads]]+TableDailySummary[[#This Row],[Ventas meta ads]]</f>
        <v>0</v>
      </c>
      <c r="AD991" s="14">
        <f>IFERROR(TableDailySummary[[#This Row],[Ventas publicidad]]/TableDailySummary[[#This Row],[Inversión publicidad]],0)</f>
        <v>0</v>
      </c>
      <c r="AE991" s="14">
        <f>IFERROR(TableDailySummary[[#This Row],[Ventas primer cliente]]/TableDailySummary[[#This Row],[Inversión publicidad]],0)</f>
        <v>0</v>
      </c>
      <c r="AF991" s="14"/>
      <c r="AG991" s="11"/>
      <c r="AM991" s="11">
        <f>_xlfn.XLOOKUP(TableDailySummary[[#This Row],[Fecha]],SummaryDaily[day],SummaryDaily[net_sales_with_cost_recorded],0)</f>
        <v>0</v>
      </c>
      <c r="AN991" s="11">
        <f>_xlfn.XLOOKUP(TableDailySummary[[#This Row],[Fecha]],SummaryDaily[day],SummaryDaily[cost_of_goods_sold],0)</f>
        <v>0</v>
      </c>
      <c r="AO991" s="11">
        <f>_xlfn.XLOOKUP(TableDailySummary[[#This Row],[Fecha]],SummaryDaily[day],SummaryDaily[gross_profit],0)</f>
        <v>0</v>
      </c>
      <c r="AP991" s="18">
        <f>IFERROR(TableDailySummary[[#This Row],[Utilidad bruta]]/TableDailySummary[[#This Row],[Ventas netas con costo registrado]],0)</f>
        <v>0</v>
      </c>
    </row>
    <row r="992" spans="2:42" x14ac:dyDescent="0.2">
      <c r="B992" s="15" cm="1">
        <f t="array" ref="B992">ParamFechaInicioReporte + (ROW(TableDailySummary[#This Row]) - ROW(TableDailySummary[[#Headers],[Dia]]) - 1)</f>
        <v>45519</v>
      </c>
      <c r="C992" s="6">
        <f>TableDailySummary[[#This Row],[Dia]]</f>
        <v>45519</v>
      </c>
      <c r="D992" s="11">
        <f>_xlfn.XLOOKUP(TableDailySummary[[#This Row],[Fecha]],SummaryDaily[day],SummaryDaily[net_sales],0)</f>
        <v>0</v>
      </c>
      <c r="E992" s="11">
        <f>_xlfn.XLOOKUP(TableDailySummary[[#This Row],[Fecha]],SummaryDaily[day],SummaryDaily[orders],0)</f>
        <v>0</v>
      </c>
      <c r="F992" s="11">
        <f>_xlfn.XLOOKUP(TableDailySummary[[#This Row],[Fecha]],SummaryDaily[day],SummaryDaily[average_order_value],0)</f>
        <v>0</v>
      </c>
      <c r="G992" s="24" cm="1">
        <f t="array" ref="G992">_xlfn.XLOOKUP(TableDailySummary[[#This Row],[Fecha]]&amp;"Total site",ConversionRateByReferral[day]&amp;ConversionRateByReferral[referrer_source],ConversionRateByReferral[conversion_rate],0)</f>
        <v>0</v>
      </c>
      <c r="H992" s="11">
        <f>TableDailySummary[[#This Row],[Órden promedio totales]]*TableDailySummary[[#This Row],[CR totales]]</f>
        <v>0</v>
      </c>
      <c r="I992" s="11">
        <f>_xlfn.XLOOKUP(TableDailySummary[[#This Row],[Fecha]],SummaryDaily[day],SummaryDaily[new_net_sales],0)</f>
        <v>0</v>
      </c>
      <c r="J992" s="11">
        <f>_xlfn.XLOOKUP(TableDailySummary[[#This Row],[Fecha]],SummaryDaily[day],SummaryDaily[new_orders],0)</f>
        <v>0</v>
      </c>
      <c r="K992" s="11">
        <f>_xlfn.XLOOKUP(TableDailySummary[[#This Row],[Fecha]],SummaryDaily[day],SummaryDaily[new_average_order_value],0)</f>
        <v>0</v>
      </c>
      <c r="L992" s="11">
        <f>_xlfn.XLOOKUP(TableDailySummary[[#This Row],[Fecha]],SummaryDaily[day],SummaryDaily[Online Store_net_sales],0)</f>
        <v>0</v>
      </c>
      <c r="M992" s="11">
        <f>_xlfn.XLOOKUP(TableDailySummary[[#This Row],[Fecha]],SummaryDaily[day],SummaryDaily[Online Store_orders],0)</f>
        <v>0</v>
      </c>
      <c r="N992" s="11">
        <f>_xlfn.XLOOKUP(TableDailySummary[[#This Row],[Fecha]],SummaryDaily[day],SummaryDaily[Online Store_average_order_value],0)</f>
        <v>0</v>
      </c>
      <c r="O992" s="11">
        <f>_xlfn.XLOOKUP(TableDailySummary[[#This Row],[Fecha]],SummaryDaily[day],SummaryDaily[Tienda 81_net_sales],0)</f>
        <v>0</v>
      </c>
      <c r="P992" s="11">
        <f>_xlfn.XLOOKUP(TableDailySummary[[#This Row],[Fecha]],SummaryDaily[day],SummaryDaily[Tienda 81_orders],0)</f>
        <v>0</v>
      </c>
      <c r="Q992" s="11">
        <f>_xlfn.XLOOKUP(TableDailySummary[[#This Row],[Fecha]],SummaryDaily[day],SummaryDaily[Tienda 81_average_order_value],0)</f>
        <v>0</v>
      </c>
      <c r="R992" s="11">
        <f>_xlfn.XLOOKUP(TableDailySummary[[#This Row],[Fecha]],SummaryDaily[day],SummaryDaily[Rappi_net_sales],0)</f>
        <v>0</v>
      </c>
      <c r="S992" s="11">
        <f>_xlfn.XLOOKUP(TableDailySummary[[#This Row],[Fecha]],SummaryDaily[day],SummaryDaily[Rappi_orders],0)</f>
        <v>0</v>
      </c>
      <c r="T992" s="11">
        <f>_xlfn.XLOOKUP(TableDailySummary[[#This Row],[Fecha]],SummaryDaily[day],SummaryDaily[Rappi_average_order_value],0)</f>
        <v>0</v>
      </c>
      <c r="U992" s="11">
        <f>_xlfn.XLOOKUP(TableDailySummary[[#This Row],[Fecha]],SummaryDaily[day],SummaryDaily[Corporativo no tienda_net_sales],0)</f>
        <v>0</v>
      </c>
      <c r="V992" s="11">
        <f>_xlfn.XLOOKUP(TableDailySummary[[#This Row],[Fecha]],SummaryDaily[day],SummaryDaily[Corporativo no tienda_orders],0)</f>
        <v>0</v>
      </c>
      <c r="W992" s="11">
        <f>_xlfn.XLOOKUP(TableDailySummary[[#This Row],[Fecha]],SummaryDaily[day],SummaryDaily[Corporativo no tienda_average_order_value],0)</f>
        <v>0</v>
      </c>
      <c r="X992" s="11">
        <f>_xlfn.XLOOKUP(TableDailySummary[[#This Row],[Fecha]],SummaryDaily[day],SummaryDaily[GoogleAdsOperation.Cost],0)</f>
        <v>0</v>
      </c>
      <c r="Y992" s="11">
        <f>SUMIFS(SalesByUTMDaily[google],SalesByUTMDaily[day],TableDailySummary[[#This Row],[Fecha]])</f>
        <v>0</v>
      </c>
      <c r="Z992" s="11">
        <f>_xlfn.XLOOKUP(TableDailySummary[[#This Row],[Fecha]],SummaryDaily[day],SummaryDaily[MetaAdsOperation.spend],0)</f>
        <v>0</v>
      </c>
      <c r="AA992" s="11">
        <f>SUMIFS(SalesByUTMDaily[facebook],SalesByUTMDaily[day],TableDailySummary[[#This Row],[Fecha]])</f>
        <v>0</v>
      </c>
      <c r="AB992" s="11">
        <f>TableDailySummary[[#This Row],[Inversión google ads]]+TableDailySummary[[#This Row],[Inversión meta ads]]</f>
        <v>0</v>
      </c>
      <c r="AC992" s="11">
        <f>TableDailySummary[[#This Row],[Ventas google ads]]+TableDailySummary[[#This Row],[Ventas meta ads]]</f>
        <v>0</v>
      </c>
      <c r="AD992" s="14">
        <f>IFERROR(TableDailySummary[[#This Row],[Ventas publicidad]]/TableDailySummary[[#This Row],[Inversión publicidad]],0)</f>
        <v>0</v>
      </c>
      <c r="AE992" s="14">
        <f>IFERROR(TableDailySummary[[#This Row],[Ventas primer cliente]]/TableDailySummary[[#This Row],[Inversión publicidad]],0)</f>
        <v>0</v>
      </c>
      <c r="AF992" s="14"/>
      <c r="AG992" s="11"/>
      <c r="AM992" s="11">
        <f>_xlfn.XLOOKUP(TableDailySummary[[#This Row],[Fecha]],SummaryDaily[day],SummaryDaily[net_sales_with_cost_recorded],0)</f>
        <v>0</v>
      </c>
      <c r="AN992" s="11">
        <f>_xlfn.XLOOKUP(TableDailySummary[[#This Row],[Fecha]],SummaryDaily[day],SummaryDaily[cost_of_goods_sold],0)</f>
        <v>0</v>
      </c>
      <c r="AO992" s="11">
        <f>_xlfn.XLOOKUP(TableDailySummary[[#This Row],[Fecha]],SummaryDaily[day],SummaryDaily[gross_profit],0)</f>
        <v>0</v>
      </c>
      <c r="AP992" s="18">
        <f>IFERROR(TableDailySummary[[#This Row],[Utilidad bruta]]/TableDailySummary[[#This Row],[Ventas netas con costo registrado]],0)</f>
        <v>0</v>
      </c>
    </row>
    <row r="993" spans="2:42" x14ac:dyDescent="0.2">
      <c r="B993" s="15" cm="1">
        <f t="array" ref="B993">ParamFechaInicioReporte + (ROW(TableDailySummary[#This Row]) - ROW(TableDailySummary[[#Headers],[Dia]]) - 1)</f>
        <v>45520</v>
      </c>
      <c r="C993" s="6">
        <f>TableDailySummary[[#This Row],[Dia]]</f>
        <v>45520</v>
      </c>
      <c r="D993" s="11">
        <f>_xlfn.XLOOKUP(TableDailySummary[[#This Row],[Fecha]],SummaryDaily[day],SummaryDaily[net_sales],0)</f>
        <v>0</v>
      </c>
      <c r="E993" s="11">
        <f>_xlfn.XLOOKUP(TableDailySummary[[#This Row],[Fecha]],SummaryDaily[day],SummaryDaily[orders],0)</f>
        <v>0</v>
      </c>
      <c r="F993" s="11">
        <f>_xlfn.XLOOKUP(TableDailySummary[[#This Row],[Fecha]],SummaryDaily[day],SummaryDaily[average_order_value],0)</f>
        <v>0</v>
      </c>
      <c r="G993" s="24" cm="1">
        <f t="array" ref="G993">_xlfn.XLOOKUP(TableDailySummary[[#This Row],[Fecha]]&amp;"Total site",ConversionRateByReferral[day]&amp;ConversionRateByReferral[referrer_source],ConversionRateByReferral[conversion_rate],0)</f>
        <v>0</v>
      </c>
      <c r="H993" s="11">
        <f>TableDailySummary[[#This Row],[Órden promedio totales]]*TableDailySummary[[#This Row],[CR totales]]</f>
        <v>0</v>
      </c>
      <c r="I993" s="11">
        <f>_xlfn.XLOOKUP(TableDailySummary[[#This Row],[Fecha]],SummaryDaily[day],SummaryDaily[new_net_sales],0)</f>
        <v>0</v>
      </c>
      <c r="J993" s="11">
        <f>_xlfn.XLOOKUP(TableDailySummary[[#This Row],[Fecha]],SummaryDaily[day],SummaryDaily[new_orders],0)</f>
        <v>0</v>
      </c>
      <c r="K993" s="11">
        <f>_xlfn.XLOOKUP(TableDailySummary[[#This Row],[Fecha]],SummaryDaily[day],SummaryDaily[new_average_order_value],0)</f>
        <v>0</v>
      </c>
      <c r="L993" s="11">
        <f>_xlfn.XLOOKUP(TableDailySummary[[#This Row],[Fecha]],SummaryDaily[day],SummaryDaily[Online Store_net_sales],0)</f>
        <v>0</v>
      </c>
      <c r="M993" s="11">
        <f>_xlfn.XLOOKUP(TableDailySummary[[#This Row],[Fecha]],SummaryDaily[day],SummaryDaily[Online Store_orders],0)</f>
        <v>0</v>
      </c>
      <c r="N993" s="11">
        <f>_xlfn.XLOOKUP(TableDailySummary[[#This Row],[Fecha]],SummaryDaily[day],SummaryDaily[Online Store_average_order_value],0)</f>
        <v>0</v>
      </c>
      <c r="O993" s="11">
        <f>_xlfn.XLOOKUP(TableDailySummary[[#This Row],[Fecha]],SummaryDaily[day],SummaryDaily[Tienda 81_net_sales],0)</f>
        <v>0</v>
      </c>
      <c r="P993" s="11">
        <f>_xlfn.XLOOKUP(TableDailySummary[[#This Row],[Fecha]],SummaryDaily[day],SummaryDaily[Tienda 81_orders],0)</f>
        <v>0</v>
      </c>
      <c r="Q993" s="11">
        <f>_xlfn.XLOOKUP(TableDailySummary[[#This Row],[Fecha]],SummaryDaily[day],SummaryDaily[Tienda 81_average_order_value],0)</f>
        <v>0</v>
      </c>
      <c r="R993" s="11">
        <f>_xlfn.XLOOKUP(TableDailySummary[[#This Row],[Fecha]],SummaryDaily[day],SummaryDaily[Rappi_net_sales],0)</f>
        <v>0</v>
      </c>
      <c r="S993" s="11">
        <f>_xlfn.XLOOKUP(TableDailySummary[[#This Row],[Fecha]],SummaryDaily[day],SummaryDaily[Rappi_orders],0)</f>
        <v>0</v>
      </c>
      <c r="T993" s="11">
        <f>_xlfn.XLOOKUP(TableDailySummary[[#This Row],[Fecha]],SummaryDaily[day],SummaryDaily[Rappi_average_order_value],0)</f>
        <v>0</v>
      </c>
      <c r="U993" s="11">
        <f>_xlfn.XLOOKUP(TableDailySummary[[#This Row],[Fecha]],SummaryDaily[day],SummaryDaily[Corporativo no tienda_net_sales],0)</f>
        <v>0</v>
      </c>
      <c r="V993" s="11">
        <f>_xlfn.XLOOKUP(TableDailySummary[[#This Row],[Fecha]],SummaryDaily[day],SummaryDaily[Corporativo no tienda_orders],0)</f>
        <v>0</v>
      </c>
      <c r="W993" s="11">
        <f>_xlfn.XLOOKUP(TableDailySummary[[#This Row],[Fecha]],SummaryDaily[day],SummaryDaily[Corporativo no tienda_average_order_value],0)</f>
        <v>0</v>
      </c>
      <c r="X993" s="11">
        <f>_xlfn.XLOOKUP(TableDailySummary[[#This Row],[Fecha]],SummaryDaily[day],SummaryDaily[GoogleAdsOperation.Cost],0)</f>
        <v>0</v>
      </c>
      <c r="Y993" s="11">
        <f>SUMIFS(SalesByUTMDaily[google],SalesByUTMDaily[day],TableDailySummary[[#This Row],[Fecha]])</f>
        <v>0</v>
      </c>
      <c r="Z993" s="11">
        <f>_xlfn.XLOOKUP(TableDailySummary[[#This Row],[Fecha]],SummaryDaily[day],SummaryDaily[MetaAdsOperation.spend],0)</f>
        <v>0</v>
      </c>
      <c r="AA993" s="11">
        <f>SUMIFS(SalesByUTMDaily[facebook],SalesByUTMDaily[day],TableDailySummary[[#This Row],[Fecha]])</f>
        <v>0</v>
      </c>
      <c r="AB993" s="11">
        <f>TableDailySummary[[#This Row],[Inversión google ads]]+TableDailySummary[[#This Row],[Inversión meta ads]]</f>
        <v>0</v>
      </c>
      <c r="AC993" s="11">
        <f>TableDailySummary[[#This Row],[Ventas google ads]]+TableDailySummary[[#This Row],[Ventas meta ads]]</f>
        <v>0</v>
      </c>
      <c r="AD993" s="14">
        <f>IFERROR(TableDailySummary[[#This Row],[Ventas publicidad]]/TableDailySummary[[#This Row],[Inversión publicidad]],0)</f>
        <v>0</v>
      </c>
      <c r="AE993" s="14">
        <f>IFERROR(TableDailySummary[[#This Row],[Ventas primer cliente]]/TableDailySummary[[#This Row],[Inversión publicidad]],0)</f>
        <v>0</v>
      </c>
      <c r="AF993" s="14"/>
      <c r="AG993" s="11"/>
      <c r="AM993" s="11">
        <f>_xlfn.XLOOKUP(TableDailySummary[[#This Row],[Fecha]],SummaryDaily[day],SummaryDaily[net_sales_with_cost_recorded],0)</f>
        <v>0</v>
      </c>
      <c r="AN993" s="11">
        <f>_xlfn.XLOOKUP(TableDailySummary[[#This Row],[Fecha]],SummaryDaily[day],SummaryDaily[cost_of_goods_sold],0)</f>
        <v>0</v>
      </c>
      <c r="AO993" s="11">
        <f>_xlfn.XLOOKUP(TableDailySummary[[#This Row],[Fecha]],SummaryDaily[day],SummaryDaily[gross_profit],0)</f>
        <v>0</v>
      </c>
      <c r="AP993" s="18">
        <f>IFERROR(TableDailySummary[[#This Row],[Utilidad bruta]]/TableDailySummary[[#This Row],[Ventas netas con costo registrado]],0)</f>
        <v>0</v>
      </c>
    </row>
    <row r="994" spans="2:42" x14ac:dyDescent="0.2">
      <c r="B994" s="15" cm="1">
        <f t="array" ref="B994">ParamFechaInicioReporte + (ROW(TableDailySummary[#This Row]) - ROW(TableDailySummary[[#Headers],[Dia]]) - 1)</f>
        <v>45521</v>
      </c>
      <c r="C994" s="6">
        <f>TableDailySummary[[#This Row],[Dia]]</f>
        <v>45521</v>
      </c>
      <c r="D994" s="11">
        <f>_xlfn.XLOOKUP(TableDailySummary[[#This Row],[Fecha]],SummaryDaily[day],SummaryDaily[net_sales],0)</f>
        <v>0</v>
      </c>
      <c r="E994" s="11">
        <f>_xlfn.XLOOKUP(TableDailySummary[[#This Row],[Fecha]],SummaryDaily[day],SummaryDaily[orders],0)</f>
        <v>0</v>
      </c>
      <c r="F994" s="11">
        <f>_xlfn.XLOOKUP(TableDailySummary[[#This Row],[Fecha]],SummaryDaily[day],SummaryDaily[average_order_value],0)</f>
        <v>0</v>
      </c>
      <c r="G994" s="24" cm="1">
        <f t="array" ref="G994">_xlfn.XLOOKUP(TableDailySummary[[#This Row],[Fecha]]&amp;"Total site",ConversionRateByReferral[day]&amp;ConversionRateByReferral[referrer_source],ConversionRateByReferral[conversion_rate],0)</f>
        <v>0</v>
      </c>
      <c r="H994" s="11">
        <f>TableDailySummary[[#This Row],[Órden promedio totales]]*TableDailySummary[[#This Row],[CR totales]]</f>
        <v>0</v>
      </c>
      <c r="I994" s="11">
        <f>_xlfn.XLOOKUP(TableDailySummary[[#This Row],[Fecha]],SummaryDaily[day],SummaryDaily[new_net_sales],0)</f>
        <v>0</v>
      </c>
      <c r="J994" s="11">
        <f>_xlfn.XLOOKUP(TableDailySummary[[#This Row],[Fecha]],SummaryDaily[day],SummaryDaily[new_orders],0)</f>
        <v>0</v>
      </c>
      <c r="K994" s="11">
        <f>_xlfn.XLOOKUP(TableDailySummary[[#This Row],[Fecha]],SummaryDaily[day],SummaryDaily[new_average_order_value],0)</f>
        <v>0</v>
      </c>
      <c r="L994" s="11">
        <f>_xlfn.XLOOKUP(TableDailySummary[[#This Row],[Fecha]],SummaryDaily[day],SummaryDaily[Online Store_net_sales],0)</f>
        <v>0</v>
      </c>
      <c r="M994" s="11">
        <f>_xlfn.XLOOKUP(TableDailySummary[[#This Row],[Fecha]],SummaryDaily[day],SummaryDaily[Online Store_orders],0)</f>
        <v>0</v>
      </c>
      <c r="N994" s="11">
        <f>_xlfn.XLOOKUP(TableDailySummary[[#This Row],[Fecha]],SummaryDaily[day],SummaryDaily[Online Store_average_order_value],0)</f>
        <v>0</v>
      </c>
      <c r="O994" s="11">
        <f>_xlfn.XLOOKUP(TableDailySummary[[#This Row],[Fecha]],SummaryDaily[day],SummaryDaily[Tienda 81_net_sales],0)</f>
        <v>0</v>
      </c>
      <c r="P994" s="11">
        <f>_xlfn.XLOOKUP(TableDailySummary[[#This Row],[Fecha]],SummaryDaily[day],SummaryDaily[Tienda 81_orders],0)</f>
        <v>0</v>
      </c>
      <c r="Q994" s="11">
        <f>_xlfn.XLOOKUP(TableDailySummary[[#This Row],[Fecha]],SummaryDaily[day],SummaryDaily[Tienda 81_average_order_value],0)</f>
        <v>0</v>
      </c>
      <c r="R994" s="11">
        <f>_xlfn.XLOOKUP(TableDailySummary[[#This Row],[Fecha]],SummaryDaily[day],SummaryDaily[Rappi_net_sales],0)</f>
        <v>0</v>
      </c>
      <c r="S994" s="11">
        <f>_xlfn.XLOOKUP(TableDailySummary[[#This Row],[Fecha]],SummaryDaily[day],SummaryDaily[Rappi_orders],0)</f>
        <v>0</v>
      </c>
      <c r="T994" s="11">
        <f>_xlfn.XLOOKUP(TableDailySummary[[#This Row],[Fecha]],SummaryDaily[day],SummaryDaily[Rappi_average_order_value],0)</f>
        <v>0</v>
      </c>
      <c r="U994" s="11">
        <f>_xlfn.XLOOKUP(TableDailySummary[[#This Row],[Fecha]],SummaryDaily[day],SummaryDaily[Corporativo no tienda_net_sales],0)</f>
        <v>0</v>
      </c>
      <c r="V994" s="11">
        <f>_xlfn.XLOOKUP(TableDailySummary[[#This Row],[Fecha]],SummaryDaily[day],SummaryDaily[Corporativo no tienda_orders],0)</f>
        <v>0</v>
      </c>
      <c r="W994" s="11">
        <f>_xlfn.XLOOKUP(TableDailySummary[[#This Row],[Fecha]],SummaryDaily[day],SummaryDaily[Corporativo no tienda_average_order_value],0)</f>
        <v>0</v>
      </c>
      <c r="X994" s="11">
        <f>_xlfn.XLOOKUP(TableDailySummary[[#This Row],[Fecha]],SummaryDaily[day],SummaryDaily[GoogleAdsOperation.Cost],0)</f>
        <v>0</v>
      </c>
      <c r="Y994" s="11">
        <f>SUMIFS(SalesByUTMDaily[google],SalesByUTMDaily[day],TableDailySummary[[#This Row],[Fecha]])</f>
        <v>0</v>
      </c>
      <c r="Z994" s="11">
        <f>_xlfn.XLOOKUP(TableDailySummary[[#This Row],[Fecha]],SummaryDaily[day],SummaryDaily[MetaAdsOperation.spend],0)</f>
        <v>0</v>
      </c>
      <c r="AA994" s="11">
        <f>SUMIFS(SalesByUTMDaily[facebook],SalesByUTMDaily[day],TableDailySummary[[#This Row],[Fecha]])</f>
        <v>0</v>
      </c>
      <c r="AB994" s="11">
        <f>TableDailySummary[[#This Row],[Inversión google ads]]+TableDailySummary[[#This Row],[Inversión meta ads]]</f>
        <v>0</v>
      </c>
      <c r="AC994" s="11">
        <f>TableDailySummary[[#This Row],[Ventas google ads]]+TableDailySummary[[#This Row],[Ventas meta ads]]</f>
        <v>0</v>
      </c>
      <c r="AD994" s="14">
        <f>IFERROR(TableDailySummary[[#This Row],[Ventas publicidad]]/TableDailySummary[[#This Row],[Inversión publicidad]],0)</f>
        <v>0</v>
      </c>
      <c r="AE994" s="14">
        <f>IFERROR(TableDailySummary[[#This Row],[Ventas primer cliente]]/TableDailySummary[[#This Row],[Inversión publicidad]],0)</f>
        <v>0</v>
      </c>
      <c r="AF994" s="14"/>
      <c r="AG994" s="11"/>
      <c r="AM994" s="11">
        <f>_xlfn.XLOOKUP(TableDailySummary[[#This Row],[Fecha]],SummaryDaily[day],SummaryDaily[net_sales_with_cost_recorded],0)</f>
        <v>0</v>
      </c>
      <c r="AN994" s="11">
        <f>_xlfn.XLOOKUP(TableDailySummary[[#This Row],[Fecha]],SummaryDaily[day],SummaryDaily[cost_of_goods_sold],0)</f>
        <v>0</v>
      </c>
      <c r="AO994" s="11">
        <f>_xlfn.XLOOKUP(TableDailySummary[[#This Row],[Fecha]],SummaryDaily[day],SummaryDaily[gross_profit],0)</f>
        <v>0</v>
      </c>
      <c r="AP994" s="18">
        <f>IFERROR(TableDailySummary[[#This Row],[Utilidad bruta]]/TableDailySummary[[#This Row],[Ventas netas con costo registrado]],0)</f>
        <v>0</v>
      </c>
    </row>
    <row r="995" spans="2:42" x14ac:dyDescent="0.2">
      <c r="B995" s="15" cm="1">
        <f t="array" ref="B995">ParamFechaInicioReporte + (ROW(TableDailySummary[#This Row]) - ROW(TableDailySummary[[#Headers],[Dia]]) - 1)</f>
        <v>45522</v>
      </c>
      <c r="C995" s="6">
        <f>TableDailySummary[[#This Row],[Dia]]</f>
        <v>45522</v>
      </c>
      <c r="D995" s="11">
        <f>_xlfn.XLOOKUP(TableDailySummary[[#This Row],[Fecha]],SummaryDaily[day],SummaryDaily[net_sales],0)</f>
        <v>0</v>
      </c>
      <c r="E995" s="11">
        <f>_xlfn.XLOOKUP(TableDailySummary[[#This Row],[Fecha]],SummaryDaily[day],SummaryDaily[orders],0)</f>
        <v>0</v>
      </c>
      <c r="F995" s="11">
        <f>_xlfn.XLOOKUP(TableDailySummary[[#This Row],[Fecha]],SummaryDaily[day],SummaryDaily[average_order_value],0)</f>
        <v>0</v>
      </c>
      <c r="G995" s="24" cm="1">
        <f t="array" ref="G995">_xlfn.XLOOKUP(TableDailySummary[[#This Row],[Fecha]]&amp;"Total site",ConversionRateByReferral[day]&amp;ConversionRateByReferral[referrer_source],ConversionRateByReferral[conversion_rate],0)</f>
        <v>0</v>
      </c>
      <c r="H995" s="11">
        <f>TableDailySummary[[#This Row],[Órden promedio totales]]*TableDailySummary[[#This Row],[CR totales]]</f>
        <v>0</v>
      </c>
      <c r="I995" s="11">
        <f>_xlfn.XLOOKUP(TableDailySummary[[#This Row],[Fecha]],SummaryDaily[day],SummaryDaily[new_net_sales],0)</f>
        <v>0</v>
      </c>
      <c r="J995" s="11">
        <f>_xlfn.XLOOKUP(TableDailySummary[[#This Row],[Fecha]],SummaryDaily[day],SummaryDaily[new_orders],0)</f>
        <v>0</v>
      </c>
      <c r="K995" s="11">
        <f>_xlfn.XLOOKUP(TableDailySummary[[#This Row],[Fecha]],SummaryDaily[day],SummaryDaily[new_average_order_value],0)</f>
        <v>0</v>
      </c>
      <c r="L995" s="11">
        <f>_xlfn.XLOOKUP(TableDailySummary[[#This Row],[Fecha]],SummaryDaily[day],SummaryDaily[Online Store_net_sales],0)</f>
        <v>0</v>
      </c>
      <c r="M995" s="11">
        <f>_xlfn.XLOOKUP(TableDailySummary[[#This Row],[Fecha]],SummaryDaily[day],SummaryDaily[Online Store_orders],0)</f>
        <v>0</v>
      </c>
      <c r="N995" s="11">
        <f>_xlfn.XLOOKUP(TableDailySummary[[#This Row],[Fecha]],SummaryDaily[day],SummaryDaily[Online Store_average_order_value],0)</f>
        <v>0</v>
      </c>
      <c r="O995" s="11">
        <f>_xlfn.XLOOKUP(TableDailySummary[[#This Row],[Fecha]],SummaryDaily[day],SummaryDaily[Tienda 81_net_sales],0)</f>
        <v>0</v>
      </c>
      <c r="P995" s="11">
        <f>_xlfn.XLOOKUP(TableDailySummary[[#This Row],[Fecha]],SummaryDaily[day],SummaryDaily[Tienda 81_orders],0)</f>
        <v>0</v>
      </c>
      <c r="Q995" s="11">
        <f>_xlfn.XLOOKUP(TableDailySummary[[#This Row],[Fecha]],SummaryDaily[day],SummaryDaily[Tienda 81_average_order_value],0)</f>
        <v>0</v>
      </c>
      <c r="R995" s="11">
        <f>_xlfn.XLOOKUP(TableDailySummary[[#This Row],[Fecha]],SummaryDaily[day],SummaryDaily[Rappi_net_sales],0)</f>
        <v>0</v>
      </c>
      <c r="S995" s="11">
        <f>_xlfn.XLOOKUP(TableDailySummary[[#This Row],[Fecha]],SummaryDaily[day],SummaryDaily[Rappi_orders],0)</f>
        <v>0</v>
      </c>
      <c r="T995" s="11">
        <f>_xlfn.XLOOKUP(TableDailySummary[[#This Row],[Fecha]],SummaryDaily[day],SummaryDaily[Rappi_average_order_value],0)</f>
        <v>0</v>
      </c>
      <c r="U995" s="11">
        <f>_xlfn.XLOOKUP(TableDailySummary[[#This Row],[Fecha]],SummaryDaily[day],SummaryDaily[Corporativo no tienda_net_sales],0)</f>
        <v>0</v>
      </c>
      <c r="V995" s="11">
        <f>_xlfn.XLOOKUP(TableDailySummary[[#This Row],[Fecha]],SummaryDaily[day],SummaryDaily[Corporativo no tienda_orders],0)</f>
        <v>0</v>
      </c>
      <c r="W995" s="11">
        <f>_xlfn.XLOOKUP(TableDailySummary[[#This Row],[Fecha]],SummaryDaily[day],SummaryDaily[Corporativo no tienda_average_order_value],0)</f>
        <v>0</v>
      </c>
      <c r="X995" s="11">
        <f>_xlfn.XLOOKUP(TableDailySummary[[#This Row],[Fecha]],SummaryDaily[day],SummaryDaily[GoogleAdsOperation.Cost],0)</f>
        <v>0</v>
      </c>
      <c r="Y995" s="11">
        <f>SUMIFS(SalesByUTMDaily[google],SalesByUTMDaily[day],TableDailySummary[[#This Row],[Fecha]])</f>
        <v>0</v>
      </c>
      <c r="Z995" s="11">
        <f>_xlfn.XLOOKUP(TableDailySummary[[#This Row],[Fecha]],SummaryDaily[day],SummaryDaily[MetaAdsOperation.spend],0)</f>
        <v>0</v>
      </c>
      <c r="AA995" s="11">
        <f>SUMIFS(SalesByUTMDaily[facebook],SalesByUTMDaily[day],TableDailySummary[[#This Row],[Fecha]])</f>
        <v>0</v>
      </c>
      <c r="AB995" s="11">
        <f>TableDailySummary[[#This Row],[Inversión google ads]]+TableDailySummary[[#This Row],[Inversión meta ads]]</f>
        <v>0</v>
      </c>
      <c r="AC995" s="11">
        <f>TableDailySummary[[#This Row],[Ventas google ads]]+TableDailySummary[[#This Row],[Ventas meta ads]]</f>
        <v>0</v>
      </c>
      <c r="AD995" s="14">
        <f>IFERROR(TableDailySummary[[#This Row],[Ventas publicidad]]/TableDailySummary[[#This Row],[Inversión publicidad]],0)</f>
        <v>0</v>
      </c>
      <c r="AE995" s="14">
        <f>IFERROR(TableDailySummary[[#This Row],[Ventas primer cliente]]/TableDailySummary[[#This Row],[Inversión publicidad]],0)</f>
        <v>0</v>
      </c>
      <c r="AF995" s="14"/>
      <c r="AG995" s="11"/>
      <c r="AM995" s="11">
        <f>_xlfn.XLOOKUP(TableDailySummary[[#This Row],[Fecha]],SummaryDaily[day],SummaryDaily[net_sales_with_cost_recorded],0)</f>
        <v>0</v>
      </c>
      <c r="AN995" s="11">
        <f>_xlfn.XLOOKUP(TableDailySummary[[#This Row],[Fecha]],SummaryDaily[day],SummaryDaily[cost_of_goods_sold],0)</f>
        <v>0</v>
      </c>
      <c r="AO995" s="11">
        <f>_xlfn.XLOOKUP(TableDailySummary[[#This Row],[Fecha]],SummaryDaily[day],SummaryDaily[gross_profit],0)</f>
        <v>0</v>
      </c>
      <c r="AP995" s="18">
        <f>IFERROR(TableDailySummary[[#This Row],[Utilidad bruta]]/TableDailySummary[[#This Row],[Ventas netas con costo registrado]],0)</f>
        <v>0</v>
      </c>
    </row>
    <row r="996" spans="2:42" x14ac:dyDescent="0.2">
      <c r="B996" s="15" cm="1">
        <f t="array" ref="B996">ParamFechaInicioReporte + (ROW(TableDailySummary[#This Row]) - ROW(TableDailySummary[[#Headers],[Dia]]) - 1)</f>
        <v>45523</v>
      </c>
      <c r="C996" s="6">
        <f>TableDailySummary[[#This Row],[Dia]]</f>
        <v>45523</v>
      </c>
      <c r="D996" s="11">
        <f>_xlfn.XLOOKUP(TableDailySummary[[#This Row],[Fecha]],SummaryDaily[day],SummaryDaily[net_sales],0)</f>
        <v>0</v>
      </c>
      <c r="E996" s="11">
        <f>_xlfn.XLOOKUP(TableDailySummary[[#This Row],[Fecha]],SummaryDaily[day],SummaryDaily[orders],0)</f>
        <v>0</v>
      </c>
      <c r="F996" s="11">
        <f>_xlfn.XLOOKUP(TableDailySummary[[#This Row],[Fecha]],SummaryDaily[day],SummaryDaily[average_order_value],0)</f>
        <v>0</v>
      </c>
      <c r="G996" s="24" cm="1">
        <f t="array" ref="G996">_xlfn.XLOOKUP(TableDailySummary[[#This Row],[Fecha]]&amp;"Total site",ConversionRateByReferral[day]&amp;ConversionRateByReferral[referrer_source],ConversionRateByReferral[conversion_rate],0)</f>
        <v>0</v>
      </c>
      <c r="H996" s="11">
        <f>TableDailySummary[[#This Row],[Órden promedio totales]]*TableDailySummary[[#This Row],[CR totales]]</f>
        <v>0</v>
      </c>
      <c r="I996" s="11">
        <f>_xlfn.XLOOKUP(TableDailySummary[[#This Row],[Fecha]],SummaryDaily[day],SummaryDaily[new_net_sales],0)</f>
        <v>0</v>
      </c>
      <c r="J996" s="11">
        <f>_xlfn.XLOOKUP(TableDailySummary[[#This Row],[Fecha]],SummaryDaily[day],SummaryDaily[new_orders],0)</f>
        <v>0</v>
      </c>
      <c r="K996" s="11">
        <f>_xlfn.XLOOKUP(TableDailySummary[[#This Row],[Fecha]],SummaryDaily[day],SummaryDaily[new_average_order_value],0)</f>
        <v>0</v>
      </c>
      <c r="L996" s="11">
        <f>_xlfn.XLOOKUP(TableDailySummary[[#This Row],[Fecha]],SummaryDaily[day],SummaryDaily[Online Store_net_sales],0)</f>
        <v>0</v>
      </c>
      <c r="M996" s="11">
        <f>_xlfn.XLOOKUP(TableDailySummary[[#This Row],[Fecha]],SummaryDaily[day],SummaryDaily[Online Store_orders],0)</f>
        <v>0</v>
      </c>
      <c r="N996" s="11">
        <f>_xlfn.XLOOKUP(TableDailySummary[[#This Row],[Fecha]],SummaryDaily[day],SummaryDaily[Online Store_average_order_value],0)</f>
        <v>0</v>
      </c>
      <c r="O996" s="11">
        <f>_xlfn.XLOOKUP(TableDailySummary[[#This Row],[Fecha]],SummaryDaily[day],SummaryDaily[Tienda 81_net_sales],0)</f>
        <v>0</v>
      </c>
      <c r="P996" s="11">
        <f>_xlfn.XLOOKUP(TableDailySummary[[#This Row],[Fecha]],SummaryDaily[day],SummaryDaily[Tienda 81_orders],0)</f>
        <v>0</v>
      </c>
      <c r="Q996" s="11">
        <f>_xlfn.XLOOKUP(TableDailySummary[[#This Row],[Fecha]],SummaryDaily[day],SummaryDaily[Tienda 81_average_order_value],0)</f>
        <v>0</v>
      </c>
      <c r="R996" s="11">
        <f>_xlfn.XLOOKUP(TableDailySummary[[#This Row],[Fecha]],SummaryDaily[day],SummaryDaily[Rappi_net_sales],0)</f>
        <v>0</v>
      </c>
      <c r="S996" s="11">
        <f>_xlfn.XLOOKUP(TableDailySummary[[#This Row],[Fecha]],SummaryDaily[day],SummaryDaily[Rappi_orders],0)</f>
        <v>0</v>
      </c>
      <c r="T996" s="11">
        <f>_xlfn.XLOOKUP(TableDailySummary[[#This Row],[Fecha]],SummaryDaily[day],SummaryDaily[Rappi_average_order_value],0)</f>
        <v>0</v>
      </c>
      <c r="U996" s="11">
        <f>_xlfn.XLOOKUP(TableDailySummary[[#This Row],[Fecha]],SummaryDaily[day],SummaryDaily[Corporativo no tienda_net_sales],0)</f>
        <v>0</v>
      </c>
      <c r="V996" s="11">
        <f>_xlfn.XLOOKUP(TableDailySummary[[#This Row],[Fecha]],SummaryDaily[day],SummaryDaily[Corporativo no tienda_orders],0)</f>
        <v>0</v>
      </c>
      <c r="W996" s="11">
        <f>_xlfn.XLOOKUP(TableDailySummary[[#This Row],[Fecha]],SummaryDaily[day],SummaryDaily[Corporativo no tienda_average_order_value],0)</f>
        <v>0</v>
      </c>
      <c r="X996" s="11">
        <f>_xlfn.XLOOKUP(TableDailySummary[[#This Row],[Fecha]],SummaryDaily[day],SummaryDaily[GoogleAdsOperation.Cost],0)</f>
        <v>0</v>
      </c>
      <c r="Y996" s="11">
        <f>SUMIFS(SalesByUTMDaily[google],SalesByUTMDaily[day],TableDailySummary[[#This Row],[Fecha]])</f>
        <v>0</v>
      </c>
      <c r="Z996" s="11">
        <f>_xlfn.XLOOKUP(TableDailySummary[[#This Row],[Fecha]],SummaryDaily[day],SummaryDaily[MetaAdsOperation.spend],0)</f>
        <v>0</v>
      </c>
      <c r="AA996" s="11">
        <f>SUMIFS(SalesByUTMDaily[facebook],SalesByUTMDaily[day],TableDailySummary[[#This Row],[Fecha]])</f>
        <v>0</v>
      </c>
      <c r="AB996" s="11">
        <f>TableDailySummary[[#This Row],[Inversión google ads]]+TableDailySummary[[#This Row],[Inversión meta ads]]</f>
        <v>0</v>
      </c>
      <c r="AC996" s="11">
        <f>TableDailySummary[[#This Row],[Ventas google ads]]+TableDailySummary[[#This Row],[Ventas meta ads]]</f>
        <v>0</v>
      </c>
      <c r="AD996" s="14">
        <f>IFERROR(TableDailySummary[[#This Row],[Ventas publicidad]]/TableDailySummary[[#This Row],[Inversión publicidad]],0)</f>
        <v>0</v>
      </c>
      <c r="AE996" s="14">
        <f>IFERROR(TableDailySummary[[#This Row],[Ventas primer cliente]]/TableDailySummary[[#This Row],[Inversión publicidad]],0)</f>
        <v>0</v>
      </c>
      <c r="AF996" s="14"/>
      <c r="AG996" s="11"/>
      <c r="AM996" s="11">
        <f>_xlfn.XLOOKUP(TableDailySummary[[#This Row],[Fecha]],SummaryDaily[day],SummaryDaily[net_sales_with_cost_recorded],0)</f>
        <v>0</v>
      </c>
      <c r="AN996" s="11">
        <f>_xlfn.XLOOKUP(TableDailySummary[[#This Row],[Fecha]],SummaryDaily[day],SummaryDaily[cost_of_goods_sold],0)</f>
        <v>0</v>
      </c>
      <c r="AO996" s="11">
        <f>_xlfn.XLOOKUP(TableDailySummary[[#This Row],[Fecha]],SummaryDaily[day],SummaryDaily[gross_profit],0)</f>
        <v>0</v>
      </c>
      <c r="AP996" s="18">
        <f>IFERROR(TableDailySummary[[#This Row],[Utilidad bruta]]/TableDailySummary[[#This Row],[Ventas netas con costo registrado]],0)</f>
        <v>0</v>
      </c>
    </row>
    <row r="997" spans="2:42" x14ac:dyDescent="0.2">
      <c r="B997" s="15" cm="1">
        <f t="array" ref="B997">ParamFechaInicioReporte + (ROW(TableDailySummary[#This Row]) - ROW(TableDailySummary[[#Headers],[Dia]]) - 1)</f>
        <v>45524</v>
      </c>
      <c r="C997" s="6">
        <f>TableDailySummary[[#This Row],[Dia]]</f>
        <v>45524</v>
      </c>
      <c r="D997" s="11">
        <f>_xlfn.XLOOKUP(TableDailySummary[[#This Row],[Fecha]],SummaryDaily[day],SummaryDaily[net_sales],0)</f>
        <v>0</v>
      </c>
      <c r="E997" s="11">
        <f>_xlfn.XLOOKUP(TableDailySummary[[#This Row],[Fecha]],SummaryDaily[day],SummaryDaily[orders],0)</f>
        <v>0</v>
      </c>
      <c r="F997" s="11">
        <f>_xlfn.XLOOKUP(TableDailySummary[[#This Row],[Fecha]],SummaryDaily[day],SummaryDaily[average_order_value],0)</f>
        <v>0</v>
      </c>
      <c r="G997" s="24" cm="1">
        <f t="array" ref="G997">_xlfn.XLOOKUP(TableDailySummary[[#This Row],[Fecha]]&amp;"Total site",ConversionRateByReferral[day]&amp;ConversionRateByReferral[referrer_source],ConversionRateByReferral[conversion_rate],0)</f>
        <v>0</v>
      </c>
      <c r="H997" s="11">
        <f>TableDailySummary[[#This Row],[Órden promedio totales]]*TableDailySummary[[#This Row],[CR totales]]</f>
        <v>0</v>
      </c>
      <c r="I997" s="11">
        <f>_xlfn.XLOOKUP(TableDailySummary[[#This Row],[Fecha]],SummaryDaily[day],SummaryDaily[new_net_sales],0)</f>
        <v>0</v>
      </c>
      <c r="J997" s="11">
        <f>_xlfn.XLOOKUP(TableDailySummary[[#This Row],[Fecha]],SummaryDaily[day],SummaryDaily[new_orders],0)</f>
        <v>0</v>
      </c>
      <c r="K997" s="11">
        <f>_xlfn.XLOOKUP(TableDailySummary[[#This Row],[Fecha]],SummaryDaily[day],SummaryDaily[new_average_order_value],0)</f>
        <v>0</v>
      </c>
      <c r="L997" s="11">
        <f>_xlfn.XLOOKUP(TableDailySummary[[#This Row],[Fecha]],SummaryDaily[day],SummaryDaily[Online Store_net_sales],0)</f>
        <v>0</v>
      </c>
      <c r="M997" s="11">
        <f>_xlfn.XLOOKUP(TableDailySummary[[#This Row],[Fecha]],SummaryDaily[day],SummaryDaily[Online Store_orders],0)</f>
        <v>0</v>
      </c>
      <c r="N997" s="11">
        <f>_xlfn.XLOOKUP(TableDailySummary[[#This Row],[Fecha]],SummaryDaily[day],SummaryDaily[Online Store_average_order_value],0)</f>
        <v>0</v>
      </c>
      <c r="O997" s="11">
        <f>_xlfn.XLOOKUP(TableDailySummary[[#This Row],[Fecha]],SummaryDaily[day],SummaryDaily[Tienda 81_net_sales],0)</f>
        <v>0</v>
      </c>
      <c r="P997" s="11">
        <f>_xlfn.XLOOKUP(TableDailySummary[[#This Row],[Fecha]],SummaryDaily[day],SummaryDaily[Tienda 81_orders],0)</f>
        <v>0</v>
      </c>
      <c r="Q997" s="11">
        <f>_xlfn.XLOOKUP(TableDailySummary[[#This Row],[Fecha]],SummaryDaily[day],SummaryDaily[Tienda 81_average_order_value],0)</f>
        <v>0</v>
      </c>
      <c r="R997" s="11">
        <f>_xlfn.XLOOKUP(TableDailySummary[[#This Row],[Fecha]],SummaryDaily[day],SummaryDaily[Rappi_net_sales],0)</f>
        <v>0</v>
      </c>
      <c r="S997" s="11">
        <f>_xlfn.XLOOKUP(TableDailySummary[[#This Row],[Fecha]],SummaryDaily[day],SummaryDaily[Rappi_orders],0)</f>
        <v>0</v>
      </c>
      <c r="T997" s="11">
        <f>_xlfn.XLOOKUP(TableDailySummary[[#This Row],[Fecha]],SummaryDaily[day],SummaryDaily[Rappi_average_order_value],0)</f>
        <v>0</v>
      </c>
      <c r="U997" s="11">
        <f>_xlfn.XLOOKUP(TableDailySummary[[#This Row],[Fecha]],SummaryDaily[day],SummaryDaily[Corporativo no tienda_net_sales],0)</f>
        <v>0</v>
      </c>
      <c r="V997" s="11">
        <f>_xlfn.XLOOKUP(TableDailySummary[[#This Row],[Fecha]],SummaryDaily[day],SummaryDaily[Corporativo no tienda_orders],0)</f>
        <v>0</v>
      </c>
      <c r="W997" s="11">
        <f>_xlfn.XLOOKUP(TableDailySummary[[#This Row],[Fecha]],SummaryDaily[day],SummaryDaily[Corporativo no tienda_average_order_value],0)</f>
        <v>0</v>
      </c>
      <c r="X997" s="11">
        <f>_xlfn.XLOOKUP(TableDailySummary[[#This Row],[Fecha]],SummaryDaily[day],SummaryDaily[GoogleAdsOperation.Cost],0)</f>
        <v>0</v>
      </c>
      <c r="Y997" s="11">
        <f>SUMIFS(SalesByUTMDaily[google],SalesByUTMDaily[day],TableDailySummary[[#This Row],[Fecha]])</f>
        <v>0</v>
      </c>
      <c r="Z997" s="11">
        <f>_xlfn.XLOOKUP(TableDailySummary[[#This Row],[Fecha]],SummaryDaily[day],SummaryDaily[MetaAdsOperation.spend],0)</f>
        <v>0</v>
      </c>
      <c r="AA997" s="11">
        <f>SUMIFS(SalesByUTMDaily[facebook],SalesByUTMDaily[day],TableDailySummary[[#This Row],[Fecha]])</f>
        <v>0</v>
      </c>
      <c r="AB997" s="11">
        <f>TableDailySummary[[#This Row],[Inversión google ads]]+TableDailySummary[[#This Row],[Inversión meta ads]]</f>
        <v>0</v>
      </c>
      <c r="AC997" s="11">
        <f>TableDailySummary[[#This Row],[Ventas google ads]]+TableDailySummary[[#This Row],[Ventas meta ads]]</f>
        <v>0</v>
      </c>
      <c r="AD997" s="14">
        <f>IFERROR(TableDailySummary[[#This Row],[Ventas publicidad]]/TableDailySummary[[#This Row],[Inversión publicidad]],0)</f>
        <v>0</v>
      </c>
      <c r="AE997" s="14">
        <f>IFERROR(TableDailySummary[[#This Row],[Ventas primer cliente]]/TableDailySummary[[#This Row],[Inversión publicidad]],0)</f>
        <v>0</v>
      </c>
      <c r="AF997" s="14"/>
      <c r="AG997" s="11"/>
      <c r="AM997" s="11">
        <f>_xlfn.XLOOKUP(TableDailySummary[[#This Row],[Fecha]],SummaryDaily[day],SummaryDaily[net_sales_with_cost_recorded],0)</f>
        <v>0</v>
      </c>
      <c r="AN997" s="11">
        <f>_xlfn.XLOOKUP(TableDailySummary[[#This Row],[Fecha]],SummaryDaily[day],SummaryDaily[cost_of_goods_sold],0)</f>
        <v>0</v>
      </c>
      <c r="AO997" s="11">
        <f>_xlfn.XLOOKUP(TableDailySummary[[#This Row],[Fecha]],SummaryDaily[day],SummaryDaily[gross_profit],0)</f>
        <v>0</v>
      </c>
      <c r="AP997" s="18">
        <f>IFERROR(TableDailySummary[[#This Row],[Utilidad bruta]]/TableDailySummary[[#This Row],[Ventas netas con costo registrado]],0)</f>
        <v>0</v>
      </c>
    </row>
    <row r="998" spans="2:42" x14ac:dyDescent="0.2">
      <c r="B998" s="15" cm="1">
        <f t="array" ref="B998">ParamFechaInicioReporte + (ROW(TableDailySummary[#This Row]) - ROW(TableDailySummary[[#Headers],[Dia]]) - 1)</f>
        <v>45525</v>
      </c>
      <c r="C998" s="6">
        <f>TableDailySummary[[#This Row],[Dia]]</f>
        <v>45525</v>
      </c>
      <c r="D998" s="11">
        <f>_xlfn.XLOOKUP(TableDailySummary[[#This Row],[Fecha]],SummaryDaily[day],SummaryDaily[net_sales],0)</f>
        <v>0</v>
      </c>
      <c r="E998" s="11">
        <f>_xlfn.XLOOKUP(TableDailySummary[[#This Row],[Fecha]],SummaryDaily[day],SummaryDaily[orders],0)</f>
        <v>0</v>
      </c>
      <c r="F998" s="11">
        <f>_xlfn.XLOOKUP(TableDailySummary[[#This Row],[Fecha]],SummaryDaily[day],SummaryDaily[average_order_value],0)</f>
        <v>0</v>
      </c>
      <c r="G998" s="24" cm="1">
        <f t="array" ref="G998">_xlfn.XLOOKUP(TableDailySummary[[#This Row],[Fecha]]&amp;"Total site",ConversionRateByReferral[day]&amp;ConversionRateByReferral[referrer_source],ConversionRateByReferral[conversion_rate],0)</f>
        <v>0</v>
      </c>
      <c r="H998" s="11">
        <f>TableDailySummary[[#This Row],[Órden promedio totales]]*TableDailySummary[[#This Row],[CR totales]]</f>
        <v>0</v>
      </c>
      <c r="I998" s="11">
        <f>_xlfn.XLOOKUP(TableDailySummary[[#This Row],[Fecha]],SummaryDaily[day],SummaryDaily[new_net_sales],0)</f>
        <v>0</v>
      </c>
      <c r="J998" s="11">
        <f>_xlfn.XLOOKUP(TableDailySummary[[#This Row],[Fecha]],SummaryDaily[day],SummaryDaily[new_orders],0)</f>
        <v>0</v>
      </c>
      <c r="K998" s="11">
        <f>_xlfn.XLOOKUP(TableDailySummary[[#This Row],[Fecha]],SummaryDaily[day],SummaryDaily[new_average_order_value],0)</f>
        <v>0</v>
      </c>
      <c r="L998" s="11">
        <f>_xlfn.XLOOKUP(TableDailySummary[[#This Row],[Fecha]],SummaryDaily[day],SummaryDaily[Online Store_net_sales],0)</f>
        <v>0</v>
      </c>
      <c r="M998" s="11">
        <f>_xlfn.XLOOKUP(TableDailySummary[[#This Row],[Fecha]],SummaryDaily[day],SummaryDaily[Online Store_orders],0)</f>
        <v>0</v>
      </c>
      <c r="N998" s="11">
        <f>_xlfn.XLOOKUP(TableDailySummary[[#This Row],[Fecha]],SummaryDaily[day],SummaryDaily[Online Store_average_order_value],0)</f>
        <v>0</v>
      </c>
      <c r="O998" s="11">
        <f>_xlfn.XLOOKUP(TableDailySummary[[#This Row],[Fecha]],SummaryDaily[day],SummaryDaily[Tienda 81_net_sales],0)</f>
        <v>0</v>
      </c>
      <c r="P998" s="11">
        <f>_xlfn.XLOOKUP(TableDailySummary[[#This Row],[Fecha]],SummaryDaily[day],SummaryDaily[Tienda 81_orders],0)</f>
        <v>0</v>
      </c>
      <c r="Q998" s="11">
        <f>_xlfn.XLOOKUP(TableDailySummary[[#This Row],[Fecha]],SummaryDaily[day],SummaryDaily[Tienda 81_average_order_value],0)</f>
        <v>0</v>
      </c>
      <c r="R998" s="11">
        <f>_xlfn.XLOOKUP(TableDailySummary[[#This Row],[Fecha]],SummaryDaily[day],SummaryDaily[Rappi_net_sales],0)</f>
        <v>0</v>
      </c>
      <c r="S998" s="11">
        <f>_xlfn.XLOOKUP(TableDailySummary[[#This Row],[Fecha]],SummaryDaily[day],SummaryDaily[Rappi_orders],0)</f>
        <v>0</v>
      </c>
      <c r="T998" s="11">
        <f>_xlfn.XLOOKUP(TableDailySummary[[#This Row],[Fecha]],SummaryDaily[day],SummaryDaily[Rappi_average_order_value],0)</f>
        <v>0</v>
      </c>
      <c r="U998" s="11">
        <f>_xlfn.XLOOKUP(TableDailySummary[[#This Row],[Fecha]],SummaryDaily[day],SummaryDaily[Corporativo no tienda_net_sales],0)</f>
        <v>0</v>
      </c>
      <c r="V998" s="11">
        <f>_xlfn.XLOOKUP(TableDailySummary[[#This Row],[Fecha]],SummaryDaily[day],SummaryDaily[Corporativo no tienda_orders],0)</f>
        <v>0</v>
      </c>
      <c r="W998" s="11">
        <f>_xlfn.XLOOKUP(TableDailySummary[[#This Row],[Fecha]],SummaryDaily[day],SummaryDaily[Corporativo no tienda_average_order_value],0)</f>
        <v>0</v>
      </c>
      <c r="X998" s="11">
        <f>_xlfn.XLOOKUP(TableDailySummary[[#This Row],[Fecha]],SummaryDaily[day],SummaryDaily[GoogleAdsOperation.Cost],0)</f>
        <v>0</v>
      </c>
      <c r="Y998" s="11">
        <f>SUMIFS(SalesByUTMDaily[google],SalesByUTMDaily[day],TableDailySummary[[#This Row],[Fecha]])</f>
        <v>0</v>
      </c>
      <c r="Z998" s="11">
        <f>_xlfn.XLOOKUP(TableDailySummary[[#This Row],[Fecha]],SummaryDaily[day],SummaryDaily[MetaAdsOperation.spend],0)</f>
        <v>0</v>
      </c>
      <c r="AA998" s="11">
        <f>SUMIFS(SalesByUTMDaily[facebook],SalesByUTMDaily[day],TableDailySummary[[#This Row],[Fecha]])</f>
        <v>0</v>
      </c>
      <c r="AB998" s="11">
        <f>TableDailySummary[[#This Row],[Inversión google ads]]+TableDailySummary[[#This Row],[Inversión meta ads]]</f>
        <v>0</v>
      </c>
      <c r="AC998" s="11">
        <f>TableDailySummary[[#This Row],[Ventas google ads]]+TableDailySummary[[#This Row],[Ventas meta ads]]</f>
        <v>0</v>
      </c>
      <c r="AD998" s="14">
        <f>IFERROR(TableDailySummary[[#This Row],[Ventas publicidad]]/TableDailySummary[[#This Row],[Inversión publicidad]],0)</f>
        <v>0</v>
      </c>
      <c r="AE998" s="14">
        <f>IFERROR(TableDailySummary[[#This Row],[Ventas primer cliente]]/TableDailySummary[[#This Row],[Inversión publicidad]],0)</f>
        <v>0</v>
      </c>
      <c r="AF998" s="14"/>
      <c r="AG998" s="11"/>
      <c r="AM998" s="11">
        <f>_xlfn.XLOOKUP(TableDailySummary[[#This Row],[Fecha]],SummaryDaily[day],SummaryDaily[net_sales_with_cost_recorded],0)</f>
        <v>0</v>
      </c>
      <c r="AN998" s="11">
        <f>_xlfn.XLOOKUP(TableDailySummary[[#This Row],[Fecha]],SummaryDaily[day],SummaryDaily[cost_of_goods_sold],0)</f>
        <v>0</v>
      </c>
      <c r="AO998" s="11">
        <f>_xlfn.XLOOKUP(TableDailySummary[[#This Row],[Fecha]],SummaryDaily[day],SummaryDaily[gross_profit],0)</f>
        <v>0</v>
      </c>
      <c r="AP998" s="18">
        <f>IFERROR(TableDailySummary[[#This Row],[Utilidad bruta]]/TableDailySummary[[#This Row],[Ventas netas con costo registrado]],0)</f>
        <v>0</v>
      </c>
    </row>
    <row r="999" spans="2:42" x14ac:dyDescent="0.2">
      <c r="B999" s="15" cm="1">
        <f t="array" ref="B999">ParamFechaInicioReporte + (ROW(TableDailySummary[#This Row]) - ROW(TableDailySummary[[#Headers],[Dia]]) - 1)</f>
        <v>45526</v>
      </c>
      <c r="C999" s="6">
        <f>TableDailySummary[[#This Row],[Dia]]</f>
        <v>45526</v>
      </c>
      <c r="D999" s="11">
        <f>_xlfn.XLOOKUP(TableDailySummary[[#This Row],[Fecha]],SummaryDaily[day],SummaryDaily[net_sales],0)</f>
        <v>0</v>
      </c>
      <c r="E999" s="11">
        <f>_xlfn.XLOOKUP(TableDailySummary[[#This Row],[Fecha]],SummaryDaily[day],SummaryDaily[orders],0)</f>
        <v>0</v>
      </c>
      <c r="F999" s="11">
        <f>_xlfn.XLOOKUP(TableDailySummary[[#This Row],[Fecha]],SummaryDaily[day],SummaryDaily[average_order_value],0)</f>
        <v>0</v>
      </c>
      <c r="G999" s="24" cm="1">
        <f t="array" ref="G999">_xlfn.XLOOKUP(TableDailySummary[[#This Row],[Fecha]]&amp;"Total site",ConversionRateByReferral[day]&amp;ConversionRateByReferral[referrer_source],ConversionRateByReferral[conversion_rate],0)</f>
        <v>0</v>
      </c>
      <c r="H999" s="11">
        <f>TableDailySummary[[#This Row],[Órden promedio totales]]*TableDailySummary[[#This Row],[CR totales]]</f>
        <v>0</v>
      </c>
      <c r="I999" s="11">
        <f>_xlfn.XLOOKUP(TableDailySummary[[#This Row],[Fecha]],SummaryDaily[day],SummaryDaily[new_net_sales],0)</f>
        <v>0</v>
      </c>
      <c r="J999" s="11">
        <f>_xlfn.XLOOKUP(TableDailySummary[[#This Row],[Fecha]],SummaryDaily[day],SummaryDaily[new_orders],0)</f>
        <v>0</v>
      </c>
      <c r="K999" s="11">
        <f>_xlfn.XLOOKUP(TableDailySummary[[#This Row],[Fecha]],SummaryDaily[day],SummaryDaily[new_average_order_value],0)</f>
        <v>0</v>
      </c>
      <c r="L999" s="11">
        <f>_xlfn.XLOOKUP(TableDailySummary[[#This Row],[Fecha]],SummaryDaily[day],SummaryDaily[Online Store_net_sales],0)</f>
        <v>0</v>
      </c>
      <c r="M999" s="11">
        <f>_xlfn.XLOOKUP(TableDailySummary[[#This Row],[Fecha]],SummaryDaily[day],SummaryDaily[Online Store_orders],0)</f>
        <v>0</v>
      </c>
      <c r="N999" s="11">
        <f>_xlfn.XLOOKUP(TableDailySummary[[#This Row],[Fecha]],SummaryDaily[day],SummaryDaily[Online Store_average_order_value],0)</f>
        <v>0</v>
      </c>
      <c r="O999" s="11">
        <f>_xlfn.XLOOKUP(TableDailySummary[[#This Row],[Fecha]],SummaryDaily[day],SummaryDaily[Tienda 81_net_sales],0)</f>
        <v>0</v>
      </c>
      <c r="P999" s="11">
        <f>_xlfn.XLOOKUP(TableDailySummary[[#This Row],[Fecha]],SummaryDaily[day],SummaryDaily[Tienda 81_orders],0)</f>
        <v>0</v>
      </c>
      <c r="Q999" s="11">
        <f>_xlfn.XLOOKUP(TableDailySummary[[#This Row],[Fecha]],SummaryDaily[day],SummaryDaily[Tienda 81_average_order_value],0)</f>
        <v>0</v>
      </c>
      <c r="R999" s="11">
        <f>_xlfn.XLOOKUP(TableDailySummary[[#This Row],[Fecha]],SummaryDaily[day],SummaryDaily[Rappi_net_sales],0)</f>
        <v>0</v>
      </c>
      <c r="S999" s="11">
        <f>_xlfn.XLOOKUP(TableDailySummary[[#This Row],[Fecha]],SummaryDaily[day],SummaryDaily[Rappi_orders],0)</f>
        <v>0</v>
      </c>
      <c r="T999" s="11">
        <f>_xlfn.XLOOKUP(TableDailySummary[[#This Row],[Fecha]],SummaryDaily[day],SummaryDaily[Rappi_average_order_value],0)</f>
        <v>0</v>
      </c>
      <c r="U999" s="11">
        <f>_xlfn.XLOOKUP(TableDailySummary[[#This Row],[Fecha]],SummaryDaily[day],SummaryDaily[Corporativo no tienda_net_sales],0)</f>
        <v>0</v>
      </c>
      <c r="V999" s="11">
        <f>_xlfn.XLOOKUP(TableDailySummary[[#This Row],[Fecha]],SummaryDaily[day],SummaryDaily[Corporativo no tienda_orders],0)</f>
        <v>0</v>
      </c>
      <c r="W999" s="11">
        <f>_xlfn.XLOOKUP(TableDailySummary[[#This Row],[Fecha]],SummaryDaily[day],SummaryDaily[Corporativo no tienda_average_order_value],0)</f>
        <v>0</v>
      </c>
      <c r="X999" s="11">
        <f>_xlfn.XLOOKUP(TableDailySummary[[#This Row],[Fecha]],SummaryDaily[day],SummaryDaily[GoogleAdsOperation.Cost],0)</f>
        <v>0</v>
      </c>
      <c r="Y999" s="11">
        <f>SUMIFS(SalesByUTMDaily[google],SalesByUTMDaily[day],TableDailySummary[[#This Row],[Fecha]])</f>
        <v>0</v>
      </c>
      <c r="Z999" s="11">
        <f>_xlfn.XLOOKUP(TableDailySummary[[#This Row],[Fecha]],SummaryDaily[day],SummaryDaily[MetaAdsOperation.spend],0)</f>
        <v>0</v>
      </c>
      <c r="AA999" s="11">
        <f>SUMIFS(SalesByUTMDaily[facebook],SalesByUTMDaily[day],TableDailySummary[[#This Row],[Fecha]])</f>
        <v>0</v>
      </c>
      <c r="AB999" s="11">
        <f>TableDailySummary[[#This Row],[Inversión google ads]]+TableDailySummary[[#This Row],[Inversión meta ads]]</f>
        <v>0</v>
      </c>
      <c r="AC999" s="11">
        <f>TableDailySummary[[#This Row],[Ventas google ads]]+TableDailySummary[[#This Row],[Ventas meta ads]]</f>
        <v>0</v>
      </c>
      <c r="AD999" s="14">
        <f>IFERROR(TableDailySummary[[#This Row],[Ventas publicidad]]/TableDailySummary[[#This Row],[Inversión publicidad]],0)</f>
        <v>0</v>
      </c>
      <c r="AE999" s="14">
        <f>IFERROR(TableDailySummary[[#This Row],[Ventas primer cliente]]/TableDailySummary[[#This Row],[Inversión publicidad]],0)</f>
        <v>0</v>
      </c>
      <c r="AF999" s="14"/>
      <c r="AG999" s="11"/>
      <c r="AM999" s="11">
        <f>_xlfn.XLOOKUP(TableDailySummary[[#This Row],[Fecha]],SummaryDaily[day],SummaryDaily[net_sales_with_cost_recorded],0)</f>
        <v>0</v>
      </c>
      <c r="AN999" s="11">
        <f>_xlfn.XLOOKUP(TableDailySummary[[#This Row],[Fecha]],SummaryDaily[day],SummaryDaily[cost_of_goods_sold],0)</f>
        <v>0</v>
      </c>
      <c r="AO999" s="11">
        <f>_xlfn.XLOOKUP(TableDailySummary[[#This Row],[Fecha]],SummaryDaily[day],SummaryDaily[gross_profit],0)</f>
        <v>0</v>
      </c>
      <c r="AP999" s="18">
        <f>IFERROR(TableDailySummary[[#This Row],[Utilidad bruta]]/TableDailySummary[[#This Row],[Ventas netas con costo registrado]],0)</f>
        <v>0</v>
      </c>
    </row>
    <row r="1000" spans="2:42" x14ac:dyDescent="0.2">
      <c r="B1000" s="15" cm="1">
        <f t="array" ref="B1000">ParamFechaInicioReporte + (ROW(TableDailySummary[#This Row]) - ROW(TableDailySummary[[#Headers],[Dia]]) - 1)</f>
        <v>45527</v>
      </c>
      <c r="C1000" s="6">
        <f>TableDailySummary[[#This Row],[Dia]]</f>
        <v>45527</v>
      </c>
      <c r="D1000" s="11">
        <f>_xlfn.XLOOKUP(TableDailySummary[[#This Row],[Fecha]],SummaryDaily[day],SummaryDaily[net_sales],0)</f>
        <v>0</v>
      </c>
      <c r="E1000" s="11">
        <f>_xlfn.XLOOKUP(TableDailySummary[[#This Row],[Fecha]],SummaryDaily[day],SummaryDaily[orders],0)</f>
        <v>0</v>
      </c>
      <c r="F1000" s="11">
        <f>_xlfn.XLOOKUP(TableDailySummary[[#This Row],[Fecha]],SummaryDaily[day],SummaryDaily[average_order_value],0)</f>
        <v>0</v>
      </c>
      <c r="G1000" s="24" cm="1">
        <f t="array" ref="G1000">_xlfn.XLOOKUP(TableDailySummary[[#This Row],[Fecha]]&amp;"Total site",ConversionRateByReferral[day]&amp;ConversionRateByReferral[referrer_source],ConversionRateByReferral[conversion_rate],0)</f>
        <v>0</v>
      </c>
      <c r="H1000" s="11">
        <f>TableDailySummary[[#This Row],[Órden promedio totales]]*TableDailySummary[[#This Row],[CR totales]]</f>
        <v>0</v>
      </c>
      <c r="I1000" s="11">
        <f>_xlfn.XLOOKUP(TableDailySummary[[#This Row],[Fecha]],SummaryDaily[day],SummaryDaily[new_net_sales],0)</f>
        <v>0</v>
      </c>
      <c r="J1000" s="11">
        <f>_xlfn.XLOOKUP(TableDailySummary[[#This Row],[Fecha]],SummaryDaily[day],SummaryDaily[new_orders],0)</f>
        <v>0</v>
      </c>
      <c r="K1000" s="11">
        <f>_xlfn.XLOOKUP(TableDailySummary[[#This Row],[Fecha]],SummaryDaily[day],SummaryDaily[new_average_order_value],0)</f>
        <v>0</v>
      </c>
      <c r="L1000" s="11">
        <f>_xlfn.XLOOKUP(TableDailySummary[[#This Row],[Fecha]],SummaryDaily[day],SummaryDaily[Online Store_net_sales],0)</f>
        <v>0</v>
      </c>
      <c r="M1000" s="11">
        <f>_xlfn.XLOOKUP(TableDailySummary[[#This Row],[Fecha]],SummaryDaily[day],SummaryDaily[Online Store_orders],0)</f>
        <v>0</v>
      </c>
      <c r="N1000" s="11">
        <f>_xlfn.XLOOKUP(TableDailySummary[[#This Row],[Fecha]],SummaryDaily[day],SummaryDaily[Online Store_average_order_value],0)</f>
        <v>0</v>
      </c>
      <c r="O1000" s="11">
        <f>_xlfn.XLOOKUP(TableDailySummary[[#This Row],[Fecha]],SummaryDaily[day],SummaryDaily[Tienda 81_net_sales],0)</f>
        <v>0</v>
      </c>
      <c r="P1000" s="11">
        <f>_xlfn.XLOOKUP(TableDailySummary[[#This Row],[Fecha]],SummaryDaily[day],SummaryDaily[Tienda 81_orders],0)</f>
        <v>0</v>
      </c>
      <c r="Q1000" s="11">
        <f>_xlfn.XLOOKUP(TableDailySummary[[#This Row],[Fecha]],SummaryDaily[day],SummaryDaily[Tienda 81_average_order_value],0)</f>
        <v>0</v>
      </c>
      <c r="R1000" s="11">
        <f>_xlfn.XLOOKUP(TableDailySummary[[#This Row],[Fecha]],SummaryDaily[day],SummaryDaily[Rappi_net_sales],0)</f>
        <v>0</v>
      </c>
      <c r="S1000" s="11">
        <f>_xlfn.XLOOKUP(TableDailySummary[[#This Row],[Fecha]],SummaryDaily[day],SummaryDaily[Rappi_orders],0)</f>
        <v>0</v>
      </c>
      <c r="T1000" s="11">
        <f>_xlfn.XLOOKUP(TableDailySummary[[#This Row],[Fecha]],SummaryDaily[day],SummaryDaily[Rappi_average_order_value],0)</f>
        <v>0</v>
      </c>
      <c r="U1000" s="11">
        <f>_xlfn.XLOOKUP(TableDailySummary[[#This Row],[Fecha]],SummaryDaily[day],SummaryDaily[Corporativo no tienda_net_sales],0)</f>
        <v>0</v>
      </c>
      <c r="V1000" s="11">
        <f>_xlfn.XLOOKUP(TableDailySummary[[#This Row],[Fecha]],SummaryDaily[day],SummaryDaily[Corporativo no tienda_orders],0)</f>
        <v>0</v>
      </c>
      <c r="W1000" s="11">
        <f>_xlfn.XLOOKUP(TableDailySummary[[#This Row],[Fecha]],SummaryDaily[day],SummaryDaily[Corporativo no tienda_average_order_value],0)</f>
        <v>0</v>
      </c>
      <c r="X1000" s="11">
        <f>_xlfn.XLOOKUP(TableDailySummary[[#This Row],[Fecha]],SummaryDaily[day],SummaryDaily[GoogleAdsOperation.Cost],0)</f>
        <v>0</v>
      </c>
      <c r="Y1000" s="11">
        <f>SUMIFS(SalesByUTMDaily[google],SalesByUTMDaily[day],TableDailySummary[[#This Row],[Fecha]])</f>
        <v>0</v>
      </c>
      <c r="Z1000" s="11">
        <f>_xlfn.XLOOKUP(TableDailySummary[[#This Row],[Fecha]],SummaryDaily[day],SummaryDaily[MetaAdsOperation.spend],0)</f>
        <v>0</v>
      </c>
      <c r="AA1000" s="11">
        <f>SUMIFS(SalesByUTMDaily[facebook],SalesByUTMDaily[day],TableDailySummary[[#This Row],[Fecha]])</f>
        <v>0</v>
      </c>
      <c r="AB1000" s="11">
        <f>TableDailySummary[[#This Row],[Inversión google ads]]+TableDailySummary[[#This Row],[Inversión meta ads]]</f>
        <v>0</v>
      </c>
      <c r="AC1000" s="11">
        <f>TableDailySummary[[#This Row],[Ventas google ads]]+TableDailySummary[[#This Row],[Ventas meta ads]]</f>
        <v>0</v>
      </c>
      <c r="AD1000" s="14">
        <f>IFERROR(TableDailySummary[[#This Row],[Ventas publicidad]]/TableDailySummary[[#This Row],[Inversión publicidad]],0)</f>
        <v>0</v>
      </c>
      <c r="AE1000" s="14">
        <f>IFERROR(TableDailySummary[[#This Row],[Ventas primer cliente]]/TableDailySummary[[#This Row],[Inversión publicidad]],0)</f>
        <v>0</v>
      </c>
      <c r="AF1000" s="14"/>
      <c r="AG1000" s="11"/>
      <c r="AM1000" s="11">
        <f>_xlfn.XLOOKUP(TableDailySummary[[#This Row],[Fecha]],SummaryDaily[day],SummaryDaily[net_sales_with_cost_recorded],0)</f>
        <v>0</v>
      </c>
      <c r="AN1000" s="11">
        <f>_xlfn.XLOOKUP(TableDailySummary[[#This Row],[Fecha]],SummaryDaily[day],SummaryDaily[cost_of_goods_sold],0)</f>
        <v>0</v>
      </c>
      <c r="AO1000" s="11">
        <f>_xlfn.XLOOKUP(TableDailySummary[[#This Row],[Fecha]],SummaryDaily[day],SummaryDaily[gross_profit],0)</f>
        <v>0</v>
      </c>
      <c r="AP1000" s="18">
        <f>IFERROR(TableDailySummary[[#This Row],[Utilidad bruta]]/TableDailySummary[[#This Row],[Ventas netas con costo registrado]],0)</f>
        <v>0</v>
      </c>
    </row>
    <row r="1001" spans="2:42" x14ac:dyDescent="0.2">
      <c r="B1001" s="15" cm="1">
        <f t="array" ref="B1001">ParamFechaInicioReporte + (ROW(TableDailySummary[#This Row]) - ROW(TableDailySummary[[#Headers],[Dia]]) - 1)</f>
        <v>45528</v>
      </c>
      <c r="C1001" s="6">
        <f>TableDailySummary[[#This Row],[Dia]]</f>
        <v>45528</v>
      </c>
      <c r="D1001" s="11">
        <f>_xlfn.XLOOKUP(TableDailySummary[[#This Row],[Fecha]],SummaryDaily[day],SummaryDaily[net_sales],0)</f>
        <v>0</v>
      </c>
      <c r="E1001" s="11">
        <f>_xlfn.XLOOKUP(TableDailySummary[[#This Row],[Fecha]],SummaryDaily[day],SummaryDaily[orders],0)</f>
        <v>0</v>
      </c>
      <c r="F1001" s="11">
        <f>_xlfn.XLOOKUP(TableDailySummary[[#This Row],[Fecha]],SummaryDaily[day],SummaryDaily[average_order_value],0)</f>
        <v>0</v>
      </c>
      <c r="G1001" s="24" cm="1">
        <f t="array" ref="G1001">_xlfn.XLOOKUP(TableDailySummary[[#This Row],[Fecha]]&amp;"Total site",ConversionRateByReferral[day]&amp;ConversionRateByReferral[referrer_source],ConversionRateByReferral[conversion_rate],0)</f>
        <v>0</v>
      </c>
      <c r="H1001" s="11">
        <f>TableDailySummary[[#This Row],[Órden promedio totales]]*TableDailySummary[[#This Row],[CR totales]]</f>
        <v>0</v>
      </c>
      <c r="I1001" s="11">
        <f>_xlfn.XLOOKUP(TableDailySummary[[#This Row],[Fecha]],SummaryDaily[day],SummaryDaily[new_net_sales],0)</f>
        <v>0</v>
      </c>
      <c r="J1001" s="11">
        <f>_xlfn.XLOOKUP(TableDailySummary[[#This Row],[Fecha]],SummaryDaily[day],SummaryDaily[new_orders],0)</f>
        <v>0</v>
      </c>
      <c r="K1001" s="11">
        <f>_xlfn.XLOOKUP(TableDailySummary[[#This Row],[Fecha]],SummaryDaily[day],SummaryDaily[new_average_order_value],0)</f>
        <v>0</v>
      </c>
      <c r="L1001" s="11">
        <f>_xlfn.XLOOKUP(TableDailySummary[[#This Row],[Fecha]],SummaryDaily[day],SummaryDaily[Online Store_net_sales],0)</f>
        <v>0</v>
      </c>
      <c r="M1001" s="11">
        <f>_xlfn.XLOOKUP(TableDailySummary[[#This Row],[Fecha]],SummaryDaily[day],SummaryDaily[Online Store_orders],0)</f>
        <v>0</v>
      </c>
      <c r="N1001" s="11">
        <f>_xlfn.XLOOKUP(TableDailySummary[[#This Row],[Fecha]],SummaryDaily[day],SummaryDaily[Online Store_average_order_value],0)</f>
        <v>0</v>
      </c>
      <c r="O1001" s="11">
        <f>_xlfn.XLOOKUP(TableDailySummary[[#This Row],[Fecha]],SummaryDaily[day],SummaryDaily[Tienda 81_net_sales],0)</f>
        <v>0</v>
      </c>
      <c r="P1001" s="11">
        <f>_xlfn.XLOOKUP(TableDailySummary[[#This Row],[Fecha]],SummaryDaily[day],SummaryDaily[Tienda 81_orders],0)</f>
        <v>0</v>
      </c>
      <c r="Q1001" s="11">
        <f>_xlfn.XLOOKUP(TableDailySummary[[#This Row],[Fecha]],SummaryDaily[day],SummaryDaily[Tienda 81_average_order_value],0)</f>
        <v>0</v>
      </c>
      <c r="R1001" s="11">
        <f>_xlfn.XLOOKUP(TableDailySummary[[#This Row],[Fecha]],SummaryDaily[day],SummaryDaily[Rappi_net_sales],0)</f>
        <v>0</v>
      </c>
      <c r="S1001" s="11">
        <f>_xlfn.XLOOKUP(TableDailySummary[[#This Row],[Fecha]],SummaryDaily[day],SummaryDaily[Rappi_orders],0)</f>
        <v>0</v>
      </c>
      <c r="T1001" s="11">
        <f>_xlfn.XLOOKUP(TableDailySummary[[#This Row],[Fecha]],SummaryDaily[day],SummaryDaily[Rappi_average_order_value],0)</f>
        <v>0</v>
      </c>
      <c r="U1001" s="11">
        <f>_xlfn.XLOOKUP(TableDailySummary[[#This Row],[Fecha]],SummaryDaily[day],SummaryDaily[Corporativo no tienda_net_sales],0)</f>
        <v>0</v>
      </c>
      <c r="V1001" s="11">
        <f>_xlfn.XLOOKUP(TableDailySummary[[#This Row],[Fecha]],SummaryDaily[day],SummaryDaily[Corporativo no tienda_orders],0)</f>
        <v>0</v>
      </c>
      <c r="W1001" s="11">
        <f>_xlfn.XLOOKUP(TableDailySummary[[#This Row],[Fecha]],SummaryDaily[day],SummaryDaily[Corporativo no tienda_average_order_value],0)</f>
        <v>0</v>
      </c>
      <c r="X1001" s="11">
        <f>_xlfn.XLOOKUP(TableDailySummary[[#This Row],[Fecha]],SummaryDaily[day],SummaryDaily[GoogleAdsOperation.Cost],0)</f>
        <v>0</v>
      </c>
      <c r="Y1001" s="11">
        <f>SUMIFS(SalesByUTMDaily[google],SalesByUTMDaily[day],TableDailySummary[[#This Row],[Fecha]])</f>
        <v>0</v>
      </c>
      <c r="Z1001" s="11">
        <f>_xlfn.XLOOKUP(TableDailySummary[[#This Row],[Fecha]],SummaryDaily[day],SummaryDaily[MetaAdsOperation.spend],0)</f>
        <v>0</v>
      </c>
      <c r="AA1001" s="11">
        <f>SUMIFS(SalesByUTMDaily[facebook],SalesByUTMDaily[day],TableDailySummary[[#This Row],[Fecha]])</f>
        <v>0</v>
      </c>
      <c r="AB1001" s="11">
        <f>TableDailySummary[[#This Row],[Inversión google ads]]+TableDailySummary[[#This Row],[Inversión meta ads]]</f>
        <v>0</v>
      </c>
      <c r="AC1001" s="11">
        <f>TableDailySummary[[#This Row],[Ventas google ads]]+TableDailySummary[[#This Row],[Ventas meta ads]]</f>
        <v>0</v>
      </c>
      <c r="AD1001" s="14">
        <f>IFERROR(TableDailySummary[[#This Row],[Ventas publicidad]]/TableDailySummary[[#This Row],[Inversión publicidad]],0)</f>
        <v>0</v>
      </c>
      <c r="AE1001" s="14">
        <f>IFERROR(TableDailySummary[[#This Row],[Ventas primer cliente]]/TableDailySummary[[#This Row],[Inversión publicidad]],0)</f>
        <v>0</v>
      </c>
      <c r="AF1001" s="14"/>
      <c r="AG1001" s="11"/>
      <c r="AM1001" s="11">
        <f>_xlfn.XLOOKUP(TableDailySummary[[#This Row],[Fecha]],SummaryDaily[day],SummaryDaily[net_sales_with_cost_recorded],0)</f>
        <v>0</v>
      </c>
      <c r="AN1001" s="11">
        <f>_xlfn.XLOOKUP(TableDailySummary[[#This Row],[Fecha]],SummaryDaily[day],SummaryDaily[cost_of_goods_sold],0)</f>
        <v>0</v>
      </c>
      <c r="AO1001" s="11">
        <f>_xlfn.XLOOKUP(TableDailySummary[[#This Row],[Fecha]],SummaryDaily[day],SummaryDaily[gross_profit],0)</f>
        <v>0</v>
      </c>
      <c r="AP1001" s="18">
        <f>IFERROR(TableDailySummary[[#This Row],[Utilidad bruta]]/TableDailySummary[[#This Row],[Ventas netas con costo registrado]],0)</f>
        <v>0</v>
      </c>
    </row>
    <row r="1002" spans="2:42" x14ac:dyDescent="0.2">
      <c r="B1002" s="15" cm="1">
        <f t="array" ref="B1002">ParamFechaInicioReporte + (ROW(TableDailySummary[#This Row]) - ROW(TableDailySummary[[#Headers],[Dia]]) - 1)</f>
        <v>45529</v>
      </c>
      <c r="C1002" s="6">
        <f>TableDailySummary[[#This Row],[Dia]]</f>
        <v>45529</v>
      </c>
      <c r="D1002" s="11">
        <f>_xlfn.XLOOKUP(TableDailySummary[[#This Row],[Fecha]],SummaryDaily[day],SummaryDaily[net_sales],0)</f>
        <v>0</v>
      </c>
      <c r="E1002" s="11">
        <f>_xlfn.XLOOKUP(TableDailySummary[[#This Row],[Fecha]],SummaryDaily[day],SummaryDaily[orders],0)</f>
        <v>0</v>
      </c>
      <c r="F1002" s="11">
        <f>_xlfn.XLOOKUP(TableDailySummary[[#This Row],[Fecha]],SummaryDaily[day],SummaryDaily[average_order_value],0)</f>
        <v>0</v>
      </c>
      <c r="G1002" s="24" cm="1">
        <f t="array" ref="G1002">_xlfn.XLOOKUP(TableDailySummary[[#This Row],[Fecha]]&amp;"Total site",ConversionRateByReferral[day]&amp;ConversionRateByReferral[referrer_source],ConversionRateByReferral[conversion_rate],0)</f>
        <v>0</v>
      </c>
      <c r="H1002" s="11">
        <f>TableDailySummary[[#This Row],[Órden promedio totales]]*TableDailySummary[[#This Row],[CR totales]]</f>
        <v>0</v>
      </c>
      <c r="I1002" s="11">
        <f>_xlfn.XLOOKUP(TableDailySummary[[#This Row],[Fecha]],SummaryDaily[day],SummaryDaily[new_net_sales],0)</f>
        <v>0</v>
      </c>
      <c r="J1002" s="11">
        <f>_xlfn.XLOOKUP(TableDailySummary[[#This Row],[Fecha]],SummaryDaily[day],SummaryDaily[new_orders],0)</f>
        <v>0</v>
      </c>
      <c r="K1002" s="11">
        <f>_xlfn.XLOOKUP(TableDailySummary[[#This Row],[Fecha]],SummaryDaily[day],SummaryDaily[new_average_order_value],0)</f>
        <v>0</v>
      </c>
      <c r="L1002" s="11">
        <f>_xlfn.XLOOKUP(TableDailySummary[[#This Row],[Fecha]],SummaryDaily[day],SummaryDaily[Online Store_net_sales],0)</f>
        <v>0</v>
      </c>
      <c r="M1002" s="11">
        <f>_xlfn.XLOOKUP(TableDailySummary[[#This Row],[Fecha]],SummaryDaily[day],SummaryDaily[Online Store_orders],0)</f>
        <v>0</v>
      </c>
      <c r="N1002" s="11">
        <f>_xlfn.XLOOKUP(TableDailySummary[[#This Row],[Fecha]],SummaryDaily[day],SummaryDaily[Online Store_average_order_value],0)</f>
        <v>0</v>
      </c>
      <c r="O1002" s="11">
        <f>_xlfn.XLOOKUP(TableDailySummary[[#This Row],[Fecha]],SummaryDaily[day],SummaryDaily[Tienda 81_net_sales],0)</f>
        <v>0</v>
      </c>
      <c r="P1002" s="11">
        <f>_xlfn.XLOOKUP(TableDailySummary[[#This Row],[Fecha]],SummaryDaily[day],SummaryDaily[Tienda 81_orders],0)</f>
        <v>0</v>
      </c>
      <c r="Q1002" s="11">
        <f>_xlfn.XLOOKUP(TableDailySummary[[#This Row],[Fecha]],SummaryDaily[day],SummaryDaily[Tienda 81_average_order_value],0)</f>
        <v>0</v>
      </c>
      <c r="R1002" s="11">
        <f>_xlfn.XLOOKUP(TableDailySummary[[#This Row],[Fecha]],SummaryDaily[day],SummaryDaily[Rappi_net_sales],0)</f>
        <v>0</v>
      </c>
      <c r="S1002" s="11">
        <f>_xlfn.XLOOKUP(TableDailySummary[[#This Row],[Fecha]],SummaryDaily[day],SummaryDaily[Rappi_orders],0)</f>
        <v>0</v>
      </c>
      <c r="T1002" s="11">
        <f>_xlfn.XLOOKUP(TableDailySummary[[#This Row],[Fecha]],SummaryDaily[day],SummaryDaily[Rappi_average_order_value],0)</f>
        <v>0</v>
      </c>
      <c r="U1002" s="11">
        <f>_xlfn.XLOOKUP(TableDailySummary[[#This Row],[Fecha]],SummaryDaily[day],SummaryDaily[Corporativo no tienda_net_sales],0)</f>
        <v>0</v>
      </c>
      <c r="V1002" s="11">
        <f>_xlfn.XLOOKUP(TableDailySummary[[#This Row],[Fecha]],SummaryDaily[day],SummaryDaily[Corporativo no tienda_orders],0)</f>
        <v>0</v>
      </c>
      <c r="W1002" s="11">
        <f>_xlfn.XLOOKUP(TableDailySummary[[#This Row],[Fecha]],SummaryDaily[day],SummaryDaily[Corporativo no tienda_average_order_value],0)</f>
        <v>0</v>
      </c>
      <c r="X1002" s="11">
        <f>_xlfn.XLOOKUP(TableDailySummary[[#This Row],[Fecha]],SummaryDaily[day],SummaryDaily[GoogleAdsOperation.Cost],0)</f>
        <v>0</v>
      </c>
      <c r="Y1002" s="11">
        <f>SUMIFS(SalesByUTMDaily[google],SalesByUTMDaily[day],TableDailySummary[[#This Row],[Fecha]])</f>
        <v>0</v>
      </c>
      <c r="Z1002" s="11">
        <f>_xlfn.XLOOKUP(TableDailySummary[[#This Row],[Fecha]],SummaryDaily[day],SummaryDaily[MetaAdsOperation.spend],0)</f>
        <v>0</v>
      </c>
      <c r="AA1002" s="11">
        <f>SUMIFS(SalesByUTMDaily[facebook],SalesByUTMDaily[day],TableDailySummary[[#This Row],[Fecha]])</f>
        <v>0</v>
      </c>
      <c r="AB1002" s="11">
        <f>TableDailySummary[[#This Row],[Inversión google ads]]+TableDailySummary[[#This Row],[Inversión meta ads]]</f>
        <v>0</v>
      </c>
      <c r="AC1002" s="11">
        <f>TableDailySummary[[#This Row],[Ventas google ads]]+TableDailySummary[[#This Row],[Ventas meta ads]]</f>
        <v>0</v>
      </c>
      <c r="AD1002" s="14">
        <f>IFERROR(TableDailySummary[[#This Row],[Ventas publicidad]]/TableDailySummary[[#This Row],[Inversión publicidad]],0)</f>
        <v>0</v>
      </c>
      <c r="AE1002" s="14">
        <f>IFERROR(TableDailySummary[[#This Row],[Ventas primer cliente]]/TableDailySummary[[#This Row],[Inversión publicidad]],0)</f>
        <v>0</v>
      </c>
      <c r="AF1002" s="14"/>
      <c r="AG1002" s="11"/>
      <c r="AM1002" s="11">
        <f>_xlfn.XLOOKUP(TableDailySummary[[#This Row],[Fecha]],SummaryDaily[day],SummaryDaily[net_sales_with_cost_recorded],0)</f>
        <v>0</v>
      </c>
      <c r="AN1002" s="11">
        <f>_xlfn.XLOOKUP(TableDailySummary[[#This Row],[Fecha]],SummaryDaily[day],SummaryDaily[cost_of_goods_sold],0)</f>
        <v>0</v>
      </c>
      <c r="AO1002" s="11">
        <f>_xlfn.XLOOKUP(TableDailySummary[[#This Row],[Fecha]],SummaryDaily[day],SummaryDaily[gross_profit],0)</f>
        <v>0</v>
      </c>
      <c r="AP1002" s="18">
        <f>IFERROR(TableDailySummary[[#This Row],[Utilidad bruta]]/TableDailySummary[[#This Row],[Ventas netas con costo registrado]],0)</f>
        <v>0</v>
      </c>
    </row>
    <row r="1003" spans="2:42" x14ac:dyDescent="0.2">
      <c r="B1003" s="15" cm="1">
        <f t="array" ref="B1003">ParamFechaInicioReporte + (ROW(TableDailySummary[#This Row]) - ROW(TableDailySummary[[#Headers],[Dia]]) - 1)</f>
        <v>45530</v>
      </c>
      <c r="C1003" s="6">
        <f>TableDailySummary[[#This Row],[Dia]]</f>
        <v>45530</v>
      </c>
      <c r="D1003" s="11">
        <f>_xlfn.XLOOKUP(TableDailySummary[[#This Row],[Fecha]],SummaryDaily[day],SummaryDaily[net_sales],0)</f>
        <v>0</v>
      </c>
      <c r="E1003" s="11">
        <f>_xlfn.XLOOKUP(TableDailySummary[[#This Row],[Fecha]],SummaryDaily[day],SummaryDaily[orders],0)</f>
        <v>0</v>
      </c>
      <c r="F1003" s="11">
        <f>_xlfn.XLOOKUP(TableDailySummary[[#This Row],[Fecha]],SummaryDaily[day],SummaryDaily[average_order_value],0)</f>
        <v>0</v>
      </c>
      <c r="G1003" s="24" cm="1">
        <f t="array" ref="G1003">_xlfn.XLOOKUP(TableDailySummary[[#This Row],[Fecha]]&amp;"Total site",ConversionRateByReferral[day]&amp;ConversionRateByReferral[referrer_source],ConversionRateByReferral[conversion_rate],0)</f>
        <v>0</v>
      </c>
      <c r="H1003" s="11">
        <f>TableDailySummary[[#This Row],[Órden promedio totales]]*TableDailySummary[[#This Row],[CR totales]]</f>
        <v>0</v>
      </c>
      <c r="I1003" s="11">
        <f>_xlfn.XLOOKUP(TableDailySummary[[#This Row],[Fecha]],SummaryDaily[day],SummaryDaily[new_net_sales],0)</f>
        <v>0</v>
      </c>
      <c r="J1003" s="11">
        <f>_xlfn.XLOOKUP(TableDailySummary[[#This Row],[Fecha]],SummaryDaily[day],SummaryDaily[new_orders],0)</f>
        <v>0</v>
      </c>
      <c r="K1003" s="11">
        <f>_xlfn.XLOOKUP(TableDailySummary[[#This Row],[Fecha]],SummaryDaily[day],SummaryDaily[new_average_order_value],0)</f>
        <v>0</v>
      </c>
      <c r="L1003" s="11">
        <f>_xlfn.XLOOKUP(TableDailySummary[[#This Row],[Fecha]],SummaryDaily[day],SummaryDaily[Online Store_net_sales],0)</f>
        <v>0</v>
      </c>
      <c r="M1003" s="11">
        <f>_xlfn.XLOOKUP(TableDailySummary[[#This Row],[Fecha]],SummaryDaily[day],SummaryDaily[Online Store_orders],0)</f>
        <v>0</v>
      </c>
      <c r="N1003" s="11">
        <f>_xlfn.XLOOKUP(TableDailySummary[[#This Row],[Fecha]],SummaryDaily[day],SummaryDaily[Online Store_average_order_value],0)</f>
        <v>0</v>
      </c>
      <c r="O1003" s="11">
        <f>_xlfn.XLOOKUP(TableDailySummary[[#This Row],[Fecha]],SummaryDaily[day],SummaryDaily[Tienda 81_net_sales],0)</f>
        <v>0</v>
      </c>
      <c r="P1003" s="11">
        <f>_xlfn.XLOOKUP(TableDailySummary[[#This Row],[Fecha]],SummaryDaily[day],SummaryDaily[Tienda 81_orders],0)</f>
        <v>0</v>
      </c>
      <c r="Q1003" s="11">
        <f>_xlfn.XLOOKUP(TableDailySummary[[#This Row],[Fecha]],SummaryDaily[day],SummaryDaily[Tienda 81_average_order_value],0)</f>
        <v>0</v>
      </c>
      <c r="R1003" s="11">
        <f>_xlfn.XLOOKUP(TableDailySummary[[#This Row],[Fecha]],SummaryDaily[day],SummaryDaily[Rappi_net_sales],0)</f>
        <v>0</v>
      </c>
      <c r="S1003" s="11">
        <f>_xlfn.XLOOKUP(TableDailySummary[[#This Row],[Fecha]],SummaryDaily[day],SummaryDaily[Rappi_orders],0)</f>
        <v>0</v>
      </c>
      <c r="T1003" s="11">
        <f>_xlfn.XLOOKUP(TableDailySummary[[#This Row],[Fecha]],SummaryDaily[day],SummaryDaily[Rappi_average_order_value],0)</f>
        <v>0</v>
      </c>
      <c r="U1003" s="11">
        <f>_xlfn.XLOOKUP(TableDailySummary[[#This Row],[Fecha]],SummaryDaily[day],SummaryDaily[Corporativo no tienda_net_sales],0)</f>
        <v>0</v>
      </c>
      <c r="V1003" s="11">
        <f>_xlfn.XLOOKUP(TableDailySummary[[#This Row],[Fecha]],SummaryDaily[day],SummaryDaily[Corporativo no tienda_orders],0)</f>
        <v>0</v>
      </c>
      <c r="W1003" s="11">
        <f>_xlfn.XLOOKUP(TableDailySummary[[#This Row],[Fecha]],SummaryDaily[day],SummaryDaily[Corporativo no tienda_average_order_value],0)</f>
        <v>0</v>
      </c>
      <c r="X1003" s="11">
        <f>_xlfn.XLOOKUP(TableDailySummary[[#This Row],[Fecha]],SummaryDaily[day],SummaryDaily[GoogleAdsOperation.Cost],0)</f>
        <v>0</v>
      </c>
      <c r="Y1003" s="11">
        <f>SUMIFS(SalesByUTMDaily[google],SalesByUTMDaily[day],TableDailySummary[[#This Row],[Fecha]])</f>
        <v>0</v>
      </c>
      <c r="Z1003" s="11">
        <f>_xlfn.XLOOKUP(TableDailySummary[[#This Row],[Fecha]],SummaryDaily[day],SummaryDaily[MetaAdsOperation.spend],0)</f>
        <v>0</v>
      </c>
      <c r="AA1003" s="11">
        <f>SUMIFS(SalesByUTMDaily[facebook],SalesByUTMDaily[day],TableDailySummary[[#This Row],[Fecha]])</f>
        <v>0</v>
      </c>
      <c r="AB1003" s="11">
        <f>TableDailySummary[[#This Row],[Inversión google ads]]+TableDailySummary[[#This Row],[Inversión meta ads]]</f>
        <v>0</v>
      </c>
      <c r="AC1003" s="11">
        <f>TableDailySummary[[#This Row],[Ventas google ads]]+TableDailySummary[[#This Row],[Ventas meta ads]]</f>
        <v>0</v>
      </c>
      <c r="AD1003" s="14">
        <f>IFERROR(TableDailySummary[[#This Row],[Ventas publicidad]]/TableDailySummary[[#This Row],[Inversión publicidad]],0)</f>
        <v>0</v>
      </c>
      <c r="AE1003" s="14">
        <f>IFERROR(TableDailySummary[[#This Row],[Ventas primer cliente]]/TableDailySummary[[#This Row],[Inversión publicidad]],0)</f>
        <v>0</v>
      </c>
      <c r="AF1003" s="14"/>
      <c r="AG1003" s="11"/>
      <c r="AM1003" s="11">
        <f>_xlfn.XLOOKUP(TableDailySummary[[#This Row],[Fecha]],SummaryDaily[day],SummaryDaily[net_sales_with_cost_recorded],0)</f>
        <v>0</v>
      </c>
      <c r="AN1003" s="11">
        <f>_xlfn.XLOOKUP(TableDailySummary[[#This Row],[Fecha]],SummaryDaily[day],SummaryDaily[cost_of_goods_sold],0)</f>
        <v>0</v>
      </c>
      <c r="AO1003" s="11">
        <f>_xlfn.XLOOKUP(TableDailySummary[[#This Row],[Fecha]],SummaryDaily[day],SummaryDaily[gross_profit],0)</f>
        <v>0</v>
      </c>
      <c r="AP1003" s="18">
        <f>IFERROR(TableDailySummary[[#This Row],[Utilidad bruta]]/TableDailySummary[[#This Row],[Ventas netas con costo registrado]],0)</f>
        <v>0</v>
      </c>
    </row>
    <row r="1004" spans="2:42" x14ac:dyDescent="0.2">
      <c r="B1004" s="15" cm="1">
        <f t="array" ref="B1004">ParamFechaInicioReporte + (ROW(TableDailySummary[#This Row]) - ROW(TableDailySummary[[#Headers],[Dia]]) - 1)</f>
        <v>45531</v>
      </c>
      <c r="C1004" s="6">
        <f>TableDailySummary[[#This Row],[Dia]]</f>
        <v>45531</v>
      </c>
      <c r="D1004" s="11">
        <f>_xlfn.XLOOKUP(TableDailySummary[[#This Row],[Fecha]],SummaryDaily[day],SummaryDaily[net_sales],0)</f>
        <v>0</v>
      </c>
      <c r="E1004" s="11">
        <f>_xlfn.XLOOKUP(TableDailySummary[[#This Row],[Fecha]],SummaryDaily[day],SummaryDaily[orders],0)</f>
        <v>0</v>
      </c>
      <c r="F1004" s="11">
        <f>_xlfn.XLOOKUP(TableDailySummary[[#This Row],[Fecha]],SummaryDaily[day],SummaryDaily[average_order_value],0)</f>
        <v>0</v>
      </c>
      <c r="G1004" s="24" cm="1">
        <f t="array" ref="G1004">_xlfn.XLOOKUP(TableDailySummary[[#This Row],[Fecha]]&amp;"Total site",ConversionRateByReferral[day]&amp;ConversionRateByReferral[referrer_source],ConversionRateByReferral[conversion_rate],0)</f>
        <v>0</v>
      </c>
      <c r="H1004" s="11">
        <f>TableDailySummary[[#This Row],[Órden promedio totales]]*TableDailySummary[[#This Row],[CR totales]]</f>
        <v>0</v>
      </c>
      <c r="I1004" s="11">
        <f>_xlfn.XLOOKUP(TableDailySummary[[#This Row],[Fecha]],SummaryDaily[day],SummaryDaily[new_net_sales],0)</f>
        <v>0</v>
      </c>
      <c r="J1004" s="11">
        <f>_xlfn.XLOOKUP(TableDailySummary[[#This Row],[Fecha]],SummaryDaily[day],SummaryDaily[new_orders],0)</f>
        <v>0</v>
      </c>
      <c r="K1004" s="11">
        <f>_xlfn.XLOOKUP(TableDailySummary[[#This Row],[Fecha]],SummaryDaily[day],SummaryDaily[new_average_order_value],0)</f>
        <v>0</v>
      </c>
      <c r="L1004" s="11">
        <f>_xlfn.XLOOKUP(TableDailySummary[[#This Row],[Fecha]],SummaryDaily[day],SummaryDaily[Online Store_net_sales],0)</f>
        <v>0</v>
      </c>
      <c r="M1004" s="11">
        <f>_xlfn.XLOOKUP(TableDailySummary[[#This Row],[Fecha]],SummaryDaily[day],SummaryDaily[Online Store_orders],0)</f>
        <v>0</v>
      </c>
      <c r="N1004" s="11">
        <f>_xlfn.XLOOKUP(TableDailySummary[[#This Row],[Fecha]],SummaryDaily[day],SummaryDaily[Online Store_average_order_value],0)</f>
        <v>0</v>
      </c>
      <c r="O1004" s="11">
        <f>_xlfn.XLOOKUP(TableDailySummary[[#This Row],[Fecha]],SummaryDaily[day],SummaryDaily[Tienda 81_net_sales],0)</f>
        <v>0</v>
      </c>
      <c r="P1004" s="11">
        <f>_xlfn.XLOOKUP(TableDailySummary[[#This Row],[Fecha]],SummaryDaily[day],SummaryDaily[Tienda 81_orders],0)</f>
        <v>0</v>
      </c>
      <c r="Q1004" s="11">
        <f>_xlfn.XLOOKUP(TableDailySummary[[#This Row],[Fecha]],SummaryDaily[day],SummaryDaily[Tienda 81_average_order_value],0)</f>
        <v>0</v>
      </c>
      <c r="R1004" s="11">
        <f>_xlfn.XLOOKUP(TableDailySummary[[#This Row],[Fecha]],SummaryDaily[day],SummaryDaily[Rappi_net_sales],0)</f>
        <v>0</v>
      </c>
      <c r="S1004" s="11">
        <f>_xlfn.XLOOKUP(TableDailySummary[[#This Row],[Fecha]],SummaryDaily[day],SummaryDaily[Rappi_orders],0)</f>
        <v>0</v>
      </c>
      <c r="T1004" s="11">
        <f>_xlfn.XLOOKUP(TableDailySummary[[#This Row],[Fecha]],SummaryDaily[day],SummaryDaily[Rappi_average_order_value],0)</f>
        <v>0</v>
      </c>
      <c r="U1004" s="11">
        <f>_xlfn.XLOOKUP(TableDailySummary[[#This Row],[Fecha]],SummaryDaily[day],SummaryDaily[Corporativo no tienda_net_sales],0)</f>
        <v>0</v>
      </c>
      <c r="V1004" s="11">
        <f>_xlfn.XLOOKUP(TableDailySummary[[#This Row],[Fecha]],SummaryDaily[day],SummaryDaily[Corporativo no tienda_orders],0)</f>
        <v>0</v>
      </c>
      <c r="W1004" s="11">
        <f>_xlfn.XLOOKUP(TableDailySummary[[#This Row],[Fecha]],SummaryDaily[day],SummaryDaily[Corporativo no tienda_average_order_value],0)</f>
        <v>0</v>
      </c>
      <c r="X1004" s="11">
        <f>_xlfn.XLOOKUP(TableDailySummary[[#This Row],[Fecha]],SummaryDaily[day],SummaryDaily[GoogleAdsOperation.Cost],0)</f>
        <v>0</v>
      </c>
      <c r="Y1004" s="11">
        <f>SUMIFS(SalesByUTMDaily[google],SalesByUTMDaily[day],TableDailySummary[[#This Row],[Fecha]])</f>
        <v>0</v>
      </c>
      <c r="Z1004" s="11">
        <f>_xlfn.XLOOKUP(TableDailySummary[[#This Row],[Fecha]],SummaryDaily[day],SummaryDaily[MetaAdsOperation.spend],0)</f>
        <v>0</v>
      </c>
      <c r="AA1004" s="11">
        <f>SUMIFS(SalesByUTMDaily[facebook],SalesByUTMDaily[day],TableDailySummary[[#This Row],[Fecha]])</f>
        <v>0</v>
      </c>
      <c r="AB1004" s="11">
        <f>TableDailySummary[[#This Row],[Inversión google ads]]+TableDailySummary[[#This Row],[Inversión meta ads]]</f>
        <v>0</v>
      </c>
      <c r="AC1004" s="11">
        <f>TableDailySummary[[#This Row],[Ventas google ads]]+TableDailySummary[[#This Row],[Ventas meta ads]]</f>
        <v>0</v>
      </c>
      <c r="AD1004" s="14">
        <f>IFERROR(TableDailySummary[[#This Row],[Ventas publicidad]]/TableDailySummary[[#This Row],[Inversión publicidad]],0)</f>
        <v>0</v>
      </c>
      <c r="AE1004" s="14">
        <f>IFERROR(TableDailySummary[[#This Row],[Ventas primer cliente]]/TableDailySummary[[#This Row],[Inversión publicidad]],0)</f>
        <v>0</v>
      </c>
      <c r="AF1004" s="14"/>
      <c r="AG1004" s="11"/>
      <c r="AM1004" s="11">
        <f>_xlfn.XLOOKUP(TableDailySummary[[#This Row],[Fecha]],SummaryDaily[day],SummaryDaily[net_sales_with_cost_recorded],0)</f>
        <v>0</v>
      </c>
      <c r="AN1004" s="11">
        <f>_xlfn.XLOOKUP(TableDailySummary[[#This Row],[Fecha]],SummaryDaily[day],SummaryDaily[cost_of_goods_sold],0)</f>
        <v>0</v>
      </c>
      <c r="AO1004" s="11">
        <f>_xlfn.XLOOKUP(TableDailySummary[[#This Row],[Fecha]],SummaryDaily[day],SummaryDaily[gross_profit],0)</f>
        <v>0</v>
      </c>
      <c r="AP1004" s="18">
        <f>IFERROR(TableDailySummary[[#This Row],[Utilidad bruta]]/TableDailySummary[[#This Row],[Ventas netas con costo registrado]],0)</f>
        <v>0</v>
      </c>
    </row>
    <row r="1005" spans="2:42" x14ac:dyDescent="0.2">
      <c r="B1005" s="15" cm="1">
        <f t="array" ref="B1005">ParamFechaInicioReporte + (ROW(TableDailySummary[#This Row]) - ROW(TableDailySummary[[#Headers],[Dia]]) - 1)</f>
        <v>45532</v>
      </c>
      <c r="C1005" s="6">
        <f>TableDailySummary[[#This Row],[Dia]]</f>
        <v>45532</v>
      </c>
      <c r="D1005" s="11">
        <f>_xlfn.XLOOKUP(TableDailySummary[[#This Row],[Fecha]],SummaryDaily[day],SummaryDaily[net_sales],0)</f>
        <v>0</v>
      </c>
      <c r="E1005" s="11">
        <f>_xlfn.XLOOKUP(TableDailySummary[[#This Row],[Fecha]],SummaryDaily[day],SummaryDaily[orders],0)</f>
        <v>0</v>
      </c>
      <c r="F1005" s="11">
        <f>_xlfn.XLOOKUP(TableDailySummary[[#This Row],[Fecha]],SummaryDaily[day],SummaryDaily[average_order_value],0)</f>
        <v>0</v>
      </c>
      <c r="G1005" s="24" cm="1">
        <f t="array" ref="G1005">_xlfn.XLOOKUP(TableDailySummary[[#This Row],[Fecha]]&amp;"Total site",ConversionRateByReferral[day]&amp;ConversionRateByReferral[referrer_source],ConversionRateByReferral[conversion_rate],0)</f>
        <v>0</v>
      </c>
      <c r="H1005" s="11">
        <f>TableDailySummary[[#This Row],[Órden promedio totales]]*TableDailySummary[[#This Row],[CR totales]]</f>
        <v>0</v>
      </c>
      <c r="I1005" s="11">
        <f>_xlfn.XLOOKUP(TableDailySummary[[#This Row],[Fecha]],SummaryDaily[day],SummaryDaily[new_net_sales],0)</f>
        <v>0</v>
      </c>
      <c r="J1005" s="11">
        <f>_xlfn.XLOOKUP(TableDailySummary[[#This Row],[Fecha]],SummaryDaily[day],SummaryDaily[new_orders],0)</f>
        <v>0</v>
      </c>
      <c r="K1005" s="11">
        <f>_xlfn.XLOOKUP(TableDailySummary[[#This Row],[Fecha]],SummaryDaily[day],SummaryDaily[new_average_order_value],0)</f>
        <v>0</v>
      </c>
      <c r="L1005" s="11">
        <f>_xlfn.XLOOKUP(TableDailySummary[[#This Row],[Fecha]],SummaryDaily[day],SummaryDaily[Online Store_net_sales],0)</f>
        <v>0</v>
      </c>
      <c r="M1005" s="11">
        <f>_xlfn.XLOOKUP(TableDailySummary[[#This Row],[Fecha]],SummaryDaily[day],SummaryDaily[Online Store_orders],0)</f>
        <v>0</v>
      </c>
      <c r="N1005" s="11">
        <f>_xlfn.XLOOKUP(TableDailySummary[[#This Row],[Fecha]],SummaryDaily[day],SummaryDaily[Online Store_average_order_value],0)</f>
        <v>0</v>
      </c>
      <c r="O1005" s="11">
        <f>_xlfn.XLOOKUP(TableDailySummary[[#This Row],[Fecha]],SummaryDaily[day],SummaryDaily[Tienda 81_net_sales],0)</f>
        <v>0</v>
      </c>
      <c r="P1005" s="11">
        <f>_xlfn.XLOOKUP(TableDailySummary[[#This Row],[Fecha]],SummaryDaily[day],SummaryDaily[Tienda 81_orders],0)</f>
        <v>0</v>
      </c>
      <c r="Q1005" s="11">
        <f>_xlfn.XLOOKUP(TableDailySummary[[#This Row],[Fecha]],SummaryDaily[day],SummaryDaily[Tienda 81_average_order_value],0)</f>
        <v>0</v>
      </c>
      <c r="R1005" s="11">
        <f>_xlfn.XLOOKUP(TableDailySummary[[#This Row],[Fecha]],SummaryDaily[day],SummaryDaily[Rappi_net_sales],0)</f>
        <v>0</v>
      </c>
      <c r="S1005" s="11">
        <f>_xlfn.XLOOKUP(TableDailySummary[[#This Row],[Fecha]],SummaryDaily[day],SummaryDaily[Rappi_orders],0)</f>
        <v>0</v>
      </c>
      <c r="T1005" s="11">
        <f>_xlfn.XLOOKUP(TableDailySummary[[#This Row],[Fecha]],SummaryDaily[day],SummaryDaily[Rappi_average_order_value],0)</f>
        <v>0</v>
      </c>
      <c r="U1005" s="11">
        <f>_xlfn.XLOOKUP(TableDailySummary[[#This Row],[Fecha]],SummaryDaily[day],SummaryDaily[Corporativo no tienda_net_sales],0)</f>
        <v>0</v>
      </c>
      <c r="V1005" s="11">
        <f>_xlfn.XLOOKUP(TableDailySummary[[#This Row],[Fecha]],SummaryDaily[day],SummaryDaily[Corporativo no tienda_orders],0)</f>
        <v>0</v>
      </c>
      <c r="W1005" s="11">
        <f>_xlfn.XLOOKUP(TableDailySummary[[#This Row],[Fecha]],SummaryDaily[day],SummaryDaily[Corporativo no tienda_average_order_value],0)</f>
        <v>0</v>
      </c>
      <c r="X1005" s="11">
        <f>_xlfn.XLOOKUP(TableDailySummary[[#This Row],[Fecha]],SummaryDaily[day],SummaryDaily[GoogleAdsOperation.Cost],0)</f>
        <v>0</v>
      </c>
      <c r="Y1005" s="11">
        <f>SUMIFS(SalesByUTMDaily[google],SalesByUTMDaily[day],TableDailySummary[[#This Row],[Fecha]])</f>
        <v>0</v>
      </c>
      <c r="Z1005" s="11">
        <f>_xlfn.XLOOKUP(TableDailySummary[[#This Row],[Fecha]],SummaryDaily[day],SummaryDaily[MetaAdsOperation.spend],0)</f>
        <v>0</v>
      </c>
      <c r="AA1005" s="11">
        <f>SUMIFS(SalesByUTMDaily[facebook],SalesByUTMDaily[day],TableDailySummary[[#This Row],[Fecha]])</f>
        <v>0</v>
      </c>
      <c r="AB1005" s="11">
        <f>TableDailySummary[[#This Row],[Inversión google ads]]+TableDailySummary[[#This Row],[Inversión meta ads]]</f>
        <v>0</v>
      </c>
      <c r="AC1005" s="11">
        <f>TableDailySummary[[#This Row],[Ventas google ads]]+TableDailySummary[[#This Row],[Ventas meta ads]]</f>
        <v>0</v>
      </c>
      <c r="AD1005" s="14">
        <f>IFERROR(TableDailySummary[[#This Row],[Ventas publicidad]]/TableDailySummary[[#This Row],[Inversión publicidad]],0)</f>
        <v>0</v>
      </c>
      <c r="AE1005" s="14">
        <f>IFERROR(TableDailySummary[[#This Row],[Ventas primer cliente]]/TableDailySummary[[#This Row],[Inversión publicidad]],0)</f>
        <v>0</v>
      </c>
      <c r="AF1005" s="14"/>
      <c r="AG1005" s="11"/>
      <c r="AM1005" s="11">
        <f>_xlfn.XLOOKUP(TableDailySummary[[#This Row],[Fecha]],SummaryDaily[day],SummaryDaily[net_sales_with_cost_recorded],0)</f>
        <v>0</v>
      </c>
      <c r="AN1005" s="11">
        <f>_xlfn.XLOOKUP(TableDailySummary[[#This Row],[Fecha]],SummaryDaily[day],SummaryDaily[cost_of_goods_sold],0)</f>
        <v>0</v>
      </c>
      <c r="AO1005" s="11">
        <f>_xlfn.XLOOKUP(TableDailySummary[[#This Row],[Fecha]],SummaryDaily[day],SummaryDaily[gross_profit],0)</f>
        <v>0</v>
      </c>
      <c r="AP1005" s="18">
        <f>IFERROR(TableDailySummary[[#This Row],[Utilidad bruta]]/TableDailySummary[[#This Row],[Ventas netas con costo registrado]],0)</f>
        <v>0</v>
      </c>
    </row>
  </sheetData>
  <phoneticPr fontId="49" type="noConversion"/>
  <pageMargins left="0.7" right="0.7" top="0.75" bottom="0.75" header="0.3" footer="0.3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8A8B-62C9-44F0-81F9-6E3516C624CF}">
  <dimension ref="B3:N419"/>
  <sheetViews>
    <sheetView showGridLines="0" tabSelected="1" zoomScaleNormal="100" workbookViewId="0">
      <selection activeCell="C12" sqref="C12"/>
    </sheetView>
  </sheetViews>
  <sheetFormatPr defaultRowHeight="12" x14ac:dyDescent="0.2"/>
  <cols>
    <col min="1" max="1" width="3.83203125" customWidth="1"/>
    <col min="2" max="2" width="21.33203125" bestFit="1" customWidth="1"/>
    <col min="3" max="3" width="23.1640625" customWidth="1"/>
    <col min="5" max="5" width="10.33203125" customWidth="1"/>
    <col min="6" max="6" width="13.83203125" customWidth="1"/>
    <col min="9" max="9" width="12" bestFit="1" customWidth="1"/>
    <col min="10" max="10" width="60.5" bestFit="1" customWidth="1"/>
    <col min="11" max="11" width="9" bestFit="1" customWidth="1"/>
    <col min="12" max="12" width="12.33203125" bestFit="1" customWidth="1"/>
    <col min="13" max="13" width="11.6640625" bestFit="1" customWidth="1"/>
    <col min="14" max="15" width="14" bestFit="1" customWidth="1"/>
  </cols>
  <sheetData>
    <row r="3" spans="2:9" ht="15" x14ac:dyDescent="0.2">
      <c r="B3" s="8" t="s">
        <v>49</v>
      </c>
    </row>
    <row r="6" spans="2:9" x14ac:dyDescent="0.2">
      <c r="B6" t="s">
        <v>36</v>
      </c>
      <c r="C6" s="9" t="s">
        <v>37</v>
      </c>
    </row>
    <row r="7" spans="2:9" x14ac:dyDescent="0.2">
      <c r="B7" t="s">
        <v>38</v>
      </c>
      <c r="C7" s="9" t="s">
        <v>39</v>
      </c>
    </row>
    <row r="8" spans="2:9" x14ac:dyDescent="0.2">
      <c r="B8" t="s">
        <v>40</v>
      </c>
      <c r="C8" s="9" t="s">
        <v>41</v>
      </c>
    </row>
    <row r="10" spans="2:9" x14ac:dyDescent="0.2">
      <c r="B10" t="s">
        <v>31</v>
      </c>
      <c r="C10" s="1">
        <v>44535</v>
      </c>
      <c r="H10" s="34" t="s">
        <v>107</v>
      </c>
      <c r="I10" s="5">
        <v>44535</v>
      </c>
    </row>
    <row r="11" spans="2:9" x14ac:dyDescent="0.2">
      <c r="B11" t="s">
        <v>50</v>
      </c>
      <c r="C11" s="10">
        <f ca="1">TODAY()</f>
        <v>46144</v>
      </c>
    </row>
    <row r="12" spans="2:9" x14ac:dyDescent="0.2">
      <c r="B12" t="s">
        <v>2419</v>
      </c>
      <c r="C12" s="10">
        <f ca="1">ParamFechaFinReporte-30</f>
        <v>46114</v>
      </c>
    </row>
    <row r="14" spans="2:9" x14ac:dyDescent="0.2">
      <c r="B14" t="s">
        <v>100</v>
      </c>
      <c r="C14" s="9" t="s">
        <v>101</v>
      </c>
    </row>
    <row r="15" spans="2:9" x14ac:dyDescent="0.2">
      <c r="B15" t="s">
        <v>102</v>
      </c>
      <c r="C15" s="9" t="s">
        <v>103</v>
      </c>
    </row>
    <row r="17" spans="2:14" x14ac:dyDescent="0.2">
      <c r="B17" t="s">
        <v>104</v>
      </c>
      <c r="C17" s="9" t="s">
        <v>105</v>
      </c>
      <c r="E17" t="s">
        <v>106</v>
      </c>
    </row>
    <row r="19" spans="2:14" x14ac:dyDescent="0.2">
      <c r="B19" t="s">
        <v>1723</v>
      </c>
      <c r="C19" s="33" t="s">
        <v>1253</v>
      </c>
    </row>
    <row r="23" spans="2:14" x14ac:dyDescent="0.2">
      <c r="B23" t="s">
        <v>908</v>
      </c>
      <c r="C23" t="s">
        <v>909</v>
      </c>
    </row>
    <row r="24" spans="2:14" x14ac:dyDescent="0.2">
      <c r="B24" t="s">
        <v>910</v>
      </c>
      <c r="C24" s="25" t="s">
        <v>911</v>
      </c>
    </row>
    <row r="25" spans="2:14" x14ac:dyDescent="0.2">
      <c r="B25" t="s">
        <v>912</v>
      </c>
      <c r="C25" t="s">
        <v>913</v>
      </c>
    </row>
    <row r="26" spans="2:14" x14ac:dyDescent="0.2">
      <c r="B26" t="s">
        <v>914</v>
      </c>
      <c r="C26" t="s">
        <v>915</v>
      </c>
    </row>
    <row r="27" spans="2:14" x14ac:dyDescent="0.2">
      <c r="B27" t="s">
        <v>916</v>
      </c>
      <c r="C27" s="25" t="s">
        <v>917</v>
      </c>
    </row>
    <row r="31" spans="2:14" x14ac:dyDescent="0.2">
      <c r="B31" t="s">
        <v>1240</v>
      </c>
      <c r="C31" t="s">
        <v>1241</v>
      </c>
      <c r="D31" t="s">
        <v>1330</v>
      </c>
      <c r="E31" t="s">
        <v>1242</v>
      </c>
      <c r="F31" t="s">
        <v>1249</v>
      </c>
      <c r="I31" t="s">
        <v>1240</v>
      </c>
      <c r="J31" t="s">
        <v>1241</v>
      </c>
      <c r="K31" t="s">
        <v>1422</v>
      </c>
      <c r="L31" t="s">
        <v>1249</v>
      </c>
      <c r="M31" t="s">
        <v>1694</v>
      </c>
      <c r="N31" t="s">
        <v>1242</v>
      </c>
    </row>
    <row r="32" spans="2:14" x14ac:dyDescent="0.2">
      <c r="B32" t="s">
        <v>920</v>
      </c>
      <c r="C32" t="s">
        <v>921</v>
      </c>
      <c r="D32" t="s">
        <v>1255</v>
      </c>
      <c r="E32" t="s">
        <v>1254</v>
      </c>
      <c r="I32" t="s">
        <v>1426</v>
      </c>
      <c r="J32" t="s">
        <v>1422</v>
      </c>
      <c r="K32" t="s">
        <v>1429</v>
      </c>
      <c r="L32" t="s">
        <v>1430</v>
      </c>
    </row>
    <row r="33" spans="2:12" x14ac:dyDescent="0.2">
      <c r="B33" t="s">
        <v>922</v>
      </c>
      <c r="C33" t="s">
        <v>923</v>
      </c>
      <c r="D33" t="s">
        <v>1256</v>
      </c>
      <c r="E33" t="s">
        <v>1254</v>
      </c>
      <c r="I33" t="s">
        <v>1431</v>
      </c>
      <c r="J33" t="s">
        <v>1432</v>
      </c>
      <c r="K33" t="s">
        <v>1429</v>
      </c>
      <c r="L33" t="s">
        <v>1434</v>
      </c>
    </row>
    <row r="34" spans="2:12" x14ac:dyDescent="0.2">
      <c r="B34" t="s">
        <v>924</v>
      </c>
      <c r="C34" t="s">
        <v>925</v>
      </c>
      <c r="D34" t="s">
        <v>1257</v>
      </c>
      <c r="E34" t="s">
        <v>1254</v>
      </c>
      <c r="I34" t="s">
        <v>1435</v>
      </c>
      <c r="J34" t="s">
        <v>1436</v>
      </c>
      <c r="K34" t="s">
        <v>1429</v>
      </c>
      <c r="L34" t="s">
        <v>1434</v>
      </c>
    </row>
    <row r="35" spans="2:12" x14ac:dyDescent="0.2">
      <c r="B35" t="s">
        <v>926</v>
      </c>
      <c r="C35" t="s">
        <v>927</v>
      </c>
      <c r="D35" t="s">
        <v>1258</v>
      </c>
      <c r="E35" t="s">
        <v>1254</v>
      </c>
      <c r="I35" t="s">
        <v>1438</v>
      </c>
      <c r="J35" t="s">
        <v>921</v>
      </c>
      <c r="K35" t="s">
        <v>1429</v>
      </c>
      <c r="L35" t="s">
        <v>1434</v>
      </c>
    </row>
    <row r="36" spans="2:12" x14ac:dyDescent="0.2">
      <c r="B36" t="s">
        <v>928</v>
      </c>
      <c r="C36" t="s">
        <v>929</v>
      </c>
      <c r="D36" t="s">
        <v>1259</v>
      </c>
      <c r="E36" t="s">
        <v>1254</v>
      </c>
      <c r="I36" t="s">
        <v>920</v>
      </c>
      <c r="J36" t="s">
        <v>921</v>
      </c>
      <c r="K36" t="s">
        <v>1429</v>
      </c>
      <c r="L36" t="s">
        <v>1441</v>
      </c>
    </row>
    <row r="37" spans="2:12" x14ac:dyDescent="0.2">
      <c r="B37" t="s">
        <v>930</v>
      </c>
      <c r="C37" t="s">
        <v>929</v>
      </c>
      <c r="D37" t="s">
        <v>1259</v>
      </c>
      <c r="E37" t="s">
        <v>1254</v>
      </c>
      <c r="I37" t="s">
        <v>1442</v>
      </c>
      <c r="J37" t="s">
        <v>1443</v>
      </c>
      <c r="K37" t="s">
        <v>1429</v>
      </c>
      <c r="L37" t="s">
        <v>1434</v>
      </c>
    </row>
    <row r="38" spans="2:12" x14ac:dyDescent="0.2">
      <c r="B38" t="s">
        <v>931</v>
      </c>
      <c r="C38" t="s">
        <v>932</v>
      </c>
      <c r="D38" t="s">
        <v>1260</v>
      </c>
      <c r="E38" t="s">
        <v>1254</v>
      </c>
      <c r="I38" t="s">
        <v>2154</v>
      </c>
      <c r="J38" t="s">
        <v>923</v>
      </c>
      <c r="K38" t="s">
        <v>1429</v>
      </c>
      <c r="L38" t="s">
        <v>1434</v>
      </c>
    </row>
    <row r="39" spans="2:12" x14ac:dyDescent="0.2">
      <c r="B39" t="s">
        <v>933</v>
      </c>
      <c r="C39" t="s">
        <v>934</v>
      </c>
      <c r="D39" t="s">
        <v>1261</v>
      </c>
      <c r="E39" t="s">
        <v>1254</v>
      </c>
      <c r="I39" t="s">
        <v>922</v>
      </c>
      <c r="J39" t="s">
        <v>923</v>
      </c>
      <c r="K39" t="s">
        <v>1429</v>
      </c>
      <c r="L39" t="s">
        <v>1441</v>
      </c>
    </row>
    <row r="40" spans="2:12" x14ac:dyDescent="0.2">
      <c r="B40" t="s">
        <v>935</v>
      </c>
      <c r="C40" t="s">
        <v>936</v>
      </c>
      <c r="D40" t="s">
        <v>1262</v>
      </c>
      <c r="E40" t="s">
        <v>1254</v>
      </c>
      <c r="I40" t="s">
        <v>1444</v>
      </c>
      <c r="J40" t="s">
        <v>1445</v>
      </c>
      <c r="K40" t="s">
        <v>1429</v>
      </c>
      <c r="L40" t="s">
        <v>1434</v>
      </c>
    </row>
    <row r="41" spans="2:12" x14ac:dyDescent="0.2">
      <c r="B41" t="s">
        <v>937</v>
      </c>
      <c r="C41" t="s">
        <v>938</v>
      </c>
      <c r="D41" t="s">
        <v>1263</v>
      </c>
      <c r="E41" t="s">
        <v>1254</v>
      </c>
      <c r="I41" t="s">
        <v>924</v>
      </c>
      <c r="J41" t="s">
        <v>925</v>
      </c>
      <c r="K41" t="s">
        <v>1429</v>
      </c>
      <c r="L41" t="s">
        <v>1441</v>
      </c>
    </row>
    <row r="42" spans="2:12" x14ac:dyDescent="0.2">
      <c r="B42" t="s">
        <v>939</v>
      </c>
      <c r="C42" t="s">
        <v>940</v>
      </c>
      <c r="D42" t="s">
        <v>1264</v>
      </c>
      <c r="E42" t="s">
        <v>1254</v>
      </c>
      <c r="I42" t="s">
        <v>1446</v>
      </c>
      <c r="J42" t="s">
        <v>1447</v>
      </c>
      <c r="K42" t="s">
        <v>1429</v>
      </c>
      <c r="L42" t="s">
        <v>1434</v>
      </c>
    </row>
    <row r="43" spans="2:12" x14ac:dyDescent="0.2">
      <c r="B43" t="s">
        <v>941</v>
      </c>
      <c r="C43" t="s">
        <v>942</v>
      </c>
      <c r="D43" t="s">
        <v>1265</v>
      </c>
      <c r="E43" t="s">
        <v>1254</v>
      </c>
      <c r="I43" t="s">
        <v>1448</v>
      </c>
      <c r="J43" t="s">
        <v>1371</v>
      </c>
      <c r="K43" t="s">
        <v>1429</v>
      </c>
      <c r="L43" t="s">
        <v>1434</v>
      </c>
    </row>
    <row r="44" spans="2:12" x14ac:dyDescent="0.2">
      <c r="B44" t="s">
        <v>943</v>
      </c>
      <c r="C44" t="s">
        <v>944</v>
      </c>
      <c r="D44" t="s">
        <v>1265</v>
      </c>
      <c r="E44" t="s">
        <v>1254</v>
      </c>
      <c r="I44" t="s">
        <v>926</v>
      </c>
      <c r="J44" t="s">
        <v>927</v>
      </c>
      <c r="K44" t="s">
        <v>1429</v>
      </c>
      <c r="L44" t="s">
        <v>1441</v>
      </c>
    </row>
    <row r="45" spans="2:12" x14ac:dyDescent="0.2">
      <c r="B45" t="s">
        <v>945</v>
      </c>
      <c r="C45" t="s">
        <v>946</v>
      </c>
      <c r="D45" t="s">
        <v>1265</v>
      </c>
      <c r="E45" t="s">
        <v>1254</v>
      </c>
      <c r="I45" t="s">
        <v>928</v>
      </c>
      <c r="J45" t="s">
        <v>929</v>
      </c>
      <c r="K45" t="s">
        <v>1429</v>
      </c>
      <c r="L45" t="s">
        <v>1441</v>
      </c>
    </row>
    <row r="46" spans="2:12" x14ac:dyDescent="0.2">
      <c r="B46" t="s">
        <v>947</v>
      </c>
      <c r="C46" t="s">
        <v>948</v>
      </c>
      <c r="D46" t="s">
        <v>1265</v>
      </c>
      <c r="E46" t="s">
        <v>1254</v>
      </c>
      <c r="I46" t="s">
        <v>1449</v>
      </c>
      <c r="J46" t="s">
        <v>1450</v>
      </c>
      <c r="K46" t="s">
        <v>1429</v>
      </c>
      <c r="L46" t="s">
        <v>1434</v>
      </c>
    </row>
    <row r="47" spans="2:12" x14ac:dyDescent="0.2">
      <c r="B47" t="s">
        <v>949</v>
      </c>
      <c r="C47" t="s">
        <v>950</v>
      </c>
      <c r="D47" t="s">
        <v>1265</v>
      </c>
      <c r="E47" t="s">
        <v>1254</v>
      </c>
      <c r="I47" t="s">
        <v>930</v>
      </c>
      <c r="J47" t="s">
        <v>929</v>
      </c>
      <c r="K47" t="s">
        <v>1429</v>
      </c>
      <c r="L47" t="s">
        <v>1441</v>
      </c>
    </row>
    <row r="48" spans="2:12" x14ac:dyDescent="0.2">
      <c r="B48" t="s">
        <v>951</v>
      </c>
      <c r="C48" t="s">
        <v>952</v>
      </c>
      <c r="D48" t="s">
        <v>1265</v>
      </c>
      <c r="E48" t="s">
        <v>1254</v>
      </c>
      <c r="I48" t="s">
        <v>1451</v>
      </c>
      <c r="J48" t="s">
        <v>1452</v>
      </c>
      <c r="K48" t="s">
        <v>1429</v>
      </c>
      <c r="L48" t="s">
        <v>1434</v>
      </c>
    </row>
    <row r="49" spans="2:12" x14ac:dyDescent="0.2">
      <c r="B49" t="s">
        <v>953</v>
      </c>
      <c r="C49" t="s">
        <v>954</v>
      </c>
      <c r="D49" t="s">
        <v>1265</v>
      </c>
      <c r="E49" t="s">
        <v>1254</v>
      </c>
      <c r="I49" t="s">
        <v>1453</v>
      </c>
      <c r="J49" t="s">
        <v>1454</v>
      </c>
      <c r="K49" t="s">
        <v>1429</v>
      </c>
      <c r="L49" t="s">
        <v>1434</v>
      </c>
    </row>
    <row r="50" spans="2:12" x14ac:dyDescent="0.2">
      <c r="B50" t="s">
        <v>955</v>
      </c>
      <c r="C50" t="s">
        <v>956</v>
      </c>
      <c r="D50" t="s">
        <v>1265</v>
      </c>
      <c r="E50" t="s">
        <v>1254</v>
      </c>
      <c r="I50" t="s">
        <v>1455</v>
      </c>
      <c r="J50" t="s">
        <v>1456</v>
      </c>
      <c r="K50" t="s">
        <v>1429</v>
      </c>
      <c r="L50" t="s">
        <v>1434</v>
      </c>
    </row>
    <row r="51" spans="2:12" x14ac:dyDescent="0.2">
      <c r="B51" t="s">
        <v>957</v>
      </c>
      <c r="C51" t="s">
        <v>958</v>
      </c>
      <c r="D51" t="s">
        <v>1265</v>
      </c>
      <c r="E51" t="s">
        <v>1254</v>
      </c>
      <c r="I51" t="s">
        <v>931</v>
      </c>
      <c r="J51" t="s">
        <v>932</v>
      </c>
      <c r="K51" t="s">
        <v>1429</v>
      </c>
      <c r="L51" t="s">
        <v>1441</v>
      </c>
    </row>
    <row r="52" spans="2:12" x14ac:dyDescent="0.2">
      <c r="B52" t="s">
        <v>959</v>
      </c>
      <c r="C52" t="s">
        <v>960</v>
      </c>
      <c r="D52" t="s">
        <v>1265</v>
      </c>
      <c r="E52" t="s">
        <v>1254</v>
      </c>
      <c r="I52" t="s">
        <v>1457</v>
      </c>
      <c r="J52" t="s">
        <v>1458</v>
      </c>
      <c r="K52" t="s">
        <v>1429</v>
      </c>
      <c r="L52" t="s">
        <v>1434</v>
      </c>
    </row>
    <row r="53" spans="2:12" x14ac:dyDescent="0.2">
      <c r="B53" t="s">
        <v>961</v>
      </c>
      <c r="C53" t="s">
        <v>962</v>
      </c>
      <c r="D53" t="s">
        <v>1265</v>
      </c>
      <c r="E53" t="s">
        <v>1254</v>
      </c>
      <c r="I53" t="s">
        <v>1459</v>
      </c>
      <c r="J53" t="s">
        <v>934</v>
      </c>
      <c r="K53" t="s">
        <v>1429</v>
      </c>
      <c r="L53" t="s">
        <v>1434</v>
      </c>
    </row>
    <row r="54" spans="2:12" x14ac:dyDescent="0.2">
      <c r="B54" t="s">
        <v>963</v>
      </c>
      <c r="C54" t="s">
        <v>964</v>
      </c>
      <c r="D54" t="s">
        <v>1266</v>
      </c>
      <c r="E54" t="s">
        <v>1254</v>
      </c>
      <c r="I54" t="s">
        <v>1460</v>
      </c>
      <c r="J54" t="s">
        <v>934</v>
      </c>
      <c r="K54" t="s">
        <v>1429</v>
      </c>
      <c r="L54" t="s">
        <v>1434</v>
      </c>
    </row>
    <row r="55" spans="2:12" x14ac:dyDescent="0.2">
      <c r="B55" t="s">
        <v>965</v>
      </c>
      <c r="C55" t="s">
        <v>966</v>
      </c>
      <c r="D55" t="s">
        <v>1267</v>
      </c>
      <c r="E55" t="s">
        <v>1254</v>
      </c>
      <c r="I55" t="s">
        <v>933</v>
      </c>
      <c r="J55" t="s">
        <v>934</v>
      </c>
      <c r="K55" t="s">
        <v>1429</v>
      </c>
      <c r="L55" t="s">
        <v>1441</v>
      </c>
    </row>
    <row r="56" spans="2:12" x14ac:dyDescent="0.2">
      <c r="B56" t="s">
        <v>967</v>
      </c>
      <c r="C56" t="s">
        <v>968</v>
      </c>
      <c r="D56" t="s">
        <v>1268</v>
      </c>
      <c r="E56" t="s">
        <v>1254</v>
      </c>
      <c r="I56" t="s">
        <v>935</v>
      </c>
      <c r="J56" t="s">
        <v>936</v>
      </c>
      <c r="K56" t="s">
        <v>1429</v>
      </c>
      <c r="L56" t="s">
        <v>1441</v>
      </c>
    </row>
    <row r="57" spans="2:12" x14ac:dyDescent="0.2">
      <c r="B57" t="s">
        <v>969</v>
      </c>
      <c r="C57" t="s">
        <v>970</v>
      </c>
      <c r="D57" t="s">
        <v>1269</v>
      </c>
      <c r="E57" t="s">
        <v>1254</v>
      </c>
      <c r="I57" t="s">
        <v>1461</v>
      </c>
      <c r="J57" t="s">
        <v>1462</v>
      </c>
      <c r="K57" t="s">
        <v>1429</v>
      </c>
      <c r="L57" t="s">
        <v>1434</v>
      </c>
    </row>
    <row r="58" spans="2:12" x14ac:dyDescent="0.2">
      <c r="B58" t="s">
        <v>971</v>
      </c>
      <c r="C58" t="s">
        <v>972</v>
      </c>
      <c r="D58" t="s">
        <v>1270</v>
      </c>
      <c r="E58" t="s">
        <v>1254</v>
      </c>
      <c r="I58" t="s">
        <v>1463</v>
      </c>
      <c r="J58" t="s">
        <v>938</v>
      </c>
      <c r="K58" t="s">
        <v>1429</v>
      </c>
      <c r="L58" t="s">
        <v>1434</v>
      </c>
    </row>
    <row r="59" spans="2:12" x14ac:dyDescent="0.2">
      <c r="B59" t="s">
        <v>973</v>
      </c>
      <c r="C59" t="s">
        <v>974</v>
      </c>
      <c r="D59" t="s">
        <v>1271</v>
      </c>
      <c r="E59" t="s">
        <v>1254</v>
      </c>
      <c r="I59" t="s">
        <v>937</v>
      </c>
      <c r="J59" t="s">
        <v>938</v>
      </c>
      <c r="K59" t="s">
        <v>1429</v>
      </c>
      <c r="L59" t="s">
        <v>1441</v>
      </c>
    </row>
    <row r="60" spans="2:12" x14ac:dyDescent="0.2">
      <c r="B60" t="s">
        <v>975</v>
      </c>
      <c r="C60" t="s">
        <v>976</v>
      </c>
      <c r="D60" t="s">
        <v>1272</v>
      </c>
      <c r="E60" t="s">
        <v>1254</v>
      </c>
      <c r="I60" t="s">
        <v>1464</v>
      </c>
      <c r="J60" t="s">
        <v>940</v>
      </c>
      <c r="K60" t="s">
        <v>1429</v>
      </c>
      <c r="L60" t="s">
        <v>1434</v>
      </c>
    </row>
    <row r="61" spans="2:12" x14ac:dyDescent="0.2">
      <c r="B61" t="s">
        <v>977</v>
      </c>
      <c r="C61" t="s">
        <v>978</v>
      </c>
      <c r="D61" t="s">
        <v>1273</v>
      </c>
      <c r="E61" t="s">
        <v>1254</v>
      </c>
      <c r="I61" t="s">
        <v>939</v>
      </c>
      <c r="J61" t="s">
        <v>940</v>
      </c>
      <c r="K61" t="s">
        <v>1429</v>
      </c>
      <c r="L61" t="s">
        <v>1441</v>
      </c>
    </row>
    <row r="62" spans="2:12" x14ac:dyDescent="0.2">
      <c r="B62" t="s">
        <v>979</v>
      </c>
      <c r="C62" t="s">
        <v>980</v>
      </c>
      <c r="D62" t="s">
        <v>1274</v>
      </c>
      <c r="E62" t="s">
        <v>1254</v>
      </c>
      <c r="I62" t="s">
        <v>1465</v>
      </c>
      <c r="J62" t="s">
        <v>1466</v>
      </c>
      <c r="K62" t="s">
        <v>1429</v>
      </c>
      <c r="L62" t="s">
        <v>1434</v>
      </c>
    </row>
    <row r="63" spans="2:12" x14ac:dyDescent="0.2">
      <c r="B63" t="s">
        <v>981</v>
      </c>
      <c r="C63" t="s">
        <v>982</v>
      </c>
      <c r="D63" t="s">
        <v>1275</v>
      </c>
      <c r="E63" t="s">
        <v>1254</v>
      </c>
      <c r="I63" t="s">
        <v>1467</v>
      </c>
      <c r="J63" t="s">
        <v>942</v>
      </c>
      <c r="K63" t="s">
        <v>1429</v>
      </c>
      <c r="L63" t="s">
        <v>1434</v>
      </c>
    </row>
    <row r="64" spans="2:12" x14ac:dyDescent="0.2">
      <c r="B64" t="s">
        <v>983</v>
      </c>
      <c r="C64" t="s">
        <v>984</v>
      </c>
      <c r="D64" t="s">
        <v>1276</v>
      </c>
      <c r="E64" t="s">
        <v>1254</v>
      </c>
      <c r="I64" t="s">
        <v>941</v>
      </c>
      <c r="J64" t="s">
        <v>942</v>
      </c>
      <c r="K64" t="s">
        <v>1429</v>
      </c>
      <c r="L64" t="s">
        <v>1441</v>
      </c>
    </row>
    <row r="65" spans="2:12" x14ac:dyDescent="0.2">
      <c r="B65" t="s">
        <v>985</v>
      </c>
      <c r="C65" t="s">
        <v>986</v>
      </c>
      <c r="D65" t="s">
        <v>1276</v>
      </c>
      <c r="E65" t="s">
        <v>1254</v>
      </c>
      <c r="I65" t="s">
        <v>1468</v>
      </c>
      <c r="J65" t="s">
        <v>1469</v>
      </c>
      <c r="K65" t="s">
        <v>1429</v>
      </c>
      <c r="L65" t="s">
        <v>1434</v>
      </c>
    </row>
    <row r="66" spans="2:12" x14ac:dyDescent="0.2">
      <c r="B66" t="s">
        <v>987</v>
      </c>
      <c r="C66" t="s">
        <v>988</v>
      </c>
      <c r="D66" t="s">
        <v>1277</v>
      </c>
      <c r="E66" t="s">
        <v>1254</v>
      </c>
      <c r="I66" t="s">
        <v>943</v>
      </c>
      <c r="J66" t="s">
        <v>944</v>
      </c>
      <c r="K66" t="s">
        <v>1429</v>
      </c>
      <c r="L66" t="s">
        <v>1441</v>
      </c>
    </row>
    <row r="67" spans="2:12" x14ac:dyDescent="0.2">
      <c r="B67" t="s">
        <v>989</v>
      </c>
      <c r="C67" t="s">
        <v>990</v>
      </c>
      <c r="D67" t="s">
        <v>1277</v>
      </c>
      <c r="E67" t="s">
        <v>1254</v>
      </c>
      <c r="I67" t="s">
        <v>945</v>
      </c>
      <c r="J67" t="s">
        <v>946</v>
      </c>
      <c r="K67" t="s">
        <v>1429</v>
      </c>
      <c r="L67" t="s">
        <v>1441</v>
      </c>
    </row>
    <row r="68" spans="2:12" x14ac:dyDescent="0.2">
      <c r="B68" t="s">
        <v>991</v>
      </c>
      <c r="C68" t="s">
        <v>992</v>
      </c>
      <c r="D68" t="s">
        <v>1277</v>
      </c>
      <c r="E68" t="s">
        <v>1254</v>
      </c>
      <c r="I68" t="s">
        <v>947</v>
      </c>
      <c r="J68" t="s">
        <v>948</v>
      </c>
      <c r="K68" t="s">
        <v>1429</v>
      </c>
      <c r="L68" t="s">
        <v>1441</v>
      </c>
    </row>
    <row r="69" spans="2:12" x14ac:dyDescent="0.2">
      <c r="B69" t="s">
        <v>993</v>
      </c>
      <c r="C69" t="s">
        <v>994</v>
      </c>
      <c r="D69" t="s">
        <v>1277</v>
      </c>
      <c r="E69" t="s">
        <v>1254</v>
      </c>
      <c r="I69" t="s">
        <v>949</v>
      </c>
      <c r="J69" t="s">
        <v>950</v>
      </c>
      <c r="K69" t="s">
        <v>1429</v>
      </c>
      <c r="L69" t="s">
        <v>1441</v>
      </c>
    </row>
    <row r="70" spans="2:12" x14ac:dyDescent="0.2">
      <c r="B70" t="s">
        <v>995</v>
      </c>
      <c r="C70" t="s">
        <v>996</v>
      </c>
      <c r="D70" t="s">
        <v>1277</v>
      </c>
      <c r="E70" t="s">
        <v>1254</v>
      </c>
      <c r="I70" t="s">
        <v>951</v>
      </c>
      <c r="J70" t="s">
        <v>952</v>
      </c>
      <c r="K70" t="s">
        <v>1429</v>
      </c>
      <c r="L70" t="s">
        <v>1441</v>
      </c>
    </row>
    <row r="71" spans="2:12" x14ac:dyDescent="0.2">
      <c r="B71" t="s">
        <v>997</v>
      </c>
      <c r="C71" t="s">
        <v>998</v>
      </c>
      <c r="D71" t="s">
        <v>1277</v>
      </c>
      <c r="E71" t="s">
        <v>1254</v>
      </c>
      <c r="I71" t="s">
        <v>1470</v>
      </c>
      <c r="J71" t="s">
        <v>1471</v>
      </c>
      <c r="K71" t="s">
        <v>1429</v>
      </c>
      <c r="L71" t="s">
        <v>1434</v>
      </c>
    </row>
    <row r="72" spans="2:12" x14ac:dyDescent="0.2">
      <c r="B72" t="s">
        <v>999</v>
      </c>
      <c r="C72" t="s">
        <v>962</v>
      </c>
      <c r="D72" t="s">
        <v>1277</v>
      </c>
      <c r="E72" t="s">
        <v>1254</v>
      </c>
      <c r="I72" t="s">
        <v>953</v>
      </c>
      <c r="J72" t="s">
        <v>954</v>
      </c>
      <c r="K72" t="s">
        <v>1429</v>
      </c>
      <c r="L72" t="s">
        <v>1441</v>
      </c>
    </row>
    <row r="73" spans="2:12" x14ac:dyDescent="0.2">
      <c r="B73" t="s">
        <v>1000</v>
      </c>
      <c r="C73" t="s">
        <v>954</v>
      </c>
      <c r="D73" t="s">
        <v>1278</v>
      </c>
      <c r="E73" t="s">
        <v>1254</v>
      </c>
      <c r="I73" t="s">
        <v>1472</v>
      </c>
      <c r="J73" t="s">
        <v>1473</v>
      </c>
      <c r="K73" t="s">
        <v>1429</v>
      </c>
      <c r="L73" t="s">
        <v>1434</v>
      </c>
    </row>
    <row r="74" spans="2:12" x14ac:dyDescent="0.2">
      <c r="B74" t="s">
        <v>1001</v>
      </c>
      <c r="C74" t="s">
        <v>1002</v>
      </c>
      <c r="D74" t="s">
        <v>1278</v>
      </c>
      <c r="E74" t="s">
        <v>1254</v>
      </c>
      <c r="I74" t="s">
        <v>955</v>
      </c>
      <c r="J74" t="s">
        <v>956</v>
      </c>
      <c r="K74" t="s">
        <v>1429</v>
      </c>
      <c r="L74" t="s">
        <v>1441</v>
      </c>
    </row>
    <row r="75" spans="2:12" x14ac:dyDescent="0.2">
      <c r="B75" t="s">
        <v>1003</v>
      </c>
      <c r="C75" t="s">
        <v>1004</v>
      </c>
      <c r="D75" t="s">
        <v>1279</v>
      </c>
      <c r="E75" t="s">
        <v>1254</v>
      </c>
      <c r="I75" t="s">
        <v>957</v>
      </c>
      <c r="J75" t="s">
        <v>958</v>
      </c>
      <c r="K75" t="s">
        <v>1429</v>
      </c>
      <c r="L75" t="s">
        <v>1441</v>
      </c>
    </row>
    <row r="76" spans="2:12" x14ac:dyDescent="0.2">
      <c r="B76" t="s">
        <v>1005</v>
      </c>
      <c r="C76" t="s">
        <v>1006</v>
      </c>
      <c r="D76" t="s">
        <v>1279</v>
      </c>
      <c r="E76" t="s">
        <v>1254</v>
      </c>
      <c r="I76" t="s">
        <v>959</v>
      </c>
      <c r="J76" t="s">
        <v>960</v>
      </c>
      <c r="K76" t="s">
        <v>1429</v>
      </c>
      <c r="L76" t="s">
        <v>1441</v>
      </c>
    </row>
    <row r="77" spans="2:12" x14ac:dyDescent="0.2">
      <c r="B77" t="s">
        <v>1007</v>
      </c>
      <c r="C77" t="s">
        <v>1008</v>
      </c>
      <c r="D77" t="s">
        <v>1279</v>
      </c>
      <c r="E77" t="s">
        <v>1254</v>
      </c>
      <c r="I77" t="s">
        <v>1474</v>
      </c>
      <c r="J77" t="s">
        <v>1475</v>
      </c>
      <c r="K77" t="s">
        <v>1429</v>
      </c>
      <c r="L77" t="s">
        <v>1434</v>
      </c>
    </row>
    <row r="78" spans="2:12" x14ac:dyDescent="0.2">
      <c r="B78" t="s">
        <v>1009</v>
      </c>
      <c r="C78" t="s">
        <v>1010</v>
      </c>
      <c r="D78" t="s">
        <v>1279</v>
      </c>
      <c r="E78" t="s">
        <v>1254</v>
      </c>
      <c r="I78" t="s">
        <v>961</v>
      </c>
      <c r="J78" t="s">
        <v>962</v>
      </c>
      <c r="K78" t="s">
        <v>1429</v>
      </c>
      <c r="L78" t="s">
        <v>1441</v>
      </c>
    </row>
    <row r="79" spans="2:12" x14ac:dyDescent="0.2">
      <c r="B79" t="s">
        <v>1011</v>
      </c>
      <c r="C79" t="s">
        <v>1012</v>
      </c>
      <c r="D79" t="s">
        <v>1279</v>
      </c>
      <c r="E79" t="s">
        <v>1254</v>
      </c>
      <c r="I79" t="s">
        <v>1476</v>
      </c>
      <c r="J79" t="s">
        <v>1477</v>
      </c>
      <c r="K79" t="s">
        <v>1429</v>
      </c>
      <c r="L79" t="s">
        <v>1434</v>
      </c>
    </row>
    <row r="80" spans="2:12" x14ac:dyDescent="0.2">
      <c r="B80" t="s">
        <v>1013</v>
      </c>
      <c r="C80" t="s">
        <v>1014</v>
      </c>
      <c r="D80" t="s">
        <v>1279</v>
      </c>
      <c r="E80" t="s">
        <v>1254</v>
      </c>
      <c r="I80" t="s">
        <v>1478</v>
      </c>
      <c r="J80" t="s">
        <v>964</v>
      </c>
      <c r="K80" t="s">
        <v>1429</v>
      </c>
      <c r="L80" t="s">
        <v>1434</v>
      </c>
    </row>
    <row r="81" spans="2:12" x14ac:dyDescent="0.2">
      <c r="B81" t="s">
        <v>1015</v>
      </c>
      <c r="C81" t="s">
        <v>1016</v>
      </c>
      <c r="D81" t="s">
        <v>1280</v>
      </c>
      <c r="E81" t="s">
        <v>1254</v>
      </c>
      <c r="I81" t="s">
        <v>963</v>
      </c>
      <c r="J81" t="s">
        <v>964</v>
      </c>
      <c r="K81" t="s">
        <v>1429</v>
      </c>
      <c r="L81" t="s">
        <v>1441</v>
      </c>
    </row>
    <row r="82" spans="2:12" x14ac:dyDescent="0.2">
      <c r="B82" t="s">
        <v>1017</v>
      </c>
      <c r="C82" t="s">
        <v>1018</v>
      </c>
      <c r="D82" t="s">
        <v>1280</v>
      </c>
      <c r="E82" t="s">
        <v>1254</v>
      </c>
      <c r="I82" t="s">
        <v>1479</v>
      </c>
      <c r="J82" t="s">
        <v>966</v>
      </c>
      <c r="K82" t="s">
        <v>1429</v>
      </c>
      <c r="L82" t="s">
        <v>1434</v>
      </c>
    </row>
    <row r="83" spans="2:12" x14ac:dyDescent="0.2">
      <c r="B83" t="s">
        <v>1019</v>
      </c>
      <c r="C83" t="s">
        <v>1020</v>
      </c>
      <c r="D83" t="s">
        <v>1280</v>
      </c>
      <c r="E83" t="s">
        <v>1254</v>
      </c>
      <c r="I83" t="s">
        <v>965</v>
      </c>
      <c r="J83" t="s">
        <v>966</v>
      </c>
      <c r="K83" t="s">
        <v>1429</v>
      </c>
      <c r="L83" t="s">
        <v>1441</v>
      </c>
    </row>
    <row r="84" spans="2:12" x14ac:dyDescent="0.2">
      <c r="B84" t="s">
        <v>1021</v>
      </c>
      <c r="C84" t="s">
        <v>1022</v>
      </c>
      <c r="D84" t="s">
        <v>1280</v>
      </c>
      <c r="E84" t="s">
        <v>1254</v>
      </c>
      <c r="I84" t="s">
        <v>1480</v>
      </c>
      <c r="J84" t="s">
        <v>1481</v>
      </c>
      <c r="K84" t="s">
        <v>1429</v>
      </c>
      <c r="L84" t="s">
        <v>1434</v>
      </c>
    </row>
    <row r="85" spans="2:12" x14ac:dyDescent="0.2">
      <c r="B85" t="s">
        <v>1023</v>
      </c>
      <c r="C85" t="s">
        <v>1024</v>
      </c>
      <c r="D85" t="s">
        <v>1280</v>
      </c>
      <c r="E85" t="s">
        <v>1254</v>
      </c>
      <c r="I85" t="s">
        <v>1482</v>
      </c>
      <c r="J85" t="s">
        <v>1483</v>
      </c>
      <c r="K85" t="s">
        <v>1429</v>
      </c>
      <c r="L85" t="s">
        <v>1434</v>
      </c>
    </row>
    <row r="86" spans="2:12" x14ac:dyDescent="0.2">
      <c r="B86" t="s">
        <v>1025</v>
      </c>
      <c r="C86" t="s">
        <v>1026</v>
      </c>
      <c r="D86" t="s">
        <v>1281</v>
      </c>
      <c r="E86" t="s">
        <v>1254</v>
      </c>
      <c r="I86" t="s">
        <v>1484</v>
      </c>
      <c r="J86" t="s">
        <v>1485</v>
      </c>
      <c r="K86" t="s">
        <v>1429</v>
      </c>
      <c r="L86" t="s">
        <v>1434</v>
      </c>
    </row>
    <row r="87" spans="2:12" x14ac:dyDescent="0.2">
      <c r="B87" t="s">
        <v>1027</v>
      </c>
      <c r="C87" t="s">
        <v>1028</v>
      </c>
      <c r="D87" t="s">
        <v>1282</v>
      </c>
      <c r="E87" t="s">
        <v>1254</v>
      </c>
      <c r="I87" t="s">
        <v>967</v>
      </c>
      <c r="J87" t="s">
        <v>968</v>
      </c>
      <c r="K87" t="s">
        <v>1429</v>
      </c>
      <c r="L87" t="s">
        <v>1441</v>
      </c>
    </row>
    <row r="88" spans="2:12" x14ac:dyDescent="0.2">
      <c r="B88" t="s">
        <v>1029</v>
      </c>
      <c r="C88" t="s">
        <v>1030</v>
      </c>
      <c r="D88" t="s">
        <v>1283</v>
      </c>
      <c r="E88" t="s">
        <v>1254</v>
      </c>
      <c r="I88" t="s">
        <v>969</v>
      </c>
      <c r="J88" t="s">
        <v>970</v>
      </c>
      <c r="K88" t="s">
        <v>1429</v>
      </c>
      <c r="L88" t="s">
        <v>1441</v>
      </c>
    </row>
    <row r="89" spans="2:12" x14ac:dyDescent="0.2">
      <c r="B89" t="s">
        <v>1031</v>
      </c>
      <c r="C89" t="s">
        <v>1032</v>
      </c>
      <c r="D89" t="s">
        <v>1283</v>
      </c>
      <c r="E89" t="s">
        <v>1254</v>
      </c>
      <c r="I89" t="s">
        <v>971</v>
      </c>
      <c r="J89" t="s">
        <v>972</v>
      </c>
      <c r="K89" t="s">
        <v>1429</v>
      </c>
      <c r="L89" t="s">
        <v>1441</v>
      </c>
    </row>
    <row r="90" spans="2:12" x14ac:dyDescent="0.2">
      <c r="B90" t="s">
        <v>1033</v>
      </c>
      <c r="C90" t="s">
        <v>1034</v>
      </c>
      <c r="D90" t="s">
        <v>1283</v>
      </c>
      <c r="E90" t="s">
        <v>1254</v>
      </c>
      <c r="I90" t="s">
        <v>1486</v>
      </c>
      <c r="J90" t="s">
        <v>1487</v>
      </c>
      <c r="K90" t="s">
        <v>1429</v>
      </c>
      <c r="L90" t="s">
        <v>1434</v>
      </c>
    </row>
    <row r="91" spans="2:12" x14ac:dyDescent="0.2">
      <c r="B91" t="s">
        <v>1035</v>
      </c>
      <c r="C91" t="s">
        <v>1036</v>
      </c>
      <c r="D91" t="s">
        <v>1283</v>
      </c>
      <c r="E91" t="s">
        <v>1254</v>
      </c>
      <c r="I91" t="s">
        <v>1488</v>
      </c>
      <c r="J91" t="s">
        <v>976</v>
      </c>
      <c r="K91" t="s">
        <v>1429</v>
      </c>
      <c r="L91" t="s">
        <v>1434</v>
      </c>
    </row>
    <row r="92" spans="2:12" x14ac:dyDescent="0.2">
      <c r="B92" t="s">
        <v>1037</v>
      </c>
      <c r="C92" t="s">
        <v>1038</v>
      </c>
      <c r="D92" t="s">
        <v>1283</v>
      </c>
      <c r="E92" t="s">
        <v>1254</v>
      </c>
      <c r="I92" t="s">
        <v>1489</v>
      </c>
      <c r="J92" t="s">
        <v>974</v>
      </c>
      <c r="K92" t="s">
        <v>1429</v>
      </c>
      <c r="L92" t="s">
        <v>1434</v>
      </c>
    </row>
    <row r="93" spans="2:12" x14ac:dyDescent="0.2">
      <c r="B93" t="s">
        <v>1039</v>
      </c>
      <c r="C93" t="s">
        <v>1040</v>
      </c>
      <c r="D93" t="s">
        <v>1283</v>
      </c>
      <c r="E93" t="s">
        <v>1254</v>
      </c>
      <c r="I93" t="s">
        <v>973</v>
      </c>
      <c r="J93" t="s">
        <v>974</v>
      </c>
      <c r="K93" t="s">
        <v>1429</v>
      </c>
      <c r="L93" t="s">
        <v>1441</v>
      </c>
    </row>
    <row r="94" spans="2:12" x14ac:dyDescent="0.2">
      <c r="B94" t="s">
        <v>1041</v>
      </c>
      <c r="C94" t="s">
        <v>1042</v>
      </c>
      <c r="D94" t="s">
        <v>1283</v>
      </c>
      <c r="E94" t="s">
        <v>1254</v>
      </c>
      <c r="I94" t="s">
        <v>1490</v>
      </c>
      <c r="J94" t="s">
        <v>1491</v>
      </c>
      <c r="K94" t="s">
        <v>1429</v>
      </c>
      <c r="L94" t="s">
        <v>1434</v>
      </c>
    </row>
    <row r="95" spans="2:12" x14ac:dyDescent="0.2">
      <c r="B95" t="s">
        <v>1043</v>
      </c>
      <c r="C95" t="s">
        <v>1044</v>
      </c>
      <c r="D95" t="s">
        <v>1284</v>
      </c>
      <c r="E95" t="s">
        <v>1254</v>
      </c>
      <c r="I95" t="s">
        <v>1492</v>
      </c>
      <c r="J95" t="s">
        <v>976</v>
      </c>
      <c r="K95" t="s">
        <v>1429</v>
      </c>
      <c r="L95" t="s">
        <v>1434</v>
      </c>
    </row>
    <row r="96" spans="2:12" x14ac:dyDescent="0.2">
      <c r="B96" t="s">
        <v>1045</v>
      </c>
      <c r="C96" t="s">
        <v>1046</v>
      </c>
      <c r="D96" t="s">
        <v>1284</v>
      </c>
      <c r="E96" t="s">
        <v>1254</v>
      </c>
      <c r="I96" t="s">
        <v>975</v>
      </c>
      <c r="J96" t="s">
        <v>976</v>
      </c>
      <c r="K96" t="s">
        <v>1429</v>
      </c>
      <c r="L96" t="s">
        <v>1441</v>
      </c>
    </row>
    <row r="97" spans="2:12" x14ac:dyDescent="0.2">
      <c r="B97" t="s">
        <v>1047</v>
      </c>
      <c r="C97" t="s">
        <v>1048</v>
      </c>
      <c r="D97" t="s">
        <v>1285</v>
      </c>
      <c r="E97" t="s">
        <v>1254</v>
      </c>
      <c r="I97" t="s">
        <v>1493</v>
      </c>
      <c r="J97" t="s">
        <v>1494</v>
      </c>
      <c r="K97" t="s">
        <v>1429</v>
      </c>
      <c r="L97" t="s">
        <v>1430</v>
      </c>
    </row>
    <row r="98" spans="2:12" x14ac:dyDescent="0.2">
      <c r="B98" t="s">
        <v>1049</v>
      </c>
      <c r="C98" t="s">
        <v>1050</v>
      </c>
      <c r="D98" t="s">
        <v>1286</v>
      </c>
      <c r="E98" t="s">
        <v>1254</v>
      </c>
      <c r="I98" t="s">
        <v>1495</v>
      </c>
      <c r="J98" t="s">
        <v>1496</v>
      </c>
      <c r="K98" t="s">
        <v>1429</v>
      </c>
      <c r="L98" t="s">
        <v>1434</v>
      </c>
    </row>
    <row r="99" spans="2:12" x14ac:dyDescent="0.2">
      <c r="B99" t="s">
        <v>1051</v>
      </c>
      <c r="C99" t="s">
        <v>1052</v>
      </c>
      <c r="D99" t="s">
        <v>1287</v>
      </c>
      <c r="E99" t="s">
        <v>1254</v>
      </c>
      <c r="I99" t="s">
        <v>1497</v>
      </c>
      <c r="J99" t="s">
        <v>1498</v>
      </c>
      <c r="K99" t="s">
        <v>1429</v>
      </c>
      <c r="L99" t="s">
        <v>1434</v>
      </c>
    </row>
    <row r="100" spans="2:12" x14ac:dyDescent="0.2">
      <c r="B100" t="s">
        <v>1053</v>
      </c>
      <c r="C100" t="s">
        <v>1054</v>
      </c>
      <c r="D100" t="s">
        <v>1288</v>
      </c>
      <c r="E100" t="s">
        <v>1254</v>
      </c>
      <c r="I100" t="s">
        <v>2155</v>
      </c>
      <c r="J100" t="s">
        <v>982</v>
      </c>
      <c r="K100" t="s">
        <v>1429</v>
      </c>
      <c r="L100" t="s">
        <v>1434</v>
      </c>
    </row>
    <row r="101" spans="2:12" x14ac:dyDescent="0.2">
      <c r="B101" t="s">
        <v>1055</v>
      </c>
      <c r="C101" t="s">
        <v>1056</v>
      </c>
      <c r="D101" t="s">
        <v>1288</v>
      </c>
      <c r="E101" t="s">
        <v>1254</v>
      </c>
      <c r="I101" t="s">
        <v>981</v>
      </c>
      <c r="J101" t="s">
        <v>982</v>
      </c>
      <c r="K101" t="s">
        <v>1429</v>
      </c>
      <c r="L101" t="s">
        <v>1441</v>
      </c>
    </row>
    <row r="102" spans="2:12" x14ac:dyDescent="0.2">
      <c r="B102" t="s">
        <v>1057</v>
      </c>
      <c r="C102" t="s">
        <v>1058</v>
      </c>
      <c r="D102" t="s">
        <v>1288</v>
      </c>
      <c r="E102" t="s">
        <v>1254</v>
      </c>
      <c r="I102" t="s">
        <v>1499</v>
      </c>
      <c r="J102" t="s">
        <v>984</v>
      </c>
      <c r="K102" t="s">
        <v>1429</v>
      </c>
      <c r="L102" t="s">
        <v>1434</v>
      </c>
    </row>
    <row r="103" spans="2:12" x14ac:dyDescent="0.2">
      <c r="B103" t="s">
        <v>1059</v>
      </c>
      <c r="C103" t="s">
        <v>1060</v>
      </c>
      <c r="D103" t="s">
        <v>1288</v>
      </c>
      <c r="E103" t="s">
        <v>1254</v>
      </c>
      <c r="I103" t="s">
        <v>983</v>
      </c>
      <c r="J103" t="s">
        <v>984</v>
      </c>
      <c r="K103" t="s">
        <v>1429</v>
      </c>
      <c r="L103" t="s">
        <v>1441</v>
      </c>
    </row>
    <row r="104" spans="2:12" x14ac:dyDescent="0.2">
      <c r="B104" t="s">
        <v>1061</v>
      </c>
      <c r="C104" t="s">
        <v>1062</v>
      </c>
      <c r="D104" t="s">
        <v>1288</v>
      </c>
      <c r="E104" t="s">
        <v>1254</v>
      </c>
      <c r="I104" t="s">
        <v>985</v>
      </c>
      <c r="J104" t="s">
        <v>986</v>
      </c>
      <c r="K104" t="s">
        <v>1429</v>
      </c>
      <c r="L104" t="s">
        <v>1441</v>
      </c>
    </row>
    <row r="105" spans="2:12" x14ac:dyDescent="0.2">
      <c r="B105" t="s">
        <v>1063</v>
      </c>
      <c r="C105" t="s">
        <v>1064</v>
      </c>
      <c r="D105" t="s">
        <v>1288</v>
      </c>
      <c r="E105" t="s">
        <v>1254</v>
      </c>
      <c r="I105" t="s">
        <v>1500</v>
      </c>
      <c r="J105" t="s">
        <v>1501</v>
      </c>
      <c r="K105" t="s">
        <v>1429</v>
      </c>
      <c r="L105" t="s">
        <v>1434</v>
      </c>
    </row>
    <row r="106" spans="2:12" x14ac:dyDescent="0.2">
      <c r="B106" t="s">
        <v>1065</v>
      </c>
      <c r="C106" t="s">
        <v>1066</v>
      </c>
      <c r="D106" t="s">
        <v>1288</v>
      </c>
      <c r="E106" t="s">
        <v>1254</v>
      </c>
      <c r="I106" t="s">
        <v>1502</v>
      </c>
      <c r="J106" t="s">
        <v>1100</v>
      </c>
      <c r="K106" t="s">
        <v>1429</v>
      </c>
      <c r="L106" t="s">
        <v>1434</v>
      </c>
    </row>
    <row r="107" spans="2:12" x14ac:dyDescent="0.2">
      <c r="B107" t="s">
        <v>1067</v>
      </c>
      <c r="C107" t="s">
        <v>1068</v>
      </c>
      <c r="D107" t="s">
        <v>1288</v>
      </c>
      <c r="E107" t="s">
        <v>1254</v>
      </c>
      <c r="I107" t="s">
        <v>987</v>
      </c>
      <c r="J107" t="s">
        <v>988</v>
      </c>
      <c r="K107" t="s">
        <v>1429</v>
      </c>
      <c r="L107" t="s">
        <v>1441</v>
      </c>
    </row>
    <row r="108" spans="2:12" x14ac:dyDescent="0.2">
      <c r="B108" t="s">
        <v>1069</v>
      </c>
      <c r="C108" t="s">
        <v>1070</v>
      </c>
      <c r="D108" t="s">
        <v>1288</v>
      </c>
      <c r="E108" t="s">
        <v>1254</v>
      </c>
      <c r="I108" t="s">
        <v>989</v>
      </c>
      <c r="J108" t="s">
        <v>990</v>
      </c>
      <c r="K108" t="s">
        <v>1429</v>
      </c>
      <c r="L108" t="s">
        <v>1441</v>
      </c>
    </row>
    <row r="109" spans="2:12" x14ac:dyDescent="0.2">
      <c r="B109" t="s">
        <v>1071</v>
      </c>
      <c r="C109" t="s">
        <v>1072</v>
      </c>
      <c r="D109" t="s">
        <v>1288</v>
      </c>
      <c r="E109" t="s">
        <v>1254</v>
      </c>
      <c r="I109" t="s">
        <v>1503</v>
      </c>
      <c r="J109" t="s">
        <v>1504</v>
      </c>
      <c r="K109" t="s">
        <v>1429</v>
      </c>
      <c r="L109" t="s">
        <v>1434</v>
      </c>
    </row>
    <row r="110" spans="2:12" x14ac:dyDescent="0.2">
      <c r="B110" t="s">
        <v>1073</v>
      </c>
      <c r="C110" t="s">
        <v>1074</v>
      </c>
      <c r="D110" t="s">
        <v>1288</v>
      </c>
      <c r="E110" t="s">
        <v>1254</v>
      </c>
      <c r="I110" t="s">
        <v>991</v>
      </c>
      <c r="J110" t="s">
        <v>992</v>
      </c>
      <c r="K110" t="s">
        <v>1429</v>
      </c>
      <c r="L110" t="s">
        <v>1441</v>
      </c>
    </row>
    <row r="111" spans="2:12" x14ac:dyDescent="0.2">
      <c r="B111" t="s">
        <v>1075</v>
      </c>
      <c r="C111" t="s">
        <v>1076</v>
      </c>
      <c r="D111" t="s">
        <v>1289</v>
      </c>
      <c r="E111" t="s">
        <v>1254</v>
      </c>
      <c r="I111" t="s">
        <v>993</v>
      </c>
      <c r="J111" t="s">
        <v>994</v>
      </c>
      <c r="K111" t="s">
        <v>1429</v>
      </c>
      <c r="L111" t="s">
        <v>1441</v>
      </c>
    </row>
    <row r="112" spans="2:12" x14ac:dyDescent="0.2">
      <c r="B112" t="s">
        <v>1077</v>
      </c>
      <c r="C112" t="s">
        <v>1078</v>
      </c>
      <c r="D112" t="s">
        <v>1290</v>
      </c>
      <c r="E112" t="s">
        <v>1254</v>
      </c>
      <c r="I112" t="s">
        <v>1505</v>
      </c>
      <c r="J112" t="s">
        <v>1506</v>
      </c>
      <c r="K112" t="s">
        <v>1429</v>
      </c>
      <c r="L112" t="s">
        <v>1434</v>
      </c>
    </row>
    <row r="113" spans="2:12" x14ac:dyDescent="0.2">
      <c r="B113" t="s">
        <v>1079</v>
      </c>
      <c r="C113" t="s">
        <v>1080</v>
      </c>
      <c r="D113" t="s">
        <v>1291</v>
      </c>
      <c r="E113" t="s">
        <v>1254</v>
      </c>
      <c r="I113" t="s">
        <v>995</v>
      </c>
      <c r="J113" t="s">
        <v>996</v>
      </c>
      <c r="K113" t="s">
        <v>1429</v>
      </c>
      <c r="L113" t="s">
        <v>1441</v>
      </c>
    </row>
    <row r="114" spans="2:12" x14ac:dyDescent="0.2">
      <c r="B114" t="s">
        <v>1081</v>
      </c>
      <c r="C114" t="s">
        <v>1082</v>
      </c>
      <c r="D114" t="s">
        <v>1291</v>
      </c>
      <c r="E114" t="s">
        <v>1254</v>
      </c>
      <c r="I114" t="s">
        <v>1507</v>
      </c>
      <c r="J114" t="s">
        <v>1508</v>
      </c>
      <c r="K114" t="s">
        <v>1429</v>
      </c>
      <c r="L114" t="s">
        <v>1434</v>
      </c>
    </row>
    <row r="115" spans="2:12" x14ac:dyDescent="0.2">
      <c r="B115" t="s">
        <v>1083</v>
      </c>
      <c r="C115" t="s">
        <v>1084</v>
      </c>
      <c r="D115" t="s">
        <v>1292</v>
      </c>
      <c r="E115" t="s">
        <v>1254</v>
      </c>
      <c r="I115" t="s">
        <v>997</v>
      </c>
      <c r="J115" t="s">
        <v>998</v>
      </c>
      <c r="K115" t="s">
        <v>1429</v>
      </c>
      <c r="L115" t="s">
        <v>1441</v>
      </c>
    </row>
    <row r="116" spans="2:12" x14ac:dyDescent="0.2">
      <c r="B116" t="s">
        <v>1085</v>
      </c>
      <c r="C116" t="s">
        <v>968</v>
      </c>
      <c r="D116" t="s">
        <v>1293</v>
      </c>
      <c r="E116" t="s">
        <v>1254</v>
      </c>
      <c r="I116" t="s">
        <v>1509</v>
      </c>
      <c r="J116" t="s">
        <v>1475</v>
      </c>
      <c r="K116" t="s">
        <v>1429</v>
      </c>
      <c r="L116" t="s">
        <v>1434</v>
      </c>
    </row>
    <row r="117" spans="2:12" x14ac:dyDescent="0.2">
      <c r="B117" t="s">
        <v>1086</v>
      </c>
      <c r="C117" t="s">
        <v>970</v>
      </c>
      <c r="D117" t="s">
        <v>1294</v>
      </c>
      <c r="E117" t="s">
        <v>1254</v>
      </c>
      <c r="I117" t="s">
        <v>999</v>
      </c>
      <c r="J117" t="s">
        <v>962</v>
      </c>
      <c r="K117" t="s">
        <v>1429</v>
      </c>
      <c r="L117" t="s">
        <v>1441</v>
      </c>
    </row>
    <row r="118" spans="2:12" x14ac:dyDescent="0.2">
      <c r="B118" t="s">
        <v>1087</v>
      </c>
      <c r="C118" t="s">
        <v>1088</v>
      </c>
      <c r="D118" t="s">
        <v>1295</v>
      </c>
      <c r="E118" t="s">
        <v>1254</v>
      </c>
      <c r="I118" t="s">
        <v>1510</v>
      </c>
      <c r="J118" t="s">
        <v>1471</v>
      </c>
      <c r="K118" t="s">
        <v>1429</v>
      </c>
      <c r="L118" t="s">
        <v>1434</v>
      </c>
    </row>
    <row r="119" spans="2:12" x14ac:dyDescent="0.2">
      <c r="B119" t="s">
        <v>1089</v>
      </c>
      <c r="C119" t="s">
        <v>1090</v>
      </c>
      <c r="D119" t="s">
        <v>1296</v>
      </c>
      <c r="E119" t="s">
        <v>1254</v>
      </c>
      <c r="I119" t="s">
        <v>1511</v>
      </c>
      <c r="J119" t="s">
        <v>1471</v>
      </c>
      <c r="K119" t="s">
        <v>1429</v>
      </c>
      <c r="L119" t="s">
        <v>1434</v>
      </c>
    </row>
    <row r="120" spans="2:12" x14ac:dyDescent="0.2">
      <c r="B120" t="s">
        <v>1091</v>
      </c>
      <c r="C120" t="s">
        <v>1092</v>
      </c>
      <c r="D120" t="s">
        <v>1297</v>
      </c>
      <c r="E120" t="s">
        <v>1254</v>
      </c>
      <c r="I120" t="s">
        <v>1000</v>
      </c>
      <c r="J120" t="s">
        <v>954</v>
      </c>
      <c r="K120" t="s">
        <v>1429</v>
      </c>
      <c r="L120" t="s">
        <v>1441</v>
      </c>
    </row>
    <row r="121" spans="2:12" x14ac:dyDescent="0.2">
      <c r="B121" t="s">
        <v>1093</v>
      </c>
      <c r="C121" t="s">
        <v>1094</v>
      </c>
      <c r="D121" t="s">
        <v>1298</v>
      </c>
      <c r="E121" t="s">
        <v>1254</v>
      </c>
      <c r="I121" t="s">
        <v>1728</v>
      </c>
      <c r="J121" t="s">
        <v>1729</v>
      </c>
      <c r="K121" t="s">
        <v>1429</v>
      </c>
      <c r="L121" t="s">
        <v>1441</v>
      </c>
    </row>
    <row r="122" spans="2:12" x14ac:dyDescent="0.2">
      <c r="B122" t="s">
        <v>1095</v>
      </c>
      <c r="C122" t="s">
        <v>1096</v>
      </c>
      <c r="D122" t="s">
        <v>1298</v>
      </c>
      <c r="E122" t="s">
        <v>1254</v>
      </c>
      <c r="I122" t="s">
        <v>1001</v>
      </c>
      <c r="J122" t="s">
        <v>1002</v>
      </c>
      <c r="K122" t="s">
        <v>1429</v>
      </c>
      <c r="L122" t="s">
        <v>1441</v>
      </c>
    </row>
    <row r="123" spans="2:12" x14ac:dyDescent="0.2">
      <c r="B123" t="s">
        <v>1097</v>
      </c>
      <c r="C123" t="s">
        <v>1098</v>
      </c>
      <c r="D123" t="s">
        <v>1298</v>
      </c>
      <c r="E123" t="s">
        <v>1254</v>
      </c>
      <c r="I123" t="s">
        <v>1512</v>
      </c>
      <c r="J123" t="s">
        <v>1473</v>
      </c>
      <c r="K123" t="s">
        <v>1429</v>
      </c>
      <c r="L123" t="s">
        <v>1434</v>
      </c>
    </row>
    <row r="124" spans="2:12" x14ac:dyDescent="0.2">
      <c r="B124" t="s">
        <v>1099</v>
      </c>
      <c r="C124" t="s">
        <v>1100</v>
      </c>
      <c r="D124" t="s">
        <v>1294</v>
      </c>
      <c r="E124" t="s">
        <v>1254</v>
      </c>
      <c r="I124" t="s">
        <v>1513</v>
      </c>
      <c r="J124" t="s">
        <v>1514</v>
      </c>
      <c r="K124" t="s">
        <v>1429</v>
      </c>
      <c r="L124" t="s">
        <v>1434</v>
      </c>
    </row>
    <row r="125" spans="2:12" x14ac:dyDescent="0.2">
      <c r="B125" t="s">
        <v>1101</v>
      </c>
      <c r="C125" t="s">
        <v>1102</v>
      </c>
      <c r="D125" t="s">
        <v>1299</v>
      </c>
      <c r="E125" t="s">
        <v>1254</v>
      </c>
      <c r="I125" t="s">
        <v>1003</v>
      </c>
      <c r="J125" t="s">
        <v>1004</v>
      </c>
      <c r="K125" t="s">
        <v>1429</v>
      </c>
      <c r="L125" t="s">
        <v>1441</v>
      </c>
    </row>
    <row r="126" spans="2:12" x14ac:dyDescent="0.2">
      <c r="B126" t="s">
        <v>1103</v>
      </c>
      <c r="C126" t="s">
        <v>1104</v>
      </c>
      <c r="D126" t="s">
        <v>1300</v>
      </c>
      <c r="E126" t="s">
        <v>1254</v>
      </c>
      <c r="I126" t="s">
        <v>1005</v>
      </c>
      <c r="J126" t="s">
        <v>1006</v>
      </c>
      <c r="K126" t="s">
        <v>1429</v>
      </c>
      <c r="L126" t="s">
        <v>1441</v>
      </c>
    </row>
    <row r="127" spans="2:12" x14ac:dyDescent="0.2">
      <c r="B127" t="s">
        <v>1105</v>
      </c>
      <c r="C127" t="s">
        <v>1106</v>
      </c>
      <c r="D127" t="s">
        <v>1301</v>
      </c>
      <c r="E127" t="s">
        <v>1254</v>
      </c>
      <c r="I127" t="s">
        <v>1007</v>
      </c>
      <c r="J127" t="s">
        <v>1008</v>
      </c>
      <c r="K127" t="s">
        <v>1429</v>
      </c>
      <c r="L127" t="s">
        <v>1441</v>
      </c>
    </row>
    <row r="128" spans="2:12" x14ac:dyDescent="0.2">
      <c r="B128" t="s">
        <v>1107</v>
      </c>
      <c r="C128" t="s">
        <v>1108</v>
      </c>
      <c r="D128" t="s">
        <v>1302</v>
      </c>
      <c r="E128" t="s">
        <v>918</v>
      </c>
      <c r="F128" t="s">
        <v>1250</v>
      </c>
      <c r="I128" t="s">
        <v>1009</v>
      </c>
      <c r="J128" t="s">
        <v>1010</v>
      </c>
      <c r="K128" t="s">
        <v>1429</v>
      </c>
      <c r="L128" t="s">
        <v>1441</v>
      </c>
    </row>
    <row r="129" spans="2:12" x14ac:dyDescent="0.2">
      <c r="B129" t="s">
        <v>1109</v>
      </c>
      <c r="C129" t="s">
        <v>1110</v>
      </c>
      <c r="D129" t="s">
        <v>1303</v>
      </c>
      <c r="E129" t="s">
        <v>918</v>
      </c>
      <c r="F129" t="s">
        <v>1250</v>
      </c>
      <c r="I129" t="s">
        <v>1011</v>
      </c>
      <c r="J129" t="s">
        <v>1012</v>
      </c>
      <c r="K129" t="s">
        <v>1429</v>
      </c>
      <c r="L129" t="s">
        <v>1441</v>
      </c>
    </row>
    <row r="130" spans="2:12" x14ac:dyDescent="0.2">
      <c r="B130" t="s">
        <v>1111</v>
      </c>
      <c r="C130" t="s">
        <v>1054</v>
      </c>
      <c r="D130" t="s">
        <v>1303</v>
      </c>
      <c r="E130" t="s">
        <v>918</v>
      </c>
      <c r="F130" t="s">
        <v>1250</v>
      </c>
      <c r="I130" t="s">
        <v>1013</v>
      </c>
      <c r="J130" t="s">
        <v>1014</v>
      </c>
      <c r="K130" t="s">
        <v>1429</v>
      </c>
      <c r="L130" t="s">
        <v>1441</v>
      </c>
    </row>
    <row r="131" spans="2:12" x14ac:dyDescent="0.2">
      <c r="B131" t="s">
        <v>1112</v>
      </c>
      <c r="C131" t="s">
        <v>1056</v>
      </c>
      <c r="D131" t="s">
        <v>1303</v>
      </c>
      <c r="E131" t="s">
        <v>918</v>
      </c>
      <c r="F131" t="s">
        <v>1250</v>
      </c>
      <c r="I131" t="s">
        <v>1515</v>
      </c>
      <c r="J131" t="s">
        <v>1516</v>
      </c>
      <c r="K131" t="s">
        <v>1429</v>
      </c>
      <c r="L131" t="s">
        <v>1434</v>
      </c>
    </row>
    <row r="132" spans="2:12" x14ac:dyDescent="0.2">
      <c r="B132" t="s">
        <v>1113</v>
      </c>
      <c r="C132" t="s">
        <v>1114</v>
      </c>
      <c r="D132" t="s">
        <v>1303</v>
      </c>
      <c r="E132" t="s">
        <v>918</v>
      </c>
      <c r="F132" t="s">
        <v>1250</v>
      </c>
      <c r="I132" t="s">
        <v>1517</v>
      </c>
      <c r="J132" t="s">
        <v>1016</v>
      </c>
      <c r="K132" t="s">
        <v>1429</v>
      </c>
      <c r="L132" t="s">
        <v>1434</v>
      </c>
    </row>
    <row r="133" spans="2:12" x14ac:dyDescent="0.2">
      <c r="B133" t="s">
        <v>1115</v>
      </c>
      <c r="C133" t="s">
        <v>1058</v>
      </c>
      <c r="D133" t="s">
        <v>1303</v>
      </c>
      <c r="E133" t="s">
        <v>918</v>
      </c>
      <c r="F133" t="s">
        <v>1250</v>
      </c>
      <c r="I133" t="s">
        <v>1015</v>
      </c>
      <c r="J133" t="s">
        <v>1016</v>
      </c>
      <c r="K133" t="s">
        <v>1429</v>
      </c>
      <c r="L133" t="s">
        <v>1441</v>
      </c>
    </row>
    <row r="134" spans="2:12" x14ac:dyDescent="0.2">
      <c r="B134" t="s">
        <v>1116</v>
      </c>
      <c r="C134" t="s">
        <v>1117</v>
      </c>
      <c r="D134" t="s">
        <v>1303</v>
      </c>
      <c r="E134" t="s">
        <v>918</v>
      </c>
      <c r="F134" t="s">
        <v>1250</v>
      </c>
      <c r="I134" t="s">
        <v>1518</v>
      </c>
      <c r="J134" t="s">
        <v>1519</v>
      </c>
      <c r="K134" t="s">
        <v>1429</v>
      </c>
      <c r="L134" t="s">
        <v>1434</v>
      </c>
    </row>
    <row r="135" spans="2:12" x14ac:dyDescent="0.2">
      <c r="B135" t="s">
        <v>1118</v>
      </c>
      <c r="C135" t="s">
        <v>1119</v>
      </c>
      <c r="D135" t="s">
        <v>1304</v>
      </c>
      <c r="E135" t="s">
        <v>918</v>
      </c>
      <c r="F135" t="s">
        <v>1250</v>
      </c>
      <c r="I135" t="s">
        <v>1017</v>
      </c>
      <c r="J135" t="s">
        <v>1018</v>
      </c>
      <c r="K135" t="s">
        <v>1429</v>
      </c>
      <c r="L135" t="s">
        <v>1441</v>
      </c>
    </row>
    <row r="136" spans="2:12" x14ac:dyDescent="0.2">
      <c r="B136" t="s">
        <v>1120</v>
      </c>
      <c r="C136" t="s">
        <v>1121</v>
      </c>
      <c r="D136" t="s">
        <v>1303</v>
      </c>
      <c r="E136" t="s">
        <v>918</v>
      </c>
      <c r="F136" t="s">
        <v>1250</v>
      </c>
      <c r="I136" t="s">
        <v>1520</v>
      </c>
      <c r="J136" t="s">
        <v>1521</v>
      </c>
      <c r="K136" t="s">
        <v>1429</v>
      </c>
      <c r="L136" t="s">
        <v>1434</v>
      </c>
    </row>
    <row r="137" spans="2:12" x14ac:dyDescent="0.2">
      <c r="B137" t="s">
        <v>1122</v>
      </c>
      <c r="C137" t="s">
        <v>1016</v>
      </c>
      <c r="D137" t="s">
        <v>1303</v>
      </c>
      <c r="E137" t="s">
        <v>918</v>
      </c>
      <c r="F137" t="s">
        <v>1250</v>
      </c>
      <c r="I137" t="s">
        <v>1019</v>
      </c>
      <c r="J137" t="s">
        <v>1020</v>
      </c>
      <c r="K137" t="s">
        <v>1429</v>
      </c>
      <c r="L137" t="s">
        <v>1441</v>
      </c>
    </row>
    <row r="138" spans="2:12" x14ac:dyDescent="0.2">
      <c r="B138" t="s">
        <v>1123</v>
      </c>
      <c r="C138" t="s">
        <v>1124</v>
      </c>
      <c r="D138" t="s">
        <v>1303</v>
      </c>
      <c r="E138" t="s">
        <v>918</v>
      </c>
      <c r="F138" t="s">
        <v>1250</v>
      </c>
      <c r="I138" t="s">
        <v>1021</v>
      </c>
      <c r="J138" t="s">
        <v>1022</v>
      </c>
      <c r="K138" t="s">
        <v>1429</v>
      </c>
      <c r="L138" t="s">
        <v>1441</v>
      </c>
    </row>
    <row r="139" spans="2:12" x14ac:dyDescent="0.2">
      <c r="B139" t="s">
        <v>1125</v>
      </c>
      <c r="C139" t="s">
        <v>1126</v>
      </c>
      <c r="D139" t="s">
        <v>1303</v>
      </c>
      <c r="E139" t="s">
        <v>918</v>
      </c>
      <c r="F139" t="s">
        <v>1250</v>
      </c>
      <c r="I139" t="s">
        <v>1023</v>
      </c>
      <c r="J139" t="s">
        <v>1024</v>
      </c>
      <c r="K139" t="s">
        <v>1429</v>
      </c>
      <c r="L139" t="s">
        <v>1441</v>
      </c>
    </row>
    <row r="140" spans="2:12" x14ac:dyDescent="0.2">
      <c r="B140" t="s">
        <v>1127</v>
      </c>
      <c r="C140" t="s">
        <v>1128</v>
      </c>
      <c r="D140" t="s">
        <v>1303</v>
      </c>
      <c r="E140" t="s">
        <v>918</v>
      </c>
      <c r="F140" t="s">
        <v>1250</v>
      </c>
      <c r="I140" t="s">
        <v>1522</v>
      </c>
      <c r="J140" t="s">
        <v>1523</v>
      </c>
      <c r="K140" t="s">
        <v>1429</v>
      </c>
      <c r="L140" t="s">
        <v>1434</v>
      </c>
    </row>
    <row r="141" spans="2:12" x14ac:dyDescent="0.2">
      <c r="B141" t="s">
        <v>1129</v>
      </c>
      <c r="C141" t="s">
        <v>1130</v>
      </c>
      <c r="D141" t="s">
        <v>1303</v>
      </c>
      <c r="E141" t="s">
        <v>918</v>
      </c>
      <c r="F141" t="s">
        <v>1250</v>
      </c>
      <c r="I141" t="s">
        <v>1524</v>
      </c>
      <c r="J141" t="s">
        <v>1525</v>
      </c>
      <c r="K141" t="s">
        <v>1429</v>
      </c>
      <c r="L141" t="s">
        <v>1434</v>
      </c>
    </row>
    <row r="142" spans="2:12" x14ac:dyDescent="0.2">
      <c r="B142" t="s">
        <v>1131</v>
      </c>
      <c r="C142" t="s">
        <v>1132</v>
      </c>
      <c r="D142" t="s">
        <v>1303</v>
      </c>
      <c r="E142" t="s">
        <v>918</v>
      </c>
      <c r="F142" t="s">
        <v>1250</v>
      </c>
      <c r="I142" t="s">
        <v>1025</v>
      </c>
      <c r="J142" t="s">
        <v>1026</v>
      </c>
      <c r="K142" t="s">
        <v>1429</v>
      </c>
      <c r="L142" t="s">
        <v>1441</v>
      </c>
    </row>
    <row r="143" spans="2:12" x14ac:dyDescent="0.2">
      <c r="B143" t="s">
        <v>1133</v>
      </c>
      <c r="C143" t="s">
        <v>1134</v>
      </c>
      <c r="D143" t="s">
        <v>1305</v>
      </c>
      <c r="E143" t="s">
        <v>918</v>
      </c>
      <c r="F143" t="s">
        <v>1250</v>
      </c>
      <c r="I143" t="s">
        <v>1526</v>
      </c>
      <c r="J143" t="s">
        <v>1527</v>
      </c>
      <c r="K143" t="s">
        <v>1429</v>
      </c>
      <c r="L143" t="s">
        <v>1434</v>
      </c>
    </row>
    <row r="144" spans="2:12" x14ac:dyDescent="0.2">
      <c r="B144" t="s">
        <v>1135</v>
      </c>
      <c r="C144" t="s">
        <v>1136</v>
      </c>
      <c r="D144" t="s">
        <v>1306</v>
      </c>
      <c r="E144" t="s">
        <v>918</v>
      </c>
      <c r="F144" t="s">
        <v>1250</v>
      </c>
      <c r="I144" t="s">
        <v>1528</v>
      </c>
      <c r="J144" t="s">
        <v>1529</v>
      </c>
      <c r="K144" t="s">
        <v>1429</v>
      </c>
      <c r="L144" t="s">
        <v>1434</v>
      </c>
    </row>
    <row r="145" spans="2:12" x14ac:dyDescent="0.2">
      <c r="B145" t="s">
        <v>1137</v>
      </c>
      <c r="C145" t="s">
        <v>1138</v>
      </c>
      <c r="D145" t="s">
        <v>1307</v>
      </c>
      <c r="E145" t="s">
        <v>918</v>
      </c>
      <c r="F145" t="s">
        <v>1250</v>
      </c>
      <c r="I145" t="s">
        <v>1530</v>
      </c>
      <c r="J145" t="s">
        <v>1028</v>
      </c>
      <c r="K145" t="s">
        <v>1429</v>
      </c>
      <c r="L145" t="s">
        <v>1434</v>
      </c>
    </row>
    <row r="146" spans="2:12" x14ac:dyDescent="0.2">
      <c r="B146" t="s">
        <v>1139</v>
      </c>
      <c r="C146" t="s">
        <v>1140</v>
      </c>
      <c r="D146" t="s">
        <v>1308</v>
      </c>
      <c r="E146" t="s">
        <v>918</v>
      </c>
      <c r="F146" t="s">
        <v>1250</v>
      </c>
      <c r="I146" t="s">
        <v>1027</v>
      </c>
      <c r="J146" t="s">
        <v>1028</v>
      </c>
      <c r="K146" t="s">
        <v>1429</v>
      </c>
      <c r="L146" t="s">
        <v>1441</v>
      </c>
    </row>
    <row r="147" spans="2:12" x14ac:dyDescent="0.2">
      <c r="B147" t="s">
        <v>1141</v>
      </c>
      <c r="C147" t="s">
        <v>1142</v>
      </c>
      <c r="D147" t="s">
        <v>1309</v>
      </c>
      <c r="E147" t="s">
        <v>918</v>
      </c>
      <c r="F147" t="s">
        <v>1250</v>
      </c>
      <c r="I147" t="s">
        <v>1531</v>
      </c>
      <c r="J147" t="s">
        <v>1532</v>
      </c>
      <c r="K147" t="s">
        <v>1429</v>
      </c>
      <c r="L147" t="s">
        <v>1434</v>
      </c>
    </row>
    <row r="148" spans="2:12" x14ac:dyDescent="0.2">
      <c r="B148" t="s">
        <v>1143</v>
      </c>
      <c r="C148" t="s">
        <v>1144</v>
      </c>
      <c r="D148" t="s">
        <v>1310</v>
      </c>
      <c r="E148" t="s">
        <v>918</v>
      </c>
      <c r="F148" t="s">
        <v>1250</v>
      </c>
      <c r="I148" t="s">
        <v>1533</v>
      </c>
      <c r="J148" t="s">
        <v>1030</v>
      </c>
      <c r="K148" t="s">
        <v>1429</v>
      </c>
      <c r="L148" t="s">
        <v>1434</v>
      </c>
    </row>
    <row r="149" spans="2:12" x14ac:dyDescent="0.2">
      <c r="B149" t="s">
        <v>1145</v>
      </c>
      <c r="C149" t="s">
        <v>1146</v>
      </c>
      <c r="D149" t="s">
        <v>1310</v>
      </c>
      <c r="E149" t="s">
        <v>918</v>
      </c>
      <c r="F149" t="s">
        <v>1250</v>
      </c>
      <c r="I149" t="s">
        <v>1029</v>
      </c>
      <c r="J149" t="s">
        <v>1030</v>
      </c>
      <c r="K149" t="s">
        <v>1429</v>
      </c>
      <c r="L149" t="s">
        <v>1441</v>
      </c>
    </row>
    <row r="150" spans="2:12" x14ac:dyDescent="0.2">
      <c r="B150" t="s">
        <v>1147</v>
      </c>
      <c r="C150" t="s">
        <v>1148</v>
      </c>
      <c r="D150" t="s">
        <v>1310</v>
      </c>
      <c r="E150" t="s">
        <v>918</v>
      </c>
      <c r="F150" t="s">
        <v>1250</v>
      </c>
      <c r="I150" t="s">
        <v>1534</v>
      </c>
      <c r="J150" t="s">
        <v>1535</v>
      </c>
      <c r="K150" t="s">
        <v>1429</v>
      </c>
      <c r="L150" t="s">
        <v>1434</v>
      </c>
    </row>
    <row r="151" spans="2:12" x14ac:dyDescent="0.2">
      <c r="B151" t="s">
        <v>1149</v>
      </c>
      <c r="C151" t="s">
        <v>1150</v>
      </c>
      <c r="D151" t="s">
        <v>1310</v>
      </c>
      <c r="E151" t="s">
        <v>918</v>
      </c>
      <c r="F151" t="s">
        <v>1250</v>
      </c>
      <c r="I151" t="s">
        <v>1031</v>
      </c>
      <c r="J151" t="s">
        <v>1032</v>
      </c>
      <c r="K151" t="s">
        <v>1429</v>
      </c>
      <c r="L151" t="s">
        <v>1441</v>
      </c>
    </row>
    <row r="152" spans="2:12" x14ac:dyDescent="0.2">
      <c r="B152" t="s">
        <v>1151</v>
      </c>
      <c r="C152" t="s">
        <v>1152</v>
      </c>
      <c r="D152" t="s">
        <v>1310</v>
      </c>
      <c r="E152" t="s">
        <v>918</v>
      </c>
      <c r="F152" t="s">
        <v>1250</v>
      </c>
      <c r="I152" t="s">
        <v>1033</v>
      </c>
      <c r="J152" t="s">
        <v>1034</v>
      </c>
      <c r="K152" t="s">
        <v>1429</v>
      </c>
      <c r="L152" t="s">
        <v>1441</v>
      </c>
    </row>
    <row r="153" spans="2:12" x14ac:dyDescent="0.2">
      <c r="B153" t="s">
        <v>1153</v>
      </c>
      <c r="C153" t="s">
        <v>1154</v>
      </c>
      <c r="D153" t="s">
        <v>1311</v>
      </c>
      <c r="E153" t="s">
        <v>918</v>
      </c>
      <c r="F153" t="s">
        <v>1250</v>
      </c>
      <c r="I153" t="s">
        <v>1536</v>
      </c>
      <c r="J153" t="s">
        <v>1036</v>
      </c>
      <c r="K153" t="s">
        <v>1429</v>
      </c>
      <c r="L153" t="s">
        <v>1434</v>
      </c>
    </row>
    <row r="154" spans="2:12" x14ac:dyDescent="0.2">
      <c r="B154" t="s">
        <v>1155</v>
      </c>
      <c r="C154" t="s">
        <v>1156</v>
      </c>
      <c r="D154" t="s">
        <v>1311</v>
      </c>
      <c r="E154" t="s">
        <v>918</v>
      </c>
      <c r="F154" t="s">
        <v>1250</v>
      </c>
      <c r="I154" t="s">
        <v>1035</v>
      </c>
      <c r="J154" t="s">
        <v>1036</v>
      </c>
      <c r="K154" t="s">
        <v>1429</v>
      </c>
      <c r="L154" t="s">
        <v>1441</v>
      </c>
    </row>
    <row r="155" spans="2:12" x14ac:dyDescent="0.2">
      <c r="B155" t="s">
        <v>1157</v>
      </c>
      <c r="C155" t="s">
        <v>1158</v>
      </c>
      <c r="D155" t="s">
        <v>1311</v>
      </c>
      <c r="E155" t="s">
        <v>918</v>
      </c>
      <c r="F155" t="s">
        <v>1250</v>
      </c>
      <c r="I155" t="s">
        <v>1537</v>
      </c>
      <c r="J155" t="s">
        <v>1038</v>
      </c>
      <c r="K155" t="s">
        <v>1429</v>
      </c>
      <c r="L155" t="s">
        <v>1434</v>
      </c>
    </row>
    <row r="156" spans="2:12" x14ac:dyDescent="0.2">
      <c r="B156" t="s">
        <v>1159</v>
      </c>
      <c r="C156" t="s">
        <v>1160</v>
      </c>
      <c r="D156" t="s">
        <v>1312</v>
      </c>
      <c r="E156" t="s">
        <v>918</v>
      </c>
      <c r="F156" t="s">
        <v>1250</v>
      </c>
      <c r="I156" t="s">
        <v>1037</v>
      </c>
      <c r="J156" t="s">
        <v>1038</v>
      </c>
      <c r="K156" t="s">
        <v>1429</v>
      </c>
      <c r="L156" t="s">
        <v>1441</v>
      </c>
    </row>
    <row r="157" spans="2:12" x14ac:dyDescent="0.2">
      <c r="B157" t="s">
        <v>1161</v>
      </c>
      <c r="C157" t="s">
        <v>1162</v>
      </c>
      <c r="D157" t="s">
        <v>1312</v>
      </c>
      <c r="E157" t="s">
        <v>918</v>
      </c>
      <c r="F157" t="s">
        <v>1250</v>
      </c>
      <c r="I157" t="s">
        <v>1730</v>
      </c>
      <c r="J157" t="s">
        <v>1731</v>
      </c>
      <c r="K157" t="s">
        <v>1429</v>
      </c>
      <c r="L157" t="s">
        <v>1441</v>
      </c>
    </row>
    <row r="158" spans="2:12" x14ac:dyDescent="0.2">
      <c r="B158" t="s">
        <v>1163</v>
      </c>
      <c r="C158" t="s">
        <v>1164</v>
      </c>
      <c r="D158" t="s">
        <v>1313</v>
      </c>
      <c r="E158" t="s">
        <v>918</v>
      </c>
      <c r="F158" t="s">
        <v>1250</v>
      </c>
      <c r="I158" t="s">
        <v>1538</v>
      </c>
      <c r="J158" t="s">
        <v>1539</v>
      </c>
      <c r="K158" t="s">
        <v>1429</v>
      </c>
      <c r="L158" t="s">
        <v>1434</v>
      </c>
    </row>
    <row r="159" spans="2:12" x14ac:dyDescent="0.2">
      <c r="B159" t="s">
        <v>1165</v>
      </c>
      <c r="C159" t="s">
        <v>1166</v>
      </c>
      <c r="D159" t="s">
        <v>1314</v>
      </c>
      <c r="E159" t="s">
        <v>918</v>
      </c>
      <c r="F159" t="s">
        <v>1250</v>
      </c>
      <c r="I159" t="s">
        <v>1039</v>
      </c>
      <c r="J159" t="s">
        <v>1040</v>
      </c>
      <c r="K159" t="s">
        <v>1429</v>
      </c>
      <c r="L159" t="s">
        <v>1441</v>
      </c>
    </row>
    <row r="160" spans="2:12" x14ac:dyDescent="0.2">
      <c r="B160" t="s">
        <v>1167</v>
      </c>
      <c r="C160" t="s">
        <v>1168</v>
      </c>
      <c r="D160" t="s">
        <v>1314</v>
      </c>
      <c r="E160" t="s">
        <v>918</v>
      </c>
      <c r="F160" t="s">
        <v>1250</v>
      </c>
      <c r="I160" t="s">
        <v>1540</v>
      </c>
      <c r="J160" t="s">
        <v>1042</v>
      </c>
      <c r="K160" t="s">
        <v>1429</v>
      </c>
      <c r="L160" t="s">
        <v>1434</v>
      </c>
    </row>
    <row r="161" spans="2:12" x14ac:dyDescent="0.2">
      <c r="B161" t="s">
        <v>1169</v>
      </c>
      <c r="C161" t="s">
        <v>1170</v>
      </c>
      <c r="D161" t="s">
        <v>1314</v>
      </c>
      <c r="E161" t="s">
        <v>918</v>
      </c>
      <c r="F161" t="s">
        <v>1250</v>
      </c>
      <c r="I161" t="s">
        <v>1041</v>
      </c>
      <c r="J161" t="s">
        <v>1042</v>
      </c>
      <c r="K161" t="s">
        <v>1429</v>
      </c>
      <c r="L161" t="s">
        <v>1441</v>
      </c>
    </row>
    <row r="162" spans="2:12" x14ac:dyDescent="0.2">
      <c r="B162" t="s">
        <v>1171</v>
      </c>
      <c r="C162" t="s">
        <v>1172</v>
      </c>
      <c r="D162" t="s">
        <v>1314</v>
      </c>
      <c r="E162" t="s">
        <v>918</v>
      </c>
      <c r="F162" t="s">
        <v>1250</v>
      </c>
      <c r="I162" t="s">
        <v>1541</v>
      </c>
      <c r="J162" t="s">
        <v>1542</v>
      </c>
      <c r="K162" t="s">
        <v>1429</v>
      </c>
      <c r="L162" t="s">
        <v>1434</v>
      </c>
    </row>
    <row r="163" spans="2:12" x14ac:dyDescent="0.2">
      <c r="B163" t="s">
        <v>1173</v>
      </c>
      <c r="C163" t="s">
        <v>1174</v>
      </c>
      <c r="D163" t="s">
        <v>1314</v>
      </c>
      <c r="E163" t="s">
        <v>918</v>
      </c>
      <c r="F163" t="s">
        <v>1250</v>
      </c>
      <c r="I163" t="s">
        <v>1043</v>
      </c>
      <c r="J163" t="s">
        <v>1044</v>
      </c>
      <c r="K163" t="s">
        <v>1429</v>
      </c>
      <c r="L163" t="s">
        <v>1441</v>
      </c>
    </row>
    <row r="164" spans="2:12" x14ac:dyDescent="0.2">
      <c r="B164" t="s">
        <v>1175</v>
      </c>
      <c r="C164" t="s">
        <v>1176</v>
      </c>
      <c r="D164" t="s">
        <v>1315</v>
      </c>
      <c r="E164" t="s">
        <v>918</v>
      </c>
      <c r="F164" t="s">
        <v>1250</v>
      </c>
      <c r="I164" t="s">
        <v>1045</v>
      </c>
      <c r="J164" t="s">
        <v>1046</v>
      </c>
      <c r="K164" t="s">
        <v>1429</v>
      </c>
      <c r="L164" t="s">
        <v>1441</v>
      </c>
    </row>
    <row r="165" spans="2:12" x14ac:dyDescent="0.2">
      <c r="B165" t="s">
        <v>1177</v>
      </c>
      <c r="C165" t="s">
        <v>1108</v>
      </c>
      <c r="D165" t="s">
        <v>1316</v>
      </c>
      <c r="E165" t="s">
        <v>918</v>
      </c>
      <c r="F165" t="s">
        <v>1251</v>
      </c>
      <c r="I165" t="s">
        <v>1543</v>
      </c>
      <c r="J165" t="s">
        <v>1048</v>
      </c>
      <c r="K165" t="s">
        <v>1429</v>
      </c>
      <c r="L165" t="s">
        <v>1434</v>
      </c>
    </row>
    <row r="166" spans="2:12" x14ac:dyDescent="0.2">
      <c r="B166" t="s">
        <v>1178</v>
      </c>
      <c r="C166" t="s">
        <v>1179</v>
      </c>
      <c r="D166" t="s">
        <v>1317</v>
      </c>
      <c r="E166" t="s">
        <v>918</v>
      </c>
      <c r="F166" t="s">
        <v>1251</v>
      </c>
      <c r="I166" t="s">
        <v>1047</v>
      </c>
      <c r="J166" t="s">
        <v>1048</v>
      </c>
      <c r="K166" t="s">
        <v>1429</v>
      </c>
      <c r="L166" t="s">
        <v>1441</v>
      </c>
    </row>
    <row r="167" spans="2:12" x14ac:dyDescent="0.2">
      <c r="B167" t="s">
        <v>1180</v>
      </c>
      <c r="C167" t="s">
        <v>1166</v>
      </c>
      <c r="D167" t="s">
        <v>1317</v>
      </c>
      <c r="E167" t="s">
        <v>918</v>
      </c>
      <c r="F167" t="s">
        <v>1251</v>
      </c>
      <c r="I167" t="s">
        <v>1544</v>
      </c>
      <c r="J167" t="s">
        <v>984</v>
      </c>
      <c r="K167" t="s">
        <v>1429</v>
      </c>
      <c r="L167" t="s">
        <v>1434</v>
      </c>
    </row>
    <row r="168" spans="2:12" x14ac:dyDescent="0.2">
      <c r="B168" t="s">
        <v>1181</v>
      </c>
      <c r="C168" t="s">
        <v>1110</v>
      </c>
      <c r="D168" t="s">
        <v>1317</v>
      </c>
      <c r="E168" t="s">
        <v>918</v>
      </c>
      <c r="F168" t="s">
        <v>1251</v>
      </c>
      <c r="I168" t="s">
        <v>1545</v>
      </c>
      <c r="J168" t="s">
        <v>1546</v>
      </c>
      <c r="K168" t="s">
        <v>1429</v>
      </c>
      <c r="L168" t="s">
        <v>1434</v>
      </c>
    </row>
    <row r="169" spans="2:12" x14ac:dyDescent="0.2">
      <c r="B169" t="s">
        <v>1182</v>
      </c>
      <c r="C169" t="s">
        <v>1054</v>
      </c>
      <c r="D169" t="s">
        <v>1317</v>
      </c>
      <c r="E169" t="s">
        <v>918</v>
      </c>
      <c r="F169" t="s">
        <v>1251</v>
      </c>
      <c r="I169" t="s">
        <v>1049</v>
      </c>
      <c r="J169" t="s">
        <v>1050</v>
      </c>
      <c r="K169" t="s">
        <v>1429</v>
      </c>
      <c r="L169" t="s">
        <v>1441</v>
      </c>
    </row>
    <row r="170" spans="2:12" x14ac:dyDescent="0.2">
      <c r="B170" t="s">
        <v>1183</v>
      </c>
      <c r="C170" t="s">
        <v>1056</v>
      </c>
      <c r="D170" t="s">
        <v>1317</v>
      </c>
      <c r="E170" t="s">
        <v>918</v>
      </c>
      <c r="F170" t="s">
        <v>1251</v>
      </c>
      <c r="I170" t="s">
        <v>1547</v>
      </c>
      <c r="J170" t="s">
        <v>1548</v>
      </c>
      <c r="K170" t="s">
        <v>1429</v>
      </c>
      <c r="L170" t="s">
        <v>1434</v>
      </c>
    </row>
    <row r="171" spans="2:12" x14ac:dyDescent="0.2">
      <c r="B171" t="s">
        <v>1184</v>
      </c>
      <c r="C171" t="s">
        <v>1114</v>
      </c>
      <c r="D171" t="s">
        <v>1317</v>
      </c>
      <c r="E171" t="s">
        <v>918</v>
      </c>
      <c r="F171" t="s">
        <v>1251</v>
      </c>
      <c r="I171" t="s">
        <v>1549</v>
      </c>
      <c r="J171" t="s">
        <v>1052</v>
      </c>
      <c r="K171" t="s">
        <v>1429</v>
      </c>
      <c r="L171" t="s">
        <v>1434</v>
      </c>
    </row>
    <row r="172" spans="2:12" x14ac:dyDescent="0.2">
      <c r="B172" t="s">
        <v>1185</v>
      </c>
      <c r="C172" t="s">
        <v>1058</v>
      </c>
      <c r="D172" t="s">
        <v>1317</v>
      </c>
      <c r="E172" t="s">
        <v>918</v>
      </c>
      <c r="F172" t="s">
        <v>1251</v>
      </c>
      <c r="I172" t="s">
        <v>1550</v>
      </c>
      <c r="J172" t="s">
        <v>1052</v>
      </c>
      <c r="K172" t="s">
        <v>1429</v>
      </c>
      <c r="L172" t="s">
        <v>1434</v>
      </c>
    </row>
    <row r="173" spans="2:12" x14ac:dyDescent="0.2">
      <c r="B173" t="s">
        <v>1186</v>
      </c>
      <c r="C173" t="s">
        <v>1187</v>
      </c>
      <c r="D173" t="s">
        <v>1317</v>
      </c>
      <c r="E173" t="s">
        <v>918</v>
      </c>
      <c r="F173" t="s">
        <v>1251</v>
      </c>
      <c r="I173" t="s">
        <v>1051</v>
      </c>
      <c r="J173" t="s">
        <v>1052</v>
      </c>
      <c r="K173" t="s">
        <v>1429</v>
      </c>
      <c r="L173" t="s">
        <v>1441</v>
      </c>
    </row>
    <row r="174" spans="2:12" x14ac:dyDescent="0.2">
      <c r="B174" t="s">
        <v>1188</v>
      </c>
      <c r="C174" t="s">
        <v>1117</v>
      </c>
      <c r="D174" t="s">
        <v>1317</v>
      </c>
      <c r="E174" t="s">
        <v>918</v>
      </c>
      <c r="F174" t="s">
        <v>1251</v>
      </c>
      <c r="I174" t="s">
        <v>1551</v>
      </c>
      <c r="J174" t="s">
        <v>1552</v>
      </c>
      <c r="K174" t="s">
        <v>1429</v>
      </c>
      <c r="L174" t="s">
        <v>1434</v>
      </c>
    </row>
    <row r="175" spans="2:12" x14ac:dyDescent="0.2">
      <c r="B175" t="s">
        <v>1189</v>
      </c>
      <c r="C175" t="s">
        <v>1119</v>
      </c>
      <c r="D175" t="s">
        <v>1318</v>
      </c>
      <c r="E175" t="s">
        <v>919</v>
      </c>
      <c r="F175" t="s">
        <v>1251</v>
      </c>
      <c r="I175" t="s">
        <v>1553</v>
      </c>
      <c r="J175" t="s">
        <v>1552</v>
      </c>
      <c r="K175" t="s">
        <v>1429</v>
      </c>
      <c r="L175" t="s">
        <v>1434</v>
      </c>
    </row>
    <row r="176" spans="2:12" x14ac:dyDescent="0.2">
      <c r="B176" t="s">
        <v>1190</v>
      </c>
      <c r="C176" t="s">
        <v>1191</v>
      </c>
      <c r="D176" t="s">
        <v>1317</v>
      </c>
      <c r="E176" t="s">
        <v>918</v>
      </c>
      <c r="F176" t="s">
        <v>1251</v>
      </c>
      <c r="I176" t="s">
        <v>1554</v>
      </c>
      <c r="J176" t="s">
        <v>1054</v>
      </c>
      <c r="K176" t="s">
        <v>1429</v>
      </c>
      <c r="L176" t="s">
        <v>1434</v>
      </c>
    </row>
    <row r="177" spans="2:12" x14ac:dyDescent="0.2">
      <c r="B177" t="s">
        <v>1192</v>
      </c>
      <c r="C177" t="s">
        <v>1121</v>
      </c>
      <c r="D177" t="s">
        <v>1317</v>
      </c>
      <c r="E177" t="s">
        <v>918</v>
      </c>
      <c r="F177" t="s">
        <v>1251</v>
      </c>
      <c r="I177" t="s">
        <v>1053</v>
      </c>
      <c r="J177" t="s">
        <v>1054</v>
      </c>
      <c r="K177" t="s">
        <v>1429</v>
      </c>
      <c r="L177" t="s">
        <v>1441</v>
      </c>
    </row>
    <row r="178" spans="2:12" x14ac:dyDescent="0.2">
      <c r="B178" t="s">
        <v>1193</v>
      </c>
      <c r="C178" t="s">
        <v>1016</v>
      </c>
      <c r="D178" t="s">
        <v>1317</v>
      </c>
      <c r="E178" t="s">
        <v>918</v>
      </c>
      <c r="F178" t="s">
        <v>1251</v>
      </c>
      <c r="I178" t="s">
        <v>1556</v>
      </c>
      <c r="J178" t="s">
        <v>1056</v>
      </c>
      <c r="K178" t="s">
        <v>1429</v>
      </c>
      <c r="L178" t="s">
        <v>1434</v>
      </c>
    </row>
    <row r="179" spans="2:12" x14ac:dyDescent="0.2">
      <c r="B179" t="s">
        <v>1194</v>
      </c>
      <c r="C179" t="s">
        <v>1124</v>
      </c>
      <c r="D179" t="s">
        <v>1317</v>
      </c>
      <c r="E179" t="s">
        <v>918</v>
      </c>
      <c r="F179" t="s">
        <v>1251</v>
      </c>
      <c r="I179" t="s">
        <v>1055</v>
      </c>
      <c r="J179" t="s">
        <v>1056</v>
      </c>
      <c r="K179" t="s">
        <v>1429</v>
      </c>
      <c r="L179" t="s">
        <v>1441</v>
      </c>
    </row>
    <row r="180" spans="2:12" x14ac:dyDescent="0.2">
      <c r="B180" t="s">
        <v>1195</v>
      </c>
      <c r="C180" t="s">
        <v>1126</v>
      </c>
      <c r="D180" t="s">
        <v>1317</v>
      </c>
      <c r="E180" t="s">
        <v>918</v>
      </c>
      <c r="F180" t="s">
        <v>1251</v>
      </c>
      <c r="I180" t="s">
        <v>1557</v>
      </c>
      <c r="J180" t="s">
        <v>1058</v>
      </c>
      <c r="K180" t="s">
        <v>1429</v>
      </c>
      <c r="L180" t="s">
        <v>1434</v>
      </c>
    </row>
    <row r="181" spans="2:12" x14ac:dyDescent="0.2">
      <c r="B181" t="s">
        <v>1196</v>
      </c>
      <c r="C181" t="s">
        <v>1128</v>
      </c>
      <c r="D181" t="s">
        <v>1317</v>
      </c>
      <c r="E181" t="s">
        <v>918</v>
      </c>
      <c r="F181" t="s">
        <v>1251</v>
      </c>
      <c r="I181" t="s">
        <v>1057</v>
      </c>
      <c r="J181" t="s">
        <v>1058</v>
      </c>
      <c r="K181" t="s">
        <v>1429</v>
      </c>
      <c r="L181" t="s">
        <v>1441</v>
      </c>
    </row>
    <row r="182" spans="2:12" x14ac:dyDescent="0.2">
      <c r="B182" t="s">
        <v>1197</v>
      </c>
      <c r="C182" t="s">
        <v>1130</v>
      </c>
      <c r="D182" t="s">
        <v>1317</v>
      </c>
      <c r="E182" t="s">
        <v>918</v>
      </c>
      <c r="F182" t="s">
        <v>1251</v>
      </c>
      <c r="I182" t="s">
        <v>1059</v>
      </c>
      <c r="J182" t="s">
        <v>1060</v>
      </c>
      <c r="K182" t="s">
        <v>1429</v>
      </c>
      <c r="L182" t="s">
        <v>1441</v>
      </c>
    </row>
    <row r="183" spans="2:12" x14ac:dyDescent="0.2">
      <c r="B183" t="s">
        <v>1198</v>
      </c>
      <c r="C183" t="s">
        <v>1142</v>
      </c>
      <c r="D183" t="s">
        <v>1319</v>
      </c>
      <c r="E183" t="s">
        <v>918</v>
      </c>
      <c r="F183" t="s">
        <v>1251</v>
      </c>
      <c r="I183" t="s">
        <v>2156</v>
      </c>
      <c r="J183" t="s">
        <v>2157</v>
      </c>
      <c r="K183" t="s">
        <v>1429</v>
      </c>
      <c r="L183" t="s">
        <v>1434</v>
      </c>
    </row>
    <row r="184" spans="2:12" x14ac:dyDescent="0.2">
      <c r="B184" t="s">
        <v>1199</v>
      </c>
      <c r="C184" t="s">
        <v>1200</v>
      </c>
      <c r="D184" t="s">
        <v>1319</v>
      </c>
      <c r="E184" t="s">
        <v>918</v>
      </c>
      <c r="F184" t="s">
        <v>1251</v>
      </c>
      <c r="I184" t="s">
        <v>1063</v>
      </c>
      <c r="J184" t="s">
        <v>1064</v>
      </c>
      <c r="K184" t="s">
        <v>1429</v>
      </c>
      <c r="L184" t="s">
        <v>1441</v>
      </c>
    </row>
    <row r="185" spans="2:12" x14ac:dyDescent="0.2">
      <c r="B185" t="s">
        <v>1201</v>
      </c>
      <c r="C185" t="s">
        <v>1146</v>
      </c>
      <c r="D185" t="s">
        <v>1320</v>
      </c>
      <c r="E185" t="s">
        <v>918</v>
      </c>
      <c r="F185" t="s">
        <v>1251</v>
      </c>
      <c r="I185" t="s">
        <v>1065</v>
      </c>
      <c r="J185" t="s">
        <v>1066</v>
      </c>
      <c r="K185" t="s">
        <v>1429</v>
      </c>
      <c r="L185" t="s">
        <v>1441</v>
      </c>
    </row>
    <row r="186" spans="2:12" x14ac:dyDescent="0.2">
      <c r="B186" t="s">
        <v>1202</v>
      </c>
      <c r="C186" t="s">
        <v>1148</v>
      </c>
      <c r="D186" t="s">
        <v>1320</v>
      </c>
      <c r="E186" t="s">
        <v>918</v>
      </c>
      <c r="F186" t="s">
        <v>1251</v>
      </c>
      <c r="I186" t="s">
        <v>1067</v>
      </c>
      <c r="J186" t="s">
        <v>1068</v>
      </c>
      <c r="K186" t="s">
        <v>1429</v>
      </c>
      <c r="L186" t="s">
        <v>1441</v>
      </c>
    </row>
    <row r="187" spans="2:12" x14ac:dyDescent="0.2">
      <c r="B187" t="s">
        <v>1203</v>
      </c>
      <c r="C187" t="s">
        <v>1204</v>
      </c>
      <c r="D187" t="s">
        <v>1320</v>
      </c>
      <c r="E187" t="s">
        <v>918</v>
      </c>
      <c r="F187" t="s">
        <v>1251</v>
      </c>
      <c r="I187" t="s">
        <v>2158</v>
      </c>
      <c r="J187" t="s">
        <v>2159</v>
      </c>
      <c r="K187" t="s">
        <v>1429</v>
      </c>
      <c r="L187" t="s">
        <v>1434</v>
      </c>
    </row>
    <row r="188" spans="2:12" x14ac:dyDescent="0.2">
      <c r="B188" t="s">
        <v>1205</v>
      </c>
      <c r="C188" t="s">
        <v>1206</v>
      </c>
      <c r="D188" t="s">
        <v>1320</v>
      </c>
      <c r="E188" t="s">
        <v>918</v>
      </c>
      <c r="F188" t="s">
        <v>1251</v>
      </c>
      <c r="I188" t="s">
        <v>1071</v>
      </c>
      <c r="J188" t="s">
        <v>1072</v>
      </c>
      <c r="K188" t="s">
        <v>1429</v>
      </c>
      <c r="L188" t="s">
        <v>1441</v>
      </c>
    </row>
    <row r="189" spans="2:12" x14ac:dyDescent="0.2">
      <c r="B189" t="s">
        <v>1207</v>
      </c>
      <c r="C189" t="s">
        <v>1208</v>
      </c>
      <c r="D189" t="s">
        <v>1320</v>
      </c>
      <c r="E189" t="s">
        <v>918</v>
      </c>
      <c r="F189" t="s">
        <v>1251</v>
      </c>
      <c r="I189" t="s">
        <v>1073</v>
      </c>
      <c r="J189" t="s">
        <v>1074</v>
      </c>
      <c r="K189" t="s">
        <v>1429</v>
      </c>
      <c r="L189" t="s">
        <v>1441</v>
      </c>
    </row>
    <row r="190" spans="2:12" x14ac:dyDescent="0.2">
      <c r="B190" t="s">
        <v>1209</v>
      </c>
      <c r="C190" t="s">
        <v>1210</v>
      </c>
      <c r="D190" t="s">
        <v>1320</v>
      </c>
      <c r="E190" t="s">
        <v>918</v>
      </c>
      <c r="F190" t="s">
        <v>1251</v>
      </c>
      <c r="I190" t="s">
        <v>1558</v>
      </c>
      <c r="J190" t="s">
        <v>1559</v>
      </c>
      <c r="K190" t="s">
        <v>1429</v>
      </c>
      <c r="L190" t="s">
        <v>1434</v>
      </c>
    </row>
    <row r="191" spans="2:12" x14ac:dyDescent="0.2">
      <c r="B191" t="s">
        <v>1211</v>
      </c>
      <c r="C191" t="s">
        <v>1212</v>
      </c>
      <c r="D191" t="s">
        <v>1320</v>
      </c>
      <c r="E191" t="s">
        <v>918</v>
      </c>
      <c r="F191" t="s">
        <v>1251</v>
      </c>
      <c r="I191" t="s">
        <v>1560</v>
      </c>
      <c r="J191" t="s">
        <v>1561</v>
      </c>
      <c r="K191" t="s">
        <v>1429</v>
      </c>
      <c r="L191" t="s">
        <v>1434</v>
      </c>
    </row>
    <row r="192" spans="2:12" x14ac:dyDescent="0.2">
      <c r="B192" t="s">
        <v>1213</v>
      </c>
      <c r="C192" t="s">
        <v>1166</v>
      </c>
      <c r="D192" t="s">
        <v>1321</v>
      </c>
      <c r="E192" t="s">
        <v>919</v>
      </c>
      <c r="F192" t="s">
        <v>1251</v>
      </c>
      <c r="I192" t="s">
        <v>1562</v>
      </c>
      <c r="J192" t="s">
        <v>1076</v>
      </c>
      <c r="K192" t="s">
        <v>1429</v>
      </c>
      <c r="L192" t="s">
        <v>1434</v>
      </c>
    </row>
    <row r="193" spans="2:12" x14ac:dyDescent="0.2">
      <c r="B193" t="s">
        <v>1214</v>
      </c>
      <c r="C193" t="s">
        <v>1215</v>
      </c>
      <c r="D193" t="s">
        <v>1321</v>
      </c>
      <c r="E193" t="s">
        <v>919</v>
      </c>
      <c r="F193" t="s">
        <v>1251</v>
      </c>
      <c r="I193" t="s">
        <v>1075</v>
      </c>
      <c r="J193" t="s">
        <v>1076</v>
      </c>
      <c r="K193" t="s">
        <v>1429</v>
      </c>
      <c r="L193" t="s">
        <v>1441</v>
      </c>
    </row>
    <row r="194" spans="2:12" x14ac:dyDescent="0.2">
      <c r="B194" t="s">
        <v>1216</v>
      </c>
      <c r="C194" t="s">
        <v>1217</v>
      </c>
      <c r="D194" t="s">
        <v>1321</v>
      </c>
      <c r="E194" t="s">
        <v>919</v>
      </c>
      <c r="F194" t="s">
        <v>1251</v>
      </c>
      <c r="I194" t="s">
        <v>1563</v>
      </c>
      <c r="J194" t="s">
        <v>1564</v>
      </c>
      <c r="K194" t="s">
        <v>1429</v>
      </c>
      <c r="L194" t="s">
        <v>1430</v>
      </c>
    </row>
    <row r="195" spans="2:12" x14ac:dyDescent="0.2">
      <c r="B195" t="s">
        <v>1218</v>
      </c>
      <c r="C195" t="s">
        <v>1219</v>
      </c>
      <c r="D195" t="s">
        <v>1322</v>
      </c>
      <c r="E195" t="s">
        <v>918</v>
      </c>
      <c r="F195" t="s">
        <v>1252</v>
      </c>
      <c r="I195" t="s">
        <v>1565</v>
      </c>
      <c r="J195" t="s">
        <v>1566</v>
      </c>
      <c r="K195" t="s">
        <v>1429</v>
      </c>
      <c r="L195" t="s">
        <v>1434</v>
      </c>
    </row>
    <row r="196" spans="2:12" x14ac:dyDescent="0.2">
      <c r="B196" t="s">
        <v>1220</v>
      </c>
      <c r="C196" t="s">
        <v>1166</v>
      </c>
      <c r="D196" t="s">
        <v>1322</v>
      </c>
      <c r="E196" t="s">
        <v>918</v>
      </c>
      <c r="F196" t="s">
        <v>1252</v>
      </c>
      <c r="I196" t="s">
        <v>1567</v>
      </c>
      <c r="J196" t="s">
        <v>1568</v>
      </c>
      <c r="K196" t="s">
        <v>1429</v>
      </c>
      <c r="L196" t="s">
        <v>1434</v>
      </c>
    </row>
    <row r="197" spans="2:12" x14ac:dyDescent="0.2">
      <c r="B197" t="s">
        <v>1221</v>
      </c>
      <c r="C197" t="s">
        <v>1222</v>
      </c>
      <c r="D197" t="s">
        <v>1322</v>
      </c>
      <c r="E197" t="s">
        <v>918</v>
      </c>
      <c r="F197" t="s">
        <v>1252</v>
      </c>
      <c r="I197" t="s">
        <v>1569</v>
      </c>
      <c r="J197" t="s">
        <v>1568</v>
      </c>
      <c r="K197" t="s">
        <v>1429</v>
      </c>
      <c r="L197" t="s">
        <v>1434</v>
      </c>
    </row>
    <row r="198" spans="2:12" x14ac:dyDescent="0.2">
      <c r="B198" t="s">
        <v>1223</v>
      </c>
      <c r="C198" t="s">
        <v>1224</v>
      </c>
      <c r="D198" t="s">
        <v>1323</v>
      </c>
      <c r="E198" t="s">
        <v>919</v>
      </c>
      <c r="F198" t="s">
        <v>1252</v>
      </c>
      <c r="I198" t="s">
        <v>1077</v>
      </c>
      <c r="J198" t="s">
        <v>1078</v>
      </c>
      <c r="K198" t="s">
        <v>1429</v>
      </c>
      <c r="L198" t="s">
        <v>1441</v>
      </c>
    </row>
    <row r="199" spans="2:12" x14ac:dyDescent="0.2">
      <c r="B199" t="s">
        <v>1225</v>
      </c>
      <c r="C199" t="s">
        <v>1226</v>
      </c>
      <c r="D199" t="s">
        <v>1322</v>
      </c>
      <c r="E199" t="s">
        <v>918</v>
      </c>
      <c r="F199" t="s">
        <v>1252</v>
      </c>
      <c r="I199" t="s">
        <v>1570</v>
      </c>
      <c r="J199" t="s">
        <v>1571</v>
      </c>
      <c r="K199" t="s">
        <v>1429</v>
      </c>
      <c r="L199" t="s">
        <v>1434</v>
      </c>
    </row>
    <row r="200" spans="2:12" x14ac:dyDescent="0.2">
      <c r="B200" t="s">
        <v>1227</v>
      </c>
      <c r="C200" t="s">
        <v>1228</v>
      </c>
      <c r="D200" t="s">
        <v>1324</v>
      </c>
      <c r="E200" t="s">
        <v>918</v>
      </c>
      <c r="F200" t="s">
        <v>1252</v>
      </c>
      <c r="I200" t="s">
        <v>1572</v>
      </c>
      <c r="J200" t="s">
        <v>1080</v>
      </c>
      <c r="K200" t="s">
        <v>1429</v>
      </c>
      <c r="L200" t="s">
        <v>1434</v>
      </c>
    </row>
    <row r="201" spans="2:12" x14ac:dyDescent="0.2">
      <c r="B201" t="s">
        <v>1229</v>
      </c>
      <c r="C201" t="s">
        <v>1230</v>
      </c>
      <c r="D201" t="s">
        <v>1324</v>
      </c>
      <c r="E201" t="s">
        <v>918</v>
      </c>
      <c r="F201" t="s">
        <v>1252</v>
      </c>
      <c r="I201" t="s">
        <v>1079</v>
      </c>
      <c r="J201" t="s">
        <v>1080</v>
      </c>
      <c r="K201" t="s">
        <v>1429</v>
      </c>
      <c r="L201" t="s">
        <v>1441</v>
      </c>
    </row>
    <row r="202" spans="2:12" x14ac:dyDescent="0.2">
      <c r="B202" t="s">
        <v>1231</v>
      </c>
      <c r="C202" t="s">
        <v>1106</v>
      </c>
      <c r="D202" t="s">
        <v>1325</v>
      </c>
      <c r="E202" t="s">
        <v>918</v>
      </c>
      <c r="F202" t="s">
        <v>1252</v>
      </c>
      <c r="I202" t="s">
        <v>1573</v>
      </c>
      <c r="J202" t="s">
        <v>1574</v>
      </c>
      <c r="K202" t="s">
        <v>1429</v>
      </c>
      <c r="L202" t="s">
        <v>1434</v>
      </c>
    </row>
    <row r="203" spans="2:12" x14ac:dyDescent="0.2">
      <c r="B203" t="s">
        <v>1232</v>
      </c>
      <c r="C203" t="s">
        <v>1233</v>
      </c>
      <c r="D203" t="s">
        <v>1326</v>
      </c>
      <c r="E203" t="s">
        <v>918</v>
      </c>
      <c r="F203" t="s">
        <v>1331</v>
      </c>
      <c r="I203" t="s">
        <v>1575</v>
      </c>
      <c r="J203" t="s">
        <v>1574</v>
      </c>
      <c r="K203" t="s">
        <v>1429</v>
      </c>
      <c r="L203" t="s">
        <v>1434</v>
      </c>
    </row>
    <row r="204" spans="2:12" x14ac:dyDescent="0.2">
      <c r="B204" t="s">
        <v>1234</v>
      </c>
      <c r="C204" t="s">
        <v>1084</v>
      </c>
      <c r="D204" t="s">
        <v>1327</v>
      </c>
      <c r="E204" t="s">
        <v>919</v>
      </c>
      <c r="F204" t="s">
        <v>1253</v>
      </c>
      <c r="I204" t="s">
        <v>1576</v>
      </c>
      <c r="J204" t="s">
        <v>1574</v>
      </c>
      <c r="K204" t="s">
        <v>1429</v>
      </c>
      <c r="L204" t="s">
        <v>1434</v>
      </c>
    </row>
    <row r="205" spans="2:12" x14ac:dyDescent="0.2">
      <c r="B205" t="s">
        <v>1235</v>
      </c>
      <c r="C205" t="s">
        <v>1084</v>
      </c>
      <c r="D205" t="s">
        <v>1327</v>
      </c>
      <c r="E205" t="s">
        <v>919</v>
      </c>
      <c r="F205" t="s">
        <v>1253</v>
      </c>
      <c r="I205" t="s">
        <v>1081</v>
      </c>
      <c r="J205" t="s">
        <v>1082</v>
      </c>
      <c r="K205" t="s">
        <v>1429</v>
      </c>
      <c r="L205" t="s">
        <v>1441</v>
      </c>
    </row>
    <row r="206" spans="2:12" x14ac:dyDescent="0.2">
      <c r="B206" t="s">
        <v>1236</v>
      </c>
      <c r="C206" t="s">
        <v>968</v>
      </c>
      <c r="D206" t="s">
        <v>1328</v>
      </c>
      <c r="E206" t="s">
        <v>919</v>
      </c>
      <c r="F206" t="s">
        <v>1253</v>
      </c>
      <c r="I206" t="s">
        <v>1577</v>
      </c>
      <c r="J206" t="s">
        <v>1578</v>
      </c>
      <c r="K206" t="s">
        <v>1429</v>
      </c>
      <c r="L206" t="s">
        <v>1430</v>
      </c>
    </row>
    <row r="207" spans="2:12" x14ac:dyDescent="0.2">
      <c r="B207" t="s">
        <v>1237</v>
      </c>
      <c r="C207" t="s">
        <v>1100</v>
      </c>
      <c r="D207" t="s">
        <v>1329</v>
      </c>
      <c r="E207" t="s">
        <v>919</v>
      </c>
      <c r="F207" t="s">
        <v>1253</v>
      </c>
      <c r="I207" t="s">
        <v>1579</v>
      </c>
      <c r="J207" t="s">
        <v>1580</v>
      </c>
      <c r="K207" t="s">
        <v>1429</v>
      </c>
      <c r="L207" t="s">
        <v>1434</v>
      </c>
    </row>
    <row r="208" spans="2:12" x14ac:dyDescent="0.2">
      <c r="B208" t="s">
        <v>1238</v>
      </c>
      <c r="C208" t="s">
        <v>1239</v>
      </c>
      <c r="D208" t="s">
        <v>1327</v>
      </c>
      <c r="E208" t="s">
        <v>919</v>
      </c>
      <c r="F208" t="s">
        <v>1253</v>
      </c>
      <c r="I208" t="s">
        <v>1581</v>
      </c>
      <c r="J208" t="s">
        <v>1582</v>
      </c>
      <c r="K208" t="s">
        <v>1429</v>
      </c>
      <c r="L208" t="s">
        <v>1434</v>
      </c>
    </row>
    <row r="209" spans="9:13" x14ac:dyDescent="0.2">
      <c r="I209" t="s">
        <v>1583</v>
      </c>
      <c r="J209" t="s">
        <v>1582</v>
      </c>
      <c r="K209" t="s">
        <v>1429</v>
      </c>
      <c r="L209" t="s">
        <v>1434</v>
      </c>
    </row>
    <row r="210" spans="9:13" x14ac:dyDescent="0.2">
      <c r="I210" t="s">
        <v>1083</v>
      </c>
      <c r="J210" t="s">
        <v>1084</v>
      </c>
      <c r="K210" t="s">
        <v>1429</v>
      </c>
      <c r="L210" t="s">
        <v>1441</v>
      </c>
      <c r="M210" t="s">
        <v>1251</v>
      </c>
    </row>
    <row r="211" spans="9:13" x14ac:dyDescent="0.2">
      <c r="I211" t="s">
        <v>1085</v>
      </c>
      <c r="J211" t="s">
        <v>968</v>
      </c>
      <c r="K211" t="s">
        <v>1429</v>
      </c>
      <c r="L211" t="s">
        <v>1441</v>
      </c>
      <c r="M211" t="s">
        <v>1251</v>
      </c>
    </row>
    <row r="212" spans="9:13" x14ac:dyDescent="0.2">
      <c r="I212" t="s">
        <v>1086</v>
      </c>
      <c r="J212" t="s">
        <v>970</v>
      </c>
      <c r="K212" t="s">
        <v>1429</v>
      </c>
      <c r="L212" t="s">
        <v>1441</v>
      </c>
      <c r="M212" t="s">
        <v>1251</v>
      </c>
    </row>
    <row r="213" spans="9:13" x14ac:dyDescent="0.2">
      <c r="I213" t="s">
        <v>1087</v>
      </c>
      <c r="J213" t="s">
        <v>1088</v>
      </c>
      <c r="K213" t="s">
        <v>1429</v>
      </c>
      <c r="L213" t="s">
        <v>1441</v>
      </c>
      <c r="M213" t="s">
        <v>1251</v>
      </c>
    </row>
    <row r="214" spans="9:13" x14ac:dyDescent="0.2">
      <c r="I214" t="s">
        <v>1584</v>
      </c>
      <c r="J214" t="s">
        <v>1585</v>
      </c>
      <c r="K214" t="s">
        <v>1429</v>
      </c>
      <c r="L214" t="s">
        <v>1434</v>
      </c>
    </row>
    <row r="215" spans="9:13" x14ac:dyDescent="0.2">
      <c r="I215" t="s">
        <v>1089</v>
      </c>
      <c r="J215" t="s">
        <v>1090</v>
      </c>
      <c r="K215" t="s">
        <v>1429</v>
      </c>
      <c r="L215" t="s">
        <v>1441</v>
      </c>
      <c r="M215" t="s">
        <v>1251</v>
      </c>
    </row>
    <row r="216" spans="9:13" x14ac:dyDescent="0.2">
      <c r="I216" t="s">
        <v>1586</v>
      </c>
      <c r="J216" t="s">
        <v>1587</v>
      </c>
      <c r="K216" t="s">
        <v>1429</v>
      </c>
      <c r="L216" t="s">
        <v>1434</v>
      </c>
    </row>
    <row r="217" spans="9:13" x14ac:dyDescent="0.2">
      <c r="I217" t="s">
        <v>1588</v>
      </c>
      <c r="J217" t="s">
        <v>1587</v>
      </c>
      <c r="K217" t="s">
        <v>1429</v>
      </c>
      <c r="L217" t="s">
        <v>1434</v>
      </c>
    </row>
    <row r="218" spans="9:13" x14ac:dyDescent="0.2">
      <c r="I218" t="s">
        <v>1091</v>
      </c>
      <c r="J218" t="s">
        <v>1092</v>
      </c>
      <c r="K218" t="s">
        <v>1429</v>
      </c>
      <c r="L218" t="s">
        <v>1441</v>
      </c>
      <c r="M218" t="s">
        <v>1251</v>
      </c>
    </row>
    <row r="219" spans="9:13" x14ac:dyDescent="0.2">
      <c r="I219" t="s">
        <v>1589</v>
      </c>
      <c r="J219" t="s">
        <v>1094</v>
      </c>
      <c r="K219" t="s">
        <v>1429</v>
      </c>
      <c r="L219" t="s">
        <v>1434</v>
      </c>
    </row>
    <row r="220" spans="9:13" x14ac:dyDescent="0.2">
      <c r="I220" t="s">
        <v>1590</v>
      </c>
      <c r="J220" t="s">
        <v>1591</v>
      </c>
      <c r="K220" t="s">
        <v>1429</v>
      </c>
      <c r="L220" t="s">
        <v>1434</v>
      </c>
    </row>
    <row r="221" spans="9:13" x14ac:dyDescent="0.2">
      <c r="I221" t="s">
        <v>1093</v>
      </c>
      <c r="J221" t="s">
        <v>1094</v>
      </c>
      <c r="K221" t="s">
        <v>1429</v>
      </c>
      <c r="L221" t="s">
        <v>1441</v>
      </c>
      <c r="M221" t="s">
        <v>1251</v>
      </c>
    </row>
    <row r="222" spans="9:13" x14ac:dyDescent="0.2">
      <c r="I222" t="s">
        <v>1095</v>
      </c>
      <c r="J222" t="s">
        <v>1096</v>
      </c>
      <c r="K222" t="s">
        <v>1429</v>
      </c>
      <c r="L222" t="s">
        <v>1441</v>
      </c>
      <c r="M222" t="s">
        <v>1251</v>
      </c>
    </row>
    <row r="223" spans="9:13" x14ac:dyDescent="0.2">
      <c r="I223" t="s">
        <v>2160</v>
      </c>
      <c r="J223" t="s">
        <v>2161</v>
      </c>
      <c r="K223" t="s">
        <v>1429</v>
      </c>
      <c r="L223" t="s">
        <v>1434</v>
      </c>
    </row>
    <row r="224" spans="9:13" x14ac:dyDescent="0.2">
      <c r="I224" t="s">
        <v>1097</v>
      </c>
      <c r="J224" t="s">
        <v>1098</v>
      </c>
      <c r="K224" t="s">
        <v>1429</v>
      </c>
      <c r="L224" t="s">
        <v>1441</v>
      </c>
    </row>
    <row r="225" spans="9:13" x14ac:dyDescent="0.2">
      <c r="I225" t="s">
        <v>2162</v>
      </c>
      <c r="J225" t="s">
        <v>1100</v>
      </c>
      <c r="K225" t="s">
        <v>1429</v>
      </c>
      <c r="L225" t="s">
        <v>1434</v>
      </c>
    </row>
    <row r="226" spans="9:13" x14ac:dyDescent="0.2">
      <c r="I226" t="s">
        <v>2163</v>
      </c>
      <c r="J226" t="s">
        <v>1100</v>
      </c>
      <c r="K226" t="s">
        <v>1429</v>
      </c>
      <c r="L226" t="s">
        <v>1434</v>
      </c>
    </row>
    <row r="227" spans="9:13" x14ac:dyDescent="0.2">
      <c r="I227" t="s">
        <v>1099</v>
      </c>
      <c r="J227" t="s">
        <v>1100</v>
      </c>
      <c r="K227" t="s">
        <v>1429</v>
      </c>
      <c r="L227" t="s">
        <v>1441</v>
      </c>
    </row>
    <row r="228" spans="9:13" x14ac:dyDescent="0.2">
      <c r="I228" t="s">
        <v>1592</v>
      </c>
      <c r="J228" t="s">
        <v>1593</v>
      </c>
      <c r="K228" t="s">
        <v>1429</v>
      </c>
      <c r="L228" t="s">
        <v>1434</v>
      </c>
    </row>
    <row r="229" spans="9:13" x14ac:dyDescent="0.2">
      <c r="I229" t="s">
        <v>1594</v>
      </c>
      <c r="J229" t="s">
        <v>1595</v>
      </c>
      <c r="K229" t="s">
        <v>1429</v>
      </c>
      <c r="L229" t="s">
        <v>1434</v>
      </c>
    </row>
    <row r="230" spans="9:13" x14ac:dyDescent="0.2">
      <c r="I230" t="s">
        <v>1596</v>
      </c>
      <c r="J230" t="s">
        <v>1102</v>
      </c>
      <c r="K230" t="s">
        <v>1429</v>
      </c>
      <c r="L230" t="s">
        <v>1434</v>
      </c>
    </row>
    <row r="231" spans="9:13" x14ac:dyDescent="0.2">
      <c r="I231" t="s">
        <v>1101</v>
      </c>
      <c r="J231" t="s">
        <v>1102</v>
      </c>
      <c r="K231" t="s">
        <v>1429</v>
      </c>
      <c r="L231" t="s">
        <v>1441</v>
      </c>
      <c r="M231" t="s">
        <v>1252</v>
      </c>
    </row>
    <row r="232" spans="9:13" x14ac:dyDescent="0.2">
      <c r="I232" t="s">
        <v>2164</v>
      </c>
      <c r="J232" t="s">
        <v>2165</v>
      </c>
      <c r="K232" t="s">
        <v>1429</v>
      </c>
      <c r="L232" t="s">
        <v>1434</v>
      </c>
    </row>
    <row r="233" spans="9:13" x14ac:dyDescent="0.2">
      <c r="I233" t="s">
        <v>1103</v>
      </c>
      <c r="J233" t="s">
        <v>1104</v>
      </c>
      <c r="K233" t="s">
        <v>1429</v>
      </c>
      <c r="L233" t="s">
        <v>1441</v>
      </c>
    </row>
    <row r="234" spans="9:13" x14ac:dyDescent="0.2">
      <c r="I234" t="s">
        <v>1597</v>
      </c>
      <c r="J234" t="s">
        <v>1598</v>
      </c>
      <c r="K234" t="s">
        <v>1429</v>
      </c>
      <c r="L234" t="s">
        <v>1434</v>
      </c>
    </row>
    <row r="235" spans="9:13" x14ac:dyDescent="0.2">
      <c r="I235" t="s">
        <v>1599</v>
      </c>
      <c r="J235" t="s">
        <v>1106</v>
      </c>
      <c r="K235" t="s">
        <v>1429</v>
      </c>
      <c r="L235" t="s">
        <v>1434</v>
      </c>
    </row>
    <row r="236" spans="9:13" x14ac:dyDescent="0.2">
      <c r="I236" t="s">
        <v>1105</v>
      </c>
      <c r="J236" t="s">
        <v>1106</v>
      </c>
      <c r="K236" t="s">
        <v>1429</v>
      </c>
      <c r="L236" t="s">
        <v>1441</v>
      </c>
      <c r="M236" t="s">
        <v>1252</v>
      </c>
    </row>
    <row r="237" spans="9:13" x14ac:dyDescent="0.2">
      <c r="I237" t="s">
        <v>1600</v>
      </c>
      <c r="J237" t="s">
        <v>1601</v>
      </c>
      <c r="K237" t="s">
        <v>1429</v>
      </c>
      <c r="L237" t="s">
        <v>1430</v>
      </c>
    </row>
    <row r="238" spans="9:13" x14ac:dyDescent="0.2">
      <c r="I238" t="s">
        <v>1602</v>
      </c>
      <c r="J238" t="s">
        <v>1603</v>
      </c>
      <c r="K238" t="s">
        <v>1429</v>
      </c>
      <c r="L238" t="s">
        <v>1434</v>
      </c>
    </row>
    <row r="239" spans="9:13" x14ac:dyDescent="0.2">
      <c r="I239" t="s">
        <v>1604</v>
      </c>
      <c r="J239" t="s">
        <v>1605</v>
      </c>
      <c r="K239" t="s">
        <v>1429</v>
      </c>
      <c r="L239" t="s">
        <v>1434</v>
      </c>
    </row>
    <row r="240" spans="9:13" x14ac:dyDescent="0.2">
      <c r="I240" t="s">
        <v>1606</v>
      </c>
      <c r="J240" t="s">
        <v>1108</v>
      </c>
      <c r="K240" t="s">
        <v>1429</v>
      </c>
      <c r="L240" t="s">
        <v>1434</v>
      </c>
    </row>
    <row r="241" spans="9:14" x14ac:dyDescent="0.2">
      <c r="I241" t="s">
        <v>1107</v>
      </c>
      <c r="J241" t="s">
        <v>1108</v>
      </c>
      <c r="K241" t="s">
        <v>1429</v>
      </c>
      <c r="L241" t="s">
        <v>1441</v>
      </c>
      <c r="M241" t="s">
        <v>1250</v>
      </c>
      <c r="N241" t="s">
        <v>1695</v>
      </c>
    </row>
    <row r="242" spans="9:14" x14ac:dyDescent="0.2">
      <c r="I242" t="s">
        <v>1607</v>
      </c>
      <c r="J242" t="s">
        <v>1110</v>
      </c>
      <c r="K242" t="s">
        <v>1429</v>
      </c>
      <c r="L242" t="s">
        <v>1434</v>
      </c>
    </row>
    <row r="243" spans="9:14" x14ac:dyDescent="0.2">
      <c r="I243" t="s">
        <v>1109</v>
      </c>
      <c r="J243" t="s">
        <v>1110</v>
      </c>
      <c r="K243" t="s">
        <v>1429</v>
      </c>
      <c r="L243" t="s">
        <v>1441</v>
      </c>
      <c r="M243" t="s">
        <v>1250</v>
      </c>
      <c r="N243" t="s">
        <v>1695</v>
      </c>
    </row>
    <row r="244" spans="9:14" x14ac:dyDescent="0.2">
      <c r="I244" t="s">
        <v>1608</v>
      </c>
      <c r="J244" t="s">
        <v>1054</v>
      </c>
      <c r="K244" t="s">
        <v>1429</v>
      </c>
      <c r="L244" t="s">
        <v>1434</v>
      </c>
    </row>
    <row r="245" spans="9:14" x14ac:dyDescent="0.2">
      <c r="I245" t="s">
        <v>1111</v>
      </c>
      <c r="J245" t="s">
        <v>1054</v>
      </c>
      <c r="K245" t="s">
        <v>1429</v>
      </c>
      <c r="L245" t="s">
        <v>1441</v>
      </c>
      <c r="M245" t="s">
        <v>1250</v>
      </c>
      <c r="N245" t="s">
        <v>1695</v>
      </c>
    </row>
    <row r="246" spans="9:14" x14ac:dyDescent="0.2">
      <c r="I246" t="s">
        <v>1609</v>
      </c>
      <c r="J246" t="s">
        <v>1056</v>
      </c>
      <c r="K246" t="s">
        <v>1429</v>
      </c>
      <c r="L246" t="s">
        <v>1434</v>
      </c>
    </row>
    <row r="247" spans="9:14" x14ac:dyDescent="0.2">
      <c r="I247" t="s">
        <v>1112</v>
      </c>
      <c r="J247" t="s">
        <v>1056</v>
      </c>
      <c r="K247" t="s">
        <v>1429</v>
      </c>
      <c r="L247" t="s">
        <v>1441</v>
      </c>
      <c r="M247" t="s">
        <v>1250</v>
      </c>
      <c r="N247" t="s">
        <v>1695</v>
      </c>
    </row>
    <row r="248" spans="9:14" x14ac:dyDescent="0.2">
      <c r="I248" t="s">
        <v>1610</v>
      </c>
      <c r="J248" t="s">
        <v>1114</v>
      </c>
      <c r="K248" t="s">
        <v>1429</v>
      </c>
      <c r="L248" t="s">
        <v>1434</v>
      </c>
    </row>
    <row r="249" spans="9:14" x14ac:dyDescent="0.2">
      <c r="I249" t="s">
        <v>1113</v>
      </c>
      <c r="J249" t="s">
        <v>1114</v>
      </c>
      <c r="K249" t="s">
        <v>1429</v>
      </c>
      <c r="L249" t="s">
        <v>1441</v>
      </c>
      <c r="M249" t="s">
        <v>1250</v>
      </c>
      <c r="N249" t="s">
        <v>1695</v>
      </c>
    </row>
    <row r="250" spans="9:14" x14ac:dyDescent="0.2">
      <c r="I250" t="s">
        <v>1611</v>
      </c>
      <c r="J250" t="s">
        <v>1058</v>
      </c>
      <c r="K250" t="s">
        <v>1429</v>
      </c>
      <c r="L250" t="s">
        <v>1434</v>
      </c>
    </row>
    <row r="251" spans="9:14" x14ac:dyDescent="0.2">
      <c r="I251" t="s">
        <v>1115</v>
      </c>
      <c r="J251" t="s">
        <v>1058</v>
      </c>
      <c r="K251" t="s">
        <v>1429</v>
      </c>
      <c r="L251" t="s">
        <v>1441</v>
      </c>
      <c r="M251" t="s">
        <v>1250</v>
      </c>
      <c r="N251" t="s">
        <v>1695</v>
      </c>
    </row>
    <row r="252" spans="9:14" x14ac:dyDescent="0.2">
      <c r="I252" t="s">
        <v>2166</v>
      </c>
      <c r="J252" t="s">
        <v>1652</v>
      </c>
      <c r="K252" t="s">
        <v>1429</v>
      </c>
      <c r="L252" t="s">
        <v>1434</v>
      </c>
    </row>
    <row r="253" spans="9:14" x14ac:dyDescent="0.2">
      <c r="I253" t="s">
        <v>1116</v>
      </c>
      <c r="J253" t="s">
        <v>1117</v>
      </c>
      <c r="K253" t="s">
        <v>1429</v>
      </c>
      <c r="L253" t="s">
        <v>1441</v>
      </c>
    </row>
    <row r="254" spans="9:14" x14ac:dyDescent="0.2">
      <c r="I254" t="s">
        <v>2167</v>
      </c>
      <c r="J254" t="s">
        <v>1119</v>
      </c>
      <c r="K254" t="s">
        <v>1429</v>
      </c>
      <c r="L254" t="s">
        <v>1434</v>
      </c>
    </row>
    <row r="255" spans="9:14" x14ac:dyDescent="0.2">
      <c r="I255" t="s">
        <v>1118</v>
      </c>
      <c r="J255" t="s">
        <v>1119</v>
      </c>
      <c r="K255" t="s">
        <v>1429</v>
      </c>
      <c r="L255" t="s">
        <v>1441</v>
      </c>
    </row>
    <row r="256" spans="9:14" x14ac:dyDescent="0.2">
      <c r="I256" t="s">
        <v>1612</v>
      </c>
      <c r="J256" t="s">
        <v>1121</v>
      </c>
      <c r="K256" t="s">
        <v>1429</v>
      </c>
      <c r="L256" t="s">
        <v>1434</v>
      </c>
    </row>
    <row r="257" spans="9:14" x14ac:dyDescent="0.2">
      <c r="I257" t="s">
        <v>1120</v>
      </c>
      <c r="J257" t="s">
        <v>1121</v>
      </c>
      <c r="K257" t="s">
        <v>1429</v>
      </c>
      <c r="L257" t="s">
        <v>1441</v>
      </c>
      <c r="M257" t="s">
        <v>1250</v>
      </c>
      <c r="N257" t="s">
        <v>1695</v>
      </c>
    </row>
    <row r="258" spans="9:14" x14ac:dyDescent="0.2">
      <c r="I258" t="s">
        <v>1613</v>
      </c>
      <c r="J258" t="s">
        <v>1016</v>
      </c>
      <c r="K258" t="s">
        <v>1429</v>
      </c>
      <c r="L258" t="s">
        <v>1434</v>
      </c>
    </row>
    <row r="259" spans="9:14" x14ac:dyDescent="0.2">
      <c r="I259" t="s">
        <v>1122</v>
      </c>
      <c r="J259" t="s">
        <v>1016</v>
      </c>
      <c r="K259" t="s">
        <v>1429</v>
      </c>
      <c r="L259" t="s">
        <v>1441</v>
      </c>
      <c r="M259" t="s">
        <v>1250</v>
      </c>
      <c r="N259" t="s">
        <v>1695</v>
      </c>
    </row>
    <row r="260" spans="9:14" x14ac:dyDescent="0.2">
      <c r="I260" t="s">
        <v>1614</v>
      </c>
      <c r="J260" t="s">
        <v>1124</v>
      </c>
      <c r="K260" t="s">
        <v>1429</v>
      </c>
      <c r="L260" t="s">
        <v>1434</v>
      </c>
    </row>
    <row r="261" spans="9:14" x14ac:dyDescent="0.2">
      <c r="I261" t="s">
        <v>1123</v>
      </c>
      <c r="J261" t="s">
        <v>1124</v>
      </c>
      <c r="K261" t="s">
        <v>1429</v>
      </c>
      <c r="L261" t="s">
        <v>1441</v>
      </c>
      <c r="M261" t="s">
        <v>1250</v>
      </c>
      <c r="N261" t="s">
        <v>1695</v>
      </c>
    </row>
    <row r="262" spans="9:14" x14ac:dyDescent="0.2">
      <c r="I262" t="s">
        <v>1615</v>
      </c>
      <c r="J262" t="s">
        <v>1126</v>
      </c>
      <c r="K262" t="s">
        <v>1429</v>
      </c>
      <c r="L262" t="s">
        <v>1434</v>
      </c>
    </row>
    <row r="263" spans="9:14" x14ac:dyDescent="0.2">
      <c r="I263" t="s">
        <v>1125</v>
      </c>
      <c r="J263" t="s">
        <v>1126</v>
      </c>
      <c r="K263" t="s">
        <v>1429</v>
      </c>
      <c r="L263" t="s">
        <v>1441</v>
      </c>
      <c r="M263" t="s">
        <v>1250</v>
      </c>
      <c r="N263" t="s">
        <v>1695</v>
      </c>
    </row>
    <row r="264" spans="9:14" x14ac:dyDescent="0.2">
      <c r="I264" t="s">
        <v>2168</v>
      </c>
      <c r="J264" t="s">
        <v>1128</v>
      </c>
      <c r="K264" t="s">
        <v>1429</v>
      </c>
      <c r="L264" t="s">
        <v>1434</v>
      </c>
    </row>
    <row r="265" spans="9:14" x14ac:dyDescent="0.2">
      <c r="I265" t="s">
        <v>1127</v>
      </c>
      <c r="J265" t="s">
        <v>1128</v>
      </c>
      <c r="K265" t="s">
        <v>1429</v>
      </c>
      <c r="L265" t="s">
        <v>1441</v>
      </c>
    </row>
    <row r="266" spans="9:14" x14ac:dyDescent="0.2">
      <c r="I266" t="s">
        <v>2169</v>
      </c>
      <c r="J266" t="s">
        <v>1130</v>
      </c>
      <c r="K266" t="s">
        <v>1429</v>
      </c>
      <c r="L266" t="s">
        <v>1434</v>
      </c>
    </row>
    <row r="267" spans="9:14" x14ac:dyDescent="0.2">
      <c r="I267" t="s">
        <v>1129</v>
      </c>
      <c r="J267" t="s">
        <v>1130</v>
      </c>
      <c r="K267" t="s">
        <v>1429</v>
      </c>
      <c r="L267" t="s">
        <v>1441</v>
      </c>
    </row>
    <row r="268" spans="9:14" x14ac:dyDescent="0.2">
      <c r="I268" t="s">
        <v>1616</v>
      </c>
      <c r="J268" t="s">
        <v>984</v>
      </c>
      <c r="K268" t="s">
        <v>1429</v>
      </c>
      <c r="L268" t="s">
        <v>1434</v>
      </c>
    </row>
    <row r="269" spans="9:14" x14ac:dyDescent="0.2">
      <c r="I269" t="s">
        <v>1131</v>
      </c>
      <c r="J269" t="s">
        <v>1132</v>
      </c>
      <c r="K269" t="s">
        <v>1429</v>
      </c>
      <c r="L269" t="s">
        <v>1441</v>
      </c>
      <c r="M269" t="s">
        <v>1250</v>
      </c>
      <c r="N269" t="s">
        <v>1695</v>
      </c>
    </row>
    <row r="270" spans="9:14" x14ac:dyDescent="0.2">
      <c r="I270" t="s">
        <v>1617</v>
      </c>
      <c r="J270" t="s">
        <v>982</v>
      </c>
      <c r="K270" t="s">
        <v>1429</v>
      </c>
      <c r="L270" t="s">
        <v>1434</v>
      </c>
    </row>
    <row r="271" spans="9:14" x14ac:dyDescent="0.2">
      <c r="I271" t="s">
        <v>2170</v>
      </c>
      <c r="J271" t="s">
        <v>2171</v>
      </c>
      <c r="K271" t="s">
        <v>1429</v>
      </c>
      <c r="L271" t="s">
        <v>1434</v>
      </c>
    </row>
    <row r="272" spans="9:14" x14ac:dyDescent="0.2">
      <c r="I272" t="s">
        <v>1133</v>
      </c>
      <c r="J272" t="s">
        <v>1134</v>
      </c>
      <c r="K272" t="s">
        <v>1429</v>
      </c>
      <c r="L272" t="s">
        <v>1441</v>
      </c>
    </row>
    <row r="273" spans="9:14" x14ac:dyDescent="0.2">
      <c r="I273" t="s">
        <v>1618</v>
      </c>
      <c r="J273" t="s">
        <v>1619</v>
      </c>
      <c r="K273" t="s">
        <v>1429</v>
      </c>
      <c r="L273" t="s">
        <v>1434</v>
      </c>
    </row>
    <row r="274" spans="9:14" x14ac:dyDescent="0.2">
      <c r="I274" t="s">
        <v>1135</v>
      </c>
      <c r="J274" t="s">
        <v>1136</v>
      </c>
      <c r="K274" t="s">
        <v>1429</v>
      </c>
      <c r="L274" t="s">
        <v>1441</v>
      </c>
      <c r="M274" t="s">
        <v>1250</v>
      </c>
      <c r="N274" t="s">
        <v>1695</v>
      </c>
    </row>
    <row r="275" spans="9:14" x14ac:dyDescent="0.2">
      <c r="I275" t="s">
        <v>1620</v>
      </c>
      <c r="J275" t="s">
        <v>1138</v>
      </c>
      <c r="K275" t="s">
        <v>1429</v>
      </c>
      <c r="L275" t="s">
        <v>1434</v>
      </c>
    </row>
    <row r="276" spans="9:14" x14ac:dyDescent="0.2">
      <c r="I276" t="s">
        <v>1137</v>
      </c>
      <c r="J276" t="s">
        <v>1138</v>
      </c>
      <c r="K276" t="s">
        <v>1429</v>
      </c>
      <c r="L276" t="s">
        <v>1441</v>
      </c>
      <c r="M276" t="s">
        <v>1250</v>
      </c>
      <c r="N276" t="s">
        <v>1695</v>
      </c>
    </row>
    <row r="277" spans="9:14" x14ac:dyDescent="0.2">
      <c r="I277" t="s">
        <v>2172</v>
      </c>
      <c r="J277" t="s">
        <v>2173</v>
      </c>
      <c r="K277" t="s">
        <v>1429</v>
      </c>
      <c r="L277" t="s">
        <v>1434</v>
      </c>
    </row>
    <row r="278" spans="9:14" x14ac:dyDescent="0.2">
      <c r="I278" t="s">
        <v>2174</v>
      </c>
      <c r="J278" t="s">
        <v>2175</v>
      </c>
      <c r="K278" t="s">
        <v>1429</v>
      </c>
      <c r="L278" t="s">
        <v>1434</v>
      </c>
    </row>
    <row r="279" spans="9:14" x14ac:dyDescent="0.2">
      <c r="I279" t="s">
        <v>1139</v>
      </c>
      <c r="J279" t="s">
        <v>1140</v>
      </c>
      <c r="K279" t="s">
        <v>1429</v>
      </c>
      <c r="L279" t="s">
        <v>1441</v>
      </c>
    </row>
    <row r="280" spans="9:14" x14ac:dyDescent="0.2">
      <c r="I280" t="s">
        <v>1621</v>
      </c>
      <c r="J280" t="s">
        <v>1504</v>
      </c>
      <c r="K280" t="s">
        <v>1429</v>
      </c>
      <c r="L280" t="s">
        <v>1434</v>
      </c>
    </row>
    <row r="281" spans="9:14" x14ac:dyDescent="0.2">
      <c r="I281" t="s">
        <v>1622</v>
      </c>
      <c r="J281" t="s">
        <v>1142</v>
      </c>
      <c r="K281" t="s">
        <v>1429</v>
      </c>
      <c r="L281" t="s">
        <v>1434</v>
      </c>
    </row>
    <row r="282" spans="9:14" x14ac:dyDescent="0.2">
      <c r="I282" t="s">
        <v>1141</v>
      </c>
      <c r="J282" t="s">
        <v>1142</v>
      </c>
      <c r="K282" t="s">
        <v>1429</v>
      </c>
      <c r="L282" t="s">
        <v>1441</v>
      </c>
      <c r="M282" t="s">
        <v>1250</v>
      </c>
      <c r="N282" t="s">
        <v>1695</v>
      </c>
    </row>
    <row r="283" spans="9:14" x14ac:dyDescent="0.2">
      <c r="I283" t="s">
        <v>1623</v>
      </c>
      <c r="J283" t="s">
        <v>1100</v>
      </c>
      <c r="K283" t="s">
        <v>1429</v>
      </c>
      <c r="L283" t="s">
        <v>1434</v>
      </c>
    </row>
    <row r="284" spans="9:14" x14ac:dyDescent="0.2">
      <c r="I284" t="s">
        <v>1624</v>
      </c>
      <c r="J284" t="s">
        <v>1625</v>
      </c>
      <c r="K284" t="s">
        <v>1429</v>
      </c>
      <c r="L284" t="s">
        <v>1434</v>
      </c>
    </row>
    <row r="285" spans="9:14" x14ac:dyDescent="0.2">
      <c r="I285" t="s">
        <v>1143</v>
      </c>
      <c r="J285" t="s">
        <v>1144</v>
      </c>
      <c r="K285" t="s">
        <v>1429</v>
      </c>
      <c r="L285" t="s">
        <v>1441</v>
      </c>
      <c r="M285" t="s">
        <v>1250</v>
      </c>
      <c r="N285" t="s">
        <v>1695</v>
      </c>
    </row>
    <row r="286" spans="9:14" x14ac:dyDescent="0.2">
      <c r="I286" t="s">
        <v>1626</v>
      </c>
      <c r="J286" t="s">
        <v>1146</v>
      </c>
      <c r="K286" t="s">
        <v>1429</v>
      </c>
      <c r="L286" t="s">
        <v>1434</v>
      </c>
    </row>
    <row r="287" spans="9:14" x14ac:dyDescent="0.2">
      <c r="I287" t="s">
        <v>1145</v>
      </c>
      <c r="J287" t="s">
        <v>1146</v>
      </c>
      <c r="K287" t="s">
        <v>1429</v>
      </c>
      <c r="L287" t="s">
        <v>1441</v>
      </c>
      <c r="M287" t="s">
        <v>1250</v>
      </c>
      <c r="N287" t="s">
        <v>1695</v>
      </c>
    </row>
    <row r="288" spans="9:14" x14ac:dyDescent="0.2">
      <c r="I288" t="s">
        <v>1627</v>
      </c>
      <c r="J288" t="s">
        <v>1628</v>
      </c>
      <c r="K288" t="s">
        <v>1429</v>
      </c>
      <c r="L288" t="s">
        <v>1434</v>
      </c>
    </row>
    <row r="289" spans="9:14" x14ac:dyDescent="0.2">
      <c r="I289" t="s">
        <v>1147</v>
      </c>
      <c r="J289" t="s">
        <v>1148</v>
      </c>
      <c r="K289" t="s">
        <v>1429</v>
      </c>
      <c r="L289" t="s">
        <v>1441</v>
      </c>
      <c r="M289" t="s">
        <v>1250</v>
      </c>
      <c r="N289" t="s">
        <v>1695</v>
      </c>
    </row>
    <row r="290" spans="9:14" x14ac:dyDescent="0.2">
      <c r="I290" t="s">
        <v>1629</v>
      </c>
      <c r="J290" t="s">
        <v>1630</v>
      </c>
      <c r="K290" t="s">
        <v>1429</v>
      </c>
      <c r="L290" t="s">
        <v>1434</v>
      </c>
    </row>
    <row r="291" spans="9:14" x14ac:dyDescent="0.2">
      <c r="I291" t="s">
        <v>1149</v>
      </c>
      <c r="J291" t="s">
        <v>1150</v>
      </c>
      <c r="K291" t="s">
        <v>1429</v>
      </c>
      <c r="L291" t="s">
        <v>1441</v>
      </c>
      <c r="M291" t="s">
        <v>1250</v>
      </c>
      <c r="N291" t="s">
        <v>1695</v>
      </c>
    </row>
    <row r="292" spans="9:14" x14ac:dyDescent="0.2">
      <c r="I292" t="s">
        <v>2176</v>
      </c>
      <c r="J292" t="s">
        <v>1152</v>
      </c>
      <c r="K292" t="s">
        <v>1429</v>
      </c>
      <c r="L292" t="s">
        <v>1434</v>
      </c>
    </row>
    <row r="293" spans="9:14" x14ac:dyDescent="0.2">
      <c r="I293" t="s">
        <v>1151</v>
      </c>
      <c r="J293" t="s">
        <v>1152</v>
      </c>
      <c r="K293" t="s">
        <v>1429</v>
      </c>
      <c r="L293" t="s">
        <v>1441</v>
      </c>
    </row>
    <row r="294" spans="9:14" x14ac:dyDescent="0.2">
      <c r="I294" t="s">
        <v>1631</v>
      </c>
      <c r="J294" t="s">
        <v>1632</v>
      </c>
      <c r="K294" t="s">
        <v>1429</v>
      </c>
      <c r="L294" t="s">
        <v>1434</v>
      </c>
    </row>
    <row r="295" spans="9:14" x14ac:dyDescent="0.2">
      <c r="I295" t="s">
        <v>2177</v>
      </c>
      <c r="J295" t="s">
        <v>1154</v>
      </c>
      <c r="K295" t="s">
        <v>1429</v>
      </c>
      <c r="L295" t="s">
        <v>1434</v>
      </c>
    </row>
    <row r="296" spans="9:14" x14ac:dyDescent="0.2">
      <c r="I296" t="s">
        <v>1153</v>
      </c>
      <c r="J296" t="s">
        <v>1154</v>
      </c>
      <c r="K296" t="s">
        <v>1429</v>
      </c>
      <c r="L296" t="s">
        <v>1441</v>
      </c>
    </row>
    <row r="297" spans="9:14" x14ac:dyDescent="0.2">
      <c r="I297" t="s">
        <v>1633</v>
      </c>
      <c r="J297" t="s">
        <v>1156</v>
      </c>
      <c r="K297" t="s">
        <v>1429</v>
      </c>
      <c r="L297" t="s">
        <v>1434</v>
      </c>
    </row>
    <row r="298" spans="9:14" x14ac:dyDescent="0.2">
      <c r="I298" t="s">
        <v>1155</v>
      </c>
      <c r="J298" t="s">
        <v>1156</v>
      </c>
      <c r="K298" t="s">
        <v>1429</v>
      </c>
      <c r="L298" t="s">
        <v>1441</v>
      </c>
      <c r="M298" t="s">
        <v>1250</v>
      </c>
      <c r="N298" t="s">
        <v>1695</v>
      </c>
    </row>
    <row r="299" spans="9:14" x14ac:dyDescent="0.2">
      <c r="I299" t="s">
        <v>2178</v>
      </c>
      <c r="J299" t="s">
        <v>1158</v>
      </c>
      <c r="K299" t="s">
        <v>1429</v>
      </c>
      <c r="L299" t="s">
        <v>1434</v>
      </c>
    </row>
    <row r="300" spans="9:14" x14ac:dyDescent="0.2">
      <c r="I300" t="s">
        <v>1157</v>
      </c>
      <c r="J300" t="s">
        <v>1158</v>
      </c>
      <c r="K300" t="s">
        <v>1429</v>
      </c>
      <c r="L300" t="s">
        <v>1441</v>
      </c>
    </row>
    <row r="301" spans="9:14" x14ac:dyDescent="0.2">
      <c r="I301" t="s">
        <v>1634</v>
      </c>
      <c r="J301" t="s">
        <v>1635</v>
      </c>
      <c r="K301" t="s">
        <v>1429</v>
      </c>
      <c r="L301" t="s">
        <v>1434</v>
      </c>
    </row>
    <row r="302" spans="9:14" x14ac:dyDescent="0.2">
      <c r="I302" t="s">
        <v>1636</v>
      </c>
      <c r="J302" t="s">
        <v>1637</v>
      </c>
      <c r="K302" t="s">
        <v>1429</v>
      </c>
      <c r="L302" t="s">
        <v>1434</v>
      </c>
    </row>
    <row r="303" spans="9:14" x14ac:dyDescent="0.2">
      <c r="I303" t="s">
        <v>1159</v>
      </c>
      <c r="J303" t="s">
        <v>1160</v>
      </c>
      <c r="K303" t="s">
        <v>1429</v>
      </c>
      <c r="L303" t="s">
        <v>1441</v>
      </c>
    </row>
    <row r="304" spans="9:14" x14ac:dyDescent="0.2">
      <c r="I304" t="s">
        <v>1161</v>
      </c>
      <c r="J304" t="s">
        <v>1162</v>
      </c>
      <c r="K304" t="s">
        <v>1429</v>
      </c>
      <c r="L304" t="s">
        <v>1441</v>
      </c>
      <c r="M304" t="s">
        <v>1250</v>
      </c>
      <c r="N304" t="s">
        <v>1695</v>
      </c>
    </row>
    <row r="305" spans="9:14" x14ac:dyDescent="0.2">
      <c r="I305" t="s">
        <v>2179</v>
      </c>
      <c r="J305" t="s">
        <v>2180</v>
      </c>
      <c r="K305" t="s">
        <v>1429</v>
      </c>
      <c r="L305" t="s">
        <v>1434</v>
      </c>
    </row>
    <row r="306" spans="9:14" x14ac:dyDescent="0.2">
      <c r="I306" t="s">
        <v>2181</v>
      </c>
      <c r="J306" t="s">
        <v>2182</v>
      </c>
      <c r="K306" t="s">
        <v>1429</v>
      </c>
      <c r="L306" t="s">
        <v>1434</v>
      </c>
    </row>
    <row r="307" spans="9:14" x14ac:dyDescent="0.2">
      <c r="I307" t="s">
        <v>1163</v>
      </c>
      <c r="J307" t="s">
        <v>1164</v>
      </c>
      <c r="K307" t="s">
        <v>1429</v>
      </c>
      <c r="L307" t="s">
        <v>1441</v>
      </c>
    </row>
    <row r="308" spans="9:14" x14ac:dyDescent="0.2">
      <c r="I308" t="s">
        <v>1638</v>
      </c>
      <c r="J308" t="s">
        <v>1598</v>
      </c>
      <c r="K308" t="s">
        <v>1429</v>
      </c>
      <c r="L308" t="s">
        <v>1434</v>
      </c>
    </row>
    <row r="309" spans="9:14" x14ac:dyDescent="0.2">
      <c r="I309" t="s">
        <v>2183</v>
      </c>
      <c r="J309" t="s">
        <v>1166</v>
      </c>
      <c r="K309" t="s">
        <v>1429</v>
      </c>
      <c r="L309" t="s">
        <v>1434</v>
      </c>
    </row>
    <row r="310" spans="9:14" x14ac:dyDescent="0.2">
      <c r="I310" t="s">
        <v>1165</v>
      </c>
      <c r="J310" t="s">
        <v>1166</v>
      </c>
      <c r="K310" t="s">
        <v>1429</v>
      </c>
      <c r="L310" t="s">
        <v>1441</v>
      </c>
    </row>
    <row r="311" spans="9:14" x14ac:dyDescent="0.2">
      <c r="I311" t="s">
        <v>1639</v>
      </c>
      <c r="J311" t="s">
        <v>1168</v>
      </c>
      <c r="K311" t="s">
        <v>1429</v>
      </c>
      <c r="L311" t="s">
        <v>1434</v>
      </c>
    </row>
    <row r="312" spans="9:14" x14ac:dyDescent="0.2">
      <c r="I312" t="s">
        <v>1167</v>
      </c>
      <c r="J312" t="s">
        <v>1168</v>
      </c>
      <c r="K312" t="s">
        <v>1429</v>
      </c>
      <c r="L312" t="s">
        <v>1441</v>
      </c>
      <c r="M312" t="s">
        <v>1250</v>
      </c>
      <c r="N312" t="s">
        <v>1695</v>
      </c>
    </row>
    <row r="313" spans="9:14" x14ac:dyDescent="0.2">
      <c r="I313" t="s">
        <v>1640</v>
      </c>
      <c r="J313" t="s">
        <v>1170</v>
      </c>
      <c r="K313" t="s">
        <v>1429</v>
      </c>
      <c r="L313" t="s">
        <v>1434</v>
      </c>
    </row>
    <row r="314" spans="9:14" x14ac:dyDescent="0.2">
      <c r="I314" t="s">
        <v>1169</v>
      </c>
      <c r="J314" t="s">
        <v>1170</v>
      </c>
      <c r="K314" t="s">
        <v>1429</v>
      </c>
      <c r="L314" t="s">
        <v>1441</v>
      </c>
      <c r="M314" t="s">
        <v>1250</v>
      </c>
      <c r="N314" t="s">
        <v>1695</v>
      </c>
    </row>
    <row r="315" spans="9:14" x14ac:dyDescent="0.2">
      <c r="I315" t="s">
        <v>1641</v>
      </c>
      <c r="J315" t="s">
        <v>1172</v>
      </c>
      <c r="K315" t="s">
        <v>1429</v>
      </c>
      <c r="L315" t="s">
        <v>1434</v>
      </c>
    </row>
    <row r="316" spans="9:14" x14ac:dyDescent="0.2">
      <c r="I316" t="s">
        <v>1171</v>
      </c>
      <c r="J316" t="s">
        <v>1172</v>
      </c>
      <c r="K316" t="s">
        <v>1429</v>
      </c>
      <c r="L316" t="s">
        <v>1441</v>
      </c>
      <c r="M316" t="s">
        <v>1250</v>
      </c>
      <c r="N316" t="s">
        <v>1695</v>
      </c>
    </row>
    <row r="317" spans="9:14" x14ac:dyDescent="0.2">
      <c r="I317" t="s">
        <v>2184</v>
      </c>
      <c r="J317" t="s">
        <v>1174</v>
      </c>
      <c r="K317" t="s">
        <v>1429</v>
      </c>
      <c r="L317" t="s">
        <v>1434</v>
      </c>
    </row>
    <row r="318" spans="9:14" x14ac:dyDescent="0.2">
      <c r="I318" t="s">
        <v>1173</v>
      </c>
      <c r="J318" t="s">
        <v>1174</v>
      </c>
      <c r="K318" t="s">
        <v>1429</v>
      </c>
      <c r="L318" t="s">
        <v>1441</v>
      </c>
    </row>
    <row r="319" spans="9:14" x14ac:dyDescent="0.2">
      <c r="I319" t="s">
        <v>2185</v>
      </c>
      <c r="J319" t="s">
        <v>984</v>
      </c>
      <c r="K319" t="s">
        <v>1429</v>
      </c>
      <c r="L319" t="s">
        <v>1434</v>
      </c>
    </row>
    <row r="320" spans="9:14" x14ac:dyDescent="0.2">
      <c r="I320" t="s">
        <v>1175</v>
      </c>
      <c r="J320" t="s">
        <v>1176</v>
      </c>
      <c r="K320" t="s">
        <v>1429</v>
      </c>
      <c r="L320" t="s">
        <v>1441</v>
      </c>
    </row>
    <row r="321" spans="9:14" x14ac:dyDescent="0.2">
      <c r="I321" t="s">
        <v>1642</v>
      </c>
      <c r="J321" t="s">
        <v>3</v>
      </c>
      <c r="K321" t="s">
        <v>1429</v>
      </c>
      <c r="L321" t="s">
        <v>1434</v>
      </c>
    </row>
    <row r="322" spans="9:14" x14ac:dyDescent="0.2">
      <c r="I322" t="s">
        <v>1643</v>
      </c>
      <c r="J322" t="s">
        <v>1605</v>
      </c>
      <c r="K322" t="s">
        <v>1429</v>
      </c>
      <c r="L322" t="s">
        <v>1434</v>
      </c>
    </row>
    <row r="323" spans="9:14" x14ac:dyDescent="0.2">
      <c r="I323" t="s">
        <v>1644</v>
      </c>
      <c r="J323" t="s">
        <v>1108</v>
      </c>
      <c r="K323" t="s">
        <v>1429</v>
      </c>
      <c r="L323" t="s">
        <v>1434</v>
      </c>
    </row>
    <row r="324" spans="9:14" x14ac:dyDescent="0.2">
      <c r="I324" t="s">
        <v>1177</v>
      </c>
      <c r="J324" t="s">
        <v>1108</v>
      </c>
      <c r="K324" t="s">
        <v>1429</v>
      </c>
      <c r="L324" t="s">
        <v>1441</v>
      </c>
      <c r="M324" t="s">
        <v>1251</v>
      </c>
      <c r="N324" t="s">
        <v>1695</v>
      </c>
    </row>
    <row r="325" spans="9:14" x14ac:dyDescent="0.2">
      <c r="I325" t="s">
        <v>1645</v>
      </c>
      <c r="J325" t="s">
        <v>1179</v>
      </c>
      <c r="K325" t="s">
        <v>1429</v>
      </c>
      <c r="L325" t="s">
        <v>1434</v>
      </c>
    </row>
    <row r="326" spans="9:14" x14ac:dyDescent="0.2">
      <c r="I326" t="s">
        <v>1178</v>
      </c>
      <c r="J326" t="s">
        <v>1179</v>
      </c>
      <c r="K326" t="s">
        <v>1429</v>
      </c>
      <c r="L326" t="s">
        <v>1441</v>
      </c>
      <c r="M326" t="s">
        <v>1251</v>
      </c>
      <c r="N326" t="s">
        <v>1695</v>
      </c>
    </row>
    <row r="327" spans="9:14" x14ac:dyDescent="0.2">
      <c r="I327" t="s">
        <v>1646</v>
      </c>
      <c r="J327" t="s">
        <v>1166</v>
      </c>
      <c r="K327" t="s">
        <v>1429</v>
      </c>
      <c r="L327" t="s">
        <v>1434</v>
      </c>
    </row>
    <row r="328" spans="9:14" x14ac:dyDescent="0.2">
      <c r="I328" t="s">
        <v>1180</v>
      </c>
      <c r="J328" t="s">
        <v>1166</v>
      </c>
      <c r="K328" t="s">
        <v>1429</v>
      </c>
      <c r="L328" t="s">
        <v>1441</v>
      </c>
      <c r="M328" t="s">
        <v>1251</v>
      </c>
      <c r="N328" t="s">
        <v>919</v>
      </c>
    </row>
    <row r="329" spans="9:14" x14ac:dyDescent="0.2">
      <c r="I329" t="s">
        <v>2186</v>
      </c>
      <c r="J329" t="s">
        <v>1110</v>
      </c>
      <c r="K329" t="s">
        <v>1429</v>
      </c>
      <c r="L329" t="s">
        <v>1434</v>
      </c>
    </row>
    <row r="330" spans="9:14" x14ac:dyDescent="0.2">
      <c r="I330" t="s">
        <v>1181</v>
      </c>
      <c r="J330" t="s">
        <v>1110</v>
      </c>
      <c r="K330" t="s">
        <v>1429</v>
      </c>
      <c r="L330" t="s">
        <v>1441</v>
      </c>
    </row>
    <row r="331" spans="9:14" x14ac:dyDescent="0.2">
      <c r="I331" t="s">
        <v>1647</v>
      </c>
      <c r="J331" t="s">
        <v>1054</v>
      </c>
      <c r="K331" t="s">
        <v>1429</v>
      </c>
      <c r="L331" t="s">
        <v>1434</v>
      </c>
    </row>
    <row r="332" spans="9:14" x14ac:dyDescent="0.2">
      <c r="I332" t="s">
        <v>1182</v>
      </c>
      <c r="J332" t="s">
        <v>1054</v>
      </c>
      <c r="K332" t="s">
        <v>1429</v>
      </c>
      <c r="L332" t="s">
        <v>1441</v>
      </c>
      <c r="M332" t="s">
        <v>1251</v>
      </c>
      <c r="N332" t="s">
        <v>1695</v>
      </c>
    </row>
    <row r="333" spans="9:14" x14ac:dyDescent="0.2">
      <c r="I333" t="s">
        <v>1648</v>
      </c>
      <c r="J333" t="s">
        <v>1056</v>
      </c>
      <c r="K333" t="s">
        <v>1429</v>
      </c>
      <c r="L333" t="s">
        <v>1434</v>
      </c>
    </row>
    <row r="334" spans="9:14" x14ac:dyDescent="0.2">
      <c r="I334" t="s">
        <v>1183</v>
      </c>
      <c r="J334" t="s">
        <v>1056</v>
      </c>
      <c r="K334" t="s">
        <v>1429</v>
      </c>
      <c r="L334" t="s">
        <v>1441</v>
      </c>
      <c r="M334" t="s">
        <v>1251</v>
      </c>
      <c r="N334" t="s">
        <v>1695</v>
      </c>
    </row>
    <row r="335" spans="9:14" x14ac:dyDescent="0.2">
      <c r="I335" t="s">
        <v>1649</v>
      </c>
      <c r="J335" t="s">
        <v>1114</v>
      </c>
      <c r="K335" t="s">
        <v>1429</v>
      </c>
      <c r="L335" t="s">
        <v>1434</v>
      </c>
    </row>
    <row r="336" spans="9:14" x14ac:dyDescent="0.2">
      <c r="I336" t="s">
        <v>1184</v>
      </c>
      <c r="J336" t="s">
        <v>1114</v>
      </c>
      <c r="K336" t="s">
        <v>1429</v>
      </c>
      <c r="L336" t="s">
        <v>1441</v>
      </c>
      <c r="M336" t="s">
        <v>1251</v>
      </c>
      <c r="N336" t="s">
        <v>1695</v>
      </c>
    </row>
    <row r="337" spans="9:14" x14ac:dyDescent="0.2">
      <c r="I337" t="s">
        <v>1650</v>
      </c>
      <c r="J337" t="s">
        <v>1058</v>
      </c>
      <c r="K337" t="s">
        <v>1429</v>
      </c>
      <c r="L337" t="s">
        <v>1434</v>
      </c>
    </row>
    <row r="338" spans="9:14" x14ac:dyDescent="0.2">
      <c r="I338" t="s">
        <v>1185</v>
      </c>
      <c r="J338" t="s">
        <v>1058</v>
      </c>
      <c r="K338" t="s">
        <v>1429</v>
      </c>
      <c r="L338" t="s">
        <v>1441</v>
      </c>
      <c r="M338" t="s">
        <v>1251</v>
      </c>
      <c r="N338" t="s">
        <v>1695</v>
      </c>
    </row>
    <row r="339" spans="9:14" x14ac:dyDescent="0.2">
      <c r="I339" t="s">
        <v>1651</v>
      </c>
      <c r="J339" t="s">
        <v>1652</v>
      </c>
      <c r="K339" t="s">
        <v>1429</v>
      </c>
      <c r="L339" t="s">
        <v>1434</v>
      </c>
    </row>
    <row r="340" spans="9:14" x14ac:dyDescent="0.2">
      <c r="I340" t="s">
        <v>1186</v>
      </c>
      <c r="J340" t="s">
        <v>1187</v>
      </c>
      <c r="K340" t="s">
        <v>1429</v>
      </c>
      <c r="L340" t="s">
        <v>1441</v>
      </c>
      <c r="M340" t="s">
        <v>1251</v>
      </c>
      <c r="N340" t="s">
        <v>1695</v>
      </c>
    </row>
    <row r="341" spans="9:14" x14ac:dyDescent="0.2">
      <c r="I341" t="s">
        <v>1188</v>
      </c>
      <c r="J341" t="s">
        <v>1117</v>
      </c>
      <c r="K341" t="s">
        <v>1429</v>
      </c>
      <c r="L341" t="s">
        <v>1441</v>
      </c>
    </row>
    <row r="342" spans="9:14" x14ac:dyDescent="0.2">
      <c r="I342" t="s">
        <v>2187</v>
      </c>
      <c r="J342" t="s">
        <v>1119</v>
      </c>
      <c r="K342" t="s">
        <v>1429</v>
      </c>
      <c r="L342" t="s">
        <v>1434</v>
      </c>
    </row>
    <row r="343" spans="9:14" x14ac:dyDescent="0.2">
      <c r="I343" t="s">
        <v>1189</v>
      </c>
      <c r="J343" t="s">
        <v>1119</v>
      </c>
      <c r="K343" t="s">
        <v>1429</v>
      </c>
      <c r="L343" t="s">
        <v>1441</v>
      </c>
    </row>
    <row r="344" spans="9:14" x14ac:dyDescent="0.2">
      <c r="I344" t="s">
        <v>2188</v>
      </c>
      <c r="J344" t="s">
        <v>1191</v>
      </c>
      <c r="K344" t="s">
        <v>1429</v>
      </c>
      <c r="L344" t="s">
        <v>1434</v>
      </c>
    </row>
    <row r="345" spans="9:14" x14ac:dyDescent="0.2">
      <c r="I345" t="s">
        <v>1190</v>
      </c>
      <c r="J345" t="s">
        <v>1191</v>
      </c>
      <c r="K345" t="s">
        <v>1429</v>
      </c>
      <c r="L345" t="s">
        <v>1441</v>
      </c>
    </row>
    <row r="346" spans="9:14" x14ac:dyDescent="0.2">
      <c r="I346" t="s">
        <v>1653</v>
      </c>
      <c r="J346" t="s">
        <v>1121</v>
      </c>
      <c r="K346" t="s">
        <v>1429</v>
      </c>
      <c r="L346" t="s">
        <v>1434</v>
      </c>
    </row>
    <row r="347" spans="9:14" x14ac:dyDescent="0.2">
      <c r="I347" t="s">
        <v>1192</v>
      </c>
      <c r="J347" t="s">
        <v>1121</v>
      </c>
      <c r="K347" t="s">
        <v>1429</v>
      </c>
      <c r="L347" t="s">
        <v>1441</v>
      </c>
      <c r="M347" t="s">
        <v>1251</v>
      </c>
      <c r="N347" t="s">
        <v>1695</v>
      </c>
    </row>
    <row r="348" spans="9:14" x14ac:dyDescent="0.2">
      <c r="I348" t="s">
        <v>2189</v>
      </c>
      <c r="J348" t="s">
        <v>1016</v>
      </c>
      <c r="K348" t="s">
        <v>1429</v>
      </c>
      <c r="L348" t="s">
        <v>1434</v>
      </c>
    </row>
    <row r="349" spans="9:14" x14ac:dyDescent="0.2">
      <c r="I349" t="s">
        <v>1193</v>
      </c>
      <c r="J349" t="s">
        <v>1016</v>
      </c>
      <c r="K349" t="s">
        <v>1429</v>
      </c>
      <c r="L349" t="s">
        <v>1441</v>
      </c>
    </row>
    <row r="350" spans="9:14" x14ac:dyDescent="0.2">
      <c r="I350" t="s">
        <v>1654</v>
      </c>
      <c r="J350" t="s">
        <v>1124</v>
      </c>
      <c r="K350" t="s">
        <v>1429</v>
      </c>
      <c r="L350" t="s">
        <v>1434</v>
      </c>
    </row>
    <row r="351" spans="9:14" x14ac:dyDescent="0.2">
      <c r="I351" t="s">
        <v>1194</v>
      </c>
      <c r="J351" t="s">
        <v>1124</v>
      </c>
      <c r="K351" t="s">
        <v>1429</v>
      </c>
      <c r="L351" t="s">
        <v>1441</v>
      </c>
      <c r="M351" t="s">
        <v>1251</v>
      </c>
      <c r="N351" t="s">
        <v>1695</v>
      </c>
    </row>
    <row r="352" spans="9:14" x14ac:dyDescent="0.2">
      <c r="I352" t="s">
        <v>1655</v>
      </c>
      <c r="J352" t="s">
        <v>1126</v>
      </c>
      <c r="K352" t="s">
        <v>1429</v>
      </c>
      <c r="L352" t="s">
        <v>1434</v>
      </c>
    </row>
    <row r="353" spans="9:14" x14ac:dyDescent="0.2">
      <c r="I353" t="s">
        <v>1195</v>
      </c>
      <c r="J353" t="s">
        <v>1126</v>
      </c>
      <c r="K353" t="s">
        <v>1429</v>
      </c>
      <c r="L353" t="s">
        <v>1441</v>
      </c>
      <c r="M353" t="s">
        <v>1251</v>
      </c>
      <c r="N353" t="s">
        <v>1695</v>
      </c>
    </row>
    <row r="354" spans="9:14" x14ac:dyDescent="0.2">
      <c r="I354" t="s">
        <v>2190</v>
      </c>
      <c r="J354" t="s">
        <v>1128</v>
      </c>
      <c r="K354" t="s">
        <v>1429</v>
      </c>
      <c r="L354" t="s">
        <v>1434</v>
      </c>
    </row>
    <row r="355" spans="9:14" x14ac:dyDescent="0.2">
      <c r="I355" t="s">
        <v>1196</v>
      </c>
      <c r="J355" t="s">
        <v>1128</v>
      </c>
      <c r="K355" t="s">
        <v>1429</v>
      </c>
      <c r="L355" t="s">
        <v>1441</v>
      </c>
    </row>
    <row r="356" spans="9:14" x14ac:dyDescent="0.2">
      <c r="I356" t="s">
        <v>2191</v>
      </c>
      <c r="J356" t="s">
        <v>1130</v>
      </c>
      <c r="K356" t="s">
        <v>1429</v>
      </c>
      <c r="L356" t="s">
        <v>1434</v>
      </c>
    </row>
    <row r="357" spans="9:14" x14ac:dyDescent="0.2">
      <c r="I357" t="s">
        <v>1197</v>
      </c>
      <c r="J357" t="s">
        <v>1130</v>
      </c>
      <c r="K357" t="s">
        <v>1429</v>
      </c>
      <c r="L357" t="s">
        <v>1441</v>
      </c>
    </row>
    <row r="358" spans="9:14" x14ac:dyDescent="0.2">
      <c r="I358" t="s">
        <v>1656</v>
      </c>
      <c r="J358" t="s">
        <v>1657</v>
      </c>
      <c r="K358" t="s">
        <v>1429</v>
      </c>
      <c r="L358" t="s">
        <v>1434</v>
      </c>
    </row>
    <row r="359" spans="9:14" x14ac:dyDescent="0.2">
      <c r="I359" t="s">
        <v>1658</v>
      </c>
      <c r="J359" t="s">
        <v>1142</v>
      </c>
      <c r="K359" t="s">
        <v>1429</v>
      </c>
      <c r="L359" t="s">
        <v>1434</v>
      </c>
    </row>
    <row r="360" spans="9:14" x14ac:dyDescent="0.2">
      <c r="I360" t="s">
        <v>1198</v>
      </c>
      <c r="J360" t="s">
        <v>1142</v>
      </c>
      <c r="K360" t="s">
        <v>1429</v>
      </c>
      <c r="L360" t="s">
        <v>1441</v>
      </c>
      <c r="M360" t="s">
        <v>1251</v>
      </c>
      <c r="N360" t="s">
        <v>1695</v>
      </c>
    </row>
    <row r="361" spans="9:14" x14ac:dyDescent="0.2">
      <c r="I361" t="s">
        <v>2192</v>
      </c>
      <c r="J361" t="s">
        <v>1200</v>
      </c>
      <c r="K361" t="s">
        <v>1429</v>
      </c>
      <c r="L361" t="s">
        <v>1434</v>
      </c>
    </row>
    <row r="362" spans="9:14" x14ac:dyDescent="0.2">
      <c r="I362" t="s">
        <v>1199</v>
      </c>
      <c r="J362" t="s">
        <v>1200</v>
      </c>
      <c r="K362" t="s">
        <v>1429</v>
      </c>
      <c r="L362" t="s">
        <v>1441</v>
      </c>
    </row>
    <row r="363" spans="9:14" x14ac:dyDescent="0.2">
      <c r="I363" t="s">
        <v>1659</v>
      </c>
      <c r="J363" t="s">
        <v>1100</v>
      </c>
      <c r="K363" t="s">
        <v>1429</v>
      </c>
      <c r="L363" t="s">
        <v>1434</v>
      </c>
    </row>
    <row r="364" spans="9:14" x14ac:dyDescent="0.2">
      <c r="I364" t="s">
        <v>1660</v>
      </c>
      <c r="J364" t="s">
        <v>1146</v>
      </c>
      <c r="K364" t="s">
        <v>1429</v>
      </c>
      <c r="L364" t="s">
        <v>1434</v>
      </c>
    </row>
    <row r="365" spans="9:14" x14ac:dyDescent="0.2">
      <c r="I365" t="s">
        <v>1201</v>
      </c>
      <c r="J365" t="s">
        <v>1146</v>
      </c>
      <c r="K365" t="s">
        <v>1429</v>
      </c>
      <c r="L365" t="s">
        <v>1441</v>
      </c>
      <c r="M365" t="s">
        <v>1251</v>
      </c>
      <c r="N365" t="s">
        <v>1695</v>
      </c>
    </row>
    <row r="366" spans="9:14" x14ac:dyDescent="0.2">
      <c r="I366" t="s">
        <v>1661</v>
      </c>
      <c r="J366" t="s">
        <v>1628</v>
      </c>
      <c r="K366" t="s">
        <v>1429</v>
      </c>
      <c r="L366" t="s">
        <v>1434</v>
      </c>
    </row>
    <row r="367" spans="9:14" x14ac:dyDescent="0.2">
      <c r="I367" t="s">
        <v>1202</v>
      </c>
      <c r="J367" t="s">
        <v>1148</v>
      </c>
      <c r="K367" t="s">
        <v>1429</v>
      </c>
      <c r="L367" t="s">
        <v>1441</v>
      </c>
      <c r="M367" t="s">
        <v>1251</v>
      </c>
      <c r="N367" t="s">
        <v>1695</v>
      </c>
    </row>
    <row r="368" spans="9:14" x14ac:dyDescent="0.2">
      <c r="I368" t="s">
        <v>1203</v>
      </c>
      <c r="J368" t="s">
        <v>1204</v>
      </c>
      <c r="K368" t="s">
        <v>1429</v>
      </c>
      <c r="L368" t="s">
        <v>1441</v>
      </c>
    </row>
    <row r="369" spans="9:14" x14ac:dyDescent="0.2">
      <c r="I369" t="s">
        <v>1662</v>
      </c>
      <c r="J369" t="s">
        <v>1206</v>
      </c>
      <c r="K369" t="s">
        <v>1429</v>
      </c>
      <c r="L369" t="s">
        <v>1434</v>
      </c>
    </row>
    <row r="370" spans="9:14" x14ac:dyDescent="0.2">
      <c r="I370" t="s">
        <v>1205</v>
      </c>
      <c r="J370" t="s">
        <v>1206</v>
      </c>
      <c r="K370" t="s">
        <v>1429</v>
      </c>
      <c r="L370" t="s">
        <v>1441</v>
      </c>
      <c r="M370" t="s">
        <v>1251</v>
      </c>
      <c r="N370" t="s">
        <v>919</v>
      </c>
    </row>
    <row r="371" spans="9:14" x14ac:dyDescent="0.2">
      <c r="I371" t="s">
        <v>1663</v>
      </c>
      <c r="J371" t="s">
        <v>1664</v>
      </c>
      <c r="K371" t="s">
        <v>1429</v>
      </c>
      <c r="L371" t="s">
        <v>1434</v>
      </c>
    </row>
    <row r="372" spans="9:14" x14ac:dyDescent="0.2">
      <c r="I372" t="s">
        <v>1207</v>
      </c>
      <c r="J372" t="s">
        <v>1208</v>
      </c>
      <c r="K372" t="s">
        <v>1429</v>
      </c>
      <c r="L372" t="s">
        <v>1441</v>
      </c>
      <c r="M372" t="s">
        <v>1251</v>
      </c>
      <c r="N372" t="s">
        <v>1695</v>
      </c>
    </row>
    <row r="373" spans="9:14" x14ac:dyDescent="0.2">
      <c r="I373" t="s">
        <v>2193</v>
      </c>
      <c r="J373" t="s">
        <v>1210</v>
      </c>
      <c r="K373" t="s">
        <v>1429</v>
      </c>
      <c r="L373" t="s">
        <v>1434</v>
      </c>
    </row>
    <row r="374" spans="9:14" x14ac:dyDescent="0.2">
      <c r="I374" t="s">
        <v>1209</v>
      </c>
      <c r="J374" t="s">
        <v>1210</v>
      </c>
      <c r="K374" t="s">
        <v>1429</v>
      </c>
      <c r="L374" t="s">
        <v>1441</v>
      </c>
    </row>
    <row r="375" spans="9:14" x14ac:dyDescent="0.2">
      <c r="I375" t="s">
        <v>1665</v>
      </c>
      <c r="J375" t="s">
        <v>1212</v>
      </c>
      <c r="K375" t="s">
        <v>1429</v>
      </c>
      <c r="L375" t="s">
        <v>1434</v>
      </c>
    </row>
    <row r="376" spans="9:14" x14ac:dyDescent="0.2">
      <c r="I376" t="s">
        <v>1211</v>
      </c>
      <c r="J376" t="s">
        <v>1212</v>
      </c>
      <c r="K376" t="s">
        <v>1429</v>
      </c>
      <c r="L376" t="s">
        <v>1441</v>
      </c>
      <c r="M376" t="s">
        <v>1251</v>
      </c>
      <c r="N376" t="s">
        <v>1695</v>
      </c>
    </row>
    <row r="377" spans="9:14" x14ac:dyDescent="0.2">
      <c r="I377" t="s">
        <v>1666</v>
      </c>
      <c r="J377" t="s">
        <v>1598</v>
      </c>
      <c r="K377" t="s">
        <v>1429</v>
      </c>
      <c r="L377" t="s">
        <v>1434</v>
      </c>
    </row>
    <row r="378" spans="9:14" x14ac:dyDescent="0.2">
      <c r="I378" t="s">
        <v>1667</v>
      </c>
      <c r="J378" t="s">
        <v>1166</v>
      </c>
      <c r="K378" t="s">
        <v>1429</v>
      </c>
      <c r="L378" t="s">
        <v>1434</v>
      </c>
    </row>
    <row r="379" spans="9:14" x14ac:dyDescent="0.2">
      <c r="I379" t="s">
        <v>1213</v>
      </c>
      <c r="J379" t="s">
        <v>1166</v>
      </c>
      <c r="K379" t="s">
        <v>1429</v>
      </c>
      <c r="L379" t="s">
        <v>1441</v>
      </c>
      <c r="M379" t="s">
        <v>1251</v>
      </c>
      <c r="N379" t="s">
        <v>919</v>
      </c>
    </row>
    <row r="380" spans="9:14" x14ac:dyDescent="0.2">
      <c r="I380" t="s">
        <v>1668</v>
      </c>
      <c r="J380" t="s">
        <v>1215</v>
      </c>
      <c r="K380" t="s">
        <v>1429</v>
      </c>
      <c r="L380" t="s">
        <v>1434</v>
      </c>
    </row>
    <row r="381" spans="9:14" x14ac:dyDescent="0.2">
      <c r="I381" t="s">
        <v>1214</v>
      </c>
      <c r="J381" t="s">
        <v>1215</v>
      </c>
      <c r="K381" t="s">
        <v>1429</v>
      </c>
      <c r="L381" t="s">
        <v>1441</v>
      </c>
      <c r="M381" t="s">
        <v>1251</v>
      </c>
      <c r="N381" t="s">
        <v>919</v>
      </c>
    </row>
    <row r="382" spans="9:14" x14ac:dyDescent="0.2">
      <c r="I382" t="s">
        <v>1669</v>
      </c>
      <c r="J382" t="s">
        <v>1217</v>
      </c>
      <c r="K382" t="s">
        <v>1429</v>
      </c>
      <c r="L382" t="s">
        <v>1434</v>
      </c>
    </row>
    <row r="383" spans="9:14" x14ac:dyDescent="0.2">
      <c r="I383" t="s">
        <v>1216</v>
      </c>
      <c r="J383" t="s">
        <v>1217</v>
      </c>
      <c r="K383" t="s">
        <v>1429</v>
      </c>
      <c r="L383" t="s">
        <v>1441</v>
      </c>
      <c r="M383" t="s">
        <v>1251</v>
      </c>
      <c r="N383" t="s">
        <v>1695</v>
      </c>
    </row>
    <row r="384" spans="9:14" x14ac:dyDescent="0.2">
      <c r="I384" t="s">
        <v>1670</v>
      </c>
      <c r="J384" t="s">
        <v>1671</v>
      </c>
      <c r="K384" t="s">
        <v>1429</v>
      </c>
      <c r="L384" t="s">
        <v>1434</v>
      </c>
    </row>
    <row r="385" spans="9:14" x14ac:dyDescent="0.2">
      <c r="I385" t="s">
        <v>1672</v>
      </c>
      <c r="J385" t="s">
        <v>1595</v>
      </c>
      <c r="K385" t="s">
        <v>1429</v>
      </c>
      <c r="L385" t="s">
        <v>1434</v>
      </c>
    </row>
    <row r="386" spans="9:14" x14ac:dyDescent="0.2">
      <c r="I386" t="s">
        <v>1673</v>
      </c>
      <c r="J386" t="s">
        <v>1219</v>
      </c>
      <c r="K386" t="s">
        <v>1429</v>
      </c>
      <c r="L386" t="s">
        <v>1434</v>
      </c>
    </row>
    <row r="387" spans="9:14" x14ac:dyDescent="0.2">
      <c r="I387" t="s">
        <v>1218</v>
      </c>
      <c r="J387" t="s">
        <v>1219</v>
      </c>
      <c r="K387" t="s">
        <v>1429</v>
      </c>
      <c r="L387" t="s">
        <v>1441</v>
      </c>
      <c r="M387" t="s">
        <v>1252</v>
      </c>
      <c r="N387" t="s">
        <v>1695</v>
      </c>
    </row>
    <row r="388" spans="9:14" x14ac:dyDescent="0.2">
      <c r="I388" t="s">
        <v>1674</v>
      </c>
      <c r="J388" t="s">
        <v>1166</v>
      </c>
      <c r="K388" t="s">
        <v>1429</v>
      </c>
      <c r="L388" t="s">
        <v>1434</v>
      </c>
    </row>
    <row r="389" spans="9:14" x14ac:dyDescent="0.2">
      <c r="I389" t="s">
        <v>1220</v>
      </c>
      <c r="J389" t="s">
        <v>1166</v>
      </c>
      <c r="K389" t="s">
        <v>1429</v>
      </c>
      <c r="L389" t="s">
        <v>1441</v>
      </c>
      <c r="M389" t="s">
        <v>1252</v>
      </c>
      <c r="N389" t="s">
        <v>1695</v>
      </c>
    </row>
    <row r="390" spans="9:14" x14ac:dyDescent="0.2">
      <c r="I390" t="s">
        <v>1675</v>
      </c>
      <c r="J390" t="s">
        <v>1102</v>
      </c>
      <c r="K390" t="s">
        <v>1429</v>
      </c>
      <c r="L390" t="s">
        <v>1434</v>
      </c>
    </row>
    <row r="391" spans="9:14" x14ac:dyDescent="0.2">
      <c r="I391" t="s">
        <v>1221</v>
      </c>
      <c r="J391" t="s">
        <v>1222</v>
      </c>
      <c r="K391" t="s">
        <v>1429</v>
      </c>
      <c r="L391" t="s">
        <v>1441</v>
      </c>
      <c r="M391" t="s">
        <v>1252</v>
      </c>
      <c r="N391" t="s">
        <v>1695</v>
      </c>
    </row>
    <row r="392" spans="9:14" x14ac:dyDescent="0.2">
      <c r="I392" t="s">
        <v>1676</v>
      </c>
      <c r="J392" t="s">
        <v>1224</v>
      </c>
      <c r="K392" t="s">
        <v>1429</v>
      </c>
      <c r="L392" t="s">
        <v>1434</v>
      </c>
    </row>
    <row r="393" spans="9:14" x14ac:dyDescent="0.2">
      <c r="I393" t="s">
        <v>1223</v>
      </c>
      <c r="J393" t="s">
        <v>1224</v>
      </c>
      <c r="K393" t="s">
        <v>1429</v>
      </c>
      <c r="L393" t="s">
        <v>1441</v>
      </c>
      <c r="M393" t="s">
        <v>1252</v>
      </c>
      <c r="N393" t="s">
        <v>1695</v>
      </c>
    </row>
    <row r="394" spans="9:14" x14ac:dyDescent="0.2">
      <c r="I394" t="s">
        <v>1677</v>
      </c>
      <c r="J394" t="s">
        <v>1678</v>
      </c>
      <c r="K394" t="s">
        <v>1429</v>
      </c>
      <c r="L394" t="s">
        <v>1434</v>
      </c>
    </row>
    <row r="395" spans="9:14" x14ac:dyDescent="0.2">
      <c r="I395" t="s">
        <v>1225</v>
      </c>
      <c r="J395" t="s">
        <v>1226</v>
      </c>
      <c r="K395" t="s">
        <v>1429</v>
      </c>
      <c r="L395" t="s">
        <v>1441</v>
      </c>
      <c r="M395" t="s">
        <v>1252</v>
      </c>
      <c r="N395" t="s">
        <v>1695</v>
      </c>
    </row>
    <row r="396" spans="9:14" x14ac:dyDescent="0.2">
      <c r="I396" t="s">
        <v>1679</v>
      </c>
      <c r="J396" t="s">
        <v>1680</v>
      </c>
      <c r="K396" t="s">
        <v>1429</v>
      </c>
      <c r="L396" t="s">
        <v>1434</v>
      </c>
    </row>
    <row r="397" spans="9:14" x14ac:dyDescent="0.2">
      <c r="I397" t="s">
        <v>2194</v>
      </c>
      <c r="J397" t="s">
        <v>2195</v>
      </c>
      <c r="K397" t="s">
        <v>1429</v>
      </c>
      <c r="L397" t="s">
        <v>1434</v>
      </c>
    </row>
    <row r="398" spans="9:14" x14ac:dyDescent="0.2">
      <c r="I398" t="s">
        <v>1227</v>
      </c>
      <c r="J398" t="s">
        <v>1228</v>
      </c>
      <c r="K398" t="s">
        <v>1429</v>
      </c>
      <c r="L398" t="s">
        <v>1441</v>
      </c>
    </row>
    <row r="399" spans="9:14" x14ac:dyDescent="0.2">
      <c r="I399" t="s">
        <v>1681</v>
      </c>
      <c r="J399" t="s">
        <v>1230</v>
      </c>
      <c r="K399" t="s">
        <v>1429</v>
      </c>
      <c r="L399" t="s">
        <v>1434</v>
      </c>
    </row>
    <row r="400" spans="9:14" x14ac:dyDescent="0.2">
      <c r="I400" t="s">
        <v>1229</v>
      </c>
      <c r="J400" t="s">
        <v>1230</v>
      </c>
      <c r="K400" t="s">
        <v>1429</v>
      </c>
      <c r="L400" t="s">
        <v>1441</v>
      </c>
      <c r="M400" t="s">
        <v>1252</v>
      </c>
      <c r="N400" t="s">
        <v>1695</v>
      </c>
    </row>
    <row r="401" spans="9:14" x14ac:dyDescent="0.2">
      <c r="I401" t="s">
        <v>1682</v>
      </c>
      <c r="J401" t="s">
        <v>1683</v>
      </c>
      <c r="K401" t="s">
        <v>1429</v>
      </c>
      <c r="L401" t="s">
        <v>1434</v>
      </c>
    </row>
    <row r="402" spans="9:14" x14ac:dyDescent="0.2">
      <c r="I402" t="s">
        <v>1684</v>
      </c>
      <c r="J402" t="s">
        <v>1106</v>
      </c>
      <c r="K402" t="s">
        <v>1429</v>
      </c>
      <c r="L402" t="s">
        <v>1434</v>
      </c>
    </row>
    <row r="403" spans="9:14" x14ac:dyDescent="0.2">
      <c r="I403" t="s">
        <v>1231</v>
      </c>
      <c r="J403" t="s">
        <v>1106</v>
      </c>
      <c r="K403" t="s">
        <v>1429</v>
      </c>
      <c r="L403" t="s">
        <v>1441</v>
      </c>
      <c r="M403" t="s">
        <v>1252</v>
      </c>
      <c r="N403" t="s">
        <v>1695</v>
      </c>
    </row>
    <row r="404" spans="9:14" x14ac:dyDescent="0.2">
      <c r="I404" t="s">
        <v>2196</v>
      </c>
      <c r="J404" t="s">
        <v>1233</v>
      </c>
      <c r="K404" t="s">
        <v>1429</v>
      </c>
      <c r="L404" t="s">
        <v>1434</v>
      </c>
    </row>
    <row r="405" spans="9:14" x14ac:dyDescent="0.2">
      <c r="I405" t="s">
        <v>2197</v>
      </c>
      <c r="J405" t="s">
        <v>1233</v>
      </c>
      <c r="K405" t="s">
        <v>1429</v>
      </c>
      <c r="L405" t="s">
        <v>1434</v>
      </c>
    </row>
    <row r="406" spans="9:14" x14ac:dyDescent="0.2">
      <c r="I406" t="s">
        <v>2198</v>
      </c>
      <c r="J406" t="s">
        <v>1233</v>
      </c>
      <c r="K406" t="s">
        <v>1429</v>
      </c>
      <c r="L406" t="s">
        <v>1434</v>
      </c>
    </row>
    <row r="407" spans="9:14" x14ac:dyDescent="0.2">
      <c r="I407" t="s">
        <v>1232</v>
      </c>
      <c r="J407" t="s">
        <v>1233</v>
      </c>
      <c r="K407" t="s">
        <v>1429</v>
      </c>
      <c r="L407" t="s">
        <v>1441</v>
      </c>
    </row>
    <row r="408" spans="9:14" x14ac:dyDescent="0.2">
      <c r="I408" t="s">
        <v>1685</v>
      </c>
      <c r="J408" t="s">
        <v>1686</v>
      </c>
      <c r="K408" t="s">
        <v>1429</v>
      </c>
      <c r="L408" t="s">
        <v>1430</v>
      </c>
    </row>
    <row r="409" spans="9:14" x14ac:dyDescent="0.2">
      <c r="I409" t="s">
        <v>1687</v>
      </c>
      <c r="J409" t="s">
        <v>1688</v>
      </c>
      <c r="K409" t="s">
        <v>1429</v>
      </c>
      <c r="L409" t="s">
        <v>1434</v>
      </c>
    </row>
    <row r="410" spans="9:14" x14ac:dyDescent="0.2">
      <c r="I410" t="s">
        <v>1689</v>
      </c>
      <c r="J410" t="s">
        <v>1690</v>
      </c>
      <c r="K410" t="s">
        <v>1429</v>
      </c>
      <c r="L410" t="s">
        <v>1434</v>
      </c>
    </row>
    <row r="411" spans="9:14" x14ac:dyDescent="0.2">
      <c r="I411" t="s">
        <v>1691</v>
      </c>
      <c r="J411" t="s">
        <v>1690</v>
      </c>
      <c r="K411" t="s">
        <v>1429</v>
      </c>
      <c r="L411" t="s">
        <v>1434</v>
      </c>
    </row>
    <row r="412" spans="9:14" x14ac:dyDescent="0.2">
      <c r="I412" t="s">
        <v>1234</v>
      </c>
      <c r="J412" t="s">
        <v>1084</v>
      </c>
      <c r="K412" t="s">
        <v>1429</v>
      </c>
      <c r="L412" t="s">
        <v>1441</v>
      </c>
      <c r="M412" t="s">
        <v>1253</v>
      </c>
      <c r="N412" t="s">
        <v>919</v>
      </c>
    </row>
    <row r="413" spans="9:14" x14ac:dyDescent="0.2">
      <c r="I413" t="s">
        <v>1692</v>
      </c>
      <c r="J413" t="s">
        <v>1690</v>
      </c>
      <c r="K413" t="s">
        <v>1429</v>
      </c>
      <c r="L413" t="s">
        <v>1434</v>
      </c>
    </row>
    <row r="414" spans="9:14" x14ac:dyDescent="0.2">
      <c r="I414" t="s">
        <v>1235</v>
      </c>
      <c r="J414" t="s">
        <v>1084</v>
      </c>
      <c r="K414" t="s">
        <v>1429</v>
      </c>
      <c r="L414" t="s">
        <v>1441</v>
      </c>
      <c r="M414" t="s">
        <v>1253</v>
      </c>
      <c r="N414" t="s">
        <v>919</v>
      </c>
    </row>
    <row r="415" spans="9:14" x14ac:dyDescent="0.2">
      <c r="I415" t="s">
        <v>1236</v>
      </c>
      <c r="J415" t="s">
        <v>968</v>
      </c>
      <c r="K415" t="s">
        <v>1429</v>
      </c>
      <c r="L415" t="s">
        <v>1441</v>
      </c>
    </row>
    <row r="416" spans="9:14" x14ac:dyDescent="0.2">
      <c r="I416" t="s">
        <v>1237</v>
      </c>
      <c r="J416" t="s">
        <v>1100</v>
      </c>
      <c r="K416" t="s">
        <v>1429</v>
      </c>
      <c r="L416" t="s">
        <v>1441</v>
      </c>
    </row>
    <row r="417" spans="9:12" x14ac:dyDescent="0.2">
      <c r="I417" t="s">
        <v>2199</v>
      </c>
      <c r="J417" t="s">
        <v>2200</v>
      </c>
      <c r="K417" t="s">
        <v>1429</v>
      </c>
      <c r="L417" t="s">
        <v>1434</v>
      </c>
    </row>
    <row r="418" spans="9:12" x14ac:dyDescent="0.2">
      <c r="I418" t="s">
        <v>2201</v>
      </c>
      <c r="J418" t="s">
        <v>1239</v>
      </c>
      <c r="K418" t="s">
        <v>1429</v>
      </c>
      <c r="L418" t="s">
        <v>1434</v>
      </c>
    </row>
    <row r="419" spans="9:12" x14ac:dyDescent="0.2">
      <c r="I419" t="s">
        <v>1238</v>
      </c>
      <c r="J419" t="s">
        <v>1239</v>
      </c>
      <c r="K419" t="s">
        <v>1429</v>
      </c>
      <c r="L419" t="s">
        <v>1441</v>
      </c>
    </row>
  </sheetData>
  <phoneticPr fontId="49" type="noConversion"/>
  <hyperlinks>
    <hyperlink ref="C17" r:id="rId1" xr:uid="{E789FCB7-7BE9-4600-8549-45EFB5AB51D5}"/>
    <hyperlink ref="C24" r:id="rId2" xr:uid="{FDA300FC-AFCD-4A6B-9AAA-A3D11A903B79}"/>
    <hyperlink ref="C27" r:id="rId3" xr:uid="{15D683CD-6FEB-43A4-B0B3-B2AA465A94F5}"/>
  </hyperlinks>
  <pageMargins left="0.7" right="0.7" top="0.75" bottom="0.75" header="0.3" footer="0.3"/>
  <legacyDrawing r:id="rId4"/>
  <tableParts count="3"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137CC-E1B1-40E4-9B86-28B49AFCB62E}">
  <dimension ref="B3:EE2533"/>
  <sheetViews>
    <sheetView showGridLines="0" topLeftCell="AQ1" workbookViewId="0">
      <selection activeCell="AU5" sqref="AU5"/>
    </sheetView>
  </sheetViews>
  <sheetFormatPr defaultRowHeight="12" x14ac:dyDescent="0.2"/>
  <cols>
    <col min="1" max="1" width="3.83203125" customWidth="1"/>
    <col min="2" max="2" width="10" bestFit="1" customWidth="1"/>
    <col min="3" max="3" width="9" bestFit="1" customWidth="1"/>
    <col min="4" max="4" width="27.5" bestFit="1" customWidth="1"/>
    <col min="5" max="5" width="21.6640625" bestFit="1" customWidth="1"/>
    <col min="6" max="6" width="18.83203125" bestFit="1" customWidth="1"/>
    <col min="7" max="7" width="13.33203125" bestFit="1" customWidth="1"/>
    <col min="8" max="8" width="11.5" bestFit="1" customWidth="1"/>
    <col min="9" max="9" width="16.6640625" bestFit="1" customWidth="1"/>
    <col min="10" max="10" width="11.6640625" bestFit="1" customWidth="1"/>
    <col min="11" max="11" width="18.1640625" bestFit="1" customWidth="1"/>
    <col min="12" max="12" width="13.33203125" bestFit="1" customWidth="1"/>
    <col min="13" max="13" width="10.6640625" bestFit="1" customWidth="1"/>
    <col min="14" max="14" width="12.83203125" bestFit="1" customWidth="1"/>
    <col min="15" max="15" width="32.1640625" bestFit="1" customWidth="1"/>
    <col min="16" max="16" width="29.5" bestFit="1" customWidth="1"/>
    <col min="17" max="17" width="20.33203125" bestFit="1" customWidth="1"/>
    <col min="18" max="18" width="13.6640625" bestFit="1" customWidth="1"/>
    <col min="19" max="19" width="22" bestFit="1" customWidth="1"/>
    <col min="20" max="20" width="16.6640625" bestFit="1" customWidth="1"/>
    <col min="21" max="21" width="20.1640625" bestFit="1" customWidth="1"/>
    <col min="22" max="22" width="20.33203125" bestFit="1" customWidth="1"/>
    <col min="23" max="23" width="21.1640625" bestFit="1" customWidth="1"/>
    <col min="24" max="24" width="17.6640625" bestFit="1" customWidth="1"/>
    <col min="25" max="25" width="20.5" bestFit="1" customWidth="1"/>
    <col min="26" max="26" width="30.5" bestFit="1" customWidth="1"/>
    <col min="27" max="27" width="29.1640625" bestFit="1" customWidth="1"/>
    <col min="28" max="28" width="22.5" bestFit="1" customWidth="1"/>
    <col min="29" max="29" width="17" bestFit="1" customWidth="1"/>
    <col min="30" max="30" width="13.5" bestFit="1" customWidth="1"/>
    <col min="31" max="31" width="16.33203125" bestFit="1" customWidth="1"/>
    <col min="32" max="32" width="26.33203125" bestFit="1" customWidth="1"/>
    <col min="33" max="33" width="25" bestFit="1" customWidth="1"/>
    <col min="34" max="34" width="18.33203125" bestFit="1" customWidth="1"/>
    <col min="35" max="35" width="21.1640625" bestFit="1" customWidth="1"/>
    <col min="36" max="36" width="17.6640625" bestFit="1" customWidth="1"/>
    <col min="37" max="37" width="20.5" bestFit="1" customWidth="1"/>
    <col min="38" max="38" width="30.5" bestFit="1" customWidth="1"/>
    <col min="39" max="39" width="29.1640625" bestFit="1" customWidth="1"/>
    <col min="40" max="40" width="22.5" bestFit="1" customWidth="1"/>
    <col min="41" max="41" width="25.33203125" bestFit="1" customWidth="1"/>
    <col min="42" max="42" width="29" bestFit="1" customWidth="1"/>
    <col min="43" max="43" width="24" bestFit="1" customWidth="1"/>
    <col min="44" max="44" width="37.6640625" bestFit="1" customWidth="1"/>
    <col min="45" max="45" width="31.83203125" bestFit="1" customWidth="1"/>
    <col min="46" max="46" width="26.5" bestFit="1" customWidth="1"/>
    <col min="47" max="47" width="25.1640625" bestFit="1" customWidth="1"/>
    <col min="48" max="48" width="24.83203125" bestFit="1" customWidth="1"/>
    <col min="49" max="49" width="30.33203125" bestFit="1" customWidth="1"/>
    <col min="50" max="50" width="23.1640625" bestFit="1" customWidth="1"/>
    <col min="51" max="51" width="20.5" bestFit="1" customWidth="1"/>
    <col min="52" max="52" width="33.33203125" bestFit="1" customWidth="1"/>
    <col min="53" max="53" width="31.83203125" bestFit="1" customWidth="1"/>
    <col min="54" max="54" width="21" bestFit="1" customWidth="1"/>
    <col min="55" max="55" width="18.1640625" bestFit="1" customWidth="1"/>
    <col min="56" max="56" width="31" bestFit="1" customWidth="1"/>
    <col min="57" max="57" width="29.6640625" bestFit="1" customWidth="1"/>
    <col min="58" max="58" width="17.5" bestFit="1" customWidth="1"/>
    <col min="59" max="59" width="14.6640625" bestFit="1" customWidth="1"/>
    <col min="60" max="60" width="27.5" bestFit="1" customWidth="1"/>
    <col min="61" max="61" width="26.1640625" bestFit="1" customWidth="1"/>
    <col min="62" max="62" width="31" bestFit="1" customWidth="1"/>
    <col min="63" max="63" width="28.1640625" bestFit="1" customWidth="1"/>
    <col min="64" max="64" width="41.1640625" bestFit="1" customWidth="1"/>
    <col min="65" max="65" width="39.6640625" bestFit="1" customWidth="1"/>
    <col min="66" max="66" width="19.33203125" bestFit="1" customWidth="1"/>
    <col min="67" max="67" width="42.6640625" bestFit="1" customWidth="1"/>
    <col min="68" max="68" width="26" bestFit="1" customWidth="1"/>
    <col min="69" max="69" width="16.5" bestFit="1" customWidth="1"/>
    <col min="70" max="70" width="39.6640625" bestFit="1" customWidth="1"/>
    <col min="71" max="71" width="23" bestFit="1" customWidth="1"/>
    <col min="72" max="72" width="17.1640625" bestFit="1" customWidth="1"/>
    <col min="73" max="73" width="40.33203125" bestFit="1" customWidth="1"/>
    <col min="74" max="74" width="23.6640625" bestFit="1" customWidth="1"/>
    <col min="75" max="75" width="15.1640625" bestFit="1" customWidth="1"/>
    <col min="76" max="76" width="38.5" bestFit="1" customWidth="1"/>
    <col min="77" max="77" width="21.83203125" bestFit="1" customWidth="1"/>
    <col min="78" max="78" width="16.5" bestFit="1" customWidth="1"/>
    <col min="79" max="79" width="39.6640625" bestFit="1" customWidth="1"/>
    <col min="80" max="80" width="23" bestFit="1" customWidth="1"/>
    <col min="81" max="81" width="19.5" bestFit="1" customWidth="1"/>
    <col min="82" max="82" width="42.83203125" bestFit="1" customWidth="1"/>
    <col min="83" max="83" width="26.1640625" bestFit="1" customWidth="1"/>
    <col min="84" max="84" width="16.5" bestFit="1" customWidth="1"/>
    <col min="85" max="85" width="39.6640625" bestFit="1" customWidth="1"/>
    <col min="86" max="86" width="23" bestFit="1" customWidth="1"/>
    <col min="87" max="87" width="31" bestFit="1" customWidth="1"/>
    <col min="88" max="88" width="28.1640625" bestFit="1" customWidth="1"/>
    <col min="89" max="89" width="41.1640625" bestFit="1" customWidth="1"/>
    <col min="90" max="90" width="34.1640625" bestFit="1" customWidth="1"/>
    <col min="91" max="91" width="10" bestFit="1" customWidth="1"/>
    <col min="92" max="92" width="26.33203125" bestFit="1" customWidth="1"/>
    <col min="93" max="93" width="22.1640625" bestFit="1" customWidth="1"/>
    <col min="94" max="94" width="9.33203125" bestFit="1" customWidth="1"/>
    <col min="95" max="95" width="11.33203125" bestFit="1" customWidth="1"/>
    <col min="96" max="96" width="15" bestFit="1" customWidth="1"/>
    <col min="97" max="97" width="22.83203125" bestFit="1" customWidth="1"/>
    <col min="98" max="98" width="11.33203125" bestFit="1" customWidth="1"/>
    <col min="99" max="99" width="10.83203125" bestFit="1" customWidth="1"/>
    <col min="100" max="100" width="10.1640625" bestFit="1" customWidth="1"/>
    <col min="101" max="101" width="11.83203125" bestFit="1" customWidth="1"/>
    <col min="102" max="102" width="9.1640625" bestFit="1" customWidth="1"/>
    <col min="103" max="103" width="21.83203125" bestFit="1" customWidth="1"/>
    <col min="104" max="104" width="20.5" bestFit="1" customWidth="1"/>
    <col min="105" max="105" width="13.83203125" bestFit="1" customWidth="1"/>
    <col min="106" max="106" width="10" bestFit="1" customWidth="1"/>
    <col min="107" max="107" width="10.83203125" bestFit="1" customWidth="1"/>
    <col min="108" max="108" width="9.1640625" bestFit="1" customWidth="1"/>
    <col min="109" max="109" width="27.6640625" bestFit="1" customWidth="1"/>
    <col min="110" max="110" width="81.33203125" bestFit="1" customWidth="1"/>
    <col min="111" max="111" width="18.33203125" bestFit="1" customWidth="1"/>
    <col min="112" max="112" width="11.83203125" bestFit="1" customWidth="1"/>
    <col min="113" max="113" width="11.6640625" bestFit="1" customWidth="1"/>
    <col min="114" max="114" width="10.83203125" bestFit="1" customWidth="1"/>
    <col min="115" max="115" width="16.6640625" bestFit="1" customWidth="1"/>
    <col min="116" max="116" width="10.83203125" bestFit="1" customWidth="1"/>
    <col min="117" max="117" width="34" bestFit="1" customWidth="1"/>
    <col min="118" max="118" width="17.33203125" bestFit="1" customWidth="1"/>
    <col min="119" max="119" width="8.83203125" bestFit="1" customWidth="1"/>
    <col min="120" max="120" width="11.33203125" bestFit="1" customWidth="1"/>
    <col min="121" max="121" width="60.5" bestFit="1" customWidth="1"/>
    <col min="122" max="122" width="11.6640625" bestFit="1" customWidth="1"/>
    <col min="123" max="123" width="15" bestFit="1" customWidth="1"/>
    <col min="124" max="124" width="9" bestFit="1" customWidth="1"/>
    <col min="125" max="125" width="9.33203125" bestFit="1" customWidth="1"/>
    <col min="126" max="126" width="13.6640625" bestFit="1" customWidth="1"/>
    <col min="127" max="127" width="12.33203125" bestFit="1" customWidth="1"/>
    <col min="128" max="128" width="20.33203125" bestFit="1" customWidth="1"/>
    <col min="129" max="129" width="8.83203125" customWidth="1"/>
    <col min="130" max="130" width="10" bestFit="1" customWidth="1"/>
    <col min="131" max="131" width="11" bestFit="1" customWidth="1"/>
    <col min="132" max="132" width="66.33203125" bestFit="1" customWidth="1"/>
    <col min="133" max="133" width="45.33203125" bestFit="1" customWidth="1"/>
    <col min="134" max="134" width="13.1640625" bestFit="1" customWidth="1"/>
    <col min="135" max="135" width="15.6640625" bestFit="1" customWidth="1"/>
    <col min="136" max="136" width="13.1640625" bestFit="1" customWidth="1"/>
    <col min="137" max="137" width="15.6640625" bestFit="1" customWidth="1"/>
    <col min="138" max="138" width="20.5" bestFit="1" customWidth="1"/>
  </cols>
  <sheetData>
    <row r="3" spans="2:135" ht="15" x14ac:dyDescent="0.2">
      <c r="B3" s="8" t="s">
        <v>33</v>
      </c>
      <c r="D3" s="12"/>
      <c r="R3" s="12"/>
      <c r="S3" s="17"/>
      <c r="T3" s="12"/>
      <c r="U3" s="12"/>
      <c r="DP3" t="s">
        <v>1693</v>
      </c>
      <c r="DZ3" s="23" t="s">
        <v>1247</v>
      </c>
    </row>
    <row r="4" spans="2:135" x14ac:dyDescent="0.2">
      <c r="R4" s="17"/>
    </row>
    <row r="5" spans="2:135" x14ac:dyDescent="0.2">
      <c r="DP5" t="s">
        <v>1240</v>
      </c>
      <c r="DQ5" t="s">
        <v>1241</v>
      </c>
      <c r="DR5" t="s">
        <v>1420</v>
      </c>
      <c r="DS5" t="s">
        <v>1421</v>
      </c>
      <c r="DT5" t="s">
        <v>1422</v>
      </c>
      <c r="DU5" t="s">
        <v>1423</v>
      </c>
      <c r="DV5" t="s">
        <v>1424</v>
      </c>
      <c r="DW5" t="s">
        <v>1249</v>
      </c>
      <c r="DX5" t="s">
        <v>1425</v>
      </c>
      <c r="DZ5" t="s">
        <v>1243</v>
      </c>
      <c r="EA5" t="s">
        <v>1696</v>
      </c>
      <c r="EB5" t="s">
        <v>1332</v>
      </c>
      <c r="EC5" t="s">
        <v>1248</v>
      </c>
      <c r="ED5" t="s">
        <v>1244</v>
      </c>
      <c r="EE5" t="s">
        <v>1245</v>
      </c>
    </row>
    <row r="6" spans="2:135" x14ac:dyDescent="0.2">
      <c r="DP6" t="s">
        <v>1426</v>
      </c>
      <c r="DQ6" t="s">
        <v>1422</v>
      </c>
      <c r="DR6" t="s">
        <v>1427</v>
      </c>
      <c r="DS6" t="s">
        <v>1428</v>
      </c>
      <c r="DT6" t="s">
        <v>1429</v>
      </c>
      <c r="DV6" t="b">
        <v>1</v>
      </c>
      <c r="DW6" t="s">
        <v>1430</v>
      </c>
      <c r="DX6" s="31">
        <v>46143.258568159719</v>
      </c>
      <c r="DZ6" s="5">
        <v>45778</v>
      </c>
      <c r="EA6" s="13" t="s">
        <v>1252</v>
      </c>
      <c r="EB6" s="13" t="s">
        <v>1403</v>
      </c>
      <c r="EC6" s="13" t="s">
        <v>1106</v>
      </c>
      <c r="ED6" s="11">
        <v>0</v>
      </c>
      <c r="EE6" s="11"/>
    </row>
    <row r="7" spans="2:135" x14ac:dyDescent="0.2">
      <c r="DP7" t="s">
        <v>1431</v>
      </c>
      <c r="DQ7" t="s">
        <v>1432</v>
      </c>
      <c r="DR7" t="s">
        <v>1433</v>
      </c>
      <c r="DS7" t="s">
        <v>1428</v>
      </c>
      <c r="DT7" t="s">
        <v>1429</v>
      </c>
      <c r="DU7" t="s">
        <v>1426</v>
      </c>
      <c r="DV7" t="b">
        <v>1</v>
      </c>
      <c r="DW7" t="s">
        <v>1434</v>
      </c>
      <c r="DX7" s="31">
        <v>46143.258568159719</v>
      </c>
      <c r="DZ7" s="5">
        <v>45778</v>
      </c>
      <c r="EA7" s="13" t="s">
        <v>1252</v>
      </c>
      <c r="EB7" s="13" t="s">
        <v>1388</v>
      </c>
      <c r="EC7" s="13" t="s">
        <v>1106</v>
      </c>
      <c r="ED7" s="11">
        <v>90</v>
      </c>
      <c r="EE7" s="11"/>
    </row>
    <row r="8" spans="2:135" x14ac:dyDescent="0.2">
      <c r="DP8" t="s">
        <v>1435</v>
      </c>
      <c r="DQ8" t="s">
        <v>1436</v>
      </c>
      <c r="DR8" t="s">
        <v>1437</v>
      </c>
      <c r="DS8" t="s">
        <v>1428</v>
      </c>
      <c r="DT8" t="s">
        <v>1429</v>
      </c>
      <c r="DU8" t="s">
        <v>1431</v>
      </c>
      <c r="DV8" t="b">
        <v>1</v>
      </c>
      <c r="DW8" t="s">
        <v>1434</v>
      </c>
      <c r="DX8" s="31">
        <v>46143.258568159719</v>
      </c>
      <c r="DZ8" s="5">
        <v>45778</v>
      </c>
      <c r="EA8" s="13" t="s">
        <v>1252</v>
      </c>
      <c r="EB8" s="13" t="s">
        <v>1375</v>
      </c>
      <c r="EC8" s="13" t="s">
        <v>1106</v>
      </c>
      <c r="ED8" s="11">
        <v>300</v>
      </c>
      <c r="EE8" s="11"/>
    </row>
    <row r="9" spans="2:135" x14ac:dyDescent="0.2">
      <c r="DP9" t="s">
        <v>1438</v>
      </c>
      <c r="DQ9" t="s">
        <v>921</v>
      </c>
      <c r="DR9" t="s">
        <v>1439</v>
      </c>
      <c r="DS9" t="s">
        <v>1428</v>
      </c>
      <c r="DT9" t="s">
        <v>1429</v>
      </c>
      <c r="DU9" t="s">
        <v>1435</v>
      </c>
      <c r="DV9" t="b">
        <v>1</v>
      </c>
      <c r="DW9" t="s">
        <v>1434</v>
      </c>
      <c r="DX9" s="31">
        <v>46143.258568159719</v>
      </c>
      <c r="DZ9" s="5">
        <v>45778</v>
      </c>
      <c r="EA9" s="13" t="s">
        <v>1252</v>
      </c>
      <c r="EB9" s="13" t="s">
        <v>2202</v>
      </c>
      <c r="EC9" s="13" t="s">
        <v>1106</v>
      </c>
      <c r="ED9" s="11">
        <v>900</v>
      </c>
      <c r="EE9" s="11"/>
    </row>
    <row r="10" spans="2:135" x14ac:dyDescent="0.2">
      <c r="DP10" t="s">
        <v>920</v>
      </c>
      <c r="DQ10" t="s">
        <v>921</v>
      </c>
      <c r="DR10" t="s">
        <v>1440</v>
      </c>
      <c r="DS10" t="s">
        <v>1429</v>
      </c>
      <c r="DT10" t="s">
        <v>1429</v>
      </c>
      <c r="DU10" t="s">
        <v>1438</v>
      </c>
      <c r="DV10" t="b">
        <v>0</v>
      </c>
      <c r="DW10" t="s">
        <v>1441</v>
      </c>
      <c r="DX10" s="31">
        <v>46143.258568159719</v>
      </c>
      <c r="DZ10" s="5">
        <v>45778</v>
      </c>
      <c r="EA10" s="13" t="s">
        <v>1252</v>
      </c>
      <c r="EB10" s="13" t="s">
        <v>1377</v>
      </c>
      <c r="EC10" s="13" t="s">
        <v>1106</v>
      </c>
      <c r="ED10" s="11">
        <v>0</v>
      </c>
      <c r="EE10" s="11"/>
    </row>
    <row r="11" spans="2:135" x14ac:dyDescent="0.2">
      <c r="DP11" t="s">
        <v>1442</v>
      </c>
      <c r="DQ11" t="s">
        <v>1443</v>
      </c>
      <c r="DR11" t="s">
        <v>1437</v>
      </c>
      <c r="DS11" t="s">
        <v>1428</v>
      </c>
      <c r="DT11" t="s">
        <v>1429</v>
      </c>
      <c r="DU11" t="s">
        <v>1431</v>
      </c>
      <c r="DV11" t="b">
        <v>1</v>
      </c>
      <c r="DW11" t="s">
        <v>1434</v>
      </c>
      <c r="DX11" s="31">
        <v>46143.258568159719</v>
      </c>
      <c r="DZ11" s="5">
        <v>45778</v>
      </c>
      <c r="EA11" s="13" t="s">
        <v>1252</v>
      </c>
      <c r="EB11" s="13" t="s">
        <v>1374</v>
      </c>
      <c r="EC11" s="13" t="s">
        <v>1106</v>
      </c>
      <c r="ED11" s="11">
        <v>730</v>
      </c>
      <c r="EE11" s="11"/>
    </row>
    <row r="12" spans="2:135" x14ac:dyDescent="0.2">
      <c r="DP12" t="s">
        <v>2154</v>
      </c>
      <c r="DQ12" t="s">
        <v>923</v>
      </c>
      <c r="DR12" t="s">
        <v>1439</v>
      </c>
      <c r="DS12" t="s">
        <v>1428</v>
      </c>
      <c r="DT12" t="s">
        <v>1429</v>
      </c>
      <c r="DU12" t="s">
        <v>1442</v>
      </c>
      <c r="DV12" t="b">
        <v>1</v>
      </c>
      <c r="DW12" t="s">
        <v>1434</v>
      </c>
      <c r="DX12" s="31">
        <v>46143.258568159719</v>
      </c>
      <c r="DZ12" s="5">
        <v>45778</v>
      </c>
      <c r="EA12" s="13" t="s">
        <v>1251</v>
      </c>
      <c r="EB12" s="13" t="s">
        <v>1379</v>
      </c>
      <c r="EC12" s="13" t="s">
        <v>1212</v>
      </c>
      <c r="ED12" s="11">
        <v>610200</v>
      </c>
      <c r="EE12" s="11"/>
    </row>
    <row r="13" spans="2:135" x14ac:dyDescent="0.2">
      <c r="DP13" t="s">
        <v>922</v>
      </c>
      <c r="DQ13" t="s">
        <v>923</v>
      </c>
      <c r="DR13" t="s">
        <v>1440</v>
      </c>
      <c r="DS13" t="s">
        <v>1429</v>
      </c>
      <c r="DT13" t="s">
        <v>1429</v>
      </c>
      <c r="DU13" t="s">
        <v>2154</v>
      </c>
      <c r="DV13" t="b">
        <v>0</v>
      </c>
      <c r="DW13" t="s">
        <v>1441</v>
      </c>
      <c r="DX13" s="31">
        <v>46143.258568159719</v>
      </c>
      <c r="DZ13" s="5">
        <v>45778</v>
      </c>
      <c r="EA13" s="13" t="s">
        <v>1251</v>
      </c>
      <c r="EB13" s="13" t="s">
        <v>2203</v>
      </c>
      <c r="EC13" s="13" t="s">
        <v>1212</v>
      </c>
      <c r="ED13" s="11">
        <v>0</v>
      </c>
      <c r="EE13" s="11"/>
    </row>
    <row r="14" spans="2:135" x14ac:dyDescent="0.2">
      <c r="DP14" t="s">
        <v>1444</v>
      </c>
      <c r="DQ14" t="s">
        <v>1445</v>
      </c>
      <c r="DR14" t="s">
        <v>1439</v>
      </c>
      <c r="DS14" t="s">
        <v>1428</v>
      </c>
      <c r="DT14" t="s">
        <v>1429</v>
      </c>
      <c r="DU14" t="s">
        <v>1442</v>
      </c>
      <c r="DV14" t="b">
        <v>1</v>
      </c>
      <c r="DW14" t="s">
        <v>1434</v>
      </c>
      <c r="DX14" s="31">
        <v>46143.258568159719</v>
      </c>
      <c r="DZ14" s="5">
        <v>45778</v>
      </c>
      <c r="EA14" s="13" t="s">
        <v>1251</v>
      </c>
      <c r="EB14" s="13" t="s">
        <v>1380</v>
      </c>
      <c r="EC14" s="13" t="s">
        <v>1212</v>
      </c>
      <c r="ED14" s="11">
        <v>0</v>
      </c>
      <c r="EE14" s="11"/>
    </row>
    <row r="15" spans="2:135" x14ac:dyDescent="0.2">
      <c r="DP15" t="s">
        <v>924</v>
      </c>
      <c r="DQ15" t="s">
        <v>925</v>
      </c>
      <c r="DR15" t="s">
        <v>1440</v>
      </c>
      <c r="DS15" t="s">
        <v>1429</v>
      </c>
      <c r="DT15" t="s">
        <v>1429</v>
      </c>
      <c r="DU15" t="s">
        <v>1444</v>
      </c>
      <c r="DV15" t="b">
        <v>0</v>
      </c>
      <c r="DW15" t="s">
        <v>1441</v>
      </c>
      <c r="DX15" s="31">
        <v>46143.258568159719</v>
      </c>
      <c r="DZ15" s="5">
        <v>45778</v>
      </c>
      <c r="EA15" s="13" t="s">
        <v>1251</v>
      </c>
      <c r="EB15" s="13" t="s">
        <v>2204</v>
      </c>
      <c r="EC15" s="13" t="s">
        <v>1212</v>
      </c>
      <c r="ED15" s="11">
        <v>106890.17</v>
      </c>
      <c r="EE15" s="11"/>
    </row>
    <row r="16" spans="2:135" x14ac:dyDescent="0.2">
      <c r="DP16" t="s">
        <v>1446</v>
      </c>
      <c r="DQ16" t="s">
        <v>1447</v>
      </c>
      <c r="DR16" t="s">
        <v>1437</v>
      </c>
      <c r="DS16" t="s">
        <v>1428</v>
      </c>
      <c r="DT16" t="s">
        <v>1429</v>
      </c>
      <c r="DU16" t="s">
        <v>1431</v>
      </c>
      <c r="DV16" t="b">
        <v>1</v>
      </c>
      <c r="DW16" t="s">
        <v>1434</v>
      </c>
      <c r="DX16" s="31">
        <v>46143.258568159719</v>
      </c>
      <c r="DZ16" s="5">
        <v>45778</v>
      </c>
      <c r="EA16" s="13" t="s">
        <v>1251</v>
      </c>
      <c r="EB16" s="13" t="s">
        <v>1360</v>
      </c>
      <c r="EC16" s="13" t="s">
        <v>1124</v>
      </c>
      <c r="ED16" s="11">
        <v>419400</v>
      </c>
      <c r="EE16" s="11"/>
    </row>
    <row r="17" spans="120:135" x14ac:dyDescent="0.2">
      <c r="DP17" t="s">
        <v>1448</v>
      </c>
      <c r="DQ17" t="s">
        <v>1371</v>
      </c>
      <c r="DR17" t="s">
        <v>1439</v>
      </c>
      <c r="DS17" t="s">
        <v>1428</v>
      </c>
      <c r="DT17" t="s">
        <v>1429</v>
      </c>
      <c r="DU17" t="s">
        <v>1446</v>
      </c>
      <c r="DV17" t="b">
        <v>1</v>
      </c>
      <c r="DW17" t="s">
        <v>1434</v>
      </c>
      <c r="DX17" s="31">
        <v>46143.258568159719</v>
      </c>
      <c r="DZ17" s="5">
        <v>45778</v>
      </c>
      <c r="EA17" s="13" t="s">
        <v>1250</v>
      </c>
      <c r="EB17" s="13" t="s">
        <v>1360</v>
      </c>
      <c r="EC17" s="13" t="s">
        <v>1124</v>
      </c>
      <c r="ED17" s="11">
        <v>170800</v>
      </c>
      <c r="EE17" s="11"/>
    </row>
    <row r="18" spans="120:135" x14ac:dyDescent="0.2">
      <c r="DP18" t="s">
        <v>926</v>
      </c>
      <c r="DQ18" t="s">
        <v>927</v>
      </c>
      <c r="DR18" t="s">
        <v>1440</v>
      </c>
      <c r="DS18" t="s">
        <v>1429</v>
      </c>
      <c r="DT18" t="s">
        <v>1429</v>
      </c>
      <c r="DU18" t="s">
        <v>1448</v>
      </c>
      <c r="DV18" t="b">
        <v>0</v>
      </c>
      <c r="DW18" t="s">
        <v>1441</v>
      </c>
      <c r="DX18" s="31">
        <v>46143.258568159719</v>
      </c>
      <c r="DZ18" s="5">
        <v>45778</v>
      </c>
      <c r="EA18" s="13" t="s">
        <v>1250</v>
      </c>
      <c r="EB18" s="13" t="s">
        <v>1338</v>
      </c>
      <c r="EC18" s="13" t="s">
        <v>1121</v>
      </c>
      <c r="ED18" s="11">
        <v>7500</v>
      </c>
      <c r="EE18" s="11"/>
    </row>
    <row r="19" spans="120:135" x14ac:dyDescent="0.2">
      <c r="DP19" t="s">
        <v>928</v>
      </c>
      <c r="DQ19" t="s">
        <v>929</v>
      </c>
      <c r="DR19" t="s">
        <v>1440</v>
      </c>
      <c r="DS19" t="s">
        <v>1429</v>
      </c>
      <c r="DT19" t="s">
        <v>1429</v>
      </c>
      <c r="DU19" t="s">
        <v>1448</v>
      </c>
      <c r="DV19" t="b">
        <v>0</v>
      </c>
      <c r="DW19" t="s">
        <v>1441</v>
      </c>
      <c r="DX19" s="31">
        <v>46143.258568159719</v>
      </c>
      <c r="DZ19" s="5">
        <v>45778</v>
      </c>
      <c r="EA19" s="13" t="s">
        <v>1251</v>
      </c>
      <c r="EB19" s="13" t="s">
        <v>1338</v>
      </c>
      <c r="EC19" s="13" t="s">
        <v>1121</v>
      </c>
      <c r="ED19" s="11">
        <v>18100</v>
      </c>
      <c r="EE19" s="11"/>
    </row>
    <row r="20" spans="120:135" x14ac:dyDescent="0.2">
      <c r="DP20" t="s">
        <v>1449</v>
      </c>
      <c r="DQ20" t="s">
        <v>1450</v>
      </c>
      <c r="DR20" t="s">
        <v>1439</v>
      </c>
      <c r="DS20" t="s">
        <v>1428</v>
      </c>
      <c r="DT20" t="s">
        <v>1429</v>
      </c>
      <c r="DU20" t="s">
        <v>1446</v>
      </c>
      <c r="DV20" t="b">
        <v>1</v>
      </c>
      <c r="DW20" t="s">
        <v>1434</v>
      </c>
      <c r="DX20" s="31">
        <v>46143.258568159719</v>
      </c>
      <c r="DZ20" s="5">
        <v>45778</v>
      </c>
      <c r="EA20" s="13" t="s">
        <v>1251</v>
      </c>
      <c r="EB20" s="13" t="s">
        <v>1340</v>
      </c>
      <c r="EC20" s="13" t="s">
        <v>1126</v>
      </c>
      <c r="ED20" s="11">
        <v>138800</v>
      </c>
      <c r="EE20" s="11"/>
    </row>
    <row r="21" spans="120:135" x14ac:dyDescent="0.2">
      <c r="DP21" t="s">
        <v>930</v>
      </c>
      <c r="DQ21" t="s">
        <v>929</v>
      </c>
      <c r="DR21" t="s">
        <v>1440</v>
      </c>
      <c r="DS21" t="s">
        <v>1429</v>
      </c>
      <c r="DT21" t="s">
        <v>1429</v>
      </c>
      <c r="DU21" t="s">
        <v>1449</v>
      </c>
      <c r="DV21" t="b">
        <v>0</v>
      </c>
      <c r="DW21" t="s">
        <v>1441</v>
      </c>
      <c r="DX21" s="31">
        <v>46143.258568159719</v>
      </c>
      <c r="DZ21" s="5">
        <v>45778</v>
      </c>
      <c r="EA21" s="13" t="s">
        <v>1250</v>
      </c>
      <c r="EB21" s="13" t="s">
        <v>1340</v>
      </c>
      <c r="EC21" s="13" t="s">
        <v>1126</v>
      </c>
      <c r="ED21" s="11">
        <v>56900</v>
      </c>
      <c r="EE21" s="11"/>
    </row>
    <row r="22" spans="120:135" x14ac:dyDescent="0.2">
      <c r="DP22" t="s">
        <v>1451</v>
      </c>
      <c r="DQ22" t="s">
        <v>1452</v>
      </c>
      <c r="DR22" t="s">
        <v>1433</v>
      </c>
      <c r="DS22" t="s">
        <v>1428</v>
      </c>
      <c r="DT22" t="s">
        <v>1429</v>
      </c>
      <c r="DU22" t="s">
        <v>1426</v>
      </c>
      <c r="DV22" t="b">
        <v>1</v>
      </c>
      <c r="DW22" t="s">
        <v>1434</v>
      </c>
      <c r="DX22" s="31">
        <v>46143.258568159719</v>
      </c>
      <c r="DZ22" s="5">
        <v>45778</v>
      </c>
      <c r="EA22" s="13" t="s">
        <v>1250</v>
      </c>
      <c r="EB22" s="13" t="s">
        <v>2205</v>
      </c>
      <c r="EC22" s="13" t="s">
        <v>1138</v>
      </c>
      <c r="ED22" s="11">
        <v>300000</v>
      </c>
      <c r="EE22" s="11"/>
    </row>
    <row r="23" spans="120:135" x14ac:dyDescent="0.2">
      <c r="DP23" t="s">
        <v>1453</v>
      </c>
      <c r="DQ23" t="s">
        <v>1454</v>
      </c>
      <c r="DR23" t="s">
        <v>1437</v>
      </c>
      <c r="DS23" t="s">
        <v>1428</v>
      </c>
      <c r="DT23" t="s">
        <v>1429</v>
      </c>
      <c r="DU23" t="s">
        <v>1451</v>
      </c>
      <c r="DV23" t="b">
        <v>1</v>
      </c>
      <c r="DW23" t="s">
        <v>1434</v>
      </c>
      <c r="DX23" s="31">
        <v>46143.258568159719</v>
      </c>
      <c r="DZ23" s="5">
        <v>45778</v>
      </c>
      <c r="EA23" s="13" t="s">
        <v>1250</v>
      </c>
      <c r="EB23" s="13" t="s">
        <v>1358</v>
      </c>
      <c r="EC23" s="13" t="s">
        <v>1110</v>
      </c>
      <c r="ED23" s="11">
        <v>193333</v>
      </c>
      <c r="EE23" s="11"/>
    </row>
    <row r="24" spans="120:135" x14ac:dyDescent="0.2">
      <c r="DP24" t="s">
        <v>1455</v>
      </c>
      <c r="DQ24" t="s">
        <v>1456</v>
      </c>
      <c r="DR24" t="s">
        <v>1439</v>
      </c>
      <c r="DS24" t="s">
        <v>1428</v>
      </c>
      <c r="DT24" t="s">
        <v>1429</v>
      </c>
      <c r="DU24" t="s">
        <v>1453</v>
      </c>
      <c r="DV24" t="b">
        <v>1</v>
      </c>
      <c r="DW24" t="s">
        <v>1434</v>
      </c>
      <c r="DX24" s="31">
        <v>46143.258568159719</v>
      </c>
      <c r="DZ24" s="5">
        <v>45778</v>
      </c>
      <c r="EA24" s="13" t="s">
        <v>1251</v>
      </c>
      <c r="EB24" s="13" t="s">
        <v>2206</v>
      </c>
      <c r="EC24" s="13" t="s">
        <v>1187</v>
      </c>
      <c r="ED24" s="11">
        <v>200000</v>
      </c>
      <c r="EE24" s="11"/>
    </row>
    <row r="25" spans="120:135" x14ac:dyDescent="0.2">
      <c r="DP25" t="s">
        <v>931</v>
      </c>
      <c r="DQ25" t="s">
        <v>932</v>
      </c>
      <c r="DR25" t="s">
        <v>1440</v>
      </c>
      <c r="DS25" t="s">
        <v>1429</v>
      </c>
      <c r="DT25" t="s">
        <v>1429</v>
      </c>
      <c r="DU25" t="s">
        <v>1455</v>
      </c>
      <c r="DV25" t="b">
        <v>0</v>
      </c>
      <c r="DW25" t="s">
        <v>1441</v>
      </c>
      <c r="DX25" s="31">
        <v>46143.258568159719</v>
      </c>
      <c r="DZ25" s="5">
        <v>45778</v>
      </c>
      <c r="EA25" s="13" t="s">
        <v>1250</v>
      </c>
      <c r="EB25" s="13" t="s">
        <v>1358</v>
      </c>
      <c r="EC25" s="13" t="s">
        <v>1132</v>
      </c>
      <c r="ED25" s="11">
        <v>321920</v>
      </c>
      <c r="EE25" s="11"/>
    </row>
    <row r="26" spans="120:135" x14ac:dyDescent="0.2">
      <c r="DP26" t="s">
        <v>1457</v>
      </c>
      <c r="DQ26" t="s">
        <v>1458</v>
      </c>
      <c r="DR26" t="s">
        <v>1433</v>
      </c>
      <c r="DS26" t="s">
        <v>1428</v>
      </c>
      <c r="DT26" t="s">
        <v>1429</v>
      </c>
      <c r="DU26" t="s">
        <v>1426</v>
      </c>
      <c r="DV26" t="b">
        <v>1</v>
      </c>
      <c r="DW26" t="s">
        <v>1434</v>
      </c>
      <c r="DX26" s="31">
        <v>46143.258568159719</v>
      </c>
      <c r="DZ26" s="5">
        <v>45778</v>
      </c>
      <c r="EA26" s="13" t="s">
        <v>1250</v>
      </c>
      <c r="EB26" s="13" t="s">
        <v>2207</v>
      </c>
      <c r="EC26" s="13" t="s">
        <v>1172</v>
      </c>
      <c r="ED26" s="11">
        <v>0</v>
      </c>
      <c r="EE26" s="11"/>
    </row>
    <row r="27" spans="120:135" x14ac:dyDescent="0.2">
      <c r="DP27" t="s">
        <v>1459</v>
      </c>
      <c r="DQ27" t="s">
        <v>934</v>
      </c>
      <c r="DR27" t="s">
        <v>1437</v>
      </c>
      <c r="DS27" t="s">
        <v>1428</v>
      </c>
      <c r="DT27" t="s">
        <v>1429</v>
      </c>
      <c r="DU27" t="s">
        <v>1457</v>
      </c>
      <c r="DV27" t="b">
        <v>1</v>
      </c>
      <c r="DW27" t="s">
        <v>1434</v>
      </c>
      <c r="DX27" s="31">
        <v>46143.258568159719</v>
      </c>
      <c r="DZ27" s="5">
        <v>45778</v>
      </c>
      <c r="EA27" s="13" t="s">
        <v>1250</v>
      </c>
      <c r="EB27" s="13" t="s">
        <v>1414</v>
      </c>
      <c r="EC27" s="13" t="s">
        <v>1172</v>
      </c>
      <c r="ED27" s="11">
        <v>0</v>
      </c>
      <c r="EE27" s="11"/>
    </row>
    <row r="28" spans="120:135" x14ac:dyDescent="0.2">
      <c r="DP28" t="s">
        <v>1460</v>
      </c>
      <c r="DQ28" t="s">
        <v>934</v>
      </c>
      <c r="DR28" t="s">
        <v>1439</v>
      </c>
      <c r="DS28" t="s">
        <v>1428</v>
      </c>
      <c r="DT28" t="s">
        <v>1429</v>
      </c>
      <c r="DU28" t="s">
        <v>1459</v>
      </c>
      <c r="DV28" t="b">
        <v>1</v>
      </c>
      <c r="DW28" t="s">
        <v>1434</v>
      </c>
      <c r="DX28" s="31">
        <v>46143.258568159719</v>
      </c>
      <c r="DZ28" s="5">
        <v>45778</v>
      </c>
      <c r="EA28" s="13" t="s">
        <v>1250</v>
      </c>
      <c r="EB28" s="13" t="s">
        <v>2208</v>
      </c>
      <c r="EC28" s="13" t="s">
        <v>1172</v>
      </c>
      <c r="ED28" s="11">
        <v>0</v>
      </c>
      <c r="EE28" s="11"/>
    </row>
    <row r="29" spans="120:135" x14ac:dyDescent="0.2">
      <c r="DP29" t="s">
        <v>933</v>
      </c>
      <c r="DQ29" t="s">
        <v>934</v>
      </c>
      <c r="DR29" t="s">
        <v>1440</v>
      </c>
      <c r="DS29" t="s">
        <v>1429</v>
      </c>
      <c r="DT29" t="s">
        <v>1429</v>
      </c>
      <c r="DU29" t="s">
        <v>1460</v>
      </c>
      <c r="DV29" t="b">
        <v>0</v>
      </c>
      <c r="DW29" t="s">
        <v>1441</v>
      </c>
      <c r="DX29" s="31">
        <v>46143.258568159719</v>
      </c>
      <c r="DZ29" s="5">
        <v>45778</v>
      </c>
      <c r="EA29" s="13" t="s">
        <v>1250</v>
      </c>
      <c r="EB29" s="13" t="s">
        <v>2209</v>
      </c>
      <c r="EC29" s="13" t="s">
        <v>1172</v>
      </c>
      <c r="ED29" s="11">
        <v>0</v>
      </c>
      <c r="EE29" s="11"/>
    </row>
    <row r="30" spans="120:135" x14ac:dyDescent="0.2">
      <c r="DP30" t="s">
        <v>935</v>
      </c>
      <c r="DQ30" t="s">
        <v>936</v>
      </c>
      <c r="DR30" t="s">
        <v>1440</v>
      </c>
      <c r="DS30" t="s">
        <v>1429</v>
      </c>
      <c r="DT30" t="s">
        <v>1429</v>
      </c>
      <c r="DU30" t="s">
        <v>1460</v>
      </c>
      <c r="DV30" t="b">
        <v>0</v>
      </c>
      <c r="DW30" t="s">
        <v>1441</v>
      </c>
      <c r="DX30" s="31">
        <v>46143.258568159719</v>
      </c>
      <c r="DZ30" s="5">
        <v>45778</v>
      </c>
      <c r="EA30" s="13" t="s">
        <v>1250</v>
      </c>
      <c r="EB30" s="13" t="s">
        <v>2210</v>
      </c>
      <c r="EC30" s="13" t="s">
        <v>1172</v>
      </c>
      <c r="ED30" s="11">
        <v>0</v>
      </c>
      <c r="EE30" s="11"/>
    </row>
    <row r="31" spans="120:135" x14ac:dyDescent="0.2">
      <c r="DP31" t="s">
        <v>1461</v>
      </c>
      <c r="DQ31" t="s">
        <v>1462</v>
      </c>
      <c r="DR31" t="s">
        <v>1437</v>
      </c>
      <c r="DS31" t="s">
        <v>1428</v>
      </c>
      <c r="DT31" t="s">
        <v>1429</v>
      </c>
      <c r="DU31" t="s">
        <v>1457</v>
      </c>
      <c r="DV31" t="b">
        <v>1</v>
      </c>
      <c r="DW31" t="s">
        <v>1434</v>
      </c>
      <c r="DX31" s="31">
        <v>46143.258568159719</v>
      </c>
      <c r="DZ31" s="5">
        <v>45778</v>
      </c>
      <c r="EA31" s="13" t="s">
        <v>1250</v>
      </c>
      <c r="EB31" s="13" t="s">
        <v>2211</v>
      </c>
      <c r="EC31" s="13" t="s">
        <v>1172</v>
      </c>
      <c r="ED31" s="11">
        <v>0</v>
      </c>
      <c r="EE31" s="11"/>
    </row>
    <row r="32" spans="120:135" x14ac:dyDescent="0.2">
      <c r="DP32" t="s">
        <v>1463</v>
      </c>
      <c r="DQ32" t="s">
        <v>938</v>
      </c>
      <c r="DR32" t="s">
        <v>1439</v>
      </c>
      <c r="DS32" t="s">
        <v>1428</v>
      </c>
      <c r="DT32" t="s">
        <v>1429</v>
      </c>
      <c r="DU32" t="s">
        <v>1461</v>
      </c>
      <c r="DV32" t="b">
        <v>1</v>
      </c>
      <c r="DW32" t="s">
        <v>1434</v>
      </c>
      <c r="DX32" s="31">
        <v>46143.258568159719</v>
      </c>
      <c r="DZ32" s="5">
        <v>45778</v>
      </c>
      <c r="EA32" s="13" t="s">
        <v>1250</v>
      </c>
      <c r="EB32" s="13" t="s">
        <v>1391</v>
      </c>
      <c r="EC32" s="13" t="s">
        <v>1172</v>
      </c>
      <c r="ED32" s="11">
        <v>0</v>
      </c>
      <c r="EE32" s="11"/>
    </row>
    <row r="33" spans="120:135" x14ac:dyDescent="0.2">
      <c r="DP33" t="s">
        <v>937</v>
      </c>
      <c r="DQ33" t="s">
        <v>938</v>
      </c>
      <c r="DR33" t="s">
        <v>1440</v>
      </c>
      <c r="DS33" t="s">
        <v>1429</v>
      </c>
      <c r="DT33" t="s">
        <v>1429</v>
      </c>
      <c r="DU33" t="s">
        <v>1463</v>
      </c>
      <c r="DV33" t="b">
        <v>0</v>
      </c>
      <c r="DW33" t="s">
        <v>1441</v>
      </c>
      <c r="DX33" s="31">
        <v>46143.258568159719</v>
      </c>
      <c r="DZ33" s="5">
        <v>45778</v>
      </c>
      <c r="EA33" s="13" t="s">
        <v>1251</v>
      </c>
      <c r="EB33" s="13" t="s">
        <v>2212</v>
      </c>
      <c r="EC33" s="13" t="s">
        <v>1054</v>
      </c>
      <c r="ED33" s="11">
        <v>186719</v>
      </c>
      <c r="EE33" s="11"/>
    </row>
    <row r="34" spans="120:135" x14ac:dyDescent="0.2">
      <c r="DP34" t="s">
        <v>1464</v>
      </c>
      <c r="DQ34" t="s">
        <v>940</v>
      </c>
      <c r="DR34" t="s">
        <v>1439</v>
      </c>
      <c r="DS34" t="s">
        <v>1428</v>
      </c>
      <c r="DT34" t="s">
        <v>1429</v>
      </c>
      <c r="DU34" t="s">
        <v>1461</v>
      </c>
      <c r="DV34" t="b">
        <v>1</v>
      </c>
      <c r="DW34" t="s">
        <v>1434</v>
      </c>
      <c r="DX34" s="31">
        <v>46143.258568159719</v>
      </c>
      <c r="DZ34" s="5">
        <v>45778</v>
      </c>
      <c r="EA34" s="13" t="s">
        <v>1251</v>
      </c>
      <c r="EB34" s="13" t="s">
        <v>2206</v>
      </c>
      <c r="EC34" s="13" t="s">
        <v>1054</v>
      </c>
      <c r="ED34" s="11">
        <v>135292</v>
      </c>
      <c r="EE34" s="11"/>
    </row>
    <row r="35" spans="120:135" x14ac:dyDescent="0.2">
      <c r="DP35" t="s">
        <v>939</v>
      </c>
      <c r="DQ35" t="s">
        <v>940</v>
      </c>
      <c r="DR35" t="s">
        <v>1440</v>
      </c>
      <c r="DS35" t="s">
        <v>1429</v>
      </c>
      <c r="DT35" t="s">
        <v>1429</v>
      </c>
      <c r="DU35" t="s">
        <v>1464</v>
      </c>
      <c r="DV35" t="b">
        <v>0</v>
      </c>
      <c r="DW35" t="s">
        <v>1441</v>
      </c>
      <c r="DX35" s="31">
        <v>46143.258568159719</v>
      </c>
      <c r="DZ35" s="5">
        <v>45778</v>
      </c>
      <c r="EA35" s="13" t="s">
        <v>1250</v>
      </c>
      <c r="EB35" s="13" t="s">
        <v>1358</v>
      </c>
      <c r="EC35" s="13" t="s">
        <v>1054</v>
      </c>
      <c r="ED35" s="11">
        <v>135292</v>
      </c>
      <c r="EE35" s="11"/>
    </row>
    <row r="36" spans="120:135" x14ac:dyDescent="0.2">
      <c r="DP36" t="s">
        <v>1465</v>
      </c>
      <c r="DQ36" t="s">
        <v>1466</v>
      </c>
      <c r="DR36" t="s">
        <v>1437</v>
      </c>
      <c r="DS36" t="s">
        <v>1428</v>
      </c>
      <c r="DT36" t="s">
        <v>1429</v>
      </c>
      <c r="DU36" t="s">
        <v>1457</v>
      </c>
      <c r="DV36" t="b">
        <v>1</v>
      </c>
      <c r="DW36" t="s">
        <v>1434</v>
      </c>
      <c r="DX36" s="31">
        <v>46143.258568159719</v>
      </c>
      <c r="DZ36" s="5">
        <v>45778</v>
      </c>
      <c r="EA36" s="13" t="s">
        <v>1251</v>
      </c>
      <c r="EB36" s="13" t="s">
        <v>2213</v>
      </c>
      <c r="EC36" s="13" t="s">
        <v>1166</v>
      </c>
      <c r="ED36" s="11"/>
      <c r="EE36" s="11">
        <v>937377</v>
      </c>
    </row>
    <row r="37" spans="120:135" x14ac:dyDescent="0.2">
      <c r="DP37" t="s">
        <v>1467</v>
      </c>
      <c r="DQ37" t="s">
        <v>942</v>
      </c>
      <c r="DR37" t="s">
        <v>1439</v>
      </c>
      <c r="DS37" t="s">
        <v>1428</v>
      </c>
      <c r="DT37" t="s">
        <v>1429</v>
      </c>
      <c r="DU37" t="s">
        <v>1465</v>
      </c>
      <c r="DV37" t="b">
        <v>1</v>
      </c>
      <c r="DW37" t="s">
        <v>1434</v>
      </c>
      <c r="DX37" s="31">
        <v>46143.258568159719</v>
      </c>
      <c r="DZ37" s="5">
        <v>45778</v>
      </c>
      <c r="EA37" s="13" t="s">
        <v>1252</v>
      </c>
      <c r="EB37" s="13" t="s">
        <v>1355</v>
      </c>
      <c r="EC37" s="13" t="s">
        <v>1166</v>
      </c>
      <c r="ED37" s="11">
        <v>0</v>
      </c>
      <c r="EE37" s="11"/>
    </row>
    <row r="38" spans="120:135" x14ac:dyDescent="0.2">
      <c r="DP38" t="s">
        <v>941</v>
      </c>
      <c r="DQ38" t="s">
        <v>942</v>
      </c>
      <c r="DR38" t="s">
        <v>1440</v>
      </c>
      <c r="DS38" t="s">
        <v>1429</v>
      </c>
      <c r="DT38" t="s">
        <v>1429</v>
      </c>
      <c r="DU38" t="s">
        <v>1467</v>
      </c>
      <c r="DV38" t="b">
        <v>0</v>
      </c>
      <c r="DW38" t="s">
        <v>1441</v>
      </c>
      <c r="DX38" s="31">
        <v>46143.258568159719</v>
      </c>
      <c r="DZ38" s="5">
        <v>45778</v>
      </c>
      <c r="EA38" s="13" t="s">
        <v>1252</v>
      </c>
      <c r="EB38" s="13" t="s">
        <v>1371</v>
      </c>
      <c r="EC38" s="13" t="s">
        <v>1166</v>
      </c>
      <c r="ED38" s="11">
        <v>149915</v>
      </c>
      <c r="EE38" s="11"/>
    </row>
    <row r="39" spans="120:135" x14ac:dyDescent="0.2">
      <c r="DP39" t="s">
        <v>1468</v>
      </c>
      <c r="DQ39" t="s">
        <v>1469</v>
      </c>
      <c r="DR39" t="s">
        <v>1439</v>
      </c>
      <c r="DS39" t="s">
        <v>1428</v>
      </c>
      <c r="DT39" t="s">
        <v>1429</v>
      </c>
      <c r="DU39" t="s">
        <v>1465</v>
      </c>
      <c r="DV39" t="b">
        <v>1</v>
      </c>
      <c r="DW39" t="s">
        <v>1434</v>
      </c>
      <c r="DX39" s="31">
        <v>46143.258568159719</v>
      </c>
      <c r="DZ39" s="5">
        <v>45778</v>
      </c>
      <c r="EA39" s="13" t="s">
        <v>1251</v>
      </c>
      <c r="EB39" s="13" t="s">
        <v>1355</v>
      </c>
      <c r="EC39" s="13" t="s">
        <v>1166</v>
      </c>
      <c r="ED39" s="11"/>
      <c r="EE39" s="11">
        <v>160986</v>
      </c>
    </row>
    <row r="40" spans="120:135" x14ac:dyDescent="0.2">
      <c r="DP40" t="s">
        <v>943</v>
      </c>
      <c r="DQ40" t="s">
        <v>944</v>
      </c>
      <c r="DR40" t="s">
        <v>1440</v>
      </c>
      <c r="DS40" t="s">
        <v>1429</v>
      </c>
      <c r="DT40" t="s">
        <v>1429</v>
      </c>
      <c r="DU40" t="s">
        <v>1468</v>
      </c>
      <c r="DV40" t="b">
        <v>0</v>
      </c>
      <c r="DW40" t="s">
        <v>1441</v>
      </c>
      <c r="DX40" s="31">
        <v>46143.258568159719</v>
      </c>
      <c r="DZ40" s="5">
        <v>45778</v>
      </c>
      <c r="EA40" s="13" t="s">
        <v>1251</v>
      </c>
      <c r="EB40" s="13" t="s">
        <v>2212</v>
      </c>
      <c r="EC40" s="13" t="s">
        <v>1166</v>
      </c>
      <c r="ED40" s="11"/>
      <c r="EE40" s="11">
        <v>218737</v>
      </c>
    </row>
    <row r="41" spans="120:135" x14ac:dyDescent="0.2">
      <c r="DP41" t="s">
        <v>945</v>
      </c>
      <c r="DQ41" t="s">
        <v>946</v>
      </c>
      <c r="DR41" t="s">
        <v>1440</v>
      </c>
      <c r="DS41" t="s">
        <v>1429</v>
      </c>
      <c r="DT41" t="s">
        <v>1429</v>
      </c>
      <c r="DU41" t="s">
        <v>1468</v>
      </c>
      <c r="DV41" t="b">
        <v>0</v>
      </c>
      <c r="DW41" t="s">
        <v>1441</v>
      </c>
      <c r="DX41" s="31">
        <v>46143.258568159719</v>
      </c>
      <c r="DZ41" s="5">
        <v>45778</v>
      </c>
      <c r="EA41" s="13" t="s">
        <v>1251</v>
      </c>
      <c r="EB41" s="13" t="s">
        <v>1351</v>
      </c>
      <c r="EC41" s="13" t="s">
        <v>1166</v>
      </c>
      <c r="ED41" s="11"/>
      <c r="EE41" s="11">
        <v>224141</v>
      </c>
    </row>
    <row r="42" spans="120:135" x14ac:dyDescent="0.2">
      <c r="DP42" t="s">
        <v>947</v>
      </c>
      <c r="DQ42" t="s">
        <v>948</v>
      </c>
      <c r="DR42" t="s">
        <v>1440</v>
      </c>
      <c r="DS42" t="s">
        <v>1429</v>
      </c>
      <c r="DT42" t="s">
        <v>1429</v>
      </c>
      <c r="DU42" t="s">
        <v>1468</v>
      </c>
      <c r="DV42" t="b">
        <v>0</v>
      </c>
      <c r="DW42" t="s">
        <v>1441</v>
      </c>
      <c r="DX42" s="31">
        <v>46143.258568159719</v>
      </c>
      <c r="DZ42" s="5">
        <v>45778</v>
      </c>
      <c r="EA42" s="13" t="s">
        <v>1251</v>
      </c>
      <c r="EB42" s="13" t="s">
        <v>2214</v>
      </c>
      <c r="EC42" s="13" t="s">
        <v>1166</v>
      </c>
      <c r="ED42" s="11"/>
      <c r="EE42" s="11">
        <v>17581</v>
      </c>
    </row>
    <row r="43" spans="120:135" x14ac:dyDescent="0.2">
      <c r="DP43" t="s">
        <v>949</v>
      </c>
      <c r="DQ43" t="s">
        <v>950</v>
      </c>
      <c r="DR43" t="s">
        <v>1440</v>
      </c>
      <c r="DS43" t="s">
        <v>1429</v>
      </c>
      <c r="DT43" t="s">
        <v>1429</v>
      </c>
      <c r="DU43" t="s">
        <v>1468</v>
      </c>
      <c r="DV43" t="b">
        <v>0</v>
      </c>
      <c r="DW43" t="s">
        <v>1441</v>
      </c>
      <c r="DX43" s="31">
        <v>46143.258568159719</v>
      </c>
      <c r="DZ43" s="5">
        <v>45778</v>
      </c>
      <c r="EA43" s="13" t="s">
        <v>1252</v>
      </c>
      <c r="EB43" s="13" t="s">
        <v>2215</v>
      </c>
      <c r="EC43" s="13" t="s">
        <v>1224</v>
      </c>
      <c r="ED43" s="11">
        <v>17647.05</v>
      </c>
      <c r="EE43" s="11"/>
    </row>
    <row r="44" spans="120:135" x14ac:dyDescent="0.2">
      <c r="DP44" t="s">
        <v>951</v>
      </c>
      <c r="DQ44" t="s">
        <v>952</v>
      </c>
      <c r="DR44" t="s">
        <v>1440</v>
      </c>
      <c r="DS44" t="s">
        <v>1429</v>
      </c>
      <c r="DT44" t="s">
        <v>1429</v>
      </c>
      <c r="DU44" t="s">
        <v>1468</v>
      </c>
      <c r="DV44" t="b">
        <v>0</v>
      </c>
      <c r="DW44" t="s">
        <v>1441</v>
      </c>
      <c r="DX44" s="31">
        <v>46143.258568159719</v>
      </c>
      <c r="DZ44" s="5">
        <v>45778</v>
      </c>
      <c r="EA44" s="13" t="s">
        <v>1252</v>
      </c>
      <c r="EB44" s="13" t="s">
        <v>2216</v>
      </c>
      <c r="EC44" s="13" t="s">
        <v>1224</v>
      </c>
      <c r="ED44" s="11">
        <v>6722.69</v>
      </c>
      <c r="EE44" s="11"/>
    </row>
    <row r="45" spans="120:135" x14ac:dyDescent="0.2">
      <c r="DP45" t="s">
        <v>1470</v>
      </c>
      <c r="DQ45" t="s">
        <v>1471</v>
      </c>
      <c r="DR45" t="s">
        <v>1439</v>
      </c>
      <c r="DS45" t="s">
        <v>1428</v>
      </c>
      <c r="DT45" t="s">
        <v>1429</v>
      </c>
      <c r="DU45" t="s">
        <v>1465</v>
      </c>
      <c r="DV45" t="b">
        <v>1</v>
      </c>
      <c r="DW45" t="s">
        <v>1434</v>
      </c>
      <c r="DX45" s="31">
        <v>46143.258568159719</v>
      </c>
      <c r="DZ45" s="5">
        <v>45778</v>
      </c>
      <c r="EA45" s="13" t="s">
        <v>1252</v>
      </c>
      <c r="EB45" s="13" t="s">
        <v>2217</v>
      </c>
      <c r="EC45" s="13" t="s">
        <v>1224</v>
      </c>
      <c r="ED45" s="11">
        <v>8403.36</v>
      </c>
      <c r="EE45" s="11"/>
    </row>
    <row r="46" spans="120:135" x14ac:dyDescent="0.2">
      <c r="DP46" t="s">
        <v>953</v>
      </c>
      <c r="DQ46" t="s">
        <v>954</v>
      </c>
      <c r="DR46" t="s">
        <v>1440</v>
      </c>
      <c r="DS46" t="s">
        <v>1429</v>
      </c>
      <c r="DT46" t="s">
        <v>1429</v>
      </c>
      <c r="DU46" t="s">
        <v>1470</v>
      </c>
      <c r="DV46" t="b">
        <v>0</v>
      </c>
      <c r="DW46" t="s">
        <v>1441</v>
      </c>
      <c r="DX46" s="31">
        <v>46143.258568159719</v>
      </c>
      <c r="DZ46" s="5">
        <v>45778</v>
      </c>
      <c r="EA46" s="13" t="s">
        <v>1252</v>
      </c>
      <c r="EB46" s="13" t="s">
        <v>2218</v>
      </c>
      <c r="EC46" s="13" t="s">
        <v>1224</v>
      </c>
      <c r="ED46" s="11">
        <v>155552.94</v>
      </c>
      <c r="EE46" s="11"/>
    </row>
    <row r="47" spans="120:135" x14ac:dyDescent="0.2">
      <c r="DP47" t="s">
        <v>1472</v>
      </c>
      <c r="DQ47" t="s">
        <v>1473</v>
      </c>
      <c r="DR47" t="s">
        <v>1439</v>
      </c>
      <c r="DS47" t="s">
        <v>1428</v>
      </c>
      <c r="DT47" t="s">
        <v>1429</v>
      </c>
      <c r="DU47" t="s">
        <v>1465</v>
      </c>
      <c r="DV47" t="b">
        <v>1</v>
      </c>
      <c r="DW47" t="s">
        <v>1434</v>
      </c>
      <c r="DX47" s="31">
        <v>46143.258568159719</v>
      </c>
      <c r="DZ47" s="5">
        <v>45778</v>
      </c>
      <c r="EA47" s="13" t="s">
        <v>1252</v>
      </c>
      <c r="EB47" s="13" t="s">
        <v>2219</v>
      </c>
      <c r="EC47" s="13" t="s">
        <v>1224</v>
      </c>
      <c r="ED47" s="11">
        <v>6655.46</v>
      </c>
      <c r="EE47" s="11"/>
    </row>
    <row r="48" spans="120:135" x14ac:dyDescent="0.2">
      <c r="DP48" t="s">
        <v>955</v>
      </c>
      <c r="DQ48" t="s">
        <v>956</v>
      </c>
      <c r="DR48" t="s">
        <v>1440</v>
      </c>
      <c r="DS48" t="s">
        <v>1429</v>
      </c>
      <c r="DT48" t="s">
        <v>1429</v>
      </c>
      <c r="DU48" t="s">
        <v>1472</v>
      </c>
      <c r="DV48" t="b">
        <v>0</v>
      </c>
      <c r="DW48" t="s">
        <v>1441</v>
      </c>
      <c r="DX48" s="31">
        <v>46143.258568159719</v>
      </c>
      <c r="DZ48" s="5">
        <v>45778</v>
      </c>
      <c r="EA48" s="13" t="s">
        <v>1252</v>
      </c>
      <c r="EB48" s="13" t="s">
        <v>2220</v>
      </c>
      <c r="EC48" s="13" t="s">
        <v>1224</v>
      </c>
      <c r="ED48" s="11">
        <v>0</v>
      </c>
      <c r="EE48" s="11"/>
    </row>
    <row r="49" spans="120:135" x14ac:dyDescent="0.2">
      <c r="DP49" t="s">
        <v>957</v>
      </c>
      <c r="DQ49" t="s">
        <v>958</v>
      </c>
      <c r="DR49" t="s">
        <v>1440</v>
      </c>
      <c r="DS49" t="s">
        <v>1429</v>
      </c>
      <c r="DT49" t="s">
        <v>1429</v>
      </c>
      <c r="DU49" t="s">
        <v>1472</v>
      </c>
      <c r="DV49" t="b">
        <v>0</v>
      </c>
      <c r="DW49" t="s">
        <v>1441</v>
      </c>
      <c r="DX49" s="31">
        <v>46143.258568159719</v>
      </c>
      <c r="DZ49" s="5">
        <v>45778</v>
      </c>
      <c r="EA49" s="13" t="s">
        <v>1252</v>
      </c>
      <c r="EB49" s="13" t="s">
        <v>2221</v>
      </c>
      <c r="EC49" s="13" t="s">
        <v>1224</v>
      </c>
      <c r="ED49" s="11">
        <v>0</v>
      </c>
      <c r="EE49" s="11"/>
    </row>
    <row r="50" spans="120:135" x14ac:dyDescent="0.2">
      <c r="DP50" t="s">
        <v>959</v>
      </c>
      <c r="DQ50" t="s">
        <v>960</v>
      </c>
      <c r="DR50" t="s">
        <v>1440</v>
      </c>
      <c r="DS50" t="s">
        <v>1429</v>
      </c>
      <c r="DT50" t="s">
        <v>1429</v>
      </c>
      <c r="DU50" t="s">
        <v>1472</v>
      </c>
      <c r="DV50" t="b">
        <v>0</v>
      </c>
      <c r="DW50" t="s">
        <v>1441</v>
      </c>
      <c r="DX50" s="31">
        <v>46143.258568159719</v>
      </c>
      <c r="DZ50" s="5">
        <v>45778</v>
      </c>
      <c r="EA50" s="13" t="s">
        <v>1252</v>
      </c>
      <c r="EB50" s="13" t="s">
        <v>2222</v>
      </c>
      <c r="EC50" s="13" t="s">
        <v>1224</v>
      </c>
      <c r="ED50" s="11">
        <v>22689.08</v>
      </c>
      <c r="EE50" s="11"/>
    </row>
    <row r="51" spans="120:135" x14ac:dyDescent="0.2">
      <c r="DP51" t="s">
        <v>1474</v>
      </c>
      <c r="DQ51" t="s">
        <v>1475</v>
      </c>
      <c r="DR51" t="s">
        <v>1439</v>
      </c>
      <c r="DS51" t="s">
        <v>1428</v>
      </c>
      <c r="DT51" t="s">
        <v>1429</v>
      </c>
      <c r="DU51" t="s">
        <v>1465</v>
      </c>
      <c r="DV51" t="b">
        <v>1</v>
      </c>
      <c r="DW51" t="s">
        <v>1434</v>
      </c>
      <c r="DX51" s="31">
        <v>46143.258568159719</v>
      </c>
      <c r="DZ51" s="5">
        <v>45778</v>
      </c>
      <c r="EA51" s="13" t="s">
        <v>1252</v>
      </c>
      <c r="EB51" s="13" t="s">
        <v>2223</v>
      </c>
      <c r="EC51" s="13" t="s">
        <v>1224</v>
      </c>
      <c r="ED51" s="11">
        <v>0</v>
      </c>
      <c r="EE51" s="11"/>
    </row>
    <row r="52" spans="120:135" x14ac:dyDescent="0.2">
      <c r="DP52" t="s">
        <v>961</v>
      </c>
      <c r="DQ52" t="s">
        <v>962</v>
      </c>
      <c r="DR52" t="s">
        <v>1440</v>
      </c>
      <c r="DS52" t="s">
        <v>1429</v>
      </c>
      <c r="DT52" t="s">
        <v>1429</v>
      </c>
      <c r="DU52" t="s">
        <v>1474</v>
      </c>
      <c r="DV52" t="b">
        <v>0</v>
      </c>
      <c r="DW52" t="s">
        <v>1441</v>
      </c>
      <c r="DX52" s="31">
        <v>46143.258568159719</v>
      </c>
      <c r="DZ52" s="5">
        <v>45778</v>
      </c>
      <c r="EA52" s="13" t="s">
        <v>1252</v>
      </c>
      <c r="EB52" s="13" t="s">
        <v>2224</v>
      </c>
      <c r="EC52" s="13" t="s">
        <v>1224</v>
      </c>
      <c r="ED52" s="11">
        <v>29411.759999999998</v>
      </c>
      <c r="EE52" s="11"/>
    </row>
    <row r="53" spans="120:135" x14ac:dyDescent="0.2">
      <c r="DP53" t="s">
        <v>1476</v>
      </c>
      <c r="DQ53" t="s">
        <v>1477</v>
      </c>
      <c r="DR53" t="s">
        <v>1437</v>
      </c>
      <c r="DS53" t="s">
        <v>1428</v>
      </c>
      <c r="DT53" t="s">
        <v>1429</v>
      </c>
      <c r="DU53" t="s">
        <v>1457</v>
      </c>
      <c r="DV53" t="b">
        <v>1</v>
      </c>
      <c r="DW53" t="s">
        <v>1434</v>
      </c>
      <c r="DX53" s="31">
        <v>46143.258568159719</v>
      </c>
      <c r="DZ53" s="5">
        <v>45778</v>
      </c>
      <c r="EA53" s="13" t="s">
        <v>1252</v>
      </c>
      <c r="EB53" s="13" t="s">
        <v>2225</v>
      </c>
      <c r="EC53" s="13" t="s">
        <v>1224</v>
      </c>
      <c r="ED53" s="11">
        <v>0</v>
      </c>
      <c r="EE53" s="11"/>
    </row>
    <row r="54" spans="120:135" x14ac:dyDescent="0.2">
      <c r="DP54" t="s">
        <v>1478</v>
      </c>
      <c r="DQ54" t="s">
        <v>964</v>
      </c>
      <c r="DR54" t="s">
        <v>1439</v>
      </c>
      <c r="DS54" t="s">
        <v>1428</v>
      </c>
      <c r="DT54" t="s">
        <v>1429</v>
      </c>
      <c r="DU54" t="s">
        <v>1476</v>
      </c>
      <c r="DV54" t="b">
        <v>1</v>
      </c>
      <c r="DW54" t="s">
        <v>1434</v>
      </c>
      <c r="DX54" s="31">
        <v>46143.258568159719</v>
      </c>
      <c r="DZ54" s="5">
        <v>45778</v>
      </c>
      <c r="EA54" s="13" t="s">
        <v>1252</v>
      </c>
      <c r="EB54" s="13" t="s">
        <v>2226</v>
      </c>
      <c r="EC54" s="13" t="s">
        <v>1224</v>
      </c>
      <c r="ED54" s="11">
        <v>4201.68</v>
      </c>
      <c r="EE54" s="11"/>
    </row>
    <row r="55" spans="120:135" x14ac:dyDescent="0.2">
      <c r="DP55" t="s">
        <v>963</v>
      </c>
      <c r="DQ55" t="s">
        <v>964</v>
      </c>
      <c r="DR55" t="s">
        <v>1440</v>
      </c>
      <c r="DS55" t="s">
        <v>1429</v>
      </c>
      <c r="DT55" t="s">
        <v>1429</v>
      </c>
      <c r="DU55" t="s">
        <v>1478</v>
      </c>
      <c r="DV55" t="b">
        <v>0</v>
      </c>
      <c r="DW55" t="s">
        <v>1441</v>
      </c>
      <c r="DX55" s="31">
        <v>46143.258568159719</v>
      </c>
      <c r="DZ55" s="5">
        <v>45778</v>
      </c>
      <c r="EA55" s="13" t="s">
        <v>1252</v>
      </c>
      <c r="EB55" s="13" t="s">
        <v>2227</v>
      </c>
      <c r="EC55" s="13" t="s">
        <v>1224</v>
      </c>
      <c r="ED55" s="11">
        <v>8403.3700000000008</v>
      </c>
      <c r="EE55" s="11"/>
    </row>
    <row r="56" spans="120:135" x14ac:dyDescent="0.2">
      <c r="DP56" t="s">
        <v>1479</v>
      </c>
      <c r="DQ56" t="s">
        <v>966</v>
      </c>
      <c r="DR56" t="s">
        <v>1439</v>
      </c>
      <c r="DS56" t="s">
        <v>1428</v>
      </c>
      <c r="DT56" t="s">
        <v>1429</v>
      </c>
      <c r="DU56" t="s">
        <v>1476</v>
      </c>
      <c r="DV56" t="b">
        <v>1</v>
      </c>
      <c r="DW56" t="s">
        <v>1434</v>
      </c>
      <c r="DX56" s="31">
        <v>46143.258568159719</v>
      </c>
      <c r="DZ56" s="5">
        <v>45778</v>
      </c>
      <c r="EA56" s="13" t="s">
        <v>1252</v>
      </c>
      <c r="EB56" s="13" t="s">
        <v>2228</v>
      </c>
      <c r="EC56" s="13" t="s">
        <v>1224</v>
      </c>
      <c r="ED56" s="11">
        <v>0</v>
      </c>
      <c r="EE56" s="11"/>
    </row>
    <row r="57" spans="120:135" x14ac:dyDescent="0.2">
      <c r="DP57" t="s">
        <v>965</v>
      </c>
      <c r="DQ57" t="s">
        <v>966</v>
      </c>
      <c r="DR57" t="s">
        <v>1440</v>
      </c>
      <c r="DS57" t="s">
        <v>1429</v>
      </c>
      <c r="DT57" t="s">
        <v>1429</v>
      </c>
      <c r="DU57" t="s">
        <v>1479</v>
      </c>
      <c r="DV57" t="b">
        <v>0</v>
      </c>
      <c r="DW57" t="s">
        <v>1441</v>
      </c>
      <c r="DX57" s="31">
        <v>46143.258568159719</v>
      </c>
      <c r="DZ57" s="5">
        <v>45778</v>
      </c>
      <c r="EA57" s="13" t="s">
        <v>1252</v>
      </c>
      <c r="EB57" s="13" t="s">
        <v>2229</v>
      </c>
      <c r="EC57" s="13" t="s">
        <v>1224</v>
      </c>
      <c r="ED57" s="11">
        <v>6722.69</v>
      </c>
      <c r="EE57" s="11"/>
    </row>
    <row r="58" spans="120:135" x14ac:dyDescent="0.2">
      <c r="DP58" t="s">
        <v>1480</v>
      </c>
      <c r="DQ58" t="s">
        <v>1481</v>
      </c>
      <c r="DR58" t="s">
        <v>1433</v>
      </c>
      <c r="DS58" t="s">
        <v>1428</v>
      </c>
      <c r="DT58" t="s">
        <v>1429</v>
      </c>
      <c r="DU58" t="s">
        <v>1426</v>
      </c>
      <c r="DV58" t="b">
        <v>1</v>
      </c>
      <c r="DW58" t="s">
        <v>1434</v>
      </c>
      <c r="DX58" s="31">
        <v>46143.258568159719</v>
      </c>
      <c r="DZ58" s="5">
        <v>45778</v>
      </c>
      <c r="EA58" s="13" t="s">
        <v>1252</v>
      </c>
      <c r="EB58" s="13" t="s">
        <v>2230</v>
      </c>
      <c r="EC58" s="13" t="s">
        <v>1224</v>
      </c>
      <c r="ED58" s="11">
        <v>9243.7000000000007</v>
      </c>
      <c r="EE58" s="11"/>
    </row>
    <row r="59" spans="120:135" x14ac:dyDescent="0.2">
      <c r="DP59" t="s">
        <v>1482</v>
      </c>
      <c r="DQ59" t="s">
        <v>1483</v>
      </c>
      <c r="DR59" t="s">
        <v>1437</v>
      </c>
      <c r="DS59" t="s">
        <v>1428</v>
      </c>
      <c r="DT59" t="s">
        <v>1429</v>
      </c>
      <c r="DU59" t="s">
        <v>1480</v>
      </c>
      <c r="DV59" t="b">
        <v>1</v>
      </c>
      <c r="DW59" t="s">
        <v>1434</v>
      </c>
      <c r="DX59" s="31">
        <v>46143.258568159719</v>
      </c>
      <c r="DZ59" s="5">
        <v>45778</v>
      </c>
      <c r="EA59" s="13" t="s">
        <v>1252</v>
      </c>
      <c r="EB59" s="13" t="s">
        <v>2231</v>
      </c>
      <c r="EC59" s="13" t="s">
        <v>1224</v>
      </c>
      <c r="ED59" s="11">
        <v>0</v>
      </c>
      <c r="EE59" s="11"/>
    </row>
    <row r="60" spans="120:135" x14ac:dyDescent="0.2">
      <c r="DP60" t="s">
        <v>1484</v>
      </c>
      <c r="DQ60" t="s">
        <v>1485</v>
      </c>
      <c r="DR60" t="s">
        <v>1439</v>
      </c>
      <c r="DS60" t="s">
        <v>1428</v>
      </c>
      <c r="DT60" t="s">
        <v>1429</v>
      </c>
      <c r="DU60" t="s">
        <v>1482</v>
      </c>
      <c r="DV60" t="b">
        <v>1</v>
      </c>
      <c r="DW60" t="s">
        <v>1434</v>
      </c>
      <c r="DX60" s="31">
        <v>46143.258568159719</v>
      </c>
      <c r="DZ60" s="5">
        <v>45778</v>
      </c>
      <c r="EA60" s="13" t="s">
        <v>1252</v>
      </c>
      <c r="EB60" s="13" t="s">
        <v>2232</v>
      </c>
      <c r="EC60" s="13" t="s">
        <v>1224</v>
      </c>
      <c r="ED60" s="11">
        <v>0</v>
      </c>
      <c r="EE60" s="11"/>
    </row>
    <row r="61" spans="120:135" x14ac:dyDescent="0.2">
      <c r="DP61" t="s">
        <v>967</v>
      </c>
      <c r="DQ61" t="s">
        <v>968</v>
      </c>
      <c r="DR61" t="s">
        <v>1440</v>
      </c>
      <c r="DS61" t="s">
        <v>1429</v>
      </c>
      <c r="DT61" t="s">
        <v>1429</v>
      </c>
      <c r="DU61" t="s">
        <v>1484</v>
      </c>
      <c r="DV61" t="b">
        <v>0</v>
      </c>
      <c r="DW61" t="s">
        <v>1441</v>
      </c>
      <c r="DX61" s="31">
        <v>46143.258568159719</v>
      </c>
      <c r="DZ61" s="5">
        <v>45778</v>
      </c>
      <c r="EA61" s="13" t="s">
        <v>1252</v>
      </c>
      <c r="EB61" s="13" t="s">
        <v>2233</v>
      </c>
      <c r="EC61" s="13" t="s">
        <v>1224</v>
      </c>
      <c r="ED61" s="11">
        <v>25210.080000000002</v>
      </c>
      <c r="EE61" s="11"/>
    </row>
    <row r="62" spans="120:135" x14ac:dyDescent="0.2">
      <c r="DP62" t="s">
        <v>969</v>
      </c>
      <c r="DQ62" t="s">
        <v>970</v>
      </c>
      <c r="DR62" t="s">
        <v>1440</v>
      </c>
      <c r="DS62" t="s">
        <v>1429</v>
      </c>
      <c r="DT62" t="s">
        <v>1429</v>
      </c>
      <c r="DU62" t="s">
        <v>1484</v>
      </c>
      <c r="DV62" t="b">
        <v>0</v>
      </c>
      <c r="DW62" t="s">
        <v>1441</v>
      </c>
      <c r="DX62" s="31">
        <v>46143.258568159719</v>
      </c>
      <c r="DZ62" s="5">
        <v>45778</v>
      </c>
      <c r="EA62" s="13" t="s">
        <v>1252</v>
      </c>
      <c r="EB62" s="13" t="s">
        <v>2234</v>
      </c>
      <c r="EC62" s="13" t="s">
        <v>1224</v>
      </c>
      <c r="ED62" s="11">
        <v>0</v>
      </c>
      <c r="EE62" s="11"/>
    </row>
    <row r="63" spans="120:135" x14ac:dyDescent="0.2">
      <c r="DP63" t="s">
        <v>971</v>
      </c>
      <c r="DQ63" t="s">
        <v>972</v>
      </c>
      <c r="DR63" t="s">
        <v>1440</v>
      </c>
      <c r="DS63" t="s">
        <v>1429</v>
      </c>
      <c r="DT63" t="s">
        <v>1429</v>
      </c>
      <c r="DU63" t="s">
        <v>1484</v>
      </c>
      <c r="DV63" t="b">
        <v>0</v>
      </c>
      <c r="DW63" t="s">
        <v>1441</v>
      </c>
      <c r="DX63" s="31">
        <v>46143.258568159719</v>
      </c>
      <c r="DZ63" s="5">
        <v>45778</v>
      </c>
      <c r="EA63" s="13" t="s">
        <v>1252</v>
      </c>
      <c r="EB63" s="13" t="s">
        <v>2235</v>
      </c>
      <c r="EC63" s="13" t="s">
        <v>1224</v>
      </c>
      <c r="ED63" s="11">
        <v>0</v>
      </c>
      <c r="EE63" s="11"/>
    </row>
    <row r="64" spans="120:135" x14ac:dyDescent="0.2">
      <c r="DP64" t="s">
        <v>1486</v>
      </c>
      <c r="DQ64" t="s">
        <v>1487</v>
      </c>
      <c r="DR64" t="s">
        <v>1433</v>
      </c>
      <c r="DS64" t="s">
        <v>1428</v>
      </c>
      <c r="DT64" t="s">
        <v>1429</v>
      </c>
      <c r="DU64" t="s">
        <v>1426</v>
      </c>
      <c r="DV64" t="b">
        <v>1</v>
      </c>
      <c r="DW64" t="s">
        <v>1434</v>
      </c>
      <c r="DX64" s="31">
        <v>46143.258568159719</v>
      </c>
      <c r="DZ64" s="5">
        <v>45778</v>
      </c>
      <c r="EA64" s="13" t="s">
        <v>1252</v>
      </c>
      <c r="EB64" s="13" t="s">
        <v>2236</v>
      </c>
      <c r="EC64" s="13" t="s">
        <v>1224</v>
      </c>
      <c r="ED64" s="11">
        <v>0</v>
      </c>
      <c r="EE64" s="11"/>
    </row>
    <row r="65" spans="120:135" x14ac:dyDescent="0.2">
      <c r="DP65" t="s">
        <v>1488</v>
      </c>
      <c r="DQ65" t="s">
        <v>976</v>
      </c>
      <c r="DR65" t="s">
        <v>1437</v>
      </c>
      <c r="DS65" t="s">
        <v>1428</v>
      </c>
      <c r="DT65" t="s">
        <v>1429</v>
      </c>
      <c r="DU65" t="s">
        <v>1486</v>
      </c>
      <c r="DV65" t="b">
        <v>1</v>
      </c>
      <c r="DW65" t="s">
        <v>1434</v>
      </c>
      <c r="DX65" s="31">
        <v>46143.258568159719</v>
      </c>
      <c r="DZ65" s="5">
        <v>45778</v>
      </c>
      <c r="EA65" s="13" t="s">
        <v>1252</v>
      </c>
      <c r="EB65" s="13" t="s">
        <v>2237</v>
      </c>
      <c r="EC65" s="13" t="s">
        <v>1224</v>
      </c>
      <c r="ED65" s="11">
        <v>136458</v>
      </c>
      <c r="EE65" s="11"/>
    </row>
    <row r="66" spans="120:135" x14ac:dyDescent="0.2">
      <c r="DP66" t="s">
        <v>1489</v>
      </c>
      <c r="DQ66" t="s">
        <v>974</v>
      </c>
      <c r="DR66" t="s">
        <v>1439</v>
      </c>
      <c r="DS66" t="s">
        <v>1428</v>
      </c>
      <c r="DT66" t="s">
        <v>1429</v>
      </c>
      <c r="DU66" t="s">
        <v>1488</v>
      </c>
      <c r="DV66" t="b">
        <v>1</v>
      </c>
      <c r="DW66" t="s">
        <v>1434</v>
      </c>
      <c r="DX66" s="31">
        <v>46143.258568159719</v>
      </c>
      <c r="DZ66" s="5">
        <v>45778</v>
      </c>
      <c r="EA66" s="13" t="s">
        <v>1252</v>
      </c>
      <c r="EB66" s="13" t="s">
        <v>2238</v>
      </c>
      <c r="EC66" s="13" t="s">
        <v>1224</v>
      </c>
      <c r="ED66" s="11">
        <v>9243.7000000000007</v>
      </c>
      <c r="EE66" s="11"/>
    </row>
    <row r="67" spans="120:135" x14ac:dyDescent="0.2">
      <c r="DP67" t="s">
        <v>973</v>
      </c>
      <c r="DQ67" t="s">
        <v>974</v>
      </c>
      <c r="DR67" t="s">
        <v>1440</v>
      </c>
      <c r="DS67" t="s">
        <v>1429</v>
      </c>
      <c r="DT67" t="s">
        <v>1429</v>
      </c>
      <c r="DU67" t="s">
        <v>1489</v>
      </c>
      <c r="DV67" t="b">
        <v>0</v>
      </c>
      <c r="DW67" t="s">
        <v>1441</v>
      </c>
      <c r="DX67" s="31">
        <v>46143.258568159719</v>
      </c>
      <c r="DZ67" s="5">
        <v>45778</v>
      </c>
      <c r="EA67" s="13" t="s">
        <v>1252</v>
      </c>
      <c r="EB67" s="13" t="s">
        <v>2239</v>
      </c>
      <c r="EC67" s="13" t="s">
        <v>1224</v>
      </c>
      <c r="ED67" s="11">
        <v>19327.740000000002</v>
      </c>
      <c r="EE67" s="11"/>
    </row>
    <row r="68" spans="120:135" x14ac:dyDescent="0.2">
      <c r="DP68" t="s">
        <v>1490</v>
      </c>
      <c r="DQ68" t="s">
        <v>1491</v>
      </c>
      <c r="DR68" t="s">
        <v>1437</v>
      </c>
      <c r="DS68" t="s">
        <v>1428</v>
      </c>
      <c r="DT68" t="s">
        <v>1429</v>
      </c>
      <c r="DU68" t="s">
        <v>1486</v>
      </c>
      <c r="DV68" t="b">
        <v>1</v>
      </c>
      <c r="DW68" t="s">
        <v>1434</v>
      </c>
      <c r="DX68" s="31">
        <v>46143.258568159719</v>
      </c>
      <c r="DZ68" s="5">
        <v>45778</v>
      </c>
      <c r="EA68" s="13" t="s">
        <v>1252</v>
      </c>
      <c r="EB68" s="13" t="s">
        <v>2240</v>
      </c>
      <c r="EC68" s="13" t="s">
        <v>1224</v>
      </c>
      <c r="ED68" s="11">
        <v>0</v>
      </c>
      <c r="EE68" s="11"/>
    </row>
    <row r="69" spans="120:135" x14ac:dyDescent="0.2">
      <c r="DP69" t="s">
        <v>1492</v>
      </c>
      <c r="DQ69" t="s">
        <v>976</v>
      </c>
      <c r="DR69" t="s">
        <v>1439</v>
      </c>
      <c r="DS69" t="s">
        <v>1428</v>
      </c>
      <c r="DT69" t="s">
        <v>1429</v>
      </c>
      <c r="DU69" t="s">
        <v>1490</v>
      </c>
      <c r="DV69" t="b">
        <v>1</v>
      </c>
      <c r="DW69" t="s">
        <v>1434</v>
      </c>
      <c r="DX69" s="31">
        <v>46143.258568159719</v>
      </c>
      <c r="DZ69" s="5">
        <v>45778</v>
      </c>
      <c r="EA69" s="13" t="s">
        <v>1252</v>
      </c>
      <c r="EB69" s="13" t="s">
        <v>2241</v>
      </c>
      <c r="EC69" s="13" t="s">
        <v>1224</v>
      </c>
      <c r="ED69" s="11">
        <v>46218.49</v>
      </c>
      <c r="EE69" s="11"/>
    </row>
    <row r="70" spans="120:135" x14ac:dyDescent="0.2">
      <c r="DP70" t="s">
        <v>975</v>
      </c>
      <c r="DQ70" t="s">
        <v>976</v>
      </c>
      <c r="DR70" t="s">
        <v>1440</v>
      </c>
      <c r="DS70" t="s">
        <v>1429</v>
      </c>
      <c r="DT70" t="s">
        <v>1429</v>
      </c>
      <c r="DU70" t="s">
        <v>1492</v>
      </c>
      <c r="DV70" t="b">
        <v>0</v>
      </c>
      <c r="DW70" t="s">
        <v>1441</v>
      </c>
      <c r="DX70" s="31">
        <v>46143.258568159719</v>
      </c>
      <c r="DZ70" s="5">
        <v>45778</v>
      </c>
      <c r="EA70" s="13" t="s">
        <v>1252</v>
      </c>
      <c r="EB70" s="13" t="s">
        <v>2242</v>
      </c>
      <c r="EC70" s="13" t="s">
        <v>1224</v>
      </c>
      <c r="ED70" s="11">
        <v>10924.37</v>
      </c>
      <c r="EE70" s="11"/>
    </row>
    <row r="71" spans="120:135" x14ac:dyDescent="0.2">
      <c r="DP71" t="s">
        <v>1493</v>
      </c>
      <c r="DQ71" t="s">
        <v>1494</v>
      </c>
      <c r="DR71" t="s">
        <v>1427</v>
      </c>
      <c r="DS71" t="s">
        <v>1428</v>
      </c>
      <c r="DT71" t="s">
        <v>1429</v>
      </c>
      <c r="DV71" t="b">
        <v>1</v>
      </c>
      <c r="DW71" t="s">
        <v>1430</v>
      </c>
      <c r="DX71" s="31">
        <v>46143.258568159719</v>
      </c>
      <c r="DZ71" s="5">
        <v>45778</v>
      </c>
      <c r="EA71" s="13" t="s">
        <v>1252</v>
      </c>
      <c r="EB71" s="13" t="s">
        <v>2243</v>
      </c>
      <c r="EC71" s="13" t="s">
        <v>1224</v>
      </c>
      <c r="ED71" s="11">
        <v>0</v>
      </c>
      <c r="EE71" s="11"/>
    </row>
    <row r="72" spans="120:135" x14ac:dyDescent="0.2">
      <c r="DP72" t="s">
        <v>1495</v>
      </c>
      <c r="DQ72" t="s">
        <v>1496</v>
      </c>
      <c r="DR72" t="s">
        <v>1433</v>
      </c>
      <c r="DS72" t="s">
        <v>1428</v>
      </c>
      <c r="DT72" t="s">
        <v>1429</v>
      </c>
      <c r="DU72" t="s">
        <v>1493</v>
      </c>
      <c r="DV72" t="b">
        <v>1</v>
      </c>
      <c r="DW72" t="s">
        <v>1434</v>
      </c>
      <c r="DX72" s="31">
        <v>46143.258568159719</v>
      </c>
      <c r="DZ72" s="5">
        <v>45778</v>
      </c>
      <c r="EA72" s="13" t="s">
        <v>1252</v>
      </c>
      <c r="EB72" s="13" t="s">
        <v>2244</v>
      </c>
      <c r="EC72" s="13" t="s">
        <v>1224</v>
      </c>
      <c r="ED72" s="11">
        <v>23949.58</v>
      </c>
      <c r="EE72" s="11"/>
    </row>
    <row r="73" spans="120:135" x14ac:dyDescent="0.2">
      <c r="DP73" t="s">
        <v>1497</v>
      </c>
      <c r="DQ73" t="s">
        <v>1498</v>
      </c>
      <c r="DR73" t="s">
        <v>1437</v>
      </c>
      <c r="DS73" t="s">
        <v>1428</v>
      </c>
      <c r="DT73" t="s">
        <v>1429</v>
      </c>
      <c r="DU73" t="s">
        <v>1495</v>
      </c>
      <c r="DV73" t="b">
        <v>1</v>
      </c>
      <c r="DW73" t="s">
        <v>1434</v>
      </c>
      <c r="DX73" s="31">
        <v>46143.258568159719</v>
      </c>
      <c r="DZ73" s="5">
        <v>45778</v>
      </c>
      <c r="EA73" s="13" t="s">
        <v>1252</v>
      </c>
      <c r="EB73" s="13" t="s">
        <v>2245</v>
      </c>
      <c r="EC73" s="13" t="s">
        <v>1224</v>
      </c>
      <c r="ED73" s="11">
        <v>0</v>
      </c>
      <c r="EE73" s="11"/>
    </row>
    <row r="74" spans="120:135" x14ac:dyDescent="0.2">
      <c r="DP74" t="s">
        <v>2155</v>
      </c>
      <c r="DQ74" t="s">
        <v>982</v>
      </c>
      <c r="DR74" t="s">
        <v>1439</v>
      </c>
      <c r="DS74" t="s">
        <v>1428</v>
      </c>
      <c r="DT74" t="s">
        <v>1429</v>
      </c>
      <c r="DU74" t="s">
        <v>1497</v>
      </c>
      <c r="DV74" t="b">
        <v>1</v>
      </c>
      <c r="DW74" t="s">
        <v>1434</v>
      </c>
      <c r="DX74" s="31">
        <v>46143.258568159719</v>
      </c>
      <c r="DZ74" s="5">
        <v>45778</v>
      </c>
      <c r="EA74" s="13" t="s">
        <v>1252</v>
      </c>
      <c r="EB74" s="13" t="s">
        <v>2246</v>
      </c>
      <c r="EC74" s="13" t="s">
        <v>1224</v>
      </c>
      <c r="ED74" s="11">
        <v>5462.18</v>
      </c>
      <c r="EE74" s="11"/>
    </row>
    <row r="75" spans="120:135" x14ac:dyDescent="0.2">
      <c r="DP75" t="s">
        <v>981</v>
      </c>
      <c r="DQ75" t="s">
        <v>982</v>
      </c>
      <c r="DR75" t="s">
        <v>1440</v>
      </c>
      <c r="DS75" t="s">
        <v>1429</v>
      </c>
      <c r="DT75" t="s">
        <v>1429</v>
      </c>
      <c r="DU75" t="s">
        <v>2155</v>
      </c>
      <c r="DV75" t="b">
        <v>0</v>
      </c>
      <c r="DW75" t="s">
        <v>1441</v>
      </c>
      <c r="DX75" s="31">
        <v>46143.258568159719</v>
      </c>
      <c r="DZ75" s="5">
        <v>45778</v>
      </c>
      <c r="EA75" s="13" t="s">
        <v>1252</v>
      </c>
      <c r="EB75" s="13" t="s">
        <v>2247</v>
      </c>
      <c r="EC75" s="13" t="s">
        <v>1224</v>
      </c>
      <c r="ED75" s="11">
        <v>0</v>
      </c>
      <c r="EE75" s="11"/>
    </row>
    <row r="76" spans="120:135" x14ac:dyDescent="0.2">
      <c r="DP76" t="s">
        <v>1499</v>
      </c>
      <c r="DQ76" t="s">
        <v>984</v>
      </c>
      <c r="DR76" t="s">
        <v>1439</v>
      </c>
      <c r="DS76" t="s">
        <v>1428</v>
      </c>
      <c r="DT76" t="s">
        <v>1429</v>
      </c>
      <c r="DU76" t="s">
        <v>1497</v>
      </c>
      <c r="DV76" t="b">
        <v>1</v>
      </c>
      <c r="DW76" t="s">
        <v>1434</v>
      </c>
      <c r="DX76" s="31">
        <v>46143.258568159719</v>
      </c>
      <c r="DZ76" s="5">
        <v>45778</v>
      </c>
      <c r="EA76" s="13" t="s">
        <v>1252</v>
      </c>
      <c r="EB76" s="13" t="s">
        <v>2248</v>
      </c>
      <c r="EC76" s="13" t="s">
        <v>1224</v>
      </c>
      <c r="ED76" s="11">
        <v>0</v>
      </c>
      <c r="EE76" s="11"/>
    </row>
    <row r="77" spans="120:135" x14ac:dyDescent="0.2">
      <c r="DP77" t="s">
        <v>983</v>
      </c>
      <c r="DQ77" t="s">
        <v>984</v>
      </c>
      <c r="DR77" t="s">
        <v>1440</v>
      </c>
      <c r="DS77" t="s">
        <v>1429</v>
      </c>
      <c r="DT77" t="s">
        <v>1429</v>
      </c>
      <c r="DU77" t="s">
        <v>1499</v>
      </c>
      <c r="DV77" t="b">
        <v>0</v>
      </c>
      <c r="DW77" t="s">
        <v>1441</v>
      </c>
      <c r="DX77" s="31">
        <v>46143.258568159719</v>
      </c>
      <c r="DZ77" s="5">
        <v>45778</v>
      </c>
      <c r="EA77" s="13" t="s">
        <v>1252</v>
      </c>
      <c r="EB77" s="13" t="s">
        <v>2249</v>
      </c>
      <c r="EC77" s="13" t="s">
        <v>1224</v>
      </c>
      <c r="ED77" s="11">
        <v>0</v>
      </c>
      <c r="EE77" s="11"/>
    </row>
    <row r="78" spans="120:135" x14ac:dyDescent="0.2">
      <c r="DP78" t="s">
        <v>985</v>
      </c>
      <c r="DQ78" t="s">
        <v>986</v>
      </c>
      <c r="DR78" t="s">
        <v>1440</v>
      </c>
      <c r="DS78" t="s">
        <v>1429</v>
      </c>
      <c r="DT78" t="s">
        <v>1429</v>
      </c>
      <c r="DU78" t="s">
        <v>1499</v>
      </c>
      <c r="DV78" t="b">
        <v>0</v>
      </c>
      <c r="DW78" t="s">
        <v>1441</v>
      </c>
      <c r="DX78" s="31">
        <v>46143.258568159719</v>
      </c>
      <c r="DZ78" s="5">
        <v>45778</v>
      </c>
      <c r="EA78" s="13" t="s">
        <v>1252</v>
      </c>
      <c r="EB78" s="13" t="s">
        <v>2250</v>
      </c>
      <c r="EC78" s="13" t="s">
        <v>1224</v>
      </c>
      <c r="ED78" s="11">
        <v>8235.2900000000009</v>
      </c>
      <c r="EE78" s="11"/>
    </row>
    <row r="79" spans="120:135" x14ac:dyDescent="0.2">
      <c r="DP79" t="s">
        <v>1500</v>
      </c>
      <c r="DQ79" t="s">
        <v>1501</v>
      </c>
      <c r="DR79" t="s">
        <v>1437</v>
      </c>
      <c r="DS79" t="s">
        <v>1428</v>
      </c>
      <c r="DT79" t="s">
        <v>1429</v>
      </c>
      <c r="DU79" t="s">
        <v>1495</v>
      </c>
      <c r="DV79" t="b">
        <v>1</v>
      </c>
      <c r="DW79" t="s">
        <v>1434</v>
      </c>
      <c r="DX79" s="31">
        <v>46143.258568159719</v>
      </c>
      <c r="DZ79" s="5">
        <v>45778</v>
      </c>
      <c r="EA79" s="13" t="s">
        <v>1252</v>
      </c>
      <c r="EB79" s="13" t="s">
        <v>2251</v>
      </c>
      <c r="EC79" s="13" t="s">
        <v>1224</v>
      </c>
      <c r="ED79" s="11">
        <v>0</v>
      </c>
      <c r="EE79" s="11"/>
    </row>
    <row r="80" spans="120:135" x14ac:dyDescent="0.2">
      <c r="DP80" t="s">
        <v>1502</v>
      </c>
      <c r="DQ80" t="s">
        <v>1100</v>
      </c>
      <c r="DR80" t="s">
        <v>1439</v>
      </c>
      <c r="DS80" t="s">
        <v>1428</v>
      </c>
      <c r="DT80" t="s">
        <v>1429</v>
      </c>
      <c r="DU80" t="s">
        <v>1500</v>
      </c>
      <c r="DV80" t="b">
        <v>1</v>
      </c>
      <c r="DW80" t="s">
        <v>1434</v>
      </c>
      <c r="DX80" s="31">
        <v>46143.258568159719</v>
      </c>
      <c r="DZ80" s="5">
        <v>45778</v>
      </c>
      <c r="EA80" s="13" t="s">
        <v>1252</v>
      </c>
      <c r="EB80" s="13" t="s">
        <v>2252</v>
      </c>
      <c r="EC80" s="13" t="s">
        <v>1224</v>
      </c>
      <c r="ED80" s="11">
        <v>0</v>
      </c>
      <c r="EE80" s="11"/>
    </row>
    <row r="81" spans="120:135" x14ac:dyDescent="0.2">
      <c r="DP81" t="s">
        <v>987</v>
      </c>
      <c r="DQ81" t="s">
        <v>988</v>
      </c>
      <c r="DR81" t="s">
        <v>1440</v>
      </c>
      <c r="DS81" t="s">
        <v>1429</v>
      </c>
      <c r="DT81" t="s">
        <v>1429</v>
      </c>
      <c r="DU81" t="s">
        <v>1502</v>
      </c>
      <c r="DV81" t="b">
        <v>0</v>
      </c>
      <c r="DW81" t="s">
        <v>1441</v>
      </c>
      <c r="DX81" s="31">
        <v>46143.258568159719</v>
      </c>
      <c r="DZ81" s="5">
        <v>45778</v>
      </c>
      <c r="EA81" s="13" t="s">
        <v>1252</v>
      </c>
      <c r="EB81" s="13" t="s">
        <v>2253</v>
      </c>
      <c r="EC81" s="13" t="s">
        <v>1224</v>
      </c>
      <c r="ED81" s="11">
        <v>1680.67</v>
      </c>
      <c r="EE81" s="11"/>
    </row>
    <row r="82" spans="120:135" x14ac:dyDescent="0.2">
      <c r="DP82" t="s">
        <v>989</v>
      </c>
      <c r="DQ82" t="s">
        <v>990</v>
      </c>
      <c r="DR82" t="s">
        <v>1440</v>
      </c>
      <c r="DS82" t="s">
        <v>1429</v>
      </c>
      <c r="DT82" t="s">
        <v>1429</v>
      </c>
      <c r="DU82" t="s">
        <v>1502</v>
      </c>
      <c r="DV82" t="b">
        <v>0</v>
      </c>
      <c r="DW82" t="s">
        <v>1441</v>
      </c>
      <c r="DX82" s="31">
        <v>46143.258568159719</v>
      </c>
      <c r="DZ82" s="5">
        <v>45778</v>
      </c>
      <c r="EA82" s="13" t="s">
        <v>1252</v>
      </c>
      <c r="EB82" s="13" t="s">
        <v>2254</v>
      </c>
      <c r="EC82" s="13" t="s">
        <v>1224</v>
      </c>
      <c r="ED82" s="11">
        <v>62425.21</v>
      </c>
      <c r="EE82" s="11"/>
    </row>
    <row r="83" spans="120:135" x14ac:dyDescent="0.2">
      <c r="DP83" t="s">
        <v>1503</v>
      </c>
      <c r="DQ83" t="s">
        <v>1504</v>
      </c>
      <c r="DR83" t="s">
        <v>1439</v>
      </c>
      <c r="DS83" t="s">
        <v>1428</v>
      </c>
      <c r="DT83" t="s">
        <v>1429</v>
      </c>
      <c r="DU83" t="s">
        <v>1500</v>
      </c>
      <c r="DV83" t="b">
        <v>1</v>
      </c>
      <c r="DW83" t="s">
        <v>1434</v>
      </c>
      <c r="DX83" s="31">
        <v>46143.258568159719</v>
      </c>
      <c r="DZ83" s="5">
        <v>45778</v>
      </c>
      <c r="EA83" s="13" t="s">
        <v>1252</v>
      </c>
      <c r="EB83" s="13" t="s">
        <v>2255</v>
      </c>
      <c r="EC83" s="13" t="s">
        <v>1224</v>
      </c>
      <c r="ED83" s="11">
        <v>6722.69</v>
      </c>
      <c r="EE83" s="11"/>
    </row>
    <row r="84" spans="120:135" x14ac:dyDescent="0.2">
      <c r="DP84" t="s">
        <v>991</v>
      </c>
      <c r="DQ84" t="s">
        <v>992</v>
      </c>
      <c r="DR84" t="s">
        <v>1440</v>
      </c>
      <c r="DS84" t="s">
        <v>1429</v>
      </c>
      <c r="DT84" t="s">
        <v>1429</v>
      </c>
      <c r="DU84" t="s">
        <v>1503</v>
      </c>
      <c r="DV84" t="b">
        <v>0</v>
      </c>
      <c r="DW84" t="s">
        <v>1441</v>
      </c>
      <c r="DX84" s="31">
        <v>46143.258568159719</v>
      </c>
      <c r="DZ84" s="5">
        <v>45778</v>
      </c>
      <c r="EA84" s="13" t="s">
        <v>1252</v>
      </c>
      <c r="EB84" s="13" t="s">
        <v>2256</v>
      </c>
      <c r="EC84" s="13" t="s">
        <v>1224</v>
      </c>
      <c r="ED84" s="11">
        <v>11764.7</v>
      </c>
      <c r="EE84" s="11"/>
    </row>
    <row r="85" spans="120:135" x14ac:dyDescent="0.2">
      <c r="DP85" t="s">
        <v>993</v>
      </c>
      <c r="DQ85" t="s">
        <v>994</v>
      </c>
      <c r="DR85" t="s">
        <v>1440</v>
      </c>
      <c r="DS85" t="s">
        <v>1429</v>
      </c>
      <c r="DT85" t="s">
        <v>1429</v>
      </c>
      <c r="DU85" t="s">
        <v>1503</v>
      </c>
      <c r="DV85" t="b">
        <v>0</v>
      </c>
      <c r="DW85" t="s">
        <v>1441</v>
      </c>
      <c r="DX85" s="31">
        <v>46143.258568159719</v>
      </c>
      <c r="DZ85" s="5">
        <v>45778</v>
      </c>
      <c r="EA85" s="13" t="s">
        <v>1252</v>
      </c>
      <c r="EB85" s="13" t="s">
        <v>2257</v>
      </c>
      <c r="EC85" s="13" t="s">
        <v>1224</v>
      </c>
      <c r="ED85" s="11">
        <v>16806.72</v>
      </c>
      <c r="EE85" s="11"/>
    </row>
    <row r="86" spans="120:135" x14ac:dyDescent="0.2">
      <c r="DP86" t="s">
        <v>1505</v>
      </c>
      <c r="DQ86" t="s">
        <v>1506</v>
      </c>
      <c r="DR86" t="s">
        <v>1439</v>
      </c>
      <c r="DS86" t="s">
        <v>1428</v>
      </c>
      <c r="DT86" t="s">
        <v>1429</v>
      </c>
      <c r="DU86" t="s">
        <v>1500</v>
      </c>
      <c r="DV86" t="b">
        <v>1</v>
      </c>
      <c r="DW86" t="s">
        <v>1434</v>
      </c>
      <c r="DX86" s="31">
        <v>46143.258568159719</v>
      </c>
      <c r="DZ86" s="5">
        <v>45778</v>
      </c>
      <c r="EA86" s="13" t="s">
        <v>1252</v>
      </c>
      <c r="EB86" s="13" t="s">
        <v>2258</v>
      </c>
      <c r="EC86" s="13" t="s">
        <v>1224</v>
      </c>
      <c r="ED86" s="11">
        <v>79731.09</v>
      </c>
      <c r="EE86" s="11"/>
    </row>
    <row r="87" spans="120:135" x14ac:dyDescent="0.2">
      <c r="DP87" t="s">
        <v>995</v>
      </c>
      <c r="DQ87" t="s">
        <v>996</v>
      </c>
      <c r="DR87" t="s">
        <v>1440</v>
      </c>
      <c r="DS87" t="s">
        <v>1429</v>
      </c>
      <c r="DT87" t="s">
        <v>1429</v>
      </c>
      <c r="DU87" t="s">
        <v>1505</v>
      </c>
      <c r="DV87" t="b">
        <v>0</v>
      </c>
      <c r="DW87" t="s">
        <v>1441</v>
      </c>
      <c r="DX87" s="31">
        <v>46143.258568159719</v>
      </c>
      <c r="DZ87" s="5">
        <v>45778</v>
      </c>
      <c r="EA87" s="13" t="s">
        <v>1252</v>
      </c>
      <c r="EB87" s="13" t="s">
        <v>2259</v>
      </c>
      <c r="EC87" s="13" t="s">
        <v>1224</v>
      </c>
      <c r="ED87" s="11">
        <v>3781.51</v>
      </c>
      <c r="EE87" s="11"/>
    </row>
    <row r="88" spans="120:135" x14ac:dyDescent="0.2">
      <c r="DP88" t="s">
        <v>1507</v>
      </c>
      <c r="DQ88" t="s">
        <v>1508</v>
      </c>
      <c r="DR88" t="s">
        <v>1439</v>
      </c>
      <c r="DS88" t="s">
        <v>1428</v>
      </c>
      <c r="DT88" t="s">
        <v>1429</v>
      </c>
      <c r="DU88" t="s">
        <v>1500</v>
      </c>
      <c r="DV88" t="b">
        <v>1</v>
      </c>
      <c r="DW88" t="s">
        <v>1434</v>
      </c>
      <c r="DX88" s="31">
        <v>46143.258568159719</v>
      </c>
      <c r="DZ88" s="5">
        <v>45778</v>
      </c>
      <c r="EA88" s="13" t="s">
        <v>1252</v>
      </c>
      <c r="EB88" s="13" t="s">
        <v>2260</v>
      </c>
      <c r="EC88" s="13" t="s">
        <v>1224</v>
      </c>
      <c r="ED88" s="11">
        <v>0</v>
      </c>
      <c r="EE88" s="11"/>
    </row>
    <row r="89" spans="120:135" x14ac:dyDescent="0.2">
      <c r="DP89" t="s">
        <v>997</v>
      </c>
      <c r="DQ89" t="s">
        <v>998</v>
      </c>
      <c r="DR89" t="s">
        <v>1440</v>
      </c>
      <c r="DS89" t="s">
        <v>1429</v>
      </c>
      <c r="DT89" t="s">
        <v>1429</v>
      </c>
      <c r="DU89" t="s">
        <v>1507</v>
      </c>
      <c r="DV89" t="b">
        <v>0</v>
      </c>
      <c r="DW89" t="s">
        <v>1441</v>
      </c>
      <c r="DX89" s="31">
        <v>46143.258568159719</v>
      </c>
      <c r="DZ89" s="5">
        <v>45778</v>
      </c>
      <c r="EA89" s="13" t="s">
        <v>1252</v>
      </c>
      <c r="EB89" s="13" t="s">
        <v>2261</v>
      </c>
      <c r="EC89" s="13" t="s">
        <v>1224</v>
      </c>
      <c r="ED89" s="11">
        <v>14705.880000000121</v>
      </c>
      <c r="EE89" s="11"/>
    </row>
    <row r="90" spans="120:135" x14ac:dyDescent="0.2">
      <c r="DP90" t="s">
        <v>1509</v>
      </c>
      <c r="DQ90" t="s">
        <v>1475</v>
      </c>
      <c r="DR90" t="s">
        <v>1439</v>
      </c>
      <c r="DS90" t="s">
        <v>1428</v>
      </c>
      <c r="DT90" t="s">
        <v>1429</v>
      </c>
      <c r="DU90" t="s">
        <v>1500</v>
      </c>
      <c r="DV90" t="b">
        <v>1</v>
      </c>
      <c r="DW90" t="s">
        <v>1434</v>
      </c>
      <c r="DX90" s="31">
        <v>46143.258568159719</v>
      </c>
      <c r="DZ90" s="5">
        <v>45778</v>
      </c>
      <c r="EA90" s="13" t="s">
        <v>1252</v>
      </c>
      <c r="EB90" s="13" t="s">
        <v>1403</v>
      </c>
      <c r="EC90" s="13" t="s">
        <v>1224</v>
      </c>
      <c r="ED90" s="11">
        <v>159873.96</v>
      </c>
      <c r="EE90" s="11"/>
    </row>
    <row r="91" spans="120:135" x14ac:dyDescent="0.2">
      <c r="DP91" t="s">
        <v>999</v>
      </c>
      <c r="DQ91" t="s">
        <v>962</v>
      </c>
      <c r="DR91" t="s">
        <v>1440</v>
      </c>
      <c r="DS91" t="s">
        <v>1429</v>
      </c>
      <c r="DT91" t="s">
        <v>1429</v>
      </c>
      <c r="DU91" t="s">
        <v>1509</v>
      </c>
      <c r="DV91" t="b">
        <v>0</v>
      </c>
      <c r="DW91" t="s">
        <v>1441</v>
      </c>
      <c r="DX91" s="31">
        <v>46143.258568159719</v>
      </c>
      <c r="DZ91" s="5">
        <v>45778</v>
      </c>
      <c r="EA91" s="13" t="s">
        <v>1252</v>
      </c>
      <c r="EB91" s="13" t="s">
        <v>2262</v>
      </c>
      <c r="EC91" s="13" t="s">
        <v>1224</v>
      </c>
      <c r="ED91" s="11">
        <v>0</v>
      </c>
      <c r="EE91" s="11"/>
    </row>
    <row r="92" spans="120:135" x14ac:dyDescent="0.2">
      <c r="DP92" t="s">
        <v>1510</v>
      </c>
      <c r="DQ92" t="s">
        <v>1471</v>
      </c>
      <c r="DR92" t="s">
        <v>1437</v>
      </c>
      <c r="DS92" t="s">
        <v>1428</v>
      </c>
      <c r="DT92" t="s">
        <v>1429</v>
      </c>
      <c r="DU92" t="s">
        <v>1495</v>
      </c>
      <c r="DV92" t="b">
        <v>1</v>
      </c>
      <c r="DW92" t="s">
        <v>1434</v>
      </c>
      <c r="DX92" s="31">
        <v>46143.258568159719</v>
      </c>
      <c r="DZ92" s="5">
        <v>45778</v>
      </c>
      <c r="EA92" s="13" t="s">
        <v>1252</v>
      </c>
      <c r="EB92" s="13" t="s">
        <v>1356</v>
      </c>
      <c r="EC92" s="13" t="s">
        <v>1224</v>
      </c>
      <c r="ED92" s="11">
        <v>4201.68</v>
      </c>
      <c r="EE92" s="11"/>
    </row>
    <row r="93" spans="120:135" x14ac:dyDescent="0.2">
      <c r="DP93" t="s">
        <v>1511</v>
      </c>
      <c r="DQ93" t="s">
        <v>1471</v>
      </c>
      <c r="DR93" t="s">
        <v>1439</v>
      </c>
      <c r="DS93" t="s">
        <v>1428</v>
      </c>
      <c r="DT93" t="s">
        <v>1429</v>
      </c>
      <c r="DU93" t="s">
        <v>1510</v>
      </c>
      <c r="DV93" t="b">
        <v>1</v>
      </c>
      <c r="DW93" t="s">
        <v>1434</v>
      </c>
      <c r="DX93" s="31">
        <v>46143.258568159719</v>
      </c>
      <c r="DZ93" s="5">
        <v>45778</v>
      </c>
      <c r="EA93" s="13" t="s">
        <v>1252</v>
      </c>
      <c r="EB93" s="13" t="s">
        <v>2263</v>
      </c>
      <c r="EC93" s="13" t="s">
        <v>1224</v>
      </c>
      <c r="ED93" s="11">
        <v>1680.67</v>
      </c>
      <c r="EE93" s="11"/>
    </row>
    <row r="94" spans="120:135" x14ac:dyDescent="0.2">
      <c r="DP94" t="s">
        <v>1000</v>
      </c>
      <c r="DQ94" t="s">
        <v>954</v>
      </c>
      <c r="DR94" t="s">
        <v>1440</v>
      </c>
      <c r="DS94" t="s">
        <v>1429</v>
      </c>
      <c r="DT94" t="s">
        <v>1429</v>
      </c>
      <c r="DU94" t="s">
        <v>1511</v>
      </c>
      <c r="DV94" t="b">
        <v>0</v>
      </c>
      <c r="DW94" t="s">
        <v>1441</v>
      </c>
      <c r="DX94" s="31">
        <v>46143.258568159719</v>
      </c>
      <c r="DZ94" s="5">
        <v>45778</v>
      </c>
      <c r="EA94" s="13" t="s">
        <v>1252</v>
      </c>
      <c r="EB94" s="13" t="s">
        <v>2264</v>
      </c>
      <c r="EC94" s="13" t="s">
        <v>1224</v>
      </c>
      <c r="ED94" s="11">
        <v>0.84</v>
      </c>
      <c r="EE94" s="11"/>
    </row>
    <row r="95" spans="120:135" x14ac:dyDescent="0.2">
      <c r="DP95" t="s">
        <v>1728</v>
      </c>
      <c r="DQ95" t="s">
        <v>1729</v>
      </c>
      <c r="DR95" t="s">
        <v>1440</v>
      </c>
      <c r="DS95" t="s">
        <v>1429</v>
      </c>
      <c r="DT95" t="s">
        <v>1429</v>
      </c>
      <c r="DU95" t="s">
        <v>1511</v>
      </c>
      <c r="DV95" t="b">
        <v>0</v>
      </c>
      <c r="DW95" t="s">
        <v>1441</v>
      </c>
      <c r="DX95" s="31">
        <v>46143.258568159719</v>
      </c>
      <c r="DZ95" s="5">
        <v>45778</v>
      </c>
      <c r="EA95" s="13" t="s">
        <v>1252</v>
      </c>
      <c r="EB95" s="13" t="s">
        <v>2265</v>
      </c>
      <c r="EC95" s="13" t="s">
        <v>1224</v>
      </c>
      <c r="ED95" s="11">
        <v>67226.89</v>
      </c>
      <c r="EE95" s="11"/>
    </row>
    <row r="96" spans="120:135" x14ac:dyDescent="0.2">
      <c r="DP96" t="s">
        <v>1001</v>
      </c>
      <c r="DQ96" t="s">
        <v>1002</v>
      </c>
      <c r="DR96" t="s">
        <v>1440</v>
      </c>
      <c r="DS96" t="s">
        <v>1429</v>
      </c>
      <c r="DT96" t="s">
        <v>1429</v>
      </c>
      <c r="DU96" t="s">
        <v>1511</v>
      </c>
      <c r="DV96" t="b">
        <v>0</v>
      </c>
      <c r="DW96" t="s">
        <v>1441</v>
      </c>
      <c r="DX96" s="31">
        <v>46143.258568159719</v>
      </c>
      <c r="DZ96" s="5">
        <v>45778</v>
      </c>
      <c r="EA96" s="13" t="s">
        <v>1252</v>
      </c>
      <c r="EB96" s="13" t="s">
        <v>2266</v>
      </c>
      <c r="EC96" s="13" t="s">
        <v>1224</v>
      </c>
      <c r="ED96" s="11">
        <v>0</v>
      </c>
      <c r="EE96" s="11"/>
    </row>
    <row r="97" spans="120:135" x14ac:dyDescent="0.2">
      <c r="DP97" t="s">
        <v>1512</v>
      </c>
      <c r="DQ97" t="s">
        <v>1473</v>
      </c>
      <c r="DR97" t="s">
        <v>1437</v>
      </c>
      <c r="DS97" t="s">
        <v>1428</v>
      </c>
      <c r="DT97" t="s">
        <v>1429</v>
      </c>
      <c r="DU97" t="s">
        <v>1495</v>
      </c>
      <c r="DV97" t="b">
        <v>1</v>
      </c>
      <c r="DW97" t="s">
        <v>1434</v>
      </c>
      <c r="DX97" s="31">
        <v>46143.258568159719</v>
      </c>
      <c r="DZ97" s="5">
        <v>45778</v>
      </c>
      <c r="EA97" s="13" t="s">
        <v>1252</v>
      </c>
      <c r="EB97" s="13" t="s">
        <v>2267</v>
      </c>
      <c r="EC97" s="13" t="s">
        <v>1224</v>
      </c>
      <c r="ED97" s="11">
        <v>0</v>
      </c>
      <c r="EE97" s="11"/>
    </row>
    <row r="98" spans="120:135" x14ac:dyDescent="0.2">
      <c r="DP98" t="s">
        <v>1513</v>
      </c>
      <c r="DQ98" t="s">
        <v>1514</v>
      </c>
      <c r="DR98" t="s">
        <v>1439</v>
      </c>
      <c r="DS98" t="s">
        <v>1428</v>
      </c>
      <c r="DT98" t="s">
        <v>1429</v>
      </c>
      <c r="DU98" t="s">
        <v>1512</v>
      </c>
      <c r="DV98" t="b">
        <v>1</v>
      </c>
      <c r="DW98" t="s">
        <v>1434</v>
      </c>
      <c r="DX98" s="31">
        <v>46143.258568159719</v>
      </c>
      <c r="DZ98" s="5">
        <v>45778</v>
      </c>
      <c r="EA98" s="13" t="s">
        <v>1252</v>
      </c>
      <c r="EB98" s="13" t="s">
        <v>2268</v>
      </c>
      <c r="EC98" s="13" t="s">
        <v>1224</v>
      </c>
      <c r="ED98" s="11">
        <v>0</v>
      </c>
      <c r="EE98" s="11"/>
    </row>
    <row r="99" spans="120:135" x14ac:dyDescent="0.2">
      <c r="DP99" t="s">
        <v>1003</v>
      </c>
      <c r="DQ99" t="s">
        <v>1004</v>
      </c>
      <c r="DR99" t="s">
        <v>1440</v>
      </c>
      <c r="DS99" t="s">
        <v>1429</v>
      </c>
      <c r="DT99" t="s">
        <v>1429</v>
      </c>
      <c r="DU99" t="s">
        <v>1513</v>
      </c>
      <c r="DV99" t="b">
        <v>0</v>
      </c>
      <c r="DW99" t="s">
        <v>1441</v>
      </c>
      <c r="DX99" s="31">
        <v>46143.258568159719</v>
      </c>
      <c r="DZ99" s="5">
        <v>45778</v>
      </c>
      <c r="EA99" s="13" t="s">
        <v>1252</v>
      </c>
      <c r="EB99" s="13" t="s">
        <v>2269</v>
      </c>
      <c r="EC99" s="13" t="s">
        <v>1224</v>
      </c>
      <c r="ED99" s="11">
        <v>0</v>
      </c>
      <c r="EE99" s="11"/>
    </row>
    <row r="100" spans="120:135" x14ac:dyDescent="0.2">
      <c r="DP100" t="s">
        <v>1005</v>
      </c>
      <c r="DQ100" t="s">
        <v>1006</v>
      </c>
      <c r="DR100" t="s">
        <v>1440</v>
      </c>
      <c r="DS100" t="s">
        <v>1429</v>
      </c>
      <c r="DT100" t="s">
        <v>1429</v>
      </c>
      <c r="DU100" t="s">
        <v>1513</v>
      </c>
      <c r="DV100" t="b">
        <v>0</v>
      </c>
      <c r="DW100" t="s">
        <v>1441</v>
      </c>
      <c r="DX100" s="31">
        <v>46143.258568159719</v>
      </c>
      <c r="DZ100" s="5">
        <v>45778</v>
      </c>
      <c r="EA100" s="13" t="s">
        <v>1252</v>
      </c>
      <c r="EB100" s="13" t="s">
        <v>2270</v>
      </c>
      <c r="EC100" s="13" t="s">
        <v>1224</v>
      </c>
      <c r="ED100" s="11">
        <v>0</v>
      </c>
      <c r="EE100" s="11"/>
    </row>
    <row r="101" spans="120:135" x14ac:dyDescent="0.2">
      <c r="DP101" t="s">
        <v>1007</v>
      </c>
      <c r="DQ101" t="s">
        <v>1008</v>
      </c>
      <c r="DR101" t="s">
        <v>1440</v>
      </c>
      <c r="DS101" t="s">
        <v>1429</v>
      </c>
      <c r="DT101" t="s">
        <v>1429</v>
      </c>
      <c r="DU101" t="s">
        <v>1513</v>
      </c>
      <c r="DV101" t="b">
        <v>0</v>
      </c>
      <c r="DW101" t="s">
        <v>1441</v>
      </c>
      <c r="DX101" s="31">
        <v>46143.258568159719</v>
      </c>
      <c r="DZ101" s="5">
        <v>45778</v>
      </c>
      <c r="EA101" s="13" t="s">
        <v>1252</v>
      </c>
      <c r="EB101" s="13" t="s">
        <v>2271</v>
      </c>
      <c r="EC101" s="13" t="s">
        <v>1224</v>
      </c>
      <c r="ED101" s="11">
        <v>8403.36</v>
      </c>
      <c r="EE101" s="11"/>
    </row>
    <row r="102" spans="120:135" x14ac:dyDescent="0.2">
      <c r="DP102" t="s">
        <v>1009</v>
      </c>
      <c r="DQ102" t="s">
        <v>1010</v>
      </c>
      <c r="DR102" t="s">
        <v>1440</v>
      </c>
      <c r="DS102" t="s">
        <v>1429</v>
      </c>
      <c r="DT102" t="s">
        <v>1429</v>
      </c>
      <c r="DU102" t="s">
        <v>1513</v>
      </c>
      <c r="DV102" t="b">
        <v>0</v>
      </c>
      <c r="DW102" t="s">
        <v>1441</v>
      </c>
      <c r="DX102" s="31">
        <v>46143.258568159719</v>
      </c>
      <c r="DZ102" s="5">
        <v>45778</v>
      </c>
      <c r="EA102" s="13" t="s">
        <v>1252</v>
      </c>
      <c r="EB102" s="13" t="s">
        <v>2272</v>
      </c>
      <c r="EC102" s="13" t="s">
        <v>1224</v>
      </c>
      <c r="ED102" s="11">
        <v>0</v>
      </c>
      <c r="EE102" s="11"/>
    </row>
    <row r="103" spans="120:135" x14ac:dyDescent="0.2">
      <c r="DP103" t="s">
        <v>1011</v>
      </c>
      <c r="DQ103" t="s">
        <v>1012</v>
      </c>
      <c r="DR103" t="s">
        <v>1440</v>
      </c>
      <c r="DS103" t="s">
        <v>1429</v>
      </c>
      <c r="DT103" t="s">
        <v>1429</v>
      </c>
      <c r="DU103" t="s">
        <v>1513</v>
      </c>
      <c r="DV103" t="b">
        <v>0</v>
      </c>
      <c r="DW103" t="s">
        <v>1441</v>
      </c>
      <c r="DX103" s="31">
        <v>46143.258568159719</v>
      </c>
      <c r="DZ103" s="5">
        <v>45778</v>
      </c>
      <c r="EA103" s="13" t="s">
        <v>1252</v>
      </c>
      <c r="EB103" s="13" t="s">
        <v>2273</v>
      </c>
      <c r="EC103" s="13" t="s">
        <v>1224</v>
      </c>
      <c r="ED103" s="11">
        <v>45882.35</v>
      </c>
      <c r="EE103" s="11"/>
    </row>
    <row r="104" spans="120:135" x14ac:dyDescent="0.2">
      <c r="DP104" t="s">
        <v>1013</v>
      </c>
      <c r="DQ104" t="s">
        <v>1014</v>
      </c>
      <c r="DR104" t="s">
        <v>1440</v>
      </c>
      <c r="DS104" t="s">
        <v>1429</v>
      </c>
      <c r="DT104" t="s">
        <v>1429</v>
      </c>
      <c r="DU104" t="s">
        <v>1513</v>
      </c>
      <c r="DV104" t="b">
        <v>0</v>
      </c>
      <c r="DW104" t="s">
        <v>1441</v>
      </c>
      <c r="DX104" s="31">
        <v>46143.258568159719</v>
      </c>
      <c r="DZ104" s="5">
        <v>45778</v>
      </c>
      <c r="EA104" s="13" t="s">
        <v>1252</v>
      </c>
      <c r="EB104" s="13" t="s">
        <v>2274</v>
      </c>
      <c r="EC104" s="13" t="s">
        <v>1224</v>
      </c>
      <c r="ED104" s="11">
        <v>0</v>
      </c>
      <c r="EE104" s="11"/>
    </row>
    <row r="105" spans="120:135" x14ac:dyDescent="0.2">
      <c r="DP105" t="s">
        <v>1515</v>
      </c>
      <c r="DQ105" t="s">
        <v>1516</v>
      </c>
      <c r="DR105" t="s">
        <v>1437</v>
      </c>
      <c r="DS105" t="s">
        <v>1428</v>
      </c>
      <c r="DT105" t="s">
        <v>1429</v>
      </c>
      <c r="DU105" t="s">
        <v>1495</v>
      </c>
      <c r="DV105" t="b">
        <v>1</v>
      </c>
      <c r="DW105" t="s">
        <v>1434</v>
      </c>
      <c r="DX105" s="31">
        <v>46143.258568159719</v>
      </c>
      <c r="DZ105" s="5">
        <v>45778</v>
      </c>
      <c r="EA105" s="13" t="s">
        <v>1252</v>
      </c>
      <c r="EB105" s="13" t="s">
        <v>2275</v>
      </c>
      <c r="EC105" s="13" t="s">
        <v>1224</v>
      </c>
      <c r="ED105" s="11">
        <v>0</v>
      </c>
      <c r="EE105" s="11"/>
    </row>
    <row r="106" spans="120:135" x14ac:dyDescent="0.2">
      <c r="DP106" t="s">
        <v>1517</v>
      </c>
      <c r="DQ106" t="s">
        <v>1016</v>
      </c>
      <c r="DR106" t="s">
        <v>1439</v>
      </c>
      <c r="DS106" t="s">
        <v>1428</v>
      </c>
      <c r="DT106" t="s">
        <v>1429</v>
      </c>
      <c r="DU106" t="s">
        <v>1515</v>
      </c>
      <c r="DV106" t="b">
        <v>1</v>
      </c>
      <c r="DW106" t="s">
        <v>1434</v>
      </c>
      <c r="DX106" s="31">
        <v>46143.258568159719</v>
      </c>
      <c r="DZ106" s="5">
        <v>45778</v>
      </c>
      <c r="EA106" s="13" t="s">
        <v>1250</v>
      </c>
      <c r="EB106" s="13" t="s">
        <v>1393</v>
      </c>
      <c r="EC106" s="13" t="s">
        <v>1168</v>
      </c>
      <c r="ED106" s="11">
        <v>0</v>
      </c>
      <c r="EE106" s="11"/>
    </row>
    <row r="107" spans="120:135" x14ac:dyDescent="0.2">
      <c r="DP107" t="s">
        <v>1015</v>
      </c>
      <c r="DQ107" t="s">
        <v>1016</v>
      </c>
      <c r="DR107" t="s">
        <v>1440</v>
      </c>
      <c r="DS107" t="s">
        <v>1429</v>
      </c>
      <c r="DT107" t="s">
        <v>1429</v>
      </c>
      <c r="DU107" t="s">
        <v>1517</v>
      </c>
      <c r="DV107" t="b">
        <v>0</v>
      </c>
      <c r="DW107" t="s">
        <v>1441</v>
      </c>
      <c r="DX107" s="31">
        <v>46143.258568159719</v>
      </c>
      <c r="DZ107" s="5">
        <v>45778</v>
      </c>
      <c r="EA107" s="13" t="s">
        <v>1250</v>
      </c>
      <c r="EB107" s="13" t="s">
        <v>2276</v>
      </c>
      <c r="EC107" s="13" t="s">
        <v>1168</v>
      </c>
      <c r="ED107" s="11">
        <v>0</v>
      </c>
      <c r="EE107" s="11"/>
    </row>
    <row r="108" spans="120:135" x14ac:dyDescent="0.2">
      <c r="DP108" t="s">
        <v>1518</v>
      </c>
      <c r="DQ108" t="s">
        <v>1519</v>
      </c>
      <c r="DR108" t="s">
        <v>1439</v>
      </c>
      <c r="DS108" t="s">
        <v>1428</v>
      </c>
      <c r="DT108" t="s">
        <v>1429</v>
      </c>
      <c r="DU108" t="s">
        <v>1515</v>
      </c>
      <c r="DV108" t="b">
        <v>1</v>
      </c>
      <c r="DW108" t="s">
        <v>1434</v>
      </c>
      <c r="DX108" s="31">
        <v>46143.258568159719</v>
      </c>
      <c r="DZ108" s="5">
        <v>45778</v>
      </c>
      <c r="EA108" s="13" t="s">
        <v>1252</v>
      </c>
      <c r="EB108" s="13" t="s">
        <v>1371</v>
      </c>
      <c r="EC108" s="13" t="s">
        <v>1226</v>
      </c>
      <c r="ED108" s="11">
        <v>366373.30000000005</v>
      </c>
      <c r="EE108" s="11"/>
    </row>
    <row r="109" spans="120:135" x14ac:dyDescent="0.2">
      <c r="DP109" t="s">
        <v>1017</v>
      </c>
      <c r="DQ109" t="s">
        <v>1018</v>
      </c>
      <c r="DR109" t="s">
        <v>1440</v>
      </c>
      <c r="DS109" t="s">
        <v>1429</v>
      </c>
      <c r="DT109" t="s">
        <v>1429</v>
      </c>
      <c r="DU109" t="s">
        <v>1518</v>
      </c>
      <c r="DV109" t="b">
        <v>0</v>
      </c>
      <c r="DW109" t="s">
        <v>1441</v>
      </c>
      <c r="DX109" s="31">
        <v>46143.258568159719</v>
      </c>
      <c r="DZ109" s="5">
        <v>45778</v>
      </c>
      <c r="EA109" s="13" t="s">
        <v>1252</v>
      </c>
      <c r="EB109" s="13" t="s">
        <v>1371</v>
      </c>
      <c r="EC109" s="13" t="s">
        <v>1219</v>
      </c>
      <c r="ED109" s="11">
        <v>90190</v>
      </c>
      <c r="EE109" s="11"/>
    </row>
    <row r="110" spans="120:135" x14ac:dyDescent="0.2">
      <c r="DP110" t="s">
        <v>1520</v>
      </c>
      <c r="DQ110" t="s">
        <v>1521</v>
      </c>
      <c r="DR110" t="s">
        <v>1439</v>
      </c>
      <c r="DS110" t="s">
        <v>1428</v>
      </c>
      <c r="DT110" t="s">
        <v>1429</v>
      </c>
      <c r="DU110" t="s">
        <v>1515</v>
      </c>
      <c r="DV110" t="b">
        <v>1</v>
      </c>
      <c r="DW110" t="s">
        <v>1434</v>
      </c>
      <c r="DX110" s="31">
        <v>46143.258568159719</v>
      </c>
      <c r="DZ110" s="5">
        <v>45778</v>
      </c>
      <c r="EA110" s="13" t="s">
        <v>1250</v>
      </c>
      <c r="EB110" s="13" t="s">
        <v>1366</v>
      </c>
      <c r="EC110" s="13" t="s">
        <v>1136</v>
      </c>
      <c r="ED110" s="11">
        <v>2000000</v>
      </c>
      <c r="EE110" s="11"/>
    </row>
    <row r="111" spans="120:135" x14ac:dyDescent="0.2">
      <c r="DP111" t="s">
        <v>1019</v>
      </c>
      <c r="DQ111" t="s">
        <v>1020</v>
      </c>
      <c r="DR111" t="s">
        <v>1440</v>
      </c>
      <c r="DS111" t="s">
        <v>1429</v>
      </c>
      <c r="DT111" t="s">
        <v>1429</v>
      </c>
      <c r="DU111" t="s">
        <v>1520</v>
      </c>
      <c r="DV111" t="b">
        <v>0</v>
      </c>
      <c r="DW111" t="s">
        <v>1441</v>
      </c>
      <c r="DX111" s="31">
        <v>46143.258568159719</v>
      </c>
      <c r="DZ111" s="5">
        <v>45778</v>
      </c>
      <c r="EA111" s="13" t="s">
        <v>1252</v>
      </c>
      <c r="EB111" s="13" t="s">
        <v>1360</v>
      </c>
      <c r="EC111" s="13" t="s">
        <v>1222</v>
      </c>
      <c r="ED111" s="11">
        <v>300</v>
      </c>
      <c r="EE111" s="11"/>
    </row>
    <row r="112" spans="120:135" x14ac:dyDescent="0.2">
      <c r="DP112" t="s">
        <v>1021</v>
      </c>
      <c r="DQ112" t="s">
        <v>1022</v>
      </c>
      <c r="DR112" t="s">
        <v>1440</v>
      </c>
      <c r="DS112" t="s">
        <v>1429</v>
      </c>
      <c r="DT112" t="s">
        <v>1429</v>
      </c>
      <c r="DU112" t="s">
        <v>1520</v>
      </c>
      <c r="DV112" t="b">
        <v>0</v>
      </c>
      <c r="DW112" t="s">
        <v>1441</v>
      </c>
      <c r="DX112" s="31">
        <v>46143.258568159719</v>
      </c>
      <c r="DZ112" s="5">
        <v>45778</v>
      </c>
      <c r="EA112" s="13" t="s">
        <v>1252</v>
      </c>
      <c r="EB112" s="13" t="s">
        <v>1340</v>
      </c>
      <c r="EC112" s="13" t="s">
        <v>1222</v>
      </c>
      <c r="ED112" s="11">
        <v>0</v>
      </c>
      <c r="EE112" s="11"/>
    </row>
    <row r="113" spans="120:135" x14ac:dyDescent="0.2">
      <c r="DP113" t="s">
        <v>1023</v>
      </c>
      <c r="DQ113" t="s">
        <v>1024</v>
      </c>
      <c r="DR113" t="s">
        <v>1440</v>
      </c>
      <c r="DS113" t="s">
        <v>1429</v>
      </c>
      <c r="DT113" t="s">
        <v>1429</v>
      </c>
      <c r="DU113" t="s">
        <v>1520</v>
      </c>
      <c r="DV113" t="b">
        <v>0</v>
      </c>
      <c r="DW113" t="s">
        <v>1441</v>
      </c>
      <c r="DX113" s="31">
        <v>46143.258568159719</v>
      </c>
      <c r="DZ113" s="5">
        <v>45778</v>
      </c>
      <c r="EA113" s="13" t="s">
        <v>1252</v>
      </c>
      <c r="EB113" s="13" t="s">
        <v>1338</v>
      </c>
      <c r="EC113" s="13" t="s">
        <v>1222</v>
      </c>
      <c r="ED113" s="11">
        <v>0</v>
      </c>
      <c r="EE113" s="11"/>
    </row>
    <row r="114" spans="120:135" x14ac:dyDescent="0.2">
      <c r="DP114" t="s">
        <v>1522</v>
      </c>
      <c r="DQ114" t="s">
        <v>1523</v>
      </c>
      <c r="DR114" t="s">
        <v>1437</v>
      </c>
      <c r="DS114" t="s">
        <v>1428</v>
      </c>
      <c r="DT114" t="s">
        <v>1429</v>
      </c>
      <c r="DU114" t="s">
        <v>1495</v>
      </c>
      <c r="DV114" t="b">
        <v>1</v>
      </c>
      <c r="DW114" t="s">
        <v>1434</v>
      </c>
      <c r="DX114" s="31">
        <v>46143.258568159719</v>
      </c>
      <c r="DZ114" s="5">
        <v>45778</v>
      </c>
      <c r="EA114" s="13" t="s">
        <v>1252</v>
      </c>
      <c r="EB114" s="13" t="s">
        <v>2202</v>
      </c>
      <c r="EC114" s="13" t="s">
        <v>1222</v>
      </c>
      <c r="ED114" s="11">
        <v>300</v>
      </c>
      <c r="EE114" s="11"/>
    </row>
    <row r="115" spans="120:135" x14ac:dyDescent="0.2">
      <c r="DP115" t="s">
        <v>1524</v>
      </c>
      <c r="DQ115" t="s">
        <v>1525</v>
      </c>
      <c r="DR115" t="s">
        <v>1439</v>
      </c>
      <c r="DS115" t="s">
        <v>1428</v>
      </c>
      <c r="DT115" t="s">
        <v>1429</v>
      </c>
      <c r="DU115" t="s">
        <v>1522</v>
      </c>
      <c r="DV115" t="b">
        <v>1</v>
      </c>
      <c r="DW115" t="s">
        <v>1434</v>
      </c>
      <c r="DX115" s="31">
        <v>46143.258568159719</v>
      </c>
      <c r="DZ115" s="5">
        <v>45778</v>
      </c>
      <c r="EA115" s="13" t="s">
        <v>1252</v>
      </c>
      <c r="EB115" s="13" t="s">
        <v>1375</v>
      </c>
      <c r="EC115" s="13" t="s">
        <v>1222</v>
      </c>
      <c r="ED115" s="11">
        <v>200</v>
      </c>
      <c r="EE115" s="11"/>
    </row>
    <row r="116" spans="120:135" x14ac:dyDescent="0.2">
      <c r="DP116" t="s">
        <v>1025</v>
      </c>
      <c r="DQ116" t="s">
        <v>1026</v>
      </c>
      <c r="DR116" t="s">
        <v>1440</v>
      </c>
      <c r="DS116" t="s">
        <v>1429</v>
      </c>
      <c r="DT116" t="s">
        <v>1429</v>
      </c>
      <c r="DU116" t="s">
        <v>1524</v>
      </c>
      <c r="DV116" t="b">
        <v>0</v>
      </c>
      <c r="DW116" t="s">
        <v>1441</v>
      </c>
      <c r="DX116" s="31">
        <v>46143.258568159719</v>
      </c>
      <c r="DZ116" s="5">
        <v>45778</v>
      </c>
      <c r="EA116" s="13" t="s">
        <v>1252</v>
      </c>
      <c r="EB116" s="13" t="s">
        <v>1374</v>
      </c>
      <c r="EC116" s="13" t="s">
        <v>1222</v>
      </c>
      <c r="ED116" s="11">
        <v>0</v>
      </c>
      <c r="EE116" s="11"/>
    </row>
    <row r="117" spans="120:135" x14ac:dyDescent="0.2">
      <c r="DP117" t="s">
        <v>1526</v>
      </c>
      <c r="DQ117" t="s">
        <v>1527</v>
      </c>
      <c r="DR117" t="s">
        <v>1433</v>
      </c>
      <c r="DS117" t="s">
        <v>1428</v>
      </c>
      <c r="DT117" t="s">
        <v>1429</v>
      </c>
      <c r="DU117" t="s">
        <v>1493</v>
      </c>
      <c r="DV117" t="b">
        <v>1</v>
      </c>
      <c r="DW117" t="s">
        <v>1434</v>
      </c>
      <c r="DX117" s="31">
        <v>46143.258568159719</v>
      </c>
      <c r="DZ117" s="5">
        <v>45778</v>
      </c>
      <c r="EA117" s="13" t="s">
        <v>1251</v>
      </c>
      <c r="EB117" s="13" t="s">
        <v>2206</v>
      </c>
      <c r="EC117" s="13" t="s">
        <v>1056</v>
      </c>
      <c r="ED117" s="11">
        <v>1353</v>
      </c>
      <c r="EE117" s="11"/>
    </row>
    <row r="118" spans="120:135" x14ac:dyDescent="0.2">
      <c r="DP118" t="s">
        <v>1528</v>
      </c>
      <c r="DQ118" t="s">
        <v>1529</v>
      </c>
      <c r="DR118" t="s">
        <v>1437</v>
      </c>
      <c r="DS118" t="s">
        <v>1428</v>
      </c>
      <c r="DT118" t="s">
        <v>1429</v>
      </c>
      <c r="DU118" t="s">
        <v>1526</v>
      </c>
      <c r="DV118" t="b">
        <v>1</v>
      </c>
      <c r="DW118" t="s">
        <v>1434</v>
      </c>
      <c r="DX118" s="31">
        <v>46143.258568159719</v>
      </c>
      <c r="DZ118" s="5">
        <v>45778</v>
      </c>
      <c r="EA118" s="13" t="s">
        <v>1251</v>
      </c>
      <c r="EB118" s="13" t="s">
        <v>2212</v>
      </c>
      <c r="EC118" s="13" t="s">
        <v>1056</v>
      </c>
      <c r="ED118" s="11">
        <v>1867</v>
      </c>
      <c r="EE118" s="11"/>
    </row>
    <row r="119" spans="120:135" x14ac:dyDescent="0.2">
      <c r="DP119" t="s">
        <v>1530</v>
      </c>
      <c r="DQ119" t="s">
        <v>1028</v>
      </c>
      <c r="DR119" t="s">
        <v>1439</v>
      </c>
      <c r="DS119" t="s">
        <v>1428</v>
      </c>
      <c r="DT119" t="s">
        <v>1429</v>
      </c>
      <c r="DU119" t="s">
        <v>1528</v>
      </c>
      <c r="DV119" t="b">
        <v>1</v>
      </c>
      <c r="DW119" t="s">
        <v>1434</v>
      </c>
      <c r="DX119" s="31">
        <v>46143.258568159719</v>
      </c>
      <c r="DZ119" s="5">
        <v>45778</v>
      </c>
      <c r="EA119" s="13" t="s">
        <v>1250</v>
      </c>
      <c r="EB119" s="13" t="s">
        <v>1358</v>
      </c>
      <c r="EC119" s="13" t="s">
        <v>1056</v>
      </c>
      <c r="ED119" s="11">
        <v>1353</v>
      </c>
      <c r="EE119" s="11"/>
    </row>
    <row r="120" spans="120:135" x14ac:dyDescent="0.2">
      <c r="DP120" t="s">
        <v>1027</v>
      </c>
      <c r="DQ120" t="s">
        <v>1028</v>
      </c>
      <c r="DR120" t="s">
        <v>1440</v>
      </c>
      <c r="DS120" t="s">
        <v>1429</v>
      </c>
      <c r="DT120" t="s">
        <v>1429</v>
      </c>
      <c r="DU120" t="s">
        <v>1530</v>
      </c>
      <c r="DV120" t="b">
        <v>0</v>
      </c>
      <c r="DW120" t="s">
        <v>1441</v>
      </c>
      <c r="DX120" s="31">
        <v>46143.258568159719</v>
      </c>
      <c r="DZ120" s="5">
        <v>45778</v>
      </c>
      <c r="EA120" s="13" t="s">
        <v>1251</v>
      </c>
      <c r="EB120" s="13" t="s">
        <v>1341</v>
      </c>
      <c r="EC120" s="13" t="s">
        <v>1148</v>
      </c>
      <c r="ED120" s="11">
        <v>0</v>
      </c>
      <c r="EE120" s="11"/>
    </row>
    <row r="121" spans="120:135" x14ac:dyDescent="0.2">
      <c r="DP121" t="s">
        <v>1531</v>
      </c>
      <c r="DQ121" t="s">
        <v>1532</v>
      </c>
      <c r="DR121" t="s">
        <v>1437</v>
      </c>
      <c r="DS121" t="s">
        <v>1428</v>
      </c>
      <c r="DT121" t="s">
        <v>1429</v>
      </c>
      <c r="DU121" t="s">
        <v>1526</v>
      </c>
      <c r="DV121" t="b">
        <v>1</v>
      </c>
      <c r="DW121" t="s">
        <v>1434</v>
      </c>
      <c r="DX121" s="31">
        <v>46143.258568159719</v>
      </c>
      <c r="DZ121" s="5">
        <v>45778</v>
      </c>
      <c r="EA121" s="13" t="s">
        <v>1251</v>
      </c>
      <c r="EB121" s="13" t="s">
        <v>2277</v>
      </c>
      <c r="EC121" s="13" t="s">
        <v>1208</v>
      </c>
      <c r="ED121" s="11">
        <v>0</v>
      </c>
      <c r="EE121" s="11"/>
    </row>
    <row r="122" spans="120:135" x14ac:dyDescent="0.2">
      <c r="DP122" t="s">
        <v>1533</v>
      </c>
      <c r="DQ122" t="s">
        <v>1030</v>
      </c>
      <c r="DR122" t="s">
        <v>1439</v>
      </c>
      <c r="DS122" t="s">
        <v>1428</v>
      </c>
      <c r="DT122" t="s">
        <v>1429</v>
      </c>
      <c r="DU122" t="s">
        <v>1531</v>
      </c>
      <c r="DV122" t="b">
        <v>1</v>
      </c>
      <c r="DW122" t="s">
        <v>1434</v>
      </c>
      <c r="DX122" s="31">
        <v>46143.258568159719</v>
      </c>
      <c r="DZ122" s="5">
        <v>45778</v>
      </c>
      <c r="EA122" s="13" t="s">
        <v>1251</v>
      </c>
      <c r="EB122" s="13" t="s">
        <v>1346</v>
      </c>
      <c r="EC122" s="13" t="s">
        <v>1208</v>
      </c>
      <c r="ED122" s="11">
        <v>756050</v>
      </c>
      <c r="EE122" s="11"/>
    </row>
    <row r="123" spans="120:135" x14ac:dyDescent="0.2">
      <c r="DP123" t="s">
        <v>1029</v>
      </c>
      <c r="DQ123" t="s">
        <v>1030</v>
      </c>
      <c r="DR123" t="s">
        <v>1440</v>
      </c>
      <c r="DS123" t="s">
        <v>1429</v>
      </c>
      <c r="DT123" t="s">
        <v>1429</v>
      </c>
      <c r="DU123" t="s">
        <v>1533</v>
      </c>
      <c r="DV123" t="b">
        <v>0</v>
      </c>
      <c r="DW123" t="s">
        <v>1441</v>
      </c>
      <c r="DX123" s="31">
        <v>46143.258568159719</v>
      </c>
      <c r="DZ123" s="5">
        <v>45778</v>
      </c>
      <c r="EA123" s="13" t="s">
        <v>1251</v>
      </c>
      <c r="EB123" s="13" t="s">
        <v>1350</v>
      </c>
      <c r="EC123" s="13" t="s">
        <v>1208</v>
      </c>
      <c r="ED123" s="11">
        <v>2841140</v>
      </c>
      <c r="EE123" s="11"/>
    </row>
    <row r="124" spans="120:135" x14ac:dyDescent="0.2">
      <c r="DP124" t="s">
        <v>1534</v>
      </c>
      <c r="DQ124" t="s">
        <v>1535</v>
      </c>
      <c r="DR124" t="s">
        <v>1439</v>
      </c>
      <c r="DS124" t="s">
        <v>1428</v>
      </c>
      <c r="DT124" t="s">
        <v>1429</v>
      </c>
      <c r="DU124" t="s">
        <v>1531</v>
      </c>
      <c r="DV124" t="b">
        <v>1</v>
      </c>
      <c r="DW124" t="s">
        <v>1434</v>
      </c>
      <c r="DX124" s="31">
        <v>46143.258568159719</v>
      </c>
      <c r="DZ124" s="5">
        <v>45778</v>
      </c>
      <c r="EA124" s="13" t="s">
        <v>1251</v>
      </c>
      <c r="EB124" s="13" t="s">
        <v>1382</v>
      </c>
      <c r="EC124" s="13" t="s">
        <v>1208</v>
      </c>
      <c r="ED124" s="11">
        <v>358196</v>
      </c>
      <c r="EE124" s="11"/>
    </row>
    <row r="125" spans="120:135" x14ac:dyDescent="0.2">
      <c r="DP125" t="s">
        <v>1031</v>
      </c>
      <c r="DQ125" t="s">
        <v>1032</v>
      </c>
      <c r="DR125" t="s">
        <v>1440</v>
      </c>
      <c r="DS125" t="s">
        <v>1429</v>
      </c>
      <c r="DT125" t="s">
        <v>1429</v>
      </c>
      <c r="DU125" t="s">
        <v>1534</v>
      </c>
      <c r="DV125" t="b">
        <v>0</v>
      </c>
      <c r="DW125" t="s">
        <v>1441</v>
      </c>
      <c r="DX125" s="31">
        <v>46143.258568159719</v>
      </c>
      <c r="DZ125" s="5">
        <v>45778</v>
      </c>
      <c r="EA125" s="13" t="s">
        <v>1251</v>
      </c>
      <c r="EB125" s="13" t="s">
        <v>2278</v>
      </c>
      <c r="EC125" s="13" t="s">
        <v>1215</v>
      </c>
      <c r="ED125" s="11"/>
      <c r="EE125" s="11">
        <v>0</v>
      </c>
    </row>
    <row r="126" spans="120:135" x14ac:dyDescent="0.2">
      <c r="DP126" t="s">
        <v>1033</v>
      </c>
      <c r="DQ126" t="s">
        <v>1034</v>
      </c>
      <c r="DR126" t="s">
        <v>1440</v>
      </c>
      <c r="DS126" t="s">
        <v>1429</v>
      </c>
      <c r="DT126" t="s">
        <v>1429</v>
      </c>
      <c r="DU126" t="s">
        <v>1534</v>
      </c>
      <c r="DV126" t="b">
        <v>0</v>
      </c>
      <c r="DW126" t="s">
        <v>1441</v>
      </c>
      <c r="DX126" s="31">
        <v>46143.258568159719</v>
      </c>
      <c r="DZ126" s="5">
        <v>45778</v>
      </c>
      <c r="EA126" s="13" t="s">
        <v>1251</v>
      </c>
      <c r="EB126" s="13" t="s">
        <v>1354</v>
      </c>
      <c r="EC126" s="13" t="s">
        <v>1215</v>
      </c>
      <c r="ED126" s="11"/>
      <c r="EE126" s="11">
        <v>100000</v>
      </c>
    </row>
    <row r="127" spans="120:135" x14ac:dyDescent="0.2">
      <c r="DP127" t="s">
        <v>1536</v>
      </c>
      <c r="DQ127" t="s">
        <v>1036</v>
      </c>
      <c r="DR127" t="s">
        <v>1439</v>
      </c>
      <c r="DS127" t="s">
        <v>1428</v>
      </c>
      <c r="DT127" t="s">
        <v>1429</v>
      </c>
      <c r="DU127" t="s">
        <v>1531</v>
      </c>
      <c r="DV127" t="b">
        <v>1</v>
      </c>
      <c r="DW127" t="s">
        <v>1434</v>
      </c>
      <c r="DX127" s="31">
        <v>46143.258568159719</v>
      </c>
      <c r="DZ127" s="5">
        <v>45778</v>
      </c>
      <c r="EA127" s="13" t="s">
        <v>1251</v>
      </c>
      <c r="EB127" s="13" t="s">
        <v>2279</v>
      </c>
      <c r="EC127" s="13" t="s">
        <v>1215</v>
      </c>
      <c r="ED127" s="11"/>
      <c r="EE127" s="11">
        <v>0</v>
      </c>
    </row>
    <row r="128" spans="120:135" x14ac:dyDescent="0.2">
      <c r="DP128" t="s">
        <v>1035</v>
      </c>
      <c r="DQ128" t="s">
        <v>1036</v>
      </c>
      <c r="DR128" t="s">
        <v>1440</v>
      </c>
      <c r="DS128" t="s">
        <v>1429</v>
      </c>
      <c r="DT128" t="s">
        <v>1429</v>
      </c>
      <c r="DU128" t="s">
        <v>1536</v>
      </c>
      <c r="DV128" t="b">
        <v>0</v>
      </c>
      <c r="DW128" t="s">
        <v>1441</v>
      </c>
      <c r="DX128" s="31">
        <v>46143.258568159719</v>
      </c>
      <c r="DZ128" s="5">
        <v>45778</v>
      </c>
      <c r="EA128" s="13" t="s">
        <v>1251</v>
      </c>
      <c r="EB128" s="13" t="s">
        <v>2280</v>
      </c>
      <c r="EC128" s="13" t="s">
        <v>1215</v>
      </c>
      <c r="ED128" s="11"/>
      <c r="EE128" s="11">
        <v>0</v>
      </c>
    </row>
    <row r="129" spans="120:135" x14ac:dyDescent="0.2">
      <c r="DP129" t="s">
        <v>1537</v>
      </c>
      <c r="DQ129" t="s">
        <v>1038</v>
      </c>
      <c r="DR129" t="s">
        <v>1439</v>
      </c>
      <c r="DS129" t="s">
        <v>1428</v>
      </c>
      <c r="DT129" t="s">
        <v>1429</v>
      </c>
      <c r="DU129" t="s">
        <v>1531</v>
      </c>
      <c r="DV129" t="b">
        <v>1</v>
      </c>
      <c r="DW129" t="s">
        <v>1434</v>
      </c>
      <c r="DX129" s="31">
        <v>46143.258568159719</v>
      </c>
      <c r="DZ129" s="5">
        <v>45778</v>
      </c>
      <c r="EA129" s="13" t="s">
        <v>1251</v>
      </c>
      <c r="EB129" s="13" t="s">
        <v>1386</v>
      </c>
      <c r="EC129" s="13" t="s">
        <v>1215</v>
      </c>
      <c r="ED129" s="11"/>
      <c r="EE129" s="11">
        <v>132511</v>
      </c>
    </row>
    <row r="130" spans="120:135" x14ac:dyDescent="0.2">
      <c r="DP130" t="s">
        <v>1037</v>
      </c>
      <c r="DQ130" t="s">
        <v>1038</v>
      </c>
      <c r="DR130" t="s">
        <v>1440</v>
      </c>
      <c r="DS130" t="s">
        <v>1429</v>
      </c>
      <c r="DT130" t="s">
        <v>1429</v>
      </c>
      <c r="DU130" t="s">
        <v>1537</v>
      </c>
      <c r="DV130" t="b">
        <v>0</v>
      </c>
      <c r="DW130" t="s">
        <v>1441</v>
      </c>
      <c r="DX130" s="31">
        <v>46143.258568159719</v>
      </c>
      <c r="DZ130" s="5">
        <v>45778</v>
      </c>
      <c r="EA130" s="13" t="s">
        <v>1251</v>
      </c>
      <c r="EB130" s="13" t="s">
        <v>1353</v>
      </c>
      <c r="EC130" s="13" t="s">
        <v>1215</v>
      </c>
      <c r="ED130" s="11"/>
      <c r="EE130" s="11">
        <v>142200</v>
      </c>
    </row>
    <row r="131" spans="120:135" x14ac:dyDescent="0.2">
      <c r="DP131" t="s">
        <v>1730</v>
      </c>
      <c r="DQ131" t="s">
        <v>1731</v>
      </c>
      <c r="DR131" t="s">
        <v>1440</v>
      </c>
      <c r="DS131" t="s">
        <v>1429</v>
      </c>
      <c r="DT131" t="s">
        <v>1429</v>
      </c>
      <c r="DU131" t="s">
        <v>1537</v>
      </c>
      <c r="DV131" t="b">
        <v>0</v>
      </c>
      <c r="DW131" t="s">
        <v>1441</v>
      </c>
      <c r="DX131" s="31">
        <v>46143.258568159719</v>
      </c>
      <c r="DZ131" s="5">
        <v>45778</v>
      </c>
      <c r="EA131" s="13" t="s">
        <v>1251</v>
      </c>
      <c r="EB131" s="13" t="s">
        <v>2281</v>
      </c>
      <c r="EC131" s="13" t="s">
        <v>1215</v>
      </c>
      <c r="ED131" s="11"/>
      <c r="EE131" s="11">
        <v>10000</v>
      </c>
    </row>
    <row r="132" spans="120:135" x14ac:dyDescent="0.2">
      <c r="DP132" t="s">
        <v>1538</v>
      </c>
      <c r="DQ132" t="s">
        <v>1539</v>
      </c>
      <c r="DR132" t="s">
        <v>1439</v>
      </c>
      <c r="DS132" t="s">
        <v>1428</v>
      </c>
      <c r="DT132" t="s">
        <v>1429</v>
      </c>
      <c r="DU132" t="s">
        <v>1531</v>
      </c>
      <c r="DV132" t="b">
        <v>1</v>
      </c>
      <c r="DW132" t="s">
        <v>1434</v>
      </c>
      <c r="DX132" s="31">
        <v>46143.258568159719</v>
      </c>
      <c r="DZ132" s="5">
        <v>45778</v>
      </c>
      <c r="EA132" s="13" t="s">
        <v>1251</v>
      </c>
      <c r="EB132" s="13" t="s">
        <v>1385</v>
      </c>
      <c r="EC132" s="13" t="s">
        <v>1215</v>
      </c>
      <c r="ED132" s="11"/>
      <c r="EE132" s="11">
        <v>246510.1</v>
      </c>
    </row>
    <row r="133" spans="120:135" x14ac:dyDescent="0.2">
      <c r="DP133" t="s">
        <v>1039</v>
      </c>
      <c r="DQ133" t="s">
        <v>1040</v>
      </c>
      <c r="DR133" t="s">
        <v>1440</v>
      </c>
      <c r="DS133" t="s">
        <v>1429</v>
      </c>
      <c r="DT133" t="s">
        <v>1429</v>
      </c>
      <c r="DU133" t="s">
        <v>1538</v>
      </c>
      <c r="DV133" t="b">
        <v>0</v>
      </c>
      <c r="DW133" t="s">
        <v>1441</v>
      </c>
      <c r="DX133" s="31">
        <v>46143.258568159719</v>
      </c>
      <c r="DZ133" s="5">
        <v>45778</v>
      </c>
      <c r="EA133" s="13" t="s">
        <v>1251</v>
      </c>
      <c r="EB133" s="13" t="s">
        <v>1347</v>
      </c>
      <c r="EC133" s="13" t="s">
        <v>1215</v>
      </c>
      <c r="ED133" s="11"/>
      <c r="EE133" s="11">
        <v>1217021</v>
      </c>
    </row>
    <row r="134" spans="120:135" x14ac:dyDescent="0.2">
      <c r="DP134" t="s">
        <v>1540</v>
      </c>
      <c r="DQ134" t="s">
        <v>1042</v>
      </c>
      <c r="DR134" t="s">
        <v>1439</v>
      </c>
      <c r="DS134" t="s">
        <v>1428</v>
      </c>
      <c r="DT134" t="s">
        <v>1429</v>
      </c>
      <c r="DU134" t="s">
        <v>1531</v>
      </c>
      <c r="DV134" t="b">
        <v>1</v>
      </c>
      <c r="DW134" t="s">
        <v>1434</v>
      </c>
      <c r="DX134" s="31">
        <v>46143.258568159719</v>
      </c>
      <c r="DZ134" s="5">
        <v>45778</v>
      </c>
      <c r="EA134" s="13" t="s">
        <v>1251</v>
      </c>
      <c r="EB134" s="13" t="s">
        <v>2282</v>
      </c>
      <c r="EC134" s="13" t="s">
        <v>1215</v>
      </c>
      <c r="ED134" s="11"/>
      <c r="EE134" s="11">
        <v>0</v>
      </c>
    </row>
    <row r="135" spans="120:135" x14ac:dyDescent="0.2">
      <c r="DP135" t="s">
        <v>1041</v>
      </c>
      <c r="DQ135" t="s">
        <v>1042</v>
      </c>
      <c r="DR135" t="s">
        <v>1440</v>
      </c>
      <c r="DS135" t="s">
        <v>1429</v>
      </c>
      <c r="DT135" t="s">
        <v>1429</v>
      </c>
      <c r="DU135" t="s">
        <v>1540</v>
      </c>
      <c r="DV135" t="b">
        <v>0</v>
      </c>
      <c r="DW135" t="s">
        <v>1441</v>
      </c>
      <c r="DX135" s="31">
        <v>46143.258568159719</v>
      </c>
      <c r="DZ135" s="5">
        <v>45778</v>
      </c>
      <c r="EA135" s="13" t="s">
        <v>1251</v>
      </c>
      <c r="EB135" s="13" t="s">
        <v>2283</v>
      </c>
      <c r="EC135" s="13" t="s">
        <v>1217</v>
      </c>
      <c r="ED135" s="11">
        <v>87984.36</v>
      </c>
      <c r="EE135" s="11"/>
    </row>
    <row r="136" spans="120:135" x14ac:dyDescent="0.2">
      <c r="DP136" t="s">
        <v>1541</v>
      </c>
      <c r="DQ136" t="s">
        <v>1542</v>
      </c>
      <c r="DR136" t="s">
        <v>1437</v>
      </c>
      <c r="DS136" t="s">
        <v>1428</v>
      </c>
      <c r="DT136" t="s">
        <v>1429</v>
      </c>
      <c r="DU136" t="s">
        <v>1526</v>
      </c>
      <c r="DV136" t="b">
        <v>1</v>
      </c>
      <c r="DW136" t="s">
        <v>1434</v>
      </c>
      <c r="DX136" s="31">
        <v>46143.258568159719</v>
      </c>
      <c r="DZ136" s="5">
        <v>45778</v>
      </c>
      <c r="EA136" s="13" t="s">
        <v>1251</v>
      </c>
      <c r="EB136" s="13" t="s">
        <v>1352</v>
      </c>
      <c r="EC136" s="13" t="s">
        <v>1217</v>
      </c>
      <c r="ED136" s="11">
        <v>173880</v>
      </c>
      <c r="EE136" s="11"/>
    </row>
    <row r="137" spans="120:135" x14ac:dyDescent="0.2">
      <c r="DP137" t="s">
        <v>1043</v>
      </c>
      <c r="DQ137" t="s">
        <v>1044</v>
      </c>
      <c r="DR137" t="s">
        <v>1439</v>
      </c>
      <c r="DS137" t="s">
        <v>1429</v>
      </c>
      <c r="DT137" t="s">
        <v>1429</v>
      </c>
      <c r="DU137" t="s">
        <v>1541</v>
      </c>
      <c r="DV137" t="b">
        <v>0</v>
      </c>
      <c r="DW137" t="s">
        <v>1441</v>
      </c>
      <c r="DX137" s="31">
        <v>46143.258568159719</v>
      </c>
      <c r="DZ137" s="5">
        <v>45778</v>
      </c>
      <c r="EA137" s="13" t="s">
        <v>1251</v>
      </c>
      <c r="EB137" s="13" t="s">
        <v>2284</v>
      </c>
      <c r="EC137" s="13" t="s">
        <v>1217</v>
      </c>
      <c r="ED137" s="11">
        <v>848700</v>
      </c>
      <c r="EE137" s="11"/>
    </row>
    <row r="138" spans="120:135" x14ac:dyDescent="0.2">
      <c r="DP138" t="s">
        <v>1045</v>
      </c>
      <c r="DQ138" t="s">
        <v>1046</v>
      </c>
      <c r="DR138" t="s">
        <v>1439</v>
      </c>
      <c r="DS138" t="s">
        <v>1429</v>
      </c>
      <c r="DT138" t="s">
        <v>1429</v>
      </c>
      <c r="DU138" t="s">
        <v>1541</v>
      </c>
      <c r="DV138" t="b">
        <v>0</v>
      </c>
      <c r="DW138" t="s">
        <v>1441</v>
      </c>
      <c r="DX138" s="31">
        <v>46143.258568159719</v>
      </c>
      <c r="DZ138" s="5">
        <v>45778</v>
      </c>
      <c r="EA138" s="13" t="s">
        <v>1251</v>
      </c>
      <c r="EB138" s="13" t="s">
        <v>1388</v>
      </c>
      <c r="EC138" s="13" t="s">
        <v>1217</v>
      </c>
      <c r="ED138" s="11">
        <v>219000</v>
      </c>
      <c r="EE138" s="11"/>
    </row>
    <row r="139" spans="120:135" x14ac:dyDescent="0.2">
      <c r="DP139" t="s">
        <v>1543</v>
      </c>
      <c r="DQ139" t="s">
        <v>1048</v>
      </c>
      <c r="DR139" t="s">
        <v>1437</v>
      </c>
      <c r="DS139" t="s">
        <v>1428</v>
      </c>
      <c r="DT139" t="s">
        <v>1429</v>
      </c>
      <c r="DU139" t="s">
        <v>1526</v>
      </c>
      <c r="DV139" t="b">
        <v>1</v>
      </c>
      <c r="DW139" t="s">
        <v>1434</v>
      </c>
      <c r="DX139" s="31">
        <v>46143.258568159719</v>
      </c>
      <c r="DZ139" s="5">
        <v>45778</v>
      </c>
      <c r="EA139" s="13" t="s">
        <v>1251</v>
      </c>
      <c r="EB139" s="13" t="s">
        <v>1389</v>
      </c>
      <c r="EC139" s="13" t="s">
        <v>1217</v>
      </c>
      <c r="ED139" s="11">
        <v>77731.11</v>
      </c>
      <c r="EE139" s="11"/>
    </row>
    <row r="140" spans="120:135" x14ac:dyDescent="0.2">
      <c r="DP140" t="s">
        <v>1047</v>
      </c>
      <c r="DQ140" t="s">
        <v>1048</v>
      </c>
      <c r="DR140" t="s">
        <v>1439</v>
      </c>
      <c r="DS140" t="s">
        <v>1429</v>
      </c>
      <c r="DT140" t="s">
        <v>1429</v>
      </c>
      <c r="DU140" t="s">
        <v>1543</v>
      </c>
      <c r="DV140" t="b">
        <v>0</v>
      </c>
      <c r="DW140" t="s">
        <v>1441</v>
      </c>
      <c r="DX140" s="31">
        <v>46143.258568159719</v>
      </c>
      <c r="DZ140" s="5">
        <v>45778</v>
      </c>
      <c r="EA140" s="13" t="s">
        <v>1253</v>
      </c>
      <c r="EB140" s="13" t="s">
        <v>1335</v>
      </c>
      <c r="EC140" s="13" t="s">
        <v>1084</v>
      </c>
      <c r="ED140" s="11"/>
      <c r="EE140" s="11">
        <v>21707547</v>
      </c>
    </row>
    <row r="141" spans="120:135" x14ac:dyDescent="0.2">
      <c r="DP141" t="s">
        <v>1544</v>
      </c>
      <c r="DQ141" t="s">
        <v>984</v>
      </c>
      <c r="DR141" t="s">
        <v>1437</v>
      </c>
      <c r="DS141" t="s">
        <v>1428</v>
      </c>
      <c r="DT141" t="s">
        <v>1429</v>
      </c>
      <c r="DU141" t="s">
        <v>1526</v>
      </c>
      <c r="DV141" t="b">
        <v>1</v>
      </c>
      <c r="DW141" t="s">
        <v>1434</v>
      </c>
      <c r="DX141" s="31">
        <v>46143.258568159719</v>
      </c>
      <c r="DZ141" s="5">
        <v>45778</v>
      </c>
      <c r="EA141" s="13" t="s">
        <v>1253</v>
      </c>
      <c r="EB141" s="13" t="s">
        <v>2285</v>
      </c>
      <c r="EC141" s="13" t="s">
        <v>1084</v>
      </c>
      <c r="ED141" s="11"/>
      <c r="EE141" s="11">
        <v>0</v>
      </c>
    </row>
    <row r="142" spans="120:135" x14ac:dyDescent="0.2">
      <c r="DP142" t="s">
        <v>1545</v>
      </c>
      <c r="DQ142" t="s">
        <v>1546</v>
      </c>
      <c r="DR142" t="s">
        <v>1439</v>
      </c>
      <c r="DS142" t="s">
        <v>1428</v>
      </c>
      <c r="DT142" t="s">
        <v>1429</v>
      </c>
      <c r="DU142" t="s">
        <v>1544</v>
      </c>
      <c r="DV142" t="b">
        <v>1</v>
      </c>
      <c r="DW142" t="s">
        <v>1434</v>
      </c>
      <c r="DX142" s="31">
        <v>46143.258568159719</v>
      </c>
      <c r="DZ142" s="5">
        <v>45778</v>
      </c>
      <c r="EA142" s="13" t="s">
        <v>1251</v>
      </c>
      <c r="EB142" s="13" t="s">
        <v>2212</v>
      </c>
      <c r="EC142" s="13" t="s">
        <v>1114</v>
      </c>
      <c r="ED142" s="11">
        <v>186719</v>
      </c>
      <c r="EE142" s="11"/>
    </row>
    <row r="143" spans="120:135" x14ac:dyDescent="0.2">
      <c r="DP143" t="s">
        <v>1049</v>
      </c>
      <c r="DQ143" t="s">
        <v>1050</v>
      </c>
      <c r="DR143" t="s">
        <v>1440</v>
      </c>
      <c r="DS143" t="s">
        <v>1429</v>
      </c>
      <c r="DT143" t="s">
        <v>1429</v>
      </c>
      <c r="DU143" t="s">
        <v>1545</v>
      </c>
      <c r="DV143" t="b">
        <v>0</v>
      </c>
      <c r="DW143" t="s">
        <v>1441</v>
      </c>
      <c r="DX143" s="31">
        <v>46143.258568159719</v>
      </c>
      <c r="DZ143" s="5">
        <v>45778</v>
      </c>
      <c r="EA143" s="13" t="s">
        <v>1250</v>
      </c>
      <c r="EB143" s="13" t="s">
        <v>1358</v>
      </c>
      <c r="EC143" s="13" t="s">
        <v>1114</v>
      </c>
      <c r="ED143" s="11">
        <v>135292</v>
      </c>
      <c r="EE143" s="11"/>
    </row>
    <row r="144" spans="120:135" x14ac:dyDescent="0.2">
      <c r="DP144" t="s">
        <v>1547</v>
      </c>
      <c r="DQ144" t="s">
        <v>1548</v>
      </c>
      <c r="DR144" t="s">
        <v>1433</v>
      </c>
      <c r="DS144" t="s">
        <v>1428</v>
      </c>
      <c r="DT144" t="s">
        <v>1429</v>
      </c>
      <c r="DU144" t="s">
        <v>1493</v>
      </c>
      <c r="DV144" t="b">
        <v>1</v>
      </c>
      <c r="DW144" t="s">
        <v>1434</v>
      </c>
      <c r="DX144" s="31">
        <v>46143.258568159719</v>
      </c>
      <c r="DZ144" s="5">
        <v>45778</v>
      </c>
      <c r="EA144" s="13" t="s">
        <v>1251</v>
      </c>
      <c r="EB144" s="13" t="s">
        <v>2206</v>
      </c>
      <c r="EC144" s="13" t="s">
        <v>1114</v>
      </c>
      <c r="ED144" s="11">
        <v>135292</v>
      </c>
      <c r="EE144" s="11"/>
    </row>
    <row r="145" spans="120:135" x14ac:dyDescent="0.2">
      <c r="DP145" t="s">
        <v>1549</v>
      </c>
      <c r="DQ145" t="s">
        <v>1052</v>
      </c>
      <c r="DR145" t="s">
        <v>1437</v>
      </c>
      <c r="DS145" t="s">
        <v>1428</v>
      </c>
      <c r="DT145" t="s">
        <v>1429</v>
      </c>
      <c r="DU145" t="s">
        <v>1547</v>
      </c>
      <c r="DV145" t="b">
        <v>1</v>
      </c>
      <c r="DW145" t="s">
        <v>1434</v>
      </c>
      <c r="DX145" s="31">
        <v>46143.258568159719</v>
      </c>
      <c r="DZ145" s="5">
        <v>45778</v>
      </c>
      <c r="EA145" s="13" t="s">
        <v>1250</v>
      </c>
      <c r="EB145" s="13" t="s">
        <v>1417</v>
      </c>
      <c r="EC145" s="13" t="s">
        <v>1156</v>
      </c>
      <c r="ED145" s="11">
        <v>0</v>
      </c>
      <c r="EE145" s="11"/>
    </row>
    <row r="146" spans="120:135" x14ac:dyDescent="0.2">
      <c r="DP146" t="s">
        <v>1550</v>
      </c>
      <c r="DQ146" t="s">
        <v>1052</v>
      </c>
      <c r="DR146" t="s">
        <v>1439</v>
      </c>
      <c r="DS146" t="s">
        <v>1428</v>
      </c>
      <c r="DT146" t="s">
        <v>1429</v>
      </c>
      <c r="DU146" t="s">
        <v>1549</v>
      </c>
      <c r="DV146" t="b">
        <v>1</v>
      </c>
      <c r="DW146" t="s">
        <v>1434</v>
      </c>
      <c r="DX146" s="31">
        <v>46143.258568159719</v>
      </c>
      <c r="DZ146" s="5">
        <v>45778</v>
      </c>
      <c r="EA146" s="13" t="s">
        <v>1250</v>
      </c>
      <c r="EB146" s="13" t="s">
        <v>2286</v>
      </c>
      <c r="EC146" s="13" t="s">
        <v>1144</v>
      </c>
      <c r="ED146" s="11">
        <v>5000000</v>
      </c>
      <c r="EE146" s="11"/>
    </row>
    <row r="147" spans="120:135" x14ac:dyDescent="0.2">
      <c r="DP147" t="s">
        <v>1051</v>
      </c>
      <c r="DQ147" t="s">
        <v>1052</v>
      </c>
      <c r="DR147" t="s">
        <v>1440</v>
      </c>
      <c r="DS147" t="s">
        <v>1429</v>
      </c>
      <c r="DT147" t="s">
        <v>1429</v>
      </c>
      <c r="DU147" t="s">
        <v>1550</v>
      </c>
      <c r="DV147" t="b">
        <v>0</v>
      </c>
      <c r="DW147" t="s">
        <v>1441</v>
      </c>
      <c r="DX147" s="31">
        <v>46143.258568159719</v>
      </c>
      <c r="DZ147" s="5">
        <v>45778</v>
      </c>
      <c r="EA147" s="13" t="s">
        <v>1251</v>
      </c>
      <c r="EB147" s="13" t="s">
        <v>1345</v>
      </c>
      <c r="EC147" s="13" t="s">
        <v>1146</v>
      </c>
      <c r="ED147" s="11">
        <v>37868</v>
      </c>
      <c r="EE147" s="11"/>
    </row>
    <row r="148" spans="120:135" x14ac:dyDescent="0.2">
      <c r="DP148" t="s">
        <v>1551</v>
      </c>
      <c r="DQ148" t="s">
        <v>1552</v>
      </c>
      <c r="DR148" t="s">
        <v>1437</v>
      </c>
      <c r="DS148" t="s">
        <v>1428</v>
      </c>
      <c r="DT148" t="s">
        <v>1429</v>
      </c>
      <c r="DU148" t="s">
        <v>1547</v>
      </c>
      <c r="DV148" t="b">
        <v>1</v>
      </c>
      <c r="DW148" t="s">
        <v>1434</v>
      </c>
      <c r="DX148" s="31">
        <v>46143.258568159719</v>
      </c>
      <c r="DZ148" s="5">
        <v>45778</v>
      </c>
      <c r="EA148" s="13" t="s">
        <v>1251</v>
      </c>
      <c r="EB148" s="13" t="s">
        <v>1368</v>
      </c>
      <c r="EC148" s="13" t="s">
        <v>1146</v>
      </c>
      <c r="ED148" s="11">
        <v>0</v>
      </c>
      <c r="EE148" s="11"/>
    </row>
    <row r="149" spans="120:135" x14ac:dyDescent="0.2">
      <c r="DP149" t="s">
        <v>1553</v>
      </c>
      <c r="DQ149" t="s">
        <v>1552</v>
      </c>
      <c r="DR149" t="s">
        <v>1439</v>
      </c>
      <c r="DS149" t="s">
        <v>1428</v>
      </c>
      <c r="DT149" t="s">
        <v>1429</v>
      </c>
      <c r="DU149" t="s">
        <v>1551</v>
      </c>
      <c r="DV149" t="b">
        <v>1</v>
      </c>
      <c r="DW149" t="s">
        <v>1434</v>
      </c>
      <c r="DX149" s="31">
        <v>46143.258568159719</v>
      </c>
      <c r="DZ149" s="5">
        <v>45778</v>
      </c>
      <c r="EA149" s="13" t="s">
        <v>1250</v>
      </c>
      <c r="EB149" s="13" t="s">
        <v>1367</v>
      </c>
      <c r="EC149" s="13" t="s">
        <v>1146</v>
      </c>
      <c r="ED149" s="11">
        <v>50183</v>
      </c>
      <c r="EE149" s="11"/>
    </row>
    <row r="150" spans="120:135" x14ac:dyDescent="0.2">
      <c r="DP150" t="s">
        <v>1554</v>
      </c>
      <c r="DQ150" t="s">
        <v>1054</v>
      </c>
      <c r="DR150" t="s">
        <v>1440</v>
      </c>
      <c r="DS150" t="s">
        <v>1428</v>
      </c>
      <c r="DT150" t="s">
        <v>1429</v>
      </c>
      <c r="DU150" t="s">
        <v>1553</v>
      </c>
      <c r="DV150" t="b">
        <v>1</v>
      </c>
      <c r="DW150" t="s">
        <v>1434</v>
      </c>
      <c r="DX150" s="31">
        <v>46143.258568159719</v>
      </c>
      <c r="DZ150" s="5">
        <v>45778</v>
      </c>
      <c r="EA150" s="13" t="s">
        <v>1251</v>
      </c>
      <c r="EB150" s="13" t="s">
        <v>1349</v>
      </c>
      <c r="EC150" s="13" t="s">
        <v>1146</v>
      </c>
      <c r="ED150" s="11">
        <v>3479268</v>
      </c>
      <c r="EE150" s="11"/>
    </row>
    <row r="151" spans="120:135" x14ac:dyDescent="0.2">
      <c r="DP151" t="s">
        <v>1053</v>
      </c>
      <c r="DQ151" t="s">
        <v>1054</v>
      </c>
      <c r="DR151" t="s">
        <v>1555</v>
      </c>
      <c r="DS151" t="s">
        <v>1429</v>
      </c>
      <c r="DT151" t="s">
        <v>1429</v>
      </c>
      <c r="DU151" t="s">
        <v>1554</v>
      </c>
      <c r="DV151" t="b">
        <v>0</v>
      </c>
      <c r="DW151" t="s">
        <v>1441</v>
      </c>
      <c r="DX151" s="31">
        <v>46143.258568159719</v>
      </c>
      <c r="DZ151" s="5">
        <v>45778</v>
      </c>
      <c r="EA151" s="13" t="s">
        <v>1251</v>
      </c>
      <c r="EB151" s="13" t="s">
        <v>2206</v>
      </c>
      <c r="EC151" s="13" t="s">
        <v>1108</v>
      </c>
      <c r="ED151" s="11">
        <v>1423500</v>
      </c>
      <c r="EE151" s="11"/>
    </row>
    <row r="152" spans="120:135" x14ac:dyDescent="0.2">
      <c r="DP152" t="s">
        <v>1556</v>
      </c>
      <c r="DQ152" t="s">
        <v>1056</v>
      </c>
      <c r="DR152" t="s">
        <v>1440</v>
      </c>
      <c r="DS152" t="s">
        <v>1428</v>
      </c>
      <c r="DT152" t="s">
        <v>1429</v>
      </c>
      <c r="DU152" t="s">
        <v>1553</v>
      </c>
      <c r="DV152" t="b">
        <v>1</v>
      </c>
      <c r="DW152" t="s">
        <v>1434</v>
      </c>
      <c r="DX152" s="31">
        <v>46143.258568159719</v>
      </c>
      <c r="DZ152" s="5">
        <v>45778</v>
      </c>
      <c r="EA152" s="13" t="s">
        <v>1251</v>
      </c>
      <c r="EB152" s="13" t="s">
        <v>2212</v>
      </c>
      <c r="EC152" s="13" t="s">
        <v>1108</v>
      </c>
      <c r="ED152" s="11">
        <v>1533560</v>
      </c>
      <c r="EE152" s="11"/>
    </row>
    <row r="153" spans="120:135" x14ac:dyDescent="0.2">
      <c r="DP153" t="s">
        <v>1055</v>
      </c>
      <c r="DQ153" t="s">
        <v>1056</v>
      </c>
      <c r="DR153" t="s">
        <v>1555</v>
      </c>
      <c r="DS153" t="s">
        <v>1429</v>
      </c>
      <c r="DT153" t="s">
        <v>1429</v>
      </c>
      <c r="DU153" t="s">
        <v>1556</v>
      </c>
      <c r="DV153" t="b">
        <v>0</v>
      </c>
      <c r="DW153" t="s">
        <v>1441</v>
      </c>
      <c r="DX153" s="31">
        <v>46143.258568159719</v>
      </c>
      <c r="DZ153" s="5">
        <v>45778</v>
      </c>
      <c r="EA153" s="13" t="s">
        <v>1250</v>
      </c>
      <c r="EB153" s="13" t="s">
        <v>1358</v>
      </c>
      <c r="EC153" s="13" t="s">
        <v>1108</v>
      </c>
      <c r="ED153" s="11">
        <v>1376050</v>
      </c>
      <c r="EE153" s="11"/>
    </row>
    <row r="154" spans="120:135" x14ac:dyDescent="0.2">
      <c r="DP154" t="s">
        <v>1557</v>
      </c>
      <c r="DQ154" t="s">
        <v>1058</v>
      </c>
      <c r="DR154" t="s">
        <v>1440</v>
      </c>
      <c r="DS154" t="s">
        <v>1428</v>
      </c>
      <c r="DT154" t="s">
        <v>1429</v>
      </c>
      <c r="DU154" t="s">
        <v>1553</v>
      </c>
      <c r="DV154" t="b">
        <v>1</v>
      </c>
      <c r="DW154" t="s">
        <v>1434</v>
      </c>
      <c r="DX154" s="31">
        <v>46143.258568159719</v>
      </c>
      <c r="DZ154" s="5">
        <v>45778</v>
      </c>
      <c r="EA154" s="13" t="s">
        <v>1251</v>
      </c>
      <c r="EB154" s="13" t="s">
        <v>2281</v>
      </c>
      <c r="EC154" s="13" t="s">
        <v>1206</v>
      </c>
      <c r="ED154" s="11"/>
      <c r="EE154" s="11">
        <v>0</v>
      </c>
    </row>
    <row r="155" spans="120:135" x14ac:dyDescent="0.2">
      <c r="DP155" t="s">
        <v>1057</v>
      </c>
      <c r="DQ155" t="s">
        <v>1058</v>
      </c>
      <c r="DR155" t="s">
        <v>1555</v>
      </c>
      <c r="DS155" t="s">
        <v>1429</v>
      </c>
      <c r="DT155" t="s">
        <v>1429</v>
      </c>
      <c r="DU155" t="s">
        <v>1557</v>
      </c>
      <c r="DV155" t="b">
        <v>0</v>
      </c>
      <c r="DW155" t="s">
        <v>1441</v>
      </c>
      <c r="DX155" s="31">
        <v>46143.258568159719</v>
      </c>
      <c r="DZ155" s="5">
        <v>45778</v>
      </c>
      <c r="EA155" s="13" t="s">
        <v>1251</v>
      </c>
      <c r="EB155" s="13" t="s">
        <v>1344</v>
      </c>
      <c r="EC155" s="13" t="s">
        <v>1206</v>
      </c>
      <c r="ED155" s="11"/>
      <c r="EE155" s="11">
        <v>889000</v>
      </c>
    </row>
    <row r="156" spans="120:135" x14ac:dyDescent="0.2">
      <c r="DP156" t="s">
        <v>1059</v>
      </c>
      <c r="DQ156" t="s">
        <v>1060</v>
      </c>
      <c r="DR156" t="s">
        <v>1440</v>
      </c>
      <c r="DS156" t="s">
        <v>1429</v>
      </c>
      <c r="DT156" t="s">
        <v>1429</v>
      </c>
      <c r="DU156" t="s">
        <v>1553</v>
      </c>
      <c r="DV156" t="b">
        <v>0</v>
      </c>
      <c r="DW156" t="s">
        <v>1441</v>
      </c>
      <c r="DX156" s="31">
        <v>46143.258568159719</v>
      </c>
      <c r="DZ156" s="5">
        <v>45778</v>
      </c>
      <c r="EA156" s="13" t="s">
        <v>1251</v>
      </c>
      <c r="EB156" s="13" t="s">
        <v>1347</v>
      </c>
      <c r="EC156" s="13" t="s">
        <v>1206</v>
      </c>
      <c r="ED156" s="11"/>
      <c r="EE156" s="11">
        <v>-259579</v>
      </c>
    </row>
    <row r="157" spans="120:135" x14ac:dyDescent="0.2">
      <c r="DP157" t="s">
        <v>2156</v>
      </c>
      <c r="DQ157" t="s">
        <v>2157</v>
      </c>
      <c r="DR157" t="s">
        <v>1440</v>
      </c>
      <c r="DS157" t="s">
        <v>1428</v>
      </c>
      <c r="DT157" t="s">
        <v>1429</v>
      </c>
      <c r="DU157" t="s">
        <v>1553</v>
      </c>
      <c r="DV157" t="b">
        <v>1</v>
      </c>
      <c r="DW157" t="s">
        <v>1434</v>
      </c>
      <c r="DX157" s="31">
        <v>46143.258568159719</v>
      </c>
      <c r="DZ157" s="5">
        <v>45778</v>
      </c>
      <c r="EA157" s="13" t="s">
        <v>1251</v>
      </c>
      <c r="EB157" s="13" t="s">
        <v>1343</v>
      </c>
      <c r="EC157" s="13" t="s">
        <v>1206</v>
      </c>
      <c r="ED157" s="11"/>
      <c r="EE157" s="11">
        <v>411928</v>
      </c>
    </row>
    <row r="158" spans="120:135" x14ac:dyDescent="0.2">
      <c r="DP158" t="s">
        <v>1063</v>
      </c>
      <c r="DQ158" t="s">
        <v>1064</v>
      </c>
      <c r="DR158" t="s">
        <v>1555</v>
      </c>
      <c r="DS158" t="s">
        <v>1429</v>
      </c>
      <c r="DT158" t="s">
        <v>1429</v>
      </c>
      <c r="DU158" t="s">
        <v>2156</v>
      </c>
      <c r="DV158" t="b">
        <v>0</v>
      </c>
      <c r="DW158" t="s">
        <v>1441</v>
      </c>
      <c r="DX158" s="31">
        <v>46143.258568159719</v>
      </c>
      <c r="DZ158" s="5">
        <v>45778</v>
      </c>
      <c r="EA158" s="13" t="s">
        <v>1251</v>
      </c>
      <c r="EB158" s="13" t="s">
        <v>2212</v>
      </c>
      <c r="EC158" s="13" t="s">
        <v>1058</v>
      </c>
      <c r="ED158" s="11">
        <v>79500</v>
      </c>
      <c r="EE158" s="11"/>
    </row>
    <row r="159" spans="120:135" x14ac:dyDescent="0.2">
      <c r="DP159" t="s">
        <v>1065</v>
      </c>
      <c r="DQ159" t="s">
        <v>1066</v>
      </c>
      <c r="DR159" t="s">
        <v>1555</v>
      </c>
      <c r="DS159" t="s">
        <v>1429</v>
      </c>
      <c r="DT159" t="s">
        <v>1429</v>
      </c>
      <c r="DU159" t="s">
        <v>2156</v>
      </c>
      <c r="DV159" t="b">
        <v>0</v>
      </c>
      <c r="DW159" t="s">
        <v>1441</v>
      </c>
      <c r="DX159" s="31">
        <v>46143.258568159719</v>
      </c>
      <c r="DZ159" s="5">
        <v>45778</v>
      </c>
      <c r="EA159" s="13" t="s">
        <v>1250</v>
      </c>
      <c r="EB159" s="13" t="s">
        <v>1358</v>
      </c>
      <c r="EC159" s="13" t="s">
        <v>1058</v>
      </c>
      <c r="ED159" s="11">
        <v>101368</v>
      </c>
      <c r="EE159" s="11"/>
    </row>
    <row r="160" spans="120:135" x14ac:dyDescent="0.2">
      <c r="DP160" t="s">
        <v>1067</v>
      </c>
      <c r="DQ160" t="s">
        <v>1068</v>
      </c>
      <c r="DR160" t="s">
        <v>1555</v>
      </c>
      <c r="DS160" t="s">
        <v>1429</v>
      </c>
      <c r="DT160" t="s">
        <v>1429</v>
      </c>
      <c r="DU160" t="s">
        <v>2156</v>
      </c>
      <c r="DV160" t="b">
        <v>0</v>
      </c>
      <c r="DW160" t="s">
        <v>1441</v>
      </c>
      <c r="DX160" s="31">
        <v>46143.258568159719</v>
      </c>
      <c r="DZ160" s="5">
        <v>45778</v>
      </c>
      <c r="EA160" s="13" t="s">
        <v>1251</v>
      </c>
      <c r="EB160" s="13" t="s">
        <v>2206</v>
      </c>
      <c r="EC160" s="13" t="s">
        <v>1058</v>
      </c>
      <c r="ED160" s="11">
        <v>82520</v>
      </c>
      <c r="EE160" s="11"/>
    </row>
    <row r="161" spans="120:135" x14ac:dyDescent="0.2">
      <c r="DP161" t="s">
        <v>2158</v>
      </c>
      <c r="DQ161" t="s">
        <v>2159</v>
      </c>
      <c r="DR161" t="s">
        <v>1440</v>
      </c>
      <c r="DS161" t="s">
        <v>1428</v>
      </c>
      <c r="DT161" t="s">
        <v>1429</v>
      </c>
      <c r="DU161" t="s">
        <v>1553</v>
      </c>
      <c r="DV161" t="b">
        <v>1</v>
      </c>
      <c r="DW161" t="s">
        <v>1434</v>
      </c>
      <c r="DX161" s="31">
        <v>46143.258568159719</v>
      </c>
      <c r="DZ161" s="5">
        <v>45778</v>
      </c>
      <c r="EA161" s="13" t="s">
        <v>1250</v>
      </c>
      <c r="EB161" s="13" t="s">
        <v>2204</v>
      </c>
      <c r="EC161" s="13" t="s">
        <v>1170</v>
      </c>
      <c r="ED161" s="11">
        <v>0</v>
      </c>
      <c r="EE161" s="11"/>
    </row>
    <row r="162" spans="120:135" x14ac:dyDescent="0.2">
      <c r="DP162" t="s">
        <v>1071</v>
      </c>
      <c r="DQ162" t="s">
        <v>1072</v>
      </c>
      <c r="DR162" t="s">
        <v>1555</v>
      </c>
      <c r="DS162" t="s">
        <v>1429</v>
      </c>
      <c r="DT162" t="s">
        <v>1429</v>
      </c>
      <c r="DU162" t="s">
        <v>2158</v>
      </c>
      <c r="DV162" t="b">
        <v>0</v>
      </c>
      <c r="DW162" t="s">
        <v>1441</v>
      </c>
      <c r="DX162" s="31">
        <v>46143.258568159719</v>
      </c>
      <c r="DZ162" s="5">
        <v>45778</v>
      </c>
      <c r="EA162" s="13" t="s">
        <v>1250</v>
      </c>
      <c r="EB162" s="13" t="s">
        <v>2284</v>
      </c>
      <c r="EC162" s="13" t="s">
        <v>1170</v>
      </c>
      <c r="ED162" s="11">
        <v>0</v>
      </c>
      <c r="EE162" s="11"/>
    </row>
    <row r="163" spans="120:135" x14ac:dyDescent="0.2">
      <c r="DP163" t="s">
        <v>1073</v>
      </c>
      <c r="DQ163" t="s">
        <v>1074</v>
      </c>
      <c r="DR163" t="s">
        <v>1555</v>
      </c>
      <c r="DS163" t="s">
        <v>1429</v>
      </c>
      <c r="DT163" t="s">
        <v>1429</v>
      </c>
      <c r="DU163" t="s">
        <v>2158</v>
      </c>
      <c r="DV163" t="b">
        <v>0</v>
      </c>
      <c r="DW163" t="s">
        <v>1441</v>
      </c>
      <c r="DX163" s="31">
        <v>46143.258568159719</v>
      </c>
      <c r="DZ163" s="5">
        <v>45778</v>
      </c>
      <c r="EA163" s="13" t="s">
        <v>1250</v>
      </c>
      <c r="EB163" s="13" t="s">
        <v>1364</v>
      </c>
      <c r="EC163" s="13" t="s">
        <v>1170</v>
      </c>
      <c r="ED163" s="11">
        <v>0</v>
      </c>
      <c r="EE163" s="11"/>
    </row>
    <row r="164" spans="120:135" x14ac:dyDescent="0.2">
      <c r="DP164" t="s">
        <v>1558</v>
      </c>
      <c r="DQ164" t="s">
        <v>1559</v>
      </c>
      <c r="DR164" t="s">
        <v>1433</v>
      </c>
      <c r="DS164" t="s">
        <v>1428</v>
      </c>
      <c r="DT164" t="s">
        <v>1429</v>
      </c>
      <c r="DU164" t="s">
        <v>1493</v>
      </c>
      <c r="DV164" t="b">
        <v>1</v>
      </c>
      <c r="DW164" t="s">
        <v>1434</v>
      </c>
      <c r="DX164" s="31">
        <v>46143.258568159719</v>
      </c>
      <c r="DZ164" s="5">
        <v>45778</v>
      </c>
      <c r="EA164" s="13" t="s">
        <v>1250</v>
      </c>
      <c r="EB164" s="13" t="s">
        <v>1352</v>
      </c>
      <c r="EC164" s="13" t="s">
        <v>1170</v>
      </c>
      <c r="ED164" s="11">
        <v>486684</v>
      </c>
      <c r="EE164" s="11"/>
    </row>
    <row r="165" spans="120:135" x14ac:dyDescent="0.2">
      <c r="DP165" t="s">
        <v>1560</v>
      </c>
      <c r="DQ165" t="s">
        <v>1561</v>
      </c>
      <c r="DR165" t="s">
        <v>1437</v>
      </c>
      <c r="DS165" t="s">
        <v>1428</v>
      </c>
      <c r="DT165" t="s">
        <v>1429</v>
      </c>
      <c r="DU165" t="s">
        <v>1558</v>
      </c>
      <c r="DV165" t="b">
        <v>1</v>
      </c>
      <c r="DW165" t="s">
        <v>1434</v>
      </c>
      <c r="DX165" s="31">
        <v>46143.258568159719</v>
      </c>
      <c r="DZ165" s="5">
        <v>45778</v>
      </c>
      <c r="EA165" s="13" t="s">
        <v>1250</v>
      </c>
      <c r="EB165" s="13" t="s">
        <v>1389</v>
      </c>
      <c r="EC165" s="13" t="s">
        <v>1170</v>
      </c>
      <c r="ED165" s="11">
        <v>0</v>
      </c>
      <c r="EE165" s="11"/>
    </row>
    <row r="166" spans="120:135" x14ac:dyDescent="0.2">
      <c r="DP166" t="s">
        <v>1562</v>
      </c>
      <c r="DQ166" t="s">
        <v>1076</v>
      </c>
      <c r="DR166" t="s">
        <v>1439</v>
      </c>
      <c r="DS166" t="s">
        <v>1428</v>
      </c>
      <c r="DT166" t="s">
        <v>1429</v>
      </c>
      <c r="DU166" t="s">
        <v>1560</v>
      </c>
      <c r="DV166" t="b">
        <v>1</v>
      </c>
      <c r="DW166" t="s">
        <v>1434</v>
      </c>
      <c r="DX166" s="31">
        <v>46143.258568159719</v>
      </c>
      <c r="DZ166" s="5">
        <v>45778</v>
      </c>
      <c r="EA166" s="13" t="s">
        <v>1250</v>
      </c>
      <c r="EB166" s="13" t="s">
        <v>1379</v>
      </c>
      <c r="EC166" s="13" t="s">
        <v>1170</v>
      </c>
      <c r="ED166" s="11">
        <v>0</v>
      </c>
      <c r="EE166" s="11"/>
    </row>
    <row r="167" spans="120:135" x14ac:dyDescent="0.2">
      <c r="DP167" t="s">
        <v>1075</v>
      </c>
      <c r="DQ167" t="s">
        <v>1076</v>
      </c>
      <c r="DR167" t="s">
        <v>1440</v>
      </c>
      <c r="DS167" t="s">
        <v>1429</v>
      </c>
      <c r="DT167" t="s">
        <v>1429</v>
      </c>
      <c r="DU167" t="s">
        <v>1562</v>
      </c>
      <c r="DV167" t="b">
        <v>0</v>
      </c>
      <c r="DW167" t="s">
        <v>1441</v>
      </c>
      <c r="DX167" s="31">
        <v>46143.258568159719</v>
      </c>
      <c r="DZ167" s="5">
        <v>45778</v>
      </c>
      <c r="EA167" s="13" t="s">
        <v>1250</v>
      </c>
      <c r="EB167" s="13" t="s">
        <v>2283</v>
      </c>
      <c r="EC167" s="13" t="s">
        <v>1170</v>
      </c>
      <c r="ED167" s="11">
        <v>0</v>
      </c>
      <c r="EE167" s="11"/>
    </row>
    <row r="168" spans="120:135" x14ac:dyDescent="0.2">
      <c r="DP168" t="s">
        <v>1563</v>
      </c>
      <c r="DQ168" t="s">
        <v>1564</v>
      </c>
      <c r="DR168" t="s">
        <v>1427</v>
      </c>
      <c r="DS168" t="s">
        <v>1428</v>
      </c>
      <c r="DT168" t="s">
        <v>1429</v>
      </c>
      <c r="DV168" t="b">
        <v>1</v>
      </c>
      <c r="DW168" t="s">
        <v>1430</v>
      </c>
      <c r="DX168" s="31">
        <v>46143.258568159719</v>
      </c>
      <c r="DZ168" s="5">
        <v>45778</v>
      </c>
      <c r="EA168" s="13" t="s">
        <v>1250</v>
      </c>
      <c r="EB168" s="13" t="s">
        <v>1388</v>
      </c>
      <c r="EC168" s="13" t="s">
        <v>1170</v>
      </c>
      <c r="ED168" s="11">
        <v>0</v>
      </c>
      <c r="EE168" s="11"/>
    </row>
    <row r="169" spans="120:135" x14ac:dyDescent="0.2">
      <c r="DP169" t="s">
        <v>1565</v>
      </c>
      <c r="DQ169" t="s">
        <v>1566</v>
      </c>
      <c r="DR169" t="s">
        <v>1433</v>
      </c>
      <c r="DS169" t="s">
        <v>1428</v>
      </c>
      <c r="DT169" t="s">
        <v>1429</v>
      </c>
      <c r="DU169" t="s">
        <v>1563</v>
      </c>
      <c r="DV169" t="b">
        <v>1</v>
      </c>
      <c r="DW169" t="s">
        <v>1434</v>
      </c>
      <c r="DX169" s="31">
        <v>46143.258568159719</v>
      </c>
      <c r="DZ169" s="5">
        <v>45778</v>
      </c>
      <c r="EA169" s="13" t="s">
        <v>1250</v>
      </c>
      <c r="EB169" s="13" t="s">
        <v>1394</v>
      </c>
      <c r="EC169" s="13" t="s">
        <v>1170</v>
      </c>
      <c r="ED169" s="11">
        <v>0</v>
      </c>
      <c r="EE169" s="11"/>
    </row>
    <row r="170" spans="120:135" x14ac:dyDescent="0.2">
      <c r="DP170" t="s">
        <v>1567</v>
      </c>
      <c r="DQ170" t="s">
        <v>1568</v>
      </c>
      <c r="DR170" t="s">
        <v>1437</v>
      </c>
      <c r="DS170" t="s">
        <v>1428</v>
      </c>
      <c r="DT170" t="s">
        <v>1429</v>
      </c>
      <c r="DU170" t="s">
        <v>1565</v>
      </c>
      <c r="DV170" t="b">
        <v>1</v>
      </c>
      <c r="DW170" t="s">
        <v>1434</v>
      </c>
      <c r="DX170" s="31">
        <v>46143.258568159719</v>
      </c>
      <c r="DZ170" s="5">
        <v>45809</v>
      </c>
      <c r="EA170" s="13" t="s">
        <v>1252</v>
      </c>
      <c r="EB170" s="13" t="s">
        <v>1375</v>
      </c>
      <c r="EC170" s="13" t="s">
        <v>1106</v>
      </c>
      <c r="ED170" s="11">
        <v>100</v>
      </c>
      <c r="EE170" s="11"/>
    </row>
    <row r="171" spans="120:135" x14ac:dyDescent="0.2">
      <c r="DP171" t="s">
        <v>1569</v>
      </c>
      <c r="DQ171" t="s">
        <v>1568</v>
      </c>
      <c r="DR171" t="s">
        <v>1439</v>
      </c>
      <c r="DS171" t="s">
        <v>1428</v>
      </c>
      <c r="DT171" t="s">
        <v>1429</v>
      </c>
      <c r="DU171" t="s">
        <v>1567</v>
      </c>
      <c r="DV171" t="b">
        <v>1</v>
      </c>
      <c r="DW171" t="s">
        <v>1434</v>
      </c>
      <c r="DX171" s="31">
        <v>46143.258568159719</v>
      </c>
      <c r="DZ171" s="5">
        <v>45809</v>
      </c>
      <c r="EA171" s="13" t="s">
        <v>1252</v>
      </c>
      <c r="EB171" s="13" t="s">
        <v>2202</v>
      </c>
      <c r="EC171" s="13" t="s">
        <v>1106</v>
      </c>
      <c r="ED171" s="11">
        <v>200</v>
      </c>
      <c r="EE171" s="11"/>
    </row>
    <row r="172" spans="120:135" x14ac:dyDescent="0.2">
      <c r="DP172" t="s">
        <v>1077</v>
      </c>
      <c r="DQ172" t="s">
        <v>1078</v>
      </c>
      <c r="DR172" t="s">
        <v>1440</v>
      </c>
      <c r="DS172" t="s">
        <v>1429</v>
      </c>
      <c r="DT172" t="s">
        <v>1429</v>
      </c>
      <c r="DU172" t="s">
        <v>1569</v>
      </c>
      <c r="DV172" t="b">
        <v>0</v>
      </c>
      <c r="DW172" t="s">
        <v>1441</v>
      </c>
      <c r="DX172" s="31">
        <v>46143.258568159719</v>
      </c>
      <c r="DZ172" s="5">
        <v>45809</v>
      </c>
      <c r="EA172" s="13" t="s">
        <v>1252</v>
      </c>
      <c r="EB172" s="13" t="s">
        <v>1388</v>
      </c>
      <c r="EC172" s="13" t="s">
        <v>1106</v>
      </c>
      <c r="ED172" s="11">
        <v>0</v>
      </c>
      <c r="EE172" s="11"/>
    </row>
    <row r="173" spans="120:135" x14ac:dyDescent="0.2">
      <c r="DP173" t="s">
        <v>1570</v>
      </c>
      <c r="DQ173" t="s">
        <v>1571</v>
      </c>
      <c r="DR173" t="s">
        <v>1433</v>
      </c>
      <c r="DS173" t="s">
        <v>1428</v>
      </c>
      <c r="DT173" t="s">
        <v>1429</v>
      </c>
      <c r="DU173" t="s">
        <v>1563</v>
      </c>
      <c r="DV173" t="b">
        <v>1</v>
      </c>
      <c r="DW173" t="s">
        <v>1434</v>
      </c>
      <c r="DX173" s="31">
        <v>46143.258568159719</v>
      </c>
      <c r="DZ173" s="5">
        <v>45809</v>
      </c>
      <c r="EA173" s="13" t="s">
        <v>1252</v>
      </c>
      <c r="EB173" s="13" t="s">
        <v>1374</v>
      </c>
      <c r="EC173" s="13" t="s">
        <v>1106</v>
      </c>
      <c r="ED173" s="11">
        <v>0</v>
      </c>
      <c r="EE173" s="11"/>
    </row>
    <row r="174" spans="120:135" x14ac:dyDescent="0.2">
      <c r="DP174" t="s">
        <v>1572</v>
      </c>
      <c r="DQ174" t="s">
        <v>1080</v>
      </c>
      <c r="DR174" t="s">
        <v>1437</v>
      </c>
      <c r="DS174" t="s">
        <v>1428</v>
      </c>
      <c r="DT174" t="s">
        <v>1429</v>
      </c>
      <c r="DU174" t="s">
        <v>1570</v>
      </c>
      <c r="DV174" t="b">
        <v>1</v>
      </c>
      <c r="DW174" t="s">
        <v>1434</v>
      </c>
      <c r="DX174" s="31">
        <v>46143.258568159719</v>
      </c>
      <c r="DZ174" s="5">
        <v>45809</v>
      </c>
      <c r="EA174" s="13" t="s">
        <v>1252</v>
      </c>
      <c r="EB174" s="13" t="s">
        <v>1377</v>
      </c>
      <c r="EC174" s="13" t="s">
        <v>1106</v>
      </c>
      <c r="ED174" s="11">
        <v>0</v>
      </c>
      <c r="EE174" s="11"/>
    </row>
    <row r="175" spans="120:135" x14ac:dyDescent="0.2">
      <c r="DP175" t="s">
        <v>1079</v>
      </c>
      <c r="DQ175" t="s">
        <v>1080</v>
      </c>
      <c r="DR175" t="s">
        <v>1439</v>
      </c>
      <c r="DS175" t="s">
        <v>1429</v>
      </c>
      <c r="DT175" t="s">
        <v>1429</v>
      </c>
      <c r="DU175" t="s">
        <v>1572</v>
      </c>
      <c r="DV175" t="b">
        <v>0</v>
      </c>
      <c r="DW175" t="s">
        <v>1441</v>
      </c>
      <c r="DX175" s="31">
        <v>46143.258568159719</v>
      </c>
      <c r="DZ175" s="5">
        <v>45809</v>
      </c>
      <c r="EA175" s="13" t="s">
        <v>1252</v>
      </c>
      <c r="EB175" s="13" t="s">
        <v>1403</v>
      </c>
      <c r="EC175" s="13" t="s">
        <v>1106</v>
      </c>
      <c r="ED175" s="11">
        <v>0</v>
      </c>
      <c r="EE175" s="11"/>
    </row>
    <row r="176" spans="120:135" x14ac:dyDescent="0.2">
      <c r="DP176" t="s">
        <v>1573</v>
      </c>
      <c r="DQ176" t="s">
        <v>1574</v>
      </c>
      <c r="DR176" t="s">
        <v>1433</v>
      </c>
      <c r="DS176" t="s">
        <v>1428</v>
      </c>
      <c r="DT176" t="s">
        <v>1429</v>
      </c>
      <c r="DU176" t="s">
        <v>1563</v>
      </c>
      <c r="DV176" t="b">
        <v>1</v>
      </c>
      <c r="DW176" t="s">
        <v>1434</v>
      </c>
      <c r="DX176" s="31">
        <v>46143.258568159719</v>
      </c>
      <c r="DZ176" s="5">
        <v>45809</v>
      </c>
      <c r="EA176" s="13" t="s">
        <v>1251</v>
      </c>
      <c r="EB176" s="13" t="s">
        <v>2204</v>
      </c>
      <c r="EC176" s="13" t="s">
        <v>1212</v>
      </c>
      <c r="ED176" s="11">
        <v>621677</v>
      </c>
      <c r="EE176" s="11"/>
    </row>
    <row r="177" spans="120:135" x14ac:dyDescent="0.2">
      <c r="DP177" t="s">
        <v>1575</v>
      </c>
      <c r="DQ177" t="s">
        <v>1574</v>
      </c>
      <c r="DR177" t="s">
        <v>1437</v>
      </c>
      <c r="DS177" t="s">
        <v>1428</v>
      </c>
      <c r="DT177" t="s">
        <v>1429</v>
      </c>
      <c r="DU177" t="s">
        <v>1573</v>
      </c>
      <c r="DV177" t="b">
        <v>1</v>
      </c>
      <c r="DW177" t="s">
        <v>1434</v>
      </c>
      <c r="DX177" s="31">
        <v>46143.258568159719</v>
      </c>
      <c r="DZ177" s="5">
        <v>45809</v>
      </c>
      <c r="EA177" s="13" t="s">
        <v>1251</v>
      </c>
      <c r="EB177" s="13" t="s">
        <v>1380</v>
      </c>
      <c r="EC177" s="13" t="s">
        <v>1212</v>
      </c>
      <c r="ED177" s="11">
        <v>0</v>
      </c>
      <c r="EE177" s="11"/>
    </row>
    <row r="178" spans="120:135" x14ac:dyDescent="0.2">
      <c r="DP178" t="s">
        <v>1576</v>
      </c>
      <c r="DQ178" t="s">
        <v>1574</v>
      </c>
      <c r="DR178" t="s">
        <v>1439</v>
      </c>
      <c r="DS178" t="s">
        <v>1428</v>
      </c>
      <c r="DT178" t="s">
        <v>1429</v>
      </c>
      <c r="DU178" t="s">
        <v>1575</v>
      </c>
      <c r="DV178" t="b">
        <v>1</v>
      </c>
      <c r="DW178" t="s">
        <v>1434</v>
      </c>
      <c r="DX178" s="31">
        <v>46143.258568159719</v>
      </c>
      <c r="DZ178" s="5">
        <v>45809</v>
      </c>
      <c r="EA178" s="13" t="s">
        <v>1251</v>
      </c>
      <c r="EB178" s="13" t="s">
        <v>1379</v>
      </c>
      <c r="EC178" s="13" t="s">
        <v>1212</v>
      </c>
      <c r="ED178" s="11">
        <v>0</v>
      </c>
      <c r="EE178" s="11"/>
    </row>
    <row r="179" spans="120:135" x14ac:dyDescent="0.2">
      <c r="DP179" t="s">
        <v>1081</v>
      </c>
      <c r="DQ179" t="s">
        <v>1082</v>
      </c>
      <c r="DR179" t="s">
        <v>1440</v>
      </c>
      <c r="DS179" t="s">
        <v>1429</v>
      </c>
      <c r="DT179" t="s">
        <v>1429</v>
      </c>
      <c r="DU179" t="s">
        <v>1576</v>
      </c>
      <c r="DV179" t="b">
        <v>0</v>
      </c>
      <c r="DW179" t="s">
        <v>1441</v>
      </c>
      <c r="DX179" s="31">
        <v>46143.258568159719</v>
      </c>
      <c r="DZ179" s="5">
        <v>45809</v>
      </c>
      <c r="EA179" s="13" t="s">
        <v>1251</v>
      </c>
      <c r="EB179" s="13" t="s">
        <v>2203</v>
      </c>
      <c r="EC179" s="13" t="s">
        <v>1212</v>
      </c>
      <c r="ED179" s="11">
        <v>0</v>
      </c>
      <c r="EE179" s="11"/>
    </row>
    <row r="180" spans="120:135" x14ac:dyDescent="0.2">
      <c r="DP180" t="s">
        <v>1577</v>
      </c>
      <c r="DQ180" t="s">
        <v>1578</v>
      </c>
      <c r="DR180" t="s">
        <v>1427</v>
      </c>
      <c r="DS180" t="s">
        <v>1428</v>
      </c>
      <c r="DT180" t="s">
        <v>1429</v>
      </c>
      <c r="DV180" t="b">
        <v>1</v>
      </c>
      <c r="DW180" t="s">
        <v>1430</v>
      </c>
      <c r="DX180" s="31">
        <v>46143.258568159719</v>
      </c>
      <c r="DZ180" s="5">
        <v>45809</v>
      </c>
      <c r="EA180" s="13" t="s">
        <v>1251</v>
      </c>
      <c r="EB180" s="13" t="s">
        <v>1360</v>
      </c>
      <c r="EC180" s="13" t="s">
        <v>1124</v>
      </c>
      <c r="ED180" s="11">
        <v>441200</v>
      </c>
      <c r="EE180" s="11"/>
    </row>
    <row r="181" spans="120:135" x14ac:dyDescent="0.2">
      <c r="DP181" t="s">
        <v>1579</v>
      </c>
      <c r="DQ181" t="s">
        <v>1580</v>
      </c>
      <c r="DR181" t="s">
        <v>1433</v>
      </c>
      <c r="DS181" t="s">
        <v>1428</v>
      </c>
      <c r="DT181" t="s">
        <v>1429</v>
      </c>
      <c r="DU181" t="s">
        <v>1577</v>
      </c>
      <c r="DV181" t="b">
        <v>1</v>
      </c>
      <c r="DW181" t="s">
        <v>1434</v>
      </c>
      <c r="DX181" s="31">
        <v>46143.258568159719</v>
      </c>
      <c r="DZ181" s="5">
        <v>45809</v>
      </c>
      <c r="EA181" s="13" t="s">
        <v>1250</v>
      </c>
      <c r="EB181" s="13" t="s">
        <v>1360</v>
      </c>
      <c r="EC181" s="13" t="s">
        <v>1124</v>
      </c>
      <c r="ED181" s="11">
        <v>226000</v>
      </c>
      <c r="EE181" s="11"/>
    </row>
    <row r="182" spans="120:135" x14ac:dyDescent="0.2">
      <c r="DP182" t="s">
        <v>1581</v>
      </c>
      <c r="DQ182" t="s">
        <v>1582</v>
      </c>
      <c r="DR182" t="s">
        <v>1437</v>
      </c>
      <c r="DS182" t="s">
        <v>1428</v>
      </c>
      <c r="DT182" t="s">
        <v>1429</v>
      </c>
      <c r="DU182" t="s">
        <v>1579</v>
      </c>
      <c r="DV182" t="b">
        <v>1</v>
      </c>
      <c r="DW182" t="s">
        <v>1434</v>
      </c>
      <c r="DX182" s="31">
        <v>46143.258568159719</v>
      </c>
      <c r="DZ182" s="5">
        <v>45809</v>
      </c>
      <c r="EA182" s="13" t="s">
        <v>1250</v>
      </c>
      <c r="EB182" s="13" t="s">
        <v>1338</v>
      </c>
      <c r="EC182" s="13" t="s">
        <v>1121</v>
      </c>
      <c r="ED182" s="11">
        <v>9800</v>
      </c>
      <c r="EE182" s="11"/>
    </row>
    <row r="183" spans="120:135" x14ac:dyDescent="0.2">
      <c r="DP183" t="s">
        <v>1583</v>
      </c>
      <c r="DQ183" t="s">
        <v>1582</v>
      </c>
      <c r="DR183" t="s">
        <v>1439</v>
      </c>
      <c r="DS183" t="s">
        <v>1428</v>
      </c>
      <c r="DT183" t="s">
        <v>1429</v>
      </c>
      <c r="DU183" t="s">
        <v>1581</v>
      </c>
      <c r="DV183" t="b">
        <v>1</v>
      </c>
      <c r="DW183" t="s">
        <v>1434</v>
      </c>
      <c r="DX183" s="31">
        <v>46143.258568159719</v>
      </c>
      <c r="DZ183" s="5">
        <v>45809</v>
      </c>
      <c r="EA183" s="13" t="s">
        <v>1251</v>
      </c>
      <c r="EB183" s="13" t="s">
        <v>1338</v>
      </c>
      <c r="EC183" s="13" t="s">
        <v>1121</v>
      </c>
      <c r="ED183" s="11">
        <v>19300</v>
      </c>
      <c r="EE183" s="11"/>
    </row>
    <row r="184" spans="120:135" x14ac:dyDescent="0.2">
      <c r="DP184" t="s">
        <v>1083</v>
      </c>
      <c r="DQ184" t="s">
        <v>1084</v>
      </c>
      <c r="DR184" t="s">
        <v>1440</v>
      </c>
      <c r="DS184" t="s">
        <v>1429</v>
      </c>
      <c r="DT184" t="s">
        <v>1429</v>
      </c>
      <c r="DU184" t="s">
        <v>1583</v>
      </c>
      <c r="DV184" t="b">
        <v>0</v>
      </c>
      <c r="DW184" t="s">
        <v>1441</v>
      </c>
      <c r="DX184" s="31">
        <v>46143.258568159719</v>
      </c>
      <c r="DZ184" s="5">
        <v>45809</v>
      </c>
      <c r="EA184" s="13" t="s">
        <v>1250</v>
      </c>
      <c r="EB184" s="13" t="s">
        <v>2287</v>
      </c>
      <c r="EC184" s="13" t="s">
        <v>1016</v>
      </c>
      <c r="ED184" s="11">
        <v>7700</v>
      </c>
      <c r="EE184" s="11"/>
    </row>
    <row r="185" spans="120:135" x14ac:dyDescent="0.2">
      <c r="DP185" t="s">
        <v>1085</v>
      </c>
      <c r="DQ185" t="s">
        <v>968</v>
      </c>
      <c r="DR185" t="s">
        <v>1440</v>
      </c>
      <c r="DS185" t="s">
        <v>1429</v>
      </c>
      <c r="DT185" t="s">
        <v>1429</v>
      </c>
      <c r="DU185" t="s">
        <v>1583</v>
      </c>
      <c r="DV185" t="b">
        <v>0</v>
      </c>
      <c r="DW185" t="s">
        <v>1441</v>
      </c>
      <c r="DX185" s="31">
        <v>46143.258568159719</v>
      </c>
      <c r="DZ185" s="5">
        <v>45809</v>
      </c>
      <c r="EA185" s="13" t="s">
        <v>1250</v>
      </c>
      <c r="EB185" s="13" t="s">
        <v>1340</v>
      </c>
      <c r="EC185" s="13" t="s">
        <v>1126</v>
      </c>
      <c r="ED185" s="11">
        <v>73700</v>
      </c>
      <c r="EE185" s="11"/>
    </row>
    <row r="186" spans="120:135" x14ac:dyDescent="0.2">
      <c r="DP186" t="s">
        <v>1086</v>
      </c>
      <c r="DQ186" t="s">
        <v>970</v>
      </c>
      <c r="DR186" t="s">
        <v>1440</v>
      </c>
      <c r="DS186" t="s">
        <v>1429</v>
      </c>
      <c r="DT186" t="s">
        <v>1429</v>
      </c>
      <c r="DU186" t="s">
        <v>1583</v>
      </c>
      <c r="DV186" t="b">
        <v>0</v>
      </c>
      <c r="DW186" t="s">
        <v>1441</v>
      </c>
      <c r="DX186" s="31">
        <v>46143.258568159719</v>
      </c>
      <c r="DZ186" s="5">
        <v>45809</v>
      </c>
      <c r="EA186" s="13" t="s">
        <v>1251</v>
      </c>
      <c r="EB186" s="13" t="s">
        <v>1340</v>
      </c>
      <c r="EC186" s="13" t="s">
        <v>1126</v>
      </c>
      <c r="ED186" s="11">
        <v>147100</v>
      </c>
      <c r="EE186" s="11"/>
    </row>
    <row r="187" spans="120:135" x14ac:dyDescent="0.2">
      <c r="DP187" t="s">
        <v>1087</v>
      </c>
      <c r="DQ187" t="s">
        <v>1088</v>
      </c>
      <c r="DR187" t="s">
        <v>1440</v>
      </c>
      <c r="DS187" t="s">
        <v>1429</v>
      </c>
      <c r="DT187" t="s">
        <v>1429</v>
      </c>
      <c r="DU187" t="s">
        <v>1583</v>
      </c>
      <c r="DV187" t="b">
        <v>0</v>
      </c>
      <c r="DW187" t="s">
        <v>1441</v>
      </c>
      <c r="DX187" s="31">
        <v>46143.258568159719</v>
      </c>
      <c r="DZ187" s="5">
        <v>45809</v>
      </c>
      <c r="EA187" s="13" t="s">
        <v>1251</v>
      </c>
      <c r="EB187" s="13" t="s">
        <v>1342</v>
      </c>
      <c r="EC187" s="13" t="s">
        <v>1142</v>
      </c>
      <c r="ED187" s="11">
        <v>6300000</v>
      </c>
      <c r="EE187" s="11"/>
    </row>
    <row r="188" spans="120:135" x14ac:dyDescent="0.2">
      <c r="DP188" t="s">
        <v>1584</v>
      </c>
      <c r="DQ188" t="s">
        <v>1585</v>
      </c>
      <c r="DR188" t="s">
        <v>1439</v>
      </c>
      <c r="DS188" t="s">
        <v>1428</v>
      </c>
      <c r="DT188" t="s">
        <v>1429</v>
      </c>
      <c r="DU188" t="s">
        <v>1581</v>
      </c>
      <c r="DV188" t="b">
        <v>1</v>
      </c>
      <c r="DW188" t="s">
        <v>1434</v>
      </c>
      <c r="DX188" s="31">
        <v>46143.258568159719</v>
      </c>
      <c r="DZ188" s="5">
        <v>45809</v>
      </c>
      <c r="EA188" s="13" t="s">
        <v>1250</v>
      </c>
      <c r="EB188" s="13" t="s">
        <v>2205</v>
      </c>
      <c r="EC188" s="13" t="s">
        <v>1138</v>
      </c>
      <c r="ED188" s="11">
        <v>0</v>
      </c>
      <c r="EE188" s="11"/>
    </row>
    <row r="189" spans="120:135" x14ac:dyDescent="0.2">
      <c r="DP189" t="s">
        <v>1089</v>
      </c>
      <c r="DQ189" t="s">
        <v>1090</v>
      </c>
      <c r="DR189" t="s">
        <v>1440</v>
      </c>
      <c r="DS189" t="s">
        <v>1429</v>
      </c>
      <c r="DT189" t="s">
        <v>1429</v>
      </c>
      <c r="DU189" t="s">
        <v>1584</v>
      </c>
      <c r="DV189" t="b">
        <v>0</v>
      </c>
      <c r="DW189" t="s">
        <v>1441</v>
      </c>
      <c r="DX189" s="31">
        <v>46143.258568159719</v>
      </c>
      <c r="DZ189" s="5">
        <v>45809</v>
      </c>
      <c r="EA189" s="13" t="s">
        <v>1250</v>
      </c>
      <c r="EB189" s="13" t="s">
        <v>1358</v>
      </c>
      <c r="EC189" s="13" t="s">
        <v>1110</v>
      </c>
      <c r="ED189" s="11">
        <v>200000</v>
      </c>
      <c r="EE189" s="11"/>
    </row>
    <row r="190" spans="120:135" x14ac:dyDescent="0.2">
      <c r="DP190" t="s">
        <v>1586</v>
      </c>
      <c r="DQ190" t="s">
        <v>1587</v>
      </c>
      <c r="DR190" t="s">
        <v>1437</v>
      </c>
      <c r="DS190" t="s">
        <v>1428</v>
      </c>
      <c r="DT190" t="s">
        <v>1429</v>
      </c>
      <c r="DU190" t="s">
        <v>1579</v>
      </c>
      <c r="DV190" t="b">
        <v>1</v>
      </c>
      <c r="DW190" t="s">
        <v>1434</v>
      </c>
      <c r="DX190" s="31">
        <v>46143.258568159719</v>
      </c>
      <c r="DZ190" s="5">
        <v>45809</v>
      </c>
      <c r="EA190" s="13" t="s">
        <v>1251</v>
      </c>
      <c r="EB190" s="13" t="s">
        <v>2206</v>
      </c>
      <c r="EC190" s="13" t="s">
        <v>1187</v>
      </c>
      <c r="ED190" s="11">
        <v>200000</v>
      </c>
      <c r="EE190" s="11"/>
    </row>
    <row r="191" spans="120:135" x14ac:dyDescent="0.2">
      <c r="DP191" t="s">
        <v>1588</v>
      </c>
      <c r="DQ191" t="s">
        <v>1587</v>
      </c>
      <c r="DR191" t="s">
        <v>1439</v>
      </c>
      <c r="DS191" t="s">
        <v>1428</v>
      </c>
      <c r="DT191" t="s">
        <v>1429</v>
      </c>
      <c r="DU191" t="s">
        <v>1586</v>
      </c>
      <c r="DV191" t="b">
        <v>1</v>
      </c>
      <c r="DW191" t="s">
        <v>1434</v>
      </c>
      <c r="DX191" s="31">
        <v>46143.258568159719</v>
      </c>
      <c r="DZ191" s="5">
        <v>45809</v>
      </c>
      <c r="EA191" s="13" t="s">
        <v>1250</v>
      </c>
      <c r="EB191" s="13" t="s">
        <v>1358</v>
      </c>
      <c r="EC191" s="13" t="s">
        <v>1132</v>
      </c>
      <c r="ED191" s="11">
        <v>338520</v>
      </c>
      <c r="EE191" s="11"/>
    </row>
    <row r="192" spans="120:135" x14ac:dyDescent="0.2">
      <c r="DP192" t="s">
        <v>1091</v>
      </c>
      <c r="DQ192" t="s">
        <v>1092</v>
      </c>
      <c r="DR192" t="s">
        <v>1440</v>
      </c>
      <c r="DS192" t="s">
        <v>1429</v>
      </c>
      <c r="DT192" t="s">
        <v>1429</v>
      </c>
      <c r="DU192" t="s">
        <v>1588</v>
      </c>
      <c r="DV192" t="b">
        <v>0</v>
      </c>
      <c r="DW192" t="s">
        <v>1441</v>
      </c>
      <c r="DX192" s="31">
        <v>46143.258568159719</v>
      </c>
      <c r="DZ192" s="5">
        <v>45809</v>
      </c>
      <c r="EA192" s="13" t="s">
        <v>1250</v>
      </c>
      <c r="EB192" s="13" t="s">
        <v>1414</v>
      </c>
      <c r="EC192" s="13" t="s">
        <v>1172</v>
      </c>
      <c r="ED192" s="11">
        <v>0</v>
      </c>
      <c r="EE192" s="11"/>
    </row>
    <row r="193" spans="120:135" x14ac:dyDescent="0.2">
      <c r="DP193" t="s">
        <v>1589</v>
      </c>
      <c r="DQ193" t="s">
        <v>1094</v>
      </c>
      <c r="DR193" t="s">
        <v>1437</v>
      </c>
      <c r="DS193" t="s">
        <v>1428</v>
      </c>
      <c r="DT193" t="s">
        <v>1429</v>
      </c>
      <c r="DU193" t="s">
        <v>1579</v>
      </c>
      <c r="DV193" t="b">
        <v>1</v>
      </c>
      <c r="DW193" t="s">
        <v>1434</v>
      </c>
      <c r="DX193" s="31">
        <v>46143.258568159719</v>
      </c>
      <c r="DZ193" s="5">
        <v>45809</v>
      </c>
      <c r="EA193" s="13" t="s">
        <v>1250</v>
      </c>
      <c r="EB193" s="13" t="s">
        <v>2208</v>
      </c>
      <c r="EC193" s="13" t="s">
        <v>1172</v>
      </c>
      <c r="ED193" s="11">
        <v>0</v>
      </c>
      <c r="EE193" s="11"/>
    </row>
    <row r="194" spans="120:135" x14ac:dyDescent="0.2">
      <c r="DP194" t="s">
        <v>1590</v>
      </c>
      <c r="DQ194" t="s">
        <v>1591</v>
      </c>
      <c r="DR194" t="s">
        <v>1439</v>
      </c>
      <c r="DS194" t="s">
        <v>1428</v>
      </c>
      <c r="DT194" t="s">
        <v>1429</v>
      </c>
      <c r="DU194" t="s">
        <v>1589</v>
      </c>
      <c r="DV194" t="b">
        <v>1</v>
      </c>
      <c r="DW194" t="s">
        <v>1434</v>
      </c>
      <c r="DX194" s="31">
        <v>46143.258568159719</v>
      </c>
      <c r="DZ194" s="5">
        <v>45809</v>
      </c>
      <c r="EA194" s="13" t="s">
        <v>1250</v>
      </c>
      <c r="EB194" s="13" t="s">
        <v>1396</v>
      </c>
      <c r="EC194" s="13" t="s">
        <v>1172</v>
      </c>
      <c r="ED194" s="11">
        <v>1073688</v>
      </c>
      <c r="EE194" s="11"/>
    </row>
    <row r="195" spans="120:135" x14ac:dyDescent="0.2">
      <c r="DP195" t="s">
        <v>1093</v>
      </c>
      <c r="DQ195" t="s">
        <v>1094</v>
      </c>
      <c r="DR195" t="s">
        <v>1440</v>
      </c>
      <c r="DS195" t="s">
        <v>1429</v>
      </c>
      <c r="DT195" t="s">
        <v>1429</v>
      </c>
      <c r="DU195" t="s">
        <v>1590</v>
      </c>
      <c r="DV195" t="b">
        <v>0</v>
      </c>
      <c r="DW195" t="s">
        <v>1441</v>
      </c>
      <c r="DX195" s="31">
        <v>46143.258568159719</v>
      </c>
      <c r="DZ195" s="5">
        <v>45809</v>
      </c>
      <c r="EA195" s="13" t="s">
        <v>1250</v>
      </c>
      <c r="EB195" s="13" t="s">
        <v>2277</v>
      </c>
      <c r="EC195" s="13" t="s">
        <v>1172</v>
      </c>
      <c r="ED195" s="11">
        <v>49026</v>
      </c>
      <c r="EE195" s="11"/>
    </row>
    <row r="196" spans="120:135" x14ac:dyDescent="0.2">
      <c r="DP196" t="s">
        <v>1095</v>
      </c>
      <c r="DQ196" t="s">
        <v>1096</v>
      </c>
      <c r="DR196" t="s">
        <v>1440</v>
      </c>
      <c r="DS196" t="s">
        <v>1429</v>
      </c>
      <c r="DT196" t="s">
        <v>1429</v>
      </c>
      <c r="DU196" t="s">
        <v>1590</v>
      </c>
      <c r="DV196" t="b">
        <v>0</v>
      </c>
      <c r="DW196" t="s">
        <v>1441</v>
      </c>
      <c r="DX196" s="31">
        <v>46143.258568159719</v>
      </c>
      <c r="DZ196" s="5">
        <v>45809</v>
      </c>
      <c r="EA196" s="13" t="s">
        <v>1250</v>
      </c>
      <c r="EB196" s="13" t="s">
        <v>1392</v>
      </c>
      <c r="EC196" s="13" t="s">
        <v>1172</v>
      </c>
      <c r="ED196" s="11">
        <v>271837</v>
      </c>
      <c r="EE196" s="11"/>
    </row>
    <row r="197" spans="120:135" x14ac:dyDescent="0.2">
      <c r="DP197" t="s">
        <v>2160</v>
      </c>
      <c r="DQ197" t="s">
        <v>2161</v>
      </c>
      <c r="DR197" t="s">
        <v>1439</v>
      </c>
      <c r="DS197" t="s">
        <v>1428</v>
      </c>
      <c r="DT197" t="s">
        <v>1429</v>
      </c>
      <c r="DU197" t="s">
        <v>1589</v>
      </c>
      <c r="DV197" t="b">
        <v>1</v>
      </c>
      <c r="DW197" t="s">
        <v>1434</v>
      </c>
      <c r="DX197" s="31">
        <v>46143.258568159719</v>
      </c>
      <c r="DZ197" s="5">
        <v>45809</v>
      </c>
      <c r="EA197" s="13" t="s">
        <v>1250</v>
      </c>
      <c r="EB197" s="13" t="s">
        <v>2210</v>
      </c>
      <c r="EC197" s="13" t="s">
        <v>1172</v>
      </c>
      <c r="ED197" s="11">
        <v>0</v>
      </c>
      <c r="EE197" s="11"/>
    </row>
    <row r="198" spans="120:135" x14ac:dyDescent="0.2">
      <c r="DP198" t="s">
        <v>1097</v>
      </c>
      <c r="DQ198" t="s">
        <v>1098</v>
      </c>
      <c r="DR198" t="s">
        <v>1440</v>
      </c>
      <c r="DS198" t="s">
        <v>1429</v>
      </c>
      <c r="DT198" t="s">
        <v>1429</v>
      </c>
      <c r="DU198" t="s">
        <v>2160</v>
      </c>
      <c r="DV198" t="b">
        <v>0</v>
      </c>
      <c r="DW198" t="s">
        <v>1441</v>
      </c>
      <c r="DX198" s="31">
        <v>46143.258568159719</v>
      </c>
      <c r="DZ198" s="5">
        <v>45809</v>
      </c>
      <c r="EA198" s="13" t="s">
        <v>1250</v>
      </c>
      <c r="EB198" s="13" t="s">
        <v>2211</v>
      </c>
      <c r="EC198" s="13" t="s">
        <v>1172</v>
      </c>
      <c r="ED198" s="11">
        <v>0</v>
      </c>
      <c r="EE198" s="11"/>
    </row>
    <row r="199" spans="120:135" x14ac:dyDescent="0.2">
      <c r="DP199" t="s">
        <v>2162</v>
      </c>
      <c r="DQ199" t="s">
        <v>1100</v>
      </c>
      <c r="DR199" t="s">
        <v>1437</v>
      </c>
      <c r="DS199" t="s">
        <v>1428</v>
      </c>
      <c r="DT199" t="s">
        <v>1429</v>
      </c>
      <c r="DU199" t="s">
        <v>1579</v>
      </c>
      <c r="DV199" t="b">
        <v>1</v>
      </c>
      <c r="DW199" t="s">
        <v>1434</v>
      </c>
      <c r="DX199" s="31">
        <v>46143.258568159719</v>
      </c>
      <c r="DZ199" s="5">
        <v>45809</v>
      </c>
      <c r="EA199" s="13" t="s">
        <v>1250</v>
      </c>
      <c r="EB199" s="13" t="s">
        <v>2209</v>
      </c>
      <c r="EC199" s="13" t="s">
        <v>1172</v>
      </c>
      <c r="ED199" s="11">
        <v>0</v>
      </c>
      <c r="EE199" s="11"/>
    </row>
    <row r="200" spans="120:135" x14ac:dyDescent="0.2">
      <c r="DP200" t="s">
        <v>2163</v>
      </c>
      <c r="DQ200" t="s">
        <v>1100</v>
      </c>
      <c r="DR200" t="s">
        <v>1439</v>
      </c>
      <c r="DS200" t="s">
        <v>1428</v>
      </c>
      <c r="DT200" t="s">
        <v>1429</v>
      </c>
      <c r="DU200" t="s">
        <v>2162</v>
      </c>
      <c r="DV200" t="b">
        <v>1</v>
      </c>
      <c r="DW200" t="s">
        <v>1434</v>
      </c>
      <c r="DX200" s="31">
        <v>46143.258568159719</v>
      </c>
      <c r="DZ200" s="5">
        <v>45809</v>
      </c>
      <c r="EA200" s="13" t="s">
        <v>1250</v>
      </c>
      <c r="EB200" s="13" t="s">
        <v>1391</v>
      </c>
      <c r="EC200" s="13" t="s">
        <v>1172</v>
      </c>
      <c r="ED200" s="11">
        <v>0</v>
      </c>
      <c r="EE200" s="11"/>
    </row>
    <row r="201" spans="120:135" x14ac:dyDescent="0.2">
      <c r="DP201" t="s">
        <v>1099</v>
      </c>
      <c r="DQ201" t="s">
        <v>1100</v>
      </c>
      <c r="DR201" t="s">
        <v>1440</v>
      </c>
      <c r="DS201" t="s">
        <v>1429</v>
      </c>
      <c r="DT201" t="s">
        <v>1429</v>
      </c>
      <c r="DU201" t="s">
        <v>2163</v>
      </c>
      <c r="DV201" t="b">
        <v>0</v>
      </c>
      <c r="DW201" t="s">
        <v>1441</v>
      </c>
      <c r="DX201" s="31">
        <v>46143.258568159719</v>
      </c>
      <c r="DZ201" s="5">
        <v>45809</v>
      </c>
      <c r="EA201" s="13" t="s">
        <v>1250</v>
      </c>
      <c r="EB201" s="13" t="s">
        <v>2207</v>
      </c>
      <c r="EC201" s="13" t="s">
        <v>1172</v>
      </c>
      <c r="ED201" s="11">
        <v>0</v>
      </c>
      <c r="EE201" s="11"/>
    </row>
    <row r="202" spans="120:135" x14ac:dyDescent="0.2">
      <c r="DP202" t="s">
        <v>1592</v>
      </c>
      <c r="DQ202" t="s">
        <v>1593</v>
      </c>
      <c r="DR202" t="s">
        <v>1433</v>
      </c>
      <c r="DS202" t="s">
        <v>1428</v>
      </c>
      <c r="DT202" t="s">
        <v>1429</v>
      </c>
      <c r="DU202" t="s">
        <v>1577</v>
      </c>
      <c r="DV202" t="b">
        <v>1</v>
      </c>
      <c r="DW202" t="s">
        <v>1434</v>
      </c>
      <c r="DX202" s="31">
        <v>46143.258568159719</v>
      </c>
      <c r="DZ202" s="5">
        <v>45809</v>
      </c>
      <c r="EA202" s="13" t="s">
        <v>1250</v>
      </c>
      <c r="EB202" s="13" t="s">
        <v>2288</v>
      </c>
      <c r="EC202" s="13" t="s">
        <v>1172</v>
      </c>
      <c r="ED202" s="11">
        <v>218300</v>
      </c>
      <c r="EE202" s="11"/>
    </row>
    <row r="203" spans="120:135" x14ac:dyDescent="0.2">
      <c r="DP203" t="s">
        <v>1594</v>
      </c>
      <c r="DQ203" t="s">
        <v>1595</v>
      </c>
      <c r="DR203" t="s">
        <v>1437</v>
      </c>
      <c r="DS203" t="s">
        <v>1428</v>
      </c>
      <c r="DT203" t="s">
        <v>1429</v>
      </c>
      <c r="DU203" t="s">
        <v>1592</v>
      </c>
      <c r="DV203" t="b">
        <v>1</v>
      </c>
      <c r="DW203" t="s">
        <v>1434</v>
      </c>
      <c r="DX203" s="31">
        <v>46143.258568159719</v>
      </c>
      <c r="DZ203" s="5">
        <v>45809</v>
      </c>
      <c r="EA203" s="13" t="s">
        <v>1250</v>
      </c>
      <c r="EB203" s="13" t="s">
        <v>1358</v>
      </c>
      <c r="EC203" s="13" t="s">
        <v>1054</v>
      </c>
      <c r="ED203" s="11">
        <v>152633</v>
      </c>
      <c r="EE203" s="11"/>
    </row>
    <row r="204" spans="120:135" x14ac:dyDescent="0.2">
      <c r="DP204" t="s">
        <v>1596</v>
      </c>
      <c r="DQ204" t="s">
        <v>1102</v>
      </c>
      <c r="DR204" t="s">
        <v>1439</v>
      </c>
      <c r="DS204" t="s">
        <v>1428</v>
      </c>
      <c r="DT204" t="s">
        <v>1429</v>
      </c>
      <c r="DU204" t="s">
        <v>1594</v>
      </c>
      <c r="DV204" t="b">
        <v>1</v>
      </c>
      <c r="DW204" t="s">
        <v>1434</v>
      </c>
      <c r="DX204" s="31">
        <v>46143.258568159719</v>
      </c>
      <c r="DZ204" s="5">
        <v>45809</v>
      </c>
      <c r="EA204" s="13" t="s">
        <v>1251</v>
      </c>
      <c r="EB204" s="13" t="s">
        <v>2206</v>
      </c>
      <c r="EC204" s="13" t="s">
        <v>1054</v>
      </c>
      <c r="ED204" s="11">
        <v>135290</v>
      </c>
      <c r="EE204" s="11"/>
    </row>
    <row r="205" spans="120:135" x14ac:dyDescent="0.2">
      <c r="DP205" t="s">
        <v>1101</v>
      </c>
      <c r="DQ205" t="s">
        <v>1102</v>
      </c>
      <c r="DR205" t="s">
        <v>1440</v>
      </c>
      <c r="DS205" t="s">
        <v>1429</v>
      </c>
      <c r="DT205" t="s">
        <v>1429</v>
      </c>
      <c r="DU205" t="s">
        <v>1596</v>
      </c>
      <c r="DV205" t="b">
        <v>0</v>
      </c>
      <c r="DW205" t="s">
        <v>1441</v>
      </c>
      <c r="DX205" s="31">
        <v>46143.258568159719</v>
      </c>
      <c r="DZ205" s="5">
        <v>45809</v>
      </c>
      <c r="EA205" s="13" t="s">
        <v>1251</v>
      </c>
      <c r="EB205" s="13" t="s">
        <v>2212</v>
      </c>
      <c r="EC205" s="13" t="s">
        <v>1054</v>
      </c>
      <c r="ED205" s="11">
        <v>222710</v>
      </c>
      <c r="EE205" s="11"/>
    </row>
    <row r="206" spans="120:135" x14ac:dyDescent="0.2">
      <c r="DP206" t="s">
        <v>2164</v>
      </c>
      <c r="DQ206" t="s">
        <v>2165</v>
      </c>
      <c r="DR206" t="s">
        <v>1437</v>
      </c>
      <c r="DS206" t="s">
        <v>1428</v>
      </c>
      <c r="DT206" t="s">
        <v>1429</v>
      </c>
      <c r="DU206" t="s">
        <v>1592</v>
      </c>
      <c r="DV206" t="b">
        <v>1</v>
      </c>
      <c r="DW206" t="s">
        <v>1434</v>
      </c>
      <c r="DX206" s="31">
        <v>46143.258568159719</v>
      </c>
      <c r="DZ206" s="5">
        <v>45809</v>
      </c>
      <c r="EA206" s="13" t="s">
        <v>1251</v>
      </c>
      <c r="EB206" s="13" t="s">
        <v>1351</v>
      </c>
      <c r="EC206" s="13" t="s">
        <v>1166</v>
      </c>
      <c r="ED206" s="11"/>
      <c r="EE206" s="11">
        <v>270653</v>
      </c>
    </row>
    <row r="207" spans="120:135" x14ac:dyDescent="0.2">
      <c r="DP207" t="s">
        <v>1103</v>
      </c>
      <c r="DQ207" t="s">
        <v>1104</v>
      </c>
      <c r="DR207" t="s">
        <v>1439</v>
      </c>
      <c r="DS207" t="s">
        <v>1429</v>
      </c>
      <c r="DT207" t="s">
        <v>1429</v>
      </c>
      <c r="DU207" t="s">
        <v>2164</v>
      </c>
      <c r="DV207" t="b">
        <v>0</v>
      </c>
      <c r="DW207" t="s">
        <v>1441</v>
      </c>
      <c r="DX207" s="31">
        <v>46143.258568159719</v>
      </c>
      <c r="DZ207" s="5">
        <v>45809</v>
      </c>
      <c r="EA207" s="13" t="s">
        <v>1251</v>
      </c>
      <c r="EB207" s="13" t="s">
        <v>2212</v>
      </c>
      <c r="EC207" s="13" t="s">
        <v>1166</v>
      </c>
      <c r="ED207" s="11"/>
      <c r="EE207" s="11">
        <v>417178</v>
      </c>
    </row>
    <row r="208" spans="120:135" x14ac:dyDescent="0.2">
      <c r="DP208" t="s">
        <v>1597</v>
      </c>
      <c r="DQ208" t="s">
        <v>1598</v>
      </c>
      <c r="DR208" t="s">
        <v>1437</v>
      </c>
      <c r="DS208" t="s">
        <v>1428</v>
      </c>
      <c r="DT208" t="s">
        <v>1429</v>
      </c>
      <c r="DU208" t="s">
        <v>1592</v>
      </c>
      <c r="DV208" t="b">
        <v>1</v>
      </c>
      <c r="DW208" t="s">
        <v>1434</v>
      </c>
      <c r="DX208" s="31">
        <v>46143.258568159719</v>
      </c>
      <c r="DZ208" s="5">
        <v>45809</v>
      </c>
      <c r="EA208" s="13" t="s">
        <v>1251</v>
      </c>
      <c r="EB208" s="13" t="s">
        <v>2213</v>
      </c>
      <c r="EC208" s="13" t="s">
        <v>1166</v>
      </c>
      <c r="ED208" s="11"/>
      <c r="EE208" s="11">
        <v>1246571</v>
      </c>
    </row>
    <row r="209" spans="120:135" x14ac:dyDescent="0.2">
      <c r="DP209" t="s">
        <v>1599</v>
      </c>
      <c r="DQ209" t="s">
        <v>1106</v>
      </c>
      <c r="DR209" t="s">
        <v>1439</v>
      </c>
      <c r="DS209" t="s">
        <v>1428</v>
      </c>
      <c r="DT209" t="s">
        <v>1429</v>
      </c>
      <c r="DU209" t="s">
        <v>1597</v>
      </c>
      <c r="DV209" t="b">
        <v>1</v>
      </c>
      <c r="DW209" t="s">
        <v>1434</v>
      </c>
      <c r="DX209" s="31">
        <v>46143.258568159719</v>
      </c>
      <c r="DZ209" s="5">
        <v>45809</v>
      </c>
      <c r="EA209" s="13" t="s">
        <v>1251</v>
      </c>
      <c r="EB209" s="13" t="s">
        <v>1355</v>
      </c>
      <c r="EC209" s="13" t="s">
        <v>1166</v>
      </c>
      <c r="ED209" s="11"/>
      <c r="EE209" s="11">
        <v>244167</v>
      </c>
    </row>
    <row r="210" spans="120:135" x14ac:dyDescent="0.2">
      <c r="DP210" t="s">
        <v>1105</v>
      </c>
      <c r="DQ210" t="s">
        <v>1106</v>
      </c>
      <c r="DR210" t="s">
        <v>1440</v>
      </c>
      <c r="DS210" t="s">
        <v>1429</v>
      </c>
      <c r="DT210" t="s">
        <v>1429</v>
      </c>
      <c r="DU210" t="s">
        <v>1599</v>
      </c>
      <c r="DV210" t="b">
        <v>0</v>
      </c>
      <c r="DW210" t="s">
        <v>1441</v>
      </c>
      <c r="DX210" s="31">
        <v>46143.258568159719</v>
      </c>
      <c r="DZ210" s="5">
        <v>45809</v>
      </c>
      <c r="EA210" s="13" t="s">
        <v>1252</v>
      </c>
      <c r="EB210" s="13" t="s">
        <v>1355</v>
      </c>
      <c r="EC210" s="13" t="s">
        <v>1166</v>
      </c>
      <c r="ED210" s="11">
        <v>0</v>
      </c>
      <c r="EE210" s="11"/>
    </row>
    <row r="211" spans="120:135" x14ac:dyDescent="0.2">
      <c r="DP211" t="s">
        <v>1600</v>
      </c>
      <c r="DQ211" t="s">
        <v>1601</v>
      </c>
      <c r="DR211" t="s">
        <v>1427</v>
      </c>
      <c r="DS211" t="s">
        <v>1428</v>
      </c>
      <c r="DT211" t="s">
        <v>1429</v>
      </c>
      <c r="DV211" t="b">
        <v>1</v>
      </c>
      <c r="DW211" t="s">
        <v>1430</v>
      </c>
      <c r="DX211" s="31">
        <v>46143.258568159719</v>
      </c>
      <c r="DZ211" s="5">
        <v>45809</v>
      </c>
      <c r="EA211" s="13" t="s">
        <v>1252</v>
      </c>
      <c r="EB211" s="13" t="s">
        <v>1371</v>
      </c>
      <c r="EC211" s="13" t="s">
        <v>1166</v>
      </c>
      <c r="ED211" s="11">
        <v>114085</v>
      </c>
      <c r="EE211" s="11"/>
    </row>
    <row r="212" spans="120:135" x14ac:dyDescent="0.2">
      <c r="DP212" t="s">
        <v>1602</v>
      </c>
      <c r="DQ212" t="s">
        <v>1603</v>
      </c>
      <c r="DR212" t="s">
        <v>1433</v>
      </c>
      <c r="DS212" t="s">
        <v>1428</v>
      </c>
      <c r="DT212" t="s">
        <v>1429</v>
      </c>
      <c r="DU212" t="s">
        <v>1600</v>
      </c>
      <c r="DV212" t="b">
        <v>1</v>
      </c>
      <c r="DW212" t="s">
        <v>1434</v>
      </c>
      <c r="DX212" s="31">
        <v>46143.258568159719</v>
      </c>
      <c r="DZ212" s="5">
        <v>45809</v>
      </c>
      <c r="EA212" s="13" t="s">
        <v>1251</v>
      </c>
      <c r="EB212" s="13" t="s">
        <v>2214</v>
      </c>
      <c r="EC212" s="13" t="s">
        <v>1166</v>
      </c>
      <c r="ED212" s="11"/>
      <c r="EE212" s="11">
        <v>0</v>
      </c>
    </row>
    <row r="213" spans="120:135" x14ac:dyDescent="0.2">
      <c r="DP213" t="s">
        <v>1604</v>
      </c>
      <c r="DQ213" t="s">
        <v>1605</v>
      </c>
      <c r="DR213" t="s">
        <v>1437</v>
      </c>
      <c r="DS213" t="s">
        <v>1428</v>
      </c>
      <c r="DT213" t="s">
        <v>1429</v>
      </c>
      <c r="DU213" t="s">
        <v>1602</v>
      </c>
      <c r="DV213" t="b">
        <v>1</v>
      </c>
      <c r="DW213" t="s">
        <v>1434</v>
      </c>
      <c r="DX213" s="31">
        <v>46143.258568159719</v>
      </c>
      <c r="DZ213" s="5">
        <v>45809</v>
      </c>
      <c r="EA213" s="13" t="s">
        <v>1252</v>
      </c>
      <c r="EB213" s="13" t="s">
        <v>2256</v>
      </c>
      <c r="EC213" s="13" t="s">
        <v>1224</v>
      </c>
      <c r="ED213" s="11">
        <v>0</v>
      </c>
      <c r="EE213" s="11"/>
    </row>
    <row r="214" spans="120:135" x14ac:dyDescent="0.2">
      <c r="DP214" t="s">
        <v>1606</v>
      </c>
      <c r="DQ214" t="s">
        <v>1108</v>
      </c>
      <c r="DR214" t="s">
        <v>1439</v>
      </c>
      <c r="DS214" t="s">
        <v>1428</v>
      </c>
      <c r="DT214" t="s">
        <v>1429</v>
      </c>
      <c r="DU214" t="s">
        <v>1604</v>
      </c>
      <c r="DV214" t="b">
        <v>1</v>
      </c>
      <c r="DW214" t="s">
        <v>1434</v>
      </c>
      <c r="DX214" s="31">
        <v>46143.258568159719</v>
      </c>
      <c r="DZ214" s="5">
        <v>45809</v>
      </c>
      <c r="EA214" s="13" t="s">
        <v>1252</v>
      </c>
      <c r="EB214" s="13" t="s">
        <v>2255</v>
      </c>
      <c r="EC214" s="13" t="s">
        <v>1224</v>
      </c>
      <c r="ED214" s="11">
        <v>0</v>
      </c>
      <c r="EE214" s="11"/>
    </row>
    <row r="215" spans="120:135" x14ac:dyDescent="0.2">
      <c r="DP215" t="s">
        <v>1107</v>
      </c>
      <c r="DQ215" t="s">
        <v>1108</v>
      </c>
      <c r="DR215" t="s">
        <v>1440</v>
      </c>
      <c r="DS215" t="s">
        <v>1429</v>
      </c>
      <c r="DT215" t="s">
        <v>1429</v>
      </c>
      <c r="DU215" t="s">
        <v>1606</v>
      </c>
      <c r="DV215" t="b">
        <v>0</v>
      </c>
      <c r="DW215" t="s">
        <v>1441</v>
      </c>
      <c r="DX215" s="31">
        <v>46143.258568159719</v>
      </c>
      <c r="DZ215" s="5">
        <v>45809</v>
      </c>
      <c r="EA215" s="13" t="s">
        <v>1252</v>
      </c>
      <c r="EB215" s="13" t="s">
        <v>2236</v>
      </c>
      <c r="EC215" s="13" t="s">
        <v>1224</v>
      </c>
      <c r="ED215" s="11">
        <v>0</v>
      </c>
      <c r="EE215" s="11"/>
    </row>
    <row r="216" spans="120:135" x14ac:dyDescent="0.2">
      <c r="DP216" t="s">
        <v>1607</v>
      </c>
      <c r="DQ216" t="s">
        <v>1110</v>
      </c>
      <c r="DR216" t="s">
        <v>1439</v>
      </c>
      <c r="DS216" t="s">
        <v>1428</v>
      </c>
      <c r="DT216" t="s">
        <v>1429</v>
      </c>
      <c r="DU216" t="s">
        <v>1604</v>
      </c>
      <c r="DV216" t="b">
        <v>1</v>
      </c>
      <c r="DW216" t="s">
        <v>1434</v>
      </c>
      <c r="DX216" s="31">
        <v>46143.258568159719</v>
      </c>
      <c r="DZ216" s="5">
        <v>45809</v>
      </c>
      <c r="EA216" s="13" t="s">
        <v>1252</v>
      </c>
      <c r="EB216" s="13" t="s">
        <v>2260</v>
      </c>
      <c r="EC216" s="13" t="s">
        <v>1224</v>
      </c>
      <c r="ED216" s="11">
        <v>0</v>
      </c>
      <c r="EE216" s="11"/>
    </row>
    <row r="217" spans="120:135" x14ac:dyDescent="0.2">
      <c r="DP217" t="s">
        <v>1109</v>
      </c>
      <c r="DQ217" t="s">
        <v>1110</v>
      </c>
      <c r="DR217" t="s">
        <v>1440</v>
      </c>
      <c r="DS217" t="s">
        <v>1429</v>
      </c>
      <c r="DT217" t="s">
        <v>1429</v>
      </c>
      <c r="DU217" t="s">
        <v>1607</v>
      </c>
      <c r="DV217" t="b">
        <v>0</v>
      </c>
      <c r="DW217" t="s">
        <v>1441</v>
      </c>
      <c r="DX217" s="31">
        <v>46143.258568159719</v>
      </c>
      <c r="DZ217" s="5">
        <v>45809</v>
      </c>
      <c r="EA217" s="13" t="s">
        <v>1252</v>
      </c>
      <c r="EB217" s="13" t="s">
        <v>2218</v>
      </c>
      <c r="EC217" s="13" t="s">
        <v>1224</v>
      </c>
      <c r="ED217" s="11">
        <v>-8763.86</v>
      </c>
      <c r="EE217" s="11"/>
    </row>
    <row r="218" spans="120:135" x14ac:dyDescent="0.2">
      <c r="DP218" t="s">
        <v>1608</v>
      </c>
      <c r="DQ218" t="s">
        <v>1054</v>
      </c>
      <c r="DR218" t="s">
        <v>1439</v>
      </c>
      <c r="DS218" t="s">
        <v>1428</v>
      </c>
      <c r="DT218" t="s">
        <v>1429</v>
      </c>
      <c r="DU218" t="s">
        <v>1604</v>
      </c>
      <c r="DV218" t="b">
        <v>1</v>
      </c>
      <c r="DW218" t="s">
        <v>1434</v>
      </c>
      <c r="DX218" s="31">
        <v>46143.258568159719</v>
      </c>
      <c r="DZ218" s="5">
        <v>45809</v>
      </c>
      <c r="EA218" s="13" t="s">
        <v>1252</v>
      </c>
      <c r="EB218" s="13" t="s">
        <v>2259</v>
      </c>
      <c r="EC218" s="13" t="s">
        <v>1224</v>
      </c>
      <c r="ED218" s="11">
        <v>0</v>
      </c>
      <c r="EE218" s="11"/>
    </row>
    <row r="219" spans="120:135" x14ac:dyDescent="0.2">
      <c r="DP219" t="s">
        <v>1111</v>
      </c>
      <c r="DQ219" t="s">
        <v>1054</v>
      </c>
      <c r="DR219" t="s">
        <v>1440</v>
      </c>
      <c r="DS219" t="s">
        <v>1429</v>
      </c>
      <c r="DT219" t="s">
        <v>1429</v>
      </c>
      <c r="DU219" t="s">
        <v>1608</v>
      </c>
      <c r="DV219" t="b">
        <v>0</v>
      </c>
      <c r="DW219" t="s">
        <v>1441</v>
      </c>
      <c r="DX219" s="31">
        <v>46143.258568159719</v>
      </c>
      <c r="DZ219" s="5">
        <v>45809</v>
      </c>
      <c r="EA219" s="13" t="s">
        <v>1252</v>
      </c>
      <c r="EB219" s="13" t="s">
        <v>2257</v>
      </c>
      <c r="EC219" s="13" t="s">
        <v>1224</v>
      </c>
      <c r="ED219" s="11">
        <v>0</v>
      </c>
      <c r="EE219" s="11"/>
    </row>
    <row r="220" spans="120:135" x14ac:dyDescent="0.2">
      <c r="DP220" t="s">
        <v>1609</v>
      </c>
      <c r="DQ220" t="s">
        <v>1056</v>
      </c>
      <c r="DR220" t="s">
        <v>1439</v>
      </c>
      <c r="DS220" t="s">
        <v>1428</v>
      </c>
      <c r="DT220" t="s">
        <v>1429</v>
      </c>
      <c r="DU220" t="s">
        <v>1604</v>
      </c>
      <c r="DV220" t="b">
        <v>1</v>
      </c>
      <c r="DW220" t="s">
        <v>1434</v>
      </c>
      <c r="DX220" s="31">
        <v>46143.258568159719</v>
      </c>
      <c r="DZ220" s="5">
        <v>45809</v>
      </c>
      <c r="EA220" s="13" t="s">
        <v>1252</v>
      </c>
      <c r="EB220" s="13" t="s">
        <v>2231</v>
      </c>
      <c r="EC220" s="13" t="s">
        <v>1224</v>
      </c>
      <c r="ED220" s="11">
        <v>0</v>
      </c>
      <c r="EE220" s="11"/>
    </row>
    <row r="221" spans="120:135" x14ac:dyDescent="0.2">
      <c r="DP221" t="s">
        <v>1112</v>
      </c>
      <c r="DQ221" t="s">
        <v>1056</v>
      </c>
      <c r="DR221" t="s">
        <v>1440</v>
      </c>
      <c r="DS221" t="s">
        <v>1429</v>
      </c>
      <c r="DT221" t="s">
        <v>1429</v>
      </c>
      <c r="DU221" t="s">
        <v>1609</v>
      </c>
      <c r="DV221" t="b">
        <v>0</v>
      </c>
      <c r="DW221" t="s">
        <v>1441</v>
      </c>
      <c r="DX221" s="31">
        <v>46143.258568159719</v>
      </c>
      <c r="DZ221" s="5">
        <v>45809</v>
      </c>
      <c r="EA221" s="13" t="s">
        <v>1252</v>
      </c>
      <c r="EB221" s="13" t="s">
        <v>2268</v>
      </c>
      <c r="EC221" s="13" t="s">
        <v>1224</v>
      </c>
      <c r="ED221" s="11">
        <v>0</v>
      </c>
      <c r="EE221" s="11"/>
    </row>
    <row r="222" spans="120:135" x14ac:dyDescent="0.2">
      <c r="DP222" t="s">
        <v>1610</v>
      </c>
      <c r="DQ222" t="s">
        <v>1114</v>
      </c>
      <c r="DR222" t="s">
        <v>1439</v>
      </c>
      <c r="DS222" t="s">
        <v>1428</v>
      </c>
      <c r="DT222" t="s">
        <v>1429</v>
      </c>
      <c r="DU222" t="s">
        <v>1604</v>
      </c>
      <c r="DV222" t="b">
        <v>1</v>
      </c>
      <c r="DW222" t="s">
        <v>1434</v>
      </c>
      <c r="DX222" s="31">
        <v>46143.258568159719</v>
      </c>
      <c r="DZ222" s="5">
        <v>45809</v>
      </c>
      <c r="EA222" s="13" t="s">
        <v>1252</v>
      </c>
      <c r="EB222" s="13" t="s">
        <v>1356</v>
      </c>
      <c r="EC222" s="13" t="s">
        <v>1224</v>
      </c>
      <c r="ED222" s="11">
        <v>0</v>
      </c>
      <c r="EE222" s="11"/>
    </row>
    <row r="223" spans="120:135" x14ac:dyDescent="0.2">
      <c r="DP223" t="s">
        <v>1113</v>
      </c>
      <c r="DQ223" t="s">
        <v>1114</v>
      </c>
      <c r="DR223" t="s">
        <v>1440</v>
      </c>
      <c r="DS223" t="s">
        <v>1429</v>
      </c>
      <c r="DT223" t="s">
        <v>1429</v>
      </c>
      <c r="DU223" t="s">
        <v>1610</v>
      </c>
      <c r="DV223" t="b">
        <v>0</v>
      </c>
      <c r="DW223" t="s">
        <v>1441</v>
      </c>
      <c r="DX223" s="31">
        <v>46143.258568159719</v>
      </c>
      <c r="DZ223" s="5">
        <v>45809</v>
      </c>
      <c r="EA223" s="13" t="s">
        <v>1252</v>
      </c>
      <c r="EB223" s="13" t="s">
        <v>2227</v>
      </c>
      <c r="EC223" s="13" t="s">
        <v>1224</v>
      </c>
      <c r="ED223" s="11">
        <v>0</v>
      </c>
      <c r="EE223" s="11"/>
    </row>
    <row r="224" spans="120:135" x14ac:dyDescent="0.2">
      <c r="DP224" t="s">
        <v>1611</v>
      </c>
      <c r="DQ224" t="s">
        <v>1058</v>
      </c>
      <c r="DR224" t="s">
        <v>1439</v>
      </c>
      <c r="DS224" t="s">
        <v>1428</v>
      </c>
      <c r="DT224" t="s">
        <v>1429</v>
      </c>
      <c r="DU224" t="s">
        <v>1604</v>
      </c>
      <c r="DV224" t="b">
        <v>1</v>
      </c>
      <c r="DW224" t="s">
        <v>1434</v>
      </c>
      <c r="DX224" s="31">
        <v>46143.258568159719</v>
      </c>
      <c r="DZ224" s="5">
        <v>45809</v>
      </c>
      <c r="EA224" s="13" t="s">
        <v>1252</v>
      </c>
      <c r="EB224" s="13" t="s">
        <v>2251</v>
      </c>
      <c r="EC224" s="13" t="s">
        <v>1224</v>
      </c>
      <c r="ED224" s="11">
        <v>0</v>
      </c>
      <c r="EE224" s="11"/>
    </row>
    <row r="225" spans="120:135" x14ac:dyDescent="0.2">
      <c r="DP225" t="s">
        <v>1115</v>
      </c>
      <c r="DQ225" t="s">
        <v>1058</v>
      </c>
      <c r="DR225" t="s">
        <v>1440</v>
      </c>
      <c r="DS225" t="s">
        <v>1429</v>
      </c>
      <c r="DT225" t="s">
        <v>1429</v>
      </c>
      <c r="DU225" t="s">
        <v>1611</v>
      </c>
      <c r="DV225" t="b">
        <v>0</v>
      </c>
      <c r="DW225" t="s">
        <v>1441</v>
      </c>
      <c r="DX225" s="31">
        <v>46143.258568159719</v>
      </c>
      <c r="DZ225" s="5">
        <v>45809</v>
      </c>
      <c r="EA225" s="13" t="s">
        <v>1252</v>
      </c>
      <c r="EB225" s="13" t="s">
        <v>2269</v>
      </c>
      <c r="EC225" s="13" t="s">
        <v>1224</v>
      </c>
      <c r="ED225" s="11">
        <v>0</v>
      </c>
      <c r="EE225" s="11"/>
    </row>
    <row r="226" spans="120:135" x14ac:dyDescent="0.2">
      <c r="DP226" t="s">
        <v>2166</v>
      </c>
      <c r="DQ226" t="s">
        <v>1652</v>
      </c>
      <c r="DR226" t="s">
        <v>1439</v>
      </c>
      <c r="DS226" t="s">
        <v>1428</v>
      </c>
      <c r="DT226" t="s">
        <v>1429</v>
      </c>
      <c r="DU226" t="s">
        <v>1604</v>
      </c>
      <c r="DV226" t="b">
        <v>1</v>
      </c>
      <c r="DW226" t="s">
        <v>1434</v>
      </c>
      <c r="DX226" s="31">
        <v>46143.258568159719</v>
      </c>
      <c r="DZ226" s="5">
        <v>45809</v>
      </c>
      <c r="EA226" s="13" t="s">
        <v>1252</v>
      </c>
      <c r="EB226" s="13" t="s">
        <v>2275</v>
      </c>
      <c r="EC226" s="13" t="s">
        <v>1224</v>
      </c>
      <c r="ED226" s="11">
        <v>0</v>
      </c>
      <c r="EE226" s="11"/>
    </row>
    <row r="227" spans="120:135" x14ac:dyDescent="0.2">
      <c r="DP227" t="s">
        <v>1116</v>
      </c>
      <c r="DQ227" t="s">
        <v>1117</v>
      </c>
      <c r="DR227" t="s">
        <v>1440</v>
      </c>
      <c r="DS227" t="s">
        <v>1429</v>
      </c>
      <c r="DT227" t="s">
        <v>1429</v>
      </c>
      <c r="DU227" t="s">
        <v>2166</v>
      </c>
      <c r="DV227" t="b">
        <v>0</v>
      </c>
      <c r="DW227" t="s">
        <v>1441</v>
      </c>
      <c r="DX227" s="31">
        <v>46143.258568159719</v>
      </c>
      <c r="DZ227" s="5">
        <v>45809</v>
      </c>
      <c r="EA227" s="13" t="s">
        <v>1252</v>
      </c>
      <c r="EB227" s="13" t="s">
        <v>1403</v>
      </c>
      <c r="EC227" s="13" t="s">
        <v>1224</v>
      </c>
      <c r="ED227" s="11">
        <v>197478.99</v>
      </c>
      <c r="EE227" s="11"/>
    </row>
    <row r="228" spans="120:135" x14ac:dyDescent="0.2">
      <c r="DP228" t="s">
        <v>2167</v>
      </c>
      <c r="DQ228" t="s">
        <v>1119</v>
      </c>
      <c r="DR228" t="s">
        <v>1439</v>
      </c>
      <c r="DS228" t="s">
        <v>1428</v>
      </c>
      <c r="DT228" t="s">
        <v>1429</v>
      </c>
      <c r="DU228" t="s">
        <v>1604</v>
      </c>
      <c r="DV228" t="b">
        <v>1</v>
      </c>
      <c r="DW228" t="s">
        <v>1434</v>
      </c>
      <c r="DX228" s="31">
        <v>46143.258568159719</v>
      </c>
      <c r="DZ228" s="5">
        <v>45809</v>
      </c>
      <c r="EA228" s="13" t="s">
        <v>1252</v>
      </c>
      <c r="EB228" s="13" t="s">
        <v>2253</v>
      </c>
      <c r="EC228" s="13" t="s">
        <v>1224</v>
      </c>
      <c r="ED228" s="11">
        <v>0</v>
      </c>
      <c r="EE228" s="11"/>
    </row>
    <row r="229" spans="120:135" x14ac:dyDescent="0.2">
      <c r="DP229" t="s">
        <v>1118</v>
      </c>
      <c r="DQ229" t="s">
        <v>1119</v>
      </c>
      <c r="DR229" t="s">
        <v>1440</v>
      </c>
      <c r="DS229" t="s">
        <v>1429</v>
      </c>
      <c r="DT229" t="s">
        <v>1429</v>
      </c>
      <c r="DU229" t="s">
        <v>2167</v>
      </c>
      <c r="DV229" t="b">
        <v>0</v>
      </c>
      <c r="DW229" t="s">
        <v>1441</v>
      </c>
      <c r="DX229" s="31">
        <v>46143.258568159719</v>
      </c>
      <c r="DZ229" s="5">
        <v>45809</v>
      </c>
      <c r="EA229" s="13" t="s">
        <v>1252</v>
      </c>
      <c r="EB229" s="13" t="s">
        <v>2261</v>
      </c>
      <c r="EC229" s="13" t="s">
        <v>1224</v>
      </c>
      <c r="ED229" s="11">
        <v>0</v>
      </c>
      <c r="EE229" s="11"/>
    </row>
    <row r="230" spans="120:135" x14ac:dyDescent="0.2">
      <c r="DP230" t="s">
        <v>1612</v>
      </c>
      <c r="DQ230" t="s">
        <v>1121</v>
      </c>
      <c r="DR230" t="s">
        <v>1439</v>
      </c>
      <c r="DS230" t="s">
        <v>1428</v>
      </c>
      <c r="DT230" t="s">
        <v>1429</v>
      </c>
      <c r="DU230" t="s">
        <v>1604</v>
      </c>
      <c r="DV230" t="b">
        <v>1</v>
      </c>
      <c r="DW230" t="s">
        <v>1434</v>
      </c>
      <c r="DX230" s="31">
        <v>46143.258568159719</v>
      </c>
      <c r="DZ230" s="5">
        <v>45809</v>
      </c>
      <c r="EA230" s="13" t="s">
        <v>1252</v>
      </c>
      <c r="EB230" s="13" t="s">
        <v>2262</v>
      </c>
      <c r="EC230" s="13" t="s">
        <v>1224</v>
      </c>
      <c r="ED230" s="11">
        <v>0</v>
      </c>
      <c r="EE230" s="11"/>
    </row>
    <row r="231" spans="120:135" x14ac:dyDescent="0.2">
      <c r="DP231" t="s">
        <v>1120</v>
      </c>
      <c r="DQ231" t="s">
        <v>1121</v>
      </c>
      <c r="DR231" t="s">
        <v>1440</v>
      </c>
      <c r="DS231" t="s">
        <v>1429</v>
      </c>
      <c r="DT231" t="s">
        <v>1429</v>
      </c>
      <c r="DU231" t="s">
        <v>1612</v>
      </c>
      <c r="DV231" t="b">
        <v>0</v>
      </c>
      <c r="DW231" t="s">
        <v>1441</v>
      </c>
      <c r="DX231" s="31">
        <v>46143.258568159719</v>
      </c>
      <c r="DZ231" s="5">
        <v>45809</v>
      </c>
      <c r="EA231" s="13" t="s">
        <v>1252</v>
      </c>
      <c r="EB231" s="13" t="s">
        <v>2243</v>
      </c>
      <c r="EC231" s="13" t="s">
        <v>1224</v>
      </c>
      <c r="ED231" s="11">
        <v>0</v>
      </c>
      <c r="EE231" s="11"/>
    </row>
    <row r="232" spans="120:135" x14ac:dyDescent="0.2">
      <c r="DP232" t="s">
        <v>1613</v>
      </c>
      <c r="DQ232" t="s">
        <v>1016</v>
      </c>
      <c r="DR232" t="s">
        <v>1439</v>
      </c>
      <c r="DS232" t="s">
        <v>1428</v>
      </c>
      <c r="DT232" t="s">
        <v>1429</v>
      </c>
      <c r="DU232" t="s">
        <v>1604</v>
      </c>
      <c r="DV232" t="b">
        <v>1</v>
      </c>
      <c r="DW232" t="s">
        <v>1434</v>
      </c>
      <c r="DX232" s="31">
        <v>46143.258568159719</v>
      </c>
      <c r="DZ232" s="5">
        <v>45809</v>
      </c>
      <c r="EA232" s="13" t="s">
        <v>1252</v>
      </c>
      <c r="EB232" s="13" t="s">
        <v>2289</v>
      </c>
      <c r="EC232" s="13" t="s">
        <v>1224</v>
      </c>
      <c r="ED232" s="11">
        <v>12605.04</v>
      </c>
      <c r="EE232" s="11"/>
    </row>
    <row r="233" spans="120:135" x14ac:dyDescent="0.2">
      <c r="DP233" t="s">
        <v>1122</v>
      </c>
      <c r="DQ233" t="s">
        <v>1016</v>
      </c>
      <c r="DR233" t="s">
        <v>1440</v>
      </c>
      <c r="DS233" t="s">
        <v>1429</v>
      </c>
      <c r="DT233" t="s">
        <v>1429</v>
      </c>
      <c r="DU233" t="s">
        <v>1613</v>
      </c>
      <c r="DV233" t="b">
        <v>0</v>
      </c>
      <c r="DW233" t="s">
        <v>1441</v>
      </c>
      <c r="DX233" s="31">
        <v>46143.258568159719</v>
      </c>
      <c r="DZ233" s="5">
        <v>45809</v>
      </c>
      <c r="EA233" s="13" t="s">
        <v>1252</v>
      </c>
      <c r="EB233" s="13" t="s">
        <v>2265</v>
      </c>
      <c r="EC233" s="13" t="s">
        <v>1224</v>
      </c>
      <c r="ED233" s="11">
        <v>0</v>
      </c>
      <c r="EE233" s="11"/>
    </row>
    <row r="234" spans="120:135" x14ac:dyDescent="0.2">
      <c r="DP234" t="s">
        <v>1614</v>
      </c>
      <c r="DQ234" t="s">
        <v>1124</v>
      </c>
      <c r="DR234" t="s">
        <v>1439</v>
      </c>
      <c r="DS234" t="s">
        <v>1428</v>
      </c>
      <c r="DT234" t="s">
        <v>1429</v>
      </c>
      <c r="DU234" t="s">
        <v>1604</v>
      </c>
      <c r="DV234" t="b">
        <v>1</v>
      </c>
      <c r="DW234" t="s">
        <v>1434</v>
      </c>
      <c r="DX234" s="31">
        <v>46143.258568159719</v>
      </c>
      <c r="DZ234" s="5">
        <v>45809</v>
      </c>
      <c r="EA234" s="13" t="s">
        <v>1252</v>
      </c>
      <c r="EB234" s="13" t="s">
        <v>2247</v>
      </c>
      <c r="EC234" s="13" t="s">
        <v>1224</v>
      </c>
      <c r="ED234" s="11">
        <v>0</v>
      </c>
      <c r="EE234" s="11"/>
    </row>
    <row r="235" spans="120:135" x14ac:dyDescent="0.2">
      <c r="DP235" t="s">
        <v>1123</v>
      </c>
      <c r="DQ235" t="s">
        <v>1124</v>
      </c>
      <c r="DR235" t="s">
        <v>1440</v>
      </c>
      <c r="DS235" t="s">
        <v>1429</v>
      </c>
      <c r="DT235" t="s">
        <v>1429</v>
      </c>
      <c r="DU235" t="s">
        <v>1614</v>
      </c>
      <c r="DV235" t="b">
        <v>0</v>
      </c>
      <c r="DW235" t="s">
        <v>1441</v>
      </c>
      <c r="DX235" s="31">
        <v>46143.258568159719</v>
      </c>
      <c r="DZ235" s="5">
        <v>45809</v>
      </c>
      <c r="EA235" s="13" t="s">
        <v>1252</v>
      </c>
      <c r="EB235" s="13" t="s">
        <v>2272</v>
      </c>
      <c r="EC235" s="13" t="s">
        <v>1224</v>
      </c>
      <c r="ED235" s="11">
        <v>0</v>
      </c>
      <c r="EE235" s="11"/>
    </row>
    <row r="236" spans="120:135" x14ac:dyDescent="0.2">
      <c r="DP236" t="s">
        <v>1615</v>
      </c>
      <c r="DQ236" t="s">
        <v>1126</v>
      </c>
      <c r="DR236" t="s">
        <v>1439</v>
      </c>
      <c r="DS236" t="s">
        <v>1428</v>
      </c>
      <c r="DT236" t="s">
        <v>1429</v>
      </c>
      <c r="DU236" t="s">
        <v>1604</v>
      </c>
      <c r="DV236" t="b">
        <v>1</v>
      </c>
      <c r="DW236" t="s">
        <v>1434</v>
      </c>
      <c r="DX236" s="31">
        <v>46143.258568159719</v>
      </c>
      <c r="DZ236" s="5">
        <v>45809</v>
      </c>
      <c r="EA236" s="13" t="s">
        <v>1252</v>
      </c>
      <c r="EB236" s="13" t="s">
        <v>2252</v>
      </c>
      <c r="EC236" s="13" t="s">
        <v>1224</v>
      </c>
      <c r="ED236" s="11">
        <v>0</v>
      </c>
      <c r="EE236" s="11"/>
    </row>
    <row r="237" spans="120:135" x14ac:dyDescent="0.2">
      <c r="DP237" t="s">
        <v>1125</v>
      </c>
      <c r="DQ237" t="s">
        <v>1126</v>
      </c>
      <c r="DR237" t="s">
        <v>1440</v>
      </c>
      <c r="DS237" t="s">
        <v>1429</v>
      </c>
      <c r="DT237" t="s">
        <v>1429</v>
      </c>
      <c r="DU237" t="s">
        <v>1615</v>
      </c>
      <c r="DV237" t="b">
        <v>0</v>
      </c>
      <c r="DW237" t="s">
        <v>1441</v>
      </c>
      <c r="DX237" s="31">
        <v>46143.258568159719</v>
      </c>
      <c r="DZ237" s="5">
        <v>45809</v>
      </c>
      <c r="EA237" s="13" t="s">
        <v>1252</v>
      </c>
      <c r="EB237" s="13" t="s">
        <v>2290</v>
      </c>
      <c r="EC237" s="13" t="s">
        <v>1224</v>
      </c>
      <c r="ED237" s="11">
        <v>9663.86</v>
      </c>
      <c r="EE237" s="11"/>
    </row>
    <row r="238" spans="120:135" x14ac:dyDescent="0.2">
      <c r="DP238" t="s">
        <v>2168</v>
      </c>
      <c r="DQ238" t="s">
        <v>1128</v>
      </c>
      <c r="DR238" t="s">
        <v>1439</v>
      </c>
      <c r="DS238" t="s">
        <v>1428</v>
      </c>
      <c r="DT238" t="s">
        <v>1429</v>
      </c>
      <c r="DU238" t="s">
        <v>1604</v>
      </c>
      <c r="DV238" t="b">
        <v>1</v>
      </c>
      <c r="DW238" t="s">
        <v>1434</v>
      </c>
      <c r="DX238" s="31">
        <v>46143.258568159719</v>
      </c>
      <c r="DZ238" s="5">
        <v>45809</v>
      </c>
      <c r="EA238" s="13" t="s">
        <v>1252</v>
      </c>
      <c r="EB238" s="13" t="s">
        <v>2266</v>
      </c>
      <c r="EC238" s="13" t="s">
        <v>1224</v>
      </c>
      <c r="ED238" s="11">
        <v>0</v>
      </c>
      <c r="EE238" s="11"/>
    </row>
    <row r="239" spans="120:135" x14ac:dyDescent="0.2">
      <c r="DP239" t="s">
        <v>1127</v>
      </c>
      <c r="DQ239" t="s">
        <v>1128</v>
      </c>
      <c r="DR239" t="s">
        <v>1440</v>
      </c>
      <c r="DS239" t="s">
        <v>1429</v>
      </c>
      <c r="DT239" t="s">
        <v>1429</v>
      </c>
      <c r="DU239" t="s">
        <v>2168</v>
      </c>
      <c r="DV239" t="b">
        <v>0</v>
      </c>
      <c r="DW239" t="s">
        <v>1441</v>
      </c>
      <c r="DX239" s="31">
        <v>46143.258568159719</v>
      </c>
      <c r="DZ239" s="5">
        <v>45809</v>
      </c>
      <c r="EA239" s="13" t="s">
        <v>1252</v>
      </c>
      <c r="EB239" s="13" t="s">
        <v>2222</v>
      </c>
      <c r="EC239" s="13" t="s">
        <v>1224</v>
      </c>
      <c r="ED239" s="11">
        <v>0</v>
      </c>
      <c r="EE239" s="11"/>
    </row>
    <row r="240" spans="120:135" x14ac:dyDescent="0.2">
      <c r="DP240" t="s">
        <v>2169</v>
      </c>
      <c r="DQ240" t="s">
        <v>1130</v>
      </c>
      <c r="DR240" t="s">
        <v>1439</v>
      </c>
      <c r="DS240" t="s">
        <v>1428</v>
      </c>
      <c r="DT240" t="s">
        <v>1429</v>
      </c>
      <c r="DU240" t="s">
        <v>1604</v>
      </c>
      <c r="DV240" t="b">
        <v>1</v>
      </c>
      <c r="DW240" t="s">
        <v>1434</v>
      </c>
      <c r="DX240" s="31">
        <v>46143.258568159719</v>
      </c>
      <c r="DZ240" s="5">
        <v>45809</v>
      </c>
      <c r="EA240" s="13" t="s">
        <v>1252</v>
      </c>
      <c r="EB240" s="13" t="s">
        <v>2263</v>
      </c>
      <c r="EC240" s="13" t="s">
        <v>1224</v>
      </c>
      <c r="ED240" s="11">
        <v>0</v>
      </c>
      <c r="EE240" s="11"/>
    </row>
    <row r="241" spans="120:135" x14ac:dyDescent="0.2">
      <c r="DP241" t="s">
        <v>1129</v>
      </c>
      <c r="DQ241" t="s">
        <v>1130</v>
      </c>
      <c r="DR241" t="s">
        <v>1440</v>
      </c>
      <c r="DS241" t="s">
        <v>1429</v>
      </c>
      <c r="DT241" t="s">
        <v>1429</v>
      </c>
      <c r="DU241" t="s">
        <v>2169</v>
      </c>
      <c r="DV241" t="b">
        <v>0</v>
      </c>
      <c r="DW241" t="s">
        <v>1441</v>
      </c>
      <c r="DX241" s="31">
        <v>46143.258568159719</v>
      </c>
      <c r="DZ241" s="5">
        <v>45809</v>
      </c>
      <c r="EA241" s="13" t="s">
        <v>1252</v>
      </c>
      <c r="EB241" s="13" t="s">
        <v>2223</v>
      </c>
      <c r="EC241" s="13" t="s">
        <v>1224</v>
      </c>
      <c r="ED241" s="11">
        <v>0</v>
      </c>
      <c r="EE241" s="11"/>
    </row>
    <row r="242" spans="120:135" x14ac:dyDescent="0.2">
      <c r="DP242" t="s">
        <v>1616</v>
      </c>
      <c r="DQ242" t="s">
        <v>984</v>
      </c>
      <c r="DR242" t="s">
        <v>1439</v>
      </c>
      <c r="DS242" t="s">
        <v>1428</v>
      </c>
      <c r="DT242" t="s">
        <v>1429</v>
      </c>
      <c r="DU242" t="s">
        <v>1604</v>
      </c>
      <c r="DV242" t="b">
        <v>1</v>
      </c>
      <c r="DW242" t="s">
        <v>1434</v>
      </c>
      <c r="DX242" s="31">
        <v>46143.258568159719</v>
      </c>
      <c r="DZ242" s="5">
        <v>45809</v>
      </c>
      <c r="EA242" s="13" t="s">
        <v>1252</v>
      </c>
      <c r="EB242" s="13" t="s">
        <v>2235</v>
      </c>
      <c r="EC242" s="13" t="s">
        <v>1224</v>
      </c>
      <c r="ED242" s="11">
        <v>0</v>
      </c>
      <c r="EE242" s="11"/>
    </row>
    <row r="243" spans="120:135" x14ac:dyDescent="0.2">
      <c r="DP243" t="s">
        <v>1131</v>
      </c>
      <c r="DQ243" t="s">
        <v>1132</v>
      </c>
      <c r="DR243" t="s">
        <v>1440</v>
      </c>
      <c r="DS243" t="s">
        <v>1429</v>
      </c>
      <c r="DT243" t="s">
        <v>1429</v>
      </c>
      <c r="DU243" t="s">
        <v>1616</v>
      </c>
      <c r="DV243" t="b">
        <v>0</v>
      </c>
      <c r="DW243" t="s">
        <v>1441</v>
      </c>
      <c r="DX243" s="31">
        <v>46143.258568159719</v>
      </c>
      <c r="DZ243" s="5">
        <v>45809</v>
      </c>
      <c r="EA243" s="13" t="s">
        <v>1252</v>
      </c>
      <c r="EB243" s="13" t="s">
        <v>2273</v>
      </c>
      <c r="EC243" s="13" t="s">
        <v>1224</v>
      </c>
      <c r="ED243" s="11">
        <v>0</v>
      </c>
      <c r="EE243" s="11"/>
    </row>
    <row r="244" spans="120:135" x14ac:dyDescent="0.2">
      <c r="DP244" t="s">
        <v>1617</v>
      </c>
      <c r="DQ244" t="s">
        <v>982</v>
      </c>
      <c r="DR244" t="s">
        <v>1437</v>
      </c>
      <c r="DS244" t="s">
        <v>1428</v>
      </c>
      <c r="DT244" t="s">
        <v>1429</v>
      </c>
      <c r="DU244" t="s">
        <v>1602</v>
      </c>
      <c r="DV244" t="b">
        <v>1</v>
      </c>
      <c r="DW244" t="s">
        <v>1434</v>
      </c>
      <c r="DX244" s="31">
        <v>46143.258568159719</v>
      </c>
      <c r="DZ244" s="5">
        <v>45809</v>
      </c>
      <c r="EA244" s="13" t="s">
        <v>1252</v>
      </c>
      <c r="EB244" s="13" t="s">
        <v>2239</v>
      </c>
      <c r="EC244" s="13" t="s">
        <v>1224</v>
      </c>
      <c r="ED244" s="11">
        <v>0</v>
      </c>
      <c r="EE244" s="11"/>
    </row>
    <row r="245" spans="120:135" x14ac:dyDescent="0.2">
      <c r="DP245" t="s">
        <v>2170</v>
      </c>
      <c r="DQ245" t="s">
        <v>2171</v>
      </c>
      <c r="DR245" t="s">
        <v>1439</v>
      </c>
      <c r="DS245" t="s">
        <v>1428</v>
      </c>
      <c r="DT245" t="s">
        <v>1429</v>
      </c>
      <c r="DU245" t="s">
        <v>1617</v>
      </c>
      <c r="DV245" t="b">
        <v>1</v>
      </c>
      <c r="DW245" t="s">
        <v>1434</v>
      </c>
      <c r="DX245" s="31">
        <v>46143.258568159719</v>
      </c>
      <c r="DZ245" s="5">
        <v>45809</v>
      </c>
      <c r="EA245" s="13" t="s">
        <v>1252</v>
      </c>
      <c r="EB245" s="13" t="s">
        <v>2248</v>
      </c>
      <c r="EC245" s="13" t="s">
        <v>1224</v>
      </c>
      <c r="ED245" s="11">
        <v>0</v>
      </c>
      <c r="EE245" s="11"/>
    </row>
    <row r="246" spans="120:135" x14ac:dyDescent="0.2">
      <c r="DP246" t="s">
        <v>1133</v>
      </c>
      <c r="DQ246" t="s">
        <v>1134</v>
      </c>
      <c r="DR246" t="s">
        <v>1440</v>
      </c>
      <c r="DS246" t="s">
        <v>1429</v>
      </c>
      <c r="DT246" t="s">
        <v>1429</v>
      </c>
      <c r="DU246" t="s">
        <v>2170</v>
      </c>
      <c r="DV246" t="b">
        <v>0</v>
      </c>
      <c r="DW246" t="s">
        <v>1441</v>
      </c>
      <c r="DX246" s="31">
        <v>46143.258568159719</v>
      </c>
      <c r="DZ246" s="5">
        <v>45809</v>
      </c>
      <c r="EA246" s="13" t="s">
        <v>1252</v>
      </c>
      <c r="EB246" s="13" t="s">
        <v>2217</v>
      </c>
      <c r="EC246" s="13" t="s">
        <v>1224</v>
      </c>
      <c r="ED246" s="11">
        <v>0</v>
      </c>
      <c r="EE246" s="11"/>
    </row>
    <row r="247" spans="120:135" x14ac:dyDescent="0.2">
      <c r="DP247" t="s">
        <v>1618</v>
      </c>
      <c r="DQ247" t="s">
        <v>1619</v>
      </c>
      <c r="DR247" t="s">
        <v>1439</v>
      </c>
      <c r="DS247" t="s">
        <v>1428</v>
      </c>
      <c r="DT247" t="s">
        <v>1429</v>
      </c>
      <c r="DU247" t="s">
        <v>1617</v>
      </c>
      <c r="DV247" t="b">
        <v>1</v>
      </c>
      <c r="DW247" t="s">
        <v>1434</v>
      </c>
      <c r="DX247" s="31">
        <v>46143.258568159719</v>
      </c>
      <c r="DZ247" s="5">
        <v>45809</v>
      </c>
      <c r="EA247" s="13" t="s">
        <v>1252</v>
      </c>
      <c r="EB247" s="13" t="s">
        <v>2250</v>
      </c>
      <c r="EC247" s="13" t="s">
        <v>1224</v>
      </c>
      <c r="ED247" s="11">
        <v>0</v>
      </c>
      <c r="EE247" s="11"/>
    </row>
    <row r="248" spans="120:135" x14ac:dyDescent="0.2">
      <c r="DP248" t="s">
        <v>1135</v>
      </c>
      <c r="DQ248" t="s">
        <v>1136</v>
      </c>
      <c r="DR248" t="s">
        <v>1440</v>
      </c>
      <c r="DS248" t="s">
        <v>1429</v>
      </c>
      <c r="DT248" t="s">
        <v>1429</v>
      </c>
      <c r="DU248" t="s">
        <v>1618</v>
      </c>
      <c r="DV248" t="b">
        <v>0</v>
      </c>
      <c r="DW248" t="s">
        <v>1441</v>
      </c>
      <c r="DX248" s="31">
        <v>46143.258568159719</v>
      </c>
      <c r="DZ248" s="5">
        <v>45809</v>
      </c>
      <c r="EA248" s="13" t="s">
        <v>1252</v>
      </c>
      <c r="EB248" s="13" t="s">
        <v>2246</v>
      </c>
      <c r="EC248" s="13" t="s">
        <v>1224</v>
      </c>
      <c r="ED248" s="11">
        <v>0</v>
      </c>
      <c r="EE248" s="11"/>
    </row>
    <row r="249" spans="120:135" x14ac:dyDescent="0.2">
      <c r="DP249" t="s">
        <v>1620</v>
      </c>
      <c r="DQ249" t="s">
        <v>1138</v>
      </c>
      <c r="DR249" t="s">
        <v>1439</v>
      </c>
      <c r="DS249" t="s">
        <v>1428</v>
      </c>
      <c r="DT249" t="s">
        <v>1429</v>
      </c>
      <c r="DU249" t="s">
        <v>1617</v>
      </c>
      <c r="DV249" t="b">
        <v>1</v>
      </c>
      <c r="DW249" t="s">
        <v>1434</v>
      </c>
      <c r="DX249" s="31">
        <v>46143.258568159719</v>
      </c>
      <c r="DZ249" s="5">
        <v>45809</v>
      </c>
      <c r="EA249" s="13" t="s">
        <v>1252</v>
      </c>
      <c r="EB249" s="13" t="s">
        <v>2245</v>
      </c>
      <c r="EC249" s="13" t="s">
        <v>1224</v>
      </c>
      <c r="ED249" s="11">
        <v>0</v>
      </c>
      <c r="EE249" s="11"/>
    </row>
    <row r="250" spans="120:135" x14ac:dyDescent="0.2">
      <c r="DP250" t="s">
        <v>1137</v>
      </c>
      <c r="DQ250" t="s">
        <v>1138</v>
      </c>
      <c r="DR250" t="s">
        <v>1440</v>
      </c>
      <c r="DS250" t="s">
        <v>1429</v>
      </c>
      <c r="DT250" t="s">
        <v>1429</v>
      </c>
      <c r="DU250" t="s">
        <v>1620</v>
      </c>
      <c r="DV250" t="b">
        <v>0</v>
      </c>
      <c r="DW250" t="s">
        <v>1441</v>
      </c>
      <c r="DX250" s="31">
        <v>46143.258568159719</v>
      </c>
      <c r="DZ250" s="5">
        <v>45809</v>
      </c>
      <c r="EA250" s="13" t="s">
        <v>1252</v>
      </c>
      <c r="EB250" s="13" t="s">
        <v>2291</v>
      </c>
      <c r="EC250" s="13" t="s">
        <v>1224</v>
      </c>
      <c r="ED250" s="11">
        <v>54621.85</v>
      </c>
      <c r="EE250" s="11"/>
    </row>
    <row r="251" spans="120:135" x14ac:dyDescent="0.2">
      <c r="DP251" t="s">
        <v>2172</v>
      </c>
      <c r="DQ251" t="s">
        <v>2173</v>
      </c>
      <c r="DR251" t="s">
        <v>1437</v>
      </c>
      <c r="DS251" t="s">
        <v>1428</v>
      </c>
      <c r="DT251" t="s">
        <v>1429</v>
      </c>
      <c r="DU251" t="s">
        <v>1602</v>
      </c>
      <c r="DV251" t="b">
        <v>1</v>
      </c>
      <c r="DW251" t="s">
        <v>1434</v>
      </c>
      <c r="DX251" s="31">
        <v>46143.258568159719</v>
      </c>
      <c r="DZ251" s="5">
        <v>45809</v>
      </c>
      <c r="EA251" s="13" t="s">
        <v>1252</v>
      </c>
      <c r="EB251" s="13" t="s">
        <v>2241</v>
      </c>
      <c r="EC251" s="13" t="s">
        <v>1224</v>
      </c>
      <c r="ED251" s="11">
        <v>0</v>
      </c>
      <c r="EE251" s="11"/>
    </row>
    <row r="252" spans="120:135" x14ac:dyDescent="0.2">
      <c r="DP252" t="s">
        <v>2174</v>
      </c>
      <c r="DQ252" t="s">
        <v>2175</v>
      </c>
      <c r="DR252" t="s">
        <v>1439</v>
      </c>
      <c r="DS252" t="s">
        <v>1428</v>
      </c>
      <c r="DT252" t="s">
        <v>1429</v>
      </c>
      <c r="DU252" t="s">
        <v>2172</v>
      </c>
      <c r="DV252" t="b">
        <v>1</v>
      </c>
      <c r="DW252" t="s">
        <v>1434</v>
      </c>
      <c r="DX252" s="31">
        <v>46143.258568159719</v>
      </c>
      <c r="DZ252" s="5">
        <v>45809</v>
      </c>
      <c r="EA252" s="13" t="s">
        <v>1252</v>
      </c>
      <c r="EB252" s="13" t="s">
        <v>2242</v>
      </c>
      <c r="EC252" s="13" t="s">
        <v>1224</v>
      </c>
      <c r="ED252" s="11">
        <v>0</v>
      </c>
      <c r="EE252" s="11"/>
    </row>
    <row r="253" spans="120:135" x14ac:dyDescent="0.2">
      <c r="DP253" t="s">
        <v>1139</v>
      </c>
      <c r="DQ253" t="s">
        <v>1140</v>
      </c>
      <c r="DR253" t="s">
        <v>1440</v>
      </c>
      <c r="DS253" t="s">
        <v>1429</v>
      </c>
      <c r="DT253" t="s">
        <v>1429</v>
      </c>
      <c r="DU253" t="s">
        <v>2174</v>
      </c>
      <c r="DV253" t="b">
        <v>0</v>
      </c>
      <c r="DW253" t="s">
        <v>1441</v>
      </c>
      <c r="DX253" s="31">
        <v>46143.258568159719</v>
      </c>
      <c r="DZ253" s="5">
        <v>45809</v>
      </c>
      <c r="EA253" s="13" t="s">
        <v>1252</v>
      </c>
      <c r="EB253" s="13" t="s">
        <v>2292</v>
      </c>
      <c r="EC253" s="13" t="s">
        <v>1224</v>
      </c>
      <c r="ED253" s="11">
        <v>4201.68</v>
      </c>
      <c r="EE253" s="11"/>
    </row>
    <row r="254" spans="120:135" x14ac:dyDescent="0.2">
      <c r="DP254" t="s">
        <v>1621</v>
      </c>
      <c r="DQ254" t="s">
        <v>1504</v>
      </c>
      <c r="DR254" t="s">
        <v>1437</v>
      </c>
      <c r="DS254" t="s">
        <v>1428</v>
      </c>
      <c r="DT254" t="s">
        <v>1429</v>
      </c>
      <c r="DU254" t="s">
        <v>1602</v>
      </c>
      <c r="DV254" t="b">
        <v>1</v>
      </c>
      <c r="DW254" t="s">
        <v>1434</v>
      </c>
      <c r="DX254" s="31">
        <v>46143.258568159719</v>
      </c>
      <c r="DZ254" s="5">
        <v>45809</v>
      </c>
      <c r="EA254" s="13" t="s">
        <v>1252</v>
      </c>
      <c r="EB254" s="13" t="s">
        <v>2237</v>
      </c>
      <c r="EC254" s="13" t="s">
        <v>1224</v>
      </c>
      <c r="ED254" s="11">
        <v>0</v>
      </c>
      <c r="EE254" s="11"/>
    </row>
    <row r="255" spans="120:135" x14ac:dyDescent="0.2">
      <c r="DP255" t="s">
        <v>1622</v>
      </c>
      <c r="DQ255" t="s">
        <v>1142</v>
      </c>
      <c r="DR255" t="s">
        <v>1439</v>
      </c>
      <c r="DS255" t="s">
        <v>1428</v>
      </c>
      <c r="DT255" t="s">
        <v>1429</v>
      </c>
      <c r="DU255" t="s">
        <v>1621</v>
      </c>
      <c r="DV255" t="b">
        <v>1</v>
      </c>
      <c r="DW255" t="s">
        <v>1434</v>
      </c>
      <c r="DX255" s="31">
        <v>46143.258568159719</v>
      </c>
      <c r="DZ255" s="5">
        <v>45809</v>
      </c>
      <c r="EA255" s="13" t="s">
        <v>1252</v>
      </c>
      <c r="EB255" s="13" t="s">
        <v>2240</v>
      </c>
      <c r="EC255" s="13" t="s">
        <v>1224</v>
      </c>
      <c r="ED255" s="11">
        <v>0</v>
      </c>
      <c r="EE255" s="11"/>
    </row>
    <row r="256" spans="120:135" x14ac:dyDescent="0.2">
      <c r="DP256" t="s">
        <v>1141</v>
      </c>
      <c r="DQ256" t="s">
        <v>1142</v>
      </c>
      <c r="DR256" t="s">
        <v>1440</v>
      </c>
      <c r="DS256" t="s">
        <v>1429</v>
      </c>
      <c r="DT256" t="s">
        <v>1429</v>
      </c>
      <c r="DU256" t="s">
        <v>1622</v>
      </c>
      <c r="DV256" t="b">
        <v>0</v>
      </c>
      <c r="DW256" t="s">
        <v>1441</v>
      </c>
      <c r="DX256" s="31">
        <v>46143.258568159719</v>
      </c>
      <c r="DZ256" s="5">
        <v>45809</v>
      </c>
      <c r="EA256" s="13" t="s">
        <v>1252</v>
      </c>
      <c r="EB256" s="13" t="s">
        <v>2233</v>
      </c>
      <c r="EC256" s="13" t="s">
        <v>1224</v>
      </c>
      <c r="ED256" s="11">
        <v>0</v>
      </c>
      <c r="EE256" s="11"/>
    </row>
    <row r="257" spans="120:135" x14ac:dyDescent="0.2">
      <c r="DP257" t="s">
        <v>1623</v>
      </c>
      <c r="DQ257" t="s">
        <v>1100</v>
      </c>
      <c r="DR257" t="s">
        <v>1437</v>
      </c>
      <c r="DS257" t="s">
        <v>1428</v>
      </c>
      <c r="DT257" t="s">
        <v>1429</v>
      </c>
      <c r="DU257" t="s">
        <v>1602</v>
      </c>
      <c r="DV257" t="b">
        <v>1</v>
      </c>
      <c r="DW257" t="s">
        <v>1434</v>
      </c>
      <c r="DX257" s="31">
        <v>46143.258568159719</v>
      </c>
      <c r="DZ257" s="5">
        <v>45809</v>
      </c>
      <c r="EA257" s="13" t="s">
        <v>1252</v>
      </c>
      <c r="EB257" s="13" t="s">
        <v>2244</v>
      </c>
      <c r="EC257" s="13" t="s">
        <v>1224</v>
      </c>
      <c r="ED257" s="11">
        <v>0</v>
      </c>
      <c r="EE257" s="11"/>
    </row>
    <row r="258" spans="120:135" x14ac:dyDescent="0.2">
      <c r="DP258" t="s">
        <v>1624</v>
      </c>
      <c r="DQ258" t="s">
        <v>1625</v>
      </c>
      <c r="DR258" t="s">
        <v>1439</v>
      </c>
      <c r="DS258" t="s">
        <v>1428</v>
      </c>
      <c r="DT258" t="s">
        <v>1429</v>
      </c>
      <c r="DU258" t="s">
        <v>1623</v>
      </c>
      <c r="DV258" t="b">
        <v>1</v>
      </c>
      <c r="DW258" t="s">
        <v>1434</v>
      </c>
      <c r="DX258" s="31">
        <v>46143.258568159719</v>
      </c>
      <c r="DZ258" s="5">
        <v>45809</v>
      </c>
      <c r="EA258" s="13" t="s">
        <v>1252</v>
      </c>
      <c r="EB258" s="13" t="s">
        <v>2238</v>
      </c>
      <c r="EC258" s="13" t="s">
        <v>1224</v>
      </c>
      <c r="ED258" s="11">
        <v>0</v>
      </c>
      <c r="EE258" s="11"/>
    </row>
    <row r="259" spans="120:135" x14ac:dyDescent="0.2">
      <c r="DP259" t="s">
        <v>1143</v>
      </c>
      <c r="DQ259" t="s">
        <v>1144</v>
      </c>
      <c r="DR259" t="s">
        <v>1440</v>
      </c>
      <c r="DS259" t="s">
        <v>1429</v>
      </c>
      <c r="DT259" t="s">
        <v>1429</v>
      </c>
      <c r="DU259" t="s">
        <v>1624</v>
      </c>
      <c r="DV259" t="b">
        <v>0</v>
      </c>
      <c r="DW259" t="s">
        <v>1441</v>
      </c>
      <c r="DX259" s="31">
        <v>46143.258568159719</v>
      </c>
      <c r="DZ259" s="5">
        <v>45809</v>
      </c>
      <c r="EA259" s="13" t="s">
        <v>1252</v>
      </c>
      <c r="EB259" s="13" t="s">
        <v>2216</v>
      </c>
      <c r="EC259" s="13" t="s">
        <v>1224</v>
      </c>
      <c r="ED259" s="11">
        <v>0</v>
      </c>
      <c r="EE259" s="11"/>
    </row>
    <row r="260" spans="120:135" x14ac:dyDescent="0.2">
      <c r="DP260" t="s">
        <v>1626</v>
      </c>
      <c r="DQ260" t="s">
        <v>1146</v>
      </c>
      <c r="DR260" t="s">
        <v>1439</v>
      </c>
      <c r="DS260" t="s">
        <v>1428</v>
      </c>
      <c r="DT260" t="s">
        <v>1429</v>
      </c>
      <c r="DU260" t="s">
        <v>1623</v>
      </c>
      <c r="DV260" t="b">
        <v>1</v>
      </c>
      <c r="DW260" t="s">
        <v>1434</v>
      </c>
      <c r="DX260" s="31">
        <v>46143.258568159719</v>
      </c>
      <c r="DZ260" s="5">
        <v>45809</v>
      </c>
      <c r="EA260" s="13" t="s">
        <v>1252</v>
      </c>
      <c r="EB260" s="13" t="s">
        <v>2230</v>
      </c>
      <c r="EC260" s="13" t="s">
        <v>1224</v>
      </c>
      <c r="ED260" s="11">
        <v>0</v>
      </c>
      <c r="EE260" s="11"/>
    </row>
    <row r="261" spans="120:135" x14ac:dyDescent="0.2">
      <c r="DP261" t="s">
        <v>1145</v>
      </c>
      <c r="DQ261" t="s">
        <v>1146</v>
      </c>
      <c r="DR261" t="s">
        <v>1440</v>
      </c>
      <c r="DS261" t="s">
        <v>1429</v>
      </c>
      <c r="DT261" t="s">
        <v>1429</v>
      </c>
      <c r="DU261" t="s">
        <v>1626</v>
      </c>
      <c r="DV261" t="b">
        <v>0</v>
      </c>
      <c r="DW261" t="s">
        <v>1441</v>
      </c>
      <c r="DX261" s="31">
        <v>46143.258568159719</v>
      </c>
      <c r="DZ261" s="5">
        <v>45809</v>
      </c>
      <c r="EA261" s="13" t="s">
        <v>1252</v>
      </c>
      <c r="EB261" s="13" t="s">
        <v>2215</v>
      </c>
      <c r="EC261" s="13" t="s">
        <v>1224</v>
      </c>
      <c r="ED261" s="11">
        <v>0</v>
      </c>
      <c r="EE261" s="11"/>
    </row>
    <row r="262" spans="120:135" x14ac:dyDescent="0.2">
      <c r="DP262" t="s">
        <v>1627</v>
      </c>
      <c r="DQ262" t="s">
        <v>1628</v>
      </c>
      <c r="DR262" t="s">
        <v>1439</v>
      </c>
      <c r="DS262" t="s">
        <v>1428</v>
      </c>
      <c r="DT262" t="s">
        <v>1429</v>
      </c>
      <c r="DU262" t="s">
        <v>1623</v>
      </c>
      <c r="DV262" t="b">
        <v>1</v>
      </c>
      <c r="DW262" t="s">
        <v>1434</v>
      </c>
      <c r="DX262" s="31">
        <v>46143.258568159719</v>
      </c>
      <c r="DZ262" s="5">
        <v>45809</v>
      </c>
      <c r="EA262" s="13" t="s">
        <v>1252</v>
      </c>
      <c r="EB262" s="13" t="s">
        <v>2221</v>
      </c>
      <c r="EC262" s="13" t="s">
        <v>1224</v>
      </c>
      <c r="ED262" s="11">
        <v>0</v>
      </c>
      <c r="EE262" s="11"/>
    </row>
    <row r="263" spans="120:135" x14ac:dyDescent="0.2">
      <c r="DP263" t="s">
        <v>1147</v>
      </c>
      <c r="DQ263" t="s">
        <v>1148</v>
      </c>
      <c r="DR263" t="s">
        <v>1440</v>
      </c>
      <c r="DS263" t="s">
        <v>1429</v>
      </c>
      <c r="DT263" t="s">
        <v>1429</v>
      </c>
      <c r="DU263" t="s">
        <v>1627</v>
      </c>
      <c r="DV263" t="b">
        <v>0</v>
      </c>
      <c r="DW263" t="s">
        <v>1441</v>
      </c>
      <c r="DX263" s="31">
        <v>46143.258568159719</v>
      </c>
      <c r="DZ263" s="5">
        <v>45809</v>
      </c>
      <c r="EA263" s="13" t="s">
        <v>1252</v>
      </c>
      <c r="EB263" s="13" t="s">
        <v>2220</v>
      </c>
      <c r="EC263" s="13" t="s">
        <v>1224</v>
      </c>
      <c r="ED263" s="11">
        <v>0</v>
      </c>
      <c r="EE263" s="11"/>
    </row>
    <row r="264" spans="120:135" x14ac:dyDescent="0.2">
      <c r="DP264" t="s">
        <v>1629</v>
      </c>
      <c r="DQ264" t="s">
        <v>1630</v>
      </c>
      <c r="DR264" t="s">
        <v>1439</v>
      </c>
      <c r="DS264" t="s">
        <v>1428</v>
      </c>
      <c r="DT264" t="s">
        <v>1429</v>
      </c>
      <c r="DU264" t="s">
        <v>1623</v>
      </c>
      <c r="DV264" t="b">
        <v>1</v>
      </c>
      <c r="DW264" t="s">
        <v>1434</v>
      </c>
      <c r="DX264" s="31">
        <v>46143.258568159719</v>
      </c>
      <c r="DZ264" s="5">
        <v>45809</v>
      </c>
      <c r="EA264" s="13" t="s">
        <v>1252</v>
      </c>
      <c r="EB264" s="13" t="s">
        <v>2234</v>
      </c>
      <c r="EC264" s="13" t="s">
        <v>1224</v>
      </c>
      <c r="ED264" s="11">
        <v>0</v>
      </c>
      <c r="EE264" s="11"/>
    </row>
    <row r="265" spans="120:135" x14ac:dyDescent="0.2">
      <c r="DP265" t="s">
        <v>1149</v>
      </c>
      <c r="DQ265" t="s">
        <v>1150</v>
      </c>
      <c r="DR265" t="s">
        <v>1440</v>
      </c>
      <c r="DS265" t="s">
        <v>1429</v>
      </c>
      <c r="DT265" t="s">
        <v>1429</v>
      </c>
      <c r="DU265" t="s">
        <v>1629</v>
      </c>
      <c r="DV265" t="b">
        <v>0</v>
      </c>
      <c r="DW265" t="s">
        <v>1441</v>
      </c>
      <c r="DX265" s="31">
        <v>46143.258568159719</v>
      </c>
      <c r="DZ265" s="5">
        <v>45809</v>
      </c>
      <c r="EA265" s="13" t="s">
        <v>1252</v>
      </c>
      <c r="EB265" s="13" t="s">
        <v>2219</v>
      </c>
      <c r="EC265" s="13" t="s">
        <v>1224</v>
      </c>
      <c r="ED265" s="11">
        <v>0</v>
      </c>
      <c r="EE265" s="11"/>
    </row>
    <row r="266" spans="120:135" x14ac:dyDescent="0.2">
      <c r="DP266" t="s">
        <v>2176</v>
      </c>
      <c r="DQ266" t="s">
        <v>1152</v>
      </c>
      <c r="DR266" t="s">
        <v>1439</v>
      </c>
      <c r="DS266" t="s">
        <v>1428</v>
      </c>
      <c r="DT266" t="s">
        <v>1429</v>
      </c>
      <c r="DU266" t="s">
        <v>1623</v>
      </c>
      <c r="DV266" t="b">
        <v>1</v>
      </c>
      <c r="DW266" t="s">
        <v>1434</v>
      </c>
      <c r="DX266" s="31">
        <v>46143.258568159719</v>
      </c>
      <c r="DZ266" s="5">
        <v>45809</v>
      </c>
      <c r="EA266" s="13" t="s">
        <v>1252</v>
      </c>
      <c r="EB266" s="13" t="s">
        <v>2271</v>
      </c>
      <c r="EC266" s="13" t="s">
        <v>1224</v>
      </c>
      <c r="ED266" s="11">
        <v>0</v>
      </c>
      <c r="EE266" s="11"/>
    </row>
    <row r="267" spans="120:135" x14ac:dyDescent="0.2">
      <c r="DP267" t="s">
        <v>1151</v>
      </c>
      <c r="DQ267" t="s">
        <v>1152</v>
      </c>
      <c r="DR267" t="s">
        <v>1440</v>
      </c>
      <c r="DS267" t="s">
        <v>1429</v>
      </c>
      <c r="DT267" t="s">
        <v>1429</v>
      </c>
      <c r="DU267" t="s">
        <v>2176</v>
      </c>
      <c r="DV267" t="b">
        <v>0</v>
      </c>
      <c r="DW267" t="s">
        <v>1441</v>
      </c>
      <c r="DX267" s="31">
        <v>46143.258568159719</v>
      </c>
      <c r="DZ267" s="5">
        <v>45809</v>
      </c>
      <c r="EA267" s="13" t="s">
        <v>1252</v>
      </c>
      <c r="EB267" s="13" t="s">
        <v>2254</v>
      </c>
      <c r="EC267" s="13" t="s">
        <v>1224</v>
      </c>
      <c r="ED267" s="11">
        <v>0</v>
      </c>
      <c r="EE267" s="11"/>
    </row>
    <row r="268" spans="120:135" x14ac:dyDescent="0.2">
      <c r="DP268" t="s">
        <v>1631</v>
      </c>
      <c r="DQ268" t="s">
        <v>1632</v>
      </c>
      <c r="DR268" t="s">
        <v>1437</v>
      </c>
      <c r="DS268" t="s">
        <v>1428</v>
      </c>
      <c r="DT268" t="s">
        <v>1429</v>
      </c>
      <c r="DU268" t="s">
        <v>1602</v>
      </c>
      <c r="DV268" t="b">
        <v>1</v>
      </c>
      <c r="DW268" t="s">
        <v>1434</v>
      </c>
      <c r="DX268" s="31">
        <v>46143.258568159719</v>
      </c>
      <c r="DZ268" s="5">
        <v>45809</v>
      </c>
      <c r="EA268" s="13" t="s">
        <v>1252</v>
      </c>
      <c r="EB268" s="13" t="s">
        <v>2270</v>
      </c>
      <c r="EC268" s="13" t="s">
        <v>1224</v>
      </c>
      <c r="ED268" s="11">
        <v>0</v>
      </c>
      <c r="EE268" s="11"/>
    </row>
    <row r="269" spans="120:135" x14ac:dyDescent="0.2">
      <c r="DP269" t="s">
        <v>2177</v>
      </c>
      <c r="DQ269" t="s">
        <v>1154</v>
      </c>
      <c r="DR269" t="s">
        <v>1439</v>
      </c>
      <c r="DS269" t="s">
        <v>1428</v>
      </c>
      <c r="DT269" t="s">
        <v>1429</v>
      </c>
      <c r="DU269" t="s">
        <v>1631</v>
      </c>
      <c r="DV269" t="b">
        <v>1</v>
      </c>
      <c r="DW269" t="s">
        <v>1434</v>
      </c>
      <c r="DX269" s="31">
        <v>46143.258568159719</v>
      </c>
      <c r="DZ269" s="5">
        <v>45809</v>
      </c>
      <c r="EA269" s="13" t="s">
        <v>1252</v>
      </c>
      <c r="EB269" s="13" t="s">
        <v>2249</v>
      </c>
      <c r="EC269" s="13" t="s">
        <v>1224</v>
      </c>
      <c r="ED269" s="11">
        <v>0</v>
      </c>
      <c r="EE269" s="11"/>
    </row>
    <row r="270" spans="120:135" x14ac:dyDescent="0.2">
      <c r="DP270" t="s">
        <v>1153</v>
      </c>
      <c r="DQ270" t="s">
        <v>1154</v>
      </c>
      <c r="DR270" t="s">
        <v>1440</v>
      </c>
      <c r="DS270" t="s">
        <v>1429</v>
      </c>
      <c r="DT270" t="s">
        <v>1429</v>
      </c>
      <c r="DU270" t="s">
        <v>2177</v>
      </c>
      <c r="DV270" t="b">
        <v>0</v>
      </c>
      <c r="DW270" t="s">
        <v>1441</v>
      </c>
      <c r="DX270" s="31">
        <v>46143.258568159719</v>
      </c>
      <c r="DZ270" s="5">
        <v>45809</v>
      </c>
      <c r="EA270" s="13" t="s">
        <v>1252</v>
      </c>
      <c r="EB270" s="13" t="s">
        <v>2267</v>
      </c>
      <c r="EC270" s="13" t="s">
        <v>1224</v>
      </c>
      <c r="ED270" s="11">
        <v>0</v>
      </c>
      <c r="EE270" s="11"/>
    </row>
    <row r="271" spans="120:135" x14ac:dyDescent="0.2">
      <c r="DP271" t="s">
        <v>1633</v>
      </c>
      <c r="DQ271" t="s">
        <v>1156</v>
      </c>
      <c r="DR271" t="s">
        <v>1439</v>
      </c>
      <c r="DS271" t="s">
        <v>1428</v>
      </c>
      <c r="DT271" t="s">
        <v>1429</v>
      </c>
      <c r="DU271" t="s">
        <v>1631</v>
      </c>
      <c r="DV271" t="b">
        <v>1</v>
      </c>
      <c r="DW271" t="s">
        <v>1434</v>
      </c>
      <c r="DX271" s="31">
        <v>46143.258568159719</v>
      </c>
      <c r="DZ271" s="5">
        <v>45809</v>
      </c>
      <c r="EA271" s="13" t="s">
        <v>1252</v>
      </c>
      <c r="EB271" s="13" t="s">
        <v>2258</v>
      </c>
      <c r="EC271" s="13" t="s">
        <v>1224</v>
      </c>
      <c r="ED271" s="11">
        <v>0</v>
      </c>
      <c r="EE271" s="11"/>
    </row>
    <row r="272" spans="120:135" x14ac:dyDescent="0.2">
      <c r="DP272" t="s">
        <v>1155</v>
      </c>
      <c r="DQ272" t="s">
        <v>1156</v>
      </c>
      <c r="DR272" t="s">
        <v>1440</v>
      </c>
      <c r="DS272" t="s">
        <v>1429</v>
      </c>
      <c r="DT272" t="s">
        <v>1429</v>
      </c>
      <c r="DU272" t="s">
        <v>1633</v>
      </c>
      <c r="DV272" t="b">
        <v>0</v>
      </c>
      <c r="DW272" t="s">
        <v>1441</v>
      </c>
      <c r="DX272" s="31">
        <v>46143.258568159719</v>
      </c>
      <c r="DZ272" s="5">
        <v>45809</v>
      </c>
      <c r="EA272" s="13" t="s">
        <v>1252</v>
      </c>
      <c r="EB272" s="13" t="s">
        <v>2228</v>
      </c>
      <c r="EC272" s="13" t="s">
        <v>1224</v>
      </c>
      <c r="ED272" s="11">
        <v>0</v>
      </c>
      <c r="EE272" s="11"/>
    </row>
    <row r="273" spans="120:135" x14ac:dyDescent="0.2">
      <c r="DP273" t="s">
        <v>2178</v>
      </c>
      <c r="DQ273" t="s">
        <v>1158</v>
      </c>
      <c r="DR273" t="s">
        <v>1439</v>
      </c>
      <c r="DS273" t="s">
        <v>1428</v>
      </c>
      <c r="DT273" t="s">
        <v>1429</v>
      </c>
      <c r="DU273" t="s">
        <v>1631</v>
      </c>
      <c r="DV273" t="b">
        <v>1</v>
      </c>
      <c r="DW273" t="s">
        <v>1434</v>
      </c>
      <c r="DX273" s="31">
        <v>46143.258568159719</v>
      </c>
      <c r="DZ273" s="5">
        <v>45809</v>
      </c>
      <c r="EA273" s="13" t="s">
        <v>1252</v>
      </c>
      <c r="EB273" s="13" t="s">
        <v>2226</v>
      </c>
      <c r="EC273" s="13" t="s">
        <v>1224</v>
      </c>
      <c r="ED273" s="11">
        <v>0</v>
      </c>
      <c r="EE273" s="11"/>
    </row>
    <row r="274" spans="120:135" x14ac:dyDescent="0.2">
      <c r="DP274" t="s">
        <v>1157</v>
      </c>
      <c r="DQ274" t="s">
        <v>1158</v>
      </c>
      <c r="DR274" t="s">
        <v>1440</v>
      </c>
      <c r="DS274" t="s">
        <v>1429</v>
      </c>
      <c r="DT274" t="s">
        <v>1429</v>
      </c>
      <c r="DU274" t="s">
        <v>2178</v>
      </c>
      <c r="DV274" t="b">
        <v>0</v>
      </c>
      <c r="DW274" t="s">
        <v>1441</v>
      </c>
      <c r="DX274" s="31">
        <v>46143.258568159719</v>
      </c>
      <c r="DZ274" s="5">
        <v>45809</v>
      </c>
      <c r="EA274" s="13" t="s">
        <v>1252</v>
      </c>
      <c r="EB274" s="13" t="s">
        <v>2225</v>
      </c>
      <c r="EC274" s="13" t="s">
        <v>1224</v>
      </c>
      <c r="ED274" s="11">
        <v>0</v>
      </c>
      <c r="EE274" s="11"/>
    </row>
    <row r="275" spans="120:135" x14ac:dyDescent="0.2">
      <c r="DP275" t="s">
        <v>1634</v>
      </c>
      <c r="DQ275" t="s">
        <v>1635</v>
      </c>
      <c r="DR275" t="s">
        <v>1437</v>
      </c>
      <c r="DS275" t="s">
        <v>1428</v>
      </c>
      <c r="DT275" t="s">
        <v>1429</v>
      </c>
      <c r="DU275" t="s">
        <v>1602</v>
      </c>
      <c r="DV275" t="b">
        <v>1</v>
      </c>
      <c r="DW275" t="s">
        <v>1434</v>
      </c>
      <c r="DX275" s="31">
        <v>46143.258568159719</v>
      </c>
      <c r="DZ275" s="5">
        <v>45809</v>
      </c>
      <c r="EA275" s="13" t="s">
        <v>1252</v>
      </c>
      <c r="EB275" s="13" t="s">
        <v>2224</v>
      </c>
      <c r="EC275" s="13" t="s">
        <v>1224</v>
      </c>
      <c r="ED275" s="11">
        <v>0</v>
      </c>
      <c r="EE275" s="11"/>
    </row>
    <row r="276" spans="120:135" x14ac:dyDescent="0.2">
      <c r="DP276" t="s">
        <v>1636</v>
      </c>
      <c r="DQ276" t="s">
        <v>1637</v>
      </c>
      <c r="DR276" t="s">
        <v>1439</v>
      </c>
      <c r="DS276" t="s">
        <v>1428</v>
      </c>
      <c r="DT276" t="s">
        <v>1429</v>
      </c>
      <c r="DU276" t="s">
        <v>1634</v>
      </c>
      <c r="DV276" t="b">
        <v>1</v>
      </c>
      <c r="DW276" t="s">
        <v>1434</v>
      </c>
      <c r="DX276" s="31">
        <v>46143.258568159719</v>
      </c>
      <c r="DZ276" s="5">
        <v>45809</v>
      </c>
      <c r="EA276" s="13" t="s">
        <v>1252</v>
      </c>
      <c r="EB276" s="13" t="s">
        <v>2232</v>
      </c>
      <c r="EC276" s="13" t="s">
        <v>1224</v>
      </c>
      <c r="ED276" s="11">
        <v>0</v>
      </c>
      <c r="EE276" s="11"/>
    </row>
    <row r="277" spans="120:135" x14ac:dyDescent="0.2">
      <c r="DP277" t="s">
        <v>1159</v>
      </c>
      <c r="DQ277" t="s">
        <v>1160</v>
      </c>
      <c r="DR277" t="s">
        <v>1440</v>
      </c>
      <c r="DS277" t="s">
        <v>1429</v>
      </c>
      <c r="DT277" t="s">
        <v>1429</v>
      </c>
      <c r="DU277" t="s">
        <v>1636</v>
      </c>
      <c r="DV277" t="b">
        <v>0</v>
      </c>
      <c r="DW277" t="s">
        <v>1441</v>
      </c>
      <c r="DX277" s="31">
        <v>46143.258568159719</v>
      </c>
      <c r="DZ277" s="5">
        <v>45809</v>
      </c>
      <c r="EA277" s="13" t="s">
        <v>1252</v>
      </c>
      <c r="EB277" s="13" t="s">
        <v>2274</v>
      </c>
      <c r="EC277" s="13" t="s">
        <v>1224</v>
      </c>
      <c r="ED277" s="11">
        <v>0</v>
      </c>
      <c r="EE277" s="11"/>
    </row>
    <row r="278" spans="120:135" x14ac:dyDescent="0.2">
      <c r="DP278" t="s">
        <v>1161</v>
      </c>
      <c r="DQ278" t="s">
        <v>1162</v>
      </c>
      <c r="DR278" t="s">
        <v>1440</v>
      </c>
      <c r="DS278" t="s">
        <v>1429</v>
      </c>
      <c r="DT278" t="s">
        <v>1429</v>
      </c>
      <c r="DU278" t="s">
        <v>1636</v>
      </c>
      <c r="DV278" t="b">
        <v>0</v>
      </c>
      <c r="DW278" t="s">
        <v>1441</v>
      </c>
      <c r="DX278" s="31">
        <v>46143.258568159719</v>
      </c>
      <c r="DZ278" s="5">
        <v>45809</v>
      </c>
      <c r="EA278" s="13" t="s">
        <v>1252</v>
      </c>
      <c r="EB278" s="13" t="s">
        <v>2264</v>
      </c>
      <c r="EC278" s="13" t="s">
        <v>1224</v>
      </c>
      <c r="ED278" s="11">
        <v>0</v>
      </c>
      <c r="EE278" s="11"/>
    </row>
    <row r="279" spans="120:135" x14ac:dyDescent="0.2">
      <c r="DP279" t="s">
        <v>2179</v>
      </c>
      <c r="DQ279" t="s">
        <v>2180</v>
      </c>
      <c r="DR279" t="s">
        <v>1437</v>
      </c>
      <c r="DS279" t="s">
        <v>1428</v>
      </c>
      <c r="DT279" t="s">
        <v>1429</v>
      </c>
      <c r="DU279" t="s">
        <v>1602</v>
      </c>
      <c r="DV279" t="b">
        <v>1</v>
      </c>
      <c r="DW279" t="s">
        <v>1434</v>
      </c>
      <c r="DX279" s="31">
        <v>46143.258568159719</v>
      </c>
      <c r="DZ279" s="5">
        <v>45809</v>
      </c>
      <c r="EA279" s="13" t="s">
        <v>1252</v>
      </c>
      <c r="EB279" s="13" t="s">
        <v>2229</v>
      </c>
      <c r="EC279" s="13" t="s">
        <v>1224</v>
      </c>
      <c r="ED279" s="11">
        <v>0</v>
      </c>
      <c r="EE279" s="11"/>
    </row>
    <row r="280" spans="120:135" x14ac:dyDescent="0.2">
      <c r="DP280" t="s">
        <v>2181</v>
      </c>
      <c r="DQ280" t="s">
        <v>2182</v>
      </c>
      <c r="DR280" t="s">
        <v>1439</v>
      </c>
      <c r="DS280" t="s">
        <v>1428</v>
      </c>
      <c r="DT280" t="s">
        <v>1429</v>
      </c>
      <c r="DU280" t="s">
        <v>2179</v>
      </c>
      <c r="DV280" t="b">
        <v>1</v>
      </c>
      <c r="DW280" t="s">
        <v>1434</v>
      </c>
      <c r="DX280" s="31">
        <v>46143.258568159719</v>
      </c>
      <c r="DZ280" s="5">
        <v>45809</v>
      </c>
      <c r="EA280" s="13" t="s">
        <v>1250</v>
      </c>
      <c r="EB280" s="13" t="s">
        <v>2276</v>
      </c>
      <c r="EC280" s="13" t="s">
        <v>1168</v>
      </c>
      <c r="ED280" s="11">
        <v>0</v>
      </c>
      <c r="EE280" s="11"/>
    </row>
    <row r="281" spans="120:135" x14ac:dyDescent="0.2">
      <c r="DP281" t="s">
        <v>1163</v>
      </c>
      <c r="DQ281" t="s">
        <v>1164</v>
      </c>
      <c r="DR281" t="s">
        <v>1440</v>
      </c>
      <c r="DS281" t="s">
        <v>1429</v>
      </c>
      <c r="DT281" t="s">
        <v>1429</v>
      </c>
      <c r="DU281" t="s">
        <v>2181</v>
      </c>
      <c r="DV281" t="b">
        <v>0</v>
      </c>
      <c r="DW281" t="s">
        <v>1441</v>
      </c>
      <c r="DX281" s="31">
        <v>46143.258568159719</v>
      </c>
      <c r="DZ281" s="5">
        <v>45809</v>
      </c>
      <c r="EA281" s="13" t="s">
        <v>1250</v>
      </c>
      <c r="EB281" s="13" t="s">
        <v>1393</v>
      </c>
      <c r="EC281" s="13" t="s">
        <v>1168</v>
      </c>
      <c r="ED281" s="11">
        <v>0</v>
      </c>
      <c r="EE281" s="11"/>
    </row>
    <row r="282" spans="120:135" x14ac:dyDescent="0.2">
      <c r="DP282" t="s">
        <v>1638</v>
      </c>
      <c r="DQ282" t="s">
        <v>1598</v>
      </c>
      <c r="DR282" t="s">
        <v>1437</v>
      </c>
      <c r="DS282" t="s">
        <v>1428</v>
      </c>
      <c r="DT282" t="s">
        <v>1429</v>
      </c>
      <c r="DU282" t="s">
        <v>1602</v>
      </c>
      <c r="DV282" t="b">
        <v>1</v>
      </c>
      <c r="DW282" t="s">
        <v>1434</v>
      </c>
      <c r="DX282" s="31">
        <v>46143.258568159719</v>
      </c>
      <c r="DZ282" s="5">
        <v>45809</v>
      </c>
      <c r="EA282" s="13" t="s">
        <v>1252</v>
      </c>
      <c r="EB282" s="13" t="s">
        <v>1371</v>
      </c>
      <c r="EC282" s="13" t="s">
        <v>1226</v>
      </c>
      <c r="ED282" s="11">
        <v>343997</v>
      </c>
      <c r="EE282" s="11"/>
    </row>
    <row r="283" spans="120:135" x14ac:dyDescent="0.2">
      <c r="DP283" t="s">
        <v>2183</v>
      </c>
      <c r="DQ283" t="s">
        <v>1166</v>
      </c>
      <c r="DR283" t="s">
        <v>1439</v>
      </c>
      <c r="DS283" t="s">
        <v>1428</v>
      </c>
      <c r="DT283" t="s">
        <v>1429</v>
      </c>
      <c r="DU283" t="s">
        <v>1638</v>
      </c>
      <c r="DV283" t="b">
        <v>1</v>
      </c>
      <c r="DW283" t="s">
        <v>1434</v>
      </c>
      <c r="DX283" s="31">
        <v>46143.258568159719</v>
      </c>
      <c r="DZ283" s="5">
        <v>45809</v>
      </c>
      <c r="EA283" s="13" t="s">
        <v>1252</v>
      </c>
      <c r="EB283" s="13" t="s">
        <v>1371</v>
      </c>
      <c r="EC283" s="13" t="s">
        <v>1219</v>
      </c>
      <c r="ED283" s="11">
        <v>90190</v>
      </c>
      <c r="EE283" s="11"/>
    </row>
    <row r="284" spans="120:135" x14ac:dyDescent="0.2">
      <c r="DP284" t="s">
        <v>1165</v>
      </c>
      <c r="DQ284" t="s">
        <v>1166</v>
      </c>
      <c r="DR284" t="s">
        <v>1440</v>
      </c>
      <c r="DS284" t="s">
        <v>1429</v>
      </c>
      <c r="DT284" t="s">
        <v>1429</v>
      </c>
      <c r="DU284" t="s">
        <v>2183</v>
      </c>
      <c r="DV284" t="b">
        <v>0</v>
      </c>
      <c r="DW284" t="s">
        <v>1441</v>
      </c>
      <c r="DX284" s="31">
        <v>46143.258568159719</v>
      </c>
      <c r="DZ284" s="5">
        <v>45809</v>
      </c>
      <c r="EA284" s="13" t="s">
        <v>1250</v>
      </c>
      <c r="EB284" s="13" t="s">
        <v>1366</v>
      </c>
      <c r="EC284" s="13" t="s">
        <v>1136</v>
      </c>
      <c r="ED284" s="11">
        <v>1000000</v>
      </c>
      <c r="EE284" s="11"/>
    </row>
    <row r="285" spans="120:135" x14ac:dyDescent="0.2">
      <c r="DP285" t="s">
        <v>1639</v>
      </c>
      <c r="DQ285" t="s">
        <v>1168</v>
      </c>
      <c r="DR285" t="s">
        <v>1439</v>
      </c>
      <c r="DS285" t="s">
        <v>1428</v>
      </c>
      <c r="DT285" t="s">
        <v>1429</v>
      </c>
      <c r="DU285" t="s">
        <v>1638</v>
      </c>
      <c r="DV285" t="b">
        <v>1</v>
      </c>
      <c r="DW285" t="s">
        <v>1434</v>
      </c>
      <c r="DX285" s="31">
        <v>46143.258568159719</v>
      </c>
      <c r="DZ285" s="5">
        <v>45809</v>
      </c>
      <c r="EA285" s="13" t="s">
        <v>1252</v>
      </c>
      <c r="EB285" s="13" t="s">
        <v>1338</v>
      </c>
      <c r="EC285" s="13" t="s">
        <v>1222</v>
      </c>
      <c r="ED285" s="11">
        <v>100</v>
      </c>
      <c r="EE285" s="11"/>
    </row>
    <row r="286" spans="120:135" x14ac:dyDescent="0.2">
      <c r="DP286" t="s">
        <v>1167</v>
      </c>
      <c r="DQ286" t="s">
        <v>1168</v>
      </c>
      <c r="DR286" t="s">
        <v>1440</v>
      </c>
      <c r="DS286" t="s">
        <v>1429</v>
      </c>
      <c r="DT286" t="s">
        <v>1429</v>
      </c>
      <c r="DU286" t="s">
        <v>1639</v>
      </c>
      <c r="DV286" t="b">
        <v>0</v>
      </c>
      <c r="DW286" t="s">
        <v>1441</v>
      </c>
      <c r="DX286" s="31">
        <v>46143.258568159719</v>
      </c>
      <c r="DZ286" s="5">
        <v>45809</v>
      </c>
      <c r="EA286" s="13" t="s">
        <v>1252</v>
      </c>
      <c r="EB286" s="13" t="s">
        <v>1340</v>
      </c>
      <c r="EC286" s="13" t="s">
        <v>1222</v>
      </c>
      <c r="ED286" s="11">
        <v>500</v>
      </c>
      <c r="EE286" s="11"/>
    </row>
    <row r="287" spans="120:135" x14ac:dyDescent="0.2">
      <c r="DP287" t="s">
        <v>1640</v>
      </c>
      <c r="DQ287" t="s">
        <v>1170</v>
      </c>
      <c r="DR287" t="s">
        <v>1439</v>
      </c>
      <c r="DS287" t="s">
        <v>1428</v>
      </c>
      <c r="DT287" t="s">
        <v>1429</v>
      </c>
      <c r="DU287" t="s">
        <v>1638</v>
      </c>
      <c r="DV287" t="b">
        <v>1</v>
      </c>
      <c r="DW287" t="s">
        <v>1434</v>
      </c>
      <c r="DX287" s="31">
        <v>46143.258568159719</v>
      </c>
      <c r="DZ287" s="5">
        <v>45809</v>
      </c>
      <c r="EA287" s="13" t="s">
        <v>1252</v>
      </c>
      <c r="EB287" s="13" t="s">
        <v>1374</v>
      </c>
      <c r="EC287" s="13" t="s">
        <v>1222</v>
      </c>
      <c r="ED287" s="11">
        <v>212000</v>
      </c>
      <c r="EE287" s="11"/>
    </row>
    <row r="288" spans="120:135" x14ac:dyDescent="0.2">
      <c r="DP288" t="s">
        <v>1169</v>
      </c>
      <c r="DQ288" t="s">
        <v>1170</v>
      </c>
      <c r="DR288" t="s">
        <v>1440</v>
      </c>
      <c r="DS288" t="s">
        <v>1429</v>
      </c>
      <c r="DT288" t="s">
        <v>1429</v>
      </c>
      <c r="DU288" t="s">
        <v>1640</v>
      </c>
      <c r="DV288" t="b">
        <v>0</v>
      </c>
      <c r="DW288" t="s">
        <v>1441</v>
      </c>
      <c r="DX288" s="31">
        <v>46143.258568159719</v>
      </c>
      <c r="DZ288" s="5">
        <v>45809</v>
      </c>
      <c r="EA288" s="13" t="s">
        <v>1252</v>
      </c>
      <c r="EB288" s="13" t="s">
        <v>2202</v>
      </c>
      <c r="EC288" s="13" t="s">
        <v>1222</v>
      </c>
      <c r="ED288" s="11">
        <v>0</v>
      </c>
      <c r="EE288" s="11"/>
    </row>
    <row r="289" spans="120:135" x14ac:dyDescent="0.2">
      <c r="DP289" t="s">
        <v>1641</v>
      </c>
      <c r="DQ289" t="s">
        <v>1172</v>
      </c>
      <c r="DR289" t="s">
        <v>1439</v>
      </c>
      <c r="DS289" t="s">
        <v>1428</v>
      </c>
      <c r="DT289" t="s">
        <v>1429</v>
      </c>
      <c r="DU289" t="s">
        <v>1638</v>
      </c>
      <c r="DV289" t="b">
        <v>1</v>
      </c>
      <c r="DW289" t="s">
        <v>1434</v>
      </c>
      <c r="DX289" s="31">
        <v>46143.258568159719</v>
      </c>
      <c r="DZ289" s="5">
        <v>45809</v>
      </c>
      <c r="EA289" s="13" t="s">
        <v>1252</v>
      </c>
      <c r="EB289" s="13" t="s">
        <v>2287</v>
      </c>
      <c r="EC289" s="13" t="s">
        <v>1222</v>
      </c>
      <c r="ED289" s="11">
        <v>500</v>
      </c>
      <c r="EE289" s="11"/>
    </row>
    <row r="290" spans="120:135" x14ac:dyDescent="0.2">
      <c r="DP290" t="s">
        <v>1171</v>
      </c>
      <c r="DQ290" t="s">
        <v>1172</v>
      </c>
      <c r="DR290" t="s">
        <v>1440</v>
      </c>
      <c r="DS290" t="s">
        <v>1429</v>
      </c>
      <c r="DT290" t="s">
        <v>1429</v>
      </c>
      <c r="DU290" t="s">
        <v>1641</v>
      </c>
      <c r="DV290" t="b">
        <v>0</v>
      </c>
      <c r="DW290" t="s">
        <v>1441</v>
      </c>
      <c r="DX290" s="31">
        <v>46143.258568159719</v>
      </c>
      <c r="DZ290" s="5">
        <v>45809</v>
      </c>
      <c r="EA290" s="13" t="s">
        <v>1252</v>
      </c>
      <c r="EB290" s="13" t="s">
        <v>1375</v>
      </c>
      <c r="EC290" s="13" t="s">
        <v>1222</v>
      </c>
      <c r="ED290" s="11">
        <v>200</v>
      </c>
      <c r="EE290" s="11"/>
    </row>
    <row r="291" spans="120:135" x14ac:dyDescent="0.2">
      <c r="DP291" t="s">
        <v>2184</v>
      </c>
      <c r="DQ291" t="s">
        <v>1174</v>
      </c>
      <c r="DR291" t="s">
        <v>1439</v>
      </c>
      <c r="DS291" t="s">
        <v>1428</v>
      </c>
      <c r="DT291" t="s">
        <v>1429</v>
      </c>
      <c r="DU291" t="s">
        <v>1638</v>
      </c>
      <c r="DV291" t="b">
        <v>1</v>
      </c>
      <c r="DW291" t="s">
        <v>1434</v>
      </c>
      <c r="DX291" s="31">
        <v>46143.258568159719</v>
      </c>
      <c r="DZ291" s="5">
        <v>45809</v>
      </c>
      <c r="EA291" s="13" t="s">
        <v>1252</v>
      </c>
      <c r="EB291" s="13" t="s">
        <v>1360</v>
      </c>
      <c r="EC291" s="13" t="s">
        <v>1222</v>
      </c>
      <c r="ED291" s="11">
        <v>2700</v>
      </c>
      <c r="EE291" s="11"/>
    </row>
    <row r="292" spans="120:135" x14ac:dyDescent="0.2">
      <c r="DP292" t="s">
        <v>1173</v>
      </c>
      <c r="DQ292" t="s">
        <v>1174</v>
      </c>
      <c r="DR292" t="s">
        <v>1440</v>
      </c>
      <c r="DS292" t="s">
        <v>1429</v>
      </c>
      <c r="DT292" t="s">
        <v>1429</v>
      </c>
      <c r="DU292" t="s">
        <v>2184</v>
      </c>
      <c r="DV292" t="b">
        <v>0</v>
      </c>
      <c r="DW292" t="s">
        <v>1441</v>
      </c>
      <c r="DX292" s="31">
        <v>46143.258568159719</v>
      </c>
      <c r="DZ292" s="5">
        <v>45809</v>
      </c>
      <c r="EA292" s="13" t="s">
        <v>1251</v>
      </c>
      <c r="EB292" s="13" t="s">
        <v>2206</v>
      </c>
      <c r="EC292" s="13" t="s">
        <v>1056</v>
      </c>
      <c r="ED292" s="11">
        <v>41940</v>
      </c>
      <c r="EE292" s="11"/>
    </row>
    <row r="293" spans="120:135" x14ac:dyDescent="0.2">
      <c r="DP293" t="s">
        <v>2185</v>
      </c>
      <c r="DQ293" t="s">
        <v>984</v>
      </c>
      <c r="DR293" t="s">
        <v>1439</v>
      </c>
      <c r="DS293" t="s">
        <v>1428</v>
      </c>
      <c r="DT293" t="s">
        <v>1429</v>
      </c>
      <c r="DU293" t="s">
        <v>1638</v>
      </c>
      <c r="DV293" t="b">
        <v>1</v>
      </c>
      <c r="DW293" t="s">
        <v>1434</v>
      </c>
      <c r="DX293" s="31">
        <v>46143.258568159719</v>
      </c>
      <c r="DZ293" s="5">
        <v>45809</v>
      </c>
      <c r="EA293" s="13" t="s">
        <v>1250</v>
      </c>
      <c r="EB293" s="13" t="s">
        <v>1358</v>
      </c>
      <c r="EC293" s="13" t="s">
        <v>1056</v>
      </c>
      <c r="ED293" s="11">
        <v>42981</v>
      </c>
      <c r="EE293" s="11"/>
    </row>
    <row r="294" spans="120:135" x14ac:dyDescent="0.2">
      <c r="DP294" t="s">
        <v>1175</v>
      </c>
      <c r="DQ294" t="s">
        <v>1176</v>
      </c>
      <c r="DR294" t="s">
        <v>1440</v>
      </c>
      <c r="DS294" t="s">
        <v>1429</v>
      </c>
      <c r="DT294" t="s">
        <v>1429</v>
      </c>
      <c r="DU294" t="s">
        <v>2185</v>
      </c>
      <c r="DV294" t="b">
        <v>0</v>
      </c>
      <c r="DW294" t="s">
        <v>1441</v>
      </c>
      <c r="DX294" s="31">
        <v>46143.258568159719</v>
      </c>
      <c r="DZ294" s="5">
        <v>45809</v>
      </c>
      <c r="EA294" s="13" t="s">
        <v>1251</v>
      </c>
      <c r="EB294" s="13" t="s">
        <v>2212</v>
      </c>
      <c r="EC294" s="13" t="s">
        <v>1056</v>
      </c>
      <c r="ED294" s="11">
        <v>60043</v>
      </c>
      <c r="EE294" s="11"/>
    </row>
    <row r="295" spans="120:135" x14ac:dyDescent="0.2">
      <c r="DP295" t="s">
        <v>1642</v>
      </c>
      <c r="DQ295" t="s">
        <v>3</v>
      </c>
      <c r="DR295" t="s">
        <v>1433</v>
      </c>
      <c r="DS295" t="s">
        <v>1428</v>
      </c>
      <c r="DT295" t="s">
        <v>1429</v>
      </c>
      <c r="DU295" t="s">
        <v>1600</v>
      </c>
      <c r="DV295" t="b">
        <v>1</v>
      </c>
      <c r="DW295" t="s">
        <v>1434</v>
      </c>
      <c r="DX295" s="31">
        <v>46143.258568159719</v>
      </c>
      <c r="DZ295" s="5">
        <v>45809</v>
      </c>
      <c r="EA295" s="13" t="s">
        <v>1251</v>
      </c>
      <c r="EB295" s="13" t="s">
        <v>1341</v>
      </c>
      <c r="EC295" s="13" t="s">
        <v>1148</v>
      </c>
      <c r="ED295" s="11">
        <v>140916</v>
      </c>
      <c r="EE295" s="11"/>
    </row>
    <row r="296" spans="120:135" x14ac:dyDescent="0.2">
      <c r="DP296" t="s">
        <v>1643</v>
      </c>
      <c r="DQ296" t="s">
        <v>1605</v>
      </c>
      <c r="DR296" t="s">
        <v>1437</v>
      </c>
      <c r="DS296" t="s">
        <v>1428</v>
      </c>
      <c r="DT296" t="s">
        <v>1429</v>
      </c>
      <c r="DU296" t="s">
        <v>1642</v>
      </c>
      <c r="DV296" t="b">
        <v>1</v>
      </c>
      <c r="DW296" t="s">
        <v>1434</v>
      </c>
      <c r="DX296" s="31">
        <v>46143.258568159719</v>
      </c>
      <c r="DZ296" s="5">
        <v>45809</v>
      </c>
      <c r="EA296" s="13" t="s">
        <v>1251</v>
      </c>
      <c r="EB296" s="13" t="s">
        <v>1382</v>
      </c>
      <c r="EC296" s="13" t="s">
        <v>1208</v>
      </c>
      <c r="ED296" s="11">
        <v>518640</v>
      </c>
      <c r="EE296" s="11"/>
    </row>
    <row r="297" spans="120:135" x14ac:dyDescent="0.2">
      <c r="DP297" t="s">
        <v>1644</v>
      </c>
      <c r="DQ297" t="s">
        <v>1108</v>
      </c>
      <c r="DR297" t="s">
        <v>1439</v>
      </c>
      <c r="DS297" t="s">
        <v>1428</v>
      </c>
      <c r="DT297" t="s">
        <v>1429</v>
      </c>
      <c r="DU297" t="s">
        <v>1643</v>
      </c>
      <c r="DV297" t="b">
        <v>1</v>
      </c>
      <c r="DW297" t="s">
        <v>1434</v>
      </c>
      <c r="DX297" s="31">
        <v>46143.258568159719</v>
      </c>
      <c r="DZ297" s="5">
        <v>45809</v>
      </c>
      <c r="EA297" s="13" t="s">
        <v>1251</v>
      </c>
      <c r="EB297" s="13" t="s">
        <v>1346</v>
      </c>
      <c r="EC297" s="13" t="s">
        <v>1208</v>
      </c>
      <c r="ED297" s="11">
        <v>797659</v>
      </c>
      <c r="EE297" s="11"/>
    </row>
    <row r="298" spans="120:135" x14ac:dyDescent="0.2">
      <c r="DP298" t="s">
        <v>1177</v>
      </c>
      <c r="DQ298" t="s">
        <v>1108</v>
      </c>
      <c r="DR298" t="s">
        <v>1440</v>
      </c>
      <c r="DS298" t="s">
        <v>1429</v>
      </c>
      <c r="DT298" t="s">
        <v>1429</v>
      </c>
      <c r="DU298" t="s">
        <v>1644</v>
      </c>
      <c r="DV298" t="b">
        <v>0</v>
      </c>
      <c r="DW298" t="s">
        <v>1441</v>
      </c>
      <c r="DX298" s="31">
        <v>46143.258568159719</v>
      </c>
      <c r="DZ298" s="5">
        <v>45809</v>
      </c>
      <c r="EA298" s="13" t="s">
        <v>1251</v>
      </c>
      <c r="EB298" s="13" t="s">
        <v>2277</v>
      </c>
      <c r="EC298" s="13" t="s">
        <v>1208</v>
      </c>
      <c r="ED298" s="11">
        <v>0</v>
      </c>
      <c r="EE298" s="11"/>
    </row>
    <row r="299" spans="120:135" x14ac:dyDescent="0.2">
      <c r="DP299" t="s">
        <v>1645</v>
      </c>
      <c r="DQ299" t="s">
        <v>1179</v>
      </c>
      <c r="DR299" t="s">
        <v>1439</v>
      </c>
      <c r="DS299" t="s">
        <v>1428</v>
      </c>
      <c r="DT299" t="s">
        <v>1429</v>
      </c>
      <c r="DU299" t="s">
        <v>1643</v>
      </c>
      <c r="DV299" t="b">
        <v>1</v>
      </c>
      <c r="DW299" t="s">
        <v>1434</v>
      </c>
      <c r="DX299" s="31">
        <v>46143.258568159719</v>
      </c>
      <c r="DZ299" s="5">
        <v>45809</v>
      </c>
      <c r="EA299" s="13" t="s">
        <v>1251</v>
      </c>
      <c r="EB299" s="13" t="s">
        <v>1350</v>
      </c>
      <c r="EC299" s="13" t="s">
        <v>1208</v>
      </c>
      <c r="ED299" s="11">
        <v>1907023</v>
      </c>
      <c r="EE299" s="11"/>
    </row>
    <row r="300" spans="120:135" x14ac:dyDescent="0.2">
      <c r="DP300" t="s">
        <v>1178</v>
      </c>
      <c r="DQ300" t="s">
        <v>1179</v>
      </c>
      <c r="DR300" t="s">
        <v>1440</v>
      </c>
      <c r="DS300" t="s">
        <v>1429</v>
      </c>
      <c r="DT300" t="s">
        <v>1429</v>
      </c>
      <c r="DU300" t="s">
        <v>1645</v>
      </c>
      <c r="DV300" t="b">
        <v>0</v>
      </c>
      <c r="DW300" t="s">
        <v>1441</v>
      </c>
      <c r="DX300" s="31">
        <v>46143.258568159719</v>
      </c>
      <c r="DZ300" s="5">
        <v>45809</v>
      </c>
      <c r="EA300" s="13" t="s">
        <v>1251</v>
      </c>
      <c r="EB300" s="13" t="s">
        <v>2280</v>
      </c>
      <c r="EC300" s="13" t="s">
        <v>1215</v>
      </c>
      <c r="ED300" s="11"/>
      <c r="EE300" s="11">
        <v>16300</v>
      </c>
    </row>
    <row r="301" spans="120:135" x14ac:dyDescent="0.2">
      <c r="DP301" t="s">
        <v>1646</v>
      </c>
      <c r="DQ301" t="s">
        <v>1166</v>
      </c>
      <c r="DR301" t="s">
        <v>1439</v>
      </c>
      <c r="DS301" t="s">
        <v>1428</v>
      </c>
      <c r="DT301" t="s">
        <v>1429</v>
      </c>
      <c r="DU301" t="s">
        <v>1643</v>
      </c>
      <c r="DV301" t="b">
        <v>1</v>
      </c>
      <c r="DW301" t="s">
        <v>1434</v>
      </c>
      <c r="DX301" s="31">
        <v>46143.258568159719</v>
      </c>
      <c r="DZ301" s="5">
        <v>45809</v>
      </c>
      <c r="EA301" s="13" t="s">
        <v>1251</v>
      </c>
      <c r="EB301" s="13" t="s">
        <v>2293</v>
      </c>
      <c r="EC301" s="13" t="s">
        <v>1215</v>
      </c>
      <c r="ED301" s="11"/>
      <c r="EE301" s="11">
        <v>1058824</v>
      </c>
    </row>
    <row r="302" spans="120:135" x14ac:dyDescent="0.2">
      <c r="DP302" t="s">
        <v>1180</v>
      </c>
      <c r="DQ302" t="s">
        <v>1166</v>
      </c>
      <c r="DR302" t="s">
        <v>1440</v>
      </c>
      <c r="DS302" t="s">
        <v>1429</v>
      </c>
      <c r="DT302" t="s">
        <v>1429</v>
      </c>
      <c r="DU302" t="s">
        <v>1646</v>
      </c>
      <c r="DV302" t="b">
        <v>0</v>
      </c>
      <c r="DW302" t="s">
        <v>1441</v>
      </c>
      <c r="DX302" s="31">
        <v>46143.258568159719</v>
      </c>
      <c r="DZ302" s="5">
        <v>45809</v>
      </c>
      <c r="EA302" s="13" t="s">
        <v>1251</v>
      </c>
      <c r="EB302" s="13" t="s">
        <v>1353</v>
      </c>
      <c r="EC302" s="13" t="s">
        <v>1215</v>
      </c>
      <c r="ED302" s="11"/>
      <c r="EE302" s="11">
        <v>0</v>
      </c>
    </row>
    <row r="303" spans="120:135" x14ac:dyDescent="0.2">
      <c r="DP303" t="s">
        <v>2186</v>
      </c>
      <c r="DQ303" t="s">
        <v>1110</v>
      </c>
      <c r="DR303" t="s">
        <v>1439</v>
      </c>
      <c r="DS303" t="s">
        <v>1428</v>
      </c>
      <c r="DT303" t="s">
        <v>1429</v>
      </c>
      <c r="DU303" t="s">
        <v>1643</v>
      </c>
      <c r="DV303" t="b">
        <v>1</v>
      </c>
      <c r="DW303" t="s">
        <v>1434</v>
      </c>
      <c r="DX303" s="31">
        <v>46143.258568159719</v>
      </c>
      <c r="DZ303" s="5">
        <v>45809</v>
      </c>
      <c r="EA303" s="13" t="s">
        <v>1251</v>
      </c>
      <c r="EB303" s="13" t="s">
        <v>2278</v>
      </c>
      <c r="EC303" s="13" t="s">
        <v>1215</v>
      </c>
      <c r="ED303" s="11"/>
      <c r="EE303" s="11">
        <v>0</v>
      </c>
    </row>
    <row r="304" spans="120:135" x14ac:dyDescent="0.2">
      <c r="DP304" t="s">
        <v>1181</v>
      </c>
      <c r="DQ304" t="s">
        <v>1110</v>
      </c>
      <c r="DR304" t="s">
        <v>1440</v>
      </c>
      <c r="DS304" t="s">
        <v>1429</v>
      </c>
      <c r="DT304" t="s">
        <v>1429</v>
      </c>
      <c r="DU304" t="s">
        <v>2186</v>
      </c>
      <c r="DV304" t="b">
        <v>0</v>
      </c>
      <c r="DW304" t="s">
        <v>1441</v>
      </c>
      <c r="DX304" s="31">
        <v>46143.258568159719</v>
      </c>
      <c r="DZ304" s="5">
        <v>45809</v>
      </c>
      <c r="EA304" s="13" t="s">
        <v>1251</v>
      </c>
      <c r="EB304" s="13" t="s">
        <v>2282</v>
      </c>
      <c r="EC304" s="13" t="s">
        <v>1215</v>
      </c>
      <c r="ED304" s="11"/>
      <c r="EE304" s="11">
        <v>0</v>
      </c>
    </row>
    <row r="305" spans="120:135" x14ac:dyDescent="0.2">
      <c r="DP305" t="s">
        <v>1647</v>
      </c>
      <c r="DQ305" t="s">
        <v>1054</v>
      </c>
      <c r="DR305" t="s">
        <v>1439</v>
      </c>
      <c r="DS305" t="s">
        <v>1428</v>
      </c>
      <c r="DT305" t="s">
        <v>1429</v>
      </c>
      <c r="DU305" t="s">
        <v>1643</v>
      </c>
      <c r="DV305" t="b">
        <v>1</v>
      </c>
      <c r="DW305" t="s">
        <v>1434</v>
      </c>
      <c r="DX305" s="31">
        <v>46143.258568159719</v>
      </c>
      <c r="DZ305" s="5">
        <v>45809</v>
      </c>
      <c r="EA305" s="13" t="s">
        <v>1251</v>
      </c>
      <c r="EB305" s="13" t="s">
        <v>2281</v>
      </c>
      <c r="EC305" s="13" t="s">
        <v>1215</v>
      </c>
      <c r="ED305" s="11"/>
      <c r="EE305" s="11">
        <v>0</v>
      </c>
    </row>
    <row r="306" spans="120:135" x14ac:dyDescent="0.2">
      <c r="DP306" t="s">
        <v>1182</v>
      </c>
      <c r="DQ306" t="s">
        <v>1054</v>
      </c>
      <c r="DR306" t="s">
        <v>1440</v>
      </c>
      <c r="DS306" t="s">
        <v>1429</v>
      </c>
      <c r="DT306" t="s">
        <v>1429</v>
      </c>
      <c r="DU306" t="s">
        <v>1647</v>
      </c>
      <c r="DV306" t="b">
        <v>0</v>
      </c>
      <c r="DW306" t="s">
        <v>1441</v>
      </c>
      <c r="DX306" s="31">
        <v>46143.258568159719</v>
      </c>
      <c r="DZ306" s="5">
        <v>45809</v>
      </c>
      <c r="EA306" s="13" t="s">
        <v>1251</v>
      </c>
      <c r="EB306" s="13" t="s">
        <v>1347</v>
      </c>
      <c r="EC306" s="13" t="s">
        <v>1215</v>
      </c>
      <c r="ED306" s="11"/>
      <c r="EE306" s="11">
        <v>658513</v>
      </c>
    </row>
    <row r="307" spans="120:135" x14ac:dyDescent="0.2">
      <c r="DP307" t="s">
        <v>1648</v>
      </c>
      <c r="DQ307" t="s">
        <v>1056</v>
      </c>
      <c r="DR307" t="s">
        <v>1439</v>
      </c>
      <c r="DS307" t="s">
        <v>1428</v>
      </c>
      <c r="DT307" t="s">
        <v>1429</v>
      </c>
      <c r="DU307" t="s">
        <v>1643</v>
      </c>
      <c r="DV307" t="b">
        <v>1</v>
      </c>
      <c r="DW307" t="s">
        <v>1434</v>
      </c>
      <c r="DX307" s="31">
        <v>46143.258568159719</v>
      </c>
      <c r="DZ307" s="5">
        <v>45809</v>
      </c>
      <c r="EA307" s="13" t="s">
        <v>1251</v>
      </c>
      <c r="EB307" s="13" t="s">
        <v>1385</v>
      </c>
      <c r="EC307" s="13" t="s">
        <v>1215</v>
      </c>
      <c r="ED307" s="11"/>
      <c r="EE307" s="11">
        <v>0</v>
      </c>
    </row>
    <row r="308" spans="120:135" x14ac:dyDescent="0.2">
      <c r="DP308" t="s">
        <v>1183</v>
      </c>
      <c r="DQ308" t="s">
        <v>1056</v>
      </c>
      <c r="DR308" t="s">
        <v>1440</v>
      </c>
      <c r="DS308" t="s">
        <v>1429</v>
      </c>
      <c r="DT308" t="s">
        <v>1429</v>
      </c>
      <c r="DU308" t="s">
        <v>1648</v>
      </c>
      <c r="DV308" t="b">
        <v>0</v>
      </c>
      <c r="DW308" t="s">
        <v>1441</v>
      </c>
      <c r="DX308" s="31">
        <v>46143.258568159719</v>
      </c>
      <c r="DZ308" s="5">
        <v>45809</v>
      </c>
      <c r="EA308" s="13" t="s">
        <v>1251</v>
      </c>
      <c r="EB308" s="13" t="s">
        <v>2279</v>
      </c>
      <c r="EC308" s="13" t="s">
        <v>1215</v>
      </c>
      <c r="ED308" s="11"/>
      <c r="EE308" s="11">
        <v>0</v>
      </c>
    </row>
    <row r="309" spans="120:135" x14ac:dyDescent="0.2">
      <c r="DP309" t="s">
        <v>1649</v>
      </c>
      <c r="DQ309" t="s">
        <v>1114</v>
      </c>
      <c r="DR309" t="s">
        <v>1439</v>
      </c>
      <c r="DS309" t="s">
        <v>1428</v>
      </c>
      <c r="DT309" t="s">
        <v>1429</v>
      </c>
      <c r="DU309" t="s">
        <v>1643</v>
      </c>
      <c r="DV309" t="b">
        <v>1</v>
      </c>
      <c r="DW309" t="s">
        <v>1434</v>
      </c>
      <c r="DX309" s="31">
        <v>46143.258568159719</v>
      </c>
      <c r="DZ309" s="5">
        <v>45809</v>
      </c>
      <c r="EA309" s="13" t="s">
        <v>1251</v>
      </c>
      <c r="EB309" s="13" t="s">
        <v>1354</v>
      </c>
      <c r="EC309" s="13" t="s">
        <v>1215</v>
      </c>
      <c r="ED309" s="11"/>
      <c r="EE309" s="11">
        <v>306303</v>
      </c>
    </row>
    <row r="310" spans="120:135" x14ac:dyDescent="0.2">
      <c r="DP310" t="s">
        <v>1184</v>
      </c>
      <c r="DQ310" t="s">
        <v>1114</v>
      </c>
      <c r="DR310" t="s">
        <v>1440</v>
      </c>
      <c r="DS310" t="s">
        <v>1429</v>
      </c>
      <c r="DT310" t="s">
        <v>1429</v>
      </c>
      <c r="DU310" t="s">
        <v>1649</v>
      </c>
      <c r="DV310" t="b">
        <v>0</v>
      </c>
      <c r="DW310" t="s">
        <v>1441</v>
      </c>
      <c r="DX310" s="31">
        <v>46143.258568159719</v>
      </c>
      <c r="DZ310" s="5">
        <v>45809</v>
      </c>
      <c r="EA310" s="13" t="s">
        <v>1251</v>
      </c>
      <c r="EB310" s="13" t="s">
        <v>1386</v>
      </c>
      <c r="EC310" s="13" t="s">
        <v>1215</v>
      </c>
      <c r="ED310" s="11"/>
      <c r="EE310" s="11">
        <v>155358</v>
      </c>
    </row>
    <row r="311" spans="120:135" x14ac:dyDescent="0.2">
      <c r="DP311" t="s">
        <v>1650</v>
      </c>
      <c r="DQ311" t="s">
        <v>1058</v>
      </c>
      <c r="DR311" t="s">
        <v>1439</v>
      </c>
      <c r="DS311" t="s">
        <v>1428</v>
      </c>
      <c r="DT311" t="s">
        <v>1429</v>
      </c>
      <c r="DU311" t="s">
        <v>1643</v>
      </c>
      <c r="DV311" t="b">
        <v>1</v>
      </c>
      <c r="DW311" t="s">
        <v>1434</v>
      </c>
      <c r="DX311" s="31">
        <v>46143.258568159719</v>
      </c>
      <c r="DZ311" s="5">
        <v>45809</v>
      </c>
      <c r="EA311" s="13" t="s">
        <v>1251</v>
      </c>
      <c r="EB311" s="13" t="s">
        <v>1389</v>
      </c>
      <c r="EC311" s="13" t="s">
        <v>1217</v>
      </c>
      <c r="ED311" s="11">
        <v>0</v>
      </c>
      <c r="EE311" s="11"/>
    </row>
    <row r="312" spans="120:135" x14ac:dyDescent="0.2">
      <c r="DP312" t="s">
        <v>1185</v>
      </c>
      <c r="DQ312" t="s">
        <v>1058</v>
      </c>
      <c r="DR312" t="s">
        <v>1440</v>
      </c>
      <c r="DS312" t="s">
        <v>1429</v>
      </c>
      <c r="DT312" t="s">
        <v>1429</v>
      </c>
      <c r="DU312" t="s">
        <v>1650</v>
      </c>
      <c r="DV312" t="b">
        <v>0</v>
      </c>
      <c r="DW312" t="s">
        <v>1441</v>
      </c>
      <c r="DX312" s="31">
        <v>46143.258568159719</v>
      </c>
      <c r="DZ312" s="5">
        <v>45809</v>
      </c>
      <c r="EA312" s="13" t="s">
        <v>1251</v>
      </c>
      <c r="EB312" s="13" t="s">
        <v>1352</v>
      </c>
      <c r="EC312" s="13" t="s">
        <v>1217</v>
      </c>
      <c r="ED312" s="11">
        <v>0</v>
      </c>
      <c r="EE312" s="11"/>
    </row>
    <row r="313" spans="120:135" x14ac:dyDescent="0.2">
      <c r="DP313" t="s">
        <v>1651</v>
      </c>
      <c r="DQ313" t="s">
        <v>1652</v>
      </c>
      <c r="DR313" t="s">
        <v>1439</v>
      </c>
      <c r="DS313" t="s">
        <v>1428</v>
      </c>
      <c r="DT313" t="s">
        <v>1429</v>
      </c>
      <c r="DU313" t="s">
        <v>1643</v>
      </c>
      <c r="DV313" t="b">
        <v>1</v>
      </c>
      <c r="DW313" t="s">
        <v>1434</v>
      </c>
      <c r="DX313" s="31">
        <v>46143.258568159719</v>
      </c>
      <c r="DZ313" s="5">
        <v>45809</v>
      </c>
      <c r="EA313" s="13" t="s">
        <v>1251</v>
      </c>
      <c r="EB313" s="13" t="s">
        <v>2283</v>
      </c>
      <c r="EC313" s="13" t="s">
        <v>1217</v>
      </c>
      <c r="ED313" s="11">
        <v>28571.51</v>
      </c>
      <c r="EE313" s="11"/>
    </row>
    <row r="314" spans="120:135" x14ac:dyDescent="0.2">
      <c r="DP314" t="s">
        <v>1186</v>
      </c>
      <c r="DQ314" t="s">
        <v>1187</v>
      </c>
      <c r="DR314" t="s">
        <v>1440</v>
      </c>
      <c r="DS314" t="s">
        <v>1429</v>
      </c>
      <c r="DT314" t="s">
        <v>1429</v>
      </c>
      <c r="DU314" t="s">
        <v>1651</v>
      </c>
      <c r="DV314" t="b">
        <v>0</v>
      </c>
      <c r="DW314" t="s">
        <v>1441</v>
      </c>
      <c r="DX314" s="31">
        <v>46143.258568159719</v>
      </c>
      <c r="DZ314" s="5">
        <v>45809</v>
      </c>
      <c r="EA314" s="13" t="s">
        <v>1251</v>
      </c>
      <c r="EB314" s="13" t="s">
        <v>1388</v>
      </c>
      <c r="EC314" s="13" t="s">
        <v>1217</v>
      </c>
      <c r="ED314" s="11">
        <v>219000</v>
      </c>
      <c r="EE314" s="11"/>
    </row>
    <row r="315" spans="120:135" x14ac:dyDescent="0.2">
      <c r="DP315" t="s">
        <v>1188</v>
      </c>
      <c r="DQ315" t="s">
        <v>1117</v>
      </c>
      <c r="DR315" t="s">
        <v>1440</v>
      </c>
      <c r="DS315" t="s">
        <v>1429</v>
      </c>
      <c r="DT315" t="s">
        <v>1429</v>
      </c>
      <c r="DU315" t="s">
        <v>1651</v>
      </c>
      <c r="DV315" t="b">
        <v>0</v>
      </c>
      <c r="DW315" t="s">
        <v>1441</v>
      </c>
      <c r="DX315" s="31">
        <v>46143.258568159719</v>
      </c>
      <c r="DZ315" s="5">
        <v>45809</v>
      </c>
      <c r="EA315" s="13" t="s">
        <v>1251</v>
      </c>
      <c r="EB315" s="13" t="s">
        <v>2284</v>
      </c>
      <c r="EC315" s="13" t="s">
        <v>1217</v>
      </c>
      <c r="ED315" s="11">
        <v>931500</v>
      </c>
      <c r="EE315" s="11"/>
    </row>
    <row r="316" spans="120:135" x14ac:dyDescent="0.2">
      <c r="DP316" t="s">
        <v>2187</v>
      </c>
      <c r="DQ316" t="s">
        <v>1119</v>
      </c>
      <c r="DR316" t="s">
        <v>1439</v>
      </c>
      <c r="DS316" t="s">
        <v>1428</v>
      </c>
      <c r="DT316" t="s">
        <v>1429</v>
      </c>
      <c r="DU316" t="s">
        <v>1643</v>
      </c>
      <c r="DV316" t="b">
        <v>1</v>
      </c>
      <c r="DW316" t="s">
        <v>1434</v>
      </c>
      <c r="DX316" s="31">
        <v>46143.258568159719</v>
      </c>
      <c r="DZ316" s="5">
        <v>45809</v>
      </c>
      <c r="EA316" s="13" t="s">
        <v>1251</v>
      </c>
      <c r="EB316" s="13" t="s">
        <v>2294</v>
      </c>
      <c r="EC316" s="13" t="s">
        <v>1217</v>
      </c>
      <c r="ED316" s="11">
        <v>884537</v>
      </c>
      <c r="EE316" s="11"/>
    </row>
    <row r="317" spans="120:135" x14ac:dyDescent="0.2">
      <c r="DP317" t="s">
        <v>1189</v>
      </c>
      <c r="DQ317" t="s">
        <v>1119</v>
      </c>
      <c r="DR317" t="s">
        <v>1440</v>
      </c>
      <c r="DS317" t="s">
        <v>1429</v>
      </c>
      <c r="DT317" t="s">
        <v>1429</v>
      </c>
      <c r="DU317" t="s">
        <v>2187</v>
      </c>
      <c r="DV317" t="b">
        <v>0</v>
      </c>
      <c r="DW317" t="s">
        <v>1441</v>
      </c>
      <c r="DX317" s="31">
        <v>46143.258568159719</v>
      </c>
      <c r="DZ317" s="5">
        <v>45809</v>
      </c>
      <c r="EA317" s="13" t="s">
        <v>1253</v>
      </c>
      <c r="EB317" s="13" t="s">
        <v>1335</v>
      </c>
      <c r="EC317" s="13" t="s">
        <v>1084</v>
      </c>
      <c r="ED317" s="11"/>
      <c r="EE317" s="11">
        <v>12961318</v>
      </c>
    </row>
    <row r="318" spans="120:135" x14ac:dyDescent="0.2">
      <c r="DP318" t="s">
        <v>2188</v>
      </c>
      <c r="DQ318" t="s">
        <v>1191</v>
      </c>
      <c r="DR318" t="s">
        <v>1439</v>
      </c>
      <c r="DS318" t="s">
        <v>1428</v>
      </c>
      <c r="DT318" t="s">
        <v>1429</v>
      </c>
      <c r="DU318" t="s">
        <v>1643</v>
      </c>
      <c r="DV318" t="b">
        <v>1</v>
      </c>
      <c r="DW318" t="s">
        <v>1434</v>
      </c>
      <c r="DX318" s="31">
        <v>46143.258568159719</v>
      </c>
      <c r="DZ318" s="5">
        <v>45809</v>
      </c>
      <c r="EA318" s="13" t="s">
        <v>1253</v>
      </c>
      <c r="EB318" s="13" t="s">
        <v>2285</v>
      </c>
      <c r="EC318" s="13" t="s">
        <v>1084</v>
      </c>
      <c r="ED318" s="11"/>
      <c r="EE318" s="11">
        <v>0</v>
      </c>
    </row>
    <row r="319" spans="120:135" x14ac:dyDescent="0.2">
      <c r="DP319" t="s">
        <v>1190</v>
      </c>
      <c r="DQ319" t="s">
        <v>1191</v>
      </c>
      <c r="DR319" t="s">
        <v>1440</v>
      </c>
      <c r="DS319" t="s">
        <v>1429</v>
      </c>
      <c r="DT319" t="s">
        <v>1429</v>
      </c>
      <c r="DU319" t="s">
        <v>2188</v>
      </c>
      <c r="DV319" t="b">
        <v>0</v>
      </c>
      <c r="DW319" t="s">
        <v>1441</v>
      </c>
      <c r="DX319" s="31">
        <v>46143.258568159719</v>
      </c>
      <c r="DZ319" s="5">
        <v>45809</v>
      </c>
      <c r="EA319" s="13" t="s">
        <v>1251</v>
      </c>
      <c r="EB319" s="13" t="s">
        <v>2212</v>
      </c>
      <c r="EC319" s="13" t="s">
        <v>1114</v>
      </c>
      <c r="ED319" s="11">
        <v>205201</v>
      </c>
      <c r="EE319" s="11"/>
    </row>
    <row r="320" spans="120:135" x14ac:dyDescent="0.2">
      <c r="DP320" t="s">
        <v>1653</v>
      </c>
      <c r="DQ320" t="s">
        <v>1121</v>
      </c>
      <c r="DR320" t="s">
        <v>1439</v>
      </c>
      <c r="DS320" t="s">
        <v>1428</v>
      </c>
      <c r="DT320" t="s">
        <v>1429</v>
      </c>
      <c r="DU320" t="s">
        <v>1643</v>
      </c>
      <c r="DV320" t="b">
        <v>1</v>
      </c>
      <c r="DW320" t="s">
        <v>1434</v>
      </c>
      <c r="DX320" s="31">
        <v>46143.258568159719</v>
      </c>
      <c r="DZ320" s="5">
        <v>45809</v>
      </c>
      <c r="EA320" s="13" t="s">
        <v>1251</v>
      </c>
      <c r="EB320" s="13" t="s">
        <v>2206</v>
      </c>
      <c r="EC320" s="13" t="s">
        <v>1114</v>
      </c>
      <c r="ED320" s="11">
        <v>135290</v>
      </c>
      <c r="EE320" s="11"/>
    </row>
    <row r="321" spans="120:135" x14ac:dyDescent="0.2">
      <c r="DP321" t="s">
        <v>1192</v>
      </c>
      <c r="DQ321" t="s">
        <v>1121</v>
      </c>
      <c r="DR321" t="s">
        <v>1440</v>
      </c>
      <c r="DS321" t="s">
        <v>1429</v>
      </c>
      <c r="DT321" t="s">
        <v>1429</v>
      </c>
      <c r="DU321" t="s">
        <v>1653</v>
      </c>
      <c r="DV321" t="b">
        <v>0</v>
      </c>
      <c r="DW321" t="s">
        <v>1441</v>
      </c>
      <c r="DX321" s="31">
        <v>46143.258568159719</v>
      </c>
      <c r="DZ321" s="5">
        <v>45809</v>
      </c>
      <c r="EA321" s="13" t="s">
        <v>1250</v>
      </c>
      <c r="EB321" s="13" t="s">
        <v>1358</v>
      </c>
      <c r="EC321" s="13" t="s">
        <v>1114</v>
      </c>
      <c r="ED321" s="11">
        <v>239350</v>
      </c>
      <c r="EE321" s="11"/>
    </row>
    <row r="322" spans="120:135" x14ac:dyDescent="0.2">
      <c r="DP322" t="s">
        <v>2189</v>
      </c>
      <c r="DQ322" t="s">
        <v>1016</v>
      </c>
      <c r="DR322" t="s">
        <v>1439</v>
      </c>
      <c r="DS322" t="s">
        <v>1428</v>
      </c>
      <c r="DT322" t="s">
        <v>1429</v>
      </c>
      <c r="DU322" t="s">
        <v>1643</v>
      </c>
      <c r="DV322" t="b">
        <v>1</v>
      </c>
      <c r="DW322" t="s">
        <v>1434</v>
      </c>
      <c r="DX322" s="31">
        <v>46143.258568159719</v>
      </c>
      <c r="DZ322" s="5">
        <v>45809</v>
      </c>
      <c r="EA322" s="13" t="s">
        <v>1250</v>
      </c>
      <c r="EB322" s="13" t="s">
        <v>1417</v>
      </c>
      <c r="EC322" s="13" t="s">
        <v>1156</v>
      </c>
      <c r="ED322" s="11">
        <v>0</v>
      </c>
      <c r="EE322" s="11"/>
    </row>
    <row r="323" spans="120:135" x14ac:dyDescent="0.2">
      <c r="DP323" t="s">
        <v>1193</v>
      </c>
      <c r="DQ323" t="s">
        <v>1016</v>
      </c>
      <c r="DR323" t="s">
        <v>1440</v>
      </c>
      <c r="DS323" t="s">
        <v>1429</v>
      </c>
      <c r="DT323" t="s">
        <v>1429</v>
      </c>
      <c r="DU323" t="s">
        <v>2189</v>
      </c>
      <c r="DV323" t="b">
        <v>0</v>
      </c>
      <c r="DW323" t="s">
        <v>1441</v>
      </c>
      <c r="DX323" s="31">
        <v>46143.258568159719</v>
      </c>
      <c r="DZ323" s="5">
        <v>45809</v>
      </c>
      <c r="EA323" s="13" t="s">
        <v>1250</v>
      </c>
      <c r="EB323" s="13" t="s">
        <v>2286</v>
      </c>
      <c r="EC323" s="13" t="s">
        <v>1144</v>
      </c>
      <c r="ED323" s="11">
        <v>0</v>
      </c>
      <c r="EE323" s="11"/>
    </row>
    <row r="324" spans="120:135" x14ac:dyDescent="0.2">
      <c r="DP324" t="s">
        <v>1654</v>
      </c>
      <c r="DQ324" t="s">
        <v>1124</v>
      </c>
      <c r="DR324" t="s">
        <v>1439</v>
      </c>
      <c r="DS324" t="s">
        <v>1428</v>
      </c>
      <c r="DT324" t="s">
        <v>1429</v>
      </c>
      <c r="DU324" t="s">
        <v>1643</v>
      </c>
      <c r="DV324" t="b">
        <v>1</v>
      </c>
      <c r="DW324" t="s">
        <v>1434</v>
      </c>
      <c r="DX324" s="31">
        <v>46143.258568159719</v>
      </c>
      <c r="DZ324" s="5">
        <v>45809</v>
      </c>
      <c r="EA324" s="13" t="s">
        <v>1250</v>
      </c>
      <c r="EB324" s="13" t="s">
        <v>1381</v>
      </c>
      <c r="EC324" s="13" t="s">
        <v>1144</v>
      </c>
      <c r="ED324" s="11">
        <v>1415987</v>
      </c>
      <c r="EE324" s="11"/>
    </row>
    <row r="325" spans="120:135" x14ac:dyDescent="0.2">
      <c r="DP325" t="s">
        <v>1194</v>
      </c>
      <c r="DQ325" t="s">
        <v>1124</v>
      </c>
      <c r="DR325" t="s">
        <v>1440</v>
      </c>
      <c r="DS325" t="s">
        <v>1429</v>
      </c>
      <c r="DT325" t="s">
        <v>1429</v>
      </c>
      <c r="DU325" t="s">
        <v>1654</v>
      </c>
      <c r="DV325" t="b">
        <v>0</v>
      </c>
      <c r="DW325" t="s">
        <v>1441</v>
      </c>
      <c r="DX325" s="31">
        <v>46143.258568159719</v>
      </c>
      <c r="DZ325" s="5">
        <v>45809</v>
      </c>
      <c r="EA325" s="13" t="s">
        <v>1251</v>
      </c>
      <c r="EB325" s="13" t="s">
        <v>1368</v>
      </c>
      <c r="EC325" s="13" t="s">
        <v>1146</v>
      </c>
      <c r="ED325" s="11">
        <v>0</v>
      </c>
      <c r="EE325" s="11"/>
    </row>
    <row r="326" spans="120:135" x14ac:dyDescent="0.2">
      <c r="DP326" t="s">
        <v>1655</v>
      </c>
      <c r="DQ326" t="s">
        <v>1126</v>
      </c>
      <c r="DR326" t="s">
        <v>1439</v>
      </c>
      <c r="DS326" t="s">
        <v>1428</v>
      </c>
      <c r="DT326" t="s">
        <v>1429</v>
      </c>
      <c r="DU326" t="s">
        <v>1643</v>
      </c>
      <c r="DV326" t="b">
        <v>1</v>
      </c>
      <c r="DW326" t="s">
        <v>1434</v>
      </c>
      <c r="DX326" s="31">
        <v>46143.258568159719</v>
      </c>
      <c r="DZ326" s="5">
        <v>45809</v>
      </c>
      <c r="EA326" s="13" t="s">
        <v>1251</v>
      </c>
      <c r="EB326" s="13" t="s">
        <v>1345</v>
      </c>
      <c r="EC326" s="13" t="s">
        <v>1146</v>
      </c>
      <c r="ED326" s="11">
        <v>75708</v>
      </c>
      <c r="EE326" s="11"/>
    </row>
    <row r="327" spans="120:135" x14ac:dyDescent="0.2">
      <c r="DP327" t="s">
        <v>1195</v>
      </c>
      <c r="DQ327" t="s">
        <v>1126</v>
      </c>
      <c r="DR327" t="s">
        <v>1440</v>
      </c>
      <c r="DS327" t="s">
        <v>1429</v>
      </c>
      <c r="DT327" t="s">
        <v>1429</v>
      </c>
      <c r="DU327" t="s">
        <v>1655</v>
      </c>
      <c r="DV327" t="b">
        <v>0</v>
      </c>
      <c r="DW327" t="s">
        <v>1441</v>
      </c>
      <c r="DX327" s="31">
        <v>46143.258568159719</v>
      </c>
      <c r="DZ327" s="5">
        <v>45809</v>
      </c>
      <c r="EA327" s="13" t="s">
        <v>1250</v>
      </c>
      <c r="EB327" s="13" t="s">
        <v>1367</v>
      </c>
      <c r="EC327" s="13" t="s">
        <v>1146</v>
      </c>
      <c r="ED327" s="11">
        <v>49079</v>
      </c>
      <c r="EE327" s="11"/>
    </row>
    <row r="328" spans="120:135" x14ac:dyDescent="0.2">
      <c r="DP328" t="s">
        <v>2190</v>
      </c>
      <c r="DQ328" t="s">
        <v>1128</v>
      </c>
      <c r="DR328" t="s">
        <v>1439</v>
      </c>
      <c r="DS328" t="s">
        <v>1428</v>
      </c>
      <c r="DT328" t="s">
        <v>1429</v>
      </c>
      <c r="DU328" t="s">
        <v>1643</v>
      </c>
      <c r="DV328" t="b">
        <v>1</v>
      </c>
      <c r="DW328" t="s">
        <v>1434</v>
      </c>
      <c r="DX328" s="31">
        <v>46143.258568159719</v>
      </c>
      <c r="DZ328" s="5">
        <v>45809</v>
      </c>
      <c r="EA328" s="13" t="s">
        <v>1251</v>
      </c>
      <c r="EB328" s="13" t="s">
        <v>1349</v>
      </c>
      <c r="EC328" s="13" t="s">
        <v>1146</v>
      </c>
      <c r="ED328" s="11">
        <v>1133887</v>
      </c>
      <c r="EE328" s="11"/>
    </row>
    <row r="329" spans="120:135" x14ac:dyDescent="0.2">
      <c r="DP329" t="s">
        <v>1196</v>
      </c>
      <c r="DQ329" t="s">
        <v>1128</v>
      </c>
      <c r="DR329" t="s">
        <v>1440</v>
      </c>
      <c r="DS329" t="s">
        <v>1429</v>
      </c>
      <c r="DT329" t="s">
        <v>1429</v>
      </c>
      <c r="DU329" t="s">
        <v>2190</v>
      </c>
      <c r="DV329" t="b">
        <v>0</v>
      </c>
      <c r="DW329" t="s">
        <v>1441</v>
      </c>
      <c r="DX329" s="31">
        <v>46143.258568159719</v>
      </c>
      <c r="DZ329" s="5">
        <v>45809</v>
      </c>
      <c r="EA329" s="13" t="s">
        <v>1250</v>
      </c>
      <c r="EB329" s="13" t="s">
        <v>1358</v>
      </c>
      <c r="EC329" s="13" t="s">
        <v>1108</v>
      </c>
      <c r="ED329" s="11">
        <v>1423500</v>
      </c>
      <c r="EE329" s="11"/>
    </row>
    <row r="330" spans="120:135" x14ac:dyDescent="0.2">
      <c r="DP330" t="s">
        <v>2191</v>
      </c>
      <c r="DQ330" t="s">
        <v>1130</v>
      </c>
      <c r="DR330" t="s">
        <v>1439</v>
      </c>
      <c r="DS330" t="s">
        <v>1428</v>
      </c>
      <c r="DT330" t="s">
        <v>1429</v>
      </c>
      <c r="DU330" t="s">
        <v>1643</v>
      </c>
      <c r="DV330" t="b">
        <v>1</v>
      </c>
      <c r="DW330" t="s">
        <v>1434</v>
      </c>
      <c r="DX330" s="31">
        <v>46143.258568159719</v>
      </c>
      <c r="DZ330" s="5">
        <v>45809</v>
      </c>
      <c r="EA330" s="13" t="s">
        <v>1251</v>
      </c>
      <c r="EB330" s="13" t="s">
        <v>2206</v>
      </c>
      <c r="EC330" s="13" t="s">
        <v>1108</v>
      </c>
      <c r="ED330" s="11">
        <v>1423500</v>
      </c>
      <c r="EE330" s="11"/>
    </row>
    <row r="331" spans="120:135" x14ac:dyDescent="0.2">
      <c r="DP331" t="s">
        <v>1197</v>
      </c>
      <c r="DQ331" t="s">
        <v>1130</v>
      </c>
      <c r="DR331" t="s">
        <v>1440</v>
      </c>
      <c r="DS331" t="s">
        <v>1429</v>
      </c>
      <c r="DT331" t="s">
        <v>1429</v>
      </c>
      <c r="DU331" t="s">
        <v>2191</v>
      </c>
      <c r="DV331" t="b">
        <v>0</v>
      </c>
      <c r="DW331" t="s">
        <v>1441</v>
      </c>
      <c r="DX331" s="31">
        <v>46143.258568159719</v>
      </c>
      <c r="DZ331" s="5">
        <v>45809</v>
      </c>
      <c r="EA331" s="13" t="s">
        <v>1251</v>
      </c>
      <c r="EB331" s="13" t="s">
        <v>2212</v>
      </c>
      <c r="EC331" s="13" t="s">
        <v>1108</v>
      </c>
      <c r="ED331" s="11">
        <v>1533560</v>
      </c>
      <c r="EE331" s="11"/>
    </row>
    <row r="332" spans="120:135" x14ac:dyDescent="0.2">
      <c r="DP332" t="s">
        <v>1656</v>
      </c>
      <c r="DQ332" t="s">
        <v>1657</v>
      </c>
      <c r="DR332" t="s">
        <v>1437</v>
      </c>
      <c r="DS332" t="s">
        <v>1428</v>
      </c>
      <c r="DT332" t="s">
        <v>1429</v>
      </c>
      <c r="DU332" t="s">
        <v>1642</v>
      </c>
      <c r="DV332" t="b">
        <v>1</v>
      </c>
      <c r="DW332" t="s">
        <v>1434</v>
      </c>
      <c r="DX332" s="31">
        <v>46143.258568159719</v>
      </c>
      <c r="DZ332" s="5">
        <v>45809</v>
      </c>
      <c r="EA332" s="13" t="s">
        <v>1251</v>
      </c>
      <c r="EB332" s="13" t="s">
        <v>1347</v>
      </c>
      <c r="EC332" s="13" t="s">
        <v>1206</v>
      </c>
      <c r="ED332" s="11"/>
      <c r="EE332" s="11">
        <v>0</v>
      </c>
    </row>
    <row r="333" spans="120:135" x14ac:dyDescent="0.2">
      <c r="DP333" t="s">
        <v>1658</v>
      </c>
      <c r="DQ333" t="s">
        <v>1142</v>
      </c>
      <c r="DR333" t="s">
        <v>1439</v>
      </c>
      <c r="DS333" t="s">
        <v>1428</v>
      </c>
      <c r="DT333" t="s">
        <v>1429</v>
      </c>
      <c r="DU333" t="s">
        <v>1656</v>
      </c>
      <c r="DV333" t="b">
        <v>1</v>
      </c>
      <c r="DW333" t="s">
        <v>1434</v>
      </c>
      <c r="DX333" s="31">
        <v>46143.258568159719</v>
      </c>
      <c r="DZ333" s="5">
        <v>45809</v>
      </c>
      <c r="EA333" s="13" t="s">
        <v>1251</v>
      </c>
      <c r="EB333" s="13" t="s">
        <v>1344</v>
      </c>
      <c r="EC333" s="13" t="s">
        <v>1206</v>
      </c>
      <c r="ED333" s="11"/>
      <c r="EE333" s="11">
        <v>0</v>
      </c>
    </row>
    <row r="334" spans="120:135" x14ac:dyDescent="0.2">
      <c r="DP334" t="s">
        <v>1198</v>
      </c>
      <c r="DQ334" t="s">
        <v>1142</v>
      </c>
      <c r="DR334" t="s">
        <v>1440</v>
      </c>
      <c r="DS334" t="s">
        <v>1429</v>
      </c>
      <c r="DT334" t="s">
        <v>1429</v>
      </c>
      <c r="DU334" t="s">
        <v>1658</v>
      </c>
      <c r="DV334" t="b">
        <v>0</v>
      </c>
      <c r="DW334" t="s">
        <v>1441</v>
      </c>
      <c r="DX334" s="31">
        <v>46143.258568159719</v>
      </c>
      <c r="DZ334" s="5">
        <v>45809</v>
      </c>
      <c r="EA334" s="13" t="s">
        <v>1251</v>
      </c>
      <c r="EB334" s="13" t="s">
        <v>2281</v>
      </c>
      <c r="EC334" s="13" t="s">
        <v>1206</v>
      </c>
      <c r="ED334" s="11"/>
      <c r="EE334" s="11">
        <v>0</v>
      </c>
    </row>
    <row r="335" spans="120:135" x14ac:dyDescent="0.2">
      <c r="DP335" t="s">
        <v>2192</v>
      </c>
      <c r="DQ335" t="s">
        <v>1200</v>
      </c>
      <c r="DR335" t="s">
        <v>1439</v>
      </c>
      <c r="DS335" t="s">
        <v>1428</v>
      </c>
      <c r="DT335" t="s">
        <v>1429</v>
      </c>
      <c r="DU335" t="s">
        <v>1656</v>
      </c>
      <c r="DV335" t="b">
        <v>1</v>
      </c>
      <c r="DW335" t="s">
        <v>1434</v>
      </c>
      <c r="DX335" s="31">
        <v>46143.258568159719</v>
      </c>
      <c r="DZ335" s="5">
        <v>45809</v>
      </c>
      <c r="EA335" s="13" t="s">
        <v>1251</v>
      </c>
      <c r="EB335" s="13" t="s">
        <v>1343</v>
      </c>
      <c r="EC335" s="13" t="s">
        <v>1206</v>
      </c>
      <c r="ED335" s="11"/>
      <c r="EE335" s="11">
        <v>419947</v>
      </c>
    </row>
    <row r="336" spans="120:135" x14ac:dyDescent="0.2">
      <c r="DP336" t="s">
        <v>1199</v>
      </c>
      <c r="DQ336" t="s">
        <v>1200</v>
      </c>
      <c r="DR336" t="s">
        <v>1440</v>
      </c>
      <c r="DS336" t="s">
        <v>1429</v>
      </c>
      <c r="DT336" t="s">
        <v>1429</v>
      </c>
      <c r="DU336" t="s">
        <v>2192</v>
      </c>
      <c r="DV336" t="b">
        <v>0</v>
      </c>
      <c r="DW336" t="s">
        <v>1441</v>
      </c>
      <c r="DX336" s="31">
        <v>46143.258568159719</v>
      </c>
      <c r="DZ336" s="5">
        <v>45809</v>
      </c>
      <c r="EA336" s="13" t="s">
        <v>1250</v>
      </c>
      <c r="EB336" s="13" t="s">
        <v>1358</v>
      </c>
      <c r="EC336" s="13" t="s">
        <v>1058</v>
      </c>
      <c r="ED336" s="11">
        <v>82400</v>
      </c>
      <c r="EE336" s="11"/>
    </row>
    <row r="337" spans="120:135" x14ac:dyDescent="0.2">
      <c r="DP337" t="s">
        <v>1659</v>
      </c>
      <c r="DQ337" t="s">
        <v>1100</v>
      </c>
      <c r="DR337" t="s">
        <v>1437</v>
      </c>
      <c r="DS337" t="s">
        <v>1428</v>
      </c>
      <c r="DT337" t="s">
        <v>1429</v>
      </c>
      <c r="DU337" t="s">
        <v>1642</v>
      </c>
      <c r="DV337" t="b">
        <v>1</v>
      </c>
      <c r="DW337" t="s">
        <v>1434</v>
      </c>
      <c r="DX337" s="31">
        <v>46143.258568159719</v>
      </c>
      <c r="DZ337" s="5">
        <v>45809</v>
      </c>
      <c r="EA337" s="13" t="s">
        <v>1251</v>
      </c>
      <c r="EB337" s="13" t="s">
        <v>2212</v>
      </c>
      <c r="EC337" s="13" t="s">
        <v>1058</v>
      </c>
      <c r="ED337" s="11">
        <v>127000</v>
      </c>
      <c r="EE337" s="11"/>
    </row>
    <row r="338" spans="120:135" x14ac:dyDescent="0.2">
      <c r="DP338" t="s">
        <v>1660</v>
      </c>
      <c r="DQ338" t="s">
        <v>1146</v>
      </c>
      <c r="DR338" t="s">
        <v>1439</v>
      </c>
      <c r="DS338" t="s">
        <v>1428</v>
      </c>
      <c r="DT338" t="s">
        <v>1429</v>
      </c>
      <c r="DU338" t="s">
        <v>1659</v>
      </c>
      <c r="DV338" t="b">
        <v>1</v>
      </c>
      <c r="DW338" t="s">
        <v>1434</v>
      </c>
      <c r="DX338" s="31">
        <v>46143.258568159719</v>
      </c>
      <c r="DZ338" s="5">
        <v>45809</v>
      </c>
      <c r="EA338" s="13" t="s">
        <v>1251</v>
      </c>
      <c r="EB338" s="13" t="s">
        <v>2206</v>
      </c>
      <c r="EC338" s="13" t="s">
        <v>1058</v>
      </c>
      <c r="ED338" s="11">
        <v>-33480</v>
      </c>
      <c r="EE338" s="11"/>
    </row>
    <row r="339" spans="120:135" x14ac:dyDescent="0.2">
      <c r="DP339" t="s">
        <v>1201</v>
      </c>
      <c r="DQ339" t="s">
        <v>1146</v>
      </c>
      <c r="DR339" t="s">
        <v>1440</v>
      </c>
      <c r="DS339" t="s">
        <v>1429</v>
      </c>
      <c r="DT339" t="s">
        <v>1429</v>
      </c>
      <c r="DU339" t="s">
        <v>1660</v>
      </c>
      <c r="DV339" t="b">
        <v>0</v>
      </c>
      <c r="DW339" t="s">
        <v>1441</v>
      </c>
      <c r="DX339" s="31">
        <v>46143.258568159719</v>
      </c>
      <c r="DZ339" s="5">
        <v>45809</v>
      </c>
      <c r="EA339" s="13" t="s">
        <v>1250</v>
      </c>
      <c r="EB339" s="13" t="s">
        <v>2284</v>
      </c>
      <c r="EC339" s="13" t="s">
        <v>1170</v>
      </c>
      <c r="ED339" s="11">
        <v>0</v>
      </c>
      <c r="EE339" s="11"/>
    </row>
    <row r="340" spans="120:135" x14ac:dyDescent="0.2">
      <c r="DP340" t="s">
        <v>1661</v>
      </c>
      <c r="DQ340" t="s">
        <v>1628</v>
      </c>
      <c r="DR340" t="s">
        <v>1439</v>
      </c>
      <c r="DS340" t="s">
        <v>1428</v>
      </c>
      <c r="DT340" t="s">
        <v>1429</v>
      </c>
      <c r="DU340" t="s">
        <v>1659</v>
      </c>
      <c r="DV340" t="b">
        <v>1</v>
      </c>
      <c r="DW340" t="s">
        <v>1434</v>
      </c>
      <c r="DX340" s="31">
        <v>46143.258568159719</v>
      </c>
      <c r="DZ340" s="5">
        <v>45809</v>
      </c>
      <c r="EA340" s="13" t="s">
        <v>1250</v>
      </c>
      <c r="EB340" s="13" t="s">
        <v>1394</v>
      </c>
      <c r="EC340" s="13" t="s">
        <v>1170</v>
      </c>
      <c r="ED340" s="11">
        <v>0</v>
      </c>
      <c r="EE340" s="11"/>
    </row>
    <row r="341" spans="120:135" x14ac:dyDescent="0.2">
      <c r="DP341" t="s">
        <v>1202</v>
      </c>
      <c r="DQ341" t="s">
        <v>1148</v>
      </c>
      <c r="DR341" t="s">
        <v>1440</v>
      </c>
      <c r="DS341" t="s">
        <v>1429</v>
      </c>
      <c r="DT341" t="s">
        <v>1429</v>
      </c>
      <c r="DU341" t="s">
        <v>1661</v>
      </c>
      <c r="DV341" t="b">
        <v>0</v>
      </c>
      <c r="DW341" t="s">
        <v>1441</v>
      </c>
      <c r="DX341" s="31">
        <v>46143.258568159719</v>
      </c>
      <c r="DZ341" s="5">
        <v>45809</v>
      </c>
      <c r="EA341" s="13" t="s">
        <v>1250</v>
      </c>
      <c r="EB341" s="13" t="s">
        <v>2204</v>
      </c>
      <c r="EC341" s="13" t="s">
        <v>1170</v>
      </c>
      <c r="ED341" s="11">
        <v>0</v>
      </c>
      <c r="EE341" s="11"/>
    </row>
    <row r="342" spans="120:135" x14ac:dyDescent="0.2">
      <c r="DP342" t="s">
        <v>1203</v>
      </c>
      <c r="DQ342" t="s">
        <v>1204</v>
      </c>
      <c r="DR342" t="s">
        <v>1440</v>
      </c>
      <c r="DS342" t="s">
        <v>1429</v>
      </c>
      <c r="DT342" t="s">
        <v>1429</v>
      </c>
      <c r="DU342" t="s">
        <v>1661</v>
      </c>
      <c r="DV342" t="b">
        <v>0</v>
      </c>
      <c r="DW342" t="s">
        <v>1441</v>
      </c>
      <c r="DX342" s="31">
        <v>46143.258568159719</v>
      </c>
      <c r="DZ342" s="5">
        <v>45809</v>
      </c>
      <c r="EA342" s="13" t="s">
        <v>1250</v>
      </c>
      <c r="EB342" s="13" t="s">
        <v>2283</v>
      </c>
      <c r="EC342" s="13" t="s">
        <v>1170</v>
      </c>
      <c r="ED342" s="11">
        <v>0</v>
      </c>
      <c r="EE342" s="11"/>
    </row>
    <row r="343" spans="120:135" x14ac:dyDescent="0.2">
      <c r="DP343" t="s">
        <v>1662</v>
      </c>
      <c r="DQ343" t="s">
        <v>1206</v>
      </c>
      <c r="DR343" t="s">
        <v>1439</v>
      </c>
      <c r="DS343" t="s">
        <v>1428</v>
      </c>
      <c r="DT343" t="s">
        <v>1429</v>
      </c>
      <c r="DU343" t="s">
        <v>1659</v>
      </c>
      <c r="DV343" t="b">
        <v>1</v>
      </c>
      <c r="DW343" t="s">
        <v>1434</v>
      </c>
      <c r="DX343" s="31">
        <v>46143.258568159719</v>
      </c>
      <c r="DZ343" s="5">
        <v>45809</v>
      </c>
      <c r="EA343" s="13" t="s">
        <v>1250</v>
      </c>
      <c r="EB343" s="13" t="s">
        <v>1364</v>
      </c>
      <c r="EC343" s="13" t="s">
        <v>1170</v>
      </c>
      <c r="ED343" s="11">
        <v>142564</v>
      </c>
      <c r="EE343" s="11"/>
    </row>
    <row r="344" spans="120:135" x14ac:dyDescent="0.2">
      <c r="DP344" t="s">
        <v>1205</v>
      </c>
      <c r="DQ344" t="s">
        <v>1206</v>
      </c>
      <c r="DR344" t="s">
        <v>1440</v>
      </c>
      <c r="DS344" t="s">
        <v>1429</v>
      </c>
      <c r="DT344" t="s">
        <v>1429</v>
      </c>
      <c r="DU344" t="s">
        <v>1662</v>
      </c>
      <c r="DV344" t="b">
        <v>0</v>
      </c>
      <c r="DW344" t="s">
        <v>1441</v>
      </c>
      <c r="DX344" s="31">
        <v>46143.258568159719</v>
      </c>
      <c r="DZ344" s="5">
        <v>45809</v>
      </c>
      <c r="EA344" s="13" t="s">
        <v>1250</v>
      </c>
      <c r="EB344" s="13" t="s">
        <v>2294</v>
      </c>
      <c r="EC344" s="13" t="s">
        <v>1170</v>
      </c>
      <c r="ED344" s="11">
        <v>0</v>
      </c>
      <c r="EE344" s="11"/>
    </row>
    <row r="345" spans="120:135" x14ac:dyDescent="0.2">
      <c r="DP345" t="s">
        <v>1663</v>
      </c>
      <c r="DQ345" t="s">
        <v>1664</v>
      </c>
      <c r="DR345" t="s">
        <v>1439</v>
      </c>
      <c r="DS345" t="s">
        <v>1428</v>
      </c>
      <c r="DT345" t="s">
        <v>1429</v>
      </c>
      <c r="DU345" t="s">
        <v>1659</v>
      </c>
      <c r="DV345" t="b">
        <v>1</v>
      </c>
      <c r="DW345" t="s">
        <v>1434</v>
      </c>
      <c r="DX345" s="31">
        <v>46143.258568159719</v>
      </c>
      <c r="DZ345" s="5">
        <v>45809</v>
      </c>
      <c r="EA345" s="13" t="s">
        <v>1250</v>
      </c>
      <c r="EB345" s="13" t="s">
        <v>1388</v>
      </c>
      <c r="EC345" s="13" t="s">
        <v>1170</v>
      </c>
      <c r="ED345" s="11">
        <v>0</v>
      </c>
      <c r="EE345" s="11"/>
    </row>
    <row r="346" spans="120:135" x14ac:dyDescent="0.2">
      <c r="DP346" t="s">
        <v>1207</v>
      </c>
      <c r="DQ346" t="s">
        <v>1208</v>
      </c>
      <c r="DR346" t="s">
        <v>1440</v>
      </c>
      <c r="DS346" t="s">
        <v>1429</v>
      </c>
      <c r="DT346" t="s">
        <v>1429</v>
      </c>
      <c r="DU346" t="s">
        <v>1663</v>
      </c>
      <c r="DV346" t="b">
        <v>0</v>
      </c>
      <c r="DW346" t="s">
        <v>1441</v>
      </c>
      <c r="DX346" s="31">
        <v>46143.258568159719</v>
      </c>
      <c r="DZ346" s="5">
        <v>45839</v>
      </c>
      <c r="EA346" s="13" t="s">
        <v>1252</v>
      </c>
      <c r="EB346" s="13" t="s">
        <v>1375</v>
      </c>
      <c r="EC346" s="13" t="s">
        <v>1106</v>
      </c>
      <c r="ED346" s="11">
        <v>100</v>
      </c>
      <c r="EE346" s="11"/>
    </row>
    <row r="347" spans="120:135" x14ac:dyDescent="0.2">
      <c r="DP347" t="s">
        <v>2193</v>
      </c>
      <c r="DQ347" t="s">
        <v>1210</v>
      </c>
      <c r="DR347" t="s">
        <v>1439</v>
      </c>
      <c r="DS347" t="s">
        <v>1428</v>
      </c>
      <c r="DT347" t="s">
        <v>1429</v>
      </c>
      <c r="DU347" t="s">
        <v>1659</v>
      </c>
      <c r="DV347" t="b">
        <v>1</v>
      </c>
      <c r="DW347" t="s">
        <v>1434</v>
      </c>
      <c r="DX347" s="31">
        <v>46143.258568159719</v>
      </c>
      <c r="DZ347" s="5">
        <v>45839</v>
      </c>
      <c r="EA347" s="13" t="s">
        <v>1252</v>
      </c>
      <c r="EB347" s="13" t="s">
        <v>1377</v>
      </c>
      <c r="EC347" s="13" t="s">
        <v>1106</v>
      </c>
      <c r="ED347" s="11">
        <v>0</v>
      </c>
      <c r="EE347" s="11"/>
    </row>
    <row r="348" spans="120:135" x14ac:dyDescent="0.2">
      <c r="DP348" t="s">
        <v>1209</v>
      </c>
      <c r="DQ348" t="s">
        <v>1210</v>
      </c>
      <c r="DR348" t="s">
        <v>1440</v>
      </c>
      <c r="DS348" t="s">
        <v>1429</v>
      </c>
      <c r="DT348" t="s">
        <v>1429</v>
      </c>
      <c r="DU348" t="s">
        <v>2193</v>
      </c>
      <c r="DV348" t="b">
        <v>0</v>
      </c>
      <c r="DW348" t="s">
        <v>1441</v>
      </c>
      <c r="DX348" s="31">
        <v>46143.258568159719</v>
      </c>
      <c r="DZ348" s="5">
        <v>45839</v>
      </c>
      <c r="EA348" s="13" t="s">
        <v>1252</v>
      </c>
      <c r="EB348" s="13" t="s">
        <v>2202</v>
      </c>
      <c r="EC348" s="13" t="s">
        <v>1106</v>
      </c>
      <c r="ED348" s="11">
        <v>200</v>
      </c>
      <c r="EE348" s="11"/>
    </row>
    <row r="349" spans="120:135" x14ac:dyDescent="0.2">
      <c r="DP349" t="s">
        <v>1665</v>
      </c>
      <c r="DQ349" t="s">
        <v>1212</v>
      </c>
      <c r="DR349" t="s">
        <v>1439</v>
      </c>
      <c r="DS349" t="s">
        <v>1428</v>
      </c>
      <c r="DT349" t="s">
        <v>1429</v>
      </c>
      <c r="DU349" t="s">
        <v>1659</v>
      </c>
      <c r="DV349" t="b">
        <v>1</v>
      </c>
      <c r="DW349" t="s">
        <v>1434</v>
      </c>
      <c r="DX349" s="31">
        <v>46143.258568159719</v>
      </c>
      <c r="DZ349" s="5">
        <v>45839</v>
      </c>
      <c r="EA349" s="13" t="s">
        <v>1252</v>
      </c>
      <c r="EB349" s="13" t="s">
        <v>1374</v>
      </c>
      <c r="EC349" s="13" t="s">
        <v>1106</v>
      </c>
      <c r="ED349" s="11">
        <v>0</v>
      </c>
      <c r="EE349" s="11"/>
    </row>
    <row r="350" spans="120:135" x14ac:dyDescent="0.2">
      <c r="DP350" t="s">
        <v>1211</v>
      </c>
      <c r="DQ350" t="s">
        <v>1212</v>
      </c>
      <c r="DR350" t="s">
        <v>1440</v>
      </c>
      <c r="DS350" t="s">
        <v>1429</v>
      </c>
      <c r="DT350" t="s">
        <v>1429</v>
      </c>
      <c r="DU350" t="s">
        <v>1665</v>
      </c>
      <c r="DV350" t="b">
        <v>0</v>
      </c>
      <c r="DW350" t="s">
        <v>1441</v>
      </c>
      <c r="DX350" s="31">
        <v>46143.258568159719</v>
      </c>
      <c r="DZ350" s="5">
        <v>45839</v>
      </c>
      <c r="EA350" s="13" t="s">
        <v>1252</v>
      </c>
      <c r="EB350" s="13" t="s">
        <v>1403</v>
      </c>
      <c r="EC350" s="13" t="s">
        <v>1106</v>
      </c>
      <c r="ED350" s="11">
        <v>0</v>
      </c>
      <c r="EE350" s="11"/>
    </row>
    <row r="351" spans="120:135" x14ac:dyDescent="0.2">
      <c r="DP351" t="s">
        <v>1666</v>
      </c>
      <c r="DQ351" t="s">
        <v>1598</v>
      </c>
      <c r="DR351" t="s">
        <v>1437</v>
      </c>
      <c r="DS351" t="s">
        <v>1428</v>
      </c>
      <c r="DT351" t="s">
        <v>1429</v>
      </c>
      <c r="DU351" t="s">
        <v>1642</v>
      </c>
      <c r="DV351" t="b">
        <v>1</v>
      </c>
      <c r="DW351" t="s">
        <v>1434</v>
      </c>
      <c r="DX351" s="31">
        <v>46143.258568159719</v>
      </c>
      <c r="DZ351" s="5">
        <v>45839</v>
      </c>
      <c r="EA351" s="13" t="s">
        <v>1252</v>
      </c>
      <c r="EB351" s="13" t="s">
        <v>1388</v>
      </c>
      <c r="EC351" s="13" t="s">
        <v>1106</v>
      </c>
      <c r="ED351" s="11">
        <v>0</v>
      </c>
      <c r="EE351" s="11"/>
    </row>
    <row r="352" spans="120:135" x14ac:dyDescent="0.2">
      <c r="DP352" t="s">
        <v>1667</v>
      </c>
      <c r="DQ352" t="s">
        <v>1166</v>
      </c>
      <c r="DR352" t="s">
        <v>1439</v>
      </c>
      <c r="DS352" t="s">
        <v>1428</v>
      </c>
      <c r="DT352" t="s">
        <v>1429</v>
      </c>
      <c r="DU352" t="s">
        <v>1666</v>
      </c>
      <c r="DV352" t="b">
        <v>1</v>
      </c>
      <c r="DW352" t="s">
        <v>1434</v>
      </c>
      <c r="DX352" s="31">
        <v>46143.258568159719</v>
      </c>
      <c r="DZ352" s="5">
        <v>45839</v>
      </c>
      <c r="EA352" s="13" t="s">
        <v>1251</v>
      </c>
      <c r="EB352" s="13" t="s">
        <v>1379</v>
      </c>
      <c r="EC352" s="13" t="s">
        <v>1212</v>
      </c>
      <c r="ED352" s="11">
        <v>125000</v>
      </c>
      <c r="EE352" s="11"/>
    </row>
    <row r="353" spans="120:135" x14ac:dyDescent="0.2">
      <c r="DP353" t="s">
        <v>1213</v>
      </c>
      <c r="DQ353" t="s">
        <v>1166</v>
      </c>
      <c r="DR353" t="s">
        <v>1440</v>
      </c>
      <c r="DS353" t="s">
        <v>1429</v>
      </c>
      <c r="DT353" t="s">
        <v>1429</v>
      </c>
      <c r="DU353" t="s">
        <v>1667</v>
      </c>
      <c r="DV353" t="b">
        <v>0</v>
      </c>
      <c r="DW353" t="s">
        <v>1441</v>
      </c>
      <c r="DX353" s="31">
        <v>46143.258568159719</v>
      </c>
      <c r="DZ353" s="5">
        <v>45839</v>
      </c>
      <c r="EA353" s="13" t="s">
        <v>1251</v>
      </c>
      <c r="EB353" s="13" t="s">
        <v>2203</v>
      </c>
      <c r="EC353" s="13" t="s">
        <v>1212</v>
      </c>
      <c r="ED353" s="11">
        <v>575000</v>
      </c>
      <c r="EE353" s="11"/>
    </row>
    <row r="354" spans="120:135" x14ac:dyDescent="0.2">
      <c r="DP354" t="s">
        <v>1668</v>
      </c>
      <c r="DQ354" t="s">
        <v>1215</v>
      </c>
      <c r="DR354" t="s">
        <v>1439</v>
      </c>
      <c r="DS354" t="s">
        <v>1428</v>
      </c>
      <c r="DT354" t="s">
        <v>1429</v>
      </c>
      <c r="DU354" t="s">
        <v>1666</v>
      </c>
      <c r="DV354" t="b">
        <v>1</v>
      </c>
      <c r="DW354" t="s">
        <v>1434</v>
      </c>
      <c r="DX354" s="31">
        <v>46143.258568159719</v>
      </c>
      <c r="DZ354" s="5">
        <v>45839</v>
      </c>
      <c r="EA354" s="13" t="s">
        <v>1251</v>
      </c>
      <c r="EB354" s="13" t="s">
        <v>2204</v>
      </c>
      <c r="EC354" s="13" t="s">
        <v>1212</v>
      </c>
      <c r="ED354" s="11">
        <v>427560</v>
      </c>
      <c r="EE354" s="11"/>
    </row>
    <row r="355" spans="120:135" x14ac:dyDescent="0.2">
      <c r="DP355" t="s">
        <v>1214</v>
      </c>
      <c r="DQ355" t="s">
        <v>1215</v>
      </c>
      <c r="DR355" t="s">
        <v>1440</v>
      </c>
      <c r="DS355" t="s">
        <v>1429</v>
      </c>
      <c r="DT355" t="s">
        <v>1429</v>
      </c>
      <c r="DU355" t="s">
        <v>1668</v>
      </c>
      <c r="DV355" t="b">
        <v>0</v>
      </c>
      <c r="DW355" t="s">
        <v>1441</v>
      </c>
      <c r="DX355" s="31">
        <v>46143.258568159719</v>
      </c>
      <c r="DZ355" s="5">
        <v>45839</v>
      </c>
      <c r="EA355" s="13" t="s">
        <v>1251</v>
      </c>
      <c r="EB355" s="13" t="s">
        <v>1380</v>
      </c>
      <c r="EC355" s="13" t="s">
        <v>1212</v>
      </c>
      <c r="ED355" s="11">
        <v>665100</v>
      </c>
      <c r="EE355" s="11"/>
    </row>
    <row r="356" spans="120:135" x14ac:dyDescent="0.2">
      <c r="DP356" t="s">
        <v>1669</v>
      </c>
      <c r="DQ356" t="s">
        <v>1217</v>
      </c>
      <c r="DR356" t="s">
        <v>1439</v>
      </c>
      <c r="DS356" t="s">
        <v>1428</v>
      </c>
      <c r="DT356" t="s">
        <v>1429</v>
      </c>
      <c r="DU356" t="s">
        <v>1666</v>
      </c>
      <c r="DV356" t="b">
        <v>1</v>
      </c>
      <c r="DW356" t="s">
        <v>1434</v>
      </c>
      <c r="DX356" s="31">
        <v>46143.258568159719</v>
      </c>
      <c r="DZ356" s="5">
        <v>45839</v>
      </c>
      <c r="EA356" s="13" t="s">
        <v>1250</v>
      </c>
      <c r="EB356" s="13" t="s">
        <v>1360</v>
      </c>
      <c r="EC356" s="13" t="s">
        <v>1124</v>
      </c>
      <c r="ED356" s="11">
        <v>195800</v>
      </c>
      <c r="EE356" s="11"/>
    </row>
    <row r="357" spans="120:135" x14ac:dyDescent="0.2">
      <c r="DP357" t="s">
        <v>1216</v>
      </c>
      <c r="DQ357" t="s">
        <v>1217</v>
      </c>
      <c r="DR357" t="s">
        <v>1440</v>
      </c>
      <c r="DS357" t="s">
        <v>1429</v>
      </c>
      <c r="DT357" t="s">
        <v>1429</v>
      </c>
      <c r="DU357" t="s">
        <v>1669</v>
      </c>
      <c r="DV357" t="b">
        <v>0</v>
      </c>
      <c r="DW357" t="s">
        <v>1441</v>
      </c>
      <c r="DX357" s="31">
        <v>46143.258568159719</v>
      </c>
      <c r="DZ357" s="5">
        <v>45839</v>
      </c>
      <c r="EA357" s="13" t="s">
        <v>1251</v>
      </c>
      <c r="EB357" s="13" t="s">
        <v>1360</v>
      </c>
      <c r="EC357" s="13" t="s">
        <v>1124</v>
      </c>
      <c r="ED357" s="11">
        <v>399400</v>
      </c>
      <c r="EE357" s="11"/>
    </row>
    <row r="358" spans="120:135" x14ac:dyDescent="0.2">
      <c r="DP358" t="s">
        <v>1670</v>
      </c>
      <c r="DQ358" t="s">
        <v>1671</v>
      </c>
      <c r="DR358" t="s">
        <v>1433</v>
      </c>
      <c r="DS358" t="s">
        <v>1428</v>
      </c>
      <c r="DT358" t="s">
        <v>1429</v>
      </c>
      <c r="DU358" t="s">
        <v>1600</v>
      </c>
      <c r="DV358" t="b">
        <v>1</v>
      </c>
      <c r="DW358" t="s">
        <v>1434</v>
      </c>
      <c r="DX358" s="31">
        <v>46143.258568159719</v>
      </c>
      <c r="DZ358" s="5">
        <v>45839</v>
      </c>
      <c r="EA358" s="13" t="s">
        <v>1251</v>
      </c>
      <c r="EB358" s="13" t="s">
        <v>1338</v>
      </c>
      <c r="EC358" s="13" t="s">
        <v>1121</v>
      </c>
      <c r="ED358" s="11">
        <v>17800</v>
      </c>
      <c r="EE358" s="11"/>
    </row>
    <row r="359" spans="120:135" x14ac:dyDescent="0.2">
      <c r="DP359" t="s">
        <v>1672</v>
      </c>
      <c r="DQ359" t="s">
        <v>1595</v>
      </c>
      <c r="DR359" t="s">
        <v>1437</v>
      </c>
      <c r="DS359" t="s">
        <v>1428</v>
      </c>
      <c r="DT359" t="s">
        <v>1429</v>
      </c>
      <c r="DU359" t="s">
        <v>1670</v>
      </c>
      <c r="DV359" t="b">
        <v>1</v>
      </c>
      <c r="DW359" t="s">
        <v>1434</v>
      </c>
      <c r="DX359" s="31">
        <v>46143.258568159719</v>
      </c>
      <c r="DZ359" s="5">
        <v>45839</v>
      </c>
      <c r="EA359" s="13" t="s">
        <v>1250</v>
      </c>
      <c r="EB359" s="13" t="s">
        <v>1338</v>
      </c>
      <c r="EC359" s="13" t="s">
        <v>1121</v>
      </c>
      <c r="ED359" s="11">
        <v>8600</v>
      </c>
      <c r="EE359" s="11"/>
    </row>
    <row r="360" spans="120:135" x14ac:dyDescent="0.2">
      <c r="DP360" t="s">
        <v>1673</v>
      </c>
      <c r="DQ360" t="s">
        <v>1219</v>
      </c>
      <c r="DR360" t="s">
        <v>1439</v>
      </c>
      <c r="DS360" t="s">
        <v>1428</v>
      </c>
      <c r="DT360" t="s">
        <v>1429</v>
      </c>
      <c r="DU360" t="s">
        <v>1672</v>
      </c>
      <c r="DV360" t="b">
        <v>1</v>
      </c>
      <c r="DW360" t="s">
        <v>1434</v>
      </c>
      <c r="DX360" s="31">
        <v>46143.258568159719</v>
      </c>
      <c r="DZ360" s="5">
        <v>45839</v>
      </c>
      <c r="EA360" s="13" t="s">
        <v>1250</v>
      </c>
      <c r="EB360" s="13" t="s">
        <v>2287</v>
      </c>
      <c r="EC360" s="13" t="s">
        <v>1016</v>
      </c>
      <c r="ED360" s="11">
        <v>0</v>
      </c>
      <c r="EE360" s="11"/>
    </row>
    <row r="361" spans="120:135" x14ac:dyDescent="0.2">
      <c r="DP361" t="s">
        <v>1218</v>
      </c>
      <c r="DQ361" t="s">
        <v>1219</v>
      </c>
      <c r="DR361" t="s">
        <v>1440</v>
      </c>
      <c r="DS361" t="s">
        <v>1429</v>
      </c>
      <c r="DT361" t="s">
        <v>1429</v>
      </c>
      <c r="DU361" t="s">
        <v>1673</v>
      </c>
      <c r="DV361" t="b">
        <v>0</v>
      </c>
      <c r="DW361" t="s">
        <v>1441</v>
      </c>
      <c r="DX361" s="31">
        <v>46143.258568159719</v>
      </c>
      <c r="DZ361" s="5">
        <v>45839</v>
      </c>
      <c r="EA361" s="13" t="s">
        <v>1251</v>
      </c>
      <c r="EB361" s="13" t="s">
        <v>1340</v>
      </c>
      <c r="EC361" s="13" t="s">
        <v>1126</v>
      </c>
      <c r="ED361" s="11">
        <v>127600</v>
      </c>
      <c r="EE361" s="11"/>
    </row>
    <row r="362" spans="120:135" x14ac:dyDescent="0.2">
      <c r="DP362" t="s">
        <v>1674</v>
      </c>
      <c r="DQ362" t="s">
        <v>1166</v>
      </c>
      <c r="DR362" t="s">
        <v>1439</v>
      </c>
      <c r="DS362" t="s">
        <v>1428</v>
      </c>
      <c r="DT362" t="s">
        <v>1429</v>
      </c>
      <c r="DU362" t="s">
        <v>1672</v>
      </c>
      <c r="DV362" t="b">
        <v>1</v>
      </c>
      <c r="DW362" t="s">
        <v>1434</v>
      </c>
      <c r="DX362" s="31">
        <v>46143.258568159719</v>
      </c>
      <c r="DZ362" s="5">
        <v>45839</v>
      </c>
      <c r="EA362" s="13" t="s">
        <v>1250</v>
      </c>
      <c r="EB362" s="13" t="s">
        <v>1340</v>
      </c>
      <c r="EC362" s="13" t="s">
        <v>1126</v>
      </c>
      <c r="ED362" s="11">
        <v>65300</v>
      </c>
      <c r="EE362" s="11"/>
    </row>
    <row r="363" spans="120:135" x14ac:dyDescent="0.2">
      <c r="DP363" t="s">
        <v>1220</v>
      </c>
      <c r="DQ363" t="s">
        <v>1166</v>
      </c>
      <c r="DR363" t="s">
        <v>1440</v>
      </c>
      <c r="DS363" t="s">
        <v>1429</v>
      </c>
      <c r="DT363" t="s">
        <v>1429</v>
      </c>
      <c r="DU363" t="s">
        <v>1674</v>
      </c>
      <c r="DV363" t="b">
        <v>0</v>
      </c>
      <c r="DW363" t="s">
        <v>1441</v>
      </c>
      <c r="DX363" s="31">
        <v>46143.258568159719</v>
      </c>
      <c r="DZ363" s="5">
        <v>45839</v>
      </c>
      <c r="EA363" s="13" t="s">
        <v>1251</v>
      </c>
      <c r="EB363" s="13" t="s">
        <v>1341</v>
      </c>
      <c r="EC363" s="13" t="s">
        <v>1142</v>
      </c>
      <c r="ED363" s="11">
        <v>2400000</v>
      </c>
      <c r="EE363" s="11"/>
    </row>
    <row r="364" spans="120:135" x14ac:dyDescent="0.2">
      <c r="DP364" t="s">
        <v>1675</v>
      </c>
      <c r="DQ364" t="s">
        <v>1102</v>
      </c>
      <c r="DR364" t="s">
        <v>1439</v>
      </c>
      <c r="DS364" t="s">
        <v>1428</v>
      </c>
      <c r="DT364" t="s">
        <v>1429</v>
      </c>
      <c r="DU364" t="s">
        <v>1672</v>
      </c>
      <c r="DV364" t="b">
        <v>1</v>
      </c>
      <c r="DW364" t="s">
        <v>1434</v>
      </c>
      <c r="DX364" s="31">
        <v>46143.258568159719</v>
      </c>
      <c r="DZ364" s="5">
        <v>45839</v>
      </c>
      <c r="EA364" s="13" t="s">
        <v>1251</v>
      </c>
      <c r="EB364" s="13" t="s">
        <v>1342</v>
      </c>
      <c r="EC364" s="13" t="s">
        <v>1142</v>
      </c>
      <c r="ED364" s="11">
        <v>0</v>
      </c>
      <c r="EE364" s="11"/>
    </row>
    <row r="365" spans="120:135" x14ac:dyDescent="0.2">
      <c r="DP365" t="s">
        <v>1221</v>
      </c>
      <c r="DQ365" t="s">
        <v>1222</v>
      </c>
      <c r="DR365" t="s">
        <v>1440</v>
      </c>
      <c r="DS365" t="s">
        <v>1429</v>
      </c>
      <c r="DT365" t="s">
        <v>1429</v>
      </c>
      <c r="DU365" t="s">
        <v>1675</v>
      </c>
      <c r="DV365" t="b">
        <v>0</v>
      </c>
      <c r="DW365" t="s">
        <v>1441</v>
      </c>
      <c r="DX365" s="31">
        <v>46143.258568159719</v>
      </c>
      <c r="DZ365" s="5">
        <v>45839</v>
      </c>
      <c r="EA365" s="13" t="s">
        <v>1250</v>
      </c>
      <c r="EB365" s="13" t="s">
        <v>2205</v>
      </c>
      <c r="EC365" s="13" t="s">
        <v>1138</v>
      </c>
      <c r="ED365" s="11">
        <v>0</v>
      </c>
      <c r="EE365" s="11"/>
    </row>
    <row r="366" spans="120:135" x14ac:dyDescent="0.2">
      <c r="DP366" t="s">
        <v>1676</v>
      </c>
      <c r="DQ366" t="s">
        <v>1224</v>
      </c>
      <c r="DR366" t="s">
        <v>1439</v>
      </c>
      <c r="DS366" t="s">
        <v>1428</v>
      </c>
      <c r="DT366" t="s">
        <v>1429</v>
      </c>
      <c r="DU366" t="s">
        <v>1672</v>
      </c>
      <c r="DV366" t="b">
        <v>1</v>
      </c>
      <c r="DW366" t="s">
        <v>1434</v>
      </c>
      <c r="DX366" s="31">
        <v>46143.258568159719</v>
      </c>
      <c r="DZ366" s="5">
        <v>45839</v>
      </c>
      <c r="EA366" s="13" t="s">
        <v>1250</v>
      </c>
      <c r="EB366" s="13" t="s">
        <v>1358</v>
      </c>
      <c r="EC366" s="13" t="s">
        <v>1110</v>
      </c>
      <c r="ED366" s="11">
        <v>200000</v>
      </c>
      <c r="EE366" s="11"/>
    </row>
    <row r="367" spans="120:135" x14ac:dyDescent="0.2">
      <c r="DP367" t="s">
        <v>1223</v>
      </c>
      <c r="DQ367" t="s">
        <v>1224</v>
      </c>
      <c r="DR367" t="s">
        <v>1440</v>
      </c>
      <c r="DS367" t="s">
        <v>1429</v>
      </c>
      <c r="DT367" t="s">
        <v>1429</v>
      </c>
      <c r="DU367" t="s">
        <v>1676</v>
      </c>
      <c r="DV367" t="b">
        <v>0</v>
      </c>
      <c r="DW367" t="s">
        <v>1441</v>
      </c>
      <c r="DX367" s="31">
        <v>46143.258568159719</v>
      </c>
      <c r="DZ367" s="5">
        <v>45839</v>
      </c>
      <c r="EA367" s="13" t="s">
        <v>1251</v>
      </c>
      <c r="EB367" s="13" t="s">
        <v>2206</v>
      </c>
      <c r="EC367" s="13" t="s">
        <v>1187</v>
      </c>
      <c r="ED367" s="11">
        <v>200000</v>
      </c>
      <c r="EE367" s="11"/>
    </row>
    <row r="368" spans="120:135" x14ac:dyDescent="0.2">
      <c r="DP368" t="s">
        <v>1677</v>
      </c>
      <c r="DQ368" t="s">
        <v>1678</v>
      </c>
      <c r="DR368" t="s">
        <v>1439</v>
      </c>
      <c r="DS368" t="s">
        <v>1428</v>
      </c>
      <c r="DT368" t="s">
        <v>1429</v>
      </c>
      <c r="DU368" t="s">
        <v>1672</v>
      </c>
      <c r="DV368" t="b">
        <v>1</v>
      </c>
      <c r="DW368" t="s">
        <v>1434</v>
      </c>
      <c r="DX368" s="31">
        <v>46143.258568159719</v>
      </c>
      <c r="DZ368" s="5">
        <v>45839</v>
      </c>
      <c r="EA368" s="13" t="s">
        <v>1250</v>
      </c>
      <c r="EB368" s="13" t="s">
        <v>1358</v>
      </c>
      <c r="EC368" s="13" t="s">
        <v>1132</v>
      </c>
      <c r="ED368" s="11">
        <v>338520</v>
      </c>
      <c r="EE368" s="11"/>
    </row>
    <row r="369" spans="120:135" x14ac:dyDescent="0.2">
      <c r="DP369" t="s">
        <v>1225</v>
      </c>
      <c r="DQ369" t="s">
        <v>1226</v>
      </c>
      <c r="DR369" t="s">
        <v>1440</v>
      </c>
      <c r="DS369" t="s">
        <v>1429</v>
      </c>
      <c r="DT369" t="s">
        <v>1429</v>
      </c>
      <c r="DU369" t="s">
        <v>1677</v>
      </c>
      <c r="DV369" t="b">
        <v>0</v>
      </c>
      <c r="DW369" t="s">
        <v>1441</v>
      </c>
      <c r="DX369" s="31">
        <v>46143.258568159719</v>
      </c>
      <c r="DZ369" s="5">
        <v>45839</v>
      </c>
      <c r="EA369" s="13" t="s">
        <v>1250</v>
      </c>
      <c r="EB369" s="13" t="s">
        <v>2211</v>
      </c>
      <c r="EC369" s="13" t="s">
        <v>1172</v>
      </c>
      <c r="ED369" s="11">
        <v>0</v>
      </c>
      <c r="EE369" s="11"/>
    </row>
    <row r="370" spans="120:135" x14ac:dyDescent="0.2">
      <c r="DP370" t="s">
        <v>1679</v>
      </c>
      <c r="DQ370" t="s">
        <v>1680</v>
      </c>
      <c r="DR370" t="s">
        <v>1437</v>
      </c>
      <c r="DS370" t="s">
        <v>1428</v>
      </c>
      <c r="DT370" t="s">
        <v>1429</v>
      </c>
      <c r="DU370" t="s">
        <v>1670</v>
      </c>
      <c r="DV370" t="b">
        <v>1</v>
      </c>
      <c r="DW370" t="s">
        <v>1434</v>
      </c>
      <c r="DX370" s="31">
        <v>46143.258568159719</v>
      </c>
      <c r="DZ370" s="5">
        <v>45839</v>
      </c>
      <c r="EA370" s="13" t="s">
        <v>1250</v>
      </c>
      <c r="EB370" s="13" t="s">
        <v>1414</v>
      </c>
      <c r="EC370" s="13" t="s">
        <v>1172</v>
      </c>
      <c r="ED370" s="11">
        <v>81500</v>
      </c>
      <c r="EE370" s="11"/>
    </row>
    <row r="371" spans="120:135" x14ac:dyDescent="0.2">
      <c r="DP371" t="s">
        <v>2194</v>
      </c>
      <c r="DQ371" t="s">
        <v>2195</v>
      </c>
      <c r="DR371" t="s">
        <v>1439</v>
      </c>
      <c r="DS371" t="s">
        <v>1428</v>
      </c>
      <c r="DT371" t="s">
        <v>1429</v>
      </c>
      <c r="DU371" t="s">
        <v>1679</v>
      </c>
      <c r="DV371" t="b">
        <v>1</v>
      </c>
      <c r="DW371" t="s">
        <v>1434</v>
      </c>
      <c r="DX371" s="31">
        <v>46143.258568159719</v>
      </c>
      <c r="DZ371" s="5">
        <v>45839</v>
      </c>
      <c r="EA371" s="13" t="s">
        <v>1250</v>
      </c>
      <c r="EB371" s="13" t="s">
        <v>1391</v>
      </c>
      <c r="EC371" s="13" t="s">
        <v>1172</v>
      </c>
      <c r="ED371" s="11">
        <v>0</v>
      </c>
      <c r="EE371" s="11"/>
    </row>
    <row r="372" spans="120:135" x14ac:dyDescent="0.2">
      <c r="DP372" t="s">
        <v>1227</v>
      </c>
      <c r="DQ372" t="s">
        <v>1228</v>
      </c>
      <c r="DR372" t="s">
        <v>1440</v>
      </c>
      <c r="DS372" t="s">
        <v>1429</v>
      </c>
      <c r="DT372" t="s">
        <v>1429</v>
      </c>
      <c r="DU372" t="s">
        <v>2194</v>
      </c>
      <c r="DV372" t="b">
        <v>0</v>
      </c>
      <c r="DW372" t="s">
        <v>1441</v>
      </c>
      <c r="DX372" s="31">
        <v>46143.258568159719</v>
      </c>
      <c r="DZ372" s="5">
        <v>45839</v>
      </c>
      <c r="EA372" s="13" t="s">
        <v>1250</v>
      </c>
      <c r="EB372" s="13" t="s">
        <v>2288</v>
      </c>
      <c r="EC372" s="13" t="s">
        <v>1172</v>
      </c>
      <c r="ED372" s="11">
        <v>0</v>
      </c>
      <c r="EE372" s="11"/>
    </row>
    <row r="373" spans="120:135" x14ac:dyDescent="0.2">
      <c r="DP373" t="s">
        <v>1681</v>
      </c>
      <c r="DQ373" t="s">
        <v>1230</v>
      </c>
      <c r="DR373" t="s">
        <v>1439</v>
      </c>
      <c r="DS373" t="s">
        <v>1428</v>
      </c>
      <c r="DT373" t="s">
        <v>1429</v>
      </c>
      <c r="DU373" t="s">
        <v>1679</v>
      </c>
      <c r="DV373" t="b">
        <v>1</v>
      </c>
      <c r="DW373" t="s">
        <v>1434</v>
      </c>
      <c r="DX373" s="31">
        <v>46143.258568159719</v>
      </c>
      <c r="DZ373" s="5">
        <v>45839</v>
      </c>
      <c r="EA373" s="13" t="s">
        <v>1250</v>
      </c>
      <c r="EB373" s="13" t="s">
        <v>2277</v>
      </c>
      <c r="EC373" s="13" t="s">
        <v>1172</v>
      </c>
      <c r="ED373" s="11">
        <v>0</v>
      </c>
      <c r="EE373" s="11"/>
    </row>
    <row r="374" spans="120:135" x14ac:dyDescent="0.2">
      <c r="DP374" t="s">
        <v>1229</v>
      </c>
      <c r="DQ374" t="s">
        <v>1230</v>
      </c>
      <c r="DR374" t="s">
        <v>1440</v>
      </c>
      <c r="DS374" t="s">
        <v>1429</v>
      </c>
      <c r="DT374" t="s">
        <v>1429</v>
      </c>
      <c r="DU374" t="s">
        <v>1681</v>
      </c>
      <c r="DV374" t="b">
        <v>0</v>
      </c>
      <c r="DW374" t="s">
        <v>1441</v>
      </c>
      <c r="DX374" s="31">
        <v>46143.258568159719</v>
      </c>
      <c r="DZ374" s="5">
        <v>45839</v>
      </c>
      <c r="EA374" s="13" t="s">
        <v>1250</v>
      </c>
      <c r="EB374" s="13" t="s">
        <v>1392</v>
      </c>
      <c r="EC374" s="13" t="s">
        <v>1172</v>
      </c>
      <c r="ED374" s="11">
        <v>0</v>
      </c>
      <c r="EE374" s="11"/>
    </row>
    <row r="375" spans="120:135" x14ac:dyDescent="0.2">
      <c r="DP375" t="s">
        <v>1682</v>
      </c>
      <c r="DQ375" t="s">
        <v>1683</v>
      </c>
      <c r="DR375" t="s">
        <v>1437</v>
      </c>
      <c r="DS375" t="s">
        <v>1428</v>
      </c>
      <c r="DT375" t="s">
        <v>1429</v>
      </c>
      <c r="DU375" t="s">
        <v>1670</v>
      </c>
      <c r="DV375" t="b">
        <v>1</v>
      </c>
      <c r="DW375" t="s">
        <v>1434</v>
      </c>
      <c r="DX375" s="31">
        <v>46143.258568159719</v>
      </c>
      <c r="DZ375" s="5">
        <v>45839</v>
      </c>
      <c r="EA375" s="13" t="s">
        <v>1250</v>
      </c>
      <c r="EB375" s="13" t="s">
        <v>1396</v>
      </c>
      <c r="EC375" s="13" t="s">
        <v>1172</v>
      </c>
      <c r="ED375" s="11">
        <v>366237</v>
      </c>
      <c r="EE375" s="11"/>
    </row>
    <row r="376" spans="120:135" x14ac:dyDescent="0.2">
      <c r="DP376" t="s">
        <v>1684</v>
      </c>
      <c r="DQ376" t="s">
        <v>1106</v>
      </c>
      <c r="DR376" t="s">
        <v>1439</v>
      </c>
      <c r="DS376" t="s">
        <v>1428</v>
      </c>
      <c r="DT376" t="s">
        <v>1429</v>
      </c>
      <c r="DU376" t="s">
        <v>1682</v>
      </c>
      <c r="DV376" t="b">
        <v>1</v>
      </c>
      <c r="DW376" t="s">
        <v>1434</v>
      </c>
      <c r="DX376" s="31">
        <v>46143.258568159719</v>
      </c>
      <c r="DZ376" s="5">
        <v>45839</v>
      </c>
      <c r="EA376" s="13" t="s">
        <v>1250</v>
      </c>
      <c r="EB376" s="13" t="s">
        <v>1362</v>
      </c>
      <c r="EC376" s="13" t="s">
        <v>1172</v>
      </c>
      <c r="ED376" s="11">
        <v>164200</v>
      </c>
      <c r="EE376" s="11"/>
    </row>
    <row r="377" spans="120:135" x14ac:dyDescent="0.2">
      <c r="DP377" t="s">
        <v>1231</v>
      </c>
      <c r="DQ377" t="s">
        <v>1106</v>
      </c>
      <c r="DR377" t="s">
        <v>1440</v>
      </c>
      <c r="DS377" t="s">
        <v>1429</v>
      </c>
      <c r="DT377" t="s">
        <v>1429</v>
      </c>
      <c r="DU377" t="s">
        <v>1684</v>
      </c>
      <c r="DV377" t="b">
        <v>0</v>
      </c>
      <c r="DW377" t="s">
        <v>1441</v>
      </c>
      <c r="DX377" s="31">
        <v>46143.258568159719</v>
      </c>
      <c r="DZ377" s="5">
        <v>45839</v>
      </c>
      <c r="EA377" s="13" t="s">
        <v>1250</v>
      </c>
      <c r="EB377" s="13" t="s">
        <v>2210</v>
      </c>
      <c r="EC377" s="13" t="s">
        <v>1172</v>
      </c>
      <c r="ED377" s="11">
        <v>0</v>
      </c>
      <c r="EE377" s="11"/>
    </row>
    <row r="378" spans="120:135" x14ac:dyDescent="0.2">
      <c r="DP378" t="s">
        <v>2196</v>
      </c>
      <c r="DQ378" t="s">
        <v>1233</v>
      </c>
      <c r="DR378" t="s">
        <v>1433</v>
      </c>
      <c r="DS378" t="s">
        <v>1428</v>
      </c>
      <c r="DT378" t="s">
        <v>1429</v>
      </c>
      <c r="DU378" t="s">
        <v>1600</v>
      </c>
      <c r="DV378" t="b">
        <v>1</v>
      </c>
      <c r="DW378" t="s">
        <v>1434</v>
      </c>
      <c r="DX378" s="31">
        <v>46143.258568159719</v>
      </c>
      <c r="DZ378" s="5">
        <v>45839</v>
      </c>
      <c r="EA378" s="13" t="s">
        <v>1250</v>
      </c>
      <c r="EB378" s="13" t="s">
        <v>2208</v>
      </c>
      <c r="EC378" s="13" t="s">
        <v>1172</v>
      </c>
      <c r="ED378" s="11">
        <v>0</v>
      </c>
      <c r="EE378" s="11"/>
    </row>
    <row r="379" spans="120:135" x14ac:dyDescent="0.2">
      <c r="DP379" t="s">
        <v>2197</v>
      </c>
      <c r="DQ379" t="s">
        <v>1233</v>
      </c>
      <c r="DR379" t="s">
        <v>1437</v>
      </c>
      <c r="DS379" t="s">
        <v>1428</v>
      </c>
      <c r="DT379" t="s">
        <v>1429</v>
      </c>
      <c r="DU379" t="s">
        <v>2196</v>
      </c>
      <c r="DV379" t="b">
        <v>1</v>
      </c>
      <c r="DW379" t="s">
        <v>1434</v>
      </c>
      <c r="DX379" s="31">
        <v>46143.258568159719</v>
      </c>
      <c r="DZ379" s="5">
        <v>45839</v>
      </c>
      <c r="EA379" s="13" t="s">
        <v>1250</v>
      </c>
      <c r="EB379" s="13" t="s">
        <v>2209</v>
      </c>
      <c r="EC379" s="13" t="s">
        <v>1172</v>
      </c>
      <c r="ED379" s="11">
        <v>0</v>
      </c>
      <c r="EE379" s="11"/>
    </row>
    <row r="380" spans="120:135" x14ac:dyDescent="0.2">
      <c r="DP380" t="s">
        <v>2198</v>
      </c>
      <c r="DQ380" t="s">
        <v>1233</v>
      </c>
      <c r="DR380" t="s">
        <v>1439</v>
      </c>
      <c r="DS380" t="s">
        <v>1428</v>
      </c>
      <c r="DT380" t="s">
        <v>1429</v>
      </c>
      <c r="DU380" t="s">
        <v>2197</v>
      </c>
      <c r="DV380" t="b">
        <v>1</v>
      </c>
      <c r="DW380" t="s">
        <v>1434</v>
      </c>
      <c r="DX380" s="31">
        <v>46143.258568159719</v>
      </c>
      <c r="DZ380" s="5">
        <v>45839</v>
      </c>
      <c r="EA380" s="13" t="s">
        <v>1250</v>
      </c>
      <c r="EB380" s="13" t="s">
        <v>2207</v>
      </c>
      <c r="EC380" s="13" t="s">
        <v>1172</v>
      </c>
      <c r="ED380" s="11">
        <v>0</v>
      </c>
      <c r="EE380" s="11"/>
    </row>
    <row r="381" spans="120:135" x14ac:dyDescent="0.2">
      <c r="DP381" t="s">
        <v>1232</v>
      </c>
      <c r="DQ381" t="s">
        <v>1233</v>
      </c>
      <c r="DR381" t="s">
        <v>1440</v>
      </c>
      <c r="DS381" t="s">
        <v>1429</v>
      </c>
      <c r="DT381" t="s">
        <v>1429</v>
      </c>
      <c r="DU381" t="s">
        <v>2198</v>
      </c>
      <c r="DV381" t="b">
        <v>0</v>
      </c>
      <c r="DW381" t="s">
        <v>1441</v>
      </c>
      <c r="DX381" s="31">
        <v>46143.258568159719</v>
      </c>
      <c r="DZ381" s="5">
        <v>45839</v>
      </c>
      <c r="EA381" s="13" t="s">
        <v>1250</v>
      </c>
      <c r="EB381" s="13" t="s">
        <v>1358</v>
      </c>
      <c r="EC381" s="13" t="s">
        <v>1054</v>
      </c>
      <c r="ED381" s="11">
        <v>305824</v>
      </c>
      <c r="EE381" s="11"/>
    </row>
    <row r="382" spans="120:135" x14ac:dyDescent="0.2">
      <c r="DP382" t="s">
        <v>1685</v>
      </c>
      <c r="DQ382" t="s">
        <v>1686</v>
      </c>
      <c r="DR382" t="s">
        <v>1427</v>
      </c>
      <c r="DS382" t="s">
        <v>1428</v>
      </c>
      <c r="DT382" t="s">
        <v>1429</v>
      </c>
      <c r="DV382" t="b">
        <v>1</v>
      </c>
      <c r="DW382" t="s">
        <v>1430</v>
      </c>
      <c r="DX382" s="31">
        <v>46143.258568159719</v>
      </c>
      <c r="DZ382" s="5">
        <v>45839</v>
      </c>
      <c r="EA382" s="13" t="s">
        <v>1251</v>
      </c>
      <c r="EB382" s="13" t="s">
        <v>2206</v>
      </c>
      <c r="EC382" s="13" t="s">
        <v>1054</v>
      </c>
      <c r="ED382" s="11">
        <v>271137</v>
      </c>
      <c r="EE382" s="11"/>
    </row>
    <row r="383" spans="120:135" x14ac:dyDescent="0.2">
      <c r="DP383" t="s">
        <v>1687</v>
      </c>
      <c r="DQ383" t="s">
        <v>1688</v>
      </c>
      <c r="DR383" t="s">
        <v>1433</v>
      </c>
      <c r="DS383" t="s">
        <v>1428</v>
      </c>
      <c r="DT383" t="s">
        <v>1429</v>
      </c>
      <c r="DU383" t="s">
        <v>1685</v>
      </c>
      <c r="DV383" t="b">
        <v>1</v>
      </c>
      <c r="DW383" t="s">
        <v>1434</v>
      </c>
      <c r="DX383" s="31">
        <v>46143.258568159719</v>
      </c>
      <c r="DZ383" s="5">
        <v>45839</v>
      </c>
      <c r="EA383" s="13" t="s">
        <v>1251</v>
      </c>
      <c r="EB383" s="13" t="s">
        <v>2212</v>
      </c>
      <c r="EC383" s="13" t="s">
        <v>1054</v>
      </c>
      <c r="ED383" s="11">
        <v>421552</v>
      </c>
      <c r="EE383" s="11"/>
    </row>
    <row r="384" spans="120:135" x14ac:dyDescent="0.2">
      <c r="DP384" t="s">
        <v>1689</v>
      </c>
      <c r="DQ384" t="s">
        <v>1690</v>
      </c>
      <c r="DR384" t="s">
        <v>1437</v>
      </c>
      <c r="DS384" t="s">
        <v>1428</v>
      </c>
      <c r="DT384" t="s">
        <v>1429</v>
      </c>
      <c r="DU384" t="s">
        <v>1687</v>
      </c>
      <c r="DV384" t="b">
        <v>1</v>
      </c>
      <c r="DW384" t="s">
        <v>1434</v>
      </c>
      <c r="DX384" s="31">
        <v>46143.258568159719</v>
      </c>
      <c r="DZ384" s="5">
        <v>45839</v>
      </c>
      <c r="EA384" s="13" t="s">
        <v>1252</v>
      </c>
      <c r="EB384" s="13" t="s">
        <v>1371</v>
      </c>
      <c r="EC384" s="13" t="s">
        <v>1166</v>
      </c>
      <c r="ED384" s="11">
        <v>157215</v>
      </c>
      <c r="EE384" s="11"/>
    </row>
    <row r="385" spans="120:135" x14ac:dyDescent="0.2">
      <c r="DP385" t="s">
        <v>1691</v>
      </c>
      <c r="DQ385" t="s">
        <v>1690</v>
      </c>
      <c r="DR385" t="s">
        <v>1439</v>
      </c>
      <c r="DS385" t="s">
        <v>1428</v>
      </c>
      <c r="DT385" t="s">
        <v>1429</v>
      </c>
      <c r="DU385" t="s">
        <v>1689</v>
      </c>
      <c r="DV385" t="b">
        <v>1</v>
      </c>
      <c r="DW385" t="s">
        <v>1434</v>
      </c>
      <c r="DX385" s="31">
        <v>46143.258568159719</v>
      </c>
      <c r="DZ385" s="5">
        <v>45839</v>
      </c>
      <c r="EA385" s="13" t="s">
        <v>1251</v>
      </c>
      <c r="EB385" s="13" t="s">
        <v>2214</v>
      </c>
      <c r="EC385" s="13" t="s">
        <v>1166</v>
      </c>
      <c r="ED385" s="11"/>
      <c r="EE385" s="11">
        <v>0</v>
      </c>
    </row>
    <row r="386" spans="120:135" x14ac:dyDescent="0.2">
      <c r="DP386" t="s">
        <v>1234</v>
      </c>
      <c r="DQ386" t="s">
        <v>1084</v>
      </c>
      <c r="DR386" t="s">
        <v>1440</v>
      </c>
      <c r="DS386" t="s">
        <v>1429</v>
      </c>
      <c r="DT386" t="s">
        <v>1429</v>
      </c>
      <c r="DU386" t="s">
        <v>1691</v>
      </c>
      <c r="DV386" t="b">
        <v>0</v>
      </c>
      <c r="DW386" t="s">
        <v>1441</v>
      </c>
      <c r="DX386" s="31">
        <v>46143.258568159719</v>
      </c>
      <c r="DZ386" s="5">
        <v>45839</v>
      </c>
      <c r="EA386" s="13" t="s">
        <v>1251</v>
      </c>
      <c r="EB386" s="13" t="s">
        <v>1351</v>
      </c>
      <c r="EC386" s="13" t="s">
        <v>1166</v>
      </c>
      <c r="ED386" s="11"/>
      <c r="EE386" s="11">
        <v>227632</v>
      </c>
    </row>
    <row r="387" spans="120:135" x14ac:dyDescent="0.2">
      <c r="DP387" t="s">
        <v>1692</v>
      </c>
      <c r="DQ387" t="s">
        <v>1690</v>
      </c>
      <c r="DR387" t="s">
        <v>1439</v>
      </c>
      <c r="DS387" t="s">
        <v>1428</v>
      </c>
      <c r="DT387" t="s">
        <v>1429</v>
      </c>
      <c r="DU387" t="s">
        <v>1689</v>
      </c>
      <c r="DV387" t="b">
        <v>1</v>
      </c>
      <c r="DW387" t="s">
        <v>1434</v>
      </c>
      <c r="DX387" s="31">
        <v>46143.258568159719</v>
      </c>
      <c r="DZ387" s="5">
        <v>45839</v>
      </c>
      <c r="EA387" s="13" t="s">
        <v>1252</v>
      </c>
      <c r="EB387" s="13" t="s">
        <v>1355</v>
      </c>
      <c r="EC387" s="13" t="s">
        <v>1166</v>
      </c>
      <c r="ED387" s="11">
        <v>0</v>
      </c>
      <c r="EE387" s="11"/>
    </row>
    <row r="388" spans="120:135" x14ac:dyDescent="0.2">
      <c r="DP388" t="s">
        <v>1235</v>
      </c>
      <c r="DQ388" t="s">
        <v>1084</v>
      </c>
      <c r="DR388" t="s">
        <v>1440</v>
      </c>
      <c r="DS388" t="s">
        <v>1429</v>
      </c>
      <c r="DT388" t="s">
        <v>1429</v>
      </c>
      <c r="DU388" t="s">
        <v>1692</v>
      </c>
      <c r="DV388" t="b">
        <v>0</v>
      </c>
      <c r="DW388" t="s">
        <v>1441</v>
      </c>
      <c r="DX388" s="31">
        <v>46143.258568159719</v>
      </c>
      <c r="DZ388" s="5">
        <v>45839</v>
      </c>
      <c r="EA388" s="13" t="s">
        <v>1251</v>
      </c>
      <c r="EB388" s="13" t="s">
        <v>2213</v>
      </c>
      <c r="EC388" s="13" t="s">
        <v>1166</v>
      </c>
      <c r="ED388" s="11"/>
      <c r="EE388" s="11">
        <v>885641</v>
      </c>
    </row>
    <row r="389" spans="120:135" x14ac:dyDescent="0.2">
      <c r="DP389" t="s">
        <v>1236</v>
      </c>
      <c r="DQ389" t="s">
        <v>968</v>
      </c>
      <c r="DR389" t="s">
        <v>1440</v>
      </c>
      <c r="DS389" t="s">
        <v>1429</v>
      </c>
      <c r="DT389" t="s">
        <v>1429</v>
      </c>
      <c r="DU389" t="s">
        <v>1692</v>
      </c>
      <c r="DV389" t="b">
        <v>0</v>
      </c>
      <c r="DW389" t="s">
        <v>1441</v>
      </c>
      <c r="DX389" s="31">
        <v>46143.258568159719</v>
      </c>
      <c r="DZ389" s="5">
        <v>45839</v>
      </c>
      <c r="EA389" s="13" t="s">
        <v>1251</v>
      </c>
      <c r="EB389" s="13" t="s">
        <v>1355</v>
      </c>
      <c r="EC389" s="13" t="s">
        <v>1166</v>
      </c>
      <c r="ED389" s="11"/>
      <c r="EE389" s="11">
        <v>646199</v>
      </c>
    </row>
    <row r="390" spans="120:135" x14ac:dyDescent="0.2">
      <c r="DP390" t="s">
        <v>1237</v>
      </c>
      <c r="DQ390" t="s">
        <v>1100</v>
      </c>
      <c r="DR390" t="s">
        <v>1440</v>
      </c>
      <c r="DS390" t="s">
        <v>1429</v>
      </c>
      <c r="DT390" t="s">
        <v>1429</v>
      </c>
      <c r="DU390" t="s">
        <v>1692</v>
      </c>
      <c r="DV390" t="b">
        <v>0</v>
      </c>
      <c r="DW390" t="s">
        <v>1441</v>
      </c>
      <c r="DX390" s="31">
        <v>46143.258568159719</v>
      </c>
      <c r="DZ390" s="5">
        <v>45839</v>
      </c>
      <c r="EA390" s="13" t="s">
        <v>1251</v>
      </c>
      <c r="EB390" s="13" t="s">
        <v>2212</v>
      </c>
      <c r="EC390" s="13" t="s">
        <v>1166</v>
      </c>
      <c r="ED390" s="11"/>
      <c r="EE390" s="11">
        <v>345872</v>
      </c>
    </row>
    <row r="391" spans="120:135" x14ac:dyDescent="0.2">
      <c r="DP391" t="s">
        <v>2199</v>
      </c>
      <c r="DQ391" t="s">
        <v>2200</v>
      </c>
      <c r="DR391" t="s">
        <v>1437</v>
      </c>
      <c r="DS391" t="s">
        <v>1428</v>
      </c>
      <c r="DT391" t="s">
        <v>1429</v>
      </c>
      <c r="DU391" t="s">
        <v>1687</v>
      </c>
      <c r="DV391" t="b">
        <v>1</v>
      </c>
      <c r="DW391" t="s">
        <v>1434</v>
      </c>
      <c r="DX391" s="31">
        <v>46143.258568159719</v>
      </c>
      <c r="DZ391" s="5">
        <v>45839</v>
      </c>
      <c r="EA391" s="13" t="s">
        <v>1252</v>
      </c>
      <c r="EB391" s="13" t="s">
        <v>2292</v>
      </c>
      <c r="EC391" s="13" t="s">
        <v>1224</v>
      </c>
      <c r="ED391" s="11">
        <v>0</v>
      </c>
      <c r="EE391" s="11"/>
    </row>
    <row r="392" spans="120:135" x14ac:dyDescent="0.2">
      <c r="DP392" t="s">
        <v>2201</v>
      </c>
      <c r="DQ392" t="s">
        <v>1239</v>
      </c>
      <c r="DR392" t="s">
        <v>1439</v>
      </c>
      <c r="DS392" t="s">
        <v>1428</v>
      </c>
      <c r="DT392" t="s">
        <v>1429</v>
      </c>
      <c r="DU392" t="s">
        <v>2199</v>
      </c>
      <c r="DV392" t="b">
        <v>1</v>
      </c>
      <c r="DW392" t="s">
        <v>1434</v>
      </c>
      <c r="DX392" s="31">
        <v>46143.258568159719</v>
      </c>
      <c r="DZ392" s="5">
        <v>45839</v>
      </c>
      <c r="EA392" s="13" t="s">
        <v>1252</v>
      </c>
      <c r="EB392" s="13" t="s">
        <v>2291</v>
      </c>
      <c r="EC392" s="13" t="s">
        <v>1224</v>
      </c>
      <c r="ED392" s="11">
        <v>0</v>
      </c>
      <c r="EE392" s="11"/>
    </row>
    <row r="393" spans="120:135" x14ac:dyDescent="0.2">
      <c r="DP393" t="s">
        <v>1238</v>
      </c>
      <c r="DQ393" t="s">
        <v>1239</v>
      </c>
      <c r="DR393" t="s">
        <v>1440</v>
      </c>
      <c r="DS393" t="s">
        <v>1429</v>
      </c>
      <c r="DT393" t="s">
        <v>1429</v>
      </c>
      <c r="DU393" t="s">
        <v>2201</v>
      </c>
      <c r="DV393" t="b">
        <v>0</v>
      </c>
      <c r="DW393" t="s">
        <v>1441</v>
      </c>
      <c r="DX393" s="31">
        <v>46143.258568159719</v>
      </c>
      <c r="DZ393" s="5">
        <v>45839</v>
      </c>
      <c r="EA393" s="13" t="s">
        <v>1252</v>
      </c>
      <c r="EB393" s="13" t="s">
        <v>2241</v>
      </c>
      <c r="EC393" s="13" t="s">
        <v>1224</v>
      </c>
      <c r="ED393" s="11">
        <v>0</v>
      </c>
      <c r="EE393" s="11"/>
    </row>
    <row r="394" spans="120:135" x14ac:dyDescent="0.2">
      <c r="DZ394" s="5">
        <v>45839</v>
      </c>
      <c r="EA394" s="13" t="s">
        <v>1252</v>
      </c>
      <c r="EB394" s="13" t="s">
        <v>2248</v>
      </c>
      <c r="EC394" s="13" t="s">
        <v>1224</v>
      </c>
      <c r="ED394" s="11">
        <v>0</v>
      </c>
      <c r="EE394" s="11"/>
    </row>
    <row r="395" spans="120:135" x14ac:dyDescent="0.2">
      <c r="DZ395" s="5">
        <v>45839</v>
      </c>
      <c r="EA395" s="13" t="s">
        <v>1252</v>
      </c>
      <c r="EB395" s="13" t="s">
        <v>2242</v>
      </c>
      <c r="EC395" s="13" t="s">
        <v>1224</v>
      </c>
      <c r="ED395" s="11">
        <v>0</v>
      </c>
      <c r="EE395" s="11"/>
    </row>
    <row r="396" spans="120:135" x14ac:dyDescent="0.2">
      <c r="DZ396" s="5">
        <v>45839</v>
      </c>
      <c r="EA396" s="13" t="s">
        <v>1252</v>
      </c>
      <c r="EB396" s="13" t="s">
        <v>2250</v>
      </c>
      <c r="EC396" s="13" t="s">
        <v>1224</v>
      </c>
      <c r="ED396" s="11">
        <v>0</v>
      </c>
      <c r="EE396" s="11"/>
    </row>
    <row r="397" spans="120:135" x14ac:dyDescent="0.2">
      <c r="DZ397" s="5">
        <v>45839</v>
      </c>
      <c r="EA397" s="13" t="s">
        <v>1252</v>
      </c>
      <c r="EB397" s="13" t="s">
        <v>2245</v>
      </c>
      <c r="EC397" s="13" t="s">
        <v>1224</v>
      </c>
      <c r="ED397" s="11">
        <v>0</v>
      </c>
      <c r="EE397" s="11"/>
    </row>
    <row r="398" spans="120:135" x14ac:dyDescent="0.2">
      <c r="DZ398" s="5">
        <v>45839</v>
      </c>
      <c r="EA398" s="13" t="s">
        <v>1252</v>
      </c>
      <c r="EB398" s="13" t="s">
        <v>2216</v>
      </c>
      <c r="EC398" s="13" t="s">
        <v>1224</v>
      </c>
      <c r="ED398" s="11">
        <v>0</v>
      </c>
      <c r="EE398" s="11"/>
    </row>
    <row r="399" spans="120:135" x14ac:dyDescent="0.2">
      <c r="DZ399" s="5">
        <v>45839</v>
      </c>
      <c r="EA399" s="13" t="s">
        <v>1252</v>
      </c>
      <c r="EB399" s="13" t="s">
        <v>2221</v>
      </c>
      <c r="EC399" s="13" t="s">
        <v>1224</v>
      </c>
      <c r="ED399" s="11">
        <v>0</v>
      </c>
      <c r="EE399" s="11"/>
    </row>
    <row r="400" spans="120:135" x14ac:dyDescent="0.2">
      <c r="DZ400" s="5">
        <v>45839</v>
      </c>
      <c r="EA400" s="13" t="s">
        <v>1252</v>
      </c>
      <c r="EB400" s="13" t="s">
        <v>2235</v>
      </c>
      <c r="EC400" s="13" t="s">
        <v>1224</v>
      </c>
      <c r="ED400" s="11">
        <v>0</v>
      </c>
      <c r="EE400" s="11"/>
    </row>
    <row r="401" spans="130:135" x14ac:dyDescent="0.2">
      <c r="DZ401" s="5">
        <v>45839</v>
      </c>
      <c r="EA401" s="13" t="s">
        <v>1252</v>
      </c>
      <c r="EB401" s="13" t="s">
        <v>2219</v>
      </c>
      <c r="EC401" s="13" t="s">
        <v>1224</v>
      </c>
      <c r="ED401" s="11">
        <v>0</v>
      </c>
      <c r="EE401" s="11"/>
    </row>
    <row r="402" spans="130:135" x14ac:dyDescent="0.2">
      <c r="DZ402" s="5">
        <v>45839</v>
      </c>
      <c r="EA402" s="13" t="s">
        <v>1252</v>
      </c>
      <c r="EB402" s="13" t="s">
        <v>2218</v>
      </c>
      <c r="EC402" s="13" t="s">
        <v>1224</v>
      </c>
      <c r="ED402" s="11">
        <v>0</v>
      </c>
      <c r="EE402" s="11"/>
    </row>
    <row r="403" spans="130:135" x14ac:dyDescent="0.2">
      <c r="DZ403" s="5">
        <v>45839</v>
      </c>
      <c r="EA403" s="13" t="s">
        <v>1252</v>
      </c>
      <c r="EB403" s="13" t="s">
        <v>2244</v>
      </c>
      <c r="EC403" s="13" t="s">
        <v>1224</v>
      </c>
      <c r="ED403" s="11">
        <v>0</v>
      </c>
      <c r="EE403" s="11"/>
    </row>
    <row r="404" spans="130:135" x14ac:dyDescent="0.2">
      <c r="DZ404" s="5">
        <v>45839</v>
      </c>
      <c r="EA404" s="13" t="s">
        <v>1252</v>
      </c>
      <c r="EB404" s="13" t="s">
        <v>2230</v>
      </c>
      <c r="EC404" s="13" t="s">
        <v>1224</v>
      </c>
      <c r="ED404" s="11">
        <v>0</v>
      </c>
      <c r="EE404" s="11"/>
    </row>
    <row r="405" spans="130:135" x14ac:dyDescent="0.2">
      <c r="DZ405" s="5">
        <v>45839</v>
      </c>
      <c r="EA405" s="13" t="s">
        <v>1252</v>
      </c>
      <c r="EB405" s="13" t="s">
        <v>2233</v>
      </c>
      <c r="EC405" s="13" t="s">
        <v>1224</v>
      </c>
      <c r="ED405" s="11">
        <v>0</v>
      </c>
      <c r="EE405" s="11"/>
    </row>
    <row r="406" spans="130:135" x14ac:dyDescent="0.2">
      <c r="DZ406" s="5">
        <v>45839</v>
      </c>
      <c r="EA406" s="13" t="s">
        <v>1252</v>
      </c>
      <c r="EB406" s="13" t="s">
        <v>2234</v>
      </c>
      <c r="EC406" s="13" t="s">
        <v>1224</v>
      </c>
      <c r="ED406" s="11">
        <v>0</v>
      </c>
      <c r="EE406" s="11"/>
    </row>
    <row r="407" spans="130:135" x14ac:dyDescent="0.2">
      <c r="DZ407" s="5">
        <v>45839</v>
      </c>
      <c r="EA407" s="13" t="s">
        <v>1252</v>
      </c>
      <c r="EB407" s="13" t="s">
        <v>2232</v>
      </c>
      <c r="EC407" s="13" t="s">
        <v>1224</v>
      </c>
      <c r="ED407" s="11">
        <v>0</v>
      </c>
      <c r="EE407" s="11"/>
    </row>
    <row r="408" spans="130:135" x14ac:dyDescent="0.2">
      <c r="DZ408" s="5">
        <v>45839</v>
      </c>
      <c r="EA408" s="13" t="s">
        <v>1252</v>
      </c>
      <c r="EB408" s="13" t="s">
        <v>2217</v>
      </c>
      <c r="EC408" s="13" t="s">
        <v>1224</v>
      </c>
      <c r="ED408" s="11">
        <v>0</v>
      </c>
      <c r="EE408" s="11"/>
    </row>
    <row r="409" spans="130:135" x14ac:dyDescent="0.2">
      <c r="DZ409" s="5">
        <v>45839</v>
      </c>
      <c r="EA409" s="13" t="s">
        <v>1252</v>
      </c>
      <c r="EB409" s="13" t="s">
        <v>2237</v>
      </c>
      <c r="EC409" s="13" t="s">
        <v>1224</v>
      </c>
      <c r="ED409" s="11">
        <v>0</v>
      </c>
      <c r="EE409" s="11"/>
    </row>
    <row r="410" spans="130:135" x14ac:dyDescent="0.2">
      <c r="DZ410" s="5">
        <v>45839</v>
      </c>
      <c r="EA410" s="13" t="s">
        <v>1252</v>
      </c>
      <c r="EB410" s="13" t="s">
        <v>2222</v>
      </c>
      <c r="EC410" s="13" t="s">
        <v>1224</v>
      </c>
      <c r="ED410" s="11">
        <v>0</v>
      </c>
      <c r="EE410" s="11"/>
    </row>
    <row r="411" spans="130:135" x14ac:dyDescent="0.2">
      <c r="DZ411" s="5">
        <v>45839</v>
      </c>
      <c r="EA411" s="13" t="s">
        <v>1252</v>
      </c>
      <c r="EB411" s="13" t="s">
        <v>2295</v>
      </c>
      <c r="EC411" s="13" t="s">
        <v>1224</v>
      </c>
      <c r="ED411" s="11">
        <v>52310.92</v>
      </c>
      <c r="EE411" s="11"/>
    </row>
    <row r="412" spans="130:135" x14ac:dyDescent="0.2">
      <c r="DZ412" s="5">
        <v>45839</v>
      </c>
      <c r="EA412" s="13" t="s">
        <v>1252</v>
      </c>
      <c r="EB412" s="13" t="s">
        <v>2249</v>
      </c>
      <c r="EC412" s="13" t="s">
        <v>1224</v>
      </c>
      <c r="ED412" s="11">
        <v>0</v>
      </c>
      <c r="EE412" s="11"/>
    </row>
    <row r="413" spans="130:135" x14ac:dyDescent="0.2">
      <c r="DZ413" s="5">
        <v>45839</v>
      </c>
      <c r="EA413" s="13" t="s">
        <v>1252</v>
      </c>
      <c r="EB413" s="13" t="s">
        <v>2240</v>
      </c>
      <c r="EC413" s="13" t="s">
        <v>1224</v>
      </c>
      <c r="ED413" s="11">
        <v>0</v>
      </c>
      <c r="EE413" s="11"/>
    </row>
    <row r="414" spans="130:135" x14ac:dyDescent="0.2">
      <c r="DZ414" s="5">
        <v>45839</v>
      </c>
      <c r="EA414" s="13" t="s">
        <v>1252</v>
      </c>
      <c r="EB414" s="13" t="s">
        <v>2239</v>
      </c>
      <c r="EC414" s="13" t="s">
        <v>1224</v>
      </c>
      <c r="ED414" s="11">
        <v>0</v>
      </c>
      <c r="EE414" s="11"/>
    </row>
    <row r="415" spans="130:135" x14ac:dyDescent="0.2">
      <c r="DZ415" s="5">
        <v>45839</v>
      </c>
      <c r="EA415" s="13" t="s">
        <v>1252</v>
      </c>
      <c r="EB415" s="13" t="s">
        <v>2238</v>
      </c>
      <c r="EC415" s="13" t="s">
        <v>1224</v>
      </c>
      <c r="ED415" s="11">
        <v>0</v>
      </c>
      <c r="EE415" s="11"/>
    </row>
    <row r="416" spans="130:135" x14ac:dyDescent="0.2">
      <c r="DZ416" s="5">
        <v>45839</v>
      </c>
      <c r="EA416" s="13" t="s">
        <v>1252</v>
      </c>
      <c r="EB416" s="13" t="s">
        <v>2246</v>
      </c>
      <c r="EC416" s="13" t="s">
        <v>1224</v>
      </c>
      <c r="ED416" s="11">
        <v>0</v>
      </c>
      <c r="EE416" s="11"/>
    </row>
    <row r="417" spans="130:135" x14ac:dyDescent="0.2">
      <c r="DZ417" s="5">
        <v>45839</v>
      </c>
      <c r="EA417" s="13" t="s">
        <v>1252</v>
      </c>
      <c r="EB417" s="13" t="s">
        <v>2215</v>
      </c>
      <c r="EC417" s="13" t="s">
        <v>1224</v>
      </c>
      <c r="ED417" s="11">
        <v>0</v>
      </c>
      <c r="EE417" s="11"/>
    </row>
    <row r="418" spans="130:135" x14ac:dyDescent="0.2">
      <c r="DZ418" s="5">
        <v>45839</v>
      </c>
      <c r="EA418" s="13" t="s">
        <v>1252</v>
      </c>
      <c r="EB418" s="13" t="s">
        <v>2268</v>
      </c>
      <c r="EC418" s="13" t="s">
        <v>1224</v>
      </c>
      <c r="ED418" s="11">
        <v>0</v>
      </c>
      <c r="EE418" s="11"/>
    </row>
    <row r="419" spans="130:135" x14ac:dyDescent="0.2">
      <c r="DZ419" s="5">
        <v>45839</v>
      </c>
      <c r="EA419" s="13" t="s">
        <v>1252</v>
      </c>
      <c r="EB419" s="13" t="s">
        <v>2256</v>
      </c>
      <c r="EC419" s="13" t="s">
        <v>1224</v>
      </c>
      <c r="ED419" s="11">
        <v>0</v>
      </c>
      <c r="EE419" s="11"/>
    </row>
    <row r="420" spans="130:135" x14ac:dyDescent="0.2">
      <c r="DZ420" s="5">
        <v>45839</v>
      </c>
      <c r="EA420" s="13" t="s">
        <v>1252</v>
      </c>
      <c r="EB420" s="13" t="s">
        <v>2273</v>
      </c>
      <c r="EC420" s="13" t="s">
        <v>1224</v>
      </c>
      <c r="ED420" s="11">
        <v>0</v>
      </c>
      <c r="EE420" s="11"/>
    </row>
    <row r="421" spans="130:135" x14ac:dyDescent="0.2">
      <c r="DZ421" s="5">
        <v>45839</v>
      </c>
      <c r="EA421" s="13" t="s">
        <v>1252</v>
      </c>
      <c r="EB421" s="13" t="s">
        <v>2290</v>
      </c>
      <c r="EC421" s="13" t="s">
        <v>1224</v>
      </c>
      <c r="ED421" s="11">
        <v>0</v>
      </c>
      <c r="EE421" s="11"/>
    </row>
    <row r="422" spans="130:135" x14ac:dyDescent="0.2">
      <c r="DZ422" s="5">
        <v>45839</v>
      </c>
      <c r="EA422" s="13" t="s">
        <v>1252</v>
      </c>
      <c r="EB422" s="13" t="s">
        <v>2262</v>
      </c>
      <c r="EC422" s="13" t="s">
        <v>1224</v>
      </c>
      <c r="ED422" s="11">
        <v>0</v>
      </c>
      <c r="EE422" s="11"/>
    </row>
    <row r="423" spans="130:135" x14ac:dyDescent="0.2">
      <c r="DZ423" s="5">
        <v>45839</v>
      </c>
      <c r="EA423" s="13" t="s">
        <v>1252</v>
      </c>
      <c r="EB423" s="13" t="s">
        <v>2259</v>
      </c>
      <c r="EC423" s="13" t="s">
        <v>1224</v>
      </c>
      <c r="ED423" s="11">
        <v>0</v>
      </c>
      <c r="EE423" s="11"/>
    </row>
    <row r="424" spans="130:135" x14ac:dyDescent="0.2">
      <c r="DZ424" s="5">
        <v>45839</v>
      </c>
      <c r="EA424" s="13" t="s">
        <v>1252</v>
      </c>
      <c r="EB424" s="13" t="s">
        <v>2260</v>
      </c>
      <c r="EC424" s="13" t="s">
        <v>1224</v>
      </c>
      <c r="ED424" s="11">
        <v>0</v>
      </c>
      <c r="EE424" s="11"/>
    </row>
    <row r="425" spans="130:135" x14ac:dyDescent="0.2">
      <c r="DZ425" s="5">
        <v>45839</v>
      </c>
      <c r="EA425" s="13" t="s">
        <v>1252</v>
      </c>
      <c r="EB425" s="13" t="s">
        <v>2220</v>
      </c>
      <c r="EC425" s="13" t="s">
        <v>1224</v>
      </c>
      <c r="ED425" s="11">
        <v>0</v>
      </c>
      <c r="EE425" s="11"/>
    </row>
    <row r="426" spans="130:135" x14ac:dyDescent="0.2">
      <c r="DZ426" s="5">
        <v>45839</v>
      </c>
      <c r="EA426" s="13" t="s">
        <v>1252</v>
      </c>
      <c r="EB426" s="13" t="s">
        <v>2296</v>
      </c>
      <c r="EC426" s="13" t="s">
        <v>1224</v>
      </c>
      <c r="ED426" s="11">
        <v>25210.080000000002</v>
      </c>
      <c r="EE426" s="11"/>
    </row>
    <row r="427" spans="130:135" x14ac:dyDescent="0.2">
      <c r="DZ427" s="5">
        <v>45839</v>
      </c>
      <c r="EA427" s="13" t="s">
        <v>1252</v>
      </c>
      <c r="EB427" s="13" t="s">
        <v>2297</v>
      </c>
      <c r="EC427" s="13" t="s">
        <v>1224</v>
      </c>
      <c r="ED427" s="11">
        <v>2521.0100000000002</v>
      </c>
      <c r="EE427" s="11"/>
    </row>
    <row r="428" spans="130:135" x14ac:dyDescent="0.2">
      <c r="DZ428" s="5">
        <v>45839</v>
      </c>
      <c r="EA428" s="13" t="s">
        <v>1252</v>
      </c>
      <c r="EB428" s="13" t="s">
        <v>2247</v>
      </c>
      <c r="EC428" s="13" t="s">
        <v>1224</v>
      </c>
      <c r="ED428" s="11">
        <v>0</v>
      </c>
      <c r="EE428" s="11"/>
    </row>
    <row r="429" spans="130:135" x14ac:dyDescent="0.2">
      <c r="DZ429" s="5">
        <v>45839</v>
      </c>
      <c r="EA429" s="13" t="s">
        <v>1252</v>
      </c>
      <c r="EB429" s="13" t="s">
        <v>2231</v>
      </c>
      <c r="EC429" s="13" t="s">
        <v>1224</v>
      </c>
      <c r="ED429" s="11">
        <v>0</v>
      </c>
      <c r="EE429" s="11"/>
    </row>
    <row r="430" spans="130:135" x14ac:dyDescent="0.2">
      <c r="DZ430" s="5">
        <v>45839</v>
      </c>
      <c r="EA430" s="13" t="s">
        <v>1252</v>
      </c>
      <c r="EB430" s="13" t="s">
        <v>2289</v>
      </c>
      <c r="EC430" s="13" t="s">
        <v>1224</v>
      </c>
      <c r="ED430" s="11">
        <v>0</v>
      </c>
      <c r="EE430" s="11"/>
    </row>
    <row r="431" spans="130:135" x14ac:dyDescent="0.2">
      <c r="DZ431" s="5">
        <v>45839</v>
      </c>
      <c r="EA431" s="13" t="s">
        <v>1252</v>
      </c>
      <c r="EB431" s="13" t="s">
        <v>1403</v>
      </c>
      <c r="EC431" s="13" t="s">
        <v>1224</v>
      </c>
      <c r="ED431" s="11">
        <v>0</v>
      </c>
      <c r="EE431" s="11"/>
    </row>
    <row r="432" spans="130:135" x14ac:dyDescent="0.2">
      <c r="DZ432" s="5">
        <v>45839</v>
      </c>
      <c r="EA432" s="13" t="s">
        <v>1252</v>
      </c>
      <c r="EB432" s="13" t="s">
        <v>2253</v>
      </c>
      <c r="EC432" s="13" t="s">
        <v>1224</v>
      </c>
      <c r="ED432" s="11">
        <v>0</v>
      </c>
      <c r="EE432" s="11"/>
    </row>
    <row r="433" spans="130:135" x14ac:dyDescent="0.2">
      <c r="DZ433" s="5">
        <v>45839</v>
      </c>
      <c r="EA433" s="13" t="s">
        <v>1252</v>
      </c>
      <c r="EB433" s="13" t="s">
        <v>2261</v>
      </c>
      <c r="EC433" s="13" t="s">
        <v>1224</v>
      </c>
      <c r="ED433" s="11">
        <v>0</v>
      </c>
      <c r="EE433" s="11"/>
    </row>
    <row r="434" spans="130:135" x14ac:dyDescent="0.2">
      <c r="DZ434" s="5">
        <v>45839</v>
      </c>
      <c r="EA434" s="13" t="s">
        <v>1252</v>
      </c>
      <c r="EB434" s="13" t="s">
        <v>2269</v>
      </c>
      <c r="EC434" s="13" t="s">
        <v>1224</v>
      </c>
      <c r="ED434" s="11">
        <v>0</v>
      </c>
      <c r="EE434" s="11"/>
    </row>
    <row r="435" spans="130:135" x14ac:dyDescent="0.2">
      <c r="DZ435" s="5">
        <v>45839</v>
      </c>
      <c r="EA435" s="13" t="s">
        <v>1252</v>
      </c>
      <c r="EB435" s="13" t="s">
        <v>2275</v>
      </c>
      <c r="EC435" s="13" t="s">
        <v>1224</v>
      </c>
      <c r="ED435" s="11">
        <v>0</v>
      </c>
      <c r="EE435" s="11"/>
    </row>
    <row r="436" spans="130:135" x14ac:dyDescent="0.2">
      <c r="DZ436" s="5">
        <v>45839</v>
      </c>
      <c r="EA436" s="13" t="s">
        <v>1252</v>
      </c>
      <c r="EB436" s="13" t="s">
        <v>2265</v>
      </c>
      <c r="EC436" s="13" t="s">
        <v>1224</v>
      </c>
      <c r="ED436" s="11">
        <v>0</v>
      </c>
      <c r="EE436" s="11"/>
    </row>
    <row r="437" spans="130:135" x14ac:dyDescent="0.2">
      <c r="DZ437" s="5">
        <v>45839</v>
      </c>
      <c r="EA437" s="13" t="s">
        <v>1252</v>
      </c>
      <c r="EB437" s="13" t="s">
        <v>2266</v>
      </c>
      <c r="EC437" s="13" t="s">
        <v>1224</v>
      </c>
      <c r="ED437" s="11">
        <v>0</v>
      </c>
      <c r="EE437" s="11"/>
    </row>
    <row r="438" spans="130:135" x14ac:dyDescent="0.2">
      <c r="DZ438" s="5">
        <v>45839</v>
      </c>
      <c r="EA438" s="13" t="s">
        <v>1252</v>
      </c>
      <c r="EB438" s="13" t="s">
        <v>2251</v>
      </c>
      <c r="EC438" s="13" t="s">
        <v>1224</v>
      </c>
      <c r="ED438" s="11">
        <v>0</v>
      </c>
      <c r="EE438" s="11"/>
    </row>
    <row r="439" spans="130:135" x14ac:dyDescent="0.2">
      <c r="DZ439" s="5">
        <v>45839</v>
      </c>
      <c r="EA439" s="13" t="s">
        <v>1252</v>
      </c>
      <c r="EB439" s="13" t="s">
        <v>2227</v>
      </c>
      <c r="EC439" s="13" t="s">
        <v>1224</v>
      </c>
      <c r="ED439" s="11">
        <v>0</v>
      </c>
      <c r="EE439" s="11"/>
    </row>
    <row r="440" spans="130:135" x14ac:dyDescent="0.2">
      <c r="DZ440" s="5">
        <v>45839</v>
      </c>
      <c r="EA440" s="13" t="s">
        <v>1252</v>
      </c>
      <c r="EB440" s="13" t="s">
        <v>2257</v>
      </c>
      <c r="EC440" s="13" t="s">
        <v>1224</v>
      </c>
      <c r="ED440" s="11">
        <v>0</v>
      </c>
      <c r="EE440" s="11"/>
    </row>
    <row r="441" spans="130:135" x14ac:dyDescent="0.2">
      <c r="DZ441" s="5">
        <v>45839</v>
      </c>
      <c r="EA441" s="13" t="s">
        <v>1252</v>
      </c>
      <c r="EB441" s="13" t="s">
        <v>2263</v>
      </c>
      <c r="EC441" s="13" t="s">
        <v>1224</v>
      </c>
      <c r="ED441" s="11">
        <v>0</v>
      </c>
      <c r="EE441" s="11"/>
    </row>
    <row r="442" spans="130:135" x14ac:dyDescent="0.2">
      <c r="DZ442" s="5">
        <v>45839</v>
      </c>
      <c r="EA442" s="13" t="s">
        <v>1252</v>
      </c>
      <c r="EB442" s="13" t="s">
        <v>1356</v>
      </c>
      <c r="EC442" s="13" t="s">
        <v>1224</v>
      </c>
      <c r="ED442" s="11">
        <v>0</v>
      </c>
      <c r="EE442" s="11"/>
    </row>
    <row r="443" spans="130:135" x14ac:dyDescent="0.2">
      <c r="DZ443" s="5">
        <v>45839</v>
      </c>
      <c r="EA443" s="13" t="s">
        <v>1252</v>
      </c>
      <c r="EB443" s="13" t="s">
        <v>2252</v>
      </c>
      <c r="EC443" s="13" t="s">
        <v>1224</v>
      </c>
      <c r="ED443" s="11">
        <v>0</v>
      </c>
      <c r="EE443" s="11"/>
    </row>
    <row r="444" spans="130:135" x14ac:dyDescent="0.2">
      <c r="DZ444" s="5">
        <v>45839</v>
      </c>
      <c r="EA444" s="13" t="s">
        <v>1252</v>
      </c>
      <c r="EB444" s="13" t="s">
        <v>2225</v>
      </c>
      <c r="EC444" s="13" t="s">
        <v>1224</v>
      </c>
      <c r="ED444" s="11">
        <v>0</v>
      </c>
      <c r="EE444" s="11"/>
    </row>
    <row r="445" spans="130:135" x14ac:dyDescent="0.2">
      <c r="DZ445" s="5">
        <v>45839</v>
      </c>
      <c r="EA445" s="13" t="s">
        <v>1252</v>
      </c>
      <c r="EB445" s="13" t="s">
        <v>2226</v>
      </c>
      <c r="EC445" s="13" t="s">
        <v>1224</v>
      </c>
      <c r="ED445" s="11">
        <v>0</v>
      </c>
      <c r="EE445" s="11"/>
    </row>
    <row r="446" spans="130:135" x14ac:dyDescent="0.2">
      <c r="DZ446" s="5">
        <v>45839</v>
      </c>
      <c r="EA446" s="13" t="s">
        <v>1252</v>
      </c>
      <c r="EB446" s="13" t="s">
        <v>2254</v>
      </c>
      <c r="EC446" s="13" t="s">
        <v>1224</v>
      </c>
      <c r="ED446" s="11">
        <v>0</v>
      </c>
      <c r="EE446" s="11"/>
    </row>
    <row r="447" spans="130:135" x14ac:dyDescent="0.2">
      <c r="DZ447" s="5">
        <v>45839</v>
      </c>
      <c r="EA447" s="13" t="s">
        <v>1252</v>
      </c>
      <c r="EB447" s="13" t="s">
        <v>2298</v>
      </c>
      <c r="EC447" s="13" t="s">
        <v>1224</v>
      </c>
      <c r="ED447" s="11">
        <v>26470.59</v>
      </c>
      <c r="EE447" s="11"/>
    </row>
    <row r="448" spans="130:135" x14ac:dyDescent="0.2">
      <c r="DZ448" s="5">
        <v>45839</v>
      </c>
      <c r="EA448" s="13" t="s">
        <v>1252</v>
      </c>
      <c r="EB448" s="13" t="s">
        <v>2236</v>
      </c>
      <c r="EC448" s="13" t="s">
        <v>1224</v>
      </c>
      <c r="ED448" s="11">
        <v>0</v>
      </c>
      <c r="EE448" s="11"/>
    </row>
    <row r="449" spans="130:135" x14ac:dyDescent="0.2">
      <c r="DZ449" s="5">
        <v>45839</v>
      </c>
      <c r="EA449" s="13" t="s">
        <v>1252</v>
      </c>
      <c r="EB449" s="13" t="s">
        <v>2264</v>
      </c>
      <c r="EC449" s="13" t="s">
        <v>1224</v>
      </c>
      <c r="ED449" s="11">
        <v>0</v>
      </c>
      <c r="EE449" s="11"/>
    </row>
    <row r="450" spans="130:135" x14ac:dyDescent="0.2">
      <c r="DZ450" s="5">
        <v>45839</v>
      </c>
      <c r="EA450" s="13" t="s">
        <v>1252</v>
      </c>
      <c r="EB450" s="13" t="s">
        <v>2271</v>
      </c>
      <c r="EC450" s="13" t="s">
        <v>1224</v>
      </c>
      <c r="ED450" s="11">
        <v>0</v>
      </c>
      <c r="EE450" s="11"/>
    </row>
    <row r="451" spans="130:135" x14ac:dyDescent="0.2">
      <c r="DZ451" s="5">
        <v>45839</v>
      </c>
      <c r="EA451" s="13" t="s">
        <v>1252</v>
      </c>
      <c r="EB451" s="13" t="s">
        <v>2229</v>
      </c>
      <c r="EC451" s="13" t="s">
        <v>1224</v>
      </c>
      <c r="ED451" s="11">
        <v>0</v>
      </c>
      <c r="EE451" s="11"/>
    </row>
    <row r="452" spans="130:135" x14ac:dyDescent="0.2">
      <c r="DZ452" s="5">
        <v>45839</v>
      </c>
      <c r="EA452" s="13" t="s">
        <v>1252</v>
      </c>
      <c r="EB452" s="13" t="s">
        <v>2255</v>
      </c>
      <c r="EC452" s="13" t="s">
        <v>1224</v>
      </c>
      <c r="ED452" s="11">
        <v>0</v>
      </c>
      <c r="EE452" s="11"/>
    </row>
    <row r="453" spans="130:135" x14ac:dyDescent="0.2">
      <c r="DZ453" s="5">
        <v>45839</v>
      </c>
      <c r="EA453" s="13" t="s">
        <v>1252</v>
      </c>
      <c r="EB453" s="13" t="s">
        <v>2299</v>
      </c>
      <c r="EC453" s="13" t="s">
        <v>1224</v>
      </c>
      <c r="ED453" s="11">
        <v>21428.57</v>
      </c>
      <c r="EE453" s="11"/>
    </row>
    <row r="454" spans="130:135" x14ac:dyDescent="0.2">
      <c r="DZ454" s="5">
        <v>45839</v>
      </c>
      <c r="EA454" s="13" t="s">
        <v>1252</v>
      </c>
      <c r="EB454" s="13" t="s">
        <v>2300</v>
      </c>
      <c r="EC454" s="13" t="s">
        <v>1224</v>
      </c>
      <c r="ED454" s="11">
        <v>17647.060000000001</v>
      </c>
      <c r="EE454" s="11"/>
    </row>
    <row r="455" spans="130:135" x14ac:dyDescent="0.2">
      <c r="DZ455" s="5">
        <v>45839</v>
      </c>
      <c r="EA455" s="13" t="s">
        <v>1252</v>
      </c>
      <c r="EB455" s="13" t="s">
        <v>2267</v>
      </c>
      <c r="EC455" s="13" t="s">
        <v>1224</v>
      </c>
      <c r="ED455" s="11">
        <v>0</v>
      </c>
      <c r="EE455" s="11"/>
    </row>
    <row r="456" spans="130:135" x14ac:dyDescent="0.2">
      <c r="DZ456" s="5">
        <v>45839</v>
      </c>
      <c r="EA456" s="13" t="s">
        <v>1252</v>
      </c>
      <c r="EB456" s="13" t="s">
        <v>2224</v>
      </c>
      <c r="EC456" s="13" t="s">
        <v>1224</v>
      </c>
      <c r="ED456" s="11">
        <v>0</v>
      </c>
      <c r="EE456" s="11"/>
    </row>
    <row r="457" spans="130:135" x14ac:dyDescent="0.2">
      <c r="DZ457" s="5">
        <v>45839</v>
      </c>
      <c r="EA457" s="13" t="s">
        <v>1252</v>
      </c>
      <c r="EB457" s="13" t="s">
        <v>2243</v>
      </c>
      <c r="EC457" s="13" t="s">
        <v>1224</v>
      </c>
      <c r="ED457" s="11">
        <v>0</v>
      </c>
      <c r="EE457" s="11"/>
    </row>
    <row r="458" spans="130:135" x14ac:dyDescent="0.2">
      <c r="DZ458" s="5">
        <v>45839</v>
      </c>
      <c r="EA458" s="13" t="s">
        <v>1252</v>
      </c>
      <c r="EB458" s="13" t="s">
        <v>2270</v>
      </c>
      <c r="EC458" s="13" t="s">
        <v>1224</v>
      </c>
      <c r="ED458" s="11">
        <v>0</v>
      </c>
      <c r="EE458" s="11"/>
    </row>
    <row r="459" spans="130:135" x14ac:dyDescent="0.2">
      <c r="DZ459" s="5">
        <v>45839</v>
      </c>
      <c r="EA459" s="13" t="s">
        <v>1252</v>
      </c>
      <c r="EB459" s="13" t="s">
        <v>2272</v>
      </c>
      <c r="EC459" s="13" t="s">
        <v>1224</v>
      </c>
      <c r="ED459" s="11">
        <v>0</v>
      </c>
      <c r="EE459" s="11"/>
    </row>
    <row r="460" spans="130:135" x14ac:dyDescent="0.2">
      <c r="DZ460" s="5">
        <v>45839</v>
      </c>
      <c r="EA460" s="13" t="s">
        <v>1252</v>
      </c>
      <c r="EB460" s="13" t="s">
        <v>2258</v>
      </c>
      <c r="EC460" s="13" t="s">
        <v>1224</v>
      </c>
      <c r="ED460" s="11">
        <v>0</v>
      </c>
      <c r="EE460" s="11"/>
    </row>
    <row r="461" spans="130:135" x14ac:dyDescent="0.2">
      <c r="DZ461" s="5">
        <v>45839</v>
      </c>
      <c r="EA461" s="13" t="s">
        <v>1252</v>
      </c>
      <c r="EB461" s="13" t="s">
        <v>2274</v>
      </c>
      <c r="EC461" s="13" t="s">
        <v>1224</v>
      </c>
      <c r="ED461" s="11">
        <v>0</v>
      </c>
      <c r="EE461" s="11"/>
    </row>
    <row r="462" spans="130:135" x14ac:dyDescent="0.2">
      <c r="DZ462" s="5">
        <v>45839</v>
      </c>
      <c r="EA462" s="13" t="s">
        <v>1252</v>
      </c>
      <c r="EB462" s="13" t="s">
        <v>2228</v>
      </c>
      <c r="EC462" s="13" t="s">
        <v>1224</v>
      </c>
      <c r="ED462" s="11">
        <v>0</v>
      </c>
      <c r="EE462" s="11"/>
    </row>
    <row r="463" spans="130:135" x14ac:dyDescent="0.2">
      <c r="DZ463" s="5">
        <v>45839</v>
      </c>
      <c r="EA463" s="13" t="s">
        <v>1252</v>
      </c>
      <c r="EB463" s="13" t="s">
        <v>2223</v>
      </c>
      <c r="EC463" s="13" t="s">
        <v>1224</v>
      </c>
      <c r="ED463" s="11">
        <v>0</v>
      </c>
      <c r="EE463" s="11"/>
    </row>
    <row r="464" spans="130:135" x14ac:dyDescent="0.2">
      <c r="DZ464" s="5">
        <v>45839</v>
      </c>
      <c r="EA464" s="13" t="s">
        <v>1250</v>
      </c>
      <c r="EB464" s="13" t="s">
        <v>1393</v>
      </c>
      <c r="EC464" s="13" t="s">
        <v>1168</v>
      </c>
      <c r="ED464" s="11">
        <v>437504</v>
      </c>
      <c r="EE464" s="11"/>
    </row>
    <row r="465" spans="130:135" x14ac:dyDescent="0.2">
      <c r="DZ465" s="5">
        <v>45839</v>
      </c>
      <c r="EA465" s="13" t="s">
        <v>1250</v>
      </c>
      <c r="EB465" s="13" t="s">
        <v>2276</v>
      </c>
      <c r="EC465" s="13" t="s">
        <v>1168</v>
      </c>
      <c r="ED465" s="11">
        <v>0</v>
      </c>
      <c r="EE465" s="11"/>
    </row>
    <row r="466" spans="130:135" x14ac:dyDescent="0.2">
      <c r="DZ466" s="5">
        <v>45839</v>
      </c>
      <c r="EA466" s="13" t="s">
        <v>1250</v>
      </c>
      <c r="EB466" s="13" t="s">
        <v>2301</v>
      </c>
      <c r="EC466" s="13" t="s">
        <v>1168</v>
      </c>
      <c r="ED466" s="11">
        <v>94748</v>
      </c>
      <c r="EE466" s="11"/>
    </row>
    <row r="467" spans="130:135" x14ac:dyDescent="0.2">
      <c r="DZ467" s="5">
        <v>45839</v>
      </c>
      <c r="EA467" s="13" t="s">
        <v>1252</v>
      </c>
      <c r="EB467" s="13" t="s">
        <v>1371</v>
      </c>
      <c r="EC467" s="13" t="s">
        <v>1226</v>
      </c>
      <c r="ED467" s="11">
        <v>268351</v>
      </c>
      <c r="EE467" s="11"/>
    </row>
    <row r="468" spans="130:135" x14ac:dyDescent="0.2">
      <c r="DZ468" s="5">
        <v>45839</v>
      </c>
      <c r="EA468" s="13" t="s">
        <v>1252</v>
      </c>
      <c r="EB468" s="13" t="s">
        <v>1371</v>
      </c>
      <c r="EC468" s="13" t="s">
        <v>1219</v>
      </c>
      <c r="ED468" s="11">
        <v>90190</v>
      </c>
      <c r="EE468" s="11"/>
    </row>
    <row r="469" spans="130:135" x14ac:dyDescent="0.2">
      <c r="DZ469" s="5">
        <v>45839</v>
      </c>
      <c r="EA469" s="13" t="s">
        <v>1250</v>
      </c>
      <c r="EB469" s="13" t="s">
        <v>1366</v>
      </c>
      <c r="EC469" s="13" t="s">
        <v>1136</v>
      </c>
      <c r="ED469" s="11">
        <v>1000000</v>
      </c>
      <c r="EE469" s="11"/>
    </row>
    <row r="470" spans="130:135" x14ac:dyDescent="0.2">
      <c r="DZ470" s="5">
        <v>45839</v>
      </c>
      <c r="EA470" s="13" t="s">
        <v>1252</v>
      </c>
      <c r="EB470" s="13" t="s">
        <v>2202</v>
      </c>
      <c r="EC470" s="13" t="s">
        <v>1222</v>
      </c>
      <c r="ED470" s="11">
        <v>0</v>
      </c>
      <c r="EE470" s="11"/>
    </row>
    <row r="471" spans="130:135" x14ac:dyDescent="0.2">
      <c r="DZ471" s="5">
        <v>45839</v>
      </c>
      <c r="EA471" s="13" t="s">
        <v>1252</v>
      </c>
      <c r="EB471" s="13" t="s">
        <v>1338</v>
      </c>
      <c r="EC471" s="13" t="s">
        <v>1222</v>
      </c>
      <c r="ED471" s="11">
        <v>0</v>
      </c>
      <c r="EE471" s="11"/>
    </row>
    <row r="472" spans="130:135" x14ac:dyDescent="0.2">
      <c r="DZ472" s="5">
        <v>45839</v>
      </c>
      <c r="EA472" s="13" t="s">
        <v>1252</v>
      </c>
      <c r="EB472" s="13" t="s">
        <v>1360</v>
      </c>
      <c r="EC472" s="13" t="s">
        <v>1222</v>
      </c>
      <c r="ED472" s="11">
        <v>0</v>
      </c>
      <c r="EE472" s="11"/>
    </row>
    <row r="473" spans="130:135" x14ac:dyDescent="0.2">
      <c r="DZ473" s="5">
        <v>45839</v>
      </c>
      <c r="EA473" s="13" t="s">
        <v>1252</v>
      </c>
      <c r="EB473" s="13" t="s">
        <v>1340</v>
      </c>
      <c r="EC473" s="13" t="s">
        <v>1222</v>
      </c>
      <c r="ED473" s="11">
        <v>0</v>
      </c>
      <c r="EE473" s="11"/>
    </row>
    <row r="474" spans="130:135" x14ac:dyDescent="0.2">
      <c r="DZ474" s="5">
        <v>45839</v>
      </c>
      <c r="EA474" s="13" t="s">
        <v>1252</v>
      </c>
      <c r="EB474" s="13" t="s">
        <v>1375</v>
      </c>
      <c r="EC474" s="13" t="s">
        <v>1222</v>
      </c>
      <c r="ED474" s="11">
        <v>0</v>
      </c>
      <c r="EE474" s="11"/>
    </row>
    <row r="475" spans="130:135" x14ac:dyDescent="0.2">
      <c r="DZ475" s="5">
        <v>45839</v>
      </c>
      <c r="EA475" s="13" t="s">
        <v>1252</v>
      </c>
      <c r="EB475" s="13" t="s">
        <v>2287</v>
      </c>
      <c r="EC475" s="13" t="s">
        <v>1222</v>
      </c>
      <c r="ED475" s="11">
        <v>0</v>
      </c>
      <c r="EE475" s="11"/>
    </row>
    <row r="476" spans="130:135" x14ac:dyDescent="0.2">
      <c r="DZ476" s="5">
        <v>45839</v>
      </c>
      <c r="EA476" s="13" t="s">
        <v>1252</v>
      </c>
      <c r="EB476" s="13" t="s">
        <v>1374</v>
      </c>
      <c r="EC476" s="13" t="s">
        <v>1222</v>
      </c>
      <c r="ED476" s="11">
        <v>0</v>
      </c>
      <c r="EE476" s="11"/>
    </row>
    <row r="477" spans="130:135" x14ac:dyDescent="0.2">
      <c r="DZ477" s="5">
        <v>45839</v>
      </c>
      <c r="EA477" s="13" t="s">
        <v>1250</v>
      </c>
      <c r="EB477" s="13" t="s">
        <v>1358</v>
      </c>
      <c r="EC477" s="13" t="s">
        <v>1056</v>
      </c>
      <c r="ED477" s="11">
        <v>62322</v>
      </c>
      <c r="EE477" s="11"/>
    </row>
    <row r="478" spans="130:135" x14ac:dyDescent="0.2">
      <c r="DZ478" s="5">
        <v>45839</v>
      </c>
      <c r="EA478" s="13" t="s">
        <v>1251</v>
      </c>
      <c r="EB478" s="13" t="s">
        <v>2212</v>
      </c>
      <c r="EC478" s="13" t="s">
        <v>1056</v>
      </c>
      <c r="ED478" s="11">
        <v>85977</v>
      </c>
      <c r="EE478" s="11"/>
    </row>
    <row r="479" spans="130:135" x14ac:dyDescent="0.2">
      <c r="DZ479" s="5">
        <v>45839</v>
      </c>
      <c r="EA479" s="13" t="s">
        <v>1251</v>
      </c>
      <c r="EB479" s="13" t="s">
        <v>2206</v>
      </c>
      <c r="EC479" s="13" t="s">
        <v>1056</v>
      </c>
      <c r="ED479" s="11">
        <v>59883</v>
      </c>
      <c r="EE479" s="11"/>
    </row>
    <row r="480" spans="130:135" x14ac:dyDescent="0.2">
      <c r="DZ480" s="5">
        <v>45839</v>
      </c>
      <c r="EA480" s="13" t="s">
        <v>1251</v>
      </c>
      <c r="EB480" s="13" t="s">
        <v>1341</v>
      </c>
      <c r="EC480" s="13" t="s">
        <v>1148</v>
      </c>
      <c r="ED480" s="11">
        <v>130957</v>
      </c>
      <c r="EE480" s="11"/>
    </row>
    <row r="481" spans="130:135" x14ac:dyDescent="0.2">
      <c r="DZ481" s="5">
        <v>45839</v>
      </c>
      <c r="EA481" s="13" t="s">
        <v>1251</v>
      </c>
      <c r="EB481" s="13" t="s">
        <v>1346</v>
      </c>
      <c r="EC481" s="13" t="s">
        <v>1208</v>
      </c>
      <c r="ED481" s="11">
        <v>1638259</v>
      </c>
      <c r="EE481" s="11"/>
    </row>
    <row r="482" spans="130:135" x14ac:dyDescent="0.2">
      <c r="DZ482" s="5">
        <v>45839</v>
      </c>
      <c r="EA482" s="13" t="s">
        <v>1251</v>
      </c>
      <c r="EB482" s="13" t="s">
        <v>2277</v>
      </c>
      <c r="EC482" s="13" t="s">
        <v>1208</v>
      </c>
      <c r="ED482" s="11">
        <v>0</v>
      </c>
      <c r="EE482" s="11"/>
    </row>
    <row r="483" spans="130:135" x14ac:dyDescent="0.2">
      <c r="DZ483" s="5">
        <v>45839</v>
      </c>
      <c r="EA483" s="13" t="s">
        <v>1251</v>
      </c>
      <c r="EB483" s="13" t="s">
        <v>1350</v>
      </c>
      <c r="EC483" s="13" t="s">
        <v>1208</v>
      </c>
      <c r="ED483" s="11">
        <v>3782740</v>
      </c>
      <c r="EE483" s="11"/>
    </row>
    <row r="484" spans="130:135" x14ac:dyDescent="0.2">
      <c r="DZ484" s="5">
        <v>45839</v>
      </c>
      <c r="EA484" s="13" t="s">
        <v>1251</v>
      </c>
      <c r="EB484" s="13" t="s">
        <v>1382</v>
      </c>
      <c r="EC484" s="13" t="s">
        <v>1208</v>
      </c>
      <c r="ED484" s="11">
        <v>299429</v>
      </c>
      <c r="EE484" s="11"/>
    </row>
    <row r="485" spans="130:135" x14ac:dyDescent="0.2">
      <c r="DZ485" s="5">
        <v>45839</v>
      </c>
      <c r="EA485" s="13" t="s">
        <v>1251</v>
      </c>
      <c r="EB485" s="13" t="s">
        <v>1386</v>
      </c>
      <c r="EC485" s="13" t="s">
        <v>1215</v>
      </c>
      <c r="ED485" s="11"/>
      <c r="EE485" s="11">
        <v>0</v>
      </c>
    </row>
    <row r="486" spans="130:135" x14ac:dyDescent="0.2">
      <c r="DZ486" s="5">
        <v>45839</v>
      </c>
      <c r="EA486" s="13" t="s">
        <v>1251</v>
      </c>
      <c r="EB486" s="13" t="s">
        <v>1385</v>
      </c>
      <c r="EC486" s="13" t="s">
        <v>1215</v>
      </c>
      <c r="ED486" s="11"/>
      <c r="EE486" s="11">
        <v>383800</v>
      </c>
    </row>
    <row r="487" spans="130:135" x14ac:dyDescent="0.2">
      <c r="DZ487" s="5">
        <v>45839</v>
      </c>
      <c r="EA487" s="13" t="s">
        <v>1251</v>
      </c>
      <c r="EB487" s="13" t="s">
        <v>1353</v>
      </c>
      <c r="EC487" s="13" t="s">
        <v>1215</v>
      </c>
      <c r="ED487" s="11"/>
      <c r="EE487" s="11">
        <v>68908</v>
      </c>
    </row>
    <row r="488" spans="130:135" x14ac:dyDescent="0.2">
      <c r="DZ488" s="5">
        <v>45839</v>
      </c>
      <c r="EA488" s="13" t="s">
        <v>1251</v>
      </c>
      <c r="EB488" s="13" t="s">
        <v>1347</v>
      </c>
      <c r="EC488" s="13" t="s">
        <v>1215</v>
      </c>
      <c r="ED488" s="11"/>
      <c r="EE488" s="11">
        <v>902810</v>
      </c>
    </row>
    <row r="489" spans="130:135" x14ac:dyDescent="0.2">
      <c r="DZ489" s="5">
        <v>45839</v>
      </c>
      <c r="EA489" s="13" t="s">
        <v>1251</v>
      </c>
      <c r="EB489" s="13" t="s">
        <v>2279</v>
      </c>
      <c r="EC489" s="13" t="s">
        <v>1215</v>
      </c>
      <c r="ED489" s="11"/>
      <c r="EE489" s="11">
        <v>0</v>
      </c>
    </row>
    <row r="490" spans="130:135" x14ac:dyDescent="0.2">
      <c r="DZ490" s="5">
        <v>45839</v>
      </c>
      <c r="EA490" s="13" t="s">
        <v>1251</v>
      </c>
      <c r="EB490" s="13" t="s">
        <v>2293</v>
      </c>
      <c r="EC490" s="13" t="s">
        <v>1215</v>
      </c>
      <c r="ED490" s="11"/>
      <c r="EE490" s="11">
        <v>0</v>
      </c>
    </row>
    <row r="491" spans="130:135" x14ac:dyDescent="0.2">
      <c r="DZ491" s="5">
        <v>45839</v>
      </c>
      <c r="EA491" s="13" t="s">
        <v>1251</v>
      </c>
      <c r="EB491" s="13" t="s">
        <v>2280</v>
      </c>
      <c r="EC491" s="13" t="s">
        <v>1215</v>
      </c>
      <c r="ED491" s="11"/>
      <c r="EE491" s="11">
        <v>0</v>
      </c>
    </row>
    <row r="492" spans="130:135" x14ac:dyDescent="0.2">
      <c r="DZ492" s="5">
        <v>45839</v>
      </c>
      <c r="EA492" s="13" t="s">
        <v>1251</v>
      </c>
      <c r="EB492" s="13" t="s">
        <v>2278</v>
      </c>
      <c r="EC492" s="13" t="s">
        <v>1215</v>
      </c>
      <c r="ED492" s="11"/>
      <c r="EE492" s="11">
        <v>550000</v>
      </c>
    </row>
    <row r="493" spans="130:135" x14ac:dyDescent="0.2">
      <c r="DZ493" s="5">
        <v>45839</v>
      </c>
      <c r="EA493" s="13" t="s">
        <v>1251</v>
      </c>
      <c r="EB493" s="13" t="s">
        <v>2281</v>
      </c>
      <c r="EC493" s="13" t="s">
        <v>1215</v>
      </c>
      <c r="ED493" s="11"/>
      <c r="EE493" s="11">
        <v>0</v>
      </c>
    </row>
    <row r="494" spans="130:135" x14ac:dyDescent="0.2">
      <c r="DZ494" s="5">
        <v>45839</v>
      </c>
      <c r="EA494" s="13" t="s">
        <v>1251</v>
      </c>
      <c r="EB494" s="13" t="s">
        <v>1348</v>
      </c>
      <c r="EC494" s="13" t="s">
        <v>1215</v>
      </c>
      <c r="ED494" s="11"/>
      <c r="EE494" s="11">
        <v>194600</v>
      </c>
    </row>
    <row r="495" spans="130:135" x14ac:dyDescent="0.2">
      <c r="DZ495" s="5">
        <v>45839</v>
      </c>
      <c r="EA495" s="13" t="s">
        <v>1251</v>
      </c>
      <c r="EB495" s="13" t="s">
        <v>2282</v>
      </c>
      <c r="EC495" s="13" t="s">
        <v>1215</v>
      </c>
      <c r="ED495" s="11"/>
      <c r="EE495" s="11">
        <v>0</v>
      </c>
    </row>
    <row r="496" spans="130:135" x14ac:dyDescent="0.2">
      <c r="DZ496" s="5">
        <v>45839</v>
      </c>
      <c r="EA496" s="13" t="s">
        <v>1251</v>
      </c>
      <c r="EB496" s="13" t="s">
        <v>1354</v>
      </c>
      <c r="EC496" s="13" t="s">
        <v>1215</v>
      </c>
      <c r="ED496" s="11"/>
      <c r="EE496" s="11">
        <v>0</v>
      </c>
    </row>
    <row r="497" spans="130:135" x14ac:dyDescent="0.2">
      <c r="DZ497" s="5">
        <v>45839</v>
      </c>
      <c r="EA497" s="13" t="s">
        <v>1251</v>
      </c>
      <c r="EB497" s="13" t="s">
        <v>1388</v>
      </c>
      <c r="EC497" s="13" t="s">
        <v>1217</v>
      </c>
      <c r="ED497" s="11">
        <v>328500</v>
      </c>
      <c r="EE497" s="11"/>
    </row>
    <row r="498" spans="130:135" x14ac:dyDescent="0.2">
      <c r="DZ498" s="5">
        <v>45839</v>
      </c>
      <c r="EA498" s="13" t="s">
        <v>1251</v>
      </c>
      <c r="EB498" s="13" t="s">
        <v>2284</v>
      </c>
      <c r="EC498" s="13" t="s">
        <v>1217</v>
      </c>
      <c r="ED498" s="11">
        <v>3084300</v>
      </c>
      <c r="EE498" s="11"/>
    </row>
    <row r="499" spans="130:135" x14ac:dyDescent="0.2">
      <c r="DZ499" s="5">
        <v>45839</v>
      </c>
      <c r="EA499" s="13" t="s">
        <v>1251</v>
      </c>
      <c r="EB499" s="13" t="s">
        <v>1352</v>
      </c>
      <c r="EC499" s="13" t="s">
        <v>1217</v>
      </c>
      <c r="ED499" s="11">
        <v>0</v>
      </c>
      <c r="EE499" s="11"/>
    </row>
    <row r="500" spans="130:135" x14ac:dyDescent="0.2">
      <c r="DZ500" s="5">
        <v>45839</v>
      </c>
      <c r="EA500" s="13" t="s">
        <v>1251</v>
      </c>
      <c r="EB500" s="13" t="s">
        <v>2283</v>
      </c>
      <c r="EC500" s="13" t="s">
        <v>1217</v>
      </c>
      <c r="ED500" s="11">
        <v>58152</v>
      </c>
      <c r="EE500" s="11"/>
    </row>
    <row r="501" spans="130:135" x14ac:dyDescent="0.2">
      <c r="DZ501" s="5">
        <v>45839</v>
      </c>
      <c r="EA501" s="13" t="s">
        <v>1251</v>
      </c>
      <c r="EB501" s="13" t="s">
        <v>2294</v>
      </c>
      <c r="EC501" s="13" t="s">
        <v>1217</v>
      </c>
      <c r="ED501" s="11">
        <v>0</v>
      </c>
      <c r="EE501" s="11"/>
    </row>
    <row r="502" spans="130:135" x14ac:dyDescent="0.2">
      <c r="DZ502" s="5">
        <v>45839</v>
      </c>
      <c r="EA502" s="13" t="s">
        <v>1251</v>
      </c>
      <c r="EB502" s="13" t="s">
        <v>1389</v>
      </c>
      <c r="EC502" s="13" t="s">
        <v>1217</v>
      </c>
      <c r="ED502" s="11">
        <v>0</v>
      </c>
      <c r="EE502" s="11"/>
    </row>
    <row r="503" spans="130:135" x14ac:dyDescent="0.2">
      <c r="DZ503" s="5">
        <v>45839</v>
      </c>
      <c r="EA503" s="13" t="s">
        <v>1253</v>
      </c>
      <c r="EB503" s="13" t="s">
        <v>2285</v>
      </c>
      <c r="EC503" s="13" t="s">
        <v>1084</v>
      </c>
      <c r="ED503" s="11"/>
      <c r="EE503" s="11">
        <v>0</v>
      </c>
    </row>
    <row r="504" spans="130:135" x14ac:dyDescent="0.2">
      <c r="DZ504" s="5">
        <v>45839</v>
      </c>
      <c r="EA504" s="13" t="s">
        <v>1253</v>
      </c>
      <c r="EB504" s="13" t="s">
        <v>1335</v>
      </c>
      <c r="EC504" s="13" t="s">
        <v>1084</v>
      </c>
      <c r="ED504" s="11"/>
      <c r="EE504" s="11">
        <v>18732660</v>
      </c>
    </row>
    <row r="505" spans="130:135" x14ac:dyDescent="0.2">
      <c r="DZ505" s="5">
        <v>45839</v>
      </c>
      <c r="EA505" s="13" t="s">
        <v>1251</v>
      </c>
      <c r="EB505" s="13" t="s">
        <v>2206</v>
      </c>
      <c r="EC505" s="13" t="s">
        <v>1114</v>
      </c>
      <c r="ED505" s="11">
        <v>275091</v>
      </c>
      <c r="EE505" s="11"/>
    </row>
    <row r="506" spans="130:135" x14ac:dyDescent="0.2">
      <c r="DZ506" s="5">
        <v>45839</v>
      </c>
      <c r="EA506" s="13" t="s">
        <v>1251</v>
      </c>
      <c r="EB506" s="13" t="s">
        <v>2212</v>
      </c>
      <c r="EC506" s="13" t="s">
        <v>1114</v>
      </c>
      <c r="ED506" s="11">
        <v>222423</v>
      </c>
      <c r="EE506" s="11"/>
    </row>
    <row r="507" spans="130:135" x14ac:dyDescent="0.2">
      <c r="DZ507" s="5">
        <v>45839</v>
      </c>
      <c r="EA507" s="13" t="s">
        <v>1250</v>
      </c>
      <c r="EB507" s="13" t="s">
        <v>1358</v>
      </c>
      <c r="EC507" s="13" t="s">
        <v>1114</v>
      </c>
      <c r="ED507" s="11">
        <v>361808</v>
      </c>
      <c r="EE507" s="11"/>
    </row>
    <row r="508" spans="130:135" x14ac:dyDescent="0.2">
      <c r="DZ508" s="5">
        <v>45839</v>
      </c>
      <c r="EA508" s="13" t="s">
        <v>1250</v>
      </c>
      <c r="EB508" s="13" t="s">
        <v>1417</v>
      </c>
      <c r="EC508" s="13" t="s">
        <v>1156</v>
      </c>
      <c r="ED508" s="11">
        <v>0</v>
      </c>
      <c r="EE508" s="11"/>
    </row>
    <row r="509" spans="130:135" x14ac:dyDescent="0.2">
      <c r="DZ509" s="5">
        <v>45839</v>
      </c>
      <c r="EA509" s="13" t="s">
        <v>1250</v>
      </c>
      <c r="EB509" s="13" t="s">
        <v>2286</v>
      </c>
      <c r="EC509" s="13" t="s">
        <v>1144</v>
      </c>
      <c r="ED509" s="11">
        <v>0</v>
      </c>
      <c r="EE509" s="11"/>
    </row>
    <row r="510" spans="130:135" x14ac:dyDescent="0.2">
      <c r="DZ510" s="5">
        <v>45839</v>
      </c>
      <c r="EA510" s="13" t="s">
        <v>1250</v>
      </c>
      <c r="EB510" s="13" t="s">
        <v>1381</v>
      </c>
      <c r="EC510" s="13" t="s">
        <v>1144</v>
      </c>
      <c r="ED510" s="11">
        <v>0</v>
      </c>
      <c r="EE510" s="11"/>
    </row>
    <row r="511" spans="130:135" x14ac:dyDescent="0.2">
      <c r="DZ511" s="5">
        <v>45839</v>
      </c>
      <c r="EA511" s="13" t="s">
        <v>1251</v>
      </c>
      <c r="EB511" s="13" t="s">
        <v>1349</v>
      </c>
      <c r="EC511" s="13" t="s">
        <v>1146</v>
      </c>
      <c r="ED511" s="11">
        <v>1121594</v>
      </c>
      <c r="EE511" s="11"/>
    </row>
    <row r="512" spans="130:135" x14ac:dyDescent="0.2">
      <c r="DZ512" s="5">
        <v>45839</v>
      </c>
      <c r="EA512" s="13" t="s">
        <v>1251</v>
      </c>
      <c r="EB512" s="13" t="s">
        <v>1368</v>
      </c>
      <c r="EC512" s="13" t="s">
        <v>1146</v>
      </c>
      <c r="ED512" s="11">
        <v>0</v>
      </c>
      <c r="EE512" s="11"/>
    </row>
    <row r="513" spans="130:135" x14ac:dyDescent="0.2">
      <c r="DZ513" s="5">
        <v>45839</v>
      </c>
      <c r="EA513" s="13" t="s">
        <v>1251</v>
      </c>
      <c r="EB513" s="13" t="s">
        <v>1345</v>
      </c>
      <c r="EC513" s="13" t="s">
        <v>1146</v>
      </c>
      <c r="ED513" s="11">
        <v>151388</v>
      </c>
      <c r="EE513" s="11"/>
    </row>
    <row r="514" spans="130:135" x14ac:dyDescent="0.2">
      <c r="DZ514" s="5">
        <v>45839</v>
      </c>
      <c r="EA514" s="13" t="s">
        <v>1250</v>
      </c>
      <c r="EB514" s="13" t="s">
        <v>1368</v>
      </c>
      <c r="EC514" s="13" t="s">
        <v>1146</v>
      </c>
      <c r="ED514" s="11">
        <v>80662</v>
      </c>
      <c r="EE514" s="11"/>
    </row>
    <row r="515" spans="130:135" x14ac:dyDescent="0.2">
      <c r="DZ515" s="5">
        <v>45839</v>
      </c>
      <c r="EA515" s="13" t="s">
        <v>1250</v>
      </c>
      <c r="EB515" s="13" t="s">
        <v>1367</v>
      </c>
      <c r="EC515" s="13" t="s">
        <v>1146</v>
      </c>
      <c r="ED515" s="11">
        <v>96712</v>
      </c>
      <c r="EE515" s="11"/>
    </row>
    <row r="516" spans="130:135" x14ac:dyDescent="0.2">
      <c r="DZ516" s="5">
        <v>45839</v>
      </c>
      <c r="EA516" s="13" t="s">
        <v>1251</v>
      </c>
      <c r="EB516" s="13" t="s">
        <v>2206</v>
      </c>
      <c r="EC516" s="13" t="s">
        <v>1108</v>
      </c>
      <c r="ED516" s="11">
        <v>1423500</v>
      </c>
      <c r="EE516" s="11"/>
    </row>
    <row r="517" spans="130:135" x14ac:dyDescent="0.2">
      <c r="DZ517" s="5">
        <v>45839</v>
      </c>
      <c r="EA517" s="13" t="s">
        <v>1251</v>
      </c>
      <c r="EB517" s="13" t="s">
        <v>2212</v>
      </c>
      <c r="EC517" s="13" t="s">
        <v>1108</v>
      </c>
      <c r="ED517" s="11">
        <v>1533560</v>
      </c>
      <c r="EE517" s="11"/>
    </row>
    <row r="518" spans="130:135" x14ac:dyDescent="0.2">
      <c r="DZ518" s="5">
        <v>45839</v>
      </c>
      <c r="EA518" s="13" t="s">
        <v>1250</v>
      </c>
      <c r="EB518" s="13" t="s">
        <v>1358</v>
      </c>
      <c r="EC518" s="13" t="s">
        <v>1108</v>
      </c>
      <c r="ED518" s="11">
        <v>1423500</v>
      </c>
      <c r="EE518" s="11"/>
    </row>
    <row r="519" spans="130:135" x14ac:dyDescent="0.2">
      <c r="DZ519" s="5">
        <v>45839</v>
      </c>
      <c r="EA519" s="13" t="s">
        <v>1251</v>
      </c>
      <c r="EB519" s="13" t="s">
        <v>1343</v>
      </c>
      <c r="EC519" s="13" t="s">
        <v>1206</v>
      </c>
      <c r="ED519" s="11"/>
      <c r="EE519" s="11">
        <v>476317</v>
      </c>
    </row>
    <row r="520" spans="130:135" x14ac:dyDescent="0.2">
      <c r="DZ520" s="5">
        <v>45839</v>
      </c>
      <c r="EA520" s="13" t="s">
        <v>1251</v>
      </c>
      <c r="EB520" s="13" t="s">
        <v>2281</v>
      </c>
      <c r="EC520" s="13" t="s">
        <v>1206</v>
      </c>
      <c r="ED520" s="11"/>
      <c r="EE520" s="11">
        <v>0</v>
      </c>
    </row>
    <row r="521" spans="130:135" x14ac:dyDescent="0.2">
      <c r="DZ521" s="5">
        <v>45839</v>
      </c>
      <c r="EA521" s="13" t="s">
        <v>1251</v>
      </c>
      <c r="EB521" s="13" t="s">
        <v>1344</v>
      </c>
      <c r="EC521" s="13" t="s">
        <v>1206</v>
      </c>
      <c r="ED521" s="11"/>
      <c r="EE521" s="11">
        <v>889000</v>
      </c>
    </row>
    <row r="522" spans="130:135" x14ac:dyDescent="0.2">
      <c r="DZ522" s="5">
        <v>45839</v>
      </c>
      <c r="EA522" s="13" t="s">
        <v>1251</v>
      </c>
      <c r="EB522" s="13" t="s">
        <v>1347</v>
      </c>
      <c r="EC522" s="13" t="s">
        <v>1206</v>
      </c>
      <c r="ED522" s="11"/>
      <c r="EE522" s="11">
        <v>-8102</v>
      </c>
    </row>
    <row r="523" spans="130:135" x14ac:dyDescent="0.2">
      <c r="DZ523" s="5">
        <v>45839</v>
      </c>
      <c r="EA523" s="13" t="s">
        <v>1251</v>
      </c>
      <c r="EB523" s="13" t="s">
        <v>2212</v>
      </c>
      <c r="EC523" s="13" t="s">
        <v>1058</v>
      </c>
      <c r="ED523" s="11">
        <v>217700</v>
      </c>
      <c r="EE523" s="11"/>
    </row>
    <row r="524" spans="130:135" x14ac:dyDescent="0.2">
      <c r="DZ524" s="5">
        <v>45839</v>
      </c>
      <c r="EA524" s="13" t="s">
        <v>1251</v>
      </c>
      <c r="EB524" s="13" t="s">
        <v>2206</v>
      </c>
      <c r="EC524" s="13" t="s">
        <v>1058</v>
      </c>
      <c r="ED524" s="11">
        <v>24620</v>
      </c>
      <c r="EE524" s="11"/>
    </row>
    <row r="525" spans="130:135" x14ac:dyDescent="0.2">
      <c r="DZ525" s="5">
        <v>45839</v>
      </c>
      <c r="EA525" s="13" t="s">
        <v>1250</v>
      </c>
      <c r="EB525" s="13" t="s">
        <v>1358</v>
      </c>
      <c r="EC525" s="13" t="s">
        <v>1058</v>
      </c>
      <c r="ED525" s="11">
        <v>149900</v>
      </c>
      <c r="EE525" s="11"/>
    </row>
    <row r="526" spans="130:135" x14ac:dyDescent="0.2">
      <c r="DZ526" s="5">
        <v>45839</v>
      </c>
      <c r="EA526" s="13" t="s">
        <v>1250</v>
      </c>
      <c r="EB526" s="13" t="s">
        <v>2203</v>
      </c>
      <c r="EC526" s="13" t="s">
        <v>1170</v>
      </c>
      <c r="ED526" s="11">
        <v>0</v>
      </c>
      <c r="EE526" s="11"/>
    </row>
    <row r="527" spans="130:135" x14ac:dyDescent="0.2">
      <c r="DZ527" s="5">
        <v>45839</v>
      </c>
      <c r="EA527" s="13" t="s">
        <v>1250</v>
      </c>
      <c r="EB527" s="13" t="s">
        <v>2283</v>
      </c>
      <c r="EC527" s="13" t="s">
        <v>1170</v>
      </c>
      <c r="ED527" s="11">
        <v>0</v>
      </c>
      <c r="EE527" s="11"/>
    </row>
    <row r="528" spans="130:135" x14ac:dyDescent="0.2">
      <c r="DZ528" s="5">
        <v>45839</v>
      </c>
      <c r="EA528" s="13" t="s">
        <v>1250</v>
      </c>
      <c r="EB528" s="13" t="s">
        <v>1394</v>
      </c>
      <c r="EC528" s="13" t="s">
        <v>1170</v>
      </c>
      <c r="ED528" s="11">
        <v>0</v>
      </c>
      <c r="EE528" s="11"/>
    </row>
    <row r="529" spans="130:135" x14ac:dyDescent="0.2">
      <c r="DZ529" s="5">
        <v>45839</v>
      </c>
      <c r="EA529" s="13" t="s">
        <v>1250</v>
      </c>
      <c r="EB529" s="13" t="s">
        <v>1388</v>
      </c>
      <c r="EC529" s="13" t="s">
        <v>1170</v>
      </c>
      <c r="ED529" s="11">
        <v>0</v>
      </c>
      <c r="EE529" s="11"/>
    </row>
    <row r="530" spans="130:135" x14ac:dyDescent="0.2">
      <c r="DZ530" s="5">
        <v>45839</v>
      </c>
      <c r="EA530" s="13" t="s">
        <v>1250</v>
      </c>
      <c r="EB530" s="13" t="s">
        <v>1365</v>
      </c>
      <c r="EC530" s="13" t="s">
        <v>1170</v>
      </c>
      <c r="ED530" s="11">
        <v>25252</v>
      </c>
      <c r="EE530" s="11"/>
    </row>
    <row r="531" spans="130:135" x14ac:dyDescent="0.2">
      <c r="DZ531" s="5">
        <v>45839</v>
      </c>
      <c r="EA531" s="13" t="s">
        <v>1250</v>
      </c>
      <c r="EB531" s="13" t="s">
        <v>1380</v>
      </c>
      <c r="EC531" s="13" t="s">
        <v>1170</v>
      </c>
      <c r="ED531" s="11">
        <v>0</v>
      </c>
      <c r="EE531" s="11"/>
    </row>
    <row r="532" spans="130:135" x14ac:dyDescent="0.2">
      <c r="DZ532" s="5">
        <v>45839</v>
      </c>
      <c r="EA532" s="13" t="s">
        <v>1250</v>
      </c>
      <c r="EB532" s="13" t="s">
        <v>2302</v>
      </c>
      <c r="EC532" s="13" t="s">
        <v>1170</v>
      </c>
      <c r="ED532" s="11">
        <v>9750</v>
      </c>
      <c r="EE532" s="11"/>
    </row>
    <row r="533" spans="130:135" x14ac:dyDescent="0.2">
      <c r="DZ533" s="5">
        <v>45839</v>
      </c>
      <c r="EA533" s="13" t="s">
        <v>1250</v>
      </c>
      <c r="EB533" s="13" t="s">
        <v>2284</v>
      </c>
      <c r="EC533" s="13" t="s">
        <v>1170</v>
      </c>
      <c r="ED533" s="11">
        <v>0</v>
      </c>
      <c r="EE533" s="11"/>
    </row>
    <row r="534" spans="130:135" x14ac:dyDescent="0.2">
      <c r="DZ534" s="5">
        <v>45839</v>
      </c>
      <c r="EA534" s="13" t="s">
        <v>1250</v>
      </c>
      <c r="EB534" s="13" t="s">
        <v>1364</v>
      </c>
      <c r="EC534" s="13" t="s">
        <v>1170</v>
      </c>
      <c r="ED534" s="11">
        <v>0</v>
      </c>
      <c r="EE534" s="11"/>
    </row>
    <row r="535" spans="130:135" x14ac:dyDescent="0.2">
      <c r="DZ535" s="5">
        <v>45839</v>
      </c>
      <c r="EA535" s="13" t="s">
        <v>1250</v>
      </c>
      <c r="EB535" s="13" t="s">
        <v>1379</v>
      </c>
      <c r="EC535" s="13" t="s">
        <v>1170</v>
      </c>
      <c r="ED535" s="11">
        <v>0</v>
      </c>
      <c r="EE535" s="11"/>
    </row>
    <row r="536" spans="130:135" x14ac:dyDescent="0.2">
      <c r="DZ536" s="5">
        <v>45839</v>
      </c>
      <c r="EA536" s="13" t="s">
        <v>1250</v>
      </c>
      <c r="EB536" s="13" t="s">
        <v>2303</v>
      </c>
      <c r="EC536" s="13" t="s">
        <v>1170</v>
      </c>
      <c r="ED536" s="11">
        <v>42250</v>
      </c>
      <c r="EE536" s="11"/>
    </row>
    <row r="537" spans="130:135" x14ac:dyDescent="0.2">
      <c r="DZ537" s="5">
        <v>45839</v>
      </c>
      <c r="EA537" s="13" t="s">
        <v>1250</v>
      </c>
      <c r="EB537" s="13" t="s">
        <v>2304</v>
      </c>
      <c r="EC537" s="13" t="s">
        <v>1170</v>
      </c>
      <c r="ED537" s="11">
        <v>37700</v>
      </c>
      <c r="EE537" s="11"/>
    </row>
    <row r="538" spans="130:135" x14ac:dyDescent="0.2">
      <c r="DZ538" s="5">
        <v>45839</v>
      </c>
      <c r="EA538" s="13" t="s">
        <v>1250</v>
      </c>
      <c r="EB538" s="13" t="s">
        <v>2204</v>
      </c>
      <c r="EC538" s="13" t="s">
        <v>1170</v>
      </c>
      <c r="ED538" s="11">
        <v>0</v>
      </c>
      <c r="EE538" s="11"/>
    </row>
    <row r="539" spans="130:135" x14ac:dyDescent="0.2">
      <c r="DZ539" s="5">
        <v>45870</v>
      </c>
      <c r="EA539" s="13" t="s">
        <v>1252</v>
      </c>
      <c r="EB539" s="13" t="s">
        <v>1375</v>
      </c>
      <c r="EC539" s="13" t="s">
        <v>1106</v>
      </c>
      <c r="ED539" s="11">
        <v>100</v>
      </c>
      <c r="EE539" s="11"/>
    </row>
    <row r="540" spans="130:135" x14ac:dyDescent="0.2">
      <c r="DZ540" s="5">
        <v>45870</v>
      </c>
      <c r="EA540" s="13" t="s">
        <v>1252</v>
      </c>
      <c r="EB540" s="13" t="s">
        <v>1377</v>
      </c>
      <c r="EC540" s="13" t="s">
        <v>1106</v>
      </c>
      <c r="ED540" s="11">
        <v>0</v>
      </c>
      <c r="EE540" s="11"/>
    </row>
    <row r="541" spans="130:135" x14ac:dyDescent="0.2">
      <c r="DZ541" s="5">
        <v>45870</v>
      </c>
      <c r="EA541" s="13" t="s">
        <v>1252</v>
      </c>
      <c r="EB541" s="13" t="s">
        <v>1403</v>
      </c>
      <c r="EC541" s="13" t="s">
        <v>1106</v>
      </c>
      <c r="ED541" s="11">
        <v>0</v>
      </c>
      <c r="EE541" s="11"/>
    </row>
    <row r="542" spans="130:135" x14ac:dyDescent="0.2">
      <c r="DZ542" s="5">
        <v>45870</v>
      </c>
      <c r="EA542" s="13" t="s">
        <v>1252</v>
      </c>
      <c r="EB542" s="13" t="s">
        <v>2202</v>
      </c>
      <c r="EC542" s="13" t="s">
        <v>1106</v>
      </c>
      <c r="ED542" s="11">
        <v>-5700</v>
      </c>
      <c r="EE542" s="11"/>
    </row>
    <row r="543" spans="130:135" x14ac:dyDescent="0.2">
      <c r="DZ543" s="5">
        <v>45870</v>
      </c>
      <c r="EA543" s="13" t="s">
        <v>1252</v>
      </c>
      <c r="EB543" s="13" t="s">
        <v>1388</v>
      </c>
      <c r="EC543" s="13" t="s">
        <v>1106</v>
      </c>
      <c r="ED543" s="11">
        <v>0</v>
      </c>
      <c r="EE543" s="11"/>
    </row>
    <row r="544" spans="130:135" x14ac:dyDescent="0.2">
      <c r="DZ544" s="5">
        <v>45870</v>
      </c>
      <c r="EA544" s="13" t="s">
        <v>1252</v>
      </c>
      <c r="EB544" s="13" t="s">
        <v>1374</v>
      </c>
      <c r="EC544" s="13" t="s">
        <v>1106</v>
      </c>
      <c r="ED544" s="11">
        <v>0</v>
      </c>
      <c r="EE544" s="11"/>
    </row>
    <row r="545" spans="130:135" x14ac:dyDescent="0.2">
      <c r="DZ545" s="5">
        <v>45870</v>
      </c>
      <c r="EA545" s="13" t="s">
        <v>1251</v>
      </c>
      <c r="EB545" s="13" t="s">
        <v>1379</v>
      </c>
      <c r="EC545" s="13" t="s">
        <v>1212</v>
      </c>
      <c r="ED545" s="11">
        <v>125000</v>
      </c>
      <c r="EE545" s="11"/>
    </row>
    <row r="546" spans="130:135" x14ac:dyDescent="0.2">
      <c r="DZ546" s="5">
        <v>45870</v>
      </c>
      <c r="EA546" s="13" t="s">
        <v>1251</v>
      </c>
      <c r="EB546" s="13" t="s">
        <v>1380</v>
      </c>
      <c r="EC546" s="13" t="s">
        <v>1212</v>
      </c>
      <c r="ED546" s="11">
        <v>0</v>
      </c>
      <c r="EE546" s="11"/>
    </row>
    <row r="547" spans="130:135" x14ac:dyDescent="0.2">
      <c r="DZ547" s="5">
        <v>45870</v>
      </c>
      <c r="EA547" s="13" t="s">
        <v>1251</v>
      </c>
      <c r="EB547" s="13" t="s">
        <v>2203</v>
      </c>
      <c r="EC547" s="13" t="s">
        <v>1212</v>
      </c>
      <c r="ED547" s="11">
        <v>0</v>
      </c>
      <c r="EE547" s="11"/>
    </row>
    <row r="548" spans="130:135" x14ac:dyDescent="0.2">
      <c r="DZ548" s="5">
        <v>45870</v>
      </c>
      <c r="EA548" s="13" t="s">
        <v>1251</v>
      </c>
      <c r="EB548" s="13" t="s">
        <v>2204</v>
      </c>
      <c r="EC548" s="13" t="s">
        <v>1212</v>
      </c>
      <c r="ED548" s="11">
        <v>0</v>
      </c>
      <c r="EE548" s="11"/>
    </row>
    <row r="549" spans="130:135" x14ac:dyDescent="0.2">
      <c r="DZ549" s="5">
        <v>45870</v>
      </c>
      <c r="EA549" s="13" t="s">
        <v>1251</v>
      </c>
      <c r="EB549" s="13" t="s">
        <v>1360</v>
      </c>
      <c r="EC549" s="13" t="s">
        <v>1124</v>
      </c>
      <c r="ED549" s="11">
        <v>375900</v>
      </c>
      <c r="EE549" s="11"/>
    </row>
    <row r="550" spans="130:135" x14ac:dyDescent="0.2">
      <c r="DZ550" s="5">
        <v>45870</v>
      </c>
      <c r="EA550" s="13" t="s">
        <v>1251</v>
      </c>
      <c r="EB550" s="13" t="s">
        <v>1406</v>
      </c>
      <c r="EC550" s="13" t="s">
        <v>1124</v>
      </c>
      <c r="ED550" s="11">
        <v>229600</v>
      </c>
      <c r="EE550" s="11"/>
    </row>
    <row r="551" spans="130:135" x14ac:dyDescent="0.2">
      <c r="DZ551" s="5">
        <v>45870</v>
      </c>
      <c r="EA551" s="13" t="s">
        <v>1250</v>
      </c>
      <c r="EB551" s="13" t="s">
        <v>1360</v>
      </c>
      <c r="EC551" s="13" t="s">
        <v>1124</v>
      </c>
      <c r="ED551" s="11">
        <v>195800</v>
      </c>
      <c r="EE551" s="11"/>
    </row>
    <row r="552" spans="130:135" x14ac:dyDescent="0.2">
      <c r="DZ552" s="5">
        <v>45870</v>
      </c>
      <c r="EA552" s="13" t="s">
        <v>1251</v>
      </c>
      <c r="EB552" s="13" t="s">
        <v>1338</v>
      </c>
      <c r="EC552" s="13" t="s">
        <v>1121</v>
      </c>
      <c r="ED552" s="11">
        <v>25800</v>
      </c>
      <c r="EE552" s="11"/>
    </row>
    <row r="553" spans="130:135" x14ac:dyDescent="0.2">
      <c r="DZ553" s="5">
        <v>45870</v>
      </c>
      <c r="EA553" s="13" t="s">
        <v>1250</v>
      </c>
      <c r="EB553" s="13" t="s">
        <v>1338</v>
      </c>
      <c r="EC553" s="13" t="s">
        <v>1121</v>
      </c>
      <c r="ED553" s="11">
        <v>8600</v>
      </c>
      <c r="EE553" s="11"/>
    </row>
    <row r="554" spans="130:135" x14ac:dyDescent="0.2">
      <c r="DZ554" s="5">
        <v>45870</v>
      </c>
      <c r="EA554" s="13" t="s">
        <v>1250</v>
      </c>
      <c r="EB554" s="13" t="s">
        <v>2287</v>
      </c>
      <c r="EC554" s="13" t="s">
        <v>1016</v>
      </c>
      <c r="ED554" s="11">
        <v>0</v>
      </c>
      <c r="EE554" s="11"/>
    </row>
    <row r="555" spans="130:135" x14ac:dyDescent="0.2">
      <c r="DZ555" s="5">
        <v>45870</v>
      </c>
      <c r="EA555" s="13" t="s">
        <v>1250</v>
      </c>
      <c r="EB555" s="13" t="s">
        <v>1340</v>
      </c>
      <c r="EC555" s="13" t="s">
        <v>1126</v>
      </c>
      <c r="ED555" s="11">
        <v>57000</v>
      </c>
      <c r="EE555" s="11"/>
    </row>
    <row r="556" spans="130:135" x14ac:dyDescent="0.2">
      <c r="DZ556" s="5">
        <v>45870</v>
      </c>
      <c r="EA556" s="13" t="s">
        <v>1251</v>
      </c>
      <c r="EB556" s="13" t="s">
        <v>1340</v>
      </c>
      <c r="EC556" s="13" t="s">
        <v>1126</v>
      </c>
      <c r="ED556" s="11">
        <v>205400</v>
      </c>
      <c r="EE556" s="11"/>
    </row>
    <row r="557" spans="130:135" x14ac:dyDescent="0.2">
      <c r="DZ557" s="5">
        <v>45870</v>
      </c>
      <c r="EA557" s="13" t="s">
        <v>1251</v>
      </c>
      <c r="EB557" s="13" t="s">
        <v>1342</v>
      </c>
      <c r="EC557" s="13" t="s">
        <v>1142</v>
      </c>
      <c r="ED557" s="11">
        <v>6300000</v>
      </c>
      <c r="EE557" s="11"/>
    </row>
    <row r="558" spans="130:135" x14ac:dyDescent="0.2">
      <c r="DZ558" s="5">
        <v>45870</v>
      </c>
      <c r="EA558" s="13" t="s">
        <v>1251</v>
      </c>
      <c r="EB558" s="13" t="s">
        <v>1341</v>
      </c>
      <c r="EC558" s="13" t="s">
        <v>1142</v>
      </c>
      <c r="ED558" s="11">
        <v>2400000</v>
      </c>
      <c r="EE558" s="11"/>
    </row>
    <row r="559" spans="130:135" x14ac:dyDescent="0.2">
      <c r="DZ559" s="5">
        <v>45870</v>
      </c>
      <c r="EA559" s="13" t="s">
        <v>1250</v>
      </c>
      <c r="EB559" s="13" t="s">
        <v>2205</v>
      </c>
      <c r="EC559" s="13" t="s">
        <v>1138</v>
      </c>
      <c r="ED559" s="11">
        <v>0</v>
      </c>
      <c r="EE559" s="11"/>
    </row>
    <row r="560" spans="130:135" x14ac:dyDescent="0.2">
      <c r="DZ560" s="5">
        <v>45870</v>
      </c>
      <c r="EA560" s="13" t="s">
        <v>1250</v>
      </c>
      <c r="EB560" s="13" t="s">
        <v>1358</v>
      </c>
      <c r="EC560" s="13" t="s">
        <v>1110</v>
      </c>
      <c r="ED560" s="11">
        <v>155199</v>
      </c>
      <c r="EE560" s="11"/>
    </row>
    <row r="561" spans="130:135" x14ac:dyDescent="0.2">
      <c r="DZ561" s="5">
        <v>45870</v>
      </c>
      <c r="EA561" s="13" t="s">
        <v>1251</v>
      </c>
      <c r="EB561" s="13" t="s">
        <v>2305</v>
      </c>
      <c r="EC561" s="13" t="s">
        <v>1187</v>
      </c>
      <c r="ED561" s="11">
        <v>100000</v>
      </c>
      <c r="EE561" s="11"/>
    </row>
    <row r="562" spans="130:135" x14ac:dyDescent="0.2">
      <c r="DZ562" s="5">
        <v>45870</v>
      </c>
      <c r="EA562" s="13" t="s">
        <v>1251</v>
      </c>
      <c r="EB562" s="13" t="s">
        <v>2206</v>
      </c>
      <c r="EC562" s="13" t="s">
        <v>1187</v>
      </c>
      <c r="ED562" s="11">
        <v>200000</v>
      </c>
      <c r="EE562" s="11"/>
    </row>
    <row r="563" spans="130:135" x14ac:dyDescent="0.2">
      <c r="DZ563" s="5">
        <v>45870</v>
      </c>
      <c r="EA563" s="13" t="s">
        <v>1250</v>
      </c>
      <c r="EB563" s="13" t="s">
        <v>1358</v>
      </c>
      <c r="EC563" s="13" t="s">
        <v>1132</v>
      </c>
      <c r="ED563" s="11">
        <v>130400</v>
      </c>
      <c r="EE563" s="11"/>
    </row>
    <row r="564" spans="130:135" x14ac:dyDescent="0.2">
      <c r="DZ564" s="5">
        <v>45870</v>
      </c>
      <c r="EA564" s="13" t="s">
        <v>1250</v>
      </c>
      <c r="EB564" s="13" t="s">
        <v>2208</v>
      </c>
      <c r="EC564" s="13" t="s">
        <v>1172</v>
      </c>
      <c r="ED564" s="11">
        <v>0</v>
      </c>
      <c r="EE564" s="11"/>
    </row>
    <row r="565" spans="130:135" x14ac:dyDescent="0.2">
      <c r="DZ565" s="5">
        <v>45870</v>
      </c>
      <c r="EA565" s="13" t="s">
        <v>1250</v>
      </c>
      <c r="EB565" s="13" t="s">
        <v>2277</v>
      </c>
      <c r="EC565" s="13" t="s">
        <v>1172</v>
      </c>
      <c r="ED565" s="11">
        <v>0</v>
      </c>
      <c r="EE565" s="11"/>
    </row>
    <row r="566" spans="130:135" x14ac:dyDescent="0.2">
      <c r="DZ566" s="5">
        <v>45870</v>
      </c>
      <c r="EA566" s="13" t="s">
        <v>1250</v>
      </c>
      <c r="EB566" s="13" t="s">
        <v>1392</v>
      </c>
      <c r="EC566" s="13" t="s">
        <v>1172</v>
      </c>
      <c r="ED566" s="11">
        <v>0</v>
      </c>
      <c r="EE566" s="11"/>
    </row>
    <row r="567" spans="130:135" x14ac:dyDescent="0.2">
      <c r="DZ567" s="5">
        <v>45870</v>
      </c>
      <c r="EA567" s="13" t="s">
        <v>1250</v>
      </c>
      <c r="EB567" s="13" t="s">
        <v>2211</v>
      </c>
      <c r="EC567" s="13" t="s">
        <v>1172</v>
      </c>
      <c r="ED567" s="11">
        <v>0</v>
      </c>
      <c r="EE567" s="11"/>
    </row>
    <row r="568" spans="130:135" x14ac:dyDescent="0.2">
      <c r="DZ568" s="5">
        <v>45870</v>
      </c>
      <c r="EA568" s="13" t="s">
        <v>1250</v>
      </c>
      <c r="EB568" s="13" t="s">
        <v>2210</v>
      </c>
      <c r="EC568" s="13" t="s">
        <v>1172</v>
      </c>
      <c r="ED568" s="11">
        <v>0</v>
      </c>
      <c r="EE568" s="11"/>
    </row>
    <row r="569" spans="130:135" x14ac:dyDescent="0.2">
      <c r="DZ569" s="5">
        <v>45870</v>
      </c>
      <c r="EA569" s="13" t="s">
        <v>1250</v>
      </c>
      <c r="EB569" s="13" t="s">
        <v>1362</v>
      </c>
      <c r="EC569" s="13" t="s">
        <v>1172</v>
      </c>
      <c r="ED569" s="11">
        <v>0</v>
      </c>
      <c r="EE569" s="11"/>
    </row>
    <row r="570" spans="130:135" x14ac:dyDescent="0.2">
      <c r="DZ570" s="5">
        <v>45870</v>
      </c>
      <c r="EA570" s="13" t="s">
        <v>1250</v>
      </c>
      <c r="EB570" s="13" t="s">
        <v>1391</v>
      </c>
      <c r="EC570" s="13" t="s">
        <v>1172</v>
      </c>
      <c r="ED570" s="11">
        <v>185740</v>
      </c>
      <c r="EE570" s="11"/>
    </row>
    <row r="571" spans="130:135" x14ac:dyDescent="0.2">
      <c r="DZ571" s="5">
        <v>45870</v>
      </c>
      <c r="EA571" s="13" t="s">
        <v>1250</v>
      </c>
      <c r="EB571" s="13" t="s">
        <v>1396</v>
      </c>
      <c r="EC571" s="13" t="s">
        <v>1172</v>
      </c>
      <c r="ED571" s="11">
        <v>0</v>
      </c>
      <c r="EE571" s="11"/>
    </row>
    <row r="572" spans="130:135" x14ac:dyDescent="0.2">
      <c r="DZ572" s="5">
        <v>45870</v>
      </c>
      <c r="EA572" s="13" t="s">
        <v>1250</v>
      </c>
      <c r="EB572" s="13" t="s">
        <v>1414</v>
      </c>
      <c r="EC572" s="13" t="s">
        <v>1172</v>
      </c>
      <c r="ED572" s="11">
        <v>0</v>
      </c>
      <c r="EE572" s="11"/>
    </row>
    <row r="573" spans="130:135" x14ac:dyDescent="0.2">
      <c r="DZ573" s="5">
        <v>45870</v>
      </c>
      <c r="EA573" s="13" t="s">
        <v>1250</v>
      </c>
      <c r="EB573" s="13" t="s">
        <v>2207</v>
      </c>
      <c r="EC573" s="13" t="s">
        <v>1172</v>
      </c>
      <c r="ED573" s="11">
        <v>0</v>
      </c>
      <c r="EE573" s="11"/>
    </row>
    <row r="574" spans="130:135" x14ac:dyDescent="0.2">
      <c r="DZ574" s="5">
        <v>45870</v>
      </c>
      <c r="EA574" s="13" t="s">
        <v>1250</v>
      </c>
      <c r="EB574" s="13" t="s">
        <v>2209</v>
      </c>
      <c r="EC574" s="13" t="s">
        <v>1172</v>
      </c>
      <c r="ED574" s="11">
        <v>0</v>
      </c>
      <c r="EE574" s="11"/>
    </row>
    <row r="575" spans="130:135" x14ac:dyDescent="0.2">
      <c r="DZ575" s="5">
        <v>45870</v>
      </c>
      <c r="EA575" s="13" t="s">
        <v>1250</v>
      </c>
      <c r="EB575" s="13" t="s">
        <v>2288</v>
      </c>
      <c r="EC575" s="13" t="s">
        <v>1172</v>
      </c>
      <c r="ED575" s="11">
        <v>0</v>
      </c>
      <c r="EE575" s="11"/>
    </row>
    <row r="576" spans="130:135" x14ac:dyDescent="0.2">
      <c r="DZ576" s="5">
        <v>45870</v>
      </c>
      <c r="EA576" s="13" t="s">
        <v>1250</v>
      </c>
      <c r="EB576" s="13" t="s">
        <v>1358</v>
      </c>
      <c r="EC576" s="13" t="s">
        <v>1054</v>
      </c>
      <c r="ED576" s="11">
        <v>2</v>
      </c>
      <c r="EE576" s="11"/>
    </row>
    <row r="577" spans="130:135" x14ac:dyDescent="0.2">
      <c r="DZ577" s="5">
        <v>45870</v>
      </c>
      <c r="EA577" s="13" t="s">
        <v>1251</v>
      </c>
      <c r="EB577" s="13" t="s">
        <v>2212</v>
      </c>
      <c r="EC577" s="13" t="s">
        <v>1054</v>
      </c>
      <c r="ED577" s="11">
        <v>24424</v>
      </c>
      <c r="EE577" s="11"/>
    </row>
    <row r="578" spans="130:135" x14ac:dyDescent="0.2">
      <c r="DZ578" s="5">
        <v>45870</v>
      </c>
      <c r="EA578" s="13" t="s">
        <v>1251</v>
      </c>
      <c r="EB578" s="13" t="s">
        <v>2206</v>
      </c>
      <c r="EC578" s="13" t="s">
        <v>1054</v>
      </c>
      <c r="ED578" s="11">
        <v>2</v>
      </c>
      <c r="EE578" s="11"/>
    </row>
    <row r="579" spans="130:135" x14ac:dyDescent="0.2">
      <c r="DZ579" s="5">
        <v>45870</v>
      </c>
      <c r="EA579" s="13" t="s">
        <v>1251</v>
      </c>
      <c r="EB579" s="13" t="s">
        <v>2212</v>
      </c>
      <c r="EC579" s="13" t="s">
        <v>1166</v>
      </c>
      <c r="ED579" s="11"/>
      <c r="EE579" s="11">
        <v>345872</v>
      </c>
    </row>
    <row r="580" spans="130:135" x14ac:dyDescent="0.2">
      <c r="DZ580" s="5">
        <v>45870</v>
      </c>
      <c r="EA580" s="13" t="s">
        <v>1251</v>
      </c>
      <c r="EB580" s="13" t="s">
        <v>1355</v>
      </c>
      <c r="EC580" s="13" t="s">
        <v>1166</v>
      </c>
      <c r="ED580" s="11"/>
      <c r="EE580" s="11">
        <v>669699</v>
      </c>
    </row>
    <row r="581" spans="130:135" x14ac:dyDescent="0.2">
      <c r="DZ581" s="5">
        <v>45870</v>
      </c>
      <c r="EA581" s="13" t="s">
        <v>1252</v>
      </c>
      <c r="EB581" s="13" t="s">
        <v>1371</v>
      </c>
      <c r="EC581" s="13" t="s">
        <v>1166</v>
      </c>
      <c r="ED581" s="11">
        <v>31175</v>
      </c>
      <c r="EE581" s="11"/>
    </row>
    <row r="582" spans="130:135" x14ac:dyDescent="0.2">
      <c r="DZ582" s="5">
        <v>45870</v>
      </c>
      <c r="EA582" s="13" t="s">
        <v>1251</v>
      </c>
      <c r="EB582" s="13" t="s">
        <v>2214</v>
      </c>
      <c r="EC582" s="13" t="s">
        <v>1166</v>
      </c>
      <c r="ED582" s="11"/>
      <c r="EE582" s="11">
        <v>0</v>
      </c>
    </row>
    <row r="583" spans="130:135" x14ac:dyDescent="0.2">
      <c r="DZ583" s="5">
        <v>45870</v>
      </c>
      <c r="EA583" s="13" t="s">
        <v>1251</v>
      </c>
      <c r="EB583" s="13" t="s">
        <v>1351</v>
      </c>
      <c r="EC583" s="13" t="s">
        <v>1166</v>
      </c>
      <c r="ED583" s="11"/>
      <c r="EE583" s="11">
        <v>298639.40000000002</v>
      </c>
    </row>
    <row r="584" spans="130:135" x14ac:dyDescent="0.2">
      <c r="DZ584" s="5">
        <v>45870</v>
      </c>
      <c r="EA584" s="13" t="s">
        <v>1251</v>
      </c>
      <c r="EB584" s="13" t="s">
        <v>2305</v>
      </c>
      <c r="EC584" s="13" t="s">
        <v>1166</v>
      </c>
      <c r="ED584" s="11"/>
      <c r="EE584" s="11">
        <v>250000</v>
      </c>
    </row>
    <row r="585" spans="130:135" x14ac:dyDescent="0.2">
      <c r="DZ585" s="5">
        <v>45870</v>
      </c>
      <c r="EA585" s="13" t="s">
        <v>1251</v>
      </c>
      <c r="EB585" s="13" t="s">
        <v>2213</v>
      </c>
      <c r="EC585" s="13" t="s">
        <v>1166</v>
      </c>
      <c r="ED585" s="11"/>
      <c r="EE585" s="11">
        <v>905211</v>
      </c>
    </row>
    <row r="586" spans="130:135" x14ac:dyDescent="0.2">
      <c r="DZ586" s="5">
        <v>45870</v>
      </c>
      <c r="EA586" s="13" t="s">
        <v>1252</v>
      </c>
      <c r="EB586" s="13" t="s">
        <v>1355</v>
      </c>
      <c r="EC586" s="13" t="s">
        <v>1166</v>
      </c>
      <c r="ED586" s="11">
        <v>96908.75</v>
      </c>
      <c r="EE586" s="11"/>
    </row>
    <row r="587" spans="130:135" x14ac:dyDescent="0.2">
      <c r="DZ587" s="5">
        <v>45870</v>
      </c>
      <c r="EA587" s="13" t="s">
        <v>1252</v>
      </c>
      <c r="EB587" s="13" t="s">
        <v>2230</v>
      </c>
      <c r="EC587" s="13" t="s">
        <v>1224</v>
      </c>
      <c r="ED587" s="11">
        <v>0</v>
      </c>
      <c r="EE587" s="11"/>
    </row>
    <row r="588" spans="130:135" x14ac:dyDescent="0.2">
      <c r="DZ588" s="5">
        <v>45870</v>
      </c>
      <c r="EA588" s="13" t="s">
        <v>1252</v>
      </c>
      <c r="EB588" s="13" t="s">
        <v>2251</v>
      </c>
      <c r="EC588" s="13" t="s">
        <v>1224</v>
      </c>
      <c r="ED588" s="11">
        <v>0</v>
      </c>
      <c r="EE588" s="11"/>
    </row>
    <row r="589" spans="130:135" x14ac:dyDescent="0.2">
      <c r="DZ589" s="5">
        <v>45870</v>
      </c>
      <c r="EA589" s="13" t="s">
        <v>1252</v>
      </c>
      <c r="EB589" s="13" t="s">
        <v>2265</v>
      </c>
      <c r="EC589" s="13" t="s">
        <v>1224</v>
      </c>
      <c r="ED589" s="11">
        <v>0</v>
      </c>
      <c r="EE589" s="11"/>
    </row>
    <row r="590" spans="130:135" x14ac:dyDescent="0.2">
      <c r="DZ590" s="5">
        <v>45870</v>
      </c>
      <c r="EA590" s="13" t="s">
        <v>1252</v>
      </c>
      <c r="EB590" s="13" t="s">
        <v>2271</v>
      </c>
      <c r="EC590" s="13" t="s">
        <v>1224</v>
      </c>
      <c r="ED590" s="11">
        <v>0</v>
      </c>
      <c r="EE590" s="11"/>
    </row>
    <row r="591" spans="130:135" x14ac:dyDescent="0.2">
      <c r="DZ591" s="5">
        <v>45870</v>
      </c>
      <c r="EA591" s="13" t="s">
        <v>1252</v>
      </c>
      <c r="EB591" s="13" t="s">
        <v>2220</v>
      </c>
      <c r="EC591" s="13" t="s">
        <v>1224</v>
      </c>
      <c r="ED591" s="11">
        <v>0</v>
      </c>
      <c r="EE591" s="11"/>
    </row>
    <row r="592" spans="130:135" x14ac:dyDescent="0.2">
      <c r="DZ592" s="5">
        <v>45870</v>
      </c>
      <c r="EA592" s="13" t="s">
        <v>1252</v>
      </c>
      <c r="EB592" s="13" t="s">
        <v>2306</v>
      </c>
      <c r="EC592" s="13" t="s">
        <v>1224</v>
      </c>
      <c r="ED592" s="11">
        <v>27100.84</v>
      </c>
      <c r="EE592" s="11"/>
    </row>
    <row r="593" spans="130:135" x14ac:dyDescent="0.2">
      <c r="DZ593" s="5">
        <v>45870</v>
      </c>
      <c r="EA593" s="13" t="s">
        <v>1252</v>
      </c>
      <c r="EB593" s="13" t="s">
        <v>2221</v>
      </c>
      <c r="EC593" s="13" t="s">
        <v>1224</v>
      </c>
      <c r="ED593" s="11">
        <v>0</v>
      </c>
      <c r="EE593" s="11"/>
    </row>
    <row r="594" spans="130:135" x14ac:dyDescent="0.2">
      <c r="DZ594" s="5">
        <v>45870</v>
      </c>
      <c r="EA594" s="13" t="s">
        <v>1252</v>
      </c>
      <c r="EB594" s="13" t="s">
        <v>2239</v>
      </c>
      <c r="EC594" s="13" t="s">
        <v>1224</v>
      </c>
      <c r="ED594" s="11">
        <v>0</v>
      </c>
      <c r="EE594" s="11"/>
    </row>
    <row r="595" spans="130:135" x14ac:dyDescent="0.2">
      <c r="DZ595" s="5">
        <v>45870</v>
      </c>
      <c r="EA595" s="13" t="s">
        <v>1252</v>
      </c>
      <c r="EB595" s="13" t="s">
        <v>2249</v>
      </c>
      <c r="EC595" s="13" t="s">
        <v>1224</v>
      </c>
      <c r="ED595" s="11">
        <v>0</v>
      </c>
      <c r="EE595" s="11"/>
    </row>
    <row r="596" spans="130:135" x14ac:dyDescent="0.2">
      <c r="DZ596" s="5">
        <v>45870</v>
      </c>
      <c r="EA596" s="13" t="s">
        <v>1252</v>
      </c>
      <c r="EB596" s="13" t="s">
        <v>2272</v>
      </c>
      <c r="EC596" s="13" t="s">
        <v>1224</v>
      </c>
      <c r="ED596" s="11">
        <v>0</v>
      </c>
      <c r="EE596" s="11"/>
    </row>
    <row r="597" spans="130:135" x14ac:dyDescent="0.2">
      <c r="DZ597" s="5">
        <v>45870</v>
      </c>
      <c r="EA597" s="13" t="s">
        <v>1252</v>
      </c>
      <c r="EB597" s="13" t="s">
        <v>2255</v>
      </c>
      <c r="EC597" s="13" t="s">
        <v>1224</v>
      </c>
      <c r="ED597" s="11">
        <v>0</v>
      </c>
      <c r="EE597" s="11"/>
    </row>
    <row r="598" spans="130:135" x14ac:dyDescent="0.2">
      <c r="DZ598" s="5">
        <v>45870</v>
      </c>
      <c r="EA598" s="13" t="s">
        <v>1252</v>
      </c>
      <c r="EB598" s="13" t="s">
        <v>2248</v>
      </c>
      <c r="EC598" s="13" t="s">
        <v>1224</v>
      </c>
      <c r="ED598" s="11">
        <v>0</v>
      </c>
      <c r="EE598" s="11"/>
    </row>
    <row r="599" spans="130:135" x14ac:dyDescent="0.2">
      <c r="DZ599" s="5">
        <v>45870</v>
      </c>
      <c r="EA599" s="13" t="s">
        <v>1252</v>
      </c>
      <c r="EB599" s="13" t="s">
        <v>2232</v>
      </c>
      <c r="EC599" s="13" t="s">
        <v>1224</v>
      </c>
      <c r="ED599" s="11">
        <v>0</v>
      </c>
      <c r="EE599" s="11"/>
    </row>
    <row r="600" spans="130:135" x14ac:dyDescent="0.2">
      <c r="DZ600" s="5">
        <v>45870</v>
      </c>
      <c r="EA600" s="13" t="s">
        <v>1252</v>
      </c>
      <c r="EB600" s="13" t="s">
        <v>2233</v>
      </c>
      <c r="EC600" s="13" t="s">
        <v>1224</v>
      </c>
      <c r="ED600" s="11">
        <v>0</v>
      </c>
      <c r="EE600" s="11"/>
    </row>
    <row r="601" spans="130:135" x14ac:dyDescent="0.2">
      <c r="DZ601" s="5">
        <v>45870</v>
      </c>
      <c r="EA601" s="13" t="s">
        <v>1252</v>
      </c>
      <c r="EB601" s="13" t="s">
        <v>2290</v>
      </c>
      <c r="EC601" s="13" t="s">
        <v>1224</v>
      </c>
      <c r="ED601" s="11">
        <v>0</v>
      </c>
      <c r="EE601" s="11"/>
    </row>
    <row r="602" spans="130:135" x14ac:dyDescent="0.2">
      <c r="DZ602" s="5">
        <v>45870</v>
      </c>
      <c r="EA602" s="13" t="s">
        <v>1252</v>
      </c>
      <c r="EB602" s="13" t="s">
        <v>2228</v>
      </c>
      <c r="EC602" s="13" t="s">
        <v>1224</v>
      </c>
      <c r="ED602" s="11">
        <v>0</v>
      </c>
      <c r="EE602" s="11"/>
    </row>
    <row r="603" spans="130:135" x14ac:dyDescent="0.2">
      <c r="DZ603" s="5">
        <v>45870</v>
      </c>
      <c r="EA603" s="13" t="s">
        <v>1252</v>
      </c>
      <c r="EB603" s="13" t="s">
        <v>2261</v>
      </c>
      <c r="EC603" s="13" t="s">
        <v>1224</v>
      </c>
      <c r="ED603" s="11">
        <v>0</v>
      </c>
      <c r="EE603" s="11"/>
    </row>
    <row r="604" spans="130:135" x14ac:dyDescent="0.2">
      <c r="DZ604" s="5">
        <v>45870</v>
      </c>
      <c r="EA604" s="13" t="s">
        <v>1252</v>
      </c>
      <c r="EB604" s="13" t="s">
        <v>2264</v>
      </c>
      <c r="EC604" s="13" t="s">
        <v>1224</v>
      </c>
      <c r="ED604" s="11">
        <v>0</v>
      </c>
      <c r="EE604" s="11"/>
    </row>
    <row r="605" spans="130:135" x14ac:dyDescent="0.2">
      <c r="DZ605" s="5">
        <v>45870</v>
      </c>
      <c r="EA605" s="13" t="s">
        <v>1252</v>
      </c>
      <c r="EB605" s="13" t="s">
        <v>2274</v>
      </c>
      <c r="EC605" s="13" t="s">
        <v>1224</v>
      </c>
      <c r="ED605" s="11">
        <v>0</v>
      </c>
      <c r="EE605" s="11"/>
    </row>
    <row r="606" spans="130:135" x14ac:dyDescent="0.2">
      <c r="DZ606" s="5">
        <v>45870</v>
      </c>
      <c r="EA606" s="13" t="s">
        <v>1252</v>
      </c>
      <c r="EB606" s="13" t="s">
        <v>2258</v>
      </c>
      <c r="EC606" s="13" t="s">
        <v>1224</v>
      </c>
      <c r="ED606" s="11">
        <v>0</v>
      </c>
      <c r="EE606" s="11"/>
    </row>
    <row r="607" spans="130:135" x14ac:dyDescent="0.2">
      <c r="DZ607" s="5">
        <v>45870</v>
      </c>
      <c r="EA607" s="13" t="s">
        <v>1252</v>
      </c>
      <c r="EB607" s="13" t="s">
        <v>2242</v>
      </c>
      <c r="EC607" s="13" t="s">
        <v>1224</v>
      </c>
      <c r="ED607" s="11">
        <v>0</v>
      </c>
      <c r="EE607" s="11"/>
    </row>
    <row r="608" spans="130:135" x14ac:dyDescent="0.2">
      <c r="DZ608" s="5">
        <v>45870</v>
      </c>
      <c r="EA608" s="13" t="s">
        <v>1252</v>
      </c>
      <c r="EB608" s="13" t="s">
        <v>2244</v>
      </c>
      <c r="EC608" s="13" t="s">
        <v>1224</v>
      </c>
      <c r="ED608" s="11">
        <v>0</v>
      </c>
      <c r="EE608" s="11"/>
    </row>
    <row r="609" spans="130:135" x14ac:dyDescent="0.2">
      <c r="DZ609" s="5">
        <v>45870</v>
      </c>
      <c r="EA609" s="13" t="s">
        <v>1252</v>
      </c>
      <c r="EB609" s="13" t="s">
        <v>2307</v>
      </c>
      <c r="EC609" s="13" t="s">
        <v>1224</v>
      </c>
      <c r="ED609" s="11">
        <v>153361.34</v>
      </c>
      <c r="EE609" s="11"/>
    </row>
    <row r="610" spans="130:135" x14ac:dyDescent="0.2">
      <c r="DZ610" s="5">
        <v>45870</v>
      </c>
      <c r="EA610" s="13" t="s">
        <v>1252</v>
      </c>
      <c r="EB610" s="13" t="s">
        <v>2260</v>
      </c>
      <c r="EC610" s="13" t="s">
        <v>1224</v>
      </c>
      <c r="ED610" s="11">
        <v>0</v>
      </c>
      <c r="EE610" s="11"/>
    </row>
    <row r="611" spans="130:135" x14ac:dyDescent="0.2">
      <c r="DZ611" s="5">
        <v>45870</v>
      </c>
      <c r="EA611" s="13" t="s">
        <v>1252</v>
      </c>
      <c r="EB611" s="13" t="s">
        <v>2245</v>
      </c>
      <c r="EC611" s="13" t="s">
        <v>1224</v>
      </c>
      <c r="ED611" s="11">
        <v>0</v>
      </c>
      <c r="EE611" s="11"/>
    </row>
    <row r="612" spans="130:135" x14ac:dyDescent="0.2">
      <c r="DZ612" s="5">
        <v>45870</v>
      </c>
      <c r="EA612" s="13" t="s">
        <v>1252</v>
      </c>
      <c r="EB612" s="13" t="s">
        <v>2237</v>
      </c>
      <c r="EC612" s="13" t="s">
        <v>1224</v>
      </c>
      <c r="ED612" s="11">
        <v>0</v>
      </c>
      <c r="EE612" s="11"/>
    </row>
    <row r="613" spans="130:135" x14ac:dyDescent="0.2">
      <c r="DZ613" s="5">
        <v>45870</v>
      </c>
      <c r="EA613" s="13" t="s">
        <v>1252</v>
      </c>
      <c r="EB613" s="13" t="s">
        <v>2297</v>
      </c>
      <c r="EC613" s="13" t="s">
        <v>1224</v>
      </c>
      <c r="ED613" s="11">
        <v>0</v>
      </c>
      <c r="EE613" s="11"/>
    </row>
    <row r="614" spans="130:135" x14ac:dyDescent="0.2">
      <c r="DZ614" s="5">
        <v>45870</v>
      </c>
      <c r="EA614" s="13" t="s">
        <v>1252</v>
      </c>
      <c r="EB614" s="13" t="s">
        <v>2273</v>
      </c>
      <c r="EC614" s="13" t="s">
        <v>1224</v>
      </c>
      <c r="ED614" s="11">
        <v>0</v>
      </c>
      <c r="EE614" s="11"/>
    </row>
    <row r="615" spans="130:135" x14ac:dyDescent="0.2">
      <c r="DZ615" s="5">
        <v>45870</v>
      </c>
      <c r="EA615" s="13" t="s">
        <v>1252</v>
      </c>
      <c r="EB615" s="13" t="s">
        <v>2225</v>
      </c>
      <c r="EC615" s="13" t="s">
        <v>1224</v>
      </c>
      <c r="ED615" s="11">
        <v>0</v>
      </c>
      <c r="EE615" s="11"/>
    </row>
    <row r="616" spans="130:135" x14ac:dyDescent="0.2">
      <c r="DZ616" s="5">
        <v>45870</v>
      </c>
      <c r="EA616" s="13" t="s">
        <v>1252</v>
      </c>
      <c r="EB616" s="13" t="s">
        <v>2298</v>
      </c>
      <c r="EC616" s="13" t="s">
        <v>1224</v>
      </c>
      <c r="ED616" s="11">
        <v>0</v>
      </c>
      <c r="EE616" s="11"/>
    </row>
    <row r="617" spans="130:135" x14ac:dyDescent="0.2">
      <c r="DZ617" s="5">
        <v>45870</v>
      </c>
      <c r="EA617" s="13" t="s">
        <v>1252</v>
      </c>
      <c r="EB617" s="13" t="s">
        <v>2224</v>
      </c>
      <c r="EC617" s="13" t="s">
        <v>1224</v>
      </c>
      <c r="ED617" s="11">
        <v>0</v>
      </c>
      <c r="EE617" s="11"/>
    </row>
    <row r="618" spans="130:135" x14ac:dyDescent="0.2">
      <c r="DZ618" s="5">
        <v>45870</v>
      </c>
      <c r="EA618" s="13" t="s">
        <v>1252</v>
      </c>
      <c r="EB618" s="13" t="s">
        <v>2253</v>
      </c>
      <c r="EC618" s="13" t="s">
        <v>1224</v>
      </c>
      <c r="ED618" s="11">
        <v>0</v>
      </c>
      <c r="EE618" s="11"/>
    </row>
    <row r="619" spans="130:135" x14ac:dyDescent="0.2">
      <c r="DZ619" s="5">
        <v>45870</v>
      </c>
      <c r="EA619" s="13" t="s">
        <v>1252</v>
      </c>
      <c r="EB619" s="13" t="s">
        <v>2240</v>
      </c>
      <c r="EC619" s="13" t="s">
        <v>1224</v>
      </c>
      <c r="ED619" s="11">
        <v>0</v>
      </c>
      <c r="EE619" s="11"/>
    </row>
    <row r="620" spans="130:135" x14ac:dyDescent="0.2">
      <c r="DZ620" s="5">
        <v>45870</v>
      </c>
      <c r="EA620" s="13" t="s">
        <v>1252</v>
      </c>
      <c r="EB620" s="13" t="s">
        <v>1403</v>
      </c>
      <c r="EC620" s="13" t="s">
        <v>1224</v>
      </c>
      <c r="ED620" s="11">
        <v>246008.4</v>
      </c>
      <c r="EE620" s="11"/>
    </row>
    <row r="621" spans="130:135" x14ac:dyDescent="0.2">
      <c r="DZ621" s="5">
        <v>45870</v>
      </c>
      <c r="EA621" s="13" t="s">
        <v>1252</v>
      </c>
      <c r="EB621" s="13" t="s">
        <v>2243</v>
      </c>
      <c r="EC621" s="13" t="s">
        <v>1224</v>
      </c>
      <c r="ED621" s="11">
        <v>0</v>
      </c>
      <c r="EE621" s="11"/>
    </row>
    <row r="622" spans="130:135" x14ac:dyDescent="0.2">
      <c r="DZ622" s="5">
        <v>45870</v>
      </c>
      <c r="EA622" s="13" t="s">
        <v>1252</v>
      </c>
      <c r="EB622" s="13" t="s">
        <v>2216</v>
      </c>
      <c r="EC622" s="13" t="s">
        <v>1224</v>
      </c>
      <c r="ED622" s="11">
        <v>0</v>
      </c>
      <c r="EE622" s="11"/>
    </row>
    <row r="623" spans="130:135" x14ac:dyDescent="0.2">
      <c r="DZ623" s="5">
        <v>45870</v>
      </c>
      <c r="EA623" s="13" t="s">
        <v>1252</v>
      </c>
      <c r="EB623" s="13" t="s">
        <v>2257</v>
      </c>
      <c r="EC623" s="13" t="s">
        <v>1224</v>
      </c>
      <c r="ED623" s="11">
        <v>0</v>
      </c>
      <c r="EE623" s="11"/>
    </row>
    <row r="624" spans="130:135" x14ac:dyDescent="0.2">
      <c r="DZ624" s="5">
        <v>45870</v>
      </c>
      <c r="EA624" s="13" t="s">
        <v>1252</v>
      </c>
      <c r="EB624" s="13" t="s">
        <v>2308</v>
      </c>
      <c r="EC624" s="13" t="s">
        <v>1224</v>
      </c>
      <c r="ED624" s="11">
        <v>30000</v>
      </c>
      <c r="EE624" s="11"/>
    </row>
    <row r="625" spans="130:135" x14ac:dyDescent="0.2">
      <c r="DZ625" s="5">
        <v>45870</v>
      </c>
      <c r="EA625" s="13" t="s">
        <v>1252</v>
      </c>
      <c r="EB625" s="13" t="s">
        <v>2218</v>
      </c>
      <c r="EC625" s="13" t="s">
        <v>1224</v>
      </c>
      <c r="ED625" s="11">
        <v>0</v>
      </c>
      <c r="EE625" s="11"/>
    </row>
    <row r="626" spans="130:135" x14ac:dyDescent="0.2">
      <c r="DZ626" s="5">
        <v>45870</v>
      </c>
      <c r="EA626" s="13" t="s">
        <v>1252</v>
      </c>
      <c r="EB626" s="13" t="s">
        <v>2234</v>
      </c>
      <c r="EC626" s="13" t="s">
        <v>1224</v>
      </c>
      <c r="ED626" s="11">
        <v>0</v>
      </c>
      <c r="EE626" s="11"/>
    </row>
    <row r="627" spans="130:135" x14ac:dyDescent="0.2">
      <c r="DZ627" s="5">
        <v>45870</v>
      </c>
      <c r="EA627" s="13" t="s">
        <v>1252</v>
      </c>
      <c r="EB627" s="13" t="s">
        <v>2268</v>
      </c>
      <c r="EC627" s="13" t="s">
        <v>1224</v>
      </c>
      <c r="ED627" s="11">
        <v>0</v>
      </c>
      <c r="EE627" s="11"/>
    </row>
    <row r="628" spans="130:135" x14ac:dyDescent="0.2">
      <c r="DZ628" s="5">
        <v>45870</v>
      </c>
      <c r="EA628" s="13" t="s">
        <v>1252</v>
      </c>
      <c r="EB628" s="13" t="s">
        <v>2241</v>
      </c>
      <c r="EC628" s="13" t="s">
        <v>1224</v>
      </c>
      <c r="ED628" s="11">
        <v>0</v>
      </c>
      <c r="EE628" s="11"/>
    </row>
    <row r="629" spans="130:135" x14ac:dyDescent="0.2">
      <c r="DZ629" s="5">
        <v>45870</v>
      </c>
      <c r="EA629" s="13" t="s">
        <v>1252</v>
      </c>
      <c r="EB629" s="13" t="s">
        <v>2256</v>
      </c>
      <c r="EC629" s="13" t="s">
        <v>1224</v>
      </c>
      <c r="ED629" s="11">
        <v>0</v>
      </c>
      <c r="EE629" s="11"/>
    </row>
    <row r="630" spans="130:135" x14ac:dyDescent="0.2">
      <c r="DZ630" s="5">
        <v>45870</v>
      </c>
      <c r="EA630" s="13" t="s">
        <v>1252</v>
      </c>
      <c r="EB630" s="13" t="s">
        <v>2292</v>
      </c>
      <c r="EC630" s="13" t="s">
        <v>1224</v>
      </c>
      <c r="ED630" s="11">
        <v>0</v>
      </c>
      <c r="EE630" s="11"/>
    </row>
    <row r="631" spans="130:135" x14ac:dyDescent="0.2">
      <c r="DZ631" s="5">
        <v>45870</v>
      </c>
      <c r="EA631" s="13" t="s">
        <v>1252</v>
      </c>
      <c r="EB631" s="13" t="s">
        <v>2222</v>
      </c>
      <c r="EC631" s="13" t="s">
        <v>1224</v>
      </c>
      <c r="ED631" s="11">
        <v>0</v>
      </c>
      <c r="EE631" s="11"/>
    </row>
    <row r="632" spans="130:135" x14ac:dyDescent="0.2">
      <c r="DZ632" s="5">
        <v>45870</v>
      </c>
      <c r="EA632" s="13" t="s">
        <v>1252</v>
      </c>
      <c r="EB632" s="13" t="s">
        <v>2215</v>
      </c>
      <c r="EC632" s="13" t="s">
        <v>1224</v>
      </c>
      <c r="ED632" s="11">
        <v>0</v>
      </c>
      <c r="EE632" s="11"/>
    </row>
    <row r="633" spans="130:135" x14ac:dyDescent="0.2">
      <c r="DZ633" s="5">
        <v>45870</v>
      </c>
      <c r="EA633" s="13" t="s">
        <v>1252</v>
      </c>
      <c r="EB633" s="13" t="s">
        <v>2275</v>
      </c>
      <c r="EC633" s="13" t="s">
        <v>1224</v>
      </c>
      <c r="ED633" s="11">
        <v>0</v>
      </c>
      <c r="EE633" s="11"/>
    </row>
    <row r="634" spans="130:135" x14ac:dyDescent="0.2">
      <c r="DZ634" s="5">
        <v>45870</v>
      </c>
      <c r="EA634" s="13" t="s">
        <v>1252</v>
      </c>
      <c r="EB634" s="13" t="s">
        <v>2231</v>
      </c>
      <c r="EC634" s="13" t="s">
        <v>1224</v>
      </c>
      <c r="ED634" s="11">
        <v>0</v>
      </c>
      <c r="EE634" s="11"/>
    </row>
    <row r="635" spans="130:135" x14ac:dyDescent="0.2">
      <c r="DZ635" s="5">
        <v>45870</v>
      </c>
      <c r="EA635" s="13" t="s">
        <v>1252</v>
      </c>
      <c r="EB635" s="13" t="s">
        <v>2309</v>
      </c>
      <c r="EC635" s="13" t="s">
        <v>1224</v>
      </c>
      <c r="ED635" s="11">
        <v>110924.34</v>
      </c>
      <c r="EE635" s="11"/>
    </row>
    <row r="636" spans="130:135" x14ac:dyDescent="0.2">
      <c r="DZ636" s="5">
        <v>45870</v>
      </c>
      <c r="EA636" s="13" t="s">
        <v>1252</v>
      </c>
      <c r="EB636" s="13" t="s">
        <v>2219</v>
      </c>
      <c r="EC636" s="13" t="s">
        <v>1224</v>
      </c>
      <c r="ED636" s="11">
        <v>0</v>
      </c>
      <c r="EE636" s="11"/>
    </row>
    <row r="637" spans="130:135" x14ac:dyDescent="0.2">
      <c r="DZ637" s="5">
        <v>45870</v>
      </c>
      <c r="EA637" s="13" t="s">
        <v>1252</v>
      </c>
      <c r="EB637" s="13" t="s">
        <v>2236</v>
      </c>
      <c r="EC637" s="13" t="s">
        <v>1224</v>
      </c>
      <c r="ED637" s="11">
        <v>0</v>
      </c>
      <c r="EE637" s="11"/>
    </row>
    <row r="638" spans="130:135" x14ac:dyDescent="0.2">
      <c r="DZ638" s="5">
        <v>45870</v>
      </c>
      <c r="EA638" s="13" t="s">
        <v>1252</v>
      </c>
      <c r="EB638" s="13" t="s">
        <v>2223</v>
      </c>
      <c r="EC638" s="13" t="s">
        <v>1224</v>
      </c>
      <c r="ED638" s="11">
        <v>0</v>
      </c>
      <c r="EE638" s="11"/>
    </row>
    <row r="639" spans="130:135" x14ac:dyDescent="0.2">
      <c r="DZ639" s="5">
        <v>45870</v>
      </c>
      <c r="EA639" s="13" t="s">
        <v>1252</v>
      </c>
      <c r="EB639" s="13" t="s">
        <v>2246</v>
      </c>
      <c r="EC639" s="13" t="s">
        <v>1224</v>
      </c>
      <c r="ED639" s="11">
        <v>0</v>
      </c>
      <c r="EE639" s="11"/>
    </row>
    <row r="640" spans="130:135" x14ac:dyDescent="0.2">
      <c r="DZ640" s="5">
        <v>45870</v>
      </c>
      <c r="EA640" s="13" t="s">
        <v>1252</v>
      </c>
      <c r="EB640" s="13" t="s">
        <v>2235</v>
      </c>
      <c r="EC640" s="13" t="s">
        <v>1224</v>
      </c>
      <c r="ED640" s="11">
        <v>0</v>
      </c>
      <c r="EE640" s="11"/>
    </row>
    <row r="641" spans="130:135" x14ac:dyDescent="0.2">
      <c r="DZ641" s="5">
        <v>45870</v>
      </c>
      <c r="EA641" s="13" t="s">
        <v>1252</v>
      </c>
      <c r="EB641" s="13" t="s">
        <v>2266</v>
      </c>
      <c r="EC641" s="13" t="s">
        <v>1224</v>
      </c>
      <c r="ED641" s="11">
        <v>0</v>
      </c>
      <c r="EE641" s="11"/>
    </row>
    <row r="642" spans="130:135" x14ac:dyDescent="0.2">
      <c r="DZ642" s="5">
        <v>45870</v>
      </c>
      <c r="EA642" s="13" t="s">
        <v>1252</v>
      </c>
      <c r="EB642" s="13" t="s">
        <v>2217</v>
      </c>
      <c r="EC642" s="13" t="s">
        <v>1224</v>
      </c>
      <c r="ED642" s="11">
        <v>0</v>
      </c>
      <c r="EE642" s="11"/>
    </row>
    <row r="643" spans="130:135" x14ac:dyDescent="0.2">
      <c r="DZ643" s="5">
        <v>45870</v>
      </c>
      <c r="EA643" s="13" t="s">
        <v>1252</v>
      </c>
      <c r="EB643" s="13" t="s">
        <v>2254</v>
      </c>
      <c r="EC643" s="13" t="s">
        <v>1224</v>
      </c>
      <c r="ED643" s="11">
        <v>0</v>
      </c>
      <c r="EE643" s="11"/>
    </row>
    <row r="644" spans="130:135" x14ac:dyDescent="0.2">
      <c r="DZ644" s="5">
        <v>45870</v>
      </c>
      <c r="EA644" s="13" t="s">
        <v>1252</v>
      </c>
      <c r="EB644" s="13" t="s">
        <v>2299</v>
      </c>
      <c r="EC644" s="13" t="s">
        <v>1224</v>
      </c>
      <c r="ED644" s="11">
        <v>0</v>
      </c>
      <c r="EE644" s="11"/>
    </row>
    <row r="645" spans="130:135" x14ac:dyDescent="0.2">
      <c r="DZ645" s="5">
        <v>45870</v>
      </c>
      <c r="EA645" s="13" t="s">
        <v>1252</v>
      </c>
      <c r="EB645" s="13" t="s">
        <v>2270</v>
      </c>
      <c r="EC645" s="13" t="s">
        <v>1224</v>
      </c>
      <c r="ED645" s="11">
        <v>0</v>
      </c>
      <c r="EE645" s="11"/>
    </row>
    <row r="646" spans="130:135" x14ac:dyDescent="0.2">
      <c r="DZ646" s="5">
        <v>45870</v>
      </c>
      <c r="EA646" s="13" t="s">
        <v>1252</v>
      </c>
      <c r="EB646" s="13" t="s">
        <v>2289</v>
      </c>
      <c r="EC646" s="13" t="s">
        <v>1224</v>
      </c>
      <c r="ED646" s="11">
        <v>0</v>
      </c>
      <c r="EE646" s="11"/>
    </row>
    <row r="647" spans="130:135" x14ac:dyDescent="0.2">
      <c r="DZ647" s="5">
        <v>45870</v>
      </c>
      <c r="EA647" s="13" t="s">
        <v>1252</v>
      </c>
      <c r="EB647" s="13" t="s">
        <v>2291</v>
      </c>
      <c r="EC647" s="13" t="s">
        <v>1224</v>
      </c>
      <c r="ED647" s="11">
        <v>0</v>
      </c>
      <c r="EE647" s="11"/>
    </row>
    <row r="648" spans="130:135" x14ac:dyDescent="0.2">
      <c r="DZ648" s="5">
        <v>45870</v>
      </c>
      <c r="EA648" s="13" t="s">
        <v>1252</v>
      </c>
      <c r="EB648" s="13" t="s">
        <v>2250</v>
      </c>
      <c r="EC648" s="13" t="s">
        <v>1224</v>
      </c>
      <c r="ED648" s="11">
        <v>0</v>
      </c>
      <c r="EE648" s="11"/>
    </row>
    <row r="649" spans="130:135" x14ac:dyDescent="0.2">
      <c r="DZ649" s="5">
        <v>45870</v>
      </c>
      <c r="EA649" s="13" t="s">
        <v>1252</v>
      </c>
      <c r="EB649" s="13" t="s">
        <v>2238</v>
      </c>
      <c r="EC649" s="13" t="s">
        <v>1224</v>
      </c>
      <c r="ED649" s="11">
        <v>0</v>
      </c>
      <c r="EE649" s="11"/>
    </row>
    <row r="650" spans="130:135" x14ac:dyDescent="0.2">
      <c r="DZ650" s="5">
        <v>45870</v>
      </c>
      <c r="EA650" s="13" t="s">
        <v>1252</v>
      </c>
      <c r="EB650" s="13" t="s">
        <v>2263</v>
      </c>
      <c r="EC650" s="13" t="s">
        <v>1224</v>
      </c>
      <c r="ED650" s="11">
        <v>0</v>
      </c>
      <c r="EE650" s="11"/>
    </row>
    <row r="651" spans="130:135" x14ac:dyDescent="0.2">
      <c r="DZ651" s="5">
        <v>45870</v>
      </c>
      <c r="EA651" s="13" t="s">
        <v>1252</v>
      </c>
      <c r="EB651" s="13" t="s">
        <v>2300</v>
      </c>
      <c r="EC651" s="13" t="s">
        <v>1224</v>
      </c>
      <c r="ED651" s="11">
        <v>0</v>
      </c>
      <c r="EE651" s="11"/>
    </row>
    <row r="652" spans="130:135" x14ac:dyDescent="0.2">
      <c r="DZ652" s="5">
        <v>45870</v>
      </c>
      <c r="EA652" s="13" t="s">
        <v>1252</v>
      </c>
      <c r="EB652" s="13" t="s">
        <v>2310</v>
      </c>
      <c r="EC652" s="13" t="s">
        <v>1224</v>
      </c>
      <c r="ED652" s="11">
        <v>12605.04</v>
      </c>
      <c r="EE652" s="11"/>
    </row>
    <row r="653" spans="130:135" x14ac:dyDescent="0.2">
      <c r="DZ653" s="5">
        <v>45870</v>
      </c>
      <c r="EA653" s="13" t="s">
        <v>1252</v>
      </c>
      <c r="EB653" s="13" t="s">
        <v>2226</v>
      </c>
      <c r="EC653" s="13" t="s">
        <v>1224</v>
      </c>
      <c r="ED653" s="11">
        <v>0</v>
      </c>
      <c r="EE653" s="11"/>
    </row>
    <row r="654" spans="130:135" x14ac:dyDescent="0.2">
      <c r="DZ654" s="5">
        <v>45870</v>
      </c>
      <c r="EA654" s="13" t="s">
        <v>1252</v>
      </c>
      <c r="EB654" s="13" t="s">
        <v>2259</v>
      </c>
      <c r="EC654" s="13" t="s">
        <v>1224</v>
      </c>
      <c r="ED654" s="11">
        <v>0</v>
      </c>
      <c r="EE654" s="11"/>
    </row>
    <row r="655" spans="130:135" x14ac:dyDescent="0.2">
      <c r="DZ655" s="5">
        <v>45870</v>
      </c>
      <c r="EA655" s="13" t="s">
        <v>1252</v>
      </c>
      <c r="EB655" s="13" t="s">
        <v>2296</v>
      </c>
      <c r="EC655" s="13" t="s">
        <v>1224</v>
      </c>
      <c r="ED655" s="11">
        <v>0</v>
      </c>
      <c r="EE655" s="11"/>
    </row>
    <row r="656" spans="130:135" x14ac:dyDescent="0.2">
      <c r="DZ656" s="5">
        <v>45870</v>
      </c>
      <c r="EA656" s="13" t="s">
        <v>1252</v>
      </c>
      <c r="EB656" s="13" t="s">
        <v>2247</v>
      </c>
      <c r="EC656" s="13" t="s">
        <v>1224</v>
      </c>
      <c r="ED656" s="11">
        <v>0</v>
      </c>
      <c r="EE656" s="11"/>
    </row>
    <row r="657" spans="130:135" x14ac:dyDescent="0.2">
      <c r="DZ657" s="5">
        <v>45870</v>
      </c>
      <c r="EA657" s="13" t="s">
        <v>1252</v>
      </c>
      <c r="EB657" s="13" t="s">
        <v>2262</v>
      </c>
      <c r="EC657" s="13" t="s">
        <v>1224</v>
      </c>
      <c r="ED657" s="11">
        <v>0</v>
      </c>
      <c r="EE657" s="11"/>
    </row>
    <row r="658" spans="130:135" x14ac:dyDescent="0.2">
      <c r="DZ658" s="5">
        <v>45870</v>
      </c>
      <c r="EA658" s="13" t="s">
        <v>1252</v>
      </c>
      <c r="EB658" s="13" t="s">
        <v>2267</v>
      </c>
      <c r="EC658" s="13" t="s">
        <v>1224</v>
      </c>
      <c r="ED658" s="11">
        <v>0</v>
      </c>
      <c r="EE658" s="11"/>
    </row>
    <row r="659" spans="130:135" x14ac:dyDescent="0.2">
      <c r="DZ659" s="5">
        <v>45870</v>
      </c>
      <c r="EA659" s="13" t="s">
        <v>1252</v>
      </c>
      <c r="EB659" s="13" t="s">
        <v>2311</v>
      </c>
      <c r="EC659" s="13" t="s">
        <v>1224</v>
      </c>
      <c r="ED659" s="11">
        <v>7563.03</v>
      </c>
      <c r="EE659" s="11"/>
    </row>
    <row r="660" spans="130:135" x14ac:dyDescent="0.2">
      <c r="DZ660" s="5">
        <v>45870</v>
      </c>
      <c r="EA660" s="13" t="s">
        <v>1252</v>
      </c>
      <c r="EB660" s="13" t="s">
        <v>2269</v>
      </c>
      <c r="EC660" s="13" t="s">
        <v>1224</v>
      </c>
      <c r="ED660" s="11">
        <v>0</v>
      </c>
      <c r="EE660" s="11"/>
    </row>
    <row r="661" spans="130:135" x14ac:dyDescent="0.2">
      <c r="DZ661" s="5">
        <v>45870</v>
      </c>
      <c r="EA661" s="13" t="s">
        <v>1252</v>
      </c>
      <c r="EB661" s="13" t="s">
        <v>2312</v>
      </c>
      <c r="EC661" s="13" t="s">
        <v>1224</v>
      </c>
      <c r="ED661" s="11">
        <v>415966.39</v>
      </c>
      <c r="EE661" s="11"/>
    </row>
    <row r="662" spans="130:135" x14ac:dyDescent="0.2">
      <c r="DZ662" s="5">
        <v>45870</v>
      </c>
      <c r="EA662" s="13" t="s">
        <v>1252</v>
      </c>
      <c r="EB662" s="13" t="s">
        <v>1356</v>
      </c>
      <c r="EC662" s="13" t="s">
        <v>1224</v>
      </c>
      <c r="ED662" s="11">
        <v>42823.53</v>
      </c>
      <c r="EE662" s="11"/>
    </row>
    <row r="663" spans="130:135" x14ac:dyDescent="0.2">
      <c r="DZ663" s="5">
        <v>45870</v>
      </c>
      <c r="EA663" s="13" t="s">
        <v>1252</v>
      </c>
      <c r="EB663" s="13" t="s">
        <v>2295</v>
      </c>
      <c r="EC663" s="13" t="s">
        <v>1224</v>
      </c>
      <c r="ED663" s="11">
        <v>0</v>
      </c>
      <c r="EE663" s="11"/>
    </row>
    <row r="664" spans="130:135" x14ac:dyDescent="0.2">
      <c r="DZ664" s="5">
        <v>45870</v>
      </c>
      <c r="EA664" s="13" t="s">
        <v>1252</v>
      </c>
      <c r="EB664" s="13" t="s">
        <v>2227</v>
      </c>
      <c r="EC664" s="13" t="s">
        <v>1224</v>
      </c>
      <c r="ED664" s="11">
        <v>0</v>
      </c>
      <c r="EE664" s="11"/>
    </row>
    <row r="665" spans="130:135" x14ac:dyDescent="0.2">
      <c r="DZ665" s="5">
        <v>45870</v>
      </c>
      <c r="EA665" s="13" t="s">
        <v>1252</v>
      </c>
      <c r="EB665" s="13" t="s">
        <v>2252</v>
      </c>
      <c r="EC665" s="13" t="s">
        <v>1224</v>
      </c>
      <c r="ED665" s="11">
        <v>0</v>
      </c>
      <c r="EE665" s="11"/>
    </row>
    <row r="666" spans="130:135" x14ac:dyDescent="0.2">
      <c r="DZ666" s="5">
        <v>45870</v>
      </c>
      <c r="EA666" s="13" t="s">
        <v>1252</v>
      </c>
      <c r="EB666" s="13" t="s">
        <v>2229</v>
      </c>
      <c r="EC666" s="13" t="s">
        <v>1224</v>
      </c>
      <c r="ED666" s="11">
        <v>0</v>
      </c>
      <c r="EE666" s="11"/>
    </row>
    <row r="667" spans="130:135" x14ac:dyDescent="0.2">
      <c r="DZ667" s="5">
        <v>45870</v>
      </c>
      <c r="EA667" s="13" t="s">
        <v>1250</v>
      </c>
      <c r="EB667" s="13" t="s">
        <v>1393</v>
      </c>
      <c r="EC667" s="13" t="s">
        <v>1168</v>
      </c>
      <c r="ED667" s="11">
        <v>340584.76</v>
      </c>
      <c r="EE667" s="11"/>
    </row>
    <row r="668" spans="130:135" x14ac:dyDescent="0.2">
      <c r="DZ668" s="5">
        <v>45870</v>
      </c>
      <c r="EA668" s="13" t="s">
        <v>1250</v>
      </c>
      <c r="EB668" s="13" t="s">
        <v>2276</v>
      </c>
      <c r="EC668" s="13" t="s">
        <v>1168</v>
      </c>
      <c r="ED668" s="11">
        <v>0</v>
      </c>
      <c r="EE668" s="11"/>
    </row>
    <row r="669" spans="130:135" x14ac:dyDescent="0.2">
      <c r="DZ669" s="5">
        <v>45870</v>
      </c>
      <c r="EA669" s="13" t="s">
        <v>1250</v>
      </c>
      <c r="EB669" s="13" t="s">
        <v>2301</v>
      </c>
      <c r="EC669" s="13" t="s">
        <v>1168</v>
      </c>
      <c r="ED669" s="11">
        <v>0</v>
      </c>
      <c r="EE669" s="11"/>
    </row>
    <row r="670" spans="130:135" x14ac:dyDescent="0.2">
      <c r="DZ670" s="5">
        <v>45870</v>
      </c>
      <c r="EA670" s="13" t="s">
        <v>1250</v>
      </c>
      <c r="EB670" s="13" t="s">
        <v>2312</v>
      </c>
      <c r="EC670" s="13" t="s">
        <v>1168</v>
      </c>
      <c r="ED670" s="11">
        <v>110000</v>
      </c>
      <c r="EE670" s="11"/>
    </row>
    <row r="671" spans="130:135" x14ac:dyDescent="0.2">
      <c r="DZ671" s="5">
        <v>45870</v>
      </c>
      <c r="EA671" s="13" t="s">
        <v>1252</v>
      </c>
      <c r="EB671" s="13" t="s">
        <v>1355</v>
      </c>
      <c r="EC671" s="13" t="s">
        <v>1226</v>
      </c>
      <c r="ED671" s="11">
        <v>152996</v>
      </c>
      <c r="EE671" s="11"/>
    </row>
    <row r="672" spans="130:135" x14ac:dyDescent="0.2">
      <c r="DZ672" s="5">
        <v>45870</v>
      </c>
      <c r="EA672" s="13" t="s">
        <v>1252</v>
      </c>
      <c r="EB672" s="13" t="s">
        <v>1371</v>
      </c>
      <c r="EC672" s="13" t="s">
        <v>1226</v>
      </c>
      <c r="ED672" s="11">
        <v>255796</v>
      </c>
      <c r="EE672" s="11"/>
    </row>
    <row r="673" spans="130:135" x14ac:dyDescent="0.2">
      <c r="DZ673" s="5">
        <v>45870</v>
      </c>
      <c r="EA673" s="13" t="s">
        <v>1252</v>
      </c>
      <c r="EB673" s="13" t="s">
        <v>1371</v>
      </c>
      <c r="EC673" s="13" t="s">
        <v>1219</v>
      </c>
      <c r="ED673" s="11">
        <v>148926</v>
      </c>
      <c r="EE673" s="11"/>
    </row>
    <row r="674" spans="130:135" x14ac:dyDescent="0.2">
      <c r="DZ674" s="5">
        <v>45870</v>
      </c>
      <c r="EA674" s="13" t="s">
        <v>1250</v>
      </c>
      <c r="EB674" s="13" t="s">
        <v>1366</v>
      </c>
      <c r="EC674" s="13" t="s">
        <v>1136</v>
      </c>
      <c r="ED674" s="11">
        <v>1000000</v>
      </c>
      <c r="EE674" s="11"/>
    </row>
    <row r="675" spans="130:135" x14ac:dyDescent="0.2">
      <c r="DZ675" s="5">
        <v>45870</v>
      </c>
      <c r="EA675" s="13" t="s">
        <v>1252</v>
      </c>
      <c r="EB675" s="13" t="s">
        <v>1340</v>
      </c>
      <c r="EC675" s="13" t="s">
        <v>1222</v>
      </c>
      <c r="ED675" s="11">
        <v>300</v>
      </c>
      <c r="EE675" s="11"/>
    </row>
    <row r="676" spans="130:135" x14ac:dyDescent="0.2">
      <c r="DZ676" s="5">
        <v>45870</v>
      </c>
      <c r="EA676" s="13" t="s">
        <v>1252</v>
      </c>
      <c r="EB676" s="13" t="s">
        <v>1360</v>
      </c>
      <c r="EC676" s="13" t="s">
        <v>1222</v>
      </c>
      <c r="ED676" s="11">
        <v>1100</v>
      </c>
      <c r="EE676" s="11"/>
    </row>
    <row r="677" spans="130:135" x14ac:dyDescent="0.2">
      <c r="DZ677" s="5">
        <v>45870</v>
      </c>
      <c r="EA677" s="13" t="s">
        <v>1252</v>
      </c>
      <c r="EB677" s="13" t="s">
        <v>1338</v>
      </c>
      <c r="EC677" s="13" t="s">
        <v>1222</v>
      </c>
      <c r="ED677" s="11">
        <v>100</v>
      </c>
      <c r="EE677" s="11"/>
    </row>
    <row r="678" spans="130:135" x14ac:dyDescent="0.2">
      <c r="DZ678" s="5">
        <v>45870</v>
      </c>
      <c r="EA678" s="13" t="s">
        <v>1252</v>
      </c>
      <c r="EB678" s="13" t="s">
        <v>1375</v>
      </c>
      <c r="EC678" s="13" t="s">
        <v>1222</v>
      </c>
      <c r="ED678" s="11">
        <v>200</v>
      </c>
      <c r="EE678" s="11"/>
    </row>
    <row r="679" spans="130:135" x14ac:dyDescent="0.2">
      <c r="DZ679" s="5">
        <v>45870</v>
      </c>
      <c r="EA679" s="13" t="s">
        <v>1252</v>
      </c>
      <c r="EB679" s="13" t="s">
        <v>2202</v>
      </c>
      <c r="EC679" s="13" t="s">
        <v>1222</v>
      </c>
      <c r="ED679" s="11">
        <v>200</v>
      </c>
      <c r="EE679" s="11"/>
    </row>
    <row r="680" spans="130:135" x14ac:dyDescent="0.2">
      <c r="DZ680" s="5">
        <v>45870</v>
      </c>
      <c r="EA680" s="13" t="s">
        <v>1252</v>
      </c>
      <c r="EB680" s="13" t="s">
        <v>1374</v>
      </c>
      <c r="EC680" s="13" t="s">
        <v>1222</v>
      </c>
      <c r="ED680" s="11">
        <v>0</v>
      </c>
      <c r="EE680" s="11"/>
    </row>
    <row r="681" spans="130:135" x14ac:dyDescent="0.2">
      <c r="DZ681" s="5">
        <v>45870</v>
      </c>
      <c r="EA681" s="13" t="s">
        <v>1252</v>
      </c>
      <c r="EB681" s="13" t="s">
        <v>2287</v>
      </c>
      <c r="EC681" s="13" t="s">
        <v>1222</v>
      </c>
      <c r="ED681" s="11">
        <v>0</v>
      </c>
      <c r="EE681" s="11"/>
    </row>
    <row r="682" spans="130:135" x14ac:dyDescent="0.2">
      <c r="DZ682" s="5">
        <v>45870</v>
      </c>
      <c r="EA682" s="13" t="s">
        <v>1251</v>
      </c>
      <c r="EB682" s="13" t="s">
        <v>2206</v>
      </c>
      <c r="EC682" s="13" t="s">
        <v>1056</v>
      </c>
      <c r="ED682" s="11">
        <v>21596</v>
      </c>
      <c r="EE682" s="11"/>
    </row>
    <row r="683" spans="130:135" x14ac:dyDescent="0.2">
      <c r="DZ683" s="5">
        <v>45870</v>
      </c>
      <c r="EA683" s="13" t="s">
        <v>1251</v>
      </c>
      <c r="EB683" s="13" t="s">
        <v>2212</v>
      </c>
      <c r="EC683" s="13" t="s">
        <v>1056</v>
      </c>
      <c r="ED683" s="11">
        <v>30563</v>
      </c>
      <c r="EE683" s="11"/>
    </row>
    <row r="684" spans="130:135" x14ac:dyDescent="0.2">
      <c r="DZ684" s="5">
        <v>45870</v>
      </c>
      <c r="EA684" s="13" t="s">
        <v>1250</v>
      </c>
      <c r="EB684" s="13" t="s">
        <v>1358</v>
      </c>
      <c r="EC684" s="13" t="s">
        <v>1056</v>
      </c>
      <c r="ED684" s="11">
        <v>20896</v>
      </c>
      <c r="EE684" s="11"/>
    </row>
    <row r="685" spans="130:135" x14ac:dyDescent="0.2">
      <c r="DZ685" s="5">
        <v>45870</v>
      </c>
      <c r="EA685" s="13" t="s">
        <v>1251</v>
      </c>
      <c r="EB685" s="13" t="s">
        <v>1341</v>
      </c>
      <c r="EC685" s="13" t="s">
        <v>1148</v>
      </c>
      <c r="ED685" s="11">
        <v>300934</v>
      </c>
      <c r="EE685" s="11"/>
    </row>
    <row r="686" spans="130:135" x14ac:dyDescent="0.2">
      <c r="DZ686" s="5">
        <v>45870</v>
      </c>
      <c r="EA686" s="13" t="s">
        <v>1251</v>
      </c>
      <c r="EB686" s="13" t="s">
        <v>1350</v>
      </c>
      <c r="EC686" s="13" t="s">
        <v>1208</v>
      </c>
      <c r="ED686" s="11">
        <v>2034537</v>
      </c>
      <c r="EE686" s="11"/>
    </row>
    <row r="687" spans="130:135" x14ac:dyDescent="0.2">
      <c r="DZ687" s="5">
        <v>45870</v>
      </c>
      <c r="EA687" s="13" t="s">
        <v>1251</v>
      </c>
      <c r="EB687" s="13" t="s">
        <v>1346</v>
      </c>
      <c r="EC687" s="13" t="s">
        <v>1208</v>
      </c>
      <c r="ED687" s="11">
        <v>1428163</v>
      </c>
      <c r="EE687" s="11"/>
    </row>
    <row r="688" spans="130:135" x14ac:dyDescent="0.2">
      <c r="DZ688" s="5">
        <v>45870</v>
      </c>
      <c r="EA688" s="13" t="s">
        <v>1251</v>
      </c>
      <c r="EB688" s="13" t="s">
        <v>2277</v>
      </c>
      <c r="EC688" s="13" t="s">
        <v>1208</v>
      </c>
      <c r="ED688" s="11">
        <v>0</v>
      </c>
      <c r="EE688" s="11"/>
    </row>
    <row r="689" spans="130:135" x14ac:dyDescent="0.2">
      <c r="DZ689" s="5">
        <v>45870</v>
      </c>
      <c r="EA689" s="13" t="s">
        <v>1251</v>
      </c>
      <c r="EB689" s="13" t="s">
        <v>1382</v>
      </c>
      <c r="EC689" s="13" t="s">
        <v>1208</v>
      </c>
      <c r="ED689" s="11">
        <v>308376</v>
      </c>
      <c r="EE689" s="11"/>
    </row>
    <row r="690" spans="130:135" x14ac:dyDescent="0.2">
      <c r="DZ690" s="5">
        <v>45870</v>
      </c>
      <c r="EA690" s="13" t="s">
        <v>1251</v>
      </c>
      <c r="EB690" s="13" t="s">
        <v>2279</v>
      </c>
      <c r="EC690" s="13" t="s">
        <v>1215</v>
      </c>
      <c r="ED690" s="11"/>
      <c r="EE690" s="11">
        <v>0</v>
      </c>
    </row>
    <row r="691" spans="130:135" x14ac:dyDescent="0.2">
      <c r="DZ691" s="5">
        <v>45870</v>
      </c>
      <c r="EA691" s="13" t="s">
        <v>1251</v>
      </c>
      <c r="EB691" s="13" t="s">
        <v>1353</v>
      </c>
      <c r="EC691" s="13" t="s">
        <v>1215</v>
      </c>
      <c r="ED691" s="11"/>
      <c r="EE691" s="11">
        <v>0</v>
      </c>
    </row>
    <row r="692" spans="130:135" x14ac:dyDescent="0.2">
      <c r="DZ692" s="5">
        <v>45870</v>
      </c>
      <c r="EA692" s="13" t="s">
        <v>1251</v>
      </c>
      <c r="EB692" s="13" t="s">
        <v>1347</v>
      </c>
      <c r="EC692" s="13" t="s">
        <v>1215</v>
      </c>
      <c r="ED692" s="11"/>
      <c r="EE692" s="11">
        <v>0</v>
      </c>
    </row>
    <row r="693" spans="130:135" x14ac:dyDescent="0.2">
      <c r="DZ693" s="5">
        <v>45870</v>
      </c>
      <c r="EA693" s="13" t="s">
        <v>1251</v>
      </c>
      <c r="EB693" s="13" t="s">
        <v>2282</v>
      </c>
      <c r="EC693" s="13" t="s">
        <v>1215</v>
      </c>
      <c r="ED693" s="11"/>
      <c r="EE693" s="11">
        <v>0</v>
      </c>
    </row>
    <row r="694" spans="130:135" x14ac:dyDescent="0.2">
      <c r="DZ694" s="5">
        <v>45870</v>
      </c>
      <c r="EA694" s="13" t="s">
        <v>1251</v>
      </c>
      <c r="EB694" s="13" t="s">
        <v>2281</v>
      </c>
      <c r="EC694" s="13" t="s">
        <v>1215</v>
      </c>
      <c r="ED694" s="11"/>
      <c r="EE694" s="11">
        <v>0</v>
      </c>
    </row>
    <row r="695" spans="130:135" x14ac:dyDescent="0.2">
      <c r="DZ695" s="5">
        <v>45870</v>
      </c>
      <c r="EA695" s="13" t="s">
        <v>1251</v>
      </c>
      <c r="EB695" s="13" t="s">
        <v>1354</v>
      </c>
      <c r="EC695" s="13" t="s">
        <v>1215</v>
      </c>
      <c r="ED695" s="11"/>
      <c r="EE695" s="11">
        <v>281513</v>
      </c>
    </row>
    <row r="696" spans="130:135" x14ac:dyDescent="0.2">
      <c r="DZ696" s="5">
        <v>45870</v>
      </c>
      <c r="EA696" s="13" t="s">
        <v>1251</v>
      </c>
      <c r="EB696" s="13" t="s">
        <v>2285</v>
      </c>
      <c r="EC696" s="13" t="s">
        <v>1215</v>
      </c>
      <c r="ED696" s="11"/>
      <c r="EE696" s="11">
        <v>450000</v>
      </c>
    </row>
    <row r="697" spans="130:135" x14ac:dyDescent="0.2">
      <c r="DZ697" s="5">
        <v>45870</v>
      </c>
      <c r="EA697" s="13" t="s">
        <v>1251</v>
      </c>
      <c r="EB697" s="13" t="s">
        <v>2280</v>
      </c>
      <c r="EC697" s="13" t="s">
        <v>1215</v>
      </c>
      <c r="ED697" s="11"/>
      <c r="EE697" s="11">
        <v>0</v>
      </c>
    </row>
    <row r="698" spans="130:135" x14ac:dyDescent="0.2">
      <c r="DZ698" s="5">
        <v>45870</v>
      </c>
      <c r="EA698" s="13" t="s">
        <v>1251</v>
      </c>
      <c r="EB698" s="13" t="s">
        <v>1348</v>
      </c>
      <c r="EC698" s="13" t="s">
        <v>1215</v>
      </c>
      <c r="ED698" s="11"/>
      <c r="EE698" s="11">
        <v>336900</v>
      </c>
    </row>
    <row r="699" spans="130:135" x14ac:dyDescent="0.2">
      <c r="DZ699" s="5">
        <v>45870</v>
      </c>
      <c r="EA699" s="13" t="s">
        <v>1251</v>
      </c>
      <c r="EB699" s="13" t="s">
        <v>2278</v>
      </c>
      <c r="EC699" s="13" t="s">
        <v>1215</v>
      </c>
      <c r="ED699" s="11"/>
      <c r="EE699" s="11">
        <v>0</v>
      </c>
    </row>
    <row r="700" spans="130:135" x14ac:dyDescent="0.2">
      <c r="DZ700" s="5">
        <v>45870</v>
      </c>
      <c r="EA700" s="13" t="s">
        <v>1251</v>
      </c>
      <c r="EB700" s="13" t="s">
        <v>1386</v>
      </c>
      <c r="EC700" s="13" t="s">
        <v>1215</v>
      </c>
      <c r="ED700" s="11"/>
      <c r="EE700" s="11">
        <v>353808.48</v>
      </c>
    </row>
    <row r="701" spans="130:135" x14ac:dyDescent="0.2">
      <c r="DZ701" s="5">
        <v>45870</v>
      </c>
      <c r="EA701" s="13" t="s">
        <v>1251</v>
      </c>
      <c r="EB701" s="13" t="s">
        <v>1385</v>
      </c>
      <c r="EC701" s="13" t="s">
        <v>1215</v>
      </c>
      <c r="ED701" s="11"/>
      <c r="EE701" s="11">
        <v>650000</v>
      </c>
    </row>
    <row r="702" spans="130:135" x14ac:dyDescent="0.2">
      <c r="DZ702" s="5">
        <v>45870</v>
      </c>
      <c r="EA702" s="13" t="s">
        <v>1251</v>
      </c>
      <c r="EB702" s="13" t="s">
        <v>2293</v>
      </c>
      <c r="EC702" s="13" t="s">
        <v>1215</v>
      </c>
      <c r="ED702" s="11"/>
      <c r="EE702" s="11">
        <v>0</v>
      </c>
    </row>
    <row r="703" spans="130:135" x14ac:dyDescent="0.2">
      <c r="DZ703" s="5">
        <v>45870</v>
      </c>
      <c r="EA703" s="13" t="s">
        <v>1251</v>
      </c>
      <c r="EB703" s="13" t="s">
        <v>2313</v>
      </c>
      <c r="EC703" s="13" t="s">
        <v>1217</v>
      </c>
      <c r="ED703" s="11">
        <v>745950</v>
      </c>
      <c r="EE703" s="11"/>
    </row>
    <row r="704" spans="130:135" x14ac:dyDescent="0.2">
      <c r="DZ704" s="5">
        <v>45870</v>
      </c>
      <c r="EA704" s="13" t="s">
        <v>1251</v>
      </c>
      <c r="EB704" s="13" t="s">
        <v>1352</v>
      </c>
      <c r="EC704" s="13" t="s">
        <v>1217</v>
      </c>
      <c r="ED704" s="11">
        <v>0</v>
      </c>
      <c r="EE704" s="11"/>
    </row>
    <row r="705" spans="130:135" x14ac:dyDescent="0.2">
      <c r="DZ705" s="5">
        <v>45870</v>
      </c>
      <c r="EA705" s="13" t="s">
        <v>1251</v>
      </c>
      <c r="EB705" s="13" t="s">
        <v>1404</v>
      </c>
      <c r="EC705" s="13" t="s">
        <v>1217</v>
      </c>
      <c r="ED705" s="11">
        <v>546218.57999999996</v>
      </c>
      <c r="EE705" s="11"/>
    </row>
    <row r="706" spans="130:135" x14ac:dyDescent="0.2">
      <c r="DZ706" s="5">
        <v>45870</v>
      </c>
      <c r="EA706" s="13" t="s">
        <v>1251</v>
      </c>
      <c r="EB706" s="13" t="s">
        <v>2283</v>
      </c>
      <c r="EC706" s="13" t="s">
        <v>1217</v>
      </c>
      <c r="ED706" s="11">
        <v>0</v>
      </c>
      <c r="EE706" s="11"/>
    </row>
    <row r="707" spans="130:135" x14ac:dyDescent="0.2">
      <c r="DZ707" s="5">
        <v>45870</v>
      </c>
      <c r="EA707" s="13" t="s">
        <v>1251</v>
      </c>
      <c r="EB707" s="13" t="s">
        <v>2314</v>
      </c>
      <c r="EC707" s="13" t="s">
        <v>1217</v>
      </c>
      <c r="ED707" s="11">
        <v>404000</v>
      </c>
      <c r="EE707" s="11"/>
    </row>
    <row r="708" spans="130:135" x14ac:dyDescent="0.2">
      <c r="DZ708" s="5">
        <v>45870</v>
      </c>
      <c r="EA708" s="13" t="s">
        <v>1251</v>
      </c>
      <c r="EB708" s="13" t="s">
        <v>1388</v>
      </c>
      <c r="EC708" s="13" t="s">
        <v>1217</v>
      </c>
      <c r="ED708" s="11">
        <v>438000</v>
      </c>
      <c r="EE708" s="11"/>
    </row>
    <row r="709" spans="130:135" x14ac:dyDescent="0.2">
      <c r="DZ709" s="5">
        <v>45870</v>
      </c>
      <c r="EA709" s="13" t="s">
        <v>1251</v>
      </c>
      <c r="EB709" s="13" t="s">
        <v>2284</v>
      </c>
      <c r="EC709" s="13" t="s">
        <v>1217</v>
      </c>
      <c r="ED709" s="11">
        <v>745200</v>
      </c>
      <c r="EE709" s="11"/>
    </row>
    <row r="710" spans="130:135" x14ac:dyDescent="0.2">
      <c r="DZ710" s="5">
        <v>45870</v>
      </c>
      <c r="EA710" s="13" t="s">
        <v>1251</v>
      </c>
      <c r="EB710" s="13" t="s">
        <v>2294</v>
      </c>
      <c r="EC710" s="13" t="s">
        <v>1217</v>
      </c>
      <c r="ED710" s="11">
        <v>0</v>
      </c>
      <c r="EE710" s="11"/>
    </row>
    <row r="711" spans="130:135" x14ac:dyDescent="0.2">
      <c r="DZ711" s="5">
        <v>45870</v>
      </c>
      <c r="EA711" s="13" t="s">
        <v>1251</v>
      </c>
      <c r="EB711" s="13" t="s">
        <v>1389</v>
      </c>
      <c r="EC711" s="13" t="s">
        <v>1217</v>
      </c>
      <c r="ED711" s="11">
        <v>0</v>
      </c>
      <c r="EE711" s="11"/>
    </row>
    <row r="712" spans="130:135" x14ac:dyDescent="0.2">
      <c r="DZ712" s="5">
        <v>45870</v>
      </c>
      <c r="EA712" s="13" t="s">
        <v>1251</v>
      </c>
      <c r="EB712" s="13" t="s">
        <v>2315</v>
      </c>
      <c r="EC712" s="13" t="s">
        <v>1217</v>
      </c>
      <c r="ED712" s="11">
        <v>378829.49</v>
      </c>
      <c r="EE712" s="11"/>
    </row>
    <row r="713" spans="130:135" x14ac:dyDescent="0.2">
      <c r="DZ713" s="5">
        <v>45870</v>
      </c>
      <c r="EA713" s="13" t="s">
        <v>1253</v>
      </c>
      <c r="EB713" s="13" t="s">
        <v>2285</v>
      </c>
      <c r="EC713" s="13" t="s">
        <v>1084</v>
      </c>
      <c r="ED713" s="11"/>
      <c r="EE713" s="11">
        <v>0</v>
      </c>
    </row>
    <row r="714" spans="130:135" x14ac:dyDescent="0.2">
      <c r="DZ714" s="5">
        <v>45870</v>
      </c>
      <c r="EA714" s="13" t="s">
        <v>1253</v>
      </c>
      <c r="EB714" s="13" t="s">
        <v>1335</v>
      </c>
      <c r="EC714" s="13" t="s">
        <v>1084</v>
      </c>
      <c r="ED714" s="11"/>
      <c r="EE714" s="11">
        <v>17000375</v>
      </c>
    </row>
    <row r="715" spans="130:135" x14ac:dyDescent="0.2">
      <c r="DZ715" s="5">
        <v>45870</v>
      </c>
      <c r="EA715" s="13" t="s">
        <v>1251</v>
      </c>
      <c r="EB715" s="13" t="s">
        <v>2206</v>
      </c>
      <c r="EC715" s="13" t="s">
        <v>1114</v>
      </c>
      <c r="ED715" s="11">
        <v>2</v>
      </c>
      <c r="EE715" s="11"/>
    </row>
    <row r="716" spans="130:135" x14ac:dyDescent="0.2">
      <c r="DZ716" s="5">
        <v>45870</v>
      </c>
      <c r="EA716" s="13" t="s">
        <v>1251</v>
      </c>
      <c r="EB716" s="13" t="s">
        <v>2212</v>
      </c>
      <c r="EC716" s="13" t="s">
        <v>1114</v>
      </c>
      <c r="ED716" s="11">
        <v>157196</v>
      </c>
      <c r="EE716" s="11"/>
    </row>
    <row r="717" spans="130:135" x14ac:dyDescent="0.2">
      <c r="DZ717" s="5">
        <v>45870</v>
      </c>
      <c r="EA717" s="13" t="s">
        <v>1250</v>
      </c>
      <c r="EB717" s="13" t="s">
        <v>1358</v>
      </c>
      <c r="EC717" s="13" t="s">
        <v>1114</v>
      </c>
      <c r="ED717" s="11">
        <v>30735</v>
      </c>
      <c r="EE717" s="11"/>
    </row>
    <row r="718" spans="130:135" x14ac:dyDescent="0.2">
      <c r="DZ718" s="5">
        <v>45870</v>
      </c>
      <c r="EA718" s="13" t="s">
        <v>1250</v>
      </c>
      <c r="EB718" s="13" t="s">
        <v>1417</v>
      </c>
      <c r="EC718" s="13" t="s">
        <v>1156</v>
      </c>
      <c r="ED718" s="11">
        <v>0</v>
      </c>
      <c r="EE718" s="11"/>
    </row>
    <row r="719" spans="130:135" x14ac:dyDescent="0.2">
      <c r="DZ719" s="5">
        <v>45870</v>
      </c>
      <c r="EA719" s="13" t="s">
        <v>1250</v>
      </c>
      <c r="EB719" s="13" t="s">
        <v>2286</v>
      </c>
      <c r="EC719" s="13" t="s">
        <v>1144</v>
      </c>
      <c r="ED719" s="11">
        <v>0</v>
      </c>
      <c r="EE719" s="11"/>
    </row>
    <row r="720" spans="130:135" x14ac:dyDescent="0.2">
      <c r="DZ720" s="5">
        <v>45870</v>
      </c>
      <c r="EA720" s="13" t="s">
        <v>1250</v>
      </c>
      <c r="EB720" s="13" t="s">
        <v>1381</v>
      </c>
      <c r="EC720" s="13" t="s">
        <v>1144</v>
      </c>
      <c r="ED720" s="11">
        <v>0</v>
      </c>
      <c r="EE720" s="11"/>
    </row>
    <row r="721" spans="130:135" x14ac:dyDescent="0.2">
      <c r="DZ721" s="5">
        <v>45870</v>
      </c>
      <c r="EA721" s="13" t="s">
        <v>1250</v>
      </c>
      <c r="EB721" s="13" t="s">
        <v>1367</v>
      </c>
      <c r="EC721" s="13" t="s">
        <v>1146</v>
      </c>
      <c r="ED721" s="11">
        <v>48598</v>
      </c>
      <c r="EE721" s="11"/>
    </row>
    <row r="722" spans="130:135" x14ac:dyDescent="0.2">
      <c r="DZ722" s="5">
        <v>45870</v>
      </c>
      <c r="EA722" s="13" t="s">
        <v>1250</v>
      </c>
      <c r="EB722" s="13" t="s">
        <v>2316</v>
      </c>
      <c r="EC722" s="13" t="s">
        <v>1146</v>
      </c>
      <c r="ED722" s="11">
        <v>275904</v>
      </c>
      <c r="EE722" s="11"/>
    </row>
    <row r="723" spans="130:135" x14ac:dyDescent="0.2">
      <c r="DZ723" s="5">
        <v>45870</v>
      </c>
      <c r="EA723" s="13" t="s">
        <v>1251</v>
      </c>
      <c r="EB723" s="13" t="s">
        <v>1345</v>
      </c>
      <c r="EC723" s="13" t="s">
        <v>1146</v>
      </c>
      <c r="ED723" s="11">
        <v>113548</v>
      </c>
      <c r="EE723" s="11"/>
    </row>
    <row r="724" spans="130:135" x14ac:dyDescent="0.2">
      <c r="DZ724" s="5">
        <v>45870</v>
      </c>
      <c r="EA724" s="13" t="s">
        <v>1251</v>
      </c>
      <c r="EB724" s="13" t="s">
        <v>1368</v>
      </c>
      <c r="EC724" s="13" t="s">
        <v>1146</v>
      </c>
      <c r="ED724" s="11">
        <v>0</v>
      </c>
      <c r="EE724" s="11"/>
    </row>
    <row r="725" spans="130:135" x14ac:dyDescent="0.2">
      <c r="DZ725" s="5">
        <v>45870</v>
      </c>
      <c r="EA725" s="13" t="s">
        <v>1250</v>
      </c>
      <c r="EB725" s="13" t="s">
        <v>1368</v>
      </c>
      <c r="EC725" s="13" t="s">
        <v>1146</v>
      </c>
      <c r="ED725" s="11">
        <v>0</v>
      </c>
      <c r="EE725" s="11"/>
    </row>
    <row r="726" spans="130:135" x14ac:dyDescent="0.2">
      <c r="DZ726" s="5">
        <v>45870</v>
      </c>
      <c r="EA726" s="13" t="s">
        <v>1251</v>
      </c>
      <c r="EB726" s="13" t="s">
        <v>1349</v>
      </c>
      <c r="EC726" s="13" t="s">
        <v>1146</v>
      </c>
      <c r="ED726" s="11">
        <v>101298</v>
      </c>
      <c r="EE726" s="11"/>
    </row>
    <row r="727" spans="130:135" x14ac:dyDescent="0.2">
      <c r="DZ727" s="5">
        <v>45870</v>
      </c>
      <c r="EA727" s="13" t="s">
        <v>1251</v>
      </c>
      <c r="EB727" s="13" t="s">
        <v>2305</v>
      </c>
      <c r="EC727" s="13" t="s">
        <v>1108</v>
      </c>
      <c r="ED727" s="11">
        <v>711750</v>
      </c>
      <c r="EE727" s="11"/>
    </row>
    <row r="728" spans="130:135" x14ac:dyDescent="0.2">
      <c r="DZ728" s="5">
        <v>45870</v>
      </c>
      <c r="EA728" s="13" t="s">
        <v>1251</v>
      </c>
      <c r="EB728" s="13" t="s">
        <v>2206</v>
      </c>
      <c r="EC728" s="13" t="s">
        <v>1108</v>
      </c>
      <c r="ED728" s="11">
        <v>1423500</v>
      </c>
      <c r="EE728" s="11"/>
    </row>
    <row r="729" spans="130:135" x14ac:dyDescent="0.2">
      <c r="DZ729" s="5">
        <v>45870</v>
      </c>
      <c r="EA729" s="13" t="s">
        <v>1251</v>
      </c>
      <c r="EB729" s="13" t="s">
        <v>2212</v>
      </c>
      <c r="EC729" s="13" t="s">
        <v>1108</v>
      </c>
      <c r="ED729" s="11">
        <v>1533560</v>
      </c>
      <c r="EE729" s="11"/>
    </row>
    <row r="730" spans="130:135" x14ac:dyDescent="0.2">
      <c r="DZ730" s="5">
        <v>45870</v>
      </c>
      <c r="EA730" s="13" t="s">
        <v>1250</v>
      </c>
      <c r="EB730" s="13" t="s">
        <v>1358</v>
      </c>
      <c r="EC730" s="13" t="s">
        <v>1108</v>
      </c>
      <c r="ED730" s="11">
        <v>1250909</v>
      </c>
      <c r="EE730" s="11"/>
    </row>
    <row r="731" spans="130:135" x14ac:dyDescent="0.2">
      <c r="DZ731" s="5">
        <v>45870</v>
      </c>
      <c r="EA731" s="13" t="s">
        <v>1251</v>
      </c>
      <c r="EB731" s="13" t="s">
        <v>1343</v>
      </c>
      <c r="EC731" s="13" t="s">
        <v>1206</v>
      </c>
      <c r="ED731" s="11"/>
      <c r="EE731" s="11">
        <v>762555</v>
      </c>
    </row>
    <row r="732" spans="130:135" x14ac:dyDescent="0.2">
      <c r="DZ732" s="5">
        <v>45870</v>
      </c>
      <c r="EA732" s="13" t="s">
        <v>1251</v>
      </c>
      <c r="EB732" s="13" t="s">
        <v>2281</v>
      </c>
      <c r="EC732" s="13" t="s">
        <v>1206</v>
      </c>
      <c r="ED732" s="11"/>
      <c r="EE732" s="11">
        <v>11868.91</v>
      </c>
    </row>
    <row r="733" spans="130:135" x14ac:dyDescent="0.2">
      <c r="DZ733" s="5">
        <v>45870</v>
      </c>
      <c r="EA733" s="13" t="s">
        <v>1251</v>
      </c>
      <c r="EB733" s="13" t="s">
        <v>1344</v>
      </c>
      <c r="EC733" s="13" t="s">
        <v>1206</v>
      </c>
      <c r="ED733" s="11"/>
      <c r="EE733" s="11">
        <v>889000</v>
      </c>
    </row>
    <row r="734" spans="130:135" x14ac:dyDescent="0.2">
      <c r="DZ734" s="5">
        <v>45870</v>
      </c>
      <c r="EA734" s="13" t="s">
        <v>1251</v>
      </c>
      <c r="EB734" s="13" t="s">
        <v>1347</v>
      </c>
      <c r="EC734" s="13" t="s">
        <v>1206</v>
      </c>
      <c r="ED734" s="11"/>
      <c r="EE734" s="11">
        <v>682829</v>
      </c>
    </row>
    <row r="735" spans="130:135" x14ac:dyDescent="0.2">
      <c r="DZ735" s="5">
        <v>45870</v>
      </c>
      <c r="EA735" s="13" t="s">
        <v>1251</v>
      </c>
      <c r="EB735" s="13" t="s">
        <v>2206</v>
      </c>
      <c r="EC735" s="13" t="s">
        <v>1058</v>
      </c>
      <c r="ED735" s="11">
        <v>82980</v>
      </c>
      <c r="EE735" s="11"/>
    </row>
    <row r="736" spans="130:135" x14ac:dyDescent="0.2">
      <c r="DZ736" s="5">
        <v>45870</v>
      </c>
      <c r="EA736" s="13" t="s">
        <v>1251</v>
      </c>
      <c r="EB736" s="13" t="s">
        <v>2212</v>
      </c>
      <c r="EC736" s="13" t="s">
        <v>1058</v>
      </c>
      <c r="ED736" s="11">
        <v>311750</v>
      </c>
      <c r="EE736" s="11"/>
    </row>
    <row r="737" spans="130:135" x14ac:dyDescent="0.2">
      <c r="DZ737" s="5">
        <v>45870</v>
      </c>
      <c r="EA737" s="13" t="s">
        <v>1250</v>
      </c>
      <c r="EB737" s="13" t="s">
        <v>1358</v>
      </c>
      <c r="EC737" s="13" t="s">
        <v>1058</v>
      </c>
      <c r="ED737" s="11">
        <v>165980</v>
      </c>
      <c r="EE737" s="11"/>
    </row>
    <row r="738" spans="130:135" x14ac:dyDescent="0.2">
      <c r="DZ738" s="5">
        <v>45870</v>
      </c>
      <c r="EA738" s="13" t="s">
        <v>1250</v>
      </c>
      <c r="EB738" s="13" t="s">
        <v>2303</v>
      </c>
      <c r="EC738" s="13" t="s">
        <v>1170</v>
      </c>
      <c r="ED738" s="11">
        <v>0</v>
      </c>
      <c r="EE738" s="11"/>
    </row>
    <row r="739" spans="130:135" x14ac:dyDescent="0.2">
      <c r="DZ739" s="5">
        <v>45870</v>
      </c>
      <c r="EA739" s="13" t="s">
        <v>1250</v>
      </c>
      <c r="EB739" s="13" t="s">
        <v>2283</v>
      </c>
      <c r="EC739" s="13" t="s">
        <v>1170</v>
      </c>
      <c r="ED739" s="11">
        <v>85714.51</v>
      </c>
      <c r="EE739" s="11"/>
    </row>
    <row r="740" spans="130:135" x14ac:dyDescent="0.2">
      <c r="DZ740" s="5">
        <v>45870</v>
      </c>
      <c r="EA740" s="13" t="s">
        <v>1250</v>
      </c>
      <c r="EB740" s="13" t="s">
        <v>2317</v>
      </c>
      <c r="EC740" s="13" t="s">
        <v>1170</v>
      </c>
      <c r="ED740" s="11">
        <v>100000</v>
      </c>
      <c r="EE740" s="11"/>
    </row>
    <row r="741" spans="130:135" x14ac:dyDescent="0.2">
      <c r="DZ741" s="5">
        <v>45870</v>
      </c>
      <c r="EA741" s="13" t="s">
        <v>1250</v>
      </c>
      <c r="EB741" s="13" t="s">
        <v>1394</v>
      </c>
      <c r="EC741" s="13" t="s">
        <v>1170</v>
      </c>
      <c r="ED741" s="11">
        <v>0</v>
      </c>
      <c r="EE741" s="11"/>
    </row>
    <row r="742" spans="130:135" x14ac:dyDescent="0.2">
      <c r="DZ742" s="5">
        <v>45870</v>
      </c>
      <c r="EA742" s="13" t="s">
        <v>1250</v>
      </c>
      <c r="EB742" s="13" t="s">
        <v>2302</v>
      </c>
      <c r="EC742" s="13" t="s">
        <v>1170</v>
      </c>
      <c r="ED742" s="11">
        <v>0</v>
      </c>
      <c r="EE742" s="11"/>
    </row>
    <row r="743" spans="130:135" x14ac:dyDescent="0.2">
      <c r="DZ743" s="5">
        <v>45870</v>
      </c>
      <c r="EA743" s="13" t="s">
        <v>1250</v>
      </c>
      <c r="EB743" s="13" t="s">
        <v>1379</v>
      </c>
      <c r="EC743" s="13" t="s">
        <v>1170</v>
      </c>
      <c r="ED743" s="11">
        <v>-125000</v>
      </c>
      <c r="EE743" s="11"/>
    </row>
    <row r="744" spans="130:135" x14ac:dyDescent="0.2">
      <c r="DZ744" s="5">
        <v>45870</v>
      </c>
      <c r="EA744" s="13" t="s">
        <v>1250</v>
      </c>
      <c r="EB744" s="13" t="s">
        <v>1365</v>
      </c>
      <c r="EC744" s="13" t="s">
        <v>1170</v>
      </c>
      <c r="ED744" s="11">
        <v>0</v>
      </c>
      <c r="EE744" s="11"/>
    </row>
    <row r="745" spans="130:135" x14ac:dyDescent="0.2">
      <c r="DZ745" s="5">
        <v>45870</v>
      </c>
      <c r="EA745" s="13" t="s">
        <v>1250</v>
      </c>
      <c r="EB745" s="13" t="s">
        <v>2304</v>
      </c>
      <c r="EC745" s="13" t="s">
        <v>1170</v>
      </c>
      <c r="ED745" s="11">
        <v>0</v>
      </c>
      <c r="EE745" s="11"/>
    </row>
    <row r="746" spans="130:135" x14ac:dyDescent="0.2">
      <c r="DZ746" s="5">
        <v>45870</v>
      </c>
      <c r="EA746" s="13" t="s">
        <v>1250</v>
      </c>
      <c r="EB746" s="13" t="s">
        <v>1364</v>
      </c>
      <c r="EC746" s="13" t="s">
        <v>1170</v>
      </c>
      <c r="ED746" s="11">
        <v>0</v>
      </c>
      <c r="EE746" s="11"/>
    </row>
    <row r="747" spans="130:135" x14ac:dyDescent="0.2">
      <c r="DZ747" s="5">
        <v>45870</v>
      </c>
      <c r="EA747" s="13" t="s">
        <v>1250</v>
      </c>
      <c r="EB747" s="13" t="s">
        <v>2204</v>
      </c>
      <c r="EC747" s="13" t="s">
        <v>1170</v>
      </c>
      <c r="ED747" s="11">
        <v>106890</v>
      </c>
      <c r="EE747" s="11"/>
    </row>
    <row r="748" spans="130:135" x14ac:dyDescent="0.2">
      <c r="DZ748" s="5">
        <v>45901</v>
      </c>
      <c r="EA748" s="13" t="s">
        <v>1252</v>
      </c>
      <c r="EB748" s="13" t="s">
        <v>1375</v>
      </c>
      <c r="EC748" s="13" t="s">
        <v>1106</v>
      </c>
      <c r="ED748" s="11">
        <v>100</v>
      </c>
      <c r="EE748" s="11"/>
    </row>
    <row r="749" spans="130:135" x14ac:dyDescent="0.2">
      <c r="DZ749" s="5">
        <v>45901</v>
      </c>
      <c r="EA749" s="13" t="s">
        <v>1252</v>
      </c>
      <c r="EB749" s="13" t="s">
        <v>1374</v>
      </c>
      <c r="EC749" s="13" t="s">
        <v>1106</v>
      </c>
      <c r="ED749" s="11">
        <v>0</v>
      </c>
      <c r="EE749" s="11"/>
    </row>
    <row r="750" spans="130:135" x14ac:dyDescent="0.2">
      <c r="DZ750" s="5">
        <v>45901</v>
      </c>
      <c r="EA750" s="13" t="s">
        <v>1252</v>
      </c>
      <c r="EB750" s="13" t="s">
        <v>1377</v>
      </c>
      <c r="EC750" s="13" t="s">
        <v>1106</v>
      </c>
      <c r="ED750" s="11">
        <v>0</v>
      </c>
      <c r="EE750" s="11"/>
    </row>
    <row r="751" spans="130:135" x14ac:dyDescent="0.2">
      <c r="DZ751" s="5">
        <v>45901</v>
      </c>
      <c r="EA751" s="13" t="s">
        <v>1252</v>
      </c>
      <c r="EB751" s="13" t="s">
        <v>1403</v>
      </c>
      <c r="EC751" s="13" t="s">
        <v>1106</v>
      </c>
      <c r="ED751" s="11">
        <v>0</v>
      </c>
      <c r="EE751" s="11"/>
    </row>
    <row r="752" spans="130:135" x14ac:dyDescent="0.2">
      <c r="DZ752" s="5">
        <v>45901</v>
      </c>
      <c r="EA752" s="13" t="s">
        <v>1252</v>
      </c>
      <c r="EB752" s="13" t="s">
        <v>1388</v>
      </c>
      <c r="EC752" s="13" t="s">
        <v>1106</v>
      </c>
      <c r="ED752" s="11">
        <v>0</v>
      </c>
      <c r="EE752" s="11"/>
    </row>
    <row r="753" spans="130:135" x14ac:dyDescent="0.2">
      <c r="DZ753" s="5">
        <v>45901</v>
      </c>
      <c r="EA753" s="13" t="s">
        <v>1252</v>
      </c>
      <c r="EB753" s="13" t="s">
        <v>2202</v>
      </c>
      <c r="EC753" s="13" t="s">
        <v>1106</v>
      </c>
      <c r="ED753" s="11">
        <v>6000</v>
      </c>
      <c r="EE753" s="11"/>
    </row>
    <row r="754" spans="130:135" x14ac:dyDescent="0.2">
      <c r="DZ754" s="5">
        <v>45901</v>
      </c>
      <c r="EA754" s="13" t="s">
        <v>1251</v>
      </c>
      <c r="EB754" s="13" t="s">
        <v>2318</v>
      </c>
      <c r="EC754" s="13" t="s">
        <v>1212</v>
      </c>
      <c r="ED754" s="11">
        <v>483000</v>
      </c>
      <c r="EE754" s="11"/>
    </row>
    <row r="755" spans="130:135" x14ac:dyDescent="0.2">
      <c r="DZ755" s="5">
        <v>45901</v>
      </c>
      <c r="EA755" s="13" t="s">
        <v>1251</v>
      </c>
      <c r="EB755" s="13" t="s">
        <v>1379</v>
      </c>
      <c r="EC755" s="13" t="s">
        <v>1212</v>
      </c>
      <c r="ED755" s="11">
        <v>125000</v>
      </c>
      <c r="EE755" s="11"/>
    </row>
    <row r="756" spans="130:135" x14ac:dyDescent="0.2">
      <c r="DZ756" s="5">
        <v>45901</v>
      </c>
      <c r="EA756" s="13" t="s">
        <v>1251</v>
      </c>
      <c r="EB756" s="13" t="s">
        <v>2203</v>
      </c>
      <c r="EC756" s="13" t="s">
        <v>1212</v>
      </c>
      <c r="ED756" s="11">
        <v>0</v>
      </c>
      <c r="EE756" s="11"/>
    </row>
    <row r="757" spans="130:135" x14ac:dyDescent="0.2">
      <c r="DZ757" s="5">
        <v>45901</v>
      </c>
      <c r="EA757" s="13" t="s">
        <v>1251</v>
      </c>
      <c r="EB757" s="13" t="s">
        <v>1380</v>
      </c>
      <c r="EC757" s="13" t="s">
        <v>1212</v>
      </c>
      <c r="ED757" s="11">
        <v>797600</v>
      </c>
      <c r="EE757" s="11"/>
    </row>
    <row r="758" spans="130:135" x14ac:dyDescent="0.2">
      <c r="DZ758" s="5">
        <v>45901</v>
      </c>
      <c r="EA758" s="13" t="s">
        <v>1251</v>
      </c>
      <c r="EB758" s="13" t="s">
        <v>2204</v>
      </c>
      <c r="EC758" s="13" t="s">
        <v>1212</v>
      </c>
      <c r="ED758" s="11">
        <v>0</v>
      </c>
      <c r="EE758" s="11"/>
    </row>
    <row r="759" spans="130:135" x14ac:dyDescent="0.2">
      <c r="DZ759" s="5">
        <v>45901</v>
      </c>
      <c r="EA759" s="13" t="s">
        <v>1251</v>
      </c>
      <c r="EB759" s="13" t="s">
        <v>1406</v>
      </c>
      <c r="EC759" s="13" t="s">
        <v>1124</v>
      </c>
      <c r="ED759" s="11">
        <v>0</v>
      </c>
      <c r="EE759" s="11"/>
    </row>
    <row r="760" spans="130:135" x14ac:dyDescent="0.2">
      <c r="DZ760" s="5">
        <v>45901</v>
      </c>
      <c r="EA760" s="13" t="s">
        <v>1250</v>
      </c>
      <c r="EB760" s="13" t="s">
        <v>1360</v>
      </c>
      <c r="EC760" s="13" t="s">
        <v>1124</v>
      </c>
      <c r="ED760" s="11">
        <v>195800</v>
      </c>
      <c r="EE760" s="11"/>
    </row>
    <row r="761" spans="130:135" x14ac:dyDescent="0.2">
      <c r="DZ761" s="5">
        <v>45901</v>
      </c>
      <c r="EA761" s="13" t="s">
        <v>1251</v>
      </c>
      <c r="EB761" s="13" t="s">
        <v>1360</v>
      </c>
      <c r="EC761" s="13" t="s">
        <v>1124</v>
      </c>
      <c r="ED761" s="11">
        <v>547400</v>
      </c>
      <c r="EE761" s="11"/>
    </row>
    <row r="762" spans="130:135" x14ac:dyDescent="0.2">
      <c r="DZ762" s="5">
        <v>45901</v>
      </c>
      <c r="EA762" s="13" t="s">
        <v>1251</v>
      </c>
      <c r="EB762" s="13" t="s">
        <v>1338</v>
      </c>
      <c r="EC762" s="13" t="s">
        <v>1121</v>
      </c>
      <c r="ED762" s="11">
        <v>25800</v>
      </c>
      <c r="EE762" s="11"/>
    </row>
    <row r="763" spans="130:135" x14ac:dyDescent="0.2">
      <c r="DZ763" s="5">
        <v>45901</v>
      </c>
      <c r="EA763" s="13" t="s">
        <v>1250</v>
      </c>
      <c r="EB763" s="13" t="s">
        <v>1338</v>
      </c>
      <c r="EC763" s="13" t="s">
        <v>1121</v>
      </c>
      <c r="ED763" s="11">
        <v>8600</v>
      </c>
      <c r="EE763" s="11"/>
    </row>
    <row r="764" spans="130:135" x14ac:dyDescent="0.2">
      <c r="DZ764" s="5">
        <v>45901</v>
      </c>
      <c r="EA764" s="13" t="s">
        <v>1250</v>
      </c>
      <c r="EB764" s="13" t="s">
        <v>2287</v>
      </c>
      <c r="EC764" s="13" t="s">
        <v>1016</v>
      </c>
      <c r="ED764" s="11">
        <v>0</v>
      </c>
      <c r="EE764" s="11"/>
    </row>
    <row r="765" spans="130:135" x14ac:dyDescent="0.2">
      <c r="DZ765" s="5">
        <v>45901</v>
      </c>
      <c r="EA765" s="13" t="s">
        <v>1250</v>
      </c>
      <c r="EB765" s="13" t="s">
        <v>1340</v>
      </c>
      <c r="EC765" s="13" t="s">
        <v>1126</v>
      </c>
      <c r="ED765" s="11">
        <v>57000</v>
      </c>
      <c r="EE765" s="11"/>
    </row>
    <row r="766" spans="130:135" x14ac:dyDescent="0.2">
      <c r="DZ766" s="5">
        <v>45901</v>
      </c>
      <c r="EA766" s="13" t="s">
        <v>1251</v>
      </c>
      <c r="EB766" s="13" t="s">
        <v>1340</v>
      </c>
      <c r="EC766" s="13" t="s">
        <v>1126</v>
      </c>
      <c r="ED766" s="11">
        <v>205400</v>
      </c>
      <c r="EE766" s="11"/>
    </row>
    <row r="767" spans="130:135" x14ac:dyDescent="0.2">
      <c r="DZ767" s="5">
        <v>45901</v>
      </c>
      <c r="EA767" s="13" t="s">
        <v>1251</v>
      </c>
      <c r="EB767" s="13" t="s">
        <v>1341</v>
      </c>
      <c r="EC767" s="13" t="s">
        <v>1142</v>
      </c>
      <c r="ED767" s="11">
        <v>2400000</v>
      </c>
      <c r="EE767" s="11"/>
    </row>
    <row r="768" spans="130:135" x14ac:dyDescent="0.2">
      <c r="DZ768" s="5">
        <v>45901</v>
      </c>
      <c r="EA768" s="13" t="s">
        <v>1251</v>
      </c>
      <c r="EB768" s="13" t="s">
        <v>1342</v>
      </c>
      <c r="EC768" s="13" t="s">
        <v>1142</v>
      </c>
      <c r="ED768" s="11">
        <v>6300000</v>
      </c>
      <c r="EE768" s="11"/>
    </row>
    <row r="769" spans="130:135" x14ac:dyDescent="0.2">
      <c r="DZ769" s="5">
        <v>45901</v>
      </c>
      <c r="EA769" s="13" t="s">
        <v>1250</v>
      </c>
      <c r="EB769" s="13" t="s">
        <v>2205</v>
      </c>
      <c r="EC769" s="13" t="s">
        <v>1138</v>
      </c>
      <c r="ED769" s="11">
        <v>0</v>
      </c>
      <c r="EE769" s="11"/>
    </row>
    <row r="770" spans="130:135" x14ac:dyDescent="0.2">
      <c r="DZ770" s="5">
        <v>45901</v>
      </c>
      <c r="EA770" s="13" t="s">
        <v>1250</v>
      </c>
      <c r="EB770" s="13" t="s">
        <v>1358</v>
      </c>
      <c r="EC770" s="13" t="s">
        <v>1110</v>
      </c>
      <c r="ED770" s="11">
        <v>200000</v>
      </c>
      <c r="EE770" s="11"/>
    </row>
    <row r="771" spans="130:135" x14ac:dyDescent="0.2">
      <c r="DZ771" s="5">
        <v>45901</v>
      </c>
      <c r="EA771" s="13" t="s">
        <v>1251</v>
      </c>
      <c r="EB771" s="13" t="s">
        <v>2305</v>
      </c>
      <c r="EC771" s="13" t="s">
        <v>1187</v>
      </c>
      <c r="ED771" s="11">
        <v>200000</v>
      </c>
      <c r="EE771" s="11"/>
    </row>
    <row r="772" spans="130:135" x14ac:dyDescent="0.2">
      <c r="DZ772" s="5">
        <v>45901</v>
      </c>
      <c r="EA772" s="13" t="s">
        <v>1251</v>
      </c>
      <c r="EB772" s="13" t="s">
        <v>2319</v>
      </c>
      <c r="EC772" s="13" t="s">
        <v>1187</v>
      </c>
      <c r="ED772" s="11">
        <v>60000</v>
      </c>
      <c r="EE772" s="11"/>
    </row>
    <row r="773" spans="130:135" x14ac:dyDescent="0.2">
      <c r="DZ773" s="5">
        <v>45901</v>
      </c>
      <c r="EA773" s="13" t="s">
        <v>1251</v>
      </c>
      <c r="EB773" s="13" t="s">
        <v>2206</v>
      </c>
      <c r="EC773" s="13" t="s">
        <v>1187</v>
      </c>
      <c r="ED773" s="11">
        <v>100000</v>
      </c>
      <c r="EE773" s="11"/>
    </row>
    <row r="774" spans="130:135" x14ac:dyDescent="0.2">
      <c r="DZ774" s="5">
        <v>45901</v>
      </c>
      <c r="EA774" s="13" t="s">
        <v>1250</v>
      </c>
      <c r="EB774" s="13" t="s">
        <v>1358</v>
      </c>
      <c r="EC774" s="13" t="s">
        <v>1132</v>
      </c>
      <c r="ED774" s="11">
        <v>338520</v>
      </c>
      <c r="EE774" s="11"/>
    </row>
    <row r="775" spans="130:135" x14ac:dyDescent="0.2">
      <c r="DZ775" s="5">
        <v>45901</v>
      </c>
      <c r="EA775" s="13" t="s">
        <v>1250</v>
      </c>
      <c r="EB775" s="13" t="s">
        <v>2207</v>
      </c>
      <c r="EC775" s="13" t="s">
        <v>1172</v>
      </c>
      <c r="ED775" s="11">
        <v>0</v>
      </c>
      <c r="EE775" s="11"/>
    </row>
    <row r="776" spans="130:135" x14ac:dyDescent="0.2">
      <c r="DZ776" s="5">
        <v>45901</v>
      </c>
      <c r="EA776" s="13" t="s">
        <v>1250</v>
      </c>
      <c r="EB776" s="13" t="s">
        <v>2320</v>
      </c>
      <c r="EC776" s="13" t="s">
        <v>1172</v>
      </c>
      <c r="ED776" s="11">
        <v>103992</v>
      </c>
      <c r="EE776" s="11"/>
    </row>
    <row r="777" spans="130:135" x14ac:dyDescent="0.2">
      <c r="DZ777" s="5">
        <v>45901</v>
      </c>
      <c r="EA777" s="13" t="s">
        <v>1250</v>
      </c>
      <c r="EB777" s="13" t="s">
        <v>2321</v>
      </c>
      <c r="EC777" s="13" t="s">
        <v>1172</v>
      </c>
      <c r="ED777" s="11">
        <v>180200</v>
      </c>
      <c r="EE777" s="11"/>
    </row>
    <row r="778" spans="130:135" x14ac:dyDescent="0.2">
      <c r="DZ778" s="5">
        <v>45901</v>
      </c>
      <c r="EA778" s="13" t="s">
        <v>1250</v>
      </c>
      <c r="EB778" s="13" t="s">
        <v>2211</v>
      </c>
      <c r="EC778" s="13" t="s">
        <v>1172</v>
      </c>
      <c r="ED778" s="11">
        <v>0</v>
      </c>
      <c r="EE778" s="11"/>
    </row>
    <row r="779" spans="130:135" x14ac:dyDescent="0.2">
      <c r="DZ779" s="5">
        <v>45901</v>
      </c>
      <c r="EA779" s="13" t="s">
        <v>1250</v>
      </c>
      <c r="EB779" s="13" t="s">
        <v>1396</v>
      </c>
      <c r="EC779" s="13" t="s">
        <v>1172</v>
      </c>
      <c r="ED779" s="11">
        <v>0</v>
      </c>
      <c r="EE779" s="11"/>
    </row>
    <row r="780" spans="130:135" x14ac:dyDescent="0.2">
      <c r="DZ780" s="5">
        <v>45901</v>
      </c>
      <c r="EA780" s="13" t="s">
        <v>1250</v>
      </c>
      <c r="EB780" s="13" t="s">
        <v>1392</v>
      </c>
      <c r="EC780" s="13" t="s">
        <v>1172</v>
      </c>
      <c r="ED780" s="11">
        <v>0</v>
      </c>
      <c r="EE780" s="11"/>
    </row>
    <row r="781" spans="130:135" x14ac:dyDescent="0.2">
      <c r="DZ781" s="5">
        <v>45901</v>
      </c>
      <c r="EA781" s="13" t="s">
        <v>1250</v>
      </c>
      <c r="EB781" s="13" t="s">
        <v>2288</v>
      </c>
      <c r="EC781" s="13" t="s">
        <v>1172</v>
      </c>
      <c r="ED781" s="11">
        <v>0</v>
      </c>
      <c r="EE781" s="11"/>
    </row>
    <row r="782" spans="130:135" x14ac:dyDescent="0.2">
      <c r="DZ782" s="5">
        <v>45901</v>
      </c>
      <c r="EA782" s="13" t="s">
        <v>1250</v>
      </c>
      <c r="EB782" s="13" t="s">
        <v>1362</v>
      </c>
      <c r="EC782" s="13" t="s">
        <v>1172</v>
      </c>
      <c r="ED782" s="11">
        <v>0</v>
      </c>
      <c r="EE782" s="11"/>
    </row>
    <row r="783" spans="130:135" x14ac:dyDescent="0.2">
      <c r="DZ783" s="5">
        <v>45901</v>
      </c>
      <c r="EA783" s="13" t="s">
        <v>1250</v>
      </c>
      <c r="EB783" s="13" t="s">
        <v>2322</v>
      </c>
      <c r="EC783" s="13" t="s">
        <v>1172</v>
      </c>
      <c r="ED783" s="11">
        <v>56600</v>
      </c>
      <c r="EE783" s="11"/>
    </row>
    <row r="784" spans="130:135" x14ac:dyDescent="0.2">
      <c r="DZ784" s="5">
        <v>45901</v>
      </c>
      <c r="EA784" s="13" t="s">
        <v>1250</v>
      </c>
      <c r="EB784" s="13" t="s">
        <v>2277</v>
      </c>
      <c r="EC784" s="13" t="s">
        <v>1172</v>
      </c>
      <c r="ED784" s="11">
        <v>0</v>
      </c>
      <c r="EE784" s="11"/>
    </row>
    <row r="785" spans="130:135" x14ac:dyDescent="0.2">
      <c r="DZ785" s="5">
        <v>45901</v>
      </c>
      <c r="EA785" s="13" t="s">
        <v>1250</v>
      </c>
      <c r="EB785" s="13" t="s">
        <v>2208</v>
      </c>
      <c r="EC785" s="13" t="s">
        <v>1172</v>
      </c>
      <c r="ED785" s="11">
        <v>0</v>
      </c>
      <c r="EE785" s="11"/>
    </row>
    <row r="786" spans="130:135" x14ac:dyDescent="0.2">
      <c r="DZ786" s="5">
        <v>45901</v>
      </c>
      <c r="EA786" s="13" t="s">
        <v>1250</v>
      </c>
      <c r="EB786" s="13" t="s">
        <v>2210</v>
      </c>
      <c r="EC786" s="13" t="s">
        <v>1172</v>
      </c>
      <c r="ED786" s="11">
        <v>0</v>
      </c>
      <c r="EE786" s="11"/>
    </row>
    <row r="787" spans="130:135" x14ac:dyDescent="0.2">
      <c r="DZ787" s="5">
        <v>45901</v>
      </c>
      <c r="EA787" s="13" t="s">
        <v>1250</v>
      </c>
      <c r="EB787" s="13" t="s">
        <v>1391</v>
      </c>
      <c r="EC787" s="13" t="s">
        <v>1172</v>
      </c>
      <c r="ED787" s="11">
        <v>0</v>
      </c>
      <c r="EE787" s="11"/>
    </row>
    <row r="788" spans="130:135" x14ac:dyDescent="0.2">
      <c r="DZ788" s="5">
        <v>45901</v>
      </c>
      <c r="EA788" s="13" t="s">
        <v>1250</v>
      </c>
      <c r="EB788" s="13" t="s">
        <v>1414</v>
      </c>
      <c r="EC788" s="13" t="s">
        <v>1172</v>
      </c>
      <c r="ED788" s="11">
        <v>260140</v>
      </c>
      <c r="EE788" s="11"/>
    </row>
    <row r="789" spans="130:135" x14ac:dyDescent="0.2">
      <c r="DZ789" s="5">
        <v>45901</v>
      </c>
      <c r="EA789" s="13" t="s">
        <v>1250</v>
      </c>
      <c r="EB789" s="13" t="s">
        <v>2209</v>
      </c>
      <c r="EC789" s="13" t="s">
        <v>1172</v>
      </c>
      <c r="ED789" s="11">
        <v>0</v>
      </c>
      <c r="EE789" s="11"/>
    </row>
    <row r="790" spans="130:135" x14ac:dyDescent="0.2">
      <c r="DZ790" s="5">
        <v>45901</v>
      </c>
      <c r="EA790" s="13" t="s">
        <v>1251</v>
      </c>
      <c r="EB790" s="13" t="s">
        <v>2319</v>
      </c>
      <c r="EC790" s="13" t="s">
        <v>1054</v>
      </c>
      <c r="ED790" s="11">
        <v>21676</v>
      </c>
      <c r="EE790" s="11"/>
    </row>
    <row r="791" spans="130:135" x14ac:dyDescent="0.2">
      <c r="DZ791" s="5">
        <v>45901</v>
      </c>
      <c r="EA791" s="13" t="s">
        <v>1251</v>
      </c>
      <c r="EB791" s="13" t="s">
        <v>2212</v>
      </c>
      <c r="EC791" s="13" t="s">
        <v>1054</v>
      </c>
      <c r="ED791" s="11">
        <v>164459</v>
      </c>
      <c r="EE791" s="11"/>
    </row>
    <row r="792" spans="130:135" x14ac:dyDescent="0.2">
      <c r="DZ792" s="5">
        <v>45901</v>
      </c>
      <c r="EA792" s="13" t="s">
        <v>1251</v>
      </c>
      <c r="EB792" s="13" t="s">
        <v>2206</v>
      </c>
      <c r="EC792" s="13" t="s">
        <v>1054</v>
      </c>
      <c r="ED792" s="11">
        <v>71601</v>
      </c>
      <c r="EE792" s="11"/>
    </row>
    <row r="793" spans="130:135" x14ac:dyDescent="0.2">
      <c r="DZ793" s="5">
        <v>45901</v>
      </c>
      <c r="EA793" s="13" t="s">
        <v>1251</v>
      </c>
      <c r="EB793" s="13" t="s">
        <v>2305</v>
      </c>
      <c r="EC793" s="13" t="s">
        <v>1054</v>
      </c>
      <c r="ED793" s="11">
        <v>290090</v>
      </c>
      <c r="EE793" s="11"/>
    </row>
    <row r="794" spans="130:135" x14ac:dyDescent="0.2">
      <c r="DZ794" s="5">
        <v>45901</v>
      </c>
      <c r="EA794" s="13" t="s">
        <v>1250</v>
      </c>
      <c r="EB794" s="13" t="s">
        <v>1358</v>
      </c>
      <c r="EC794" s="13" t="s">
        <v>1054</v>
      </c>
      <c r="ED794" s="11">
        <v>152081</v>
      </c>
      <c r="EE794" s="11"/>
    </row>
    <row r="795" spans="130:135" x14ac:dyDescent="0.2">
      <c r="DZ795" s="5">
        <v>45901</v>
      </c>
      <c r="EA795" s="13" t="s">
        <v>1251</v>
      </c>
      <c r="EB795" s="13" t="s">
        <v>2214</v>
      </c>
      <c r="EC795" s="13" t="s">
        <v>1166</v>
      </c>
      <c r="ED795" s="11"/>
      <c r="EE795" s="11">
        <v>0</v>
      </c>
    </row>
    <row r="796" spans="130:135" x14ac:dyDescent="0.2">
      <c r="DZ796" s="5">
        <v>45901</v>
      </c>
      <c r="EA796" s="13" t="s">
        <v>1251</v>
      </c>
      <c r="EB796" s="13" t="s">
        <v>1355</v>
      </c>
      <c r="EC796" s="13" t="s">
        <v>1166</v>
      </c>
      <c r="ED796" s="11"/>
      <c r="EE796" s="11">
        <v>858454</v>
      </c>
    </row>
    <row r="797" spans="130:135" x14ac:dyDescent="0.2">
      <c r="DZ797" s="5">
        <v>45901</v>
      </c>
      <c r="EA797" s="13" t="s">
        <v>1251</v>
      </c>
      <c r="EB797" s="13" t="s">
        <v>2213</v>
      </c>
      <c r="EC797" s="13" t="s">
        <v>1166</v>
      </c>
      <c r="ED797" s="11"/>
      <c r="EE797" s="11">
        <v>24076</v>
      </c>
    </row>
    <row r="798" spans="130:135" x14ac:dyDescent="0.2">
      <c r="DZ798" s="5">
        <v>45901</v>
      </c>
      <c r="EA798" s="13" t="s">
        <v>1252</v>
      </c>
      <c r="EB798" s="13" t="s">
        <v>1371</v>
      </c>
      <c r="EC798" s="13" t="s">
        <v>1166</v>
      </c>
      <c r="ED798" s="11">
        <v>0</v>
      </c>
      <c r="EE798" s="11"/>
    </row>
    <row r="799" spans="130:135" x14ac:dyDescent="0.2">
      <c r="DZ799" s="5">
        <v>45901</v>
      </c>
      <c r="EA799" s="13" t="s">
        <v>1251</v>
      </c>
      <c r="EB799" s="13" t="s">
        <v>2305</v>
      </c>
      <c r="EC799" s="13" t="s">
        <v>1166</v>
      </c>
      <c r="ED799" s="11"/>
      <c r="EE799" s="11">
        <v>300000</v>
      </c>
    </row>
    <row r="800" spans="130:135" x14ac:dyDescent="0.2">
      <c r="DZ800" s="5">
        <v>45901</v>
      </c>
      <c r="EA800" s="13" t="s">
        <v>1251</v>
      </c>
      <c r="EB800" s="13" t="s">
        <v>2212</v>
      </c>
      <c r="EC800" s="13" t="s">
        <v>1166</v>
      </c>
      <c r="ED800" s="11"/>
      <c r="EE800" s="11">
        <v>532798</v>
      </c>
    </row>
    <row r="801" spans="130:135" x14ac:dyDescent="0.2">
      <c r="DZ801" s="5">
        <v>45901</v>
      </c>
      <c r="EA801" s="13" t="s">
        <v>1252</v>
      </c>
      <c r="EB801" s="13" t="s">
        <v>1355</v>
      </c>
      <c r="EC801" s="13" t="s">
        <v>1166</v>
      </c>
      <c r="ED801" s="11">
        <v>355942.22</v>
      </c>
      <c r="EE801" s="11"/>
    </row>
    <row r="802" spans="130:135" x14ac:dyDescent="0.2">
      <c r="DZ802" s="5">
        <v>45901</v>
      </c>
      <c r="EA802" s="13" t="s">
        <v>1251</v>
      </c>
      <c r="EB802" s="13" t="s">
        <v>1351</v>
      </c>
      <c r="EC802" s="13" t="s">
        <v>1166</v>
      </c>
      <c r="ED802" s="11"/>
      <c r="EE802" s="11">
        <v>404671.1</v>
      </c>
    </row>
    <row r="803" spans="130:135" x14ac:dyDescent="0.2">
      <c r="DZ803" s="5">
        <v>45901</v>
      </c>
      <c r="EA803" s="13" t="s">
        <v>1251</v>
      </c>
      <c r="EB803" s="13" t="s">
        <v>2319</v>
      </c>
      <c r="EC803" s="13" t="s">
        <v>1166</v>
      </c>
      <c r="ED803" s="11"/>
      <c r="EE803" s="11">
        <v>240000</v>
      </c>
    </row>
    <row r="804" spans="130:135" x14ac:dyDescent="0.2">
      <c r="DZ804" s="5">
        <v>45901</v>
      </c>
      <c r="EA804" s="13" t="s">
        <v>1252</v>
      </c>
      <c r="EB804" s="13" t="s">
        <v>2230</v>
      </c>
      <c r="EC804" s="13" t="s">
        <v>1224</v>
      </c>
      <c r="ED804" s="11">
        <v>0</v>
      </c>
      <c r="EE804" s="11"/>
    </row>
    <row r="805" spans="130:135" x14ac:dyDescent="0.2">
      <c r="DZ805" s="5">
        <v>45901</v>
      </c>
      <c r="EA805" s="13" t="s">
        <v>1252</v>
      </c>
      <c r="EB805" s="13" t="s">
        <v>2226</v>
      </c>
      <c r="EC805" s="13" t="s">
        <v>1224</v>
      </c>
      <c r="ED805" s="11">
        <v>0</v>
      </c>
      <c r="EE805" s="11"/>
    </row>
    <row r="806" spans="130:135" x14ac:dyDescent="0.2">
      <c r="DZ806" s="5">
        <v>45901</v>
      </c>
      <c r="EA806" s="13" t="s">
        <v>1252</v>
      </c>
      <c r="EB806" s="13" t="s">
        <v>2267</v>
      </c>
      <c r="EC806" s="13" t="s">
        <v>1224</v>
      </c>
      <c r="ED806" s="11">
        <v>0</v>
      </c>
      <c r="EE806" s="11"/>
    </row>
    <row r="807" spans="130:135" x14ac:dyDescent="0.2">
      <c r="DZ807" s="5">
        <v>45901</v>
      </c>
      <c r="EA807" s="13" t="s">
        <v>1252</v>
      </c>
      <c r="EB807" s="13" t="s">
        <v>2241</v>
      </c>
      <c r="EC807" s="13" t="s">
        <v>1224</v>
      </c>
      <c r="ED807" s="11">
        <v>0</v>
      </c>
      <c r="EE807" s="11"/>
    </row>
    <row r="808" spans="130:135" x14ac:dyDescent="0.2">
      <c r="DZ808" s="5">
        <v>45901</v>
      </c>
      <c r="EA808" s="13" t="s">
        <v>1252</v>
      </c>
      <c r="EB808" s="13" t="s">
        <v>2234</v>
      </c>
      <c r="EC808" s="13" t="s">
        <v>1224</v>
      </c>
      <c r="ED808" s="11">
        <v>0</v>
      </c>
      <c r="EE808" s="11"/>
    </row>
    <row r="809" spans="130:135" x14ac:dyDescent="0.2">
      <c r="DZ809" s="5">
        <v>45901</v>
      </c>
      <c r="EA809" s="13" t="s">
        <v>1252</v>
      </c>
      <c r="EB809" s="13" t="s">
        <v>2239</v>
      </c>
      <c r="EC809" s="13" t="s">
        <v>1224</v>
      </c>
      <c r="ED809" s="11">
        <v>0</v>
      </c>
      <c r="EE809" s="11"/>
    </row>
    <row r="810" spans="130:135" x14ac:dyDescent="0.2">
      <c r="DZ810" s="5">
        <v>45901</v>
      </c>
      <c r="EA810" s="13" t="s">
        <v>1252</v>
      </c>
      <c r="EB810" s="13" t="s">
        <v>2292</v>
      </c>
      <c r="EC810" s="13" t="s">
        <v>1224</v>
      </c>
      <c r="ED810" s="11">
        <v>0</v>
      </c>
      <c r="EE810" s="11"/>
    </row>
    <row r="811" spans="130:135" x14ac:dyDescent="0.2">
      <c r="DZ811" s="5">
        <v>45901</v>
      </c>
      <c r="EA811" s="13" t="s">
        <v>1252</v>
      </c>
      <c r="EB811" s="13" t="s">
        <v>2323</v>
      </c>
      <c r="EC811" s="13" t="s">
        <v>1224</v>
      </c>
      <c r="ED811" s="11">
        <v>9663.8700000000008</v>
      </c>
      <c r="EE811" s="11"/>
    </row>
    <row r="812" spans="130:135" x14ac:dyDescent="0.2">
      <c r="DZ812" s="5">
        <v>45901</v>
      </c>
      <c r="EA812" s="13" t="s">
        <v>1252</v>
      </c>
      <c r="EB812" s="13" t="s">
        <v>2300</v>
      </c>
      <c r="EC812" s="13" t="s">
        <v>1224</v>
      </c>
      <c r="ED812" s="11">
        <v>0</v>
      </c>
      <c r="EE812" s="11"/>
    </row>
    <row r="813" spans="130:135" x14ac:dyDescent="0.2">
      <c r="DZ813" s="5">
        <v>45901</v>
      </c>
      <c r="EA813" s="13" t="s">
        <v>1252</v>
      </c>
      <c r="EB813" s="13" t="s">
        <v>2310</v>
      </c>
      <c r="EC813" s="13" t="s">
        <v>1224</v>
      </c>
      <c r="ED813" s="11">
        <v>0</v>
      </c>
      <c r="EE813" s="11"/>
    </row>
    <row r="814" spans="130:135" x14ac:dyDescent="0.2">
      <c r="DZ814" s="5">
        <v>45901</v>
      </c>
      <c r="EA814" s="13" t="s">
        <v>1252</v>
      </c>
      <c r="EB814" s="13" t="s">
        <v>2256</v>
      </c>
      <c r="EC814" s="13" t="s">
        <v>1224</v>
      </c>
      <c r="ED814" s="11">
        <v>0</v>
      </c>
      <c r="EE814" s="11"/>
    </row>
    <row r="815" spans="130:135" x14ac:dyDescent="0.2">
      <c r="DZ815" s="5">
        <v>45901</v>
      </c>
      <c r="EA815" s="13" t="s">
        <v>1252</v>
      </c>
      <c r="EB815" s="13" t="s">
        <v>2295</v>
      </c>
      <c r="EC815" s="13" t="s">
        <v>1224</v>
      </c>
      <c r="ED815" s="11">
        <v>0</v>
      </c>
      <c r="EE815" s="11"/>
    </row>
    <row r="816" spans="130:135" x14ac:dyDescent="0.2">
      <c r="DZ816" s="5">
        <v>45901</v>
      </c>
      <c r="EA816" s="13" t="s">
        <v>1252</v>
      </c>
      <c r="EB816" s="13" t="s">
        <v>2258</v>
      </c>
      <c r="EC816" s="13" t="s">
        <v>1224</v>
      </c>
      <c r="ED816" s="11">
        <v>0</v>
      </c>
      <c r="EE816" s="11"/>
    </row>
    <row r="817" spans="130:135" x14ac:dyDescent="0.2">
      <c r="DZ817" s="5">
        <v>45901</v>
      </c>
      <c r="EA817" s="13" t="s">
        <v>1252</v>
      </c>
      <c r="EB817" s="13" t="s">
        <v>2324</v>
      </c>
      <c r="EC817" s="13" t="s">
        <v>1224</v>
      </c>
      <c r="ED817" s="11">
        <v>7983.19</v>
      </c>
      <c r="EE817" s="11"/>
    </row>
    <row r="818" spans="130:135" x14ac:dyDescent="0.2">
      <c r="DZ818" s="5">
        <v>45901</v>
      </c>
      <c r="EA818" s="13" t="s">
        <v>1252</v>
      </c>
      <c r="EB818" s="13" t="s">
        <v>1391</v>
      </c>
      <c r="EC818" s="13" t="s">
        <v>1224</v>
      </c>
      <c r="ED818" s="11">
        <v>4201.68</v>
      </c>
      <c r="EE818" s="11"/>
    </row>
    <row r="819" spans="130:135" x14ac:dyDescent="0.2">
      <c r="DZ819" s="5">
        <v>45901</v>
      </c>
      <c r="EA819" s="13" t="s">
        <v>1252</v>
      </c>
      <c r="EB819" s="13" t="s">
        <v>2215</v>
      </c>
      <c r="EC819" s="13" t="s">
        <v>1224</v>
      </c>
      <c r="ED819" s="11">
        <v>0</v>
      </c>
      <c r="EE819" s="11"/>
    </row>
    <row r="820" spans="130:135" x14ac:dyDescent="0.2">
      <c r="DZ820" s="5">
        <v>45901</v>
      </c>
      <c r="EA820" s="13" t="s">
        <v>1252</v>
      </c>
      <c r="EB820" s="13" t="s">
        <v>2247</v>
      </c>
      <c r="EC820" s="13" t="s">
        <v>1224</v>
      </c>
      <c r="ED820" s="11">
        <v>0</v>
      </c>
      <c r="EE820" s="11"/>
    </row>
    <row r="821" spans="130:135" x14ac:dyDescent="0.2">
      <c r="DZ821" s="5">
        <v>45901</v>
      </c>
      <c r="EA821" s="13" t="s">
        <v>1252</v>
      </c>
      <c r="EB821" s="13" t="s">
        <v>2262</v>
      </c>
      <c r="EC821" s="13" t="s">
        <v>1224</v>
      </c>
      <c r="ED821" s="11">
        <v>0</v>
      </c>
      <c r="EE821" s="11"/>
    </row>
    <row r="822" spans="130:135" x14ac:dyDescent="0.2">
      <c r="DZ822" s="5">
        <v>45901</v>
      </c>
      <c r="EA822" s="13" t="s">
        <v>1252</v>
      </c>
      <c r="EB822" s="13" t="s">
        <v>2243</v>
      </c>
      <c r="EC822" s="13" t="s">
        <v>1224</v>
      </c>
      <c r="ED822" s="11">
        <v>0</v>
      </c>
      <c r="EE822" s="11"/>
    </row>
    <row r="823" spans="130:135" x14ac:dyDescent="0.2">
      <c r="DZ823" s="5">
        <v>45901</v>
      </c>
      <c r="EA823" s="13" t="s">
        <v>1252</v>
      </c>
      <c r="EB823" s="13" t="s">
        <v>2269</v>
      </c>
      <c r="EC823" s="13" t="s">
        <v>1224</v>
      </c>
      <c r="ED823" s="11">
        <v>0</v>
      </c>
      <c r="EE823" s="11"/>
    </row>
    <row r="824" spans="130:135" x14ac:dyDescent="0.2">
      <c r="DZ824" s="5">
        <v>45901</v>
      </c>
      <c r="EA824" s="13" t="s">
        <v>1252</v>
      </c>
      <c r="EB824" s="13" t="s">
        <v>2227</v>
      </c>
      <c r="EC824" s="13" t="s">
        <v>1224</v>
      </c>
      <c r="ED824" s="11">
        <v>0</v>
      </c>
      <c r="EE824" s="11"/>
    </row>
    <row r="825" spans="130:135" x14ac:dyDescent="0.2">
      <c r="DZ825" s="5">
        <v>45901</v>
      </c>
      <c r="EA825" s="13" t="s">
        <v>1252</v>
      </c>
      <c r="EB825" s="13" t="s">
        <v>1356</v>
      </c>
      <c r="EC825" s="13" t="s">
        <v>1224</v>
      </c>
      <c r="ED825" s="11">
        <v>0</v>
      </c>
      <c r="EE825" s="11"/>
    </row>
    <row r="826" spans="130:135" x14ac:dyDescent="0.2">
      <c r="DZ826" s="5">
        <v>45901</v>
      </c>
      <c r="EA826" s="13" t="s">
        <v>1252</v>
      </c>
      <c r="EB826" s="13" t="s">
        <v>2296</v>
      </c>
      <c r="EC826" s="13" t="s">
        <v>1224</v>
      </c>
      <c r="ED826" s="11">
        <v>0</v>
      </c>
      <c r="EE826" s="11"/>
    </row>
    <row r="827" spans="130:135" x14ac:dyDescent="0.2">
      <c r="DZ827" s="5">
        <v>45901</v>
      </c>
      <c r="EA827" s="13" t="s">
        <v>1252</v>
      </c>
      <c r="EB827" s="13" t="s">
        <v>2252</v>
      </c>
      <c r="EC827" s="13" t="s">
        <v>1224</v>
      </c>
      <c r="ED827" s="11">
        <v>26050.42</v>
      </c>
      <c r="EE827" s="11"/>
    </row>
    <row r="828" spans="130:135" x14ac:dyDescent="0.2">
      <c r="DZ828" s="5">
        <v>45901</v>
      </c>
      <c r="EA828" s="13" t="s">
        <v>1252</v>
      </c>
      <c r="EB828" s="13" t="s">
        <v>2325</v>
      </c>
      <c r="EC828" s="13" t="s">
        <v>1224</v>
      </c>
      <c r="ED828" s="11">
        <v>610378.15</v>
      </c>
      <c r="EE828" s="11"/>
    </row>
    <row r="829" spans="130:135" x14ac:dyDescent="0.2">
      <c r="DZ829" s="5">
        <v>45901</v>
      </c>
      <c r="EA829" s="13" t="s">
        <v>1252</v>
      </c>
      <c r="EB829" s="13" t="s">
        <v>2240</v>
      </c>
      <c r="EC829" s="13" t="s">
        <v>1224</v>
      </c>
      <c r="ED829" s="11">
        <v>0</v>
      </c>
      <c r="EE829" s="11"/>
    </row>
    <row r="830" spans="130:135" x14ac:dyDescent="0.2">
      <c r="DZ830" s="5">
        <v>45901</v>
      </c>
      <c r="EA830" s="13" t="s">
        <v>1252</v>
      </c>
      <c r="EB830" s="13" t="s">
        <v>2223</v>
      </c>
      <c r="EC830" s="13" t="s">
        <v>1224</v>
      </c>
      <c r="ED830" s="11">
        <v>0</v>
      </c>
      <c r="EE830" s="11"/>
    </row>
    <row r="831" spans="130:135" x14ac:dyDescent="0.2">
      <c r="DZ831" s="5">
        <v>45901</v>
      </c>
      <c r="EA831" s="13" t="s">
        <v>1252</v>
      </c>
      <c r="EB831" s="13" t="s">
        <v>2326</v>
      </c>
      <c r="EC831" s="13" t="s">
        <v>1224</v>
      </c>
      <c r="ED831" s="11">
        <v>12605.05</v>
      </c>
      <c r="EE831" s="11"/>
    </row>
    <row r="832" spans="130:135" x14ac:dyDescent="0.2">
      <c r="DZ832" s="5">
        <v>45901</v>
      </c>
      <c r="EA832" s="13" t="s">
        <v>1252</v>
      </c>
      <c r="EB832" s="13" t="s">
        <v>2251</v>
      </c>
      <c r="EC832" s="13" t="s">
        <v>1224</v>
      </c>
      <c r="ED832" s="11">
        <v>0</v>
      </c>
      <c r="EE832" s="11"/>
    </row>
    <row r="833" spans="130:135" x14ac:dyDescent="0.2">
      <c r="DZ833" s="5">
        <v>45901</v>
      </c>
      <c r="EA833" s="13" t="s">
        <v>1252</v>
      </c>
      <c r="EB833" s="13" t="s">
        <v>2265</v>
      </c>
      <c r="EC833" s="13" t="s">
        <v>1224</v>
      </c>
      <c r="ED833" s="11">
        <v>0</v>
      </c>
      <c r="EE833" s="11"/>
    </row>
    <row r="834" spans="130:135" x14ac:dyDescent="0.2">
      <c r="DZ834" s="5">
        <v>45901</v>
      </c>
      <c r="EA834" s="13" t="s">
        <v>1252</v>
      </c>
      <c r="EB834" s="13" t="s">
        <v>2327</v>
      </c>
      <c r="EC834" s="13" t="s">
        <v>1224</v>
      </c>
      <c r="ED834" s="11">
        <v>25210.09</v>
      </c>
      <c r="EE834" s="11"/>
    </row>
    <row r="835" spans="130:135" x14ac:dyDescent="0.2">
      <c r="DZ835" s="5">
        <v>45901</v>
      </c>
      <c r="EA835" s="13" t="s">
        <v>1252</v>
      </c>
      <c r="EB835" s="13" t="s">
        <v>2236</v>
      </c>
      <c r="EC835" s="13" t="s">
        <v>1224</v>
      </c>
      <c r="ED835" s="11">
        <v>0</v>
      </c>
      <c r="EE835" s="11"/>
    </row>
    <row r="836" spans="130:135" x14ac:dyDescent="0.2">
      <c r="DZ836" s="5">
        <v>45901</v>
      </c>
      <c r="EA836" s="13" t="s">
        <v>1252</v>
      </c>
      <c r="EB836" s="13" t="s">
        <v>2231</v>
      </c>
      <c r="EC836" s="13" t="s">
        <v>1224</v>
      </c>
      <c r="ED836" s="11">
        <v>0</v>
      </c>
      <c r="EE836" s="11"/>
    </row>
    <row r="837" spans="130:135" x14ac:dyDescent="0.2">
      <c r="DZ837" s="5">
        <v>45901</v>
      </c>
      <c r="EA837" s="13" t="s">
        <v>1252</v>
      </c>
      <c r="EB837" s="13" t="s">
        <v>2273</v>
      </c>
      <c r="EC837" s="13" t="s">
        <v>1224</v>
      </c>
      <c r="ED837" s="11">
        <v>0</v>
      </c>
      <c r="EE837" s="11"/>
    </row>
    <row r="838" spans="130:135" x14ac:dyDescent="0.2">
      <c r="DZ838" s="5">
        <v>45901</v>
      </c>
      <c r="EA838" s="13" t="s">
        <v>1252</v>
      </c>
      <c r="EB838" s="13" t="s">
        <v>2299</v>
      </c>
      <c r="EC838" s="13" t="s">
        <v>1224</v>
      </c>
      <c r="ED838" s="11">
        <v>0</v>
      </c>
      <c r="EE838" s="11"/>
    </row>
    <row r="839" spans="130:135" x14ac:dyDescent="0.2">
      <c r="DZ839" s="5">
        <v>45901</v>
      </c>
      <c r="EA839" s="13" t="s">
        <v>1252</v>
      </c>
      <c r="EB839" s="13" t="s">
        <v>2275</v>
      </c>
      <c r="EC839" s="13" t="s">
        <v>1224</v>
      </c>
      <c r="ED839" s="11">
        <v>0</v>
      </c>
      <c r="EE839" s="11"/>
    </row>
    <row r="840" spans="130:135" x14ac:dyDescent="0.2">
      <c r="DZ840" s="5">
        <v>45901</v>
      </c>
      <c r="EA840" s="13" t="s">
        <v>1252</v>
      </c>
      <c r="EB840" s="13" t="s">
        <v>2224</v>
      </c>
      <c r="EC840" s="13" t="s">
        <v>1224</v>
      </c>
      <c r="ED840" s="11">
        <v>0</v>
      </c>
      <c r="EE840" s="11"/>
    </row>
    <row r="841" spans="130:135" x14ac:dyDescent="0.2">
      <c r="DZ841" s="5">
        <v>45901</v>
      </c>
      <c r="EA841" s="13" t="s">
        <v>1252</v>
      </c>
      <c r="EB841" s="13" t="s">
        <v>2222</v>
      </c>
      <c r="EC841" s="13" t="s">
        <v>1224</v>
      </c>
      <c r="ED841" s="11">
        <v>0</v>
      </c>
      <c r="EE841" s="11"/>
    </row>
    <row r="842" spans="130:135" x14ac:dyDescent="0.2">
      <c r="DZ842" s="5">
        <v>45901</v>
      </c>
      <c r="EA842" s="13" t="s">
        <v>1252</v>
      </c>
      <c r="EB842" s="13" t="s">
        <v>2312</v>
      </c>
      <c r="EC842" s="13" t="s">
        <v>1224</v>
      </c>
      <c r="ED842" s="11">
        <v>0</v>
      </c>
      <c r="EE842" s="11"/>
    </row>
    <row r="843" spans="130:135" x14ac:dyDescent="0.2">
      <c r="DZ843" s="5">
        <v>45901</v>
      </c>
      <c r="EA843" s="13" t="s">
        <v>1252</v>
      </c>
      <c r="EB843" s="13" t="s">
        <v>2311</v>
      </c>
      <c r="EC843" s="13" t="s">
        <v>1224</v>
      </c>
      <c r="ED843" s="11">
        <v>0</v>
      </c>
      <c r="EE843" s="11"/>
    </row>
    <row r="844" spans="130:135" x14ac:dyDescent="0.2">
      <c r="DZ844" s="5">
        <v>45901</v>
      </c>
      <c r="EA844" s="13" t="s">
        <v>1252</v>
      </c>
      <c r="EB844" s="13" t="s">
        <v>2229</v>
      </c>
      <c r="EC844" s="13" t="s">
        <v>1224</v>
      </c>
      <c r="ED844" s="11">
        <v>0</v>
      </c>
      <c r="EE844" s="11"/>
    </row>
    <row r="845" spans="130:135" x14ac:dyDescent="0.2">
      <c r="DZ845" s="5">
        <v>45901</v>
      </c>
      <c r="EA845" s="13" t="s">
        <v>1252</v>
      </c>
      <c r="EB845" s="13" t="s">
        <v>2217</v>
      </c>
      <c r="EC845" s="13" t="s">
        <v>1224</v>
      </c>
      <c r="ED845" s="11">
        <v>0</v>
      </c>
      <c r="EE845" s="11"/>
    </row>
    <row r="846" spans="130:135" x14ac:dyDescent="0.2">
      <c r="DZ846" s="5">
        <v>45901</v>
      </c>
      <c r="EA846" s="13" t="s">
        <v>1252</v>
      </c>
      <c r="EB846" s="13" t="s">
        <v>2268</v>
      </c>
      <c r="EC846" s="13" t="s">
        <v>1224</v>
      </c>
      <c r="ED846" s="11">
        <v>0</v>
      </c>
      <c r="EE846" s="11"/>
    </row>
    <row r="847" spans="130:135" x14ac:dyDescent="0.2">
      <c r="DZ847" s="5">
        <v>45901</v>
      </c>
      <c r="EA847" s="13" t="s">
        <v>1252</v>
      </c>
      <c r="EB847" s="13" t="s">
        <v>2233</v>
      </c>
      <c r="EC847" s="13" t="s">
        <v>1224</v>
      </c>
      <c r="ED847" s="11">
        <v>0</v>
      </c>
      <c r="EE847" s="11"/>
    </row>
    <row r="848" spans="130:135" x14ac:dyDescent="0.2">
      <c r="DZ848" s="5">
        <v>45901</v>
      </c>
      <c r="EA848" s="13" t="s">
        <v>1252</v>
      </c>
      <c r="EB848" s="13" t="s">
        <v>2289</v>
      </c>
      <c r="EC848" s="13" t="s">
        <v>1224</v>
      </c>
      <c r="ED848" s="11">
        <v>0</v>
      </c>
      <c r="EE848" s="11"/>
    </row>
    <row r="849" spans="130:135" x14ac:dyDescent="0.2">
      <c r="DZ849" s="5">
        <v>45901</v>
      </c>
      <c r="EA849" s="13" t="s">
        <v>1252</v>
      </c>
      <c r="EB849" s="13" t="s">
        <v>2259</v>
      </c>
      <c r="EC849" s="13" t="s">
        <v>1224</v>
      </c>
      <c r="ED849" s="11">
        <v>0</v>
      </c>
      <c r="EE849" s="11"/>
    </row>
    <row r="850" spans="130:135" x14ac:dyDescent="0.2">
      <c r="DZ850" s="5">
        <v>45901</v>
      </c>
      <c r="EA850" s="13" t="s">
        <v>1252</v>
      </c>
      <c r="EB850" s="13" t="s">
        <v>2271</v>
      </c>
      <c r="EC850" s="13" t="s">
        <v>1224</v>
      </c>
      <c r="ED850" s="11">
        <v>0</v>
      </c>
      <c r="EE850" s="11"/>
    </row>
    <row r="851" spans="130:135" x14ac:dyDescent="0.2">
      <c r="DZ851" s="5">
        <v>45901</v>
      </c>
      <c r="EA851" s="13" t="s">
        <v>1252</v>
      </c>
      <c r="EB851" s="13" t="s">
        <v>2309</v>
      </c>
      <c r="EC851" s="13" t="s">
        <v>1224</v>
      </c>
      <c r="ED851" s="11">
        <v>0</v>
      </c>
      <c r="EE851" s="11"/>
    </row>
    <row r="852" spans="130:135" x14ac:dyDescent="0.2">
      <c r="DZ852" s="5">
        <v>45901</v>
      </c>
      <c r="EA852" s="13" t="s">
        <v>1252</v>
      </c>
      <c r="EB852" s="13" t="s">
        <v>2249</v>
      </c>
      <c r="EC852" s="13" t="s">
        <v>1224</v>
      </c>
      <c r="ED852" s="11">
        <v>0</v>
      </c>
      <c r="EE852" s="11"/>
    </row>
    <row r="853" spans="130:135" x14ac:dyDescent="0.2">
      <c r="DZ853" s="5">
        <v>45901</v>
      </c>
      <c r="EA853" s="13" t="s">
        <v>1252</v>
      </c>
      <c r="EB853" s="13" t="s">
        <v>2246</v>
      </c>
      <c r="EC853" s="13" t="s">
        <v>1224</v>
      </c>
      <c r="ED853" s="11">
        <v>0</v>
      </c>
      <c r="EE853" s="11"/>
    </row>
    <row r="854" spans="130:135" x14ac:dyDescent="0.2">
      <c r="DZ854" s="5">
        <v>45901</v>
      </c>
      <c r="EA854" s="13" t="s">
        <v>1252</v>
      </c>
      <c r="EB854" s="13" t="s">
        <v>2235</v>
      </c>
      <c r="EC854" s="13" t="s">
        <v>1224</v>
      </c>
      <c r="ED854" s="11">
        <v>0</v>
      </c>
      <c r="EE854" s="11"/>
    </row>
    <row r="855" spans="130:135" x14ac:dyDescent="0.2">
      <c r="DZ855" s="5">
        <v>45901</v>
      </c>
      <c r="EA855" s="13" t="s">
        <v>1252</v>
      </c>
      <c r="EB855" s="13" t="s">
        <v>2254</v>
      </c>
      <c r="EC855" s="13" t="s">
        <v>1224</v>
      </c>
      <c r="ED855" s="11">
        <v>0</v>
      </c>
      <c r="EE855" s="11"/>
    </row>
    <row r="856" spans="130:135" x14ac:dyDescent="0.2">
      <c r="DZ856" s="5">
        <v>45901</v>
      </c>
      <c r="EA856" s="13" t="s">
        <v>1252</v>
      </c>
      <c r="EB856" s="13" t="s">
        <v>2250</v>
      </c>
      <c r="EC856" s="13" t="s">
        <v>1224</v>
      </c>
      <c r="ED856" s="11">
        <v>0</v>
      </c>
      <c r="EE856" s="11"/>
    </row>
    <row r="857" spans="130:135" x14ac:dyDescent="0.2">
      <c r="DZ857" s="5">
        <v>45901</v>
      </c>
      <c r="EA857" s="13" t="s">
        <v>1252</v>
      </c>
      <c r="EB857" s="13" t="s">
        <v>2291</v>
      </c>
      <c r="EC857" s="13" t="s">
        <v>1224</v>
      </c>
      <c r="ED857" s="11">
        <v>0</v>
      </c>
      <c r="EE857" s="11"/>
    </row>
    <row r="858" spans="130:135" x14ac:dyDescent="0.2">
      <c r="DZ858" s="5">
        <v>45901</v>
      </c>
      <c r="EA858" s="13" t="s">
        <v>1252</v>
      </c>
      <c r="EB858" s="13" t="s">
        <v>2270</v>
      </c>
      <c r="EC858" s="13" t="s">
        <v>1224</v>
      </c>
      <c r="ED858" s="11">
        <v>0</v>
      </c>
      <c r="EE858" s="11"/>
    </row>
    <row r="859" spans="130:135" x14ac:dyDescent="0.2">
      <c r="DZ859" s="5">
        <v>45901</v>
      </c>
      <c r="EA859" s="13" t="s">
        <v>1252</v>
      </c>
      <c r="EB859" s="13" t="s">
        <v>2328</v>
      </c>
      <c r="EC859" s="13" t="s">
        <v>1224</v>
      </c>
      <c r="ED859" s="11">
        <v>12605.04</v>
      </c>
      <c r="EE859" s="11"/>
    </row>
    <row r="860" spans="130:135" x14ac:dyDescent="0.2">
      <c r="DZ860" s="5">
        <v>45901</v>
      </c>
      <c r="EA860" s="13" t="s">
        <v>1252</v>
      </c>
      <c r="EB860" s="13" t="s">
        <v>2257</v>
      </c>
      <c r="EC860" s="13" t="s">
        <v>1224</v>
      </c>
      <c r="ED860" s="11">
        <v>0</v>
      </c>
      <c r="EE860" s="11"/>
    </row>
    <row r="861" spans="130:135" x14ac:dyDescent="0.2">
      <c r="DZ861" s="5">
        <v>45901</v>
      </c>
      <c r="EA861" s="13" t="s">
        <v>1252</v>
      </c>
      <c r="EB861" s="13" t="s">
        <v>2263</v>
      </c>
      <c r="EC861" s="13" t="s">
        <v>1224</v>
      </c>
      <c r="ED861" s="11">
        <v>0</v>
      </c>
      <c r="EE861" s="11"/>
    </row>
    <row r="862" spans="130:135" x14ac:dyDescent="0.2">
      <c r="DZ862" s="5">
        <v>45901</v>
      </c>
      <c r="EA862" s="13" t="s">
        <v>1252</v>
      </c>
      <c r="EB862" s="13" t="s">
        <v>2238</v>
      </c>
      <c r="EC862" s="13" t="s">
        <v>1224</v>
      </c>
      <c r="ED862" s="11">
        <v>0</v>
      </c>
      <c r="EE862" s="11"/>
    </row>
    <row r="863" spans="130:135" x14ac:dyDescent="0.2">
      <c r="DZ863" s="5">
        <v>45901</v>
      </c>
      <c r="EA863" s="13" t="s">
        <v>1252</v>
      </c>
      <c r="EB863" s="13" t="s">
        <v>2297</v>
      </c>
      <c r="EC863" s="13" t="s">
        <v>1224</v>
      </c>
      <c r="ED863" s="11">
        <v>0</v>
      </c>
      <c r="EE863" s="11"/>
    </row>
    <row r="864" spans="130:135" x14ac:dyDescent="0.2">
      <c r="DZ864" s="5">
        <v>45901</v>
      </c>
      <c r="EA864" s="13" t="s">
        <v>1252</v>
      </c>
      <c r="EB864" s="13" t="s">
        <v>2232</v>
      </c>
      <c r="EC864" s="13" t="s">
        <v>1224</v>
      </c>
      <c r="ED864" s="11">
        <v>0</v>
      </c>
      <c r="EE864" s="11"/>
    </row>
    <row r="865" spans="130:135" x14ac:dyDescent="0.2">
      <c r="DZ865" s="5">
        <v>45901</v>
      </c>
      <c r="EA865" s="13" t="s">
        <v>1252</v>
      </c>
      <c r="EB865" s="13" t="s">
        <v>2266</v>
      </c>
      <c r="EC865" s="13" t="s">
        <v>1224</v>
      </c>
      <c r="ED865" s="11">
        <v>0</v>
      </c>
      <c r="EE865" s="11"/>
    </row>
    <row r="866" spans="130:135" x14ac:dyDescent="0.2">
      <c r="DZ866" s="5">
        <v>45901</v>
      </c>
      <c r="EA866" s="13" t="s">
        <v>1252</v>
      </c>
      <c r="EB866" s="13" t="s">
        <v>2219</v>
      </c>
      <c r="EC866" s="13" t="s">
        <v>1224</v>
      </c>
      <c r="ED866" s="11">
        <v>0</v>
      </c>
      <c r="EE866" s="11"/>
    </row>
    <row r="867" spans="130:135" x14ac:dyDescent="0.2">
      <c r="DZ867" s="5">
        <v>45901</v>
      </c>
      <c r="EA867" s="13" t="s">
        <v>1252</v>
      </c>
      <c r="EB867" s="13" t="s">
        <v>2329</v>
      </c>
      <c r="EC867" s="13" t="s">
        <v>1224</v>
      </c>
      <c r="ED867" s="11">
        <v>29411.759999999998</v>
      </c>
      <c r="EE867" s="11"/>
    </row>
    <row r="868" spans="130:135" x14ac:dyDescent="0.2">
      <c r="DZ868" s="5">
        <v>45901</v>
      </c>
      <c r="EA868" s="13" t="s">
        <v>1252</v>
      </c>
      <c r="EB868" s="13" t="s">
        <v>2330</v>
      </c>
      <c r="EC868" s="13" t="s">
        <v>1224</v>
      </c>
      <c r="ED868" s="11">
        <v>25210.080000000002</v>
      </c>
      <c r="EE868" s="11"/>
    </row>
    <row r="869" spans="130:135" x14ac:dyDescent="0.2">
      <c r="DZ869" s="5">
        <v>45901</v>
      </c>
      <c r="EA869" s="13" t="s">
        <v>1252</v>
      </c>
      <c r="EB869" s="13" t="s">
        <v>2253</v>
      </c>
      <c r="EC869" s="13" t="s">
        <v>1224</v>
      </c>
      <c r="ED869" s="11">
        <v>0</v>
      </c>
      <c r="EE869" s="11"/>
    </row>
    <row r="870" spans="130:135" x14ac:dyDescent="0.2">
      <c r="DZ870" s="5">
        <v>45901</v>
      </c>
      <c r="EA870" s="13" t="s">
        <v>1252</v>
      </c>
      <c r="EB870" s="13" t="s">
        <v>2331</v>
      </c>
      <c r="EC870" s="13" t="s">
        <v>1224</v>
      </c>
      <c r="ED870" s="11">
        <v>33613.440000000002</v>
      </c>
      <c r="EE870" s="11"/>
    </row>
    <row r="871" spans="130:135" x14ac:dyDescent="0.2">
      <c r="DZ871" s="5">
        <v>45901</v>
      </c>
      <c r="EA871" s="13" t="s">
        <v>1252</v>
      </c>
      <c r="EB871" s="13" t="s">
        <v>2244</v>
      </c>
      <c r="EC871" s="13" t="s">
        <v>1224</v>
      </c>
      <c r="ED871" s="11">
        <v>0</v>
      </c>
      <c r="EE871" s="11"/>
    </row>
    <row r="872" spans="130:135" x14ac:dyDescent="0.2">
      <c r="DZ872" s="5">
        <v>45901</v>
      </c>
      <c r="EA872" s="13" t="s">
        <v>1252</v>
      </c>
      <c r="EB872" s="13" t="s">
        <v>2237</v>
      </c>
      <c r="EC872" s="13" t="s">
        <v>1224</v>
      </c>
      <c r="ED872" s="11">
        <v>0</v>
      </c>
      <c r="EE872" s="11"/>
    </row>
    <row r="873" spans="130:135" x14ac:dyDescent="0.2">
      <c r="DZ873" s="5">
        <v>45901</v>
      </c>
      <c r="EA873" s="13" t="s">
        <v>1252</v>
      </c>
      <c r="EB873" s="13" t="s">
        <v>2216</v>
      </c>
      <c r="EC873" s="13" t="s">
        <v>1224</v>
      </c>
      <c r="ED873" s="11">
        <v>0</v>
      </c>
      <c r="EE873" s="11"/>
    </row>
    <row r="874" spans="130:135" x14ac:dyDescent="0.2">
      <c r="DZ874" s="5">
        <v>45901</v>
      </c>
      <c r="EA874" s="13" t="s">
        <v>1252</v>
      </c>
      <c r="EB874" s="13" t="s">
        <v>2248</v>
      </c>
      <c r="EC874" s="13" t="s">
        <v>1224</v>
      </c>
      <c r="ED874" s="11">
        <v>0</v>
      </c>
      <c r="EE874" s="11"/>
    </row>
    <row r="875" spans="130:135" x14ac:dyDescent="0.2">
      <c r="DZ875" s="5">
        <v>45901</v>
      </c>
      <c r="EA875" s="13" t="s">
        <v>1252</v>
      </c>
      <c r="EB875" s="13" t="s">
        <v>2242</v>
      </c>
      <c r="EC875" s="13" t="s">
        <v>1224</v>
      </c>
      <c r="ED875" s="11">
        <v>0</v>
      </c>
      <c r="EE875" s="11"/>
    </row>
    <row r="876" spans="130:135" x14ac:dyDescent="0.2">
      <c r="DZ876" s="5">
        <v>45901</v>
      </c>
      <c r="EA876" s="13" t="s">
        <v>1252</v>
      </c>
      <c r="EB876" s="13" t="s">
        <v>2220</v>
      </c>
      <c r="EC876" s="13" t="s">
        <v>1224</v>
      </c>
      <c r="ED876" s="11">
        <v>0</v>
      </c>
      <c r="EE876" s="11"/>
    </row>
    <row r="877" spans="130:135" x14ac:dyDescent="0.2">
      <c r="DZ877" s="5">
        <v>45901</v>
      </c>
      <c r="EA877" s="13" t="s">
        <v>1252</v>
      </c>
      <c r="EB877" s="13" t="s">
        <v>2274</v>
      </c>
      <c r="EC877" s="13" t="s">
        <v>1224</v>
      </c>
      <c r="ED877" s="11">
        <v>0</v>
      </c>
      <c r="EE877" s="11"/>
    </row>
    <row r="878" spans="130:135" x14ac:dyDescent="0.2">
      <c r="DZ878" s="5">
        <v>45901</v>
      </c>
      <c r="EA878" s="13" t="s">
        <v>1252</v>
      </c>
      <c r="EB878" s="13" t="s">
        <v>2260</v>
      </c>
      <c r="EC878" s="13" t="s">
        <v>1224</v>
      </c>
      <c r="ED878" s="11">
        <v>0</v>
      </c>
      <c r="EE878" s="11"/>
    </row>
    <row r="879" spans="130:135" x14ac:dyDescent="0.2">
      <c r="DZ879" s="5">
        <v>45901</v>
      </c>
      <c r="EA879" s="13" t="s">
        <v>1252</v>
      </c>
      <c r="EB879" s="13" t="s">
        <v>2221</v>
      </c>
      <c r="EC879" s="13" t="s">
        <v>1224</v>
      </c>
      <c r="ED879" s="11">
        <v>0</v>
      </c>
      <c r="EE879" s="11"/>
    </row>
    <row r="880" spans="130:135" x14ac:dyDescent="0.2">
      <c r="DZ880" s="5">
        <v>45901</v>
      </c>
      <c r="EA880" s="13" t="s">
        <v>1252</v>
      </c>
      <c r="EB880" s="13" t="s">
        <v>2261</v>
      </c>
      <c r="EC880" s="13" t="s">
        <v>1224</v>
      </c>
      <c r="ED880" s="11">
        <v>0</v>
      </c>
      <c r="EE880" s="11"/>
    </row>
    <row r="881" spans="130:135" x14ac:dyDescent="0.2">
      <c r="DZ881" s="5">
        <v>45901</v>
      </c>
      <c r="EA881" s="13" t="s">
        <v>1252</v>
      </c>
      <c r="EB881" s="13" t="s">
        <v>2298</v>
      </c>
      <c r="EC881" s="13" t="s">
        <v>1224</v>
      </c>
      <c r="ED881" s="11">
        <v>0</v>
      </c>
      <c r="EE881" s="11"/>
    </row>
    <row r="882" spans="130:135" x14ac:dyDescent="0.2">
      <c r="DZ882" s="5">
        <v>45901</v>
      </c>
      <c r="EA882" s="13" t="s">
        <v>1252</v>
      </c>
      <c r="EB882" s="13" t="s">
        <v>2272</v>
      </c>
      <c r="EC882" s="13" t="s">
        <v>1224</v>
      </c>
      <c r="ED882" s="11">
        <v>0</v>
      </c>
      <c r="EE882" s="11"/>
    </row>
    <row r="883" spans="130:135" x14ac:dyDescent="0.2">
      <c r="DZ883" s="5">
        <v>45901</v>
      </c>
      <c r="EA883" s="13" t="s">
        <v>1252</v>
      </c>
      <c r="EB883" s="13" t="s">
        <v>2255</v>
      </c>
      <c r="EC883" s="13" t="s">
        <v>1224</v>
      </c>
      <c r="ED883" s="11">
        <v>0</v>
      </c>
      <c r="EE883" s="11"/>
    </row>
    <row r="884" spans="130:135" x14ac:dyDescent="0.2">
      <c r="DZ884" s="5">
        <v>45901</v>
      </c>
      <c r="EA884" s="13" t="s">
        <v>1252</v>
      </c>
      <c r="EB884" s="13" t="s">
        <v>2307</v>
      </c>
      <c r="EC884" s="13" t="s">
        <v>1224</v>
      </c>
      <c r="ED884" s="11">
        <v>0</v>
      </c>
      <c r="EE884" s="11"/>
    </row>
    <row r="885" spans="130:135" x14ac:dyDescent="0.2">
      <c r="DZ885" s="5">
        <v>45901</v>
      </c>
      <c r="EA885" s="13" t="s">
        <v>1252</v>
      </c>
      <c r="EB885" s="13" t="s">
        <v>2306</v>
      </c>
      <c r="EC885" s="13" t="s">
        <v>1224</v>
      </c>
      <c r="ED885" s="11">
        <v>0</v>
      </c>
      <c r="EE885" s="11"/>
    </row>
    <row r="886" spans="130:135" x14ac:dyDescent="0.2">
      <c r="DZ886" s="5">
        <v>45901</v>
      </c>
      <c r="EA886" s="13" t="s">
        <v>1252</v>
      </c>
      <c r="EB886" s="13" t="s">
        <v>2308</v>
      </c>
      <c r="EC886" s="13" t="s">
        <v>1224</v>
      </c>
      <c r="ED886" s="11">
        <v>0</v>
      </c>
      <c r="EE886" s="11"/>
    </row>
    <row r="887" spans="130:135" x14ac:dyDescent="0.2">
      <c r="DZ887" s="5">
        <v>45901</v>
      </c>
      <c r="EA887" s="13" t="s">
        <v>1252</v>
      </c>
      <c r="EB887" s="13" t="s">
        <v>2290</v>
      </c>
      <c r="EC887" s="13" t="s">
        <v>1224</v>
      </c>
      <c r="ED887" s="11">
        <v>0</v>
      </c>
      <c r="EE887" s="11"/>
    </row>
    <row r="888" spans="130:135" x14ac:dyDescent="0.2">
      <c r="DZ888" s="5">
        <v>45901</v>
      </c>
      <c r="EA888" s="13" t="s">
        <v>1252</v>
      </c>
      <c r="EB888" s="13" t="s">
        <v>2218</v>
      </c>
      <c r="EC888" s="13" t="s">
        <v>1224</v>
      </c>
      <c r="ED888" s="11">
        <v>0</v>
      </c>
      <c r="EE888" s="11"/>
    </row>
    <row r="889" spans="130:135" x14ac:dyDescent="0.2">
      <c r="DZ889" s="5">
        <v>45901</v>
      </c>
      <c r="EA889" s="13" t="s">
        <v>1252</v>
      </c>
      <c r="EB889" s="13" t="s">
        <v>2332</v>
      </c>
      <c r="EC889" s="13" t="s">
        <v>1224</v>
      </c>
      <c r="ED889" s="11">
        <v>10084.030000000001</v>
      </c>
      <c r="EE889" s="11"/>
    </row>
    <row r="890" spans="130:135" x14ac:dyDescent="0.2">
      <c r="DZ890" s="5">
        <v>45901</v>
      </c>
      <c r="EA890" s="13" t="s">
        <v>1252</v>
      </c>
      <c r="EB890" s="13" t="s">
        <v>2264</v>
      </c>
      <c r="EC890" s="13" t="s">
        <v>1224</v>
      </c>
      <c r="ED890" s="11">
        <v>0</v>
      </c>
      <c r="EE890" s="11"/>
    </row>
    <row r="891" spans="130:135" x14ac:dyDescent="0.2">
      <c r="DZ891" s="5">
        <v>45901</v>
      </c>
      <c r="EA891" s="13" t="s">
        <v>1252</v>
      </c>
      <c r="EB891" s="13" t="s">
        <v>2245</v>
      </c>
      <c r="EC891" s="13" t="s">
        <v>1224</v>
      </c>
      <c r="ED891" s="11">
        <v>0</v>
      </c>
      <c r="EE891" s="11"/>
    </row>
    <row r="892" spans="130:135" x14ac:dyDescent="0.2">
      <c r="DZ892" s="5">
        <v>45901</v>
      </c>
      <c r="EA892" s="13" t="s">
        <v>1252</v>
      </c>
      <c r="EB892" s="13" t="s">
        <v>2225</v>
      </c>
      <c r="EC892" s="13" t="s">
        <v>1224</v>
      </c>
      <c r="ED892" s="11">
        <v>0</v>
      </c>
      <c r="EE892" s="11"/>
    </row>
    <row r="893" spans="130:135" x14ac:dyDescent="0.2">
      <c r="DZ893" s="5">
        <v>45901</v>
      </c>
      <c r="EA893" s="13" t="s">
        <v>1252</v>
      </c>
      <c r="EB893" s="13" t="s">
        <v>2228</v>
      </c>
      <c r="EC893" s="13" t="s">
        <v>1224</v>
      </c>
      <c r="ED893" s="11">
        <v>0</v>
      </c>
      <c r="EE893" s="11"/>
    </row>
    <row r="894" spans="130:135" x14ac:dyDescent="0.2">
      <c r="DZ894" s="5">
        <v>45901</v>
      </c>
      <c r="EA894" s="13" t="s">
        <v>1252</v>
      </c>
      <c r="EB894" s="13" t="s">
        <v>2333</v>
      </c>
      <c r="EC894" s="13" t="s">
        <v>1224</v>
      </c>
      <c r="ED894" s="11">
        <v>15546.22</v>
      </c>
      <c r="EE894" s="11"/>
    </row>
    <row r="895" spans="130:135" x14ac:dyDescent="0.2">
      <c r="DZ895" s="5">
        <v>45901</v>
      </c>
      <c r="EA895" s="13" t="s">
        <v>1252</v>
      </c>
      <c r="EB895" s="13" t="s">
        <v>1403</v>
      </c>
      <c r="EC895" s="13" t="s">
        <v>1224</v>
      </c>
      <c r="ED895" s="11">
        <v>129831.93000000002</v>
      </c>
      <c r="EE895" s="11"/>
    </row>
    <row r="896" spans="130:135" x14ac:dyDescent="0.2">
      <c r="DZ896" s="5">
        <v>45901</v>
      </c>
      <c r="EA896" s="13" t="s">
        <v>1250</v>
      </c>
      <c r="EB896" s="13" t="s">
        <v>1393</v>
      </c>
      <c r="EC896" s="13" t="s">
        <v>1168</v>
      </c>
      <c r="ED896" s="11">
        <v>0</v>
      </c>
      <c r="EE896" s="11"/>
    </row>
    <row r="897" spans="130:135" x14ac:dyDescent="0.2">
      <c r="DZ897" s="5">
        <v>45901</v>
      </c>
      <c r="EA897" s="13" t="s">
        <v>1250</v>
      </c>
      <c r="EB897" s="13" t="s">
        <v>2276</v>
      </c>
      <c r="EC897" s="13" t="s">
        <v>1168</v>
      </c>
      <c r="ED897" s="11">
        <v>0</v>
      </c>
      <c r="EE897" s="11"/>
    </row>
    <row r="898" spans="130:135" x14ac:dyDescent="0.2">
      <c r="DZ898" s="5">
        <v>45901</v>
      </c>
      <c r="EA898" s="13" t="s">
        <v>1250</v>
      </c>
      <c r="EB898" s="13" t="s">
        <v>1363</v>
      </c>
      <c r="EC898" s="13" t="s">
        <v>1168</v>
      </c>
      <c r="ED898" s="11">
        <v>48740</v>
      </c>
      <c r="EE898" s="11"/>
    </row>
    <row r="899" spans="130:135" x14ac:dyDescent="0.2">
      <c r="DZ899" s="5">
        <v>45901</v>
      </c>
      <c r="EA899" s="13" t="s">
        <v>1250</v>
      </c>
      <c r="EB899" s="13" t="s">
        <v>2334</v>
      </c>
      <c r="EC899" s="13" t="s">
        <v>1168</v>
      </c>
      <c r="ED899" s="11">
        <v>204326</v>
      </c>
      <c r="EE899" s="11"/>
    </row>
    <row r="900" spans="130:135" x14ac:dyDescent="0.2">
      <c r="DZ900" s="5">
        <v>45901</v>
      </c>
      <c r="EA900" s="13" t="s">
        <v>1250</v>
      </c>
      <c r="EB900" s="13" t="s">
        <v>2301</v>
      </c>
      <c r="EC900" s="13" t="s">
        <v>1168</v>
      </c>
      <c r="ED900" s="11">
        <v>0</v>
      </c>
      <c r="EE900" s="11"/>
    </row>
    <row r="901" spans="130:135" x14ac:dyDescent="0.2">
      <c r="DZ901" s="5">
        <v>45901</v>
      </c>
      <c r="EA901" s="13" t="s">
        <v>1250</v>
      </c>
      <c r="EB901" s="13" t="s">
        <v>2312</v>
      </c>
      <c r="EC901" s="13" t="s">
        <v>1168</v>
      </c>
      <c r="ED901" s="11">
        <v>0</v>
      </c>
      <c r="EE901" s="11"/>
    </row>
    <row r="902" spans="130:135" x14ac:dyDescent="0.2">
      <c r="DZ902" s="5">
        <v>45901</v>
      </c>
      <c r="EA902" s="13" t="s">
        <v>1252</v>
      </c>
      <c r="EB902" s="13" t="s">
        <v>1371</v>
      </c>
      <c r="EC902" s="13" t="s">
        <v>1226</v>
      </c>
      <c r="ED902" s="11">
        <v>131474</v>
      </c>
      <c r="EE902" s="11"/>
    </row>
    <row r="903" spans="130:135" x14ac:dyDescent="0.2">
      <c r="DZ903" s="5">
        <v>45901</v>
      </c>
      <c r="EA903" s="13" t="s">
        <v>1252</v>
      </c>
      <c r="EB903" s="13" t="s">
        <v>1355</v>
      </c>
      <c r="EC903" s="13" t="s">
        <v>1226</v>
      </c>
      <c r="ED903" s="11">
        <v>370950</v>
      </c>
      <c r="EE903" s="11"/>
    </row>
    <row r="904" spans="130:135" x14ac:dyDescent="0.2">
      <c r="DZ904" s="5">
        <v>45901</v>
      </c>
      <c r="EA904" s="13" t="s">
        <v>1252</v>
      </c>
      <c r="EB904" s="13" t="s">
        <v>1371</v>
      </c>
      <c r="EC904" s="13" t="s">
        <v>1219</v>
      </c>
      <c r="ED904" s="11">
        <v>90190</v>
      </c>
      <c r="EE904" s="11"/>
    </row>
    <row r="905" spans="130:135" x14ac:dyDescent="0.2">
      <c r="DZ905" s="5">
        <v>45901</v>
      </c>
      <c r="EA905" s="13" t="s">
        <v>1250</v>
      </c>
      <c r="EB905" s="13" t="s">
        <v>1366</v>
      </c>
      <c r="EC905" s="13" t="s">
        <v>1136</v>
      </c>
      <c r="ED905" s="11">
        <v>1000000</v>
      </c>
      <c r="EE905" s="11"/>
    </row>
    <row r="906" spans="130:135" x14ac:dyDescent="0.2">
      <c r="DZ906" s="5">
        <v>45901</v>
      </c>
      <c r="EA906" s="13" t="s">
        <v>1251</v>
      </c>
      <c r="EB906" s="13" t="s">
        <v>2305</v>
      </c>
      <c r="EC906" s="13" t="s">
        <v>1179</v>
      </c>
      <c r="ED906" s="11">
        <v>489166</v>
      </c>
      <c r="EE906" s="11"/>
    </row>
    <row r="907" spans="130:135" x14ac:dyDescent="0.2">
      <c r="DZ907" s="5">
        <v>45901</v>
      </c>
      <c r="EA907" s="13" t="s">
        <v>1252</v>
      </c>
      <c r="EB907" s="13" t="s">
        <v>2287</v>
      </c>
      <c r="EC907" s="13" t="s">
        <v>1222</v>
      </c>
      <c r="ED907" s="11">
        <v>0</v>
      </c>
      <c r="EE907" s="11"/>
    </row>
    <row r="908" spans="130:135" x14ac:dyDescent="0.2">
      <c r="DZ908" s="5">
        <v>45901</v>
      </c>
      <c r="EA908" s="13" t="s">
        <v>1252</v>
      </c>
      <c r="EB908" s="13" t="s">
        <v>1374</v>
      </c>
      <c r="EC908" s="13" t="s">
        <v>1222</v>
      </c>
      <c r="ED908" s="11">
        <v>0</v>
      </c>
      <c r="EE908" s="11"/>
    </row>
    <row r="909" spans="130:135" x14ac:dyDescent="0.2">
      <c r="DZ909" s="5">
        <v>45901</v>
      </c>
      <c r="EA909" s="13" t="s">
        <v>1252</v>
      </c>
      <c r="EB909" s="13" t="s">
        <v>1375</v>
      </c>
      <c r="EC909" s="13" t="s">
        <v>1222</v>
      </c>
      <c r="ED909" s="11">
        <v>0</v>
      </c>
      <c r="EE909" s="11"/>
    </row>
    <row r="910" spans="130:135" x14ac:dyDescent="0.2">
      <c r="DZ910" s="5">
        <v>45901</v>
      </c>
      <c r="EA910" s="13" t="s">
        <v>1252</v>
      </c>
      <c r="EB910" s="13" t="s">
        <v>1338</v>
      </c>
      <c r="EC910" s="13" t="s">
        <v>1222</v>
      </c>
      <c r="ED910" s="11">
        <v>100</v>
      </c>
      <c r="EE910" s="11"/>
    </row>
    <row r="911" spans="130:135" x14ac:dyDescent="0.2">
      <c r="DZ911" s="5">
        <v>45901</v>
      </c>
      <c r="EA911" s="13" t="s">
        <v>1252</v>
      </c>
      <c r="EB911" s="13" t="s">
        <v>2202</v>
      </c>
      <c r="EC911" s="13" t="s">
        <v>1222</v>
      </c>
      <c r="ED911" s="11">
        <v>0</v>
      </c>
      <c r="EE911" s="11"/>
    </row>
    <row r="912" spans="130:135" x14ac:dyDescent="0.2">
      <c r="DZ912" s="5">
        <v>45901</v>
      </c>
      <c r="EA912" s="13" t="s">
        <v>1252</v>
      </c>
      <c r="EB912" s="13" t="s">
        <v>1340</v>
      </c>
      <c r="EC912" s="13" t="s">
        <v>1222</v>
      </c>
      <c r="ED912" s="11">
        <v>0</v>
      </c>
      <c r="EE912" s="11"/>
    </row>
    <row r="913" spans="130:135" x14ac:dyDescent="0.2">
      <c r="DZ913" s="5">
        <v>45901</v>
      </c>
      <c r="EA913" s="13" t="s">
        <v>1252</v>
      </c>
      <c r="EB913" s="13" t="s">
        <v>1360</v>
      </c>
      <c r="EC913" s="13" t="s">
        <v>1222</v>
      </c>
      <c r="ED913" s="11">
        <v>0</v>
      </c>
      <c r="EE913" s="11"/>
    </row>
    <row r="914" spans="130:135" x14ac:dyDescent="0.2">
      <c r="DZ914" s="5">
        <v>45901</v>
      </c>
      <c r="EA914" s="13" t="s">
        <v>1251</v>
      </c>
      <c r="EB914" s="13" t="s">
        <v>2305</v>
      </c>
      <c r="EC914" s="13" t="s">
        <v>1056</v>
      </c>
      <c r="ED914" s="11">
        <v>4448</v>
      </c>
      <c r="EE914" s="11"/>
    </row>
    <row r="915" spans="130:135" x14ac:dyDescent="0.2">
      <c r="DZ915" s="5">
        <v>45901</v>
      </c>
      <c r="EA915" s="13" t="s">
        <v>1250</v>
      </c>
      <c r="EB915" s="13" t="s">
        <v>1358</v>
      </c>
      <c r="EC915" s="13" t="s">
        <v>1056</v>
      </c>
      <c r="ED915" s="11">
        <v>-17134</v>
      </c>
      <c r="EE915" s="11"/>
    </row>
    <row r="916" spans="130:135" x14ac:dyDescent="0.2">
      <c r="DZ916" s="5">
        <v>45901</v>
      </c>
      <c r="EA916" s="13" t="s">
        <v>1251</v>
      </c>
      <c r="EB916" s="13" t="s">
        <v>2212</v>
      </c>
      <c r="EC916" s="13" t="s">
        <v>1056</v>
      </c>
      <c r="ED916" s="11">
        <v>-26908</v>
      </c>
      <c r="EE916" s="11"/>
    </row>
    <row r="917" spans="130:135" x14ac:dyDescent="0.2">
      <c r="DZ917" s="5">
        <v>45901</v>
      </c>
      <c r="EA917" s="13" t="s">
        <v>1251</v>
      </c>
      <c r="EB917" s="13" t="s">
        <v>2319</v>
      </c>
      <c r="EC917" s="13" t="s">
        <v>1056</v>
      </c>
      <c r="ED917" s="11">
        <v>65</v>
      </c>
      <c r="EE917" s="11"/>
    </row>
    <row r="918" spans="130:135" x14ac:dyDescent="0.2">
      <c r="DZ918" s="5">
        <v>45901</v>
      </c>
      <c r="EA918" s="13" t="s">
        <v>1251</v>
      </c>
      <c r="EB918" s="13" t="s">
        <v>2206</v>
      </c>
      <c r="EC918" s="13" t="s">
        <v>1056</v>
      </c>
      <c r="ED918" s="11">
        <v>-31664</v>
      </c>
      <c r="EE918" s="11"/>
    </row>
    <row r="919" spans="130:135" x14ac:dyDescent="0.2">
      <c r="DZ919" s="5">
        <v>45901</v>
      </c>
      <c r="EA919" s="13" t="s">
        <v>1251</v>
      </c>
      <c r="EB919" s="13" t="s">
        <v>1341</v>
      </c>
      <c r="EC919" s="13" t="s">
        <v>1148</v>
      </c>
      <c r="ED919" s="11">
        <v>108713</v>
      </c>
      <c r="EE919" s="11"/>
    </row>
    <row r="920" spans="130:135" x14ac:dyDescent="0.2">
      <c r="DZ920" s="5">
        <v>45901</v>
      </c>
      <c r="EA920" s="13" t="s">
        <v>1251</v>
      </c>
      <c r="EB920" s="13" t="s">
        <v>1409</v>
      </c>
      <c r="EC920" s="13" t="s">
        <v>1148</v>
      </c>
      <c r="ED920" s="11">
        <v>251261</v>
      </c>
      <c r="EE920" s="11"/>
    </row>
    <row r="921" spans="130:135" x14ac:dyDescent="0.2">
      <c r="DZ921" s="5">
        <v>45901</v>
      </c>
      <c r="EA921" s="13" t="s">
        <v>1250</v>
      </c>
      <c r="EB921" s="13" t="s">
        <v>2335</v>
      </c>
      <c r="EC921" s="13" t="s">
        <v>1148</v>
      </c>
      <c r="ED921" s="11">
        <v>1250000</v>
      </c>
      <c r="EE921" s="11"/>
    </row>
    <row r="922" spans="130:135" x14ac:dyDescent="0.2">
      <c r="DZ922" s="5">
        <v>45901</v>
      </c>
      <c r="EA922" s="13" t="s">
        <v>1251</v>
      </c>
      <c r="EB922" s="13" t="s">
        <v>1382</v>
      </c>
      <c r="EC922" s="13" t="s">
        <v>1208</v>
      </c>
      <c r="ED922" s="11">
        <v>300689</v>
      </c>
      <c r="EE922" s="11"/>
    </row>
    <row r="923" spans="130:135" x14ac:dyDescent="0.2">
      <c r="DZ923" s="5">
        <v>45901</v>
      </c>
      <c r="EA923" s="13" t="s">
        <v>1251</v>
      </c>
      <c r="EB923" s="13" t="s">
        <v>2277</v>
      </c>
      <c r="EC923" s="13" t="s">
        <v>1208</v>
      </c>
      <c r="ED923" s="11">
        <v>0</v>
      </c>
      <c r="EE923" s="11"/>
    </row>
    <row r="924" spans="130:135" x14ac:dyDescent="0.2">
      <c r="DZ924" s="5">
        <v>45901</v>
      </c>
      <c r="EA924" s="13" t="s">
        <v>1251</v>
      </c>
      <c r="EB924" s="13" t="s">
        <v>1346</v>
      </c>
      <c r="EC924" s="13" t="s">
        <v>1208</v>
      </c>
      <c r="ED924" s="11">
        <v>1736448</v>
      </c>
      <c r="EE924" s="11"/>
    </row>
    <row r="925" spans="130:135" x14ac:dyDescent="0.2">
      <c r="DZ925" s="5">
        <v>45901</v>
      </c>
      <c r="EA925" s="13" t="s">
        <v>1251</v>
      </c>
      <c r="EB925" s="13" t="s">
        <v>1350</v>
      </c>
      <c r="EC925" s="13" t="s">
        <v>1208</v>
      </c>
      <c r="ED925" s="11">
        <v>2276923</v>
      </c>
      <c r="EE925" s="11"/>
    </row>
    <row r="926" spans="130:135" x14ac:dyDescent="0.2">
      <c r="DZ926" s="5">
        <v>45901</v>
      </c>
      <c r="EA926" s="13" t="s">
        <v>1251</v>
      </c>
      <c r="EB926" s="13" t="s">
        <v>2293</v>
      </c>
      <c r="EC926" s="13" t="s">
        <v>1215</v>
      </c>
      <c r="ED926" s="11"/>
      <c r="EE926" s="11">
        <v>0</v>
      </c>
    </row>
    <row r="927" spans="130:135" x14ac:dyDescent="0.2">
      <c r="DZ927" s="5">
        <v>45901</v>
      </c>
      <c r="EA927" s="13" t="s">
        <v>1251</v>
      </c>
      <c r="EB927" s="13" t="s">
        <v>2282</v>
      </c>
      <c r="EC927" s="13" t="s">
        <v>1215</v>
      </c>
      <c r="ED927" s="11"/>
      <c r="EE927" s="11">
        <v>0</v>
      </c>
    </row>
    <row r="928" spans="130:135" x14ac:dyDescent="0.2">
      <c r="DZ928" s="5">
        <v>45901</v>
      </c>
      <c r="EA928" s="13" t="s">
        <v>1251</v>
      </c>
      <c r="EB928" s="13" t="s">
        <v>1385</v>
      </c>
      <c r="EC928" s="13" t="s">
        <v>1215</v>
      </c>
      <c r="ED928" s="11"/>
      <c r="EE928" s="11">
        <v>0</v>
      </c>
    </row>
    <row r="929" spans="130:135" x14ac:dyDescent="0.2">
      <c r="DZ929" s="5">
        <v>45901</v>
      </c>
      <c r="EA929" s="13" t="s">
        <v>1251</v>
      </c>
      <c r="EB929" s="13" t="s">
        <v>1354</v>
      </c>
      <c r="EC929" s="13" t="s">
        <v>1215</v>
      </c>
      <c r="ED929" s="11"/>
      <c r="EE929" s="11">
        <v>114286</v>
      </c>
    </row>
    <row r="930" spans="130:135" x14ac:dyDescent="0.2">
      <c r="DZ930" s="5">
        <v>45901</v>
      </c>
      <c r="EA930" s="13" t="s">
        <v>1251</v>
      </c>
      <c r="EB930" s="13" t="s">
        <v>2278</v>
      </c>
      <c r="EC930" s="13" t="s">
        <v>1215</v>
      </c>
      <c r="ED930" s="11"/>
      <c r="EE930" s="11">
        <v>0</v>
      </c>
    </row>
    <row r="931" spans="130:135" x14ac:dyDescent="0.2">
      <c r="DZ931" s="5">
        <v>45901</v>
      </c>
      <c r="EA931" s="13" t="s">
        <v>1251</v>
      </c>
      <c r="EB931" s="13" t="s">
        <v>1386</v>
      </c>
      <c r="EC931" s="13" t="s">
        <v>1215</v>
      </c>
      <c r="ED931" s="11"/>
      <c r="EE931" s="11">
        <v>93000</v>
      </c>
    </row>
    <row r="932" spans="130:135" x14ac:dyDescent="0.2">
      <c r="DZ932" s="5">
        <v>45901</v>
      </c>
      <c r="EA932" s="13" t="s">
        <v>1251</v>
      </c>
      <c r="EB932" s="13" t="s">
        <v>2279</v>
      </c>
      <c r="EC932" s="13" t="s">
        <v>1215</v>
      </c>
      <c r="ED932" s="11"/>
      <c r="EE932" s="11">
        <v>0</v>
      </c>
    </row>
    <row r="933" spans="130:135" x14ac:dyDescent="0.2">
      <c r="DZ933" s="5">
        <v>45901</v>
      </c>
      <c r="EA933" s="13" t="s">
        <v>1251</v>
      </c>
      <c r="EB933" s="13" t="s">
        <v>1348</v>
      </c>
      <c r="EC933" s="13" t="s">
        <v>1215</v>
      </c>
      <c r="ED933" s="11"/>
      <c r="EE933" s="11">
        <v>427600</v>
      </c>
    </row>
    <row r="934" spans="130:135" x14ac:dyDescent="0.2">
      <c r="DZ934" s="5">
        <v>45901</v>
      </c>
      <c r="EA934" s="13" t="s">
        <v>1251</v>
      </c>
      <c r="EB934" s="13" t="s">
        <v>1353</v>
      </c>
      <c r="EC934" s="13" t="s">
        <v>1215</v>
      </c>
      <c r="ED934" s="11"/>
      <c r="EE934" s="11">
        <v>0</v>
      </c>
    </row>
    <row r="935" spans="130:135" x14ac:dyDescent="0.2">
      <c r="DZ935" s="5">
        <v>45901</v>
      </c>
      <c r="EA935" s="13" t="s">
        <v>1251</v>
      </c>
      <c r="EB935" s="13" t="s">
        <v>2285</v>
      </c>
      <c r="EC935" s="13" t="s">
        <v>1215</v>
      </c>
      <c r="ED935" s="11"/>
      <c r="EE935" s="11">
        <v>0</v>
      </c>
    </row>
    <row r="936" spans="130:135" x14ac:dyDescent="0.2">
      <c r="DZ936" s="5">
        <v>45901</v>
      </c>
      <c r="EA936" s="13" t="s">
        <v>1251</v>
      </c>
      <c r="EB936" s="13" t="s">
        <v>1347</v>
      </c>
      <c r="EC936" s="13" t="s">
        <v>1215</v>
      </c>
      <c r="ED936" s="11"/>
      <c r="EE936" s="11">
        <v>0</v>
      </c>
    </row>
    <row r="937" spans="130:135" x14ac:dyDescent="0.2">
      <c r="DZ937" s="5">
        <v>45901</v>
      </c>
      <c r="EA937" s="13" t="s">
        <v>1251</v>
      </c>
      <c r="EB937" s="13" t="s">
        <v>2281</v>
      </c>
      <c r="EC937" s="13" t="s">
        <v>1215</v>
      </c>
      <c r="ED937" s="11"/>
      <c r="EE937" s="11">
        <v>0</v>
      </c>
    </row>
    <row r="938" spans="130:135" x14ac:dyDescent="0.2">
      <c r="DZ938" s="5">
        <v>45901</v>
      </c>
      <c r="EA938" s="13" t="s">
        <v>1251</v>
      </c>
      <c r="EB938" s="13" t="s">
        <v>2280</v>
      </c>
      <c r="EC938" s="13" t="s">
        <v>1215</v>
      </c>
      <c r="ED938" s="11"/>
      <c r="EE938" s="11">
        <v>0</v>
      </c>
    </row>
    <row r="939" spans="130:135" x14ac:dyDescent="0.2">
      <c r="DZ939" s="5">
        <v>45901</v>
      </c>
      <c r="EA939" s="13" t="s">
        <v>1251</v>
      </c>
      <c r="EB939" s="13" t="s">
        <v>2336</v>
      </c>
      <c r="EC939" s="13" t="s">
        <v>1217</v>
      </c>
      <c r="ED939" s="11">
        <v>102000</v>
      </c>
      <c r="EE939" s="11"/>
    </row>
    <row r="940" spans="130:135" x14ac:dyDescent="0.2">
      <c r="DZ940" s="5">
        <v>45901</v>
      </c>
      <c r="EA940" s="13" t="s">
        <v>1251</v>
      </c>
      <c r="EB940" s="13" t="s">
        <v>2294</v>
      </c>
      <c r="EC940" s="13" t="s">
        <v>1217</v>
      </c>
      <c r="ED940" s="11">
        <v>0</v>
      </c>
      <c r="EE940" s="11"/>
    </row>
    <row r="941" spans="130:135" x14ac:dyDescent="0.2">
      <c r="DZ941" s="5">
        <v>45901</v>
      </c>
      <c r="EA941" s="13" t="s">
        <v>1251</v>
      </c>
      <c r="EB941" s="13" t="s">
        <v>2313</v>
      </c>
      <c r="EC941" s="13" t="s">
        <v>1217</v>
      </c>
      <c r="ED941" s="11">
        <v>0</v>
      </c>
      <c r="EE941" s="11"/>
    </row>
    <row r="942" spans="130:135" x14ac:dyDescent="0.2">
      <c r="DZ942" s="5">
        <v>45901</v>
      </c>
      <c r="EA942" s="13" t="s">
        <v>1251</v>
      </c>
      <c r="EB942" s="13" t="s">
        <v>2337</v>
      </c>
      <c r="EC942" s="13" t="s">
        <v>1217</v>
      </c>
      <c r="ED942" s="11">
        <v>256000</v>
      </c>
      <c r="EE942" s="11"/>
    </row>
    <row r="943" spans="130:135" x14ac:dyDescent="0.2">
      <c r="DZ943" s="5">
        <v>45901</v>
      </c>
      <c r="EA943" s="13" t="s">
        <v>1251</v>
      </c>
      <c r="EB943" s="13" t="s">
        <v>1404</v>
      </c>
      <c r="EC943" s="13" t="s">
        <v>1217</v>
      </c>
      <c r="ED943" s="11">
        <v>378151.31</v>
      </c>
      <c r="EE943" s="11"/>
    </row>
    <row r="944" spans="130:135" x14ac:dyDescent="0.2">
      <c r="DZ944" s="5">
        <v>45901</v>
      </c>
      <c r="EA944" s="13" t="s">
        <v>1251</v>
      </c>
      <c r="EB944" s="13" t="s">
        <v>2283</v>
      </c>
      <c r="EC944" s="13" t="s">
        <v>1217</v>
      </c>
      <c r="ED944" s="11">
        <v>0</v>
      </c>
      <c r="EE944" s="11"/>
    </row>
    <row r="945" spans="130:135" x14ac:dyDescent="0.2">
      <c r="DZ945" s="5">
        <v>45901</v>
      </c>
      <c r="EA945" s="13" t="s">
        <v>1251</v>
      </c>
      <c r="EB945" s="13" t="s">
        <v>1388</v>
      </c>
      <c r="EC945" s="13" t="s">
        <v>1217</v>
      </c>
      <c r="ED945" s="11">
        <v>876000</v>
      </c>
      <c r="EE945" s="11"/>
    </row>
    <row r="946" spans="130:135" x14ac:dyDescent="0.2">
      <c r="DZ946" s="5">
        <v>45901</v>
      </c>
      <c r="EA946" s="13" t="s">
        <v>1251</v>
      </c>
      <c r="EB946" s="13" t="s">
        <v>2284</v>
      </c>
      <c r="EC946" s="13" t="s">
        <v>1217</v>
      </c>
      <c r="ED946" s="11">
        <v>220500</v>
      </c>
      <c r="EE946" s="11"/>
    </row>
    <row r="947" spans="130:135" x14ac:dyDescent="0.2">
      <c r="DZ947" s="5">
        <v>45901</v>
      </c>
      <c r="EA947" s="13" t="s">
        <v>1251</v>
      </c>
      <c r="EB947" s="13" t="s">
        <v>2338</v>
      </c>
      <c r="EC947" s="13" t="s">
        <v>1217</v>
      </c>
      <c r="ED947" s="11">
        <v>297660</v>
      </c>
      <c r="EE947" s="11"/>
    </row>
    <row r="948" spans="130:135" x14ac:dyDescent="0.2">
      <c r="DZ948" s="5">
        <v>45901</v>
      </c>
      <c r="EA948" s="13" t="s">
        <v>1251</v>
      </c>
      <c r="EB948" s="13" t="s">
        <v>2315</v>
      </c>
      <c r="EC948" s="13" t="s">
        <v>1217</v>
      </c>
      <c r="ED948" s="11">
        <v>0</v>
      </c>
      <c r="EE948" s="11"/>
    </row>
    <row r="949" spans="130:135" x14ac:dyDescent="0.2">
      <c r="DZ949" s="5">
        <v>45901</v>
      </c>
      <c r="EA949" s="13" t="s">
        <v>1251</v>
      </c>
      <c r="EB949" s="13" t="s">
        <v>1352</v>
      </c>
      <c r="EC949" s="13" t="s">
        <v>1217</v>
      </c>
      <c r="ED949" s="11">
        <v>0</v>
      </c>
      <c r="EE949" s="11"/>
    </row>
    <row r="950" spans="130:135" x14ac:dyDescent="0.2">
      <c r="DZ950" s="5">
        <v>45901</v>
      </c>
      <c r="EA950" s="13" t="s">
        <v>1251</v>
      </c>
      <c r="EB950" s="13" t="s">
        <v>2314</v>
      </c>
      <c r="EC950" s="13" t="s">
        <v>1217</v>
      </c>
      <c r="ED950" s="11">
        <v>0</v>
      </c>
      <c r="EE950" s="11"/>
    </row>
    <row r="951" spans="130:135" x14ac:dyDescent="0.2">
      <c r="DZ951" s="5">
        <v>45901</v>
      </c>
      <c r="EA951" s="13" t="s">
        <v>1251</v>
      </c>
      <c r="EB951" s="13" t="s">
        <v>1389</v>
      </c>
      <c r="EC951" s="13" t="s">
        <v>1217</v>
      </c>
      <c r="ED951" s="11">
        <v>0</v>
      </c>
      <c r="EE951" s="11"/>
    </row>
    <row r="952" spans="130:135" x14ac:dyDescent="0.2">
      <c r="DZ952" s="5">
        <v>45901</v>
      </c>
      <c r="EA952" s="13" t="s">
        <v>1251</v>
      </c>
      <c r="EB952" s="13" t="s">
        <v>2339</v>
      </c>
      <c r="EC952" s="13" t="s">
        <v>1217</v>
      </c>
      <c r="ED952" s="11">
        <v>1577014</v>
      </c>
      <c r="EE952" s="11"/>
    </row>
    <row r="953" spans="130:135" x14ac:dyDescent="0.2">
      <c r="DZ953" s="5">
        <v>45901</v>
      </c>
      <c r="EA953" s="13" t="s">
        <v>1251</v>
      </c>
      <c r="EB953" s="13" t="s">
        <v>2340</v>
      </c>
      <c r="EC953" s="13" t="s">
        <v>1217</v>
      </c>
      <c r="ED953" s="11">
        <v>250000</v>
      </c>
      <c r="EE953" s="11"/>
    </row>
    <row r="954" spans="130:135" x14ac:dyDescent="0.2">
      <c r="DZ954" s="5">
        <v>45901</v>
      </c>
      <c r="EA954" s="13" t="s">
        <v>1253</v>
      </c>
      <c r="EB954" s="13" t="s">
        <v>1335</v>
      </c>
      <c r="EC954" s="13" t="s">
        <v>1084</v>
      </c>
      <c r="ED954" s="11"/>
      <c r="EE954" s="11">
        <v>30355308</v>
      </c>
    </row>
    <row r="955" spans="130:135" x14ac:dyDescent="0.2">
      <c r="DZ955" s="5">
        <v>45901</v>
      </c>
      <c r="EA955" s="13" t="s">
        <v>1253</v>
      </c>
      <c r="EB955" s="13" t="s">
        <v>2285</v>
      </c>
      <c r="EC955" s="13" t="s">
        <v>1084</v>
      </c>
      <c r="ED955" s="11"/>
      <c r="EE955" s="11">
        <v>0</v>
      </c>
    </row>
    <row r="956" spans="130:135" x14ac:dyDescent="0.2">
      <c r="DZ956" s="5">
        <v>45901</v>
      </c>
      <c r="EA956" s="13" t="s">
        <v>1251</v>
      </c>
      <c r="EB956" s="13" t="s">
        <v>2212</v>
      </c>
      <c r="EC956" s="13" t="s">
        <v>1114</v>
      </c>
      <c r="ED956" s="11">
        <v>209291</v>
      </c>
      <c r="EE956" s="11"/>
    </row>
    <row r="957" spans="130:135" x14ac:dyDescent="0.2">
      <c r="DZ957" s="5">
        <v>45901</v>
      </c>
      <c r="EA957" s="13" t="s">
        <v>1250</v>
      </c>
      <c r="EB957" s="13" t="s">
        <v>1358</v>
      </c>
      <c r="EC957" s="13" t="s">
        <v>1114</v>
      </c>
      <c r="ED957" s="11">
        <v>152079</v>
      </c>
      <c r="EE957" s="11"/>
    </row>
    <row r="958" spans="130:135" x14ac:dyDescent="0.2">
      <c r="DZ958" s="5">
        <v>45901</v>
      </c>
      <c r="EA958" s="13" t="s">
        <v>1251</v>
      </c>
      <c r="EB958" s="13" t="s">
        <v>2319</v>
      </c>
      <c r="EC958" s="13" t="s">
        <v>1114</v>
      </c>
      <c r="ED958" s="11">
        <v>60588</v>
      </c>
      <c r="EE958" s="11"/>
    </row>
    <row r="959" spans="130:135" x14ac:dyDescent="0.2">
      <c r="DZ959" s="5">
        <v>45901</v>
      </c>
      <c r="EA959" s="13" t="s">
        <v>1251</v>
      </c>
      <c r="EB959" s="13" t="s">
        <v>2206</v>
      </c>
      <c r="EC959" s="13" t="s">
        <v>1114</v>
      </c>
      <c r="ED959" s="11">
        <v>67647</v>
      </c>
      <c r="EE959" s="11"/>
    </row>
    <row r="960" spans="130:135" x14ac:dyDescent="0.2">
      <c r="DZ960" s="5">
        <v>45901</v>
      </c>
      <c r="EA960" s="13" t="s">
        <v>1251</v>
      </c>
      <c r="EB960" s="13" t="s">
        <v>2305</v>
      </c>
      <c r="EC960" s="13" t="s">
        <v>1114</v>
      </c>
      <c r="ED960" s="11">
        <v>290090</v>
      </c>
      <c r="EE960" s="11"/>
    </row>
    <row r="961" spans="130:135" x14ac:dyDescent="0.2">
      <c r="DZ961" s="5">
        <v>45901</v>
      </c>
      <c r="EA961" s="13" t="s">
        <v>1250</v>
      </c>
      <c r="EB961" s="13" t="s">
        <v>1417</v>
      </c>
      <c r="EC961" s="13" t="s">
        <v>1156</v>
      </c>
      <c r="ED961" s="11">
        <v>0</v>
      </c>
      <c r="EE961" s="11"/>
    </row>
    <row r="962" spans="130:135" x14ac:dyDescent="0.2">
      <c r="DZ962" s="5">
        <v>45901</v>
      </c>
      <c r="EA962" s="13" t="s">
        <v>1250</v>
      </c>
      <c r="EB962" s="13" t="s">
        <v>1381</v>
      </c>
      <c r="EC962" s="13" t="s">
        <v>1144</v>
      </c>
      <c r="ED962" s="11">
        <v>0</v>
      </c>
      <c r="EE962" s="11"/>
    </row>
    <row r="963" spans="130:135" x14ac:dyDescent="0.2">
      <c r="DZ963" s="5">
        <v>45901</v>
      </c>
      <c r="EA963" s="13" t="s">
        <v>1250</v>
      </c>
      <c r="EB963" s="13" t="s">
        <v>2286</v>
      </c>
      <c r="EC963" s="13" t="s">
        <v>1144</v>
      </c>
      <c r="ED963" s="11">
        <v>0</v>
      </c>
      <c r="EE963" s="11"/>
    </row>
    <row r="964" spans="130:135" x14ac:dyDescent="0.2">
      <c r="DZ964" s="5">
        <v>45901</v>
      </c>
      <c r="EA964" s="13" t="s">
        <v>1250</v>
      </c>
      <c r="EB964" s="13" t="s">
        <v>2316</v>
      </c>
      <c r="EC964" s="13" t="s">
        <v>1146</v>
      </c>
      <c r="ED964" s="11">
        <v>0</v>
      </c>
      <c r="EE964" s="11"/>
    </row>
    <row r="965" spans="130:135" x14ac:dyDescent="0.2">
      <c r="DZ965" s="5">
        <v>45901</v>
      </c>
      <c r="EA965" s="13" t="s">
        <v>1250</v>
      </c>
      <c r="EB965" s="13" t="s">
        <v>1368</v>
      </c>
      <c r="EC965" s="13" t="s">
        <v>1146</v>
      </c>
      <c r="ED965" s="11">
        <v>78302</v>
      </c>
      <c r="EE965" s="11"/>
    </row>
    <row r="966" spans="130:135" x14ac:dyDescent="0.2">
      <c r="DZ966" s="5">
        <v>45901</v>
      </c>
      <c r="EA966" s="13" t="s">
        <v>1251</v>
      </c>
      <c r="EB966" s="13" t="s">
        <v>1349</v>
      </c>
      <c r="EC966" s="13" t="s">
        <v>1146</v>
      </c>
      <c r="ED966" s="11">
        <v>919156</v>
      </c>
      <c r="EE966" s="11"/>
    </row>
    <row r="967" spans="130:135" x14ac:dyDescent="0.2">
      <c r="DZ967" s="5">
        <v>45901</v>
      </c>
      <c r="EA967" s="13" t="s">
        <v>1250</v>
      </c>
      <c r="EB967" s="13" t="s">
        <v>1367</v>
      </c>
      <c r="EC967" s="13" t="s">
        <v>1146</v>
      </c>
      <c r="ED967" s="11">
        <v>46865</v>
      </c>
      <c r="EE967" s="11"/>
    </row>
    <row r="968" spans="130:135" x14ac:dyDescent="0.2">
      <c r="DZ968" s="5">
        <v>45901</v>
      </c>
      <c r="EA968" s="13" t="s">
        <v>1251</v>
      </c>
      <c r="EB968" s="13" t="s">
        <v>1368</v>
      </c>
      <c r="EC968" s="13" t="s">
        <v>1146</v>
      </c>
      <c r="ED968" s="11">
        <v>0</v>
      </c>
      <c r="EE968" s="11"/>
    </row>
    <row r="969" spans="130:135" x14ac:dyDescent="0.2">
      <c r="DZ969" s="5">
        <v>45901</v>
      </c>
      <c r="EA969" s="13" t="s">
        <v>1251</v>
      </c>
      <c r="EB969" s="13" t="s">
        <v>1345</v>
      </c>
      <c r="EC969" s="13" t="s">
        <v>1146</v>
      </c>
      <c r="ED969" s="11">
        <v>37868</v>
      </c>
      <c r="EE969" s="11"/>
    </row>
    <row r="970" spans="130:135" x14ac:dyDescent="0.2">
      <c r="DZ970" s="5">
        <v>45901</v>
      </c>
      <c r="EA970" s="13" t="s">
        <v>1251</v>
      </c>
      <c r="EB970" s="13" t="s">
        <v>2206</v>
      </c>
      <c r="EC970" s="13" t="s">
        <v>1108</v>
      </c>
      <c r="ED970" s="11">
        <v>711750</v>
      </c>
      <c r="EE970" s="11"/>
    </row>
    <row r="971" spans="130:135" x14ac:dyDescent="0.2">
      <c r="DZ971" s="5">
        <v>45901</v>
      </c>
      <c r="EA971" s="13" t="s">
        <v>1251</v>
      </c>
      <c r="EB971" s="13" t="s">
        <v>2212</v>
      </c>
      <c r="EC971" s="13" t="s">
        <v>1108</v>
      </c>
      <c r="ED971" s="11">
        <v>1533560</v>
      </c>
      <c r="EE971" s="11"/>
    </row>
    <row r="972" spans="130:135" x14ac:dyDescent="0.2">
      <c r="DZ972" s="5">
        <v>45901</v>
      </c>
      <c r="EA972" s="13" t="s">
        <v>1251</v>
      </c>
      <c r="EB972" s="13" t="s">
        <v>2305</v>
      </c>
      <c r="EC972" s="13" t="s">
        <v>1108</v>
      </c>
      <c r="ED972" s="11">
        <v>1423500</v>
      </c>
      <c r="EE972" s="11"/>
    </row>
    <row r="973" spans="130:135" x14ac:dyDescent="0.2">
      <c r="DZ973" s="5">
        <v>45901</v>
      </c>
      <c r="EA973" s="13" t="s">
        <v>1250</v>
      </c>
      <c r="EB973" s="13" t="s">
        <v>1358</v>
      </c>
      <c r="EC973" s="13" t="s">
        <v>1108</v>
      </c>
      <c r="ED973" s="11">
        <v>1423500</v>
      </c>
      <c r="EE973" s="11"/>
    </row>
    <row r="974" spans="130:135" x14ac:dyDescent="0.2">
      <c r="DZ974" s="5">
        <v>45901</v>
      </c>
      <c r="EA974" s="13" t="s">
        <v>1251</v>
      </c>
      <c r="EB974" s="13" t="s">
        <v>2319</v>
      </c>
      <c r="EC974" s="13" t="s">
        <v>1108</v>
      </c>
      <c r="ED974" s="11">
        <v>427050</v>
      </c>
      <c r="EE974" s="11"/>
    </row>
    <row r="975" spans="130:135" x14ac:dyDescent="0.2">
      <c r="DZ975" s="5">
        <v>45901</v>
      </c>
      <c r="EA975" s="13" t="s">
        <v>1251</v>
      </c>
      <c r="EB975" s="13" t="s">
        <v>1343</v>
      </c>
      <c r="EC975" s="13" t="s">
        <v>1206</v>
      </c>
      <c r="ED975" s="11"/>
      <c r="EE975" s="11">
        <v>556230</v>
      </c>
    </row>
    <row r="976" spans="130:135" x14ac:dyDescent="0.2">
      <c r="DZ976" s="5">
        <v>45901</v>
      </c>
      <c r="EA976" s="13" t="s">
        <v>1251</v>
      </c>
      <c r="EB976" s="13" t="s">
        <v>1344</v>
      </c>
      <c r="EC976" s="13" t="s">
        <v>1206</v>
      </c>
      <c r="ED976" s="11"/>
      <c r="EE976" s="11">
        <v>889000</v>
      </c>
    </row>
    <row r="977" spans="130:135" x14ac:dyDescent="0.2">
      <c r="DZ977" s="5">
        <v>45901</v>
      </c>
      <c r="EA977" s="13" t="s">
        <v>1251</v>
      </c>
      <c r="EB977" s="13" t="s">
        <v>2281</v>
      </c>
      <c r="EC977" s="13" t="s">
        <v>1206</v>
      </c>
      <c r="ED977" s="11"/>
      <c r="EE977" s="11">
        <v>0</v>
      </c>
    </row>
    <row r="978" spans="130:135" x14ac:dyDescent="0.2">
      <c r="DZ978" s="5">
        <v>45901</v>
      </c>
      <c r="EA978" s="13" t="s">
        <v>1251</v>
      </c>
      <c r="EB978" s="13" t="s">
        <v>1347</v>
      </c>
      <c r="EC978" s="13" t="s">
        <v>1206</v>
      </c>
      <c r="ED978" s="11"/>
      <c r="EE978" s="11">
        <v>716752</v>
      </c>
    </row>
    <row r="979" spans="130:135" x14ac:dyDescent="0.2">
      <c r="DZ979" s="5">
        <v>45901</v>
      </c>
      <c r="EA979" s="13" t="s">
        <v>1251</v>
      </c>
      <c r="EB979" s="13" t="s">
        <v>2206</v>
      </c>
      <c r="EC979" s="13" t="s">
        <v>1058</v>
      </c>
      <c r="ED979" s="11">
        <v>40510</v>
      </c>
      <c r="EE979" s="11"/>
    </row>
    <row r="980" spans="130:135" x14ac:dyDescent="0.2">
      <c r="DZ980" s="5">
        <v>45901</v>
      </c>
      <c r="EA980" s="13" t="s">
        <v>1251</v>
      </c>
      <c r="EB980" s="13" t="s">
        <v>2305</v>
      </c>
      <c r="EC980" s="13" t="s">
        <v>1058</v>
      </c>
      <c r="ED980" s="11">
        <v>141610</v>
      </c>
      <c r="EE980" s="11"/>
    </row>
    <row r="981" spans="130:135" x14ac:dyDescent="0.2">
      <c r="DZ981" s="5">
        <v>45901</v>
      </c>
      <c r="EA981" s="13" t="s">
        <v>1251</v>
      </c>
      <c r="EB981" s="13" t="s">
        <v>2212</v>
      </c>
      <c r="EC981" s="13" t="s">
        <v>1058</v>
      </c>
      <c r="ED981" s="11">
        <v>-244230</v>
      </c>
      <c r="EE981" s="11"/>
    </row>
    <row r="982" spans="130:135" x14ac:dyDescent="0.2">
      <c r="DZ982" s="5">
        <v>45901</v>
      </c>
      <c r="EA982" s="13" t="s">
        <v>1250</v>
      </c>
      <c r="EB982" s="13" t="s">
        <v>1358</v>
      </c>
      <c r="EC982" s="13" t="s">
        <v>1058</v>
      </c>
      <c r="ED982" s="11">
        <v>7340</v>
      </c>
      <c r="EE982" s="11"/>
    </row>
    <row r="983" spans="130:135" x14ac:dyDescent="0.2">
      <c r="DZ983" s="5">
        <v>45901</v>
      </c>
      <c r="EA983" s="13" t="s">
        <v>1250</v>
      </c>
      <c r="EB983" s="13" t="s">
        <v>1352</v>
      </c>
      <c r="EC983" s="13" t="s">
        <v>1170</v>
      </c>
      <c r="ED983" s="11">
        <v>208449</v>
      </c>
      <c r="EE983" s="11"/>
    </row>
    <row r="984" spans="130:135" x14ac:dyDescent="0.2">
      <c r="DZ984" s="5">
        <v>45901</v>
      </c>
      <c r="EA984" s="13" t="s">
        <v>1250</v>
      </c>
      <c r="EB984" s="13" t="s">
        <v>2341</v>
      </c>
      <c r="EC984" s="13" t="s">
        <v>1170</v>
      </c>
      <c r="ED984" s="11">
        <v>360000</v>
      </c>
      <c r="EE984" s="11"/>
    </row>
    <row r="985" spans="130:135" x14ac:dyDescent="0.2">
      <c r="DZ985" s="5">
        <v>45901</v>
      </c>
      <c r="EA985" s="13" t="s">
        <v>1250</v>
      </c>
      <c r="EB985" s="13" t="s">
        <v>2304</v>
      </c>
      <c r="EC985" s="13" t="s">
        <v>1170</v>
      </c>
      <c r="ED985" s="11">
        <v>37700</v>
      </c>
      <c r="EE985" s="11"/>
    </row>
    <row r="986" spans="130:135" x14ac:dyDescent="0.2">
      <c r="DZ986" s="5">
        <v>45901</v>
      </c>
      <c r="EA986" s="13" t="s">
        <v>1250</v>
      </c>
      <c r="EB986" s="13" t="s">
        <v>1365</v>
      </c>
      <c r="EC986" s="13" t="s">
        <v>1170</v>
      </c>
      <c r="ED986" s="11">
        <v>0</v>
      </c>
      <c r="EE986" s="11"/>
    </row>
    <row r="987" spans="130:135" x14ac:dyDescent="0.2">
      <c r="DZ987" s="5">
        <v>45901</v>
      </c>
      <c r="EA987" s="13" t="s">
        <v>1250</v>
      </c>
      <c r="EB987" s="13" t="s">
        <v>2317</v>
      </c>
      <c r="EC987" s="13" t="s">
        <v>1170</v>
      </c>
      <c r="ED987" s="11">
        <v>0</v>
      </c>
      <c r="EE987" s="11"/>
    </row>
    <row r="988" spans="130:135" x14ac:dyDescent="0.2">
      <c r="DZ988" s="5">
        <v>45901</v>
      </c>
      <c r="EA988" s="13" t="s">
        <v>1250</v>
      </c>
      <c r="EB988" s="13" t="s">
        <v>1389</v>
      </c>
      <c r="EC988" s="13" t="s">
        <v>1170</v>
      </c>
      <c r="ED988" s="11">
        <v>23824</v>
      </c>
      <c r="EE988" s="11"/>
    </row>
    <row r="989" spans="130:135" x14ac:dyDescent="0.2">
      <c r="DZ989" s="5">
        <v>45901</v>
      </c>
      <c r="EA989" s="13" t="s">
        <v>1250</v>
      </c>
      <c r="EB989" s="13" t="s">
        <v>2303</v>
      </c>
      <c r="EC989" s="13" t="s">
        <v>1170</v>
      </c>
      <c r="ED989" s="11">
        <v>0</v>
      </c>
      <c r="EE989" s="11"/>
    </row>
    <row r="990" spans="130:135" x14ac:dyDescent="0.2">
      <c r="DZ990" s="5">
        <v>45901</v>
      </c>
      <c r="EA990" s="13" t="s">
        <v>1250</v>
      </c>
      <c r="EB990" s="13" t="s">
        <v>2283</v>
      </c>
      <c r="EC990" s="13" t="s">
        <v>1170</v>
      </c>
      <c r="ED990" s="11">
        <v>0</v>
      </c>
      <c r="EE990" s="11"/>
    </row>
    <row r="991" spans="130:135" x14ac:dyDescent="0.2">
      <c r="DZ991" s="5">
        <v>45901</v>
      </c>
      <c r="EA991" s="13" t="s">
        <v>1250</v>
      </c>
      <c r="EB991" s="13" t="s">
        <v>2342</v>
      </c>
      <c r="EC991" s="13" t="s">
        <v>1170</v>
      </c>
      <c r="ED991" s="11">
        <v>100000</v>
      </c>
      <c r="EE991" s="11"/>
    </row>
    <row r="992" spans="130:135" x14ac:dyDescent="0.2">
      <c r="DZ992" s="5">
        <v>45901</v>
      </c>
      <c r="EA992" s="13" t="s">
        <v>1250</v>
      </c>
      <c r="EB992" s="13" t="s">
        <v>2302</v>
      </c>
      <c r="EC992" s="13" t="s">
        <v>1170</v>
      </c>
      <c r="ED992" s="11">
        <v>9750</v>
      </c>
      <c r="EE992" s="11"/>
    </row>
    <row r="993" spans="130:135" x14ac:dyDescent="0.2">
      <c r="DZ993" s="5">
        <v>45901</v>
      </c>
      <c r="EA993" s="13" t="s">
        <v>1250</v>
      </c>
      <c r="EB993" s="13" t="s">
        <v>2204</v>
      </c>
      <c r="EC993" s="13" t="s">
        <v>1170</v>
      </c>
      <c r="ED993" s="11">
        <v>331847.40000000002</v>
      </c>
      <c r="EE993" s="11"/>
    </row>
    <row r="994" spans="130:135" x14ac:dyDescent="0.2">
      <c r="DZ994" s="5">
        <v>45901</v>
      </c>
      <c r="EA994" s="13" t="s">
        <v>1250</v>
      </c>
      <c r="EB994" s="13" t="s">
        <v>1364</v>
      </c>
      <c r="EC994" s="13" t="s">
        <v>1170</v>
      </c>
      <c r="ED994" s="11">
        <v>0</v>
      </c>
      <c r="EE994" s="11"/>
    </row>
    <row r="995" spans="130:135" x14ac:dyDescent="0.2">
      <c r="DZ995" s="5">
        <v>45901</v>
      </c>
      <c r="EA995" s="13" t="s">
        <v>1250</v>
      </c>
      <c r="EB995" s="13" t="s">
        <v>1394</v>
      </c>
      <c r="EC995" s="13" t="s">
        <v>1170</v>
      </c>
      <c r="ED995" s="11">
        <v>70924.44</v>
      </c>
      <c r="EE995" s="11"/>
    </row>
    <row r="996" spans="130:135" x14ac:dyDescent="0.2">
      <c r="DZ996" s="5">
        <v>45901</v>
      </c>
      <c r="EA996" s="13" t="s">
        <v>1250</v>
      </c>
      <c r="EB996" s="13" t="s">
        <v>1379</v>
      </c>
      <c r="EC996" s="13" t="s">
        <v>1170</v>
      </c>
      <c r="ED996" s="11">
        <v>0</v>
      </c>
      <c r="EE996" s="11"/>
    </row>
    <row r="997" spans="130:135" x14ac:dyDescent="0.2">
      <c r="DZ997" s="5">
        <v>45931</v>
      </c>
      <c r="EA997" s="13" t="s">
        <v>1252</v>
      </c>
      <c r="EB997" s="13" t="s">
        <v>2202</v>
      </c>
      <c r="EC997" s="13" t="s">
        <v>1106</v>
      </c>
      <c r="ED997" s="11">
        <v>0</v>
      </c>
      <c r="EE997" s="11"/>
    </row>
    <row r="998" spans="130:135" x14ac:dyDescent="0.2">
      <c r="DZ998" s="5">
        <v>45931</v>
      </c>
      <c r="EA998" s="13" t="s">
        <v>1252</v>
      </c>
      <c r="EB998" s="13" t="s">
        <v>1403</v>
      </c>
      <c r="EC998" s="13" t="s">
        <v>1106</v>
      </c>
      <c r="ED998" s="11">
        <v>0</v>
      </c>
      <c r="EE998" s="11"/>
    </row>
    <row r="999" spans="130:135" x14ac:dyDescent="0.2">
      <c r="DZ999" s="5">
        <v>45931</v>
      </c>
      <c r="EA999" s="13" t="s">
        <v>1252</v>
      </c>
      <c r="EB999" s="13" t="s">
        <v>1375</v>
      </c>
      <c r="EC999" s="13" t="s">
        <v>1106</v>
      </c>
      <c r="ED999" s="11">
        <v>0</v>
      </c>
      <c r="EE999" s="11"/>
    </row>
    <row r="1000" spans="130:135" x14ac:dyDescent="0.2">
      <c r="DZ1000" s="5">
        <v>45931</v>
      </c>
      <c r="EA1000" s="13" t="s">
        <v>1252</v>
      </c>
      <c r="EB1000" s="13" t="s">
        <v>1388</v>
      </c>
      <c r="EC1000" s="13" t="s">
        <v>1106</v>
      </c>
      <c r="ED1000" s="11">
        <v>0</v>
      </c>
      <c r="EE1000" s="11"/>
    </row>
    <row r="1001" spans="130:135" x14ac:dyDescent="0.2">
      <c r="DZ1001" s="5">
        <v>45931</v>
      </c>
      <c r="EA1001" s="13" t="s">
        <v>1252</v>
      </c>
      <c r="EB1001" s="13" t="s">
        <v>1374</v>
      </c>
      <c r="EC1001" s="13" t="s">
        <v>1106</v>
      </c>
      <c r="ED1001" s="11">
        <v>0</v>
      </c>
      <c r="EE1001" s="11"/>
    </row>
    <row r="1002" spans="130:135" x14ac:dyDescent="0.2">
      <c r="DZ1002" s="5">
        <v>45931</v>
      </c>
      <c r="EA1002" s="13" t="s">
        <v>1252</v>
      </c>
      <c r="EB1002" s="13" t="s">
        <v>1377</v>
      </c>
      <c r="EC1002" s="13" t="s">
        <v>1106</v>
      </c>
      <c r="ED1002" s="11">
        <v>0</v>
      </c>
      <c r="EE1002" s="11"/>
    </row>
    <row r="1003" spans="130:135" x14ac:dyDescent="0.2">
      <c r="DZ1003" s="5">
        <v>45931</v>
      </c>
      <c r="EA1003" s="13" t="s">
        <v>1251</v>
      </c>
      <c r="EB1003" s="13" t="s">
        <v>2318</v>
      </c>
      <c r="EC1003" s="13" t="s">
        <v>1212</v>
      </c>
      <c r="ED1003" s="11">
        <v>0</v>
      </c>
      <c r="EE1003" s="11"/>
    </row>
    <row r="1004" spans="130:135" x14ac:dyDescent="0.2">
      <c r="DZ1004" s="5">
        <v>45931</v>
      </c>
      <c r="EA1004" s="13" t="s">
        <v>1251</v>
      </c>
      <c r="EB1004" s="13" t="s">
        <v>2204</v>
      </c>
      <c r="EC1004" s="13" t="s">
        <v>1212</v>
      </c>
      <c r="ED1004" s="11">
        <v>0</v>
      </c>
      <c r="EE1004" s="11"/>
    </row>
    <row r="1005" spans="130:135" x14ac:dyDescent="0.2">
      <c r="DZ1005" s="5">
        <v>45931</v>
      </c>
      <c r="EA1005" s="13" t="s">
        <v>1251</v>
      </c>
      <c r="EB1005" s="13" t="s">
        <v>1380</v>
      </c>
      <c r="EC1005" s="13" t="s">
        <v>1212</v>
      </c>
      <c r="ED1005" s="11">
        <v>620700</v>
      </c>
      <c r="EE1005" s="11"/>
    </row>
    <row r="1006" spans="130:135" x14ac:dyDescent="0.2">
      <c r="DZ1006" s="5">
        <v>45931</v>
      </c>
      <c r="EA1006" s="13" t="s">
        <v>1251</v>
      </c>
      <c r="EB1006" s="13" t="s">
        <v>2203</v>
      </c>
      <c r="EC1006" s="13" t="s">
        <v>1212</v>
      </c>
      <c r="ED1006" s="11">
        <v>0</v>
      </c>
      <c r="EE1006" s="11"/>
    </row>
    <row r="1007" spans="130:135" x14ac:dyDescent="0.2">
      <c r="DZ1007" s="5">
        <v>45931</v>
      </c>
      <c r="EA1007" s="13" t="s">
        <v>1251</v>
      </c>
      <c r="EB1007" s="13" t="s">
        <v>1379</v>
      </c>
      <c r="EC1007" s="13" t="s">
        <v>1212</v>
      </c>
      <c r="ED1007" s="11">
        <v>0</v>
      </c>
      <c r="EE1007" s="11"/>
    </row>
    <row r="1008" spans="130:135" x14ac:dyDescent="0.2">
      <c r="DZ1008" s="5">
        <v>45931</v>
      </c>
      <c r="EA1008" s="13" t="s">
        <v>1250</v>
      </c>
      <c r="EB1008" s="13" t="s">
        <v>1360</v>
      </c>
      <c r="EC1008" s="13" t="s">
        <v>1124</v>
      </c>
      <c r="ED1008" s="11">
        <v>415400</v>
      </c>
      <c r="EE1008" s="11"/>
    </row>
    <row r="1009" spans="130:135" x14ac:dyDescent="0.2">
      <c r="DZ1009" s="5">
        <v>45931</v>
      </c>
      <c r="EA1009" s="13" t="s">
        <v>1251</v>
      </c>
      <c r="EB1009" s="13" t="s">
        <v>1360</v>
      </c>
      <c r="EC1009" s="13" t="s">
        <v>1124</v>
      </c>
      <c r="ED1009" s="11">
        <v>283200</v>
      </c>
      <c r="EE1009" s="11"/>
    </row>
    <row r="1010" spans="130:135" x14ac:dyDescent="0.2">
      <c r="DZ1010" s="5">
        <v>45931</v>
      </c>
      <c r="EA1010" s="13" t="s">
        <v>1250</v>
      </c>
      <c r="EB1010" s="13" t="s">
        <v>1339</v>
      </c>
      <c r="EC1010" s="13" t="s">
        <v>1124</v>
      </c>
      <c r="ED1010" s="11">
        <v>300000</v>
      </c>
      <c r="EE1010" s="11"/>
    </row>
    <row r="1011" spans="130:135" x14ac:dyDescent="0.2">
      <c r="DZ1011" s="5">
        <v>45931</v>
      </c>
      <c r="EA1011" s="13" t="s">
        <v>1251</v>
      </c>
      <c r="EB1011" s="13" t="s">
        <v>1406</v>
      </c>
      <c r="EC1011" s="13" t="s">
        <v>1124</v>
      </c>
      <c r="ED1011" s="11">
        <v>0</v>
      </c>
      <c r="EE1011" s="11"/>
    </row>
    <row r="1012" spans="130:135" x14ac:dyDescent="0.2">
      <c r="DZ1012" s="5">
        <v>45931</v>
      </c>
      <c r="EA1012" s="13" t="s">
        <v>1250</v>
      </c>
      <c r="EB1012" s="13" t="s">
        <v>1359</v>
      </c>
      <c r="EC1012" s="13" t="s">
        <v>1124</v>
      </c>
      <c r="ED1012" s="11">
        <v>300000</v>
      </c>
      <c r="EE1012" s="11"/>
    </row>
    <row r="1013" spans="130:135" x14ac:dyDescent="0.2">
      <c r="DZ1013" s="5">
        <v>45931</v>
      </c>
      <c r="EA1013" s="13" t="s">
        <v>1250</v>
      </c>
      <c r="EB1013" s="13" t="s">
        <v>1338</v>
      </c>
      <c r="EC1013" s="13" t="s">
        <v>1121</v>
      </c>
      <c r="ED1013" s="11">
        <v>34800</v>
      </c>
      <c r="EE1013" s="11"/>
    </row>
    <row r="1014" spans="130:135" x14ac:dyDescent="0.2">
      <c r="DZ1014" s="5">
        <v>45931</v>
      </c>
      <c r="EA1014" s="13" t="s">
        <v>1251</v>
      </c>
      <c r="EB1014" s="13" t="s">
        <v>1338</v>
      </c>
      <c r="EC1014" s="13" t="s">
        <v>1121</v>
      </c>
      <c r="ED1014" s="11">
        <v>19600</v>
      </c>
      <c r="EE1014" s="11"/>
    </row>
    <row r="1015" spans="130:135" x14ac:dyDescent="0.2">
      <c r="DZ1015" s="5">
        <v>45931</v>
      </c>
      <c r="EA1015" s="13" t="s">
        <v>1250</v>
      </c>
      <c r="EB1015" s="13" t="s">
        <v>2287</v>
      </c>
      <c r="EC1015" s="13" t="s">
        <v>1016</v>
      </c>
      <c r="ED1015" s="11">
        <v>0</v>
      </c>
      <c r="EE1015" s="11"/>
    </row>
    <row r="1016" spans="130:135" x14ac:dyDescent="0.2">
      <c r="DZ1016" s="5">
        <v>45931</v>
      </c>
      <c r="EA1016" s="13" t="s">
        <v>1250</v>
      </c>
      <c r="EB1016" s="13" t="s">
        <v>1340</v>
      </c>
      <c r="EC1016" s="13" t="s">
        <v>1126</v>
      </c>
      <c r="ED1016" s="11">
        <v>265900</v>
      </c>
      <c r="EE1016" s="11"/>
    </row>
    <row r="1017" spans="130:135" x14ac:dyDescent="0.2">
      <c r="DZ1017" s="5">
        <v>45931</v>
      </c>
      <c r="EA1017" s="13" t="s">
        <v>1251</v>
      </c>
      <c r="EB1017" s="13" t="s">
        <v>1340</v>
      </c>
      <c r="EC1017" s="13" t="s">
        <v>1126</v>
      </c>
      <c r="ED1017" s="11">
        <v>149800</v>
      </c>
      <c r="EE1017" s="11"/>
    </row>
    <row r="1018" spans="130:135" x14ac:dyDescent="0.2">
      <c r="DZ1018" s="5">
        <v>45931</v>
      </c>
      <c r="EA1018" s="13" t="s">
        <v>1251</v>
      </c>
      <c r="EB1018" s="13" t="s">
        <v>1342</v>
      </c>
      <c r="EC1018" s="13" t="s">
        <v>1142</v>
      </c>
      <c r="ED1018" s="11">
        <v>6300000</v>
      </c>
      <c r="EE1018" s="11"/>
    </row>
    <row r="1019" spans="130:135" x14ac:dyDescent="0.2">
      <c r="DZ1019" s="5">
        <v>45931</v>
      </c>
      <c r="EA1019" s="13" t="s">
        <v>1251</v>
      </c>
      <c r="EB1019" s="13" t="s">
        <v>1341</v>
      </c>
      <c r="EC1019" s="13" t="s">
        <v>1142</v>
      </c>
      <c r="ED1019" s="11">
        <v>2400000</v>
      </c>
      <c r="EE1019" s="11"/>
    </row>
    <row r="1020" spans="130:135" x14ac:dyDescent="0.2">
      <c r="DZ1020" s="5">
        <v>45931</v>
      </c>
      <c r="EA1020" s="13" t="s">
        <v>1250</v>
      </c>
      <c r="EB1020" s="13" t="s">
        <v>2205</v>
      </c>
      <c r="EC1020" s="13" t="s">
        <v>1138</v>
      </c>
      <c r="ED1020" s="11">
        <v>0</v>
      </c>
      <c r="EE1020" s="11"/>
    </row>
    <row r="1021" spans="130:135" x14ac:dyDescent="0.2">
      <c r="DZ1021" s="5">
        <v>45931</v>
      </c>
      <c r="EA1021" s="13" t="s">
        <v>1250</v>
      </c>
      <c r="EB1021" s="13" t="s">
        <v>1356</v>
      </c>
      <c r="EC1021" s="13" t="s">
        <v>1110</v>
      </c>
      <c r="ED1021" s="11">
        <v>200000</v>
      </c>
      <c r="EE1021" s="11"/>
    </row>
    <row r="1022" spans="130:135" x14ac:dyDescent="0.2">
      <c r="DZ1022" s="5">
        <v>45931</v>
      </c>
      <c r="EA1022" s="13" t="s">
        <v>1250</v>
      </c>
      <c r="EB1022" s="13" t="s">
        <v>1357</v>
      </c>
      <c r="EC1022" s="13" t="s">
        <v>1110</v>
      </c>
      <c r="ED1022" s="11">
        <v>200000</v>
      </c>
      <c r="EE1022" s="11"/>
    </row>
    <row r="1023" spans="130:135" x14ac:dyDescent="0.2">
      <c r="DZ1023" s="5">
        <v>45931</v>
      </c>
      <c r="EA1023" s="13" t="s">
        <v>1250</v>
      </c>
      <c r="EB1023" s="13" t="s">
        <v>1358</v>
      </c>
      <c r="EC1023" s="13" t="s">
        <v>1110</v>
      </c>
      <c r="ED1023" s="11">
        <v>200000</v>
      </c>
      <c r="EE1023" s="11"/>
    </row>
    <row r="1024" spans="130:135" x14ac:dyDescent="0.2">
      <c r="DZ1024" s="5">
        <v>45931</v>
      </c>
      <c r="EA1024" s="13" t="s">
        <v>1251</v>
      </c>
      <c r="EB1024" s="13" t="s">
        <v>2319</v>
      </c>
      <c r="EC1024" s="13" t="s">
        <v>1187</v>
      </c>
      <c r="ED1024" s="11">
        <v>200000</v>
      </c>
      <c r="EE1024" s="11"/>
    </row>
    <row r="1025" spans="130:135" x14ac:dyDescent="0.2">
      <c r="DZ1025" s="5">
        <v>45931</v>
      </c>
      <c r="EA1025" s="13" t="s">
        <v>1251</v>
      </c>
      <c r="EB1025" s="13" t="s">
        <v>2305</v>
      </c>
      <c r="EC1025" s="13" t="s">
        <v>1187</v>
      </c>
      <c r="ED1025" s="11">
        <v>200000</v>
      </c>
      <c r="EE1025" s="11"/>
    </row>
    <row r="1026" spans="130:135" x14ac:dyDescent="0.2">
      <c r="DZ1026" s="5">
        <v>45931</v>
      </c>
      <c r="EA1026" s="13" t="s">
        <v>1251</v>
      </c>
      <c r="EB1026" s="13" t="s">
        <v>2206</v>
      </c>
      <c r="EC1026" s="13" t="s">
        <v>1187</v>
      </c>
      <c r="ED1026" s="11">
        <v>0</v>
      </c>
      <c r="EE1026" s="11"/>
    </row>
    <row r="1027" spans="130:135" x14ac:dyDescent="0.2">
      <c r="DZ1027" s="5">
        <v>45931</v>
      </c>
      <c r="EA1027" s="13" t="s">
        <v>1250</v>
      </c>
      <c r="EB1027" s="13" t="s">
        <v>1358</v>
      </c>
      <c r="EC1027" s="13" t="s">
        <v>1132</v>
      </c>
      <c r="ED1027" s="11">
        <v>338520</v>
      </c>
      <c r="EE1027" s="11"/>
    </row>
    <row r="1028" spans="130:135" x14ac:dyDescent="0.2">
      <c r="DZ1028" s="5">
        <v>45931</v>
      </c>
      <c r="EA1028" s="13" t="s">
        <v>1250</v>
      </c>
      <c r="EB1028" s="13" t="s">
        <v>2277</v>
      </c>
      <c r="EC1028" s="13" t="s">
        <v>1172</v>
      </c>
      <c r="ED1028" s="11">
        <v>0</v>
      </c>
      <c r="EE1028" s="11"/>
    </row>
    <row r="1029" spans="130:135" x14ac:dyDescent="0.2">
      <c r="DZ1029" s="5">
        <v>45931</v>
      </c>
      <c r="EA1029" s="13" t="s">
        <v>1250</v>
      </c>
      <c r="EB1029" s="13" t="s">
        <v>2211</v>
      </c>
      <c r="EC1029" s="13" t="s">
        <v>1172</v>
      </c>
      <c r="ED1029" s="11">
        <v>0</v>
      </c>
      <c r="EE1029" s="11"/>
    </row>
    <row r="1030" spans="130:135" x14ac:dyDescent="0.2">
      <c r="DZ1030" s="5">
        <v>45931</v>
      </c>
      <c r="EA1030" s="13" t="s">
        <v>1250</v>
      </c>
      <c r="EB1030" s="13" t="s">
        <v>2321</v>
      </c>
      <c r="EC1030" s="13" t="s">
        <v>1172</v>
      </c>
      <c r="ED1030" s="11">
        <v>70400</v>
      </c>
      <c r="EE1030" s="11"/>
    </row>
    <row r="1031" spans="130:135" x14ac:dyDescent="0.2">
      <c r="DZ1031" s="5">
        <v>45931</v>
      </c>
      <c r="EA1031" s="13" t="s">
        <v>1250</v>
      </c>
      <c r="EB1031" s="13" t="s">
        <v>2209</v>
      </c>
      <c r="EC1031" s="13" t="s">
        <v>1172</v>
      </c>
      <c r="ED1031" s="11">
        <v>0</v>
      </c>
      <c r="EE1031" s="11"/>
    </row>
    <row r="1032" spans="130:135" x14ac:dyDescent="0.2">
      <c r="DZ1032" s="5">
        <v>45931</v>
      </c>
      <c r="EA1032" s="13" t="s">
        <v>1250</v>
      </c>
      <c r="EB1032" s="13" t="s">
        <v>1396</v>
      </c>
      <c r="EC1032" s="13" t="s">
        <v>1172</v>
      </c>
      <c r="ED1032" s="11">
        <v>0</v>
      </c>
      <c r="EE1032" s="11"/>
    </row>
    <row r="1033" spans="130:135" x14ac:dyDescent="0.2">
      <c r="DZ1033" s="5">
        <v>45931</v>
      </c>
      <c r="EA1033" s="13" t="s">
        <v>1250</v>
      </c>
      <c r="EB1033" s="13" t="s">
        <v>2207</v>
      </c>
      <c r="EC1033" s="13" t="s">
        <v>1172</v>
      </c>
      <c r="ED1033" s="11">
        <v>0</v>
      </c>
      <c r="EE1033" s="11"/>
    </row>
    <row r="1034" spans="130:135" x14ac:dyDescent="0.2">
      <c r="DZ1034" s="5">
        <v>45931</v>
      </c>
      <c r="EA1034" s="13" t="s">
        <v>1250</v>
      </c>
      <c r="EB1034" s="13" t="s">
        <v>1391</v>
      </c>
      <c r="EC1034" s="13" t="s">
        <v>1172</v>
      </c>
      <c r="ED1034" s="11">
        <v>0</v>
      </c>
      <c r="EE1034" s="11"/>
    </row>
    <row r="1035" spans="130:135" x14ac:dyDescent="0.2">
      <c r="DZ1035" s="5">
        <v>45931</v>
      </c>
      <c r="EA1035" s="13" t="s">
        <v>1250</v>
      </c>
      <c r="EB1035" s="13" t="s">
        <v>2320</v>
      </c>
      <c r="EC1035" s="13" t="s">
        <v>1172</v>
      </c>
      <c r="ED1035" s="11">
        <v>0</v>
      </c>
      <c r="EE1035" s="11"/>
    </row>
    <row r="1036" spans="130:135" x14ac:dyDescent="0.2">
      <c r="DZ1036" s="5">
        <v>45931</v>
      </c>
      <c r="EA1036" s="13" t="s">
        <v>1250</v>
      </c>
      <c r="EB1036" s="13" t="s">
        <v>2210</v>
      </c>
      <c r="EC1036" s="13" t="s">
        <v>1172</v>
      </c>
      <c r="ED1036" s="11">
        <v>0</v>
      </c>
      <c r="EE1036" s="11"/>
    </row>
    <row r="1037" spans="130:135" x14ac:dyDescent="0.2">
      <c r="DZ1037" s="5">
        <v>45931</v>
      </c>
      <c r="EA1037" s="13" t="s">
        <v>1250</v>
      </c>
      <c r="EB1037" s="13" t="s">
        <v>1414</v>
      </c>
      <c r="EC1037" s="13" t="s">
        <v>1172</v>
      </c>
      <c r="ED1037" s="11">
        <v>334100</v>
      </c>
      <c r="EE1037" s="11"/>
    </row>
    <row r="1038" spans="130:135" x14ac:dyDescent="0.2">
      <c r="DZ1038" s="5">
        <v>45931</v>
      </c>
      <c r="EA1038" s="13" t="s">
        <v>1250</v>
      </c>
      <c r="EB1038" s="13" t="s">
        <v>1392</v>
      </c>
      <c r="EC1038" s="13" t="s">
        <v>1172</v>
      </c>
      <c r="ED1038" s="11">
        <v>0</v>
      </c>
      <c r="EE1038" s="11"/>
    </row>
    <row r="1039" spans="130:135" x14ac:dyDescent="0.2">
      <c r="DZ1039" s="5">
        <v>45931</v>
      </c>
      <c r="EA1039" s="13" t="s">
        <v>1250</v>
      </c>
      <c r="EB1039" s="13" t="s">
        <v>2208</v>
      </c>
      <c r="EC1039" s="13" t="s">
        <v>1172</v>
      </c>
      <c r="ED1039" s="11">
        <v>0</v>
      </c>
      <c r="EE1039" s="11"/>
    </row>
    <row r="1040" spans="130:135" x14ac:dyDescent="0.2">
      <c r="DZ1040" s="5">
        <v>45931</v>
      </c>
      <c r="EA1040" s="13" t="s">
        <v>1250</v>
      </c>
      <c r="EB1040" s="13" t="s">
        <v>2288</v>
      </c>
      <c r="EC1040" s="13" t="s">
        <v>1172</v>
      </c>
      <c r="ED1040" s="11">
        <v>0</v>
      </c>
      <c r="EE1040" s="11"/>
    </row>
    <row r="1041" spans="130:135" x14ac:dyDescent="0.2">
      <c r="DZ1041" s="5">
        <v>45931</v>
      </c>
      <c r="EA1041" s="13" t="s">
        <v>1250</v>
      </c>
      <c r="EB1041" s="13" t="s">
        <v>1362</v>
      </c>
      <c r="EC1041" s="13" t="s">
        <v>1172</v>
      </c>
      <c r="ED1041" s="11">
        <v>0</v>
      </c>
      <c r="EE1041" s="11"/>
    </row>
    <row r="1042" spans="130:135" x14ac:dyDescent="0.2">
      <c r="DZ1042" s="5">
        <v>45931</v>
      </c>
      <c r="EA1042" s="13" t="s">
        <v>1250</v>
      </c>
      <c r="EB1042" s="13" t="s">
        <v>2322</v>
      </c>
      <c r="EC1042" s="13" t="s">
        <v>1172</v>
      </c>
      <c r="ED1042" s="11">
        <v>0</v>
      </c>
      <c r="EE1042" s="11"/>
    </row>
    <row r="1043" spans="130:135" x14ac:dyDescent="0.2">
      <c r="DZ1043" s="5">
        <v>45931</v>
      </c>
      <c r="EA1043" s="13" t="s">
        <v>1250</v>
      </c>
      <c r="EB1043" s="13" t="s">
        <v>1357</v>
      </c>
      <c r="EC1043" s="13" t="s">
        <v>1054</v>
      </c>
      <c r="ED1043" s="11">
        <v>225556</v>
      </c>
      <c r="EE1043" s="11"/>
    </row>
    <row r="1044" spans="130:135" x14ac:dyDescent="0.2">
      <c r="DZ1044" s="5">
        <v>45931</v>
      </c>
      <c r="EA1044" s="13" t="s">
        <v>1250</v>
      </c>
      <c r="EB1044" s="13" t="s">
        <v>1356</v>
      </c>
      <c r="EC1044" s="13" t="s">
        <v>1054</v>
      </c>
      <c r="ED1044" s="11">
        <v>225556</v>
      </c>
      <c r="EE1044" s="11"/>
    </row>
    <row r="1045" spans="130:135" x14ac:dyDescent="0.2">
      <c r="DZ1045" s="5">
        <v>45931</v>
      </c>
      <c r="EA1045" s="13" t="s">
        <v>1250</v>
      </c>
      <c r="EB1045" s="13" t="s">
        <v>1358</v>
      </c>
      <c r="EC1045" s="13" t="s">
        <v>1054</v>
      </c>
      <c r="ED1045" s="11">
        <v>153189</v>
      </c>
      <c r="EE1045" s="11"/>
    </row>
    <row r="1046" spans="130:135" x14ac:dyDescent="0.2">
      <c r="DZ1046" s="5">
        <v>45931</v>
      </c>
      <c r="EA1046" s="13" t="s">
        <v>1251</v>
      </c>
      <c r="EB1046" s="13" t="s">
        <v>2305</v>
      </c>
      <c r="EC1046" s="13" t="s">
        <v>1054</v>
      </c>
      <c r="ED1046" s="11">
        <v>290090</v>
      </c>
      <c r="EE1046" s="11"/>
    </row>
    <row r="1047" spans="130:135" x14ac:dyDescent="0.2">
      <c r="DZ1047" s="5">
        <v>45931</v>
      </c>
      <c r="EA1047" s="13" t="s">
        <v>1251</v>
      </c>
      <c r="EB1047" s="13" t="s">
        <v>2206</v>
      </c>
      <c r="EC1047" s="13" t="s">
        <v>1054</v>
      </c>
      <c r="ED1047" s="11">
        <v>0</v>
      </c>
      <c r="EE1047" s="11"/>
    </row>
    <row r="1048" spans="130:135" x14ac:dyDescent="0.2">
      <c r="DZ1048" s="5">
        <v>45931</v>
      </c>
      <c r="EA1048" s="13" t="s">
        <v>1251</v>
      </c>
      <c r="EB1048" s="13" t="s">
        <v>2319</v>
      </c>
      <c r="EC1048" s="13" t="s">
        <v>1054</v>
      </c>
      <c r="ED1048" s="11">
        <v>74663</v>
      </c>
      <c r="EE1048" s="11"/>
    </row>
    <row r="1049" spans="130:135" x14ac:dyDescent="0.2">
      <c r="DZ1049" s="5">
        <v>45931</v>
      </c>
      <c r="EA1049" s="13" t="s">
        <v>1251</v>
      </c>
      <c r="EB1049" s="13" t="s">
        <v>2212</v>
      </c>
      <c r="EC1049" s="13" t="s">
        <v>1054</v>
      </c>
      <c r="ED1049" s="11">
        <v>0</v>
      </c>
      <c r="EE1049" s="11"/>
    </row>
    <row r="1050" spans="130:135" x14ac:dyDescent="0.2">
      <c r="DZ1050" s="5">
        <v>45931</v>
      </c>
      <c r="EA1050" s="13" t="s">
        <v>1251</v>
      </c>
      <c r="EB1050" s="13" t="s">
        <v>2213</v>
      </c>
      <c r="EC1050" s="13" t="s">
        <v>1166</v>
      </c>
      <c r="ED1050" s="11"/>
      <c r="EE1050" s="11">
        <v>304524.44</v>
      </c>
    </row>
    <row r="1051" spans="130:135" x14ac:dyDescent="0.2">
      <c r="DZ1051" s="5">
        <v>45931</v>
      </c>
      <c r="EA1051" s="13" t="s">
        <v>1251</v>
      </c>
      <c r="EB1051" s="13" t="s">
        <v>1351</v>
      </c>
      <c r="EC1051" s="13" t="s">
        <v>1166</v>
      </c>
      <c r="ED1051" s="11"/>
      <c r="EE1051" s="11">
        <v>332787.3</v>
      </c>
    </row>
    <row r="1052" spans="130:135" x14ac:dyDescent="0.2">
      <c r="DZ1052" s="5">
        <v>45931</v>
      </c>
      <c r="EA1052" s="13" t="s">
        <v>1251</v>
      </c>
      <c r="EB1052" s="13" t="s">
        <v>2214</v>
      </c>
      <c r="EC1052" s="13" t="s">
        <v>1166</v>
      </c>
      <c r="ED1052" s="11"/>
      <c r="EE1052" s="11">
        <v>0</v>
      </c>
    </row>
    <row r="1053" spans="130:135" x14ac:dyDescent="0.2">
      <c r="DZ1053" s="5">
        <v>45931</v>
      </c>
      <c r="EA1053" s="13" t="s">
        <v>1252</v>
      </c>
      <c r="EB1053" s="13" t="s">
        <v>1371</v>
      </c>
      <c r="EC1053" s="13" t="s">
        <v>1166</v>
      </c>
      <c r="ED1053" s="11">
        <v>0</v>
      </c>
      <c r="EE1053" s="11"/>
    </row>
    <row r="1054" spans="130:135" x14ac:dyDescent="0.2">
      <c r="DZ1054" s="5">
        <v>45931</v>
      </c>
      <c r="EA1054" s="13" t="s">
        <v>1251</v>
      </c>
      <c r="EB1054" s="13" t="s">
        <v>2212</v>
      </c>
      <c r="EC1054" s="13" t="s">
        <v>1166</v>
      </c>
      <c r="ED1054" s="11"/>
      <c r="EE1054" s="11">
        <v>0</v>
      </c>
    </row>
    <row r="1055" spans="130:135" x14ac:dyDescent="0.2">
      <c r="DZ1055" s="5">
        <v>45931</v>
      </c>
      <c r="EA1055" s="13" t="s">
        <v>1252</v>
      </c>
      <c r="EB1055" s="13" t="s">
        <v>1355</v>
      </c>
      <c r="EC1055" s="13" t="s">
        <v>1166</v>
      </c>
      <c r="ED1055" s="11">
        <v>0</v>
      </c>
      <c r="EE1055" s="11"/>
    </row>
    <row r="1056" spans="130:135" x14ac:dyDescent="0.2">
      <c r="DZ1056" s="5">
        <v>45931</v>
      </c>
      <c r="EA1056" s="13" t="s">
        <v>1251</v>
      </c>
      <c r="EB1056" s="13" t="s">
        <v>1355</v>
      </c>
      <c r="EC1056" s="13" t="s">
        <v>1166</v>
      </c>
      <c r="ED1056" s="11"/>
      <c r="EE1056" s="11">
        <v>781624</v>
      </c>
    </row>
    <row r="1057" spans="130:135" x14ac:dyDescent="0.2">
      <c r="DZ1057" s="5">
        <v>45931</v>
      </c>
      <c r="EA1057" s="13" t="s">
        <v>1251</v>
      </c>
      <c r="EB1057" s="13" t="s">
        <v>2305</v>
      </c>
      <c r="EC1057" s="13" t="s">
        <v>1166</v>
      </c>
      <c r="ED1057" s="11"/>
      <c r="EE1057" s="11">
        <v>382487</v>
      </c>
    </row>
    <row r="1058" spans="130:135" x14ac:dyDescent="0.2">
      <c r="DZ1058" s="5">
        <v>45931</v>
      </c>
      <c r="EA1058" s="13" t="s">
        <v>1251</v>
      </c>
      <c r="EB1058" s="13" t="s">
        <v>2319</v>
      </c>
      <c r="EC1058" s="13" t="s">
        <v>1166</v>
      </c>
      <c r="ED1058" s="11"/>
      <c r="EE1058" s="11">
        <v>82611</v>
      </c>
    </row>
    <row r="1059" spans="130:135" x14ac:dyDescent="0.2">
      <c r="DZ1059" s="5">
        <v>45931</v>
      </c>
      <c r="EA1059" s="13" t="s">
        <v>1252</v>
      </c>
      <c r="EB1059" s="13" t="s">
        <v>2247</v>
      </c>
      <c r="EC1059" s="13" t="s">
        <v>1224</v>
      </c>
      <c r="ED1059" s="11">
        <v>0</v>
      </c>
      <c r="EE1059" s="11"/>
    </row>
    <row r="1060" spans="130:135" x14ac:dyDescent="0.2">
      <c r="DZ1060" s="5">
        <v>45931</v>
      </c>
      <c r="EA1060" s="13" t="s">
        <v>1252</v>
      </c>
      <c r="EB1060" s="13" t="s">
        <v>2235</v>
      </c>
      <c r="EC1060" s="13" t="s">
        <v>1224</v>
      </c>
      <c r="ED1060" s="11">
        <v>0</v>
      </c>
      <c r="EE1060" s="11"/>
    </row>
    <row r="1061" spans="130:135" x14ac:dyDescent="0.2">
      <c r="DZ1061" s="5">
        <v>45931</v>
      </c>
      <c r="EA1061" s="13" t="s">
        <v>1252</v>
      </c>
      <c r="EB1061" s="13" t="s">
        <v>2252</v>
      </c>
      <c r="EC1061" s="13" t="s">
        <v>1224</v>
      </c>
      <c r="ED1061" s="11">
        <v>0</v>
      </c>
      <c r="EE1061" s="11"/>
    </row>
    <row r="1062" spans="130:135" x14ac:dyDescent="0.2">
      <c r="DZ1062" s="5">
        <v>45931</v>
      </c>
      <c r="EA1062" s="13" t="s">
        <v>1252</v>
      </c>
      <c r="EB1062" s="13" t="s">
        <v>2299</v>
      </c>
      <c r="EC1062" s="13" t="s">
        <v>1224</v>
      </c>
      <c r="ED1062" s="11">
        <v>0</v>
      </c>
      <c r="EE1062" s="11"/>
    </row>
    <row r="1063" spans="130:135" x14ac:dyDescent="0.2">
      <c r="DZ1063" s="5">
        <v>45931</v>
      </c>
      <c r="EA1063" s="13" t="s">
        <v>1252</v>
      </c>
      <c r="EB1063" s="13" t="s">
        <v>2250</v>
      </c>
      <c r="EC1063" s="13" t="s">
        <v>1224</v>
      </c>
      <c r="ED1063" s="11">
        <v>0</v>
      </c>
      <c r="EE1063" s="11"/>
    </row>
    <row r="1064" spans="130:135" x14ac:dyDescent="0.2">
      <c r="DZ1064" s="5">
        <v>45931</v>
      </c>
      <c r="EA1064" s="13" t="s">
        <v>1252</v>
      </c>
      <c r="EB1064" s="13" t="s">
        <v>2238</v>
      </c>
      <c r="EC1064" s="13" t="s">
        <v>1224</v>
      </c>
      <c r="ED1064" s="11">
        <v>0</v>
      </c>
      <c r="EE1064" s="11"/>
    </row>
    <row r="1065" spans="130:135" x14ac:dyDescent="0.2">
      <c r="DZ1065" s="5">
        <v>45931</v>
      </c>
      <c r="EA1065" s="13" t="s">
        <v>1252</v>
      </c>
      <c r="EB1065" s="13" t="s">
        <v>2291</v>
      </c>
      <c r="EC1065" s="13" t="s">
        <v>1224</v>
      </c>
      <c r="ED1065" s="11">
        <v>0</v>
      </c>
      <c r="EE1065" s="11"/>
    </row>
    <row r="1066" spans="130:135" x14ac:dyDescent="0.2">
      <c r="DZ1066" s="5">
        <v>45931</v>
      </c>
      <c r="EA1066" s="13" t="s">
        <v>1252</v>
      </c>
      <c r="EB1066" s="13" t="s">
        <v>2223</v>
      </c>
      <c r="EC1066" s="13" t="s">
        <v>1224</v>
      </c>
      <c r="ED1066" s="11">
        <v>0</v>
      </c>
      <c r="EE1066" s="11"/>
    </row>
    <row r="1067" spans="130:135" x14ac:dyDescent="0.2">
      <c r="DZ1067" s="5">
        <v>45931</v>
      </c>
      <c r="EA1067" s="13" t="s">
        <v>1252</v>
      </c>
      <c r="EB1067" s="13" t="s">
        <v>2256</v>
      </c>
      <c r="EC1067" s="13" t="s">
        <v>1224</v>
      </c>
      <c r="ED1067" s="11">
        <v>0</v>
      </c>
      <c r="EE1067" s="11"/>
    </row>
    <row r="1068" spans="130:135" x14ac:dyDescent="0.2">
      <c r="DZ1068" s="5">
        <v>45931</v>
      </c>
      <c r="EA1068" s="13" t="s">
        <v>1252</v>
      </c>
      <c r="EB1068" s="13" t="s">
        <v>2226</v>
      </c>
      <c r="EC1068" s="13" t="s">
        <v>1224</v>
      </c>
      <c r="ED1068" s="11">
        <v>0</v>
      </c>
      <c r="EE1068" s="11"/>
    </row>
    <row r="1069" spans="130:135" x14ac:dyDescent="0.2">
      <c r="DZ1069" s="5">
        <v>45931</v>
      </c>
      <c r="EA1069" s="13" t="s">
        <v>1252</v>
      </c>
      <c r="EB1069" s="13" t="s">
        <v>2219</v>
      </c>
      <c r="EC1069" s="13" t="s">
        <v>1224</v>
      </c>
      <c r="ED1069" s="11">
        <v>0</v>
      </c>
      <c r="EE1069" s="11"/>
    </row>
    <row r="1070" spans="130:135" x14ac:dyDescent="0.2">
      <c r="DZ1070" s="5">
        <v>45931</v>
      </c>
      <c r="EA1070" s="13" t="s">
        <v>1252</v>
      </c>
      <c r="EB1070" s="13" t="s">
        <v>2296</v>
      </c>
      <c r="EC1070" s="13" t="s">
        <v>1224</v>
      </c>
      <c r="ED1070" s="11">
        <v>0</v>
      </c>
      <c r="EE1070" s="11"/>
    </row>
    <row r="1071" spans="130:135" x14ac:dyDescent="0.2">
      <c r="DZ1071" s="5">
        <v>45931</v>
      </c>
      <c r="EA1071" s="13" t="s">
        <v>1252</v>
      </c>
      <c r="EB1071" s="13" t="s">
        <v>2300</v>
      </c>
      <c r="EC1071" s="13" t="s">
        <v>1224</v>
      </c>
      <c r="ED1071" s="11">
        <v>0</v>
      </c>
      <c r="EE1071" s="11"/>
    </row>
    <row r="1072" spans="130:135" x14ac:dyDescent="0.2">
      <c r="DZ1072" s="5">
        <v>45931</v>
      </c>
      <c r="EA1072" s="13" t="s">
        <v>1252</v>
      </c>
      <c r="EB1072" s="13" t="s">
        <v>2325</v>
      </c>
      <c r="EC1072" s="13" t="s">
        <v>1224</v>
      </c>
      <c r="ED1072" s="11">
        <v>0</v>
      </c>
      <c r="EE1072" s="11"/>
    </row>
    <row r="1073" spans="130:135" x14ac:dyDescent="0.2">
      <c r="DZ1073" s="5">
        <v>45931</v>
      </c>
      <c r="EA1073" s="13" t="s">
        <v>1252</v>
      </c>
      <c r="EB1073" s="13" t="s">
        <v>1391</v>
      </c>
      <c r="EC1073" s="13" t="s">
        <v>1224</v>
      </c>
      <c r="ED1073" s="11">
        <v>0</v>
      </c>
      <c r="EE1073" s="11"/>
    </row>
    <row r="1074" spans="130:135" x14ac:dyDescent="0.2">
      <c r="DZ1074" s="5">
        <v>45931</v>
      </c>
      <c r="EA1074" s="13" t="s">
        <v>1252</v>
      </c>
      <c r="EB1074" s="13" t="s">
        <v>2343</v>
      </c>
      <c r="EC1074" s="13" t="s">
        <v>1224</v>
      </c>
      <c r="ED1074" s="11">
        <v>54201.67</v>
      </c>
      <c r="EE1074" s="11"/>
    </row>
    <row r="1075" spans="130:135" x14ac:dyDescent="0.2">
      <c r="DZ1075" s="5">
        <v>45931</v>
      </c>
      <c r="EA1075" s="13" t="s">
        <v>1252</v>
      </c>
      <c r="EB1075" s="13" t="s">
        <v>2269</v>
      </c>
      <c r="EC1075" s="13" t="s">
        <v>1224</v>
      </c>
      <c r="ED1075" s="11">
        <v>0</v>
      </c>
      <c r="EE1075" s="11"/>
    </row>
    <row r="1076" spans="130:135" x14ac:dyDescent="0.2">
      <c r="DZ1076" s="5">
        <v>45931</v>
      </c>
      <c r="EA1076" s="13" t="s">
        <v>1252</v>
      </c>
      <c r="EB1076" s="13" t="s">
        <v>2246</v>
      </c>
      <c r="EC1076" s="13" t="s">
        <v>1224</v>
      </c>
      <c r="ED1076" s="11">
        <v>0</v>
      </c>
      <c r="EE1076" s="11"/>
    </row>
    <row r="1077" spans="130:135" x14ac:dyDescent="0.2">
      <c r="DZ1077" s="5">
        <v>45931</v>
      </c>
      <c r="EA1077" s="13" t="s">
        <v>1252</v>
      </c>
      <c r="EB1077" s="13" t="s">
        <v>2344</v>
      </c>
      <c r="EC1077" s="13" t="s">
        <v>1224</v>
      </c>
      <c r="ED1077" s="11">
        <v>34000</v>
      </c>
      <c r="EE1077" s="11"/>
    </row>
    <row r="1078" spans="130:135" x14ac:dyDescent="0.2">
      <c r="DZ1078" s="5">
        <v>45931</v>
      </c>
      <c r="EA1078" s="13" t="s">
        <v>1252</v>
      </c>
      <c r="EB1078" s="13" t="s">
        <v>2345</v>
      </c>
      <c r="EC1078" s="13" t="s">
        <v>1224</v>
      </c>
      <c r="ED1078" s="11">
        <v>0</v>
      </c>
      <c r="EE1078" s="11"/>
    </row>
    <row r="1079" spans="130:135" x14ac:dyDescent="0.2">
      <c r="DZ1079" s="5">
        <v>45931</v>
      </c>
      <c r="EA1079" s="13" t="s">
        <v>1252</v>
      </c>
      <c r="EB1079" s="13" t="s">
        <v>2236</v>
      </c>
      <c r="EC1079" s="13" t="s">
        <v>1224</v>
      </c>
      <c r="ED1079" s="11">
        <v>0</v>
      </c>
      <c r="EE1079" s="11"/>
    </row>
    <row r="1080" spans="130:135" x14ac:dyDescent="0.2">
      <c r="DZ1080" s="5">
        <v>45931</v>
      </c>
      <c r="EA1080" s="13" t="s">
        <v>1252</v>
      </c>
      <c r="EB1080" s="13" t="s">
        <v>2328</v>
      </c>
      <c r="EC1080" s="13" t="s">
        <v>1224</v>
      </c>
      <c r="ED1080" s="11">
        <v>0</v>
      </c>
      <c r="EE1080" s="11"/>
    </row>
    <row r="1081" spans="130:135" x14ac:dyDescent="0.2">
      <c r="DZ1081" s="5">
        <v>45931</v>
      </c>
      <c r="EA1081" s="13" t="s">
        <v>1252</v>
      </c>
      <c r="EB1081" s="13" t="s">
        <v>2263</v>
      </c>
      <c r="EC1081" s="13" t="s">
        <v>1224</v>
      </c>
      <c r="ED1081" s="11">
        <v>0</v>
      </c>
      <c r="EE1081" s="11"/>
    </row>
    <row r="1082" spans="130:135" x14ac:dyDescent="0.2">
      <c r="DZ1082" s="5">
        <v>45931</v>
      </c>
      <c r="EA1082" s="13" t="s">
        <v>1252</v>
      </c>
      <c r="EB1082" s="13" t="s">
        <v>2231</v>
      </c>
      <c r="EC1082" s="13" t="s">
        <v>1224</v>
      </c>
      <c r="ED1082" s="11">
        <v>0</v>
      </c>
      <c r="EE1082" s="11"/>
    </row>
    <row r="1083" spans="130:135" x14ac:dyDescent="0.2">
      <c r="DZ1083" s="5">
        <v>45931</v>
      </c>
      <c r="EA1083" s="13" t="s">
        <v>1252</v>
      </c>
      <c r="EB1083" s="13" t="s">
        <v>2327</v>
      </c>
      <c r="EC1083" s="13" t="s">
        <v>1224</v>
      </c>
      <c r="ED1083" s="11">
        <v>0</v>
      </c>
      <c r="EE1083" s="11"/>
    </row>
    <row r="1084" spans="130:135" x14ac:dyDescent="0.2">
      <c r="DZ1084" s="5">
        <v>45931</v>
      </c>
      <c r="EA1084" s="13" t="s">
        <v>1252</v>
      </c>
      <c r="EB1084" s="13" t="s">
        <v>2275</v>
      </c>
      <c r="EC1084" s="13" t="s">
        <v>1224</v>
      </c>
      <c r="ED1084" s="11">
        <v>0</v>
      </c>
      <c r="EE1084" s="11"/>
    </row>
    <row r="1085" spans="130:135" x14ac:dyDescent="0.2">
      <c r="DZ1085" s="5">
        <v>45931</v>
      </c>
      <c r="EA1085" s="13" t="s">
        <v>1252</v>
      </c>
      <c r="EB1085" s="13" t="s">
        <v>2268</v>
      </c>
      <c r="EC1085" s="13" t="s">
        <v>1224</v>
      </c>
      <c r="ED1085" s="11">
        <v>0</v>
      </c>
      <c r="EE1085" s="11"/>
    </row>
    <row r="1086" spans="130:135" x14ac:dyDescent="0.2">
      <c r="DZ1086" s="5">
        <v>45931</v>
      </c>
      <c r="EA1086" s="13" t="s">
        <v>1252</v>
      </c>
      <c r="EB1086" s="13" t="s">
        <v>2270</v>
      </c>
      <c r="EC1086" s="13" t="s">
        <v>1224</v>
      </c>
      <c r="ED1086" s="11">
        <v>0</v>
      </c>
      <c r="EE1086" s="11"/>
    </row>
    <row r="1087" spans="130:135" x14ac:dyDescent="0.2">
      <c r="DZ1087" s="5">
        <v>45931</v>
      </c>
      <c r="EA1087" s="13" t="s">
        <v>1252</v>
      </c>
      <c r="EB1087" s="13" t="s">
        <v>2266</v>
      </c>
      <c r="EC1087" s="13" t="s">
        <v>1224</v>
      </c>
      <c r="ED1087" s="11">
        <v>0</v>
      </c>
      <c r="EE1087" s="11"/>
    </row>
    <row r="1088" spans="130:135" x14ac:dyDescent="0.2">
      <c r="DZ1088" s="5">
        <v>45931</v>
      </c>
      <c r="EA1088" s="13" t="s">
        <v>1252</v>
      </c>
      <c r="EB1088" s="13" t="s">
        <v>2346</v>
      </c>
      <c r="EC1088" s="13" t="s">
        <v>1224</v>
      </c>
      <c r="ED1088" s="11">
        <v>10084.030000000001</v>
      </c>
      <c r="EE1088" s="11"/>
    </row>
    <row r="1089" spans="130:135" x14ac:dyDescent="0.2">
      <c r="DZ1089" s="5">
        <v>45931</v>
      </c>
      <c r="EA1089" s="13" t="s">
        <v>1252</v>
      </c>
      <c r="EB1089" s="13" t="s">
        <v>2259</v>
      </c>
      <c r="EC1089" s="13" t="s">
        <v>1224</v>
      </c>
      <c r="ED1089" s="11">
        <v>0</v>
      </c>
      <c r="EE1089" s="11"/>
    </row>
    <row r="1090" spans="130:135" x14ac:dyDescent="0.2">
      <c r="DZ1090" s="5">
        <v>45931</v>
      </c>
      <c r="EA1090" s="13" t="s">
        <v>1252</v>
      </c>
      <c r="EB1090" s="13" t="s">
        <v>2311</v>
      </c>
      <c r="EC1090" s="13" t="s">
        <v>1224</v>
      </c>
      <c r="ED1090" s="11">
        <v>0</v>
      </c>
      <c r="EE1090" s="11"/>
    </row>
    <row r="1091" spans="130:135" x14ac:dyDescent="0.2">
      <c r="DZ1091" s="5">
        <v>45931</v>
      </c>
      <c r="EA1091" s="13" t="s">
        <v>1252</v>
      </c>
      <c r="EB1091" s="13" t="s">
        <v>2295</v>
      </c>
      <c r="EC1091" s="13" t="s">
        <v>1224</v>
      </c>
      <c r="ED1091" s="11">
        <v>0</v>
      </c>
      <c r="EE1091" s="11"/>
    </row>
    <row r="1092" spans="130:135" x14ac:dyDescent="0.2">
      <c r="DZ1092" s="5">
        <v>45931</v>
      </c>
      <c r="EA1092" s="13" t="s">
        <v>1252</v>
      </c>
      <c r="EB1092" s="13" t="s">
        <v>2289</v>
      </c>
      <c r="EC1092" s="13" t="s">
        <v>1224</v>
      </c>
      <c r="ED1092" s="11">
        <v>0</v>
      </c>
      <c r="EE1092" s="11"/>
    </row>
    <row r="1093" spans="130:135" x14ac:dyDescent="0.2">
      <c r="DZ1093" s="5">
        <v>45931</v>
      </c>
      <c r="EA1093" s="13" t="s">
        <v>1252</v>
      </c>
      <c r="EB1093" s="13" t="s">
        <v>2254</v>
      </c>
      <c r="EC1093" s="13" t="s">
        <v>1224</v>
      </c>
      <c r="ED1093" s="11">
        <v>0</v>
      </c>
      <c r="EE1093" s="11"/>
    </row>
    <row r="1094" spans="130:135" x14ac:dyDescent="0.2">
      <c r="DZ1094" s="5">
        <v>45931</v>
      </c>
      <c r="EA1094" s="13" t="s">
        <v>1252</v>
      </c>
      <c r="EB1094" s="13" t="s">
        <v>2217</v>
      </c>
      <c r="EC1094" s="13" t="s">
        <v>1224</v>
      </c>
      <c r="ED1094" s="11">
        <v>0</v>
      </c>
      <c r="EE1094" s="11"/>
    </row>
    <row r="1095" spans="130:135" x14ac:dyDescent="0.2">
      <c r="DZ1095" s="5">
        <v>45931</v>
      </c>
      <c r="EA1095" s="13" t="s">
        <v>1252</v>
      </c>
      <c r="EB1095" s="13" t="s">
        <v>2312</v>
      </c>
      <c r="EC1095" s="13" t="s">
        <v>1224</v>
      </c>
      <c r="ED1095" s="11">
        <v>140546.22</v>
      </c>
      <c r="EE1095" s="11"/>
    </row>
    <row r="1096" spans="130:135" x14ac:dyDescent="0.2">
      <c r="DZ1096" s="5">
        <v>45931</v>
      </c>
      <c r="EA1096" s="13" t="s">
        <v>1252</v>
      </c>
      <c r="EB1096" s="13" t="s">
        <v>2222</v>
      </c>
      <c r="EC1096" s="13" t="s">
        <v>1224</v>
      </c>
      <c r="ED1096" s="11">
        <v>0</v>
      </c>
      <c r="EE1096" s="11"/>
    </row>
    <row r="1097" spans="130:135" x14ac:dyDescent="0.2">
      <c r="DZ1097" s="5">
        <v>45931</v>
      </c>
      <c r="EA1097" s="13" t="s">
        <v>1252</v>
      </c>
      <c r="EB1097" s="13" t="s">
        <v>2347</v>
      </c>
      <c r="EC1097" s="13" t="s">
        <v>1224</v>
      </c>
      <c r="ED1097" s="11">
        <v>5882.35</v>
      </c>
      <c r="EE1097" s="11"/>
    </row>
    <row r="1098" spans="130:135" x14ac:dyDescent="0.2">
      <c r="DZ1098" s="5">
        <v>45931</v>
      </c>
      <c r="EA1098" s="13" t="s">
        <v>1252</v>
      </c>
      <c r="EB1098" s="13" t="s">
        <v>2229</v>
      </c>
      <c r="EC1098" s="13" t="s">
        <v>1224</v>
      </c>
      <c r="ED1098" s="11">
        <v>0</v>
      </c>
      <c r="EE1098" s="11"/>
    </row>
    <row r="1099" spans="130:135" x14ac:dyDescent="0.2">
      <c r="DZ1099" s="5">
        <v>45931</v>
      </c>
      <c r="EA1099" s="13" t="s">
        <v>1252</v>
      </c>
      <c r="EB1099" s="13" t="s">
        <v>2218</v>
      </c>
      <c r="EC1099" s="13" t="s">
        <v>1224</v>
      </c>
      <c r="ED1099" s="11">
        <v>0</v>
      </c>
      <c r="EE1099" s="11"/>
    </row>
    <row r="1100" spans="130:135" x14ac:dyDescent="0.2">
      <c r="DZ1100" s="5">
        <v>45931</v>
      </c>
      <c r="EA1100" s="13" t="s">
        <v>1252</v>
      </c>
      <c r="EB1100" s="13" t="s">
        <v>2348</v>
      </c>
      <c r="EC1100" s="13" t="s">
        <v>1224</v>
      </c>
      <c r="ED1100" s="11">
        <v>760504.2</v>
      </c>
      <c r="EE1100" s="11"/>
    </row>
    <row r="1101" spans="130:135" x14ac:dyDescent="0.2">
      <c r="DZ1101" s="5">
        <v>45931</v>
      </c>
      <c r="EA1101" s="13" t="s">
        <v>1252</v>
      </c>
      <c r="EB1101" s="13" t="s">
        <v>2297</v>
      </c>
      <c r="EC1101" s="13" t="s">
        <v>1224</v>
      </c>
      <c r="ED1101" s="11">
        <v>0</v>
      </c>
      <c r="EE1101" s="11"/>
    </row>
    <row r="1102" spans="130:135" x14ac:dyDescent="0.2">
      <c r="DZ1102" s="5">
        <v>45931</v>
      </c>
      <c r="EA1102" s="13" t="s">
        <v>1252</v>
      </c>
      <c r="EB1102" s="13" t="s">
        <v>2274</v>
      </c>
      <c r="EC1102" s="13" t="s">
        <v>1224</v>
      </c>
      <c r="ED1102" s="11">
        <v>0</v>
      </c>
      <c r="EE1102" s="11"/>
    </row>
    <row r="1103" spans="130:135" x14ac:dyDescent="0.2">
      <c r="DZ1103" s="5">
        <v>45931</v>
      </c>
      <c r="EA1103" s="13" t="s">
        <v>1252</v>
      </c>
      <c r="EB1103" s="13" t="s">
        <v>2234</v>
      </c>
      <c r="EC1103" s="13" t="s">
        <v>1224</v>
      </c>
      <c r="ED1103" s="11">
        <v>0</v>
      </c>
      <c r="EE1103" s="11"/>
    </row>
    <row r="1104" spans="130:135" x14ac:dyDescent="0.2">
      <c r="DZ1104" s="5">
        <v>45931</v>
      </c>
      <c r="EA1104" s="13" t="s">
        <v>1252</v>
      </c>
      <c r="EB1104" s="13" t="s">
        <v>2257</v>
      </c>
      <c r="EC1104" s="13" t="s">
        <v>1224</v>
      </c>
      <c r="ED1104" s="11">
        <v>0</v>
      </c>
      <c r="EE1104" s="11"/>
    </row>
    <row r="1105" spans="130:135" x14ac:dyDescent="0.2">
      <c r="DZ1105" s="5">
        <v>45931</v>
      </c>
      <c r="EA1105" s="13" t="s">
        <v>1252</v>
      </c>
      <c r="EB1105" s="13" t="s">
        <v>2220</v>
      </c>
      <c r="EC1105" s="13" t="s">
        <v>1224</v>
      </c>
      <c r="ED1105" s="11">
        <v>0</v>
      </c>
      <c r="EE1105" s="11"/>
    </row>
    <row r="1106" spans="130:135" x14ac:dyDescent="0.2">
      <c r="DZ1106" s="5">
        <v>45931</v>
      </c>
      <c r="EA1106" s="13" t="s">
        <v>1252</v>
      </c>
      <c r="EB1106" s="13" t="s">
        <v>2248</v>
      </c>
      <c r="EC1106" s="13" t="s">
        <v>1224</v>
      </c>
      <c r="ED1106" s="11">
        <v>0</v>
      </c>
      <c r="EE1106" s="11"/>
    </row>
    <row r="1107" spans="130:135" x14ac:dyDescent="0.2">
      <c r="DZ1107" s="5">
        <v>45931</v>
      </c>
      <c r="EA1107" s="13" t="s">
        <v>1252</v>
      </c>
      <c r="EB1107" s="13" t="s">
        <v>2249</v>
      </c>
      <c r="EC1107" s="13" t="s">
        <v>1224</v>
      </c>
      <c r="ED1107" s="11">
        <v>0</v>
      </c>
      <c r="EE1107" s="11"/>
    </row>
    <row r="1108" spans="130:135" x14ac:dyDescent="0.2">
      <c r="DZ1108" s="5">
        <v>45931</v>
      </c>
      <c r="EA1108" s="13" t="s">
        <v>1252</v>
      </c>
      <c r="EB1108" s="13" t="s">
        <v>2237</v>
      </c>
      <c r="EC1108" s="13" t="s">
        <v>1224</v>
      </c>
      <c r="ED1108" s="11">
        <v>0</v>
      </c>
      <c r="EE1108" s="11"/>
    </row>
    <row r="1109" spans="130:135" x14ac:dyDescent="0.2">
      <c r="DZ1109" s="5">
        <v>45931</v>
      </c>
      <c r="EA1109" s="13" t="s">
        <v>1252</v>
      </c>
      <c r="EB1109" s="13" t="s">
        <v>2331</v>
      </c>
      <c r="EC1109" s="13" t="s">
        <v>1224</v>
      </c>
      <c r="ED1109" s="11">
        <v>0</v>
      </c>
      <c r="EE1109" s="11"/>
    </row>
    <row r="1110" spans="130:135" x14ac:dyDescent="0.2">
      <c r="DZ1110" s="5">
        <v>45931</v>
      </c>
      <c r="EA1110" s="13" t="s">
        <v>1252</v>
      </c>
      <c r="EB1110" s="13" t="s">
        <v>2323</v>
      </c>
      <c r="EC1110" s="13" t="s">
        <v>1224</v>
      </c>
      <c r="ED1110" s="11">
        <v>0</v>
      </c>
      <c r="EE1110" s="11"/>
    </row>
    <row r="1111" spans="130:135" x14ac:dyDescent="0.2">
      <c r="DZ1111" s="5">
        <v>45931</v>
      </c>
      <c r="EA1111" s="13" t="s">
        <v>1252</v>
      </c>
      <c r="EB1111" s="13" t="s">
        <v>2240</v>
      </c>
      <c r="EC1111" s="13" t="s">
        <v>1224</v>
      </c>
      <c r="ED1111" s="11">
        <v>0</v>
      </c>
      <c r="EE1111" s="11"/>
    </row>
    <row r="1112" spans="130:135" x14ac:dyDescent="0.2">
      <c r="DZ1112" s="5">
        <v>45931</v>
      </c>
      <c r="EA1112" s="13" t="s">
        <v>1252</v>
      </c>
      <c r="EB1112" s="13" t="s">
        <v>2330</v>
      </c>
      <c r="EC1112" s="13" t="s">
        <v>1224</v>
      </c>
      <c r="ED1112" s="11">
        <v>0</v>
      </c>
      <c r="EE1112" s="11"/>
    </row>
    <row r="1113" spans="130:135" x14ac:dyDescent="0.2">
      <c r="DZ1113" s="5">
        <v>45931</v>
      </c>
      <c r="EA1113" s="13" t="s">
        <v>1252</v>
      </c>
      <c r="EB1113" s="13" t="s">
        <v>2308</v>
      </c>
      <c r="EC1113" s="13" t="s">
        <v>1224</v>
      </c>
      <c r="ED1113" s="11">
        <v>0</v>
      </c>
      <c r="EE1113" s="11"/>
    </row>
    <row r="1114" spans="130:135" x14ac:dyDescent="0.2">
      <c r="DZ1114" s="5">
        <v>45931</v>
      </c>
      <c r="EA1114" s="13" t="s">
        <v>1252</v>
      </c>
      <c r="EB1114" s="13" t="s">
        <v>2230</v>
      </c>
      <c r="EC1114" s="13" t="s">
        <v>1224</v>
      </c>
      <c r="ED1114" s="11">
        <v>0</v>
      </c>
      <c r="EE1114" s="11"/>
    </row>
    <row r="1115" spans="130:135" x14ac:dyDescent="0.2">
      <c r="DZ1115" s="5">
        <v>45931</v>
      </c>
      <c r="EA1115" s="13" t="s">
        <v>1252</v>
      </c>
      <c r="EB1115" s="13" t="s">
        <v>2310</v>
      </c>
      <c r="EC1115" s="13" t="s">
        <v>1224</v>
      </c>
      <c r="ED1115" s="11">
        <v>0</v>
      </c>
      <c r="EE1115" s="11"/>
    </row>
    <row r="1116" spans="130:135" x14ac:dyDescent="0.2">
      <c r="DZ1116" s="5">
        <v>45931</v>
      </c>
      <c r="EA1116" s="13" t="s">
        <v>1252</v>
      </c>
      <c r="EB1116" s="13" t="s">
        <v>2245</v>
      </c>
      <c r="EC1116" s="13" t="s">
        <v>1224</v>
      </c>
      <c r="ED1116" s="11">
        <v>0</v>
      </c>
      <c r="EE1116" s="11"/>
    </row>
    <row r="1117" spans="130:135" x14ac:dyDescent="0.2">
      <c r="DZ1117" s="5">
        <v>45931</v>
      </c>
      <c r="EA1117" s="13" t="s">
        <v>1252</v>
      </c>
      <c r="EB1117" s="13" t="s">
        <v>2333</v>
      </c>
      <c r="EC1117" s="13" t="s">
        <v>1224</v>
      </c>
      <c r="ED1117" s="11">
        <v>0</v>
      </c>
      <c r="EE1117" s="11"/>
    </row>
    <row r="1118" spans="130:135" x14ac:dyDescent="0.2">
      <c r="DZ1118" s="5">
        <v>45931</v>
      </c>
      <c r="EA1118" s="13" t="s">
        <v>1252</v>
      </c>
      <c r="EB1118" s="13" t="s">
        <v>2309</v>
      </c>
      <c r="EC1118" s="13" t="s">
        <v>1224</v>
      </c>
      <c r="ED1118" s="11">
        <v>0</v>
      </c>
      <c r="EE1118" s="11"/>
    </row>
    <row r="1119" spans="130:135" x14ac:dyDescent="0.2">
      <c r="DZ1119" s="5">
        <v>45931</v>
      </c>
      <c r="EA1119" s="13" t="s">
        <v>1252</v>
      </c>
      <c r="EB1119" s="13" t="s">
        <v>2239</v>
      </c>
      <c r="EC1119" s="13" t="s">
        <v>1224</v>
      </c>
      <c r="ED1119" s="11">
        <v>0</v>
      </c>
      <c r="EE1119" s="11"/>
    </row>
    <row r="1120" spans="130:135" x14ac:dyDescent="0.2">
      <c r="DZ1120" s="5">
        <v>45931</v>
      </c>
      <c r="EA1120" s="13" t="s">
        <v>1252</v>
      </c>
      <c r="EB1120" s="13" t="s">
        <v>2228</v>
      </c>
      <c r="EC1120" s="13" t="s">
        <v>1224</v>
      </c>
      <c r="ED1120" s="11">
        <v>0</v>
      </c>
      <c r="EE1120" s="11"/>
    </row>
    <row r="1121" spans="130:135" x14ac:dyDescent="0.2">
      <c r="DZ1121" s="5">
        <v>45931</v>
      </c>
      <c r="EA1121" s="13" t="s">
        <v>1252</v>
      </c>
      <c r="EB1121" s="13" t="s">
        <v>2349</v>
      </c>
      <c r="EC1121" s="13" t="s">
        <v>1224</v>
      </c>
      <c r="ED1121" s="11">
        <v>139915.98000000001</v>
      </c>
      <c r="EE1121" s="11"/>
    </row>
    <row r="1122" spans="130:135" x14ac:dyDescent="0.2">
      <c r="DZ1122" s="5">
        <v>45931</v>
      </c>
      <c r="EA1122" s="13" t="s">
        <v>1252</v>
      </c>
      <c r="EB1122" s="13" t="s">
        <v>2267</v>
      </c>
      <c r="EC1122" s="13" t="s">
        <v>1224</v>
      </c>
      <c r="ED1122" s="11">
        <v>0</v>
      </c>
      <c r="EE1122" s="11"/>
    </row>
    <row r="1123" spans="130:135" x14ac:dyDescent="0.2">
      <c r="DZ1123" s="5">
        <v>45931</v>
      </c>
      <c r="EA1123" s="13" t="s">
        <v>1252</v>
      </c>
      <c r="EB1123" s="13" t="s">
        <v>2258</v>
      </c>
      <c r="EC1123" s="13" t="s">
        <v>1224</v>
      </c>
      <c r="ED1123" s="11">
        <v>0</v>
      </c>
      <c r="EE1123" s="11"/>
    </row>
    <row r="1124" spans="130:135" x14ac:dyDescent="0.2">
      <c r="DZ1124" s="5">
        <v>45931</v>
      </c>
      <c r="EA1124" s="13" t="s">
        <v>1252</v>
      </c>
      <c r="EB1124" s="13" t="s">
        <v>2265</v>
      </c>
      <c r="EC1124" s="13" t="s">
        <v>1224</v>
      </c>
      <c r="ED1124" s="11">
        <v>0</v>
      </c>
      <c r="EE1124" s="11"/>
    </row>
    <row r="1125" spans="130:135" x14ac:dyDescent="0.2">
      <c r="DZ1125" s="5">
        <v>45931</v>
      </c>
      <c r="EA1125" s="13" t="s">
        <v>1252</v>
      </c>
      <c r="EB1125" s="13" t="s">
        <v>1356</v>
      </c>
      <c r="EC1125" s="13" t="s">
        <v>1224</v>
      </c>
      <c r="ED1125" s="11">
        <v>0</v>
      </c>
      <c r="EE1125" s="11"/>
    </row>
    <row r="1126" spans="130:135" x14ac:dyDescent="0.2">
      <c r="DZ1126" s="5">
        <v>45931</v>
      </c>
      <c r="EA1126" s="13" t="s">
        <v>1252</v>
      </c>
      <c r="EB1126" s="13" t="s">
        <v>2227</v>
      </c>
      <c r="EC1126" s="13" t="s">
        <v>1224</v>
      </c>
      <c r="ED1126" s="11">
        <v>0</v>
      </c>
      <c r="EE1126" s="11"/>
    </row>
    <row r="1127" spans="130:135" x14ac:dyDescent="0.2">
      <c r="DZ1127" s="5">
        <v>45931</v>
      </c>
      <c r="EA1127" s="13" t="s">
        <v>1252</v>
      </c>
      <c r="EB1127" s="13" t="s">
        <v>2262</v>
      </c>
      <c r="EC1127" s="13" t="s">
        <v>1224</v>
      </c>
      <c r="ED1127" s="11">
        <v>0</v>
      </c>
      <c r="EE1127" s="11"/>
    </row>
    <row r="1128" spans="130:135" x14ac:dyDescent="0.2">
      <c r="DZ1128" s="5">
        <v>45931</v>
      </c>
      <c r="EA1128" s="13" t="s">
        <v>1252</v>
      </c>
      <c r="EB1128" s="13" t="s">
        <v>2324</v>
      </c>
      <c r="EC1128" s="13" t="s">
        <v>1224</v>
      </c>
      <c r="ED1128" s="11">
        <v>0</v>
      </c>
      <c r="EE1128" s="11"/>
    </row>
    <row r="1129" spans="130:135" x14ac:dyDescent="0.2">
      <c r="DZ1129" s="5">
        <v>45931</v>
      </c>
      <c r="EA1129" s="13" t="s">
        <v>1252</v>
      </c>
      <c r="EB1129" s="13" t="s">
        <v>2251</v>
      </c>
      <c r="EC1129" s="13" t="s">
        <v>1224</v>
      </c>
      <c r="ED1129" s="11">
        <v>0</v>
      </c>
      <c r="EE1129" s="11"/>
    </row>
    <row r="1130" spans="130:135" x14ac:dyDescent="0.2">
      <c r="DZ1130" s="5">
        <v>45931</v>
      </c>
      <c r="EA1130" s="13" t="s">
        <v>1252</v>
      </c>
      <c r="EB1130" s="13" t="s">
        <v>2260</v>
      </c>
      <c r="EC1130" s="13" t="s">
        <v>1224</v>
      </c>
      <c r="ED1130" s="11">
        <v>0</v>
      </c>
      <c r="EE1130" s="11"/>
    </row>
    <row r="1131" spans="130:135" x14ac:dyDescent="0.2">
      <c r="DZ1131" s="5">
        <v>45931</v>
      </c>
      <c r="EA1131" s="13" t="s">
        <v>1252</v>
      </c>
      <c r="EB1131" s="13" t="s">
        <v>2272</v>
      </c>
      <c r="EC1131" s="13" t="s">
        <v>1224</v>
      </c>
      <c r="ED1131" s="11">
        <v>0</v>
      </c>
      <c r="EE1131" s="11"/>
    </row>
    <row r="1132" spans="130:135" x14ac:dyDescent="0.2">
      <c r="DZ1132" s="5">
        <v>45931</v>
      </c>
      <c r="EA1132" s="13" t="s">
        <v>1252</v>
      </c>
      <c r="EB1132" s="13" t="s">
        <v>2332</v>
      </c>
      <c r="EC1132" s="13" t="s">
        <v>1224</v>
      </c>
      <c r="ED1132" s="11">
        <v>0</v>
      </c>
      <c r="EE1132" s="11"/>
    </row>
    <row r="1133" spans="130:135" x14ac:dyDescent="0.2">
      <c r="DZ1133" s="5">
        <v>45931</v>
      </c>
      <c r="EA1133" s="13" t="s">
        <v>1252</v>
      </c>
      <c r="EB1133" s="13" t="s">
        <v>2326</v>
      </c>
      <c r="EC1133" s="13" t="s">
        <v>1224</v>
      </c>
      <c r="ED1133" s="11">
        <v>0</v>
      </c>
      <c r="EE1133" s="11"/>
    </row>
    <row r="1134" spans="130:135" x14ac:dyDescent="0.2">
      <c r="DZ1134" s="5">
        <v>45931</v>
      </c>
      <c r="EA1134" s="13" t="s">
        <v>1252</v>
      </c>
      <c r="EB1134" s="13" t="s">
        <v>1403</v>
      </c>
      <c r="EC1134" s="13" t="s">
        <v>1224</v>
      </c>
      <c r="ED1134" s="11">
        <v>271586.56</v>
      </c>
      <c r="EE1134" s="11"/>
    </row>
    <row r="1135" spans="130:135" x14ac:dyDescent="0.2">
      <c r="DZ1135" s="5">
        <v>45931</v>
      </c>
      <c r="EA1135" s="13" t="s">
        <v>1252</v>
      </c>
      <c r="EB1135" s="13" t="s">
        <v>2243</v>
      </c>
      <c r="EC1135" s="13" t="s">
        <v>1224</v>
      </c>
      <c r="ED1135" s="11">
        <v>0</v>
      </c>
      <c r="EE1135" s="11"/>
    </row>
    <row r="1136" spans="130:135" x14ac:dyDescent="0.2">
      <c r="DZ1136" s="5">
        <v>45931</v>
      </c>
      <c r="EA1136" s="13" t="s">
        <v>1252</v>
      </c>
      <c r="EB1136" s="13" t="s">
        <v>2264</v>
      </c>
      <c r="EC1136" s="13" t="s">
        <v>1224</v>
      </c>
      <c r="ED1136" s="11">
        <v>0</v>
      </c>
      <c r="EE1136" s="11"/>
    </row>
    <row r="1137" spans="130:135" x14ac:dyDescent="0.2">
      <c r="DZ1137" s="5">
        <v>45931</v>
      </c>
      <c r="EA1137" s="13" t="s">
        <v>1252</v>
      </c>
      <c r="EB1137" s="13" t="s">
        <v>2225</v>
      </c>
      <c r="EC1137" s="13" t="s">
        <v>1224</v>
      </c>
      <c r="ED1137" s="11">
        <v>0</v>
      </c>
      <c r="EE1137" s="11"/>
    </row>
    <row r="1138" spans="130:135" x14ac:dyDescent="0.2">
      <c r="DZ1138" s="5">
        <v>45931</v>
      </c>
      <c r="EA1138" s="13" t="s">
        <v>1252</v>
      </c>
      <c r="EB1138" s="13" t="s">
        <v>2271</v>
      </c>
      <c r="EC1138" s="13" t="s">
        <v>1224</v>
      </c>
      <c r="ED1138" s="11">
        <v>0</v>
      </c>
      <c r="EE1138" s="11"/>
    </row>
    <row r="1139" spans="130:135" x14ac:dyDescent="0.2">
      <c r="DZ1139" s="5">
        <v>45931</v>
      </c>
      <c r="EA1139" s="13" t="s">
        <v>1252</v>
      </c>
      <c r="EB1139" s="13" t="s">
        <v>2306</v>
      </c>
      <c r="EC1139" s="13" t="s">
        <v>1224</v>
      </c>
      <c r="ED1139" s="11">
        <v>0</v>
      </c>
      <c r="EE1139" s="11"/>
    </row>
    <row r="1140" spans="130:135" x14ac:dyDescent="0.2">
      <c r="DZ1140" s="5">
        <v>45931</v>
      </c>
      <c r="EA1140" s="13" t="s">
        <v>1252</v>
      </c>
      <c r="EB1140" s="13" t="s">
        <v>2215</v>
      </c>
      <c r="EC1140" s="13" t="s">
        <v>1224</v>
      </c>
      <c r="ED1140" s="11">
        <v>0</v>
      </c>
      <c r="EE1140" s="11"/>
    </row>
    <row r="1141" spans="130:135" x14ac:dyDescent="0.2">
      <c r="DZ1141" s="5">
        <v>45931</v>
      </c>
      <c r="EA1141" s="13" t="s">
        <v>1252</v>
      </c>
      <c r="EB1141" s="13" t="s">
        <v>2329</v>
      </c>
      <c r="EC1141" s="13" t="s">
        <v>1224</v>
      </c>
      <c r="ED1141" s="11">
        <v>0</v>
      </c>
      <c r="EE1141" s="11"/>
    </row>
    <row r="1142" spans="130:135" x14ac:dyDescent="0.2">
      <c r="DZ1142" s="5">
        <v>45931</v>
      </c>
      <c r="EA1142" s="13" t="s">
        <v>1252</v>
      </c>
      <c r="EB1142" s="13" t="s">
        <v>2232</v>
      </c>
      <c r="EC1142" s="13" t="s">
        <v>1224</v>
      </c>
      <c r="ED1142" s="11">
        <v>0</v>
      </c>
      <c r="EE1142" s="11"/>
    </row>
    <row r="1143" spans="130:135" x14ac:dyDescent="0.2">
      <c r="DZ1143" s="5">
        <v>45931</v>
      </c>
      <c r="EA1143" s="13" t="s">
        <v>1252</v>
      </c>
      <c r="EB1143" s="13" t="s">
        <v>2244</v>
      </c>
      <c r="EC1143" s="13" t="s">
        <v>1224</v>
      </c>
      <c r="ED1143" s="11">
        <v>0</v>
      </c>
      <c r="EE1143" s="11"/>
    </row>
    <row r="1144" spans="130:135" x14ac:dyDescent="0.2">
      <c r="DZ1144" s="5">
        <v>45931</v>
      </c>
      <c r="EA1144" s="13" t="s">
        <v>1252</v>
      </c>
      <c r="EB1144" s="13" t="s">
        <v>2261</v>
      </c>
      <c r="EC1144" s="13" t="s">
        <v>1224</v>
      </c>
      <c r="ED1144" s="11">
        <v>0</v>
      </c>
      <c r="EE1144" s="11"/>
    </row>
    <row r="1145" spans="130:135" x14ac:dyDescent="0.2">
      <c r="DZ1145" s="5">
        <v>45931</v>
      </c>
      <c r="EA1145" s="13" t="s">
        <v>1252</v>
      </c>
      <c r="EB1145" s="13" t="s">
        <v>2216</v>
      </c>
      <c r="EC1145" s="13" t="s">
        <v>1224</v>
      </c>
      <c r="ED1145" s="11">
        <v>0</v>
      </c>
      <c r="EE1145" s="11"/>
    </row>
    <row r="1146" spans="130:135" x14ac:dyDescent="0.2">
      <c r="DZ1146" s="5">
        <v>45931</v>
      </c>
      <c r="EA1146" s="13" t="s">
        <v>1252</v>
      </c>
      <c r="EB1146" s="13" t="s">
        <v>2350</v>
      </c>
      <c r="EC1146" s="13" t="s">
        <v>1224</v>
      </c>
      <c r="ED1146" s="11">
        <v>441176.46</v>
      </c>
      <c r="EE1146" s="11"/>
    </row>
    <row r="1147" spans="130:135" x14ac:dyDescent="0.2">
      <c r="DZ1147" s="5">
        <v>45931</v>
      </c>
      <c r="EA1147" s="13" t="s">
        <v>1252</v>
      </c>
      <c r="EB1147" s="13" t="s">
        <v>2273</v>
      </c>
      <c r="EC1147" s="13" t="s">
        <v>1224</v>
      </c>
      <c r="ED1147" s="11">
        <v>0</v>
      </c>
      <c r="EE1147" s="11"/>
    </row>
    <row r="1148" spans="130:135" x14ac:dyDescent="0.2">
      <c r="DZ1148" s="5">
        <v>45931</v>
      </c>
      <c r="EA1148" s="13" t="s">
        <v>1252</v>
      </c>
      <c r="EB1148" s="13" t="s">
        <v>2351</v>
      </c>
      <c r="EC1148" s="13" t="s">
        <v>1224</v>
      </c>
      <c r="ED1148" s="11">
        <v>18907.57</v>
      </c>
      <c r="EE1148" s="11"/>
    </row>
    <row r="1149" spans="130:135" x14ac:dyDescent="0.2">
      <c r="DZ1149" s="5">
        <v>45931</v>
      </c>
      <c r="EA1149" s="13" t="s">
        <v>1252</v>
      </c>
      <c r="EB1149" s="13" t="s">
        <v>2255</v>
      </c>
      <c r="EC1149" s="13" t="s">
        <v>1224</v>
      </c>
      <c r="ED1149" s="11">
        <v>0</v>
      </c>
      <c r="EE1149" s="11"/>
    </row>
    <row r="1150" spans="130:135" x14ac:dyDescent="0.2">
      <c r="DZ1150" s="5">
        <v>45931</v>
      </c>
      <c r="EA1150" s="13" t="s">
        <v>1252</v>
      </c>
      <c r="EB1150" s="13" t="s">
        <v>2352</v>
      </c>
      <c r="EC1150" s="13" t="s">
        <v>1224</v>
      </c>
      <c r="ED1150" s="11">
        <v>23949.58</v>
      </c>
      <c r="EE1150" s="11"/>
    </row>
    <row r="1151" spans="130:135" x14ac:dyDescent="0.2">
      <c r="DZ1151" s="5">
        <v>45931</v>
      </c>
      <c r="EA1151" s="13" t="s">
        <v>1252</v>
      </c>
      <c r="EB1151" s="13" t="s">
        <v>2253</v>
      </c>
      <c r="EC1151" s="13" t="s">
        <v>1224</v>
      </c>
      <c r="ED1151" s="11">
        <v>0</v>
      </c>
      <c r="EE1151" s="11"/>
    </row>
    <row r="1152" spans="130:135" x14ac:dyDescent="0.2">
      <c r="DZ1152" s="5">
        <v>45931</v>
      </c>
      <c r="EA1152" s="13" t="s">
        <v>1252</v>
      </c>
      <c r="EB1152" s="13" t="s">
        <v>2292</v>
      </c>
      <c r="EC1152" s="13" t="s">
        <v>1224</v>
      </c>
      <c r="ED1152" s="11">
        <v>0</v>
      </c>
      <c r="EE1152" s="11"/>
    </row>
    <row r="1153" spans="130:135" x14ac:dyDescent="0.2">
      <c r="DZ1153" s="5">
        <v>45931</v>
      </c>
      <c r="EA1153" s="13" t="s">
        <v>1252</v>
      </c>
      <c r="EB1153" s="13" t="s">
        <v>2290</v>
      </c>
      <c r="EC1153" s="13" t="s">
        <v>1224</v>
      </c>
      <c r="ED1153" s="11">
        <v>0</v>
      </c>
      <c r="EE1153" s="11"/>
    </row>
    <row r="1154" spans="130:135" x14ac:dyDescent="0.2">
      <c r="DZ1154" s="5">
        <v>45931</v>
      </c>
      <c r="EA1154" s="13" t="s">
        <v>1252</v>
      </c>
      <c r="EB1154" s="13" t="s">
        <v>2353</v>
      </c>
      <c r="EC1154" s="13" t="s">
        <v>1224</v>
      </c>
      <c r="ED1154" s="11">
        <v>60504.18</v>
      </c>
      <c r="EE1154" s="11"/>
    </row>
    <row r="1155" spans="130:135" x14ac:dyDescent="0.2">
      <c r="DZ1155" s="5">
        <v>45931</v>
      </c>
      <c r="EA1155" s="13" t="s">
        <v>1252</v>
      </c>
      <c r="EB1155" s="13" t="s">
        <v>2307</v>
      </c>
      <c r="EC1155" s="13" t="s">
        <v>1224</v>
      </c>
      <c r="ED1155" s="11">
        <v>0</v>
      </c>
      <c r="EE1155" s="11"/>
    </row>
    <row r="1156" spans="130:135" x14ac:dyDescent="0.2">
      <c r="DZ1156" s="5">
        <v>45931</v>
      </c>
      <c r="EA1156" s="13" t="s">
        <v>1252</v>
      </c>
      <c r="EB1156" s="13" t="s">
        <v>2224</v>
      </c>
      <c r="EC1156" s="13" t="s">
        <v>1224</v>
      </c>
      <c r="ED1156" s="11">
        <v>0</v>
      </c>
      <c r="EE1156" s="11"/>
    </row>
    <row r="1157" spans="130:135" x14ac:dyDescent="0.2">
      <c r="DZ1157" s="5">
        <v>45931</v>
      </c>
      <c r="EA1157" s="13" t="s">
        <v>1252</v>
      </c>
      <c r="EB1157" s="13" t="s">
        <v>2298</v>
      </c>
      <c r="EC1157" s="13" t="s">
        <v>1224</v>
      </c>
      <c r="ED1157" s="11">
        <v>0</v>
      </c>
      <c r="EE1157" s="11"/>
    </row>
    <row r="1158" spans="130:135" x14ac:dyDescent="0.2">
      <c r="DZ1158" s="5">
        <v>45931</v>
      </c>
      <c r="EA1158" s="13" t="s">
        <v>1252</v>
      </c>
      <c r="EB1158" s="13" t="s">
        <v>2233</v>
      </c>
      <c r="EC1158" s="13" t="s">
        <v>1224</v>
      </c>
      <c r="ED1158" s="11">
        <v>0</v>
      </c>
      <c r="EE1158" s="11"/>
    </row>
    <row r="1159" spans="130:135" x14ac:dyDescent="0.2">
      <c r="DZ1159" s="5">
        <v>45931</v>
      </c>
      <c r="EA1159" s="13" t="s">
        <v>1252</v>
      </c>
      <c r="EB1159" s="13" t="s">
        <v>2221</v>
      </c>
      <c r="EC1159" s="13" t="s">
        <v>1224</v>
      </c>
      <c r="ED1159" s="11">
        <v>0</v>
      </c>
      <c r="EE1159" s="11"/>
    </row>
    <row r="1160" spans="130:135" x14ac:dyDescent="0.2">
      <c r="DZ1160" s="5">
        <v>45931</v>
      </c>
      <c r="EA1160" s="13" t="s">
        <v>1252</v>
      </c>
      <c r="EB1160" s="13" t="s">
        <v>2242</v>
      </c>
      <c r="EC1160" s="13" t="s">
        <v>1224</v>
      </c>
      <c r="ED1160" s="11">
        <v>0</v>
      </c>
      <c r="EE1160" s="11"/>
    </row>
    <row r="1161" spans="130:135" x14ac:dyDescent="0.2">
      <c r="DZ1161" s="5">
        <v>45931</v>
      </c>
      <c r="EA1161" s="13" t="s">
        <v>1252</v>
      </c>
      <c r="EB1161" s="13" t="s">
        <v>2241</v>
      </c>
      <c r="EC1161" s="13" t="s">
        <v>1224</v>
      </c>
      <c r="ED1161" s="11">
        <v>0</v>
      </c>
      <c r="EE1161" s="11"/>
    </row>
    <row r="1162" spans="130:135" x14ac:dyDescent="0.2">
      <c r="DZ1162" s="5">
        <v>45931</v>
      </c>
      <c r="EA1162" s="13" t="s">
        <v>1250</v>
      </c>
      <c r="EB1162" s="13" t="s">
        <v>2301</v>
      </c>
      <c r="EC1162" s="13" t="s">
        <v>1168</v>
      </c>
      <c r="ED1162" s="11">
        <v>0</v>
      </c>
      <c r="EE1162" s="11"/>
    </row>
    <row r="1163" spans="130:135" x14ac:dyDescent="0.2">
      <c r="DZ1163" s="5">
        <v>45931</v>
      </c>
      <c r="EA1163" s="13" t="s">
        <v>1250</v>
      </c>
      <c r="EB1163" s="13" t="s">
        <v>2276</v>
      </c>
      <c r="EC1163" s="13" t="s">
        <v>1168</v>
      </c>
      <c r="ED1163" s="11">
        <v>0</v>
      </c>
      <c r="EE1163" s="11"/>
    </row>
    <row r="1164" spans="130:135" x14ac:dyDescent="0.2">
      <c r="DZ1164" s="5">
        <v>45931</v>
      </c>
      <c r="EA1164" s="13" t="s">
        <v>1250</v>
      </c>
      <c r="EB1164" s="13" t="s">
        <v>2312</v>
      </c>
      <c r="EC1164" s="13" t="s">
        <v>1168</v>
      </c>
      <c r="ED1164" s="11">
        <v>0</v>
      </c>
      <c r="EE1164" s="11"/>
    </row>
    <row r="1165" spans="130:135" x14ac:dyDescent="0.2">
      <c r="DZ1165" s="5">
        <v>45931</v>
      </c>
      <c r="EA1165" s="13" t="s">
        <v>1250</v>
      </c>
      <c r="EB1165" s="13" t="s">
        <v>2334</v>
      </c>
      <c r="EC1165" s="13" t="s">
        <v>1168</v>
      </c>
      <c r="ED1165" s="11">
        <v>0</v>
      </c>
      <c r="EE1165" s="11"/>
    </row>
    <row r="1166" spans="130:135" x14ac:dyDescent="0.2">
      <c r="DZ1166" s="5">
        <v>45931</v>
      </c>
      <c r="EA1166" s="13" t="s">
        <v>1250</v>
      </c>
      <c r="EB1166" s="13" t="s">
        <v>1363</v>
      </c>
      <c r="EC1166" s="13" t="s">
        <v>1168</v>
      </c>
      <c r="ED1166" s="11">
        <v>0</v>
      </c>
      <c r="EE1166" s="11"/>
    </row>
    <row r="1167" spans="130:135" x14ac:dyDescent="0.2">
      <c r="DZ1167" s="5">
        <v>45931</v>
      </c>
      <c r="EA1167" s="13" t="s">
        <v>1250</v>
      </c>
      <c r="EB1167" s="13" t="s">
        <v>1393</v>
      </c>
      <c r="EC1167" s="13" t="s">
        <v>1168</v>
      </c>
      <c r="ED1167" s="11">
        <v>0</v>
      </c>
      <c r="EE1167" s="11"/>
    </row>
    <row r="1168" spans="130:135" x14ac:dyDescent="0.2">
      <c r="DZ1168" s="5">
        <v>45931</v>
      </c>
      <c r="EA1168" s="13" t="s">
        <v>1252</v>
      </c>
      <c r="EB1168" s="13" t="s">
        <v>1355</v>
      </c>
      <c r="EC1168" s="13" t="s">
        <v>1226</v>
      </c>
      <c r="ED1168" s="11">
        <v>289146</v>
      </c>
      <c r="EE1168" s="11"/>
    </row>
    <row r="1169" spans="130:135" x14ac:dyDescent="0.2">
      <c r="DZ1169" s="5">
        <v>45931</v>
      </c>
      <c r="EA1169" s="13" t="s">
        <v>1252</v>
      </c>
      <c r="EB1169" s="13" t="s">
        <v>1371</v>
      </c>
      <c r="EC1169" s="13" t="s">
        <v>1226</v>
      </c>
      <c r="ED1169" s="11">
        <v>64352</v>
      </c>
      <c r="EE1169" s="11"/>
    </row>
    <row r="1170" spans="130:135" x14ac:dyDescent="0.2">
      <c r="DZ1170" s="5">
        <v>45931</v>
      </c>
      <c r="EA1170" s="13" t="s">
        <v>1252</v>
      </c>
      <c r="EB1170" s="13" t="s">
        <v>1371</v>
      </c>
      <c r="EC1170" s="13" t="s">
        <v>1219</v>
      </c>
      <c r="ED1170" s="11">
        <v>87295</v>
      </c>
      <c r="EE1170" s="11"/>
    </row>
    <row r="1171" spans="130:135" x14ac:dyDescent="0.2">
      <c r="DZ1171" s="5">
        <v>45931</v>
      </c>
      <c r="EA1171" s="13" t="s">
        <v>1250</v>
      </c>
      <c r="EB1171" s="13" t="s">
        <v>1366</v>
      </c>
      <c r="EC1171" s="13" t="s">
        <v>1136</v>
      </c>
      <c r="ED1171" s="11">
        <v>1000000</v>
      </c>
      <c r="EE1171" s="11"/>
    </row>
    <row r="1172" spans="130:135" x14ac:dyDescent="0.2">
      <c r="DZ1172" s="5">
        <v>45931</v>
      </c>
      <c r="EA1172" s="13" t="s">
        <v>1251</v>
      </c>
      <c r="EB1172" s="13" t="s">
        <v>2319</v>
      </c>
      <c r="EC1172" s="13" t="s">
        <v>1179</v>
      </c>
      <c r="ED1172" s="11">
        <v>93175</v>
      </c>
      <c r="EE1172" s="11"/>
    </row>
    <row r="1173" spans="130:135" x14ac:dyDescent="0.2">
      <c r="DZ1173" s="5">
        <v>45931</v>
      </c>
      <c r="EA1173" s="13" t="s">
        <v>1251</v>
      </c>
      <c r="EB1173" s="13" t="s">
        <v>2305</v>
      </c>
      <c r="EC1173" s="13" t="s">
        <v>1179</v>
      </c>
      <c r="ED1173" s="11">
        <v>186349</v>
      </c>
      <c r="EE1173" s="11"/>
    </row>
    <row r="1174" spans="130:135" x14ac:dyDescent="0.2">
      <c r="DZ1174" s="5">
        <v>45931</v>
      </c>
      <c r="EA1174" s="13" t="s">
        <v>1252</v>
      </c>
      <c r="EB1174" s="13" t="s">
        <v>2202</v>
      </c>
      <c r="EC1174" s="13" t="s">
        <v>1222</v>
      </c>
      <c r="ED1174" s="11">
        <v>0</v>
      </c>
      <c r="EE1174" s="11"/>
    </row>
    <row r="1175" spans="130:135" x14ac:dyDescent="0.2">
      <c r="DZ1175" s="5">
        <v>45931</v>
      </c>
      <c r="EA1175" s="13" t="s">
        <v>1252</v>
      </c>
      <c r="EB1175" s="13" t="s">
        <v>1340</v>
      </c>
      <c r="EC1175" s="13" t="s">
        <v>1222</v>
      </c>
      <c r="ED1175" s="11">
        <v>-300</v>
      </c>
      <c r="EE1175" s="11"/>
    </row>
    <row r="1176" spans="130:135" x14ac:dyDescent="0.2">
      <c r="DZ1176" s="5">
        <v>45931</v>
      </c>
      <c r="EA1176" s="13" t="s">
        <v>1252</v>
      </c>
      <c r="EB1176" s="13" t="s">
        <v>1338</v>
      </c>
      <c r="EC1176" s="13" t="s">
        <v>1222</v>
      </c>
      <c r="ED1176" s="11">
        <v>0</v>
      </c>
      <c r="EE1176" s="11"/>
    </row>
    <row r="1177" spans="130:135" x14ac:dyDescent="0.2">
      <c r="DZ1177" s="5">
        <v>45931</v>
      </c>
      <c r="EA1177" s="13" t="s">
        <v>1252</v>
      </c>
      <c r="EB1177" s="13" t="s">
        <v>1360</v>
      </c>
      <c r="EC1177" s="13" t="s">
        <v>1222</v>
      </c>
      <c r="ED1177" s="11">
        <v>0</v>
      </c>
      <c r="EE1177" s="11"/>
    </row>
    <row r="1178" spans="130:135" x14ac:dyDescent="0.2">
      <c r="DZ1178" s="5">
        <v>45931</v>
      </c>
      <c r="EA1178" s="13" t="s">
        <v>1252</v>
      </c>
      <c r="EB1178" s="13" t="s">
        <v>1374</v>
      </c>
      <c r="EC1178" s="13" t="s">
        <v>1222</v>
      </c>
      <c r="ED1178" s="11">
        <v>0</v>
      </c>
      <c r="EE1178" s="11"/>
    </row>
    <row r="1179" spans="130:135" x14ac:dyDescent="0.2">
      <c r="DZ1179" s="5">
        <v>45931</v>
      </c>
      <c r="EA1179" s="13" t="s">
        <v>1252</v>
      </c>
      <c r="EB1179" s="13" t="s">
        <v>1375</v>
      </c>
      <c r="EC1179" s="13" t="s">
        <v>1222</v>
      </c>
      <c r="ED1179" s="11">
        <v>0</v>
      </c>
      <c r="EE1179" s="11"/>
    </row>
    <row r="1180" spans="130:135" x14ac:dyDescent="0.2">
      <c r="DZ1180" s="5">
        <v>45931</v>
      </c>
      <c r="EA1180" s="13" t="s">
        <v>1252</v>
      </c>
      <c r="EB1180" s="13" t="s">
        <v>2287</v>
      </c>
      <c r="EC1180" s="13" t="s">
        <v>1222</v>
      </c>
      <c r="ED1180" s="11">
        <v>0</v>
      </c>
      <c r="EE1180" s="11"/>
    </row>
    <row r="1181" spans="130:135" x14ac:dyDescent="0.2">
      <c r="DZ1181" s="5">
        <v>45931</v>
      </c>
      <c r="EA1181" s="13" t="s">
        <v>1250</v>
      </c>
      <c r="EB1181" s="13" t="s">
        <v>1356</v>
      </c>
      <c r="EC1181" s="13" t="s">
        <v>1056</v>
      </c>
      <c r="ED1181" s="11">
        <v>2331</v>
      </c>
      <c r="EE1181" s="11"/>
    </row>
    <row r="1182" spans="130:135" x14ac:dyDescent="0.2">
      <c r="DZ1182" s="5">
        <v>45931</v>
      </c>
      <c r="EA1182" s="13" t="s">
        <v>1251</v>
      </c>
      <c r="EB1182" s="13" t="s">
        <v>2305</v>
      </c>
      <c r="EC1182" s="13" t="s">
        <v>1056</v>
      </c>
      <c r="ED1182" s="11">
        <v>7701</v>
      </c>
      <c r="EE1182" s="11"/>
    </row>
    <row r="1183" spans="130:135" x14ac:dyDescent="0.2">
      <c r="DZ1183" s="5">
        <v>45931</v>
      </c>
      <c r="EA1183" s="13" t="s">
        <v>1251</v>
      </c>
      <c r="EB1183" s="13" t="s">
        <v>2212</v>
      </c>
      <c r="EC1183" s="13" t="s">
        <v>1056</v>
      </c>
      <c r="ED1183" s="11">
        <v>0</v>
      </c>
      <c r="EE1183" s="11"/>
    </row>
    <row r="1184" spans="130:135" x14ac:dyDescent="0.2">
      <c r="DZ1184" s="5">
        <v>45931</v>
      </c>
      <c r="EA1184" s="13" t="s">
        <v>1251</v>
      </c>
      <c r="EB1184" s="13" t="s">
        <v>2206</v>
      </c>
      <c r="EC1184" s="13" t="s">
        <v>1056</v>
      </c>
      <c r="ED1184" s="11">
        <v>0</v>
      </c>
      <c r="EE1184" s="11"/>
    </row>
    <row r="1185" spans="130:135" x14ac:dyDescent="0.2">
      <c r="DZ1185" s="5">
        <v>45931</v>
      </c>
      <c r="EA1185" s="13" t="s">
        <v>1250</v>
      </c>
      <c r="EB1185" s="13" t="s">
        <v>1357</v>
      </c>
      <c r="EC1185" s="13" t="s">
        <v>1056</v>
      </c>
      <c r="ED1185" s="11">
        <v>2331</v>
      </c>
      <c r="EE1185" s="11"/>
    </row>
    <row r="1186" spans="130:135" x14ac:dyDescent="0.2">
      <c r="DZ1186" s="5">
        <v>45931</v>
      </c>
      <c r="EA1186" s="13" t="s">
        <v>1251</v>
      </c>
      <c r="EB1186" s="13" t="s">
        <v>2319</v>
      </c>
      <c r="EC1186" s="13" t="s">
        <v>1056</v>
      </c>
      <c r="ED1186" s="11">
        <v>1220</v>
      </c>
      <c r="EE1186" s="11"/>
    </row>
    <row r="1187" spans="130:135" x14ac:dyDescent="0.2">
      <c r="DZ1187" s="5">
        <v>45931</v>
      </c>
      <c r="EA1187" s="13" t="s">
        <v>1250</v>
      </c>
      <c r="EB1187" s="13" t="s">
        <v>1358</v>
      </c>
      <c r="EC1187" s="13" t="s">
        <v>1056</v>
      </c>
      <c r="ED1187" s="11">
        <v>28669</v>
      </c>
      <c r="EE1187" s="11"/>
    </row>
    <row r="1188" spans="130:135" x14ac:dyDescent="0.2">
      <c r="DZ1188" s="5">
        <v>45931</v>
      </c>
      <c r="EA1188" s="13" t="s">
        <v>1250</v>
      </c>
      <c r="EB1188" s="13" t="s">
        <v>2335</v>
      </c>
      <c r="EC1188" s="13" t="s">
        <v>1148</v>
      </c>
      <c r="ED1188" s="11">
        <v>0</v>
      </c>
      <c r="EE1188" s="11"/>
    </row>
    <row r="1189" spans="130:135" x14ac:dyDescent="0.2">
      <c r="DZ1189" s="5">
        <v>45931</v>
      </c>
      <c r="EA1189" s="13" t="s">
        <v>1251</v>
      </c>
      <c r="EB1189" s="13" t="s">
        <v>1341</v>
      </c>
      <c r="EC1189" s="13" t="s">
        <v>1148</v>
      </c>
      <c r="ED1189" s="11">
        <v>0</v>
      </c>
      <c r="EE1189" s="11"/>
    </row>
    <row r="1190" spans="130:135" x14ac:dyDescent="0.2">
      <c r="DZ1190" s="5">
        <v>45931</v>
      </c>
      <c r="EA1190" s="13" t="s">
        <v>1251</v>
      </c>
      <c r="EB1190" s="13" t="s">
        <v>1409</v>
      </c>
      <c r="EC1190" s="13" t="s">
        <v>1148</v>
      </c>
      <c r="ED1190" s="11">
        <v>0</v>
      </c>
      <c r="EE1190" s="11"/>
    </row>
    <row r="1191" spans="130:135" x14ac:dyDescent="0.2">
      <c r="DZ1191" s="5">
        <v>45931</v>
      </c>
      <c r="EA1191" s="13" t="s">
        <v>1251</v>
      </c>
      <c r="EB1191" s="13" t="s">
        <v>1346</v>
      </c>
      <c r="EC1191" s="13" t="s">
        <v>1208</v>
      </c>
      <c r="ED1191" s="11">
        <v>1829868</v>
      </c>
      <c r="EE1191" s="11"/>
    </row>
    <row r="1192" spans="130:135" x14ac:dyDescent="0.2">
      <c r="DZ1192" s="5">
        <v>45931</v>
      </c>
      <c r="EA1192" s="13" t="s">
        <v>1251</v>
      </c>
      <c r="EB1192" s="13" t="s">
        <v>2277</v>
      </c>
      <c r="EC1192" s="13" t="s">
        <v>1208</v>
      </c>
      <c r="ED1192" s="11">
        <v>0</v>
      </c>
      <c r="EE1192" s="11"/>
    </row>
    <row r="1193" spans="130:135" x14ac:dyDescent="0.2">
      <c r="DZ1193" s="5">
        <v>45931</v>
      </c>
      <c r="EA1193" s="13" t="s">
        <v>1251</v>
      </c>
      <c r="EB1193" s="13" t="s">
        <v>1350</v>
      </c>
      <c r="EC1193" s="13" t="s">
        <v>1208</v>
      </c>
      <c r="ED1193" s="11">
        <v>1880031</v>
      </c>
      <c r="EE1193" s="11"/>
    </row>
    <row r="1194" spans="130:135" x14ac:dyDescent="0.2">
      <c r="DZ1194" s="5">
        <v>45931</v>
      </c>
      <c r="EA1194" s="13" t="s">
        <v>1251</v>
      </c>
      <c r="EB1194" s="13" t="s">
        <v>1382</v>
      </c>
      <c r="EC1194" s="13" t="s">
        <v>1208</v>
      </c>
      <c r="ED1194" s="11">
        <v>341470</v>
      </c>
      <c r="EE1194" s="11"/>
    </row>
    <row r="1195" spans="130:135" x14ac:dyDescent="0.2">
      <c r="DZ1195" s="5">
        <v>45931</v>
      </c>
      <c r="EA1195" s="13" t="s">
        <v>1251</v>
      </c>
      <c r="EB1195" s="13" t="s">
        <v>2285</v>
      </c>
      <c r="EC1195" s="13" t="s">
        <v>1215</v>
      </c>
      <c r="ED1195" s="11"/>
      <c r="EE1195" s="11">
        <v>0</v>
      </c>
    </row>
    <row r="1196" spans="130:135" x14ac:dyDescent="0.2">
      <c r="DZ1196" s="5">
        <v>45931</v>
      </c>
      <c r="EA1196" s="13" t="s">
        <v>1251</v>
      </c>
      <c r="EB1196" s="13" t="s">
        <v>1385</v>
      </c>
      <c r="EC1196" s="13" t="s">
        <v>1215</v>
      </c>
      <c r="ED1196" s="11"/>
      <c r="EE1196" s="11">
        <v>914010</v>
      </c>
    </row>
    <row r="1197" spans="130:135" x14ac:dyDescent="0.2">
      <c r="DZ1197" s="5">
        <v>45931</v>
      </c>
      <c r="EA1197" s="13" t="s">
        <v>1251</v>
      </c>
      <c r="EB1197" s="13" t="s">
        <v>1353</v>
      </c>
      <c r="EC1197" s="13" t="s">
        <v>1215</v>
      </c>
      <c r="ED1197" s="11"/>
      <c r="EE1197" s="11">
        <v>146218.57999999999</v>
      </c>
    </row>
    <row r="1198" spans="130:135" x14ac:dyDescent="0.2">
      <c r="DZ1198" s="5">
        <v>45931</v>
      </c>
      <c r="EA1198" s="13" t="s">
        <v>1251</v>
      </c>
      <c r="EB1198" s="13" t="s">
        <v>1348</v>
      </c>
      <c r="EC1198" s="13" t="s">
        <v>1215</v>
      </c>
      <c r="ED1198" s="11"/>
      <c r="EE1198" s="11">
        <v>511600</v>
      </c>
    </row>
    <row r="1199" spans="130:135" x14ac:dyDescent="0.2">
      <c r="DZ1199" s="5">
        <v>45931</v>
      </c>
      <c r="EA1199" s="13" t="s">
        <v>1251</v>
      </c>
      <c r="EB1199" s="13" t="s">
        <v>1354</v>
      </c>
      <c r="EC1199" s="13" t="s">
        <v>1215</v>
      </c>
      <c r="ED1199" s="11"/>
      <c r="EE1199" s="11">
        <v>0</v>
      </c>
    </row>
    <row r="1200" spans="130:135" x14ac:dyDescent="0.2">
      <c r="DZ1200" s="5">
        <v>45931</v>
      </c>
      <c r="EA1200" s="13" t="s">
        <v>1251</v>
      </c>
      <c r="EB1200" s="13" t="s">
        <v>2278</v>
      </c>
      <c r="EC1200" s="13" t="s">
        <v>1215</v>
      </c>
      <c r="ED1200" s="11"/>
      <c r="EE1200" s="11">
        <v>0</v>
      </c>
    </row>
    <row r="1201" spans="130:135" x14ac:dyDescent="0.2">
      <c r="DZ1201" s="5">
        <v>45931</v>
      </c>
      <c r="EA1201" s="13" t="s">
        <v>1251</v>
      </c>
      <c r="EB1201" s="13" t="s">
        <v>2293</v>
      </c>
      <c r="EC1201" s="13" t="s">
        <v>1215</v>
      </c>
      <c r="ED1201" s="11"/>
      <c r="EE1201" s="11">
        <v>0</v>
      </c>
    </row>
    <row r="1202" spans="130:135" x14ac:dyDescent="0.2">
      <c r="DZ1202" s="5">
        <v>45931</v>
      </c>
      <c r="EA1202" s="13" t="s">
        <v>1251</v>
      </c>
      <c r="EB1202" s="13" t="s">
        <v>2282</v>
      </c>
      <c r="EC1202" s="13" t="s">
        <v>1215</v>
      </c>
      <c r="ED1202" s="11"/>
      <c r="EE1202" s="11">
        <v>0</v>
      </c>
    </row>
    <row r="1203" spans="130:135" x14ac:dyDescent="0.2">
      <c r="DZ1203" s="5">
        <v>45931</v>
      </c>
      <c r="EA1203" s="13" t="s">
        <v>1251</v>
      </c>
      <c r="EB1203" s="13" t="s">
        <v>2280</v>
      </c>
      <c r="EC1203" s="13" t="s">
        <v>1215</v>
      </c>
      <c r="ED1203" s="11"/>
      <c r="EE1203" s="11">
        <v>0</v>
      </c>
    </row>
    <row r="1204" spans="130:135" x14ac:dyDescent="0.2">
      <c r="DZ1204" s="5">
        <v>45931</v>
      </c>
      <c r="EA1204" s="13" t="s">
        <v>1251</v>
      </c>
      <c r="EB1204" s="13" t="s">
        <v>2281</v>
      </c>
      <c r="EC1204" s="13" t="s">
        <v>1215</v>
      </c>
      <c r="ED1204" s="11"/>
      <c r="EE1204" s="11">
        <v>0</v>
      </c>
    </row>
    <row r="1205" spans="130:135" x14ac:dyDescent="0.2">
      <c r="DZ1205" s="5">
        <v>45931</v>
      </c>
      <c r="EA1205" s="13" t="s">
        <v>1251</v>
      </c>
      <c r="EB1205" s="13" t="s">
        <v>1347</v>
      </c>
      <c r="EC1205" s="13" t="s">
        <v>1215</v>
      </c>
      <c r="ED1205" s="11"/>
      <c r="EE1205" s="11">
        <v>0</v>
      </c>
    </row>
    <row r="1206" spans="130:135" x14ac:dyDescent="0.2">
      <c r="DZ1206" s="5">
        <v>45931</v>
      </c>
      <c r="EA1206" s="13" t="s">
        <v>1251</v>
      </c>
      <c r="EB1206" s="13" t="s">
        <v>2279</v>
      </c>
      <c r="EC1206" s="13" t="s">
        <v>1215</v>
      </c>
      <c r="ED1206" s="11"/>
      <c r="EE1206" s="11">
        <v>0</v>
      </c>
    </row>
    <row r="1207" spans="130:135" x14ac:dyDescent="0.2">
      <c r="DZ1207" s="5">
        <v>45931</v>
      </c>
      <c r="EA1207" s="13" t="s">
        <v>1251</v>
      </c>
      <c r="EB1207" s="13" t="s">
        <v>1386</v>
      </c>
      <c r="EC1207" s="13" t="s">
        <v>1215</v>
      </c>
      <c r="ED1207" s="11"/>
      <c r="EE1207" s="11">
        <v>155736</v>
      </c>
    </row>
    <row r="1208" spans="130:135" x14ac:dyDescent="0.2">
      <c r="DZ1208" s="5">
        <v>45931</v>
      </c>
      <c r="EA1208" s="13" t="s">
        <v>1251</v>
      </c>
      <c r="EB1208" s="13" t="s">
        <v>2338</v>
      </c>
      <c r="EC1208" s="13" t="s">
        <v>1217</v>
      </c>
      <c r="ED1208" s="11">
        <v>0</v>
      </c>
      <c r="EE1208" s="11"/>
    </row>
    <row r="1209" spans="130:135" x14ac:dyDescent="0.2">
      <c r="DZ1209" s="5">
        <v>45931</v>
      </c>
      <c r="EA1209" s="13" t="s">
        <v>1251</v>
      </c>
      <c r="EB1209" s="13" t="s">
        <v>2284</v>
      </c>
      <c r="EC1209" s="13" t="s">
        <v>1217</v>
      </c>
      <c r="ED1209" s="11">
        <v>0</v>
      </c>
      <c r="EE1209" s="11"/>
    </row>
    <row r="1210" spans="130:135" x14ac:dyDescent="0.2">
      <c r="DZ1210" s="5">
        <v>45931</v>
      </c>
      <c r="EA1210" s="13" t="s">
        <v>1251</v>
      </c>
      <c r="EB1210" s="13" t="s">
        <v>1388</v>
      </c>
      <c r="EC1210" s="13" t="s">
        <v>1217</v>
      </c>
      <c r="ED1210" s="11">
        <v>589200</v>
      </c>
      <c r="EE1210" s="11"/>
    </row>
    <row r="1211" spans="130:135" x14ac:dyDescent="0.2">
      <c r="DZ1211" s="5">
        <v>45931</v>
      </c>
      <c r="EA1211" s="13" t="s">
        <v>1251</v>
      </c>
      <c r="EB1211" s="13" t="s">
        <v>2336</v>
      </c>
      <c r="EC1211" s="13" t="s">
        <v>1217</v>
      </c>
      <c r="ED1211" s="11">
        <v>0</v>
      </c>
      <c r="EE1211" s="11"/>
    </row>
    <row r="1212" spans="130:135" x14ac:dyDescent="0.2">
      <c r="DZ1212" s="5">
        <v>45931</v>
      </c>
      <c r="EA1212" s="13" t="s">
        <v>1251</v>
      </c>
      <c r="EB1212" s="13" t="s">
        <v>2313</v>
      </c>
      <c r="EC1212" s="13" t="s">
        <v>1217</v>
      </c>
      <c r="ED1212" s="11">
        <v>0</v>
      </c>
      <c r="EE1212" s="11"/>
    </row>
    <row r="1213" spans="130:135" x14ac:dyDescent="0.2">
      <c r="DZ1213" s="5">
        <v>45931</v>
      </c>
      <c r="EA1213" s="13" t="s">
        <v>1251</v>
      </c>
      <c r="EB1213" s="13" t="s">
        <v>2283</v>
      </c>
      <c r="EC1213" s="13" t="s">
        <v>1217</v>
      </c>
      <c r="ED1213" s="11">
        <v>0</v>
      </c>
      <c r="EE1213" s="11"/>
    </row>
    <row r="1214" spans="130:135" x14ac:dyDescent="0.2">
      <c r="DZ1214" s="5">
        <v>45931</v>
      </c>
      <c r="EA1214" s="13" t="s">
        <v>1251</v>
      </c>
      <c r="EB1214" s="13" t="s">
        <v>1404</v>
      </c>
      <c r="EC1214" s="13" t="s">
        <v>1217</v>
      </c>
      <c r="ED1214" s="11">
        <v>0</v>
      </c>
      <c r="EE1214" s="11"/>
    </row>
    <row r="1215" spans="130:135" x14ac:dyDescent="0.2">
      <c r="DZ1215" s="5">
        <v>45931</v>
      </c>
      <c r="EA1215" s="13" t="s">
        <v>1251</v>
      </c>
      <c r="EB1215" s="13" t="s">
        <v>1389</v>
      </c>
      <c r="EC1215" s="13" t="s">
        <v>1217</v>
      </c>
      <c r="ED1215" s="11">
        <v>0</v>
      </c>
      <c r="EE1215" s="11"/>
    </row>
    <row r="1216" spans="130:135" x14ac:dyDescent="0.2">
      <c r="DZ1216" s="5">
        <v>45931</v>
      </c>
      <c r="EA1216" s="13" t="s">
        <v>1251</v>
      </c>
      <c r="EB1216" s="13" t="s">
        <v>2294</v>
      </c>
      <c r="EC1216" s="13" t="s">
        <v>1217</v>
      </c>
      <c r="ED1216" s="11">
        <v>0</v>
      </c>
      <c r="EE1216" s="11"/>
    </row>
    <row r="1217" spans="130:135" x14ac:dyDescent="0.2">
      <c r="DZ1217" s="5">
        <v>45931</v>
      </c>
      <c r="EA1217" s="13" t="s">
        <v>1251</v>
      </c>
      <c r="EB1217" s="13" t="s">
        <v>2314</v>
      </c>
      <c r="EC1217" s="13" t="s">
        <v>1217</v>
      </c>
      <c r="ED1217" s="11">
        <v>0</v>
      </c>
      <c r="EE1217" s="11"/>
    </row>
    <row r="1218" spans="130:135" x14ac:dyDescent="0.2">
      <c r="DZ1218" s="5">
        <v>45931</v>
      </c>
      <c r="EA1218" s="13" t="s">
        <v>1251</v>
      </c>
      <c r="EB1218" s="13" t="s">
        <v>1352</v>
      </c>
      <c r="EC1218" s="13" t="s">
        <v>1217</v>
      </c>
      <c r="ED1218" s="11">
        <v>0</v>
      </c>
      <c r="EE1218" s="11"/>
    </row>
    <row r="1219" spans="130:135" x14ac:dyDescent="0.2">
      <c r="DZ1219" s="5">
        <v>45931</v>
      </c>
      <c r="EA1219" s="13" t="s">
        <v>1251</v>
      </c>
      <c r="EB1219" s="13" t="s">
        <v>2339</v>
      </c>
      <c r="EC1219" s="13" t="s">
        <v>1217</v>
      </c>
      <c r="ED1219" s="11">
        <v>0</v>
      </c>
      <c r="EE1219" s="11"/>
    </row>
    <row r="1220" spans="130:135" x14ac:dyDescent="0.2">
      <c r="DZ1220" s="5">
        <v>45931</v>
      </c>
      <c r="EA1220" s="13" t="s">
        <v>1251</v>
      </c>
      <c r="EB1220" s="13" t="s">
        <v>2315</v>
      </c>
      <c r="EC1220" s="13" t="s">
        <v>1217</v>
      </c>
      <c r="ED1220" s="11">
        <v>0</v>
      </c>
      <c r="EE1220" s="11"/>
    </row>
    <row r="1221" spans="130:135" x14ac:dyDescent="0.2">
      <c r="DZ1221" s="5">
        <v>45931</v>
      </c>
      <c r="EA1221" s="13" t="s">
        <v>1251</v>
      </c>
      <c r="EB1221" s="13" t="s">
        <v>2340</v>
      </c>
      <c r="EC1221" s="13" t="s">
        <v>1217</v>
      </c>
      <c r="ED1221" s="11">
        <v>0</v>
      </c>
      <c r="EE1221" s="11"/>
    </row>
    <row r="1222" spans="130:135" x14ac:dyDescent="0.2">
      <c r="DZ1222" s="5">
        <v>45931</v>
      </c>
      <c r="EA1222" s="13" t="s">
        <v>1251</v>
      </c>
      <c r="EB1222" s="13" t="s">
        <v>2337</v>
      </c>
      <c r="EC1222" s="13" t="s">
        <v>1217</v>
      </c>
      <c r="ED1222" s="11">
        <v>0</v>
      </c>
      <c r="EE1222" s="11"/>
    </row>
    <row r="1223" spans="130:135" x14ac:dyDescent="0.2">
      <c r="DZ1223" s="5">
        <v>45931</v>
      </c>
      <c r="EA1223" s="13" t="s">
        <v>1253</v>
      </c>
      <c r="EB1223" s="13" t="s">
        <v>2285</v>
      </c>
      <c r="EC1223" s="13" t="s">
        <v>1084</v>
      </c>
      <c r="ED1223" s="11"/>
      <c r="EE1223" s="11">
        <v>0</v>
      </c>
    </row>
    <row r="1224" spans="130:135" x14ac:dyDescent="0.2">
      <c r="DZ1224" s="5">
        <v>45931</v>
      </c>
      <c r="EA1224" s="13" t="s">
        <v>1253</v>
      </c>
      <c r="EB1224" s="13" t="s">
        <v>1335</v>
      </c>
      <c r="EC1224" s="13" t="s">
        <v>1084</v>
      </c>
      <c r="ED1224" s="11"/>
      <c r="EE1224" s="11">
        <v>31064955</v>
      </c>
    </row>
    <row r="1225" spans="130:135" x14ac:dyDescent="0.2">
      <c r="DZ1225" s="5">
        <v>45931</v>
      </c>
      <c r="EA1225" s="13" t="s">
        <v>1250</v>
      </c>
      <c r="EB1225" s="13" t="s">
        <v>1358</v>
      </c>
      <c r="EC1225" s="13" t="s">
        <v>1114</v>
      </c>
      <c r="ED1225" s="11">
        <v>153191</v>
      </c>
      <c r="EE1225" s="11"/>
    </row>
    <row r="1226" spans="130:135" x14ac:dyDescent="0.2">
      <c r="DZ1226" s="5">
        <v>45931</v>
      </c>
      <c r="EA1226" s="13" t="s">
        <v>1251</v>
      </c>
      <c r="EB1226" s="13" t="s">
        <v>2319</v>
      </c>
      <c r="EC1226" s="13" t="s">
        <v>1114</v>
      </c>
      <c r="ED1226" s="11">
        <v>163079</v>
      </c>
      <c r="EE1226" s="11"/>
    </row>
    <row r="1227" spans="130:135" x14ac:dyDescent="0.2">
      <c r="DZ1227" s="5">
        <v>45931</v>
      </c>
      <c r="EA1227" s="13" t="s">
        <v>1251</v>
      </c>
      <c r="EB1227" s="13" t="s">
        <v>2206</v>
      </c>
      <c r="EC1227" s="13" t="s">
        <v>1114</v>
      </c>
      <c r="ED1227" s="11">
        <v>0</v>
      </c>
      <c r="EE1227" s="11"/>
    </row>
    <row r="1228" spans="130:135" x14ac:dyDescent="0.2">
      <c r="DZ1228" s="5">
        <v>45931</v>
      </c>
      <c r="EA1228" s="13" t="s">
        <v>1250</v>
      </c>
      <c r="EB1228" s="13" t="s">
        <v>1356</v>
      </c>
      <c r="EC1228" s="13" t="s">
        <v>1114</v>
      </c>
      <c r="ED1228" s="11">
        <v>232500</v>
      </c>
      <c r="EE1228" s="11"/>
    </row>
    <row r="1229" spans="130:135" x14ac:dyDescent="0.2">
      <c r="DZ1229" s="5">
        <v>45931</v>
      </c>
      <c r="EA1229" s="13" t="s">
        <v>1251</v>
      </c>
      <c r="EB1229" s="13" t="s">
        <v>2212</v>
      </c>
      <c r="EC1229" s="13" t="s">
        <v>1114</v>
      </c>
      <c r="ED1229" s="11">
        <v>0</v>
      </c>
      <c r="EE1229" s="11"/>
    </row>
    <row r="1230" spans="130:135" x14ac:dyDescent="0.2">
      <c r="DZ1230" s="5">
        <v>45931</v>
      </c>
      <c r="EA1230" s="13" t="s">
        <v>1251</v>
      </c>
      <c r="EB1230" s="13" t="s">
        <v>2305</v>
      </c>
      <c r="EC1230" s="13" t="s">
        <v>1114</v>
      </c>
      <c r="ED1230" s="11">
        <v>183250</v>
      </c>
      <c r="EE1230" s="11"/>
    </row>
    <row r="1231" spans="130:135" x14ac:dyDescent="0.2">
      <c r="DZ1231" s="5">
        <v>45931</v>
      </c>
      <c r="EA1231" s="13" t="s">
        <v>1250</v>
      </c>
      <c r="EB1231" s="13" t="s">
        <v>1357</v>
      </c>
      <c r="EC1231" s="13" t="s">
        <v>1114</v>
      </c>
      <c r="ED1231" s="11">
        <v>232500</v>
      </c>
      <c r="EE1231" s="11"/>
    </row>
    <row r="1232" spans="130:135" x14ac:dyDescent="0.2">
      <c r="DZ1232" s="5">
        <v>45931</v>
      </c>
      <c r="EA1232" s="13" t="s">
        <v>1250</v>
      </c>
      <c r="EB1232" s="13" t="s">
        <v>1417</v>
      </c>
      <c r="EC1232" s="13" t="s">
        <v>1156</v>
      </c>
      <c r="ED1232" s="11">
        <v>0</v>
      </c>
      <c r="EE1232" s="11"/>
    </row>
    <row r="1233" spans="130:135" x14ac:dyDescent="0.2">
      <c r="DZ1233" s="5">
        <v>45931</v>
      </c>
      <c r="EA1233" s="13" t="s">
        <v>1250</v>
      </c>
      <c r="EB1233" s="13" t="s">
        <v>1381</v>
      </c>
      <c r="EC1233" s="13" t="s">
        <v>1144</v>
      </c>
      <c r="ED1233" s="11">
        <v>0</v>
      </c>
      <c r="EE1233" s="11"/>
    </row>
    <row r="1234" spans="130:135" x14ac:dyDescent="0.2">
      <c r="DZ1234" s="5">
        <v>45931</v>
      </c>
      <c r="EA1234" s="13" t="s">
        <v>1250</v>
      </c>
      <c r="EB1234" s="13" t="s">
        <v>2286</v>
      </c>
      <c r="EC1234" s="13" t="s">
        <v>1144</v>
      </c>
      <c r="ED1234" s="11">
        <v>0</v>
      </c>
      <c r="EE1234" s="11"/>
    </row>
    <row r="1235" spans="130:135" x14ac:dyDescent="0.2">
      <c r="DZ1235" s="5">
        <v>45931</v>
      </c>
      <c r="EA1235" s="13" t="s">
        <v>1251</v>
      </c>
      <c r="EB1235" s="13" t="s">
        <v>1368</v>
      </c>
      <c r="EC1235" s="13" t="s">
        <v>1146</v>
      </c>
      <c r="ED1235" s="11">
        <v>0</v>
      </c>
      <c r="EE1235" s="11"/>
    </row>
    <row r="1236" spans="130:135" x14ac:dyDescent="0.2">
      <c r="DZ1236" s="5">
        <v>45931</v>
      </c>
      <c r="EA1236" s="13" t="s">
        <v>1250</v>
      </c>
      <c r="EB1236" s="13" t="s">
        <v>1367</v>
      </c>
      <c r="EC1236" s="13" t="s">
        <v>1146</v>
      </c>
      <c r="ED1236" s="11">
        <v>45850</v>
      </c>
      <c r="EE1236" s="11"/>
    </row>
    <row r="1237" spans="130:135" x14ac:dyDescent="0.2">
      <c r="DZ1237" s="5">
        <v>45931</v>
      </c>
      <c r="EA1237" s="13" t="s">
        <v>1251</v>
      </c>
      <c r="EB1237" s="13" t="s">
        <v>1345</v>
      </c>
      <c r="EC1237" s="13" t="s">
        <v>1146</v>
      </c>
      <c r="ED1237" s="11">
        <v>113548</v>
      </c>
      <c r="EE1237" s="11"/>
    </row>
    <row r="1238" spans="130:135" x14ac:dyDescent="0.2">
      <c r="DZ1238" s="5">
        <v>45931</v>
      </c>
      <c r="EA1238" s="13" t="s">
        <v>1251</v>
      </c>
      <c r="EB1238" s="13" t="s">
        <v>1349</v>
      </c>
      <c r="EC1238" s="13" t="s">
        <v>1146</v>
      </c>
      <c r="ED1238" s="11">
        <v>829576</v>
      </c>
      <c r="EE1238" s="11"/>
    </row>
    <row r="1239" spans="130:135" x14ac:dyDescent="0.2">
      <c r="DZ1239" s="5">
        <v>45931</v>
      </c>
      <c r="EA1239" s="13" t="s">
        <v>1250</v>
      </c>
      <c r="EB1239" s="13" t="s">
        <v>1368</v>
      </c>
      <c r="EC1239" s="13" t="s">
        <v>1146</v>
      </c>
      <c r="ED1239" s="11">
        <v>78394</v>
      </c>
      <c r="EE1239" s="11"/>
    </row>
    <row r="1240" spans="130:135" x14ac:dyDescent="0.2">
      <c r="DZ1240" s="5">
        <v>45931</v>
      </c>
      <c r="EA1240" s="13" t="s">
        <v>1250</v>
      </c>
      <c r="EB1240" s="13" t="s">
        <v>2316</v>
      </c>
      <c r="EC1240" s="13" t="s">
        <v>1146</v>
      </c>
      <c r="ED1240" s="11">
        <v>3095472.08</v>
      </c>
      <c r="EE1240" s="11"/>
    </row>
    <row r="1241" spans="130:135" x14ac:dyDescent="0.2">
      <c r="DZ1241" s="5">
        <v>45931</v>
      </c>
      <c r="EA1241" s="13" t="s">
        <v>1251</v>
      </c>
      <c r="EB1241" s="13" t="s">
        <v>2319</v>
      </c>
      <c r="EC1241" s="13" t="s">
        <v>1108</v>
      </c>
      <c r="ED1241" s="11">
        <v>1423500</v>
      </c>
      <c r="EE1241" s="11"/>
    </row>
    <row r="1242" spans="130:135" x14ac:dyDescent="0.2">
      <c r="DZ1242" s="5">
        <v>45931</v>
      </c>
      <c r="EA1242" s="13" t="s">
        <v>1251</v>
      </c>
      <c r="EB1242" s="13" t="s">
        <v>2206</v>
      </c>
      <c r="EC1242" s="13" t="s">
        <v>1108</v>
      </c>
      <c r="ED1242" s="11">
        <v>0</v>
      </c>
      <c r="EE1242" s="11"/>
    </row>
    <row r="1243" spans="130:135" x14ac:dyDescent="0.2">
      <c r="DZ1243" s="5">
        <v>45931</v>
      </c>
      <c r="EA1243" s="13" t="s">
        <v>1251</v>
      </c>
      <c r="EB1243" s="13" t="s">
        <v>2212</v>
      </c>
      <c r="EC1243" s="13" t="s">
        <v>1108</v>
      </c>
      <c r="ED1243" s="11">
        <v>0</v>
      </c>
      <c r="EE1243" s="11"/>
    </row>
    <row r="1244" spans="130:135" x14ac:dyDescent="0.2">
      <c r="DZ1244" s="5">
        <v>45931</v>
      </c>
      <c r="EA1244" s="13" t="s">
        <v>1250</v>
      </c>
      <c r="EB1244" s="13" t="s">
        <v>1357</v>
      </c>
      <c r="EC1244" s="13" t="s">
        <v>1108</v>
      </c>
      <c r="ED1244" s="11">
        <v>2500000</v>
      </c>
      <c r="EE1244" s="11"/>
    </row>
    <row r="1245" spans="130:135" x14ac:dyDescent="0.2">
      <c r="DZ1245" s="5">
        <v>45931</v>
      </c>
      <c r="EA1245" s="13" t="s">
        <v>1250</v>
      </c>
      <c r="EB1245" s="13" t="s">
        <v>1358</v>
      </c>
      <c r="EC1245" s="13" t="s">
        <v>1108</v>
      </c>
      <c r="ED1245" s="11">
        <v>1423500</v>
      </c>
      <c r="EE1245" s="11"/>
    </row>
    <row r="1246" spans="130:135" x14ac:dyDescent="0.2">
      <c r="DZ1246" s="5">
        <v>45931</v>
      </c>
      <c r="EA1246" s="13" t="s">
        <v>1250</v>
      </c>
      <c r="EB1246" s="13" t="s">
        <v>1356</v>
      </c>
      <c r="EC1246" s="13" t="s">
        <v>1108</v>
      </c>
      <c r="ED1246" s="11">
        <v>2500000</v>
      </c>
      <c r="EE1246" s="11"/>
    </row>
    <row r="1247" spans="130:135" x14ac:dyDescent="0.2">
      <c r="DZ1247" s="5">
        <v>45931</v>
      </c>
      <c r="EA1247" s="13" t="s">
        <v>1251</v>
      </c>
      <c r="EB1247" s="13" t="s">
        <v>2305</v>
      </c>
      <c r="EC1247" s="13" t="s">
        <v>1108</v>
      </c>
      <c r="ED1247" s="11">
        <v>1423500</v>
      </c>
      <c r="EE1247" s="11"/>
    </row>
    <row r="1248" spans="130:135" x14ac:dyDescent="0.2">
      <c r="DZ1248" s="5">
        <v>45931</v>
      </c>
      <c r="EA1248" s="13" t="s">
        <v>1251</v>
      </c>
      <c r="EB1248" s="13" t="s">
        <v>2281</v>
      </c>
      <c r="EC1248" s="13" t="s">
        <v>1206</v>
      </c>
      <c r="ED1248" s="11"/>
      <c r="EE1248" s="11">
        <v>0</v>
      </c>
    </row>
    <row r="1249" spans="130:135" x14ac:dyDescent="0.2">
      <c r="DZ1249" s="5">
        <v>45931</v>
      </c>
      <c r="EA1249" s="13" t="s">
        <v>1251</v>
      </c>
      <c r="EB1249" s="13" t="s">
        <v>1347</v>
      </c>
      <c r="EC1249" s="13" t="s">
        <v>1206</v>
      </c>
      <c r="ED1249" s="11"/>
      <c r="EE1249" s="11">
        <v>1013756</v>
      </c>
    </row>
    <row r="1250" spans="130:135" x14ac:dyDescent="0.2">
      <c r="DZ1250" s="5">
        <v>45931</v>
      </c>
      <c r="EA1250" s="13" t="s">
        <v>1251</v>
      </c>
      <c r="EB1250" s="13" t="s">
        <v>2301</v>
      </c>
      <c r="EC1250" s="13" t="s">
        <v>1206</v>
      </c>
      <c r="ED1250" s="11"/>
      <c r="EE1250" s="11">
        <v>57017</v>
      </c>
    </row>
    <row r="1251" spans="130:135" x14ac:dyDescent="0.2">
      <c r="DZ1251" s="5">
        <v>45931</v>
      </c>
      <c r="EA1251" s="13" t="s">
        <v>1251</v>
      </c>
      <c r="EB1251" s="13" t="s">
        <v>1344</v>
      </c>
      <c r="EC1251" s="13" t="s">
        <v>1206</v>
      </c>
      <c r="ED1251" s="11"/>
      <c r="EE1251" s="11">
        <v>0</v>
      </c>
    </row>
    <row r="1252" spans="130:135" x14ac:dyDescent="0.2">
      <c r="DZ1252" s="5">
        <v>45931</v>
      </c>
      <c r="EA1252" s="13" t="s">
        <v>1251</v>
      </c>
      <c r="EB1252" s="13" t="s">
        <v>1343</v>
      </c>
      <c r="EC1252" s="13" t="s">
        <v>1206</v>
      </c>
      <c r="ED1252" s="11"/>
      <c r="EE1252" s="11">
        <v>76401</v>
      </c>
    </row>
    <row r="1253" spans="130:135" x14ac:dyDescent="0.2">
      <c r="DZ1253" s="5">
        <v>45931</v>
      </c>
      <c r="EA1253" s="13" t="s">
        <v>1251</v>
      </c>
      <c r="EB1253" s="13" t="s">
        <v>2212</v>
      </c>
      <c r="EC1253" s="13" t="s">
        <v>1058</v>
      </c>
      <c r="ED1253" s="11">
        <v>0</v>
      </c>
      <c r="EE1253" s="11"/>
    </row>
    <row r="1254" spans="130:135" x14ac:dyDescent="0.2">
      <c r="DZ1254" s="5">
        <v>45931</v>
      </c>
      <c r="EA1254" s="13" t="s">
        <v>1251</v>
      </c>
      <c r="EB1254" s="13" t="s">
        <v>2305</v>
      </c>
      <c r="EC1254" s="13" t="s">
        <v>1058</v>
      </c>
      <c r="ED1254" s="11">
        <v>95150</v>
      </c>
      <c r="EE1254" s="11"/>
    </row>
    <row r="1255" spans="130:135" x14ac:dyDescent="0.2">
      <c r="DZ1255" s="5">
        <v>45931</v>
      </c>
      <c r="EA1255" s="13" t="s">
        <v>1251</v>
      </c>
      <c r="EB1255" s="13" t="s">
        <v>2319</v>
      </c>
      <c r="EC1255" s="13" t="s">
        <v>1058</v>
      </c>
      <c r="ED1255" s="11">
        <v>36240</v>
      </c>
      <c r="EE1255" s="11"/>
    </row>
    <row r="1256" spans="130:135" x14ac:dyDescent="0.2">
      <c r="DZ1256" s="5">
        <v>45931</v>
      </c>
      <c r="EA1256" s="13" t="s">
        <v>1250</v>
      </c>
      <c r="EB1256" s="13" t="s">
        <v>1356</v>
      </c>
      <c r="EC1256" s="13" t="s">
        <v>1058</v>
      </c>
      <c r="ED1256" s="11">
        <v>104170</v>
      </c>
      <c r="EE1256" s="11"/>
    </row>
    <row r="1257" spans="130:135" x14ac:dyDescent="0.2">
      <c r="DZ1257" s="5">
        <v>45931</v>
      </c>
      <c r="EA1257" s="13" t="s">
        <v>1250</v>
      </c>
      <c r="EB1257" s="13" t="s">
        <v>1357</v>
      </c>
      <c r="EC1257" s="13" t="s">
        <v>1058</v>
      </c>
      <c r="ED1257" s="11">
        <v>104170</v>
      </c>
      <c r="EE1257" s="11"/>
    </row>
    <row r="1258" spans="130:135" x14ac:dyDescent="0.2">
      <c r="DZ1258" s="5">
        <v>45931</v>
      </c>
      <c r="EA1258" s="13" t="s">
        <v>1250</v>
      </c>
      <c r="EB1258" s="13" t="s">
        <v>1358</v>
      </c>
      <c r="EC1258" s="13" t="s">
        <v>1058</v>
      </c>
      <c r="ED1258" s="11">
        <v>133270</v>
      </c>
      <c r="EE1258" s="11"/>
    </row>
    <row r="1259" spans="130:135" x14ac:dyDescent="0.2">
      <c r="DZ1259" s="5">
        <v>45931</v>
      </c>
      <c r="EA1259" s="13" t="s">
        <v>1251</v>
      </c>
      <c r="EB1259" s="13" t="s">
        <v>2206</v>
      </c>
      <c r="EC1259" s="13" t="s">
        <v>1058</v>
      </c>
      <c r="ED1259" s="11">
        <v>0</v>
      </c>
      <c r="EE1259" s="11"/>
    </row>
    <row r="1260" spans="130:135" x14ac:dyDescent="0.2">
      <c r="DZ1260" s="5">
        <v>45931</v>
      </c>
      <c r="EA1260" s="13" t="s">
        <v>1250</v>
      </c>
      <c r="EB1260" s="13" t="s">
        <v>1389</v>
      </c>
      <c r="EC1260" s="13" t="s">
        <v>1170</v>
      </c>
      <c r="ED1260" s="11">
        <v>18151.310000000001</v>
      </c>
      <c r="EE1260" s="11"/>
    </row>
    <row r="1261" spans="130:135" x14ac:dyDescent="0.2">
      <c r="DZ1261" s="5">
        <v>45931</v>
      </c>
      <c r="EA1261" s="13" t="s">
        <v>1250</v>
      </c>
      <c r="EB1261" s="13" t="s">
        <v>1352</v>
      </c>
      <c r="EC1261" s="13" t="s">
        <v>1170</v>
      </c>
      <c r="ED1261" s="11">
        <v>568011</v>
      </c>
      <c r="EE1261" s="11"/>
    </row>
    <row r="1262" spans="130:135" x14ac:dyDescent="0.2">
      <c r="DZ1262" s="5">
        <v>45931</v>
      </c>
      <c r="EA1262" s="13" t="s">
        <v>1250</v>
      </c>
      <c r="EB1262" s="13" t="s">
        <v>1379</v>
      </c>
      <c r="EC1262" s="13" t="s">
        <v>1170</v>
      </c>
      <c r="ED1262" s="11">
        <v>0</v>
      </c>
      <c r="EE1262" s="11"/>
    </row>
    <row r="1263" spans="130:135" x14ac:dyDescent="0.2">
      <c r="DZ1263" s="5">
        <v>45931</v>
      </c>
      <c r="EA1263" s="13" t="s">
        <v>1250</v>
      </c>
      <c r="EB1263" s="13" t="s">
        <v>2341</v>
      </c>
      <c r="EC1263" s="13" t="s">
        <v>1170</v>
      </c>
      <c r="ED1263" s="11">
        <v>0</v>
      </c>
      <c r="EE1263" s="11"/>
    </row>
    <row r="1264" spans="130:135" x14ac:dyDescent="0.2">
      <c r="DZ1264" s="5">
        <v>45931</v>
      </c>
      <c r="EA1264" s="13" t="s">
        <v>1250</v>
      </c>
      <c r="EB1264" s="13" t="s">
        <v>2303</v>
      </c>
      <c r="EC1264" s="13" t="s">
        <v>1170</v>
      </c>
      <c r="ED1264" s="11">
        <v>0</v>
      </c>
      <c r="EE1264" s="11"/>
    </row>
    <row r="1265" spans="130:135" x14ac:dyDescent="0.2">
      <c r="DZ1265" s="5">
        <v>45931</v>
      </c>
      <c r="EA1265" s="13" t="s">
        <v>1250</v>
      </c>
      <c r="EB1265" s="13" t="s">
        <v>2302</v>
      </c>
      <c r="EC1265" s="13" t="s">
        <v>1170</v>
      </c>
      <c r="ED1265" s="11">
        <v>0</v>
      </c>
      <c r="EE1265" s="11"/>
    </row>
    <row r="1266" spans="130:135" x14ac:dyDescent="0.2">
      <c r="DZ1266" s="5">
        <v>45931</v>
      </c>
      <c r="EA1266" s="13" t="s">
        <v>1250</v>
      </c>
      <c r="EB1266" s="13" t="s">
        <v>2317</v>
      </c>
      <c r="EC1266" s="13" t="s">
        <v>1170</v>
      </c>
      <c r="ED1266" s="11">
        <v>0</v>
      </c>
      <c r="EE1266" s="11"/>
    </row>
    <row r="1267" spans="130:135" x14ac:dyDescent="0.2">
      <c r="DZ1267" s="5">
        <v>45931</v>
      </c>
      <c r="EA1267" s="13" t="s">
        <v>1250</v>
      </c>
      <c r="EB1267" s="13" t="s">
        <v>2204</v>
      </c>
      <c r="EC1267" s="13" t="s">
        <v>1170</v>
      </c>
      <c r="ED1267" s="11">
        <v>748237.42</v>
      </c>
      <c r="EE1267" s="11"/>
    </row>
    <row r="1268" spans="130:135" x14ac:dyDescent="0.2">
      <c r="DZ1268" s="5">
        <v>45931</v>
      </c>
      <c r="EA1268" s="13" t="s">
        <v>1250</v>
      </c>
      <c r="EB1268" s="13" t="s">
        <v>1365</v>
      </c>
      <c r="EC1268" s="13" t="s">
        <v>1170</v>
      </c>
      <c r="ED1268" s="11">
        <v>5966.46</v>
      </c>
      <c r="EE1268" s="11"/>
    </row>
    <row r="1269" spans="130:135" x14ac:dyDescent="0.2">
      <c r="DZ1269" s="5">
        <v>45931</v>
      </c>
      <c r="EA1269" s="13" t="s">
        <v>1250</v>
      </c>
      <c r="EB1269" s="13" t="s">
        <v>2304</v>
      </c>
      <c r="EC1269" s="13" t="s">
        <v>1170</v>
      </c>
      <c r="ED1269" s="11">
        <v>22750</v>
      </c>
      <c r="EE1269" s="11"/>
    </row>
    <row r="1270" spans="130:135" x14ac:dyDescent="0.2">
      <c r="DZ1270" s="5">
        <v>45931</v>
      </c>
      <c r="EA1270" s="13" t="s">
        <v>1250</v>
      </c>
      <c r="EB1270" s="13" t="s">
        <v>1394</v>
      </c>
      <c r="EC1270" s="13" t="s">
        <v>1170</v>
      </c>
      <c r="ED1270" s="11">
        <v>0</v>
      </c>
      <c r="EE1270" s="11"/>
    </row>
    <row r="1271" spans="130:135" x14ac:dyDescent="0.2">
      <c r="DZ1271" s="5">
        <v>45931</v>
      </c>
      <c r="EA1271" s="13" t="s">
        <v>1250</v>
      </c>
      <c r="EB1271" s="13" t="s">
        <v>1364</v>
      </c>
      <c r="EC1271" s="13" t="s">
        <v>1170</v>
      </c>
      <c r="ED1271" s="11">
        <v>0</v>
      </c>
      <c r="EE1271" s="11"/>
    </row>
    <row r="1272" spans="130:135" x14ac:dyDescent="0.2">
      <c r="DZ1272" s="5">
        <v>45931</v>
      </c>
      <c r="EA1272" s="13" t="s">
        <v>1250</v>
      </c>
      <c r="EB1272" s="13" t="s">
        <v>2283</v>
      </c>
      <c r="EC1272" s="13" t="s">
        <v>1170</v>
      </c>
      <c r="ED1272" s="11">
        <v>35546.51</v>
      </c>
      <c r="EE1272" s="11"/>
    </row>
    <row r="1273" spans="130:135" x14ac:dyDescent="0.2">
      <c r="DZ1273" s="5">
        <v>45931</v>
      </c>
      <c r="EA1273" s="13" t="s">
        <v>1250</v>
      </c>
      <c r="EB1273" s="13" t="s">
        <v>2342</v>
      </c>
      <c r="EC1273" s="13" t="s">
        <v>1170</v>
      </c>
      <c r="ED1273" s="11">
        <v>0</v>
      </c>
      <c r="EE1273" s="11"/>
    </row>
    <row r="1274" spans="130:135" x14ac:dyDescent="0.2">
      <c r="DZ1274" s="5">
        <v>45962</v>
      </c>
      <c r="EA1274" s="13" t="s">
        <v>1252</v>
      </c>
      <c r="EB1274" s="13" t="s">
        <v>1374</v>
      </c>
      <c r="EC1274" s="13" t="s">
        <v>1106</v>
      </c>
      <c r="ED1274" s="11">
        <v>0</v>
      </c>
      <c r="EE1274" s="11"/>
    </row>
    <row r="1275" spans="130:135" x14ac:dyDescent="0.2">
      <c r="DZ1275" s="5">
        <v>45962</v>
      </c>
      <c r="EA1275" s="13" t="s">
        <v>1252</v>
      </c>
      <c r="EB1275" s="13" t="s">
        <v>1375</v>
      </c>
      <c r="EC1275" s="13" t="s">
        <v>1106</v>
      </c>
      <c r="ED1275" s="11">
        <v>0</v>
      </c>
      <c r="EE1275" s="11"/>
    </row>
    <row r="1276" spans="130:135" x14ac:dyDescent="0.2">
      <c r="DZ1276" s="5">
        <v>45962</v>
      </c>
      <c r="EA1276" s="13" t="s">
        <v>1252</v>
      </c>
      <c r="EB1276" s="13" t="s">
        <v>1384</v>
      </c>
      <c r="EC1276" s="13" t="s">
        <v>1106</v>
      </c>
      <c r="ED1276" s="11">
        <v>0.72</v>
      </c>
      <c r="EE1276" s="11"/>
    </row>
    <row r="1277" spans="130:135" x14ac:dyDescent="0.2">
      <c r="DZ1277" s="5">
        <v>45962</v>
      </c>
      <c r="EA1277" s="13" t="s">
        <v>1252</v>
      </c>
      <c r="EB1277" s="13" t="s">
        <v>1388</v>
      </c>
      <c r="EC1277" s="13" t="s">
        <v>1106</v>
      </c>
      <c r="ED1277" s="11">
        <v>0</v>
      </c>
      <c r="EE1277" s="11"/>
    </row>
    <row r="1278" spans="130:135" x14ac:dyDescent="0.2">
      <c r="DZ1278" s="5">
        <v>45962</v>
      </c>
      <c r="EA1278" s="13" t="s">
        <v>1252</v>
      </c>
      <c r="EB1278" s="13" t="s">
        <v>1377</v>
      </c>
      <c r="EC1278" s="13" t="s">
        <v>1106</v>
      </c>
      <c r="ED1278" s="11">
        <v>0</v>
      </c>
      <c r="EE1278" s="11"/>
    </row>
    <row r="1279" spans="130:135" x14ac:dyDescent="0.2">
      <c r="DZ1279" s="5">
        <v>45962</v>
      </c>
      <c r="EA1279" s="13" t="s">
        <v>1252</v>
      </c>
      <c r="EB1279" s="13" t="s">
        <v>2202</v>
      </c>
      <c r="EC1279" s="13" t="s">
        <v>1106</v>
      </c>
      <c r="ED1279" s="11">
        <v>0</v>
      </c>
      <c r="EE1279" s="11"/>
    </row>
    <row r="1280" spans="130:135" x14ac:dyDescent="0.2">
      <c r="DZ1280" s="5">
        <v>45962</v>
      </c>
      <c r="EA1280" s="13" t="s">
        <v>1252</v>
      </c>
      <c r="EB1280" s="13" t="s">
        <v>1403</v>
      </c>
      <c r="EC1280" s="13" t="s">
        <v>1106</v>
      </c>
      <c r="ED1280" s="11">
        <v>0</v>
      </c>
      <c r="EE1280" s="11"/>
    </row>
    <row r="1281" spans="130:135" x14ac:dyDescent="0.2">
      <c r="DZ1281" s="5">
        <v>45962</v>
      </c>
      <c r="EA1281" s="13" t="s">
        <v>1251</v>
      </c>
      <c r="EB1281" s="13" t="s">
        <v>1379</v>
      </c>
      <c r="EC1281" s="13" t="s">
        <v>1212</v>
      </c>
      <c r="ED1281" s="11">
        <v>0</v>
      </c>
      <c r="EE1281" s="11"/>
    </row>
    <row r="1282" spans="130:135" x14ac:dyDescent="0.2">
      <c r="DZ1282" s="5">
        <v>45962</v>
      </c>
      <c r="EA1282" s="13" t="s">
        <v>1251</v>
      </c>
      <c r="EB1282" s="13" t="s">
        <v>2318</v>
      </c>
      <c r="EC1282" s="13" t="s">
        <v>1212</v>
      </c>
      <c r="ED1282" s="11">
        <v>0</v>
      </c>
      <c r="EE1282" s="11"/>
    </row>
    <row r="1283" spans="130:135" x14ac:dyDescent="0.2">
      <c r="DZ1283" s="5">
        <v>45962</v>
      </c>
      <c r="EA1283" s="13" t="s">
        <v>1251</v>
      </c>
      <c r="EB1283" s="13" t="s">
        <v>2204</v>
      </c>
      <c r="EC1283" s="13" t="s">
        <v>1212</v>
      </c>
      <c r="ED1283" s="11">
        <v>0</v>
      </c>
      <c r="EE1283" s="11"/>
    </row>
    <row r="1284" spans="130:135" x14ac:dyDescent="0.2">
      <c r="DZ1284" s="5">
        <v>45962</v>
      </c>
      <c r="EA1284" s="13" t="s">
        <v>1251</v>
      </c>
      <c r="EB1284" s="13" t="s">
        <v>1380</v>
      </c>
      <c r="EC1284" s="13" t="s">
        <v>1212</v>
      </c>
      <c r="ED1284" s="11">
        <v>0</v>
      </c>
      <c r="EE1284" s="11"/>
    </row>
    <row r="1285" spans="130:135" x14ac:dyDescent="0.2">
      <c r="DZ1285" s="5">
        <v>45962</v>
      </c>
      <c r="EA1285" s="13" t="s">
        <v>1251</v>
      </c>
      <c r="EB1285" s="13" t="s">
        <v>2203</v>
      </c>
      <c r="EC1285" s="13" t="s">
        <v>1212</v>
      </c>
      <c r="ED1285" s="11">
        <v>0</v>
      </c>
      <c r="EE1285" s="11"/>
    </row>
    <row r="1286" spans="130:135" x14ac:dyDescent="0.2">
      <c r="DZ1286" s="5">
        <v>45962</v>
      </c>
      <c r="EA1286" s="13" t="s">
        <v>1250</v>
      </c>
      <c r="EB1286" s="13" t="s">
        <v>1359</v>
      </c>
      <c r="EC1286" s="13" t="s">
        <v>1124</v>
      </c>
      <c r="ED1286" s="11">
        <v>2370700</v>
      </c>
      <c r="EE1286" s="11"/>
    </row>
    <row r="1287" spans="130:135" x14ac:dyDescent="0.2">
      <c r="DZ1287" s="5">
        <v>45962</v>
      </c>
      <c r="EA1287" s="13" t="s">
        <v>1251</v>
      </c>
      <c r="EB1287" s="13" t="s">
        <v>1360</v>
      </c>
      <c r="EC1287" s="13" t="s">
        <v>1124</v>
      </c>
      <c r="ED1287" s="11">
        <v>-280900</v>
      </c>
      <c r="EE1287" s="11"/>
    </row>
    <row r="1288" spans="130:135" x14ac:dyDescent="0.2">
      <c r="DZ1288" s="5">
        <v>45962</v>
      </c>
      <c r="EA1288" s="13" t="s">
        <v>1250</v>
      </c>
      <c r="EB1288" s="13" t="s">
        <v>1360</v>
      </c>
      <c r="EC1288" s="13" t="s">
        <v>1124</v>
      </c>
      <c r="ED1288" s="11">
        <v>195900</v>
      </c>
      <c r="EE1288" s="11"/>
    </row>
    <row r="1289" spans="130:135" x14ac:dyDescent="0.2">
      <c r="DZ1289" s="5">
        <v>45962</v>
      </c>
      <c r="EA1289" s="13" t="s">
        <v>1251</v>
      </c>
      <c r="EB1289" s="13" t="s">
        <v>1406</v>
      </c>
      <c r="EC1289" s="13" t="s">
        <v>1124</v>
      </c>
      <c r="ED1289" s="11">
        <v>0</v>
      </c>
      <c r="EE1289" s="11"/>
    </row>
    <row r="1290" spans="130:135" x14ac:dyDescent="0.2">
      <c r="DZ1290" s="5">
        <v>45962</v>
      </c>
      <c r="EA1290" s="13" t="s">
        <v>1250</v>
      </c>
      <c r="EB1290" s="13" t="s">
        <v>1339</v>
      </c>
      <c r="EC1290" s="13" t="s">
        <v>1124</v>
      </c>
      <c r="ED1290" s="11">
        <v>2370700</v>
      </c>
      <c r="EE1290" s="11"/>
    </row>
    <row r="1291" spans="130:135" x14ac:dyDescent="0.2">
      <c r="DZ1291" s="5">
        <v>45962</v>
      </c>
      <c r="EA1291" s="13" t="s">
        <v>1250</v>
      </c>
      <c r="EB1291" s="13" t="s">
        <v>1338</v>
      </c>
      <c r="EC1291" s="13" t="s">
        <v>1121</v>
      </c>
      <c r="ED1291" s="11">
        <v>34800</v>
      </c>
      <c r="EE1291" s="11"/>
    </row>
    <row r="1292" spans="130:135" x14ac:dyDescent="0.2">
      <c r="DZ1292" s="5">
        <v>45962</v>
      </c>
      <c r="EA1292" s="13" t="s">
        <v>1251</v>
      </c>
      <c r="EB1292" s="13" t="s">
        <v>1338</v>
      </c>
      <c r="EC1292" s="13" t="s">
        <v>1121</v>
      </c>
      <c r="ED1292" s="11">
        <v>180100</v>
      </c>
      <c r="EE1292" s="11"/>
    </row>
    <row r="1293" spans="130:135" x14ac:dyDescent="0.2">
      <c r="DZ1293" s="5">
        <v>45962</v>
      </c>
      <c r="EA1293" s="13" t="s">
        <v>1250</v>
      </c>
      <c r="EB1293" s="13" t="s">
        <v>2287</v>
      </c>
      <c r="EC1293" s="13" t="s">
        <v>1016</v>
      </c>
      <c r="ED1293" s="11">
        <v>0</v>
      </c>
      <c r="EE1293" s="11"/>
    </row>
    <row r="1294" spans="130:135" x14ac:dyDescent="0.2">
      <c r="DZ1294" s="5">
        <v>45962</v>
      </c>
      <c r="EA1294" s="13" t="s">
        <v>1250</v>
      </c>
      <c r="EB1294" s="13" t="s">
        <v>1378</v>
      </c>
      <c r="EC1294" s="13" t="s">
        <v>1016</v>
      </c>
      <c r="ED1294" s="11">
        <v>1530000</v>
      </c>
      <c r="EE1294" s="11"/>
    </row>
    <row r="1295" spans="130:135" x14ac:dyDescent="0.2">
      <c r="DZ1295" s="5">
        <v>45962</v>
      </c>
      <c r="EA1295" s="13" t="s">
        <v>1250</v>
      </c>
      <c r="EB1295" s="13" t="s">
        <v>1376</v>
      </c>
      <c r="EC1295" s="13" t="s">
        <v>1016</v>
      </c>
      <c r="ED1295" s="11">
        <v>1530000</v>
      </c>
      <c r="EE1295" s="11"/>
    </row>
    <row r="1296" spans="130:135" x14ac:dyDescent="0.2">
      <c r="DZ1296" s="5">
        <v>45962</v>
      </c>
      <c r="EA1296" s="13" t="s">
        <v>1251</v>
      </c>
      <c r="EB1296" s="13" t="s">
        <v>1340</v>
      </c>
      <c r="EC1296" s="13" t="s">
        <v>1126</v>
      </c>
      <c r="ED1296" s="11">
        <v>1378100</v>
      </c>
      <c r="EE1296" s="11"/>
    </row>
    <row r="1297" spans="130:135" x14ac:dyDescent="0.2">
      <c r="DZ1297" s="5">
        <v>45962</v>
      </c>
      <c r="EA1297" s="13" t="s">
        <v>1250</v>
      </c>
      <c r="EB1297" s="13" t="s">
        <v>1340</v>
      </c>
      <c r="EC1297" s="13" t="s">
        <v>1126</v>
      </c>
      <c r="ED1297" s="11">
        <v>265900</v>
      </c>
      <c r="EE1297" s="11"/>
    </row>
    <row r="1298" spans="130:135" x14ac:dyDescent="0.2">
      <c r="DZ1298" s="5">
        <v>45962</v>
      </c>
      <c r="EA1298" s="13" t="s">
        <v>1251</v>
      </c>
      <c r="EB1298" s="13" t="s">
        <v>1342</v>
      </c>
      <c r="EC1298" s="13" t="s">
        <v>1142</v>
      </c>
      <c r="ED1298" s="11">
        <v>6300000</v>
      </c>
      <c r="EE1298" s="11"/>
    </row>
    <row r="1299" spans="130:135" x14ac:dyDescent="0.2">
      <c r="DZ1299" s="5">
        <v>45962</v>
      </c>
      <c r="EA1299" s="13" t="s">
        <v>1251</v>
      </c>
      <c r="EB1299" s="13" t="s">
        <v>1341</v>
      </c>
      <c r="EC1299" s="13" t="s">
        <v>1142</v>
      </c>
      <c r="ED1299" s="11">
        <v>2400000</v>
      </c>
      <c r="EE1299" s="11"/>
    </row>
    <row r="1300" spans="130:135" x14ac:dyDescent="0.2">
      <c r="DZ1300" s="5">
        <v>45962</v>
      </c>
      <c r="EA1300" s="13" t="s">
        <v>1250</v>
      </c>
      <c r="EB1300" s="13" t="s">
        <v>2205</v>
      </c>
      <c r="EC1300" s="13" t="s">
        <v>1138</v>
      </c>
      <c r="ED1300" s="11">
        <v>0</v>
      </c>
      <c r="EE1300" s="11"/>
    </row>
    <row r="1301" spans="130:135" x14ac:dyDescent="0.2">
      <c r="DZ1301" s="5">
        <v>45962</v>
      </c>
      <c r="EA1301" s="13" t="s">
        <v>1250</v>
      </c>
      <c r="EB1301" s="13" t="s">
        <v>1357</v>
      </c>
      <c r="EC1301" s="13" t="s">
        <v>1110</v>
      </c>
      <c r="ED1301" s="11">
        <v>200000</v>
      </c>
      <c r="EE1301" s="11"/>
    </row>
    <row r="1302" spans="130:135" x14ac:dyDescent="0.2">
      <c r="DZ1302" s="5">
        <v>45962</v>
      </c>
      <c r="EA1302" s="13" t="s">
        <v>1250</v>
      </c>
      <c r="EB1302" s="13" t="s">
        <v>1356</v>
      </c>
      <c r="EC1302" s="13" t="s">
        <v>1110</v>
      </c>
      <c r="ED1302" s="11">
        <v>200000</v>
      </c>
      <c r="EE1302" s="11"/>
    </row>
    <row r="1303" spans="130:135" x14ac:dyDescent="0.2">
      <c r="DZ1303" s="5">
        <v>45962</v>
      </c>
      <c r="EA1303" s="13" t="s">
        <v>1250</v>
      </c>
      <c r="EB1303" s="13" t="s">
        <v>1358</v>
      </c>
      <c r="EC1303" s="13" t="s">
        <v>1110</v>
      </c>
      <c r="ED1303" s="11">
        <v>200000</v>
      </c>
      <c r="EE1303" s="11"/>
    </row>
    <row r="1304" spans="130:135" x14ac:dyDescent="0.2">
      <c r="DZ1304" s="5">
        <v>45962</v>
      </c>
      <c r="EA1304" s="13" t="s">
        <v>1251</v>
      </c>
      <c r="EB1304" s="13" t="s">
        <v>1337</v>
      </c>
      <c r="EC1304" s="13" t="s">
        <v>1187</v>
      </c>
      <c r="ED1304" s="11">
        <v>60000</v>
      </c>
      <c r="EE1304" s="11"/>
    </row>
    <row r="1305" spans="130:135" x14ac:dyDescent="0.2">
      <c r="DZ1305" s="5">
        <v>45962</v>
      </c>
      <c r="EA1305" s="13" t="s">
        <v>1251</v>
      </c>
      <c r="EB1305" s="13" t="s">
        <v>2206</v>
      </c>
      <c r="EC1305" s="13" t="s">
        <v>1187</v>
      </c>
      <c r="ED1305" s="11">
        <v>0</v>
      </c>
      <c r="EE1305" s="11"/>
    </row>
    <row r="1306" spans="130:135" x14ac:dyDescent="0.2">
      <c r="DZ1306" s="5">
        <v>45962</v>
      </c>
      <c r="EA1306" s="13" t="s">
        <v>1251</v>
      </c>
      <c r="EB1306" s="13" t="s">
        <v>2305</v>
      </c>
      <c r="EC1306" s="13" t="s">
        <v>1187</v>
      </c>
      <c r="ED1306" s="11">
        <v>86667</v>
      </c>
      <c r="EE1306" s="11"/>
    </row>
    <row r="1307" spans="130:135" x14ac:dyDescent="0.2">
      <c r="DZ1307" s="5">
        <v>45962</v>
      </c>
      <c r="EA1307" s="13" t="s">
        <v>1251</v>
      </c>
      <c r="EB1307" s="13" t="s">
        <v>2319</v>
      </c>
      <c r="EC1307" s="13" t="s">
        <v>1187</v>
      </c>
      <c r="ED1307" s="11">
        <v>200000</v>
      </c>
      <c r="EE1307" s="11"/>
    </row>
    <row r="1308" spans="130:135" x14ac:dyDescent="0.2">
      <c r="DZ1308" s="5">
        <v>45962</v>
      </c>
      <c r="EA1308" s="13" t="s">
        <v>1250</v>
      </c>
      <c r="EB1308" s="13" t="s">
        <v>1358</v>
      </c>
      <c r="EC1308" s="13" t="s">
        <v>1132</v>
      </c>
      <c r="ED1308" s="11">
        <v>338520</v>
      </c>
      <c r="EE1308" s="11"/>
    </row>
    <row r="1309" spans="130:135" x14ac:dyDescent="0.2">
      <c r="DZ1309" s="5">
        <v>45962</v>
      </c>
      <c r="EA1309" s="13" t="s">
        <v>1250</v>
      </c>
      <c r="EB1309" s="13" t="s">
        <v>2208</v>
      </c>
      <c r="EC1309" s="13" t="s">
        <v>1172</v>
      </c>
      <c r="ED1309" s="11">
        <v>0</v>
      </c>
      <c r="EE1309" s="11"/>
    </row>
    <row r="1310" spans="130:135" x14ac:dyDescent="0.2">
      <c r="DZ1310" s="5">
        <v>45962</v>
      </c>
      <c r="EA1310" s="13" t="s">
        <v>1250</v>
      </c>
      <c r="EB1310" s="13" t="s">
        <v>1362</v>
      </c>
      <c r="EC1310" s="13" t="s">
        <v>1172</v>
      </c>
      <c r="ED1310" s="11">
        <v>0</v>
      </c>
      <c r="EE1310" s="11"/>
    </row>
    <row r="1311" spans="130:135" x14ac:dyDescent="0.2">
      <c r="DZ1311" s="5">
        <v>45962</v>
      </c>
      <c r="EA1311" s="13" t="s">
        <v>1250</v>
      </c>
      <c r="EB1311" s="13" t="s">
        <v>1392</v>
      </c>
      <c r="EC1311" s="13" t="s">
        <v>1172</v>
      </c>
      <c r="ED1311" s="11">
        <v>0</v>
      </c>
      <c r="EE1311" s="11"/>
    </row>
    <row r="1312" spans="130:135" x14ac:dyDescent="0.2">
      <c r="DZ1312" s="5">
        <v>45962</v>
      </c>
      <c r="EA1312" s="13" t="s">
        <v>1250</v>
      </c>
      <c r="EB1312" s="13" t="s">
        <v>2210</v>
      </c>
      <c r="EC1312" s="13" t="s">
        <v>1172</v>
      </c>
      <c r="ED1312" s="11">
        <v>0</v>
      </c>
      <c r="EE1312" s="11"/>
    </row>
    <row r="1313" spans="130:135" x14ac:dyDescent="0.2">
      <c r="DZ1313" s="5">
        <v>45962</v>
      </c>
      <c r="EA1313" s="13" t="s">
        <v>1250</v>
      </c>
      <c r="EB1313" s="13" t="s">
        <v>2207</v>
      </c>
      <c r="EC1313" s="13" t="s">
        <v>1172</v>
      </c>
      <c r="ED1313" s="11">
        <v>0</v>
      </c>
      <c r="EE1313" s="11"/>
    </row>
    <row r="1314" spans="130:135" x14ac:dyDescent="0.2">
      <c r="DZ1314" s="5">
        <v>45962</v>
      </c>
      <c r="EA1314" s="13" t="s">
        <v>1250</v>
      </c>
      <c r="EB1314" s="13" t="s">
        <v>2320</v>
      </c>
      <c r="EC1314" s="13" t="s">
        <v>1172</v>
      </c>
      <c r="ED1314" s="11">
        <v>0</v>
      </c>
      <c r="EE1314" s="11"/>
    </row>
    <row r="1315" spans="130:135" x14ac:dyDescent="0.2">
      <c r="DZ1315" s="5">
        <v>45962</v>
      </c>
      <c r="EA1315" s="13" t="s">
        <v>1250</v>
      </c>
      <c r="EB1315" s="13" t="s">
        <v>1391</v>
      </c>
      <c r="EC1315" s="13" t="s">
        <v>1172</v>
      </c>
      <c r="ED1315" s="11">
        <v>0</v>
      </c>
      <c r="EE1315" s="11"/>
    </row>
    <row r="1316" spans="130:135" x14ac:dyDescent="0.2">
      <c r="DZ1316" s="5">
        <v>45962</v>
      </c>
      <c r="EA1316" s="13" t="s">
        <v>1250</v>
      </c>
      <c r="EB1316" s="13" t="s">
        <v>2322</v>
      </c>
      <c r="EC1316" s="13" t="s">
        <v>1172</v>
      </c>
      <c r="ED1316" s="11">
        <v>0</v>
      </c>
      <c r="EE1316" s="11"/>
    </row>
    <row r="1317" spans="130:135" x14ac:dyDescent="0.2">
      <c r="DZ1317" s="5">
        <v>45962</v>
      </c>
      <c r="EA1317" s="13" t="s">
        <v>1250</v>
      </c>
      <c r="EB1317" s="13" t="s">
        <v>2277</v>
      </c>
      <c r="EC1317" s="13" t="s">
        <v>1172</v>
      </c>
      <c r="ED1317" s="11">
        <v>0</v>
      </c>
      <c r="EE1317" s="11"/>
    </row>
    <row r="1318" spans="130:135" x14ac:dyDescent="0.2">
      <c r="DZ1318" s="5">
        <v>45962</v>
      </c>
      <c r="EA1318" s="13" t="s">
        <v>1250</v>
      </c>
      <c r="EB1318" s="13" t="s">
        <v>2288</v>
      </c>
      <c r="EC1318" s="13" t="s">
        <v>1172</v>
      </c>
      <c r="ED1318" s="11">
        <v>0</v>
      </c>
      <c r="EE1318" s="11"/>
    </row>
    <row r="1319" spans="130:135" x14ac:dyDescent="0.2">
      <c r="DZ1319" s="5">
        <v>45962</v>
      </c>
      <c r="EA1319" s="13" t="s">
        <v>1250</v>
      </c>
      <c r="EB1319" s="13" t="s">
        <v>1396</v>
      </c>
      <c r="EC1319" s="13" t="s">
        <v>1172</v>
      </c>
      <c r="ED1319" s="11">
        <v>339905</v>
      </c>
      <c r="EE1319" s="11"/>
    </row>
    <row r="1320" spans="130:135" x14ac:dyDescent="0.2">
      <c r="DZ1320" s="5">
        <v>45962</v>
      </c>
      <c r="EA1320" s="13" t="s">
        <v>1250</v>
      </c>
      <c r="EB1320" s="13" t="s">
        <v>2209</v>
      </c>
      <c r="EC1320" s="13" t="s">
        <v>1172</v>
      </c>
      <c r="ED1320" s="11">
        <v>0</v>
      </c>
      <c r="EE1320" s="11"/>
    </row>
    <row r="1321" spans="130:135" x14ac:dyDescent="0.2">
      <c r="DZ1321" s="5">
        <v>45962</v>
      </c>
      <c r="EA1321" s="13" t="s">
        <v>1250</v>
      </c>
      <c r="EB1321" s="13" t="s">
        <v>2321</v>
      </c>
      <c r="EC1321" s="13" t="s">
        <v>1172</v>
      </c>
      <c r="ED1321" s="11">
        <v>0</v>
      </c>
      <c r="EE1321" s="11"/>
    </row>
    <row r="1322" spans="130:135" x14ac:dyDescent="0.2">
      <c r="DZ1322" s="5">
        <v>45962</v>
      </c>
      <c r="EA1322" s="13" t="s">
        <v>1250</v>
      </c>
      <c r="EB1322" s="13" t="s">
        <v>1414</v>
      </c>
      <c r="EC1322" s="13" t="s">
        <v>1172</v>
      </c>
      <c r="ED1322" s="11">
        <v>0</v>
      </c>
      <c r="EE1322" s="11"/>
    </row>
    <row r="1323" spans="130:135" x14ac:dyDescent="0.2">
      <c r="DZ1323" s="5">
        <v>45962</v>
      </c>
      <c r="EA1323" s="13" t="s">
        <v>1250</v>
      </c>
      <c r="EB1323" s="13" t="s">
        <v>2211</v>
      </c>
      <c r="EC1323" s="13" t="s">
        <v>1172</v>
      </c>
      <c r="ED1323" s="11">
        <v>0</v>
      </c>
      <c r="EE1323" s="11"/>
    </row>
    <row r="1324" spans="130:135" x14ac:dyDescent="0.2">
      <c r="DZ1324" s="5">
        <v>45962</v>
      </c>
      <c r="EA1324" s="13" t="s">
        <v>1251</v>
      </c>
      <c r="EB1324" s="13" t="s">
        <v>2206</v>
      </c>
      <c r="EC1324" s="13" t="s">
        <v>1054</v>
      </c>
      <c r="ED1324" s="11">
        <v>0</v>
      </c>
      <c r="EE1324" s="11"/>
    </row>
    <row r="1325" spans="130:135" x14ac:dyDescent="0.2">
      <c r="DZ1325" s="5">
        <v>45962</v>
      </c>
      <c r="EA1325" s="13" t="s">
        <v>1250</v>
      </c>
      <c r="EB1325" s="13" t="s">
        <v>1356</v>
      </c>
      <c r="EC1325" s="13" t="s">
        <v>1054</v>
      </c>
      <c r="ED1325" s="11">
        <v>225556</v>
      </c>
      <c r="EE1325" s="11"/>
    </row>
    <row r="1326" spans="130:135" x14ac:dyDescent="0.2">
      <c r="DZ1326" s="5">
        <v>45962</v>
      </c>
      <c r="EA1326" s="13" t="s">
        <v>1251</v>
      </c>
      <c r="EB1326" s="13" t="s">
        <v>2212</v>
      </c>
      <c r="EC1326" s="13" t="s">
        <v>1054</v>
      </c>
      <c r="ED1326" s="11">
        <v>0</v>
      </c>
      <c r="EE1326" s="11"/>
    </row>
    <row r="1327" spans="130:135" x14ac:dyDescent="0.2">
      <c r="DZ1327" s="5">
        <v>45962</v>
      </c>
      <c r="EA1327" s="13" t="s">
        <v>1250</v>
      </c>
      <c r="EB1327" s="13" t="s">
        <v>1357</v>
      </c>
      <c r="EC1327" s="13" t="s">
        <v>1054</v>
      </c>
      <c r="ED1327" s="11">
        <v>225556</v>
      </c>
      <c r="EE1327" s="11"/>
    </row>
    <row r="1328" spans="130:135" x14ac:dyDescent="0.2">
      <c r="DZ1328" s="5">
        <v>45962</v>
      </c>
      <c r="EA1328" s="13" t="s">
        <v>1251</v>
      </c>
      <c r="EB1328" s="13" t="s">
        <v>2319</v>
      </c>
      <c r="EC1328" s="13" t="s">
        <v>1054</v>
      </c>
      <c r="ED1328" s="11">
        <v>269171</v>
      </c>
      <c r="EE1328" s="11"/>
    </row>
    <row r="1329" spans="130:135" x14ac:dyDescent="0.2">
      <c r="DZ1329" s="5">
        <v>45962</v>
      </c>
      <c r="EA1329" s="13" t="s">
        <v>1251</v>
      </c>
      <c r="EB1329" s="13" t="s">
        <v>2305</v>
      </c>
      <c r="EC1329" s="13" t="s">
        <v>1054</v>
      </c>
      <c r="ED1329" s="11">
        <v>-64630</v>
      </c>
      <c r="EE1329" s="11"/>
    </row>
    <row r="1330" spans="130:135" x14ac:dyDescent="0.2">
      <c r="DZ1330" s="5">
        <v>45962</v>
      </c>
      <c r="EA1330" s="13" t="s">
        <v>1250</v>
      </c>
      <c r="EB1330" s="13" t="s">
        <v>1358</v>
      </c>
      <c r="EC1330" s="13" t="s">
        <v>1054</v>
      </c>
      <c r="ED1330" s="11">
        <v>153189</v>
      </c>
      <c r="EE1330" s="11"/>
    </row>
    <row r="1331" spans="130:135" x14ac:dyDescent="0.2">
      <c r="DZ1331" s="5">
        <v>45962</v>
      </c>
      <c r="EA1331" s="13" t="s">
        <v>1251</v>
      </c>
      <c r="EB1331" s="13" t="s">
        <v>2305</v>
      </c>
      <c r="EC1331" s="13" t="s">
        <v>1166</v>
      </c>
      <c r="ED1331" s="11"/>
      <c r="EE1331" s="11">
        <v>192857</v>
      </c>
    </row>
    <row r="1332" spans="130:135" x14ac:dyDescent="0.2">
      <c r="DZ1332" s="5">
        <v>45962</v>
      </c>
      <c r="EA1332" s="13" t="s">
        <v>1252</v>
      </c>
      <c r="EB1332" s="13" t="s">
        <v>1355</v>
      </c>
      <c r="EC1332" s="13" t="s">
        <v>1166</v>
      </c>
      <c r="ED1332" s="11">
        <v>0</v>
      </c>
      <c r="EE1332" s="11"/>
    </row>
    <row r="1333" spans="130:135" x14ac:dyDescent="0.2">
      <c r="DZ1333" s="5">
        <v>45962</v>
      </c>
      <c r="EA1333" s="13" t="s">
        <v>1251</v>
      </c>
      <c r="EB1333" s="13" t="s">
        <v>2319</v>
      </c>
      <c r="EC1333" s="13" t="s">
        <v>1166</v>
      </c>
      <c r="ED1333" s="11"/>
      <c r="EE1333" s="11">
        <v>300000</v>
      </c>
    </row>
    <row r="1334" spans="130:135" x14ac:dyDescent="0.2">
      <c r="DZ1334" s="5">
        <v>45962</v>
      </c>
      <c r="EA1334" s="13" t="s">
        <v>1251</v>
      </c>
      <c r="EB1334" s="13" t="s">
        <v>2212</v>
      </c>
      <c r="EC1334" s="13" t="s">
        <v>1166</v>
      </c>
      <c r="ED1334" s="11"/>
      <c r="EE1334" s="11">
        <v>0</v>
      </c>
    </row>
    <row r="1335" spans="130:135" x14ac:dyDescent="0.2">
      <c r="DZ1335" s="5">
        <v>45962</v>
      </c>
      <c r="EA1335" s="13" t="s">
        <v>1252</v>
      </c>
      <c r="EB1335" s="13" t="s">
        <v>1371</v>
      </c>
      <c r="EC1335" s="13" t="s">
        <v>1166</v>
      </c>
      <c r="ED1335" s="11">
        <v>0</v>
      </c>
      <c r="EE1335" s="11"/>
    </row>
    <row r="1336" spans="130:135" x14ac:dyDescent="0.2">
      <c r="DZ1336" s="5">
        <v>45962</v>
      </c>
      <c r="EA1336" s="13" t="s">
        <v>1251</v>
      </c>
      <c r="EB1336" s="13" t="s">
        <v>1351</v>
      </c>
      <c r="EC1336" s="13" t="s">
        <v>1166</v>
      </c>
      <c r="ED1336" s="11"/>
      <c r="EE1336" s="11">
        <v>185544.35</v>
      </c>
    </row>
    <row r="1337" spans="130:135" x14ac:dyDescent="0.2">
      <c r="DZ1337" s="5">
        <v>45962</v>
      </c>
      <c r="EA1337" s="13" t="s">
        <v>1251</v>
      </c>
      <c r="EB1337" s="13" t="s">
        <v>2213</v>
      </c>
      <c r="EC1337" s="13" t="s">
        <v>1166</v>
      </c>
      <c r="ED1337" s="11"/>
      <c r="EE1337" s="11">
        <v>325001</v>
      </c>
    </row>
    <row r="1338" spans="130:135" x14ac:dyDescent="0.2">
      <c r="DZ1338" s="5">
        <v>45962</v>
      </c>
      <c r="EA1338" s="13" t="s">
        <v>1251</v>
      </c>
      <c r="EB1338" s="13" t="s">
        <v>1355</v>
      </c>
      <c r="EC1338" s="13" t="s">
        <v>1166</v>
      </c>
      <c r="ED1338" s="11"/>
      <c r="EE1338" s="11">
        <v>571623</v>
      </c>
    </row>
    <row r="1339" spans="130:135" x14ac:dyDescent="0.2">
      <c r="DZ1339" s="5">
        <v>45962</v>
      </c>
      <c r="EA1339" s="13" t="s">
        <v>1251</v>
      </c>
      <c r="EB1339" s="13" t="s">
        <v>2214</v>
      </c>
      <c r="EC1339" s="13" t="s">
        <v>1166</v>
      </c>
      <c r="ED1339" s="11"/>
      <c r="EE1339" s="11">
        <v>0</v>
      </c>
    </row>
    <row r="1340" spans="130:135" x14ac:dyDescent="0.2">
      <c r="DZ1340" s="5">
        <v>45962</v>
      </c>
      <c r="EA1340" s="13" t="s">
        <v>1252</v>
      </c>
      <c r="EB1340" s="13" t="s">
        <v>2250</v>
      </c>
      <c r="EC1340" s="13" t="s">
        <v>1224</v>
      </c>
      <c r="ED1340" s="11">
        <v>0</v>
      </c>
      <c r="EE1340" s="11"/>
    </row>
    <row r="1341" spans="130:135" x14ac:dyDescent="0.2">
      <c r="DZ1341" s="5">
        <v>45962</v>
      </c>
      <c r="EA1341" s="13" t="s">
        <v>1252</v>
      </c>
      <c r="EB1341" s="13" t="s">
        <v>2222</v>
      </c>
      <c r="EC1341" s="13" t="s">
        <v>1224</v>
      </c>
      <c r="ED1341" s="11">
        <v>0</v>
      </c>
      <c r="EE1341" s="11"/>
    </row>
    <row r="1342" spans="130:135" x14ac:dyDescent="0.2">
      <c r="DZ1342" s="5">
        <v>45962</v>
      </c>
      <c r="EA1342" s="13" t="s">
        <v>1252</v>
      </c>
      <c r="EB1342" s="13" t="s">
        <v>2295</v>
      </c>
      <c r="EC1342" s="13" t="s">
        <v>1224</v>
      </c>
      <c r="ED1342" s="11">
        <v>0</v>
      </c>
      <c r="EE1342" s="11"/>
    </row>
    <row r="1343" spans="130:135" x14ac:dyDescent="0.2">
      <c r="DZ1343" s="5">
        <v>45962</v>
      </c>
      <c r="EA1343" s="13" t="s">
        <v>1252</v>
      </c>
      <c r="EB1343" s="13" t="s">
        <v>2256</v>
      </c>
      <c r="EC1343" s="13" t="s">
        <v>1224</v>
      </c>
      <c r="ED1343" s="11">
        <v>0</v>
      </c>
      <c r="EE1343" s="11"/>
    </row>
    <row r="1344" spans="130:135" x14ac:dyDescent="0.2">
      <c r="DZ1344" s="5">
        <v>45962</v>
      </c>
      <c r="EA1344" s="13" t="s">
        <v>1252</v>
      </c>
      <c r="EB1344" s="13" t="s">
        <v>2247</v>
      </c>
      <c r="EC1344" s="13" t="s">
        <v>1224</v>
      </c>
      <c r="ED1344" s="11">
        <v>0</v>
      </c>
      <c r="EE1344" s="11"/>
    </row>
    <row r="1345" spans="130:135" x14ac:dyDescent="0.2">
      <c r="DZ1345" s="5">
        <v>45962</v>
      </c>
      <c r="EA1345" s="13" t="s">
        <v>1252</v>
      </c>
      <c r="EB1345" s="13" t="s">
        <v>2348</v>
      </c>
      <c r="EC1345" s="13" t="s">
        <v>1224</v>
      </c>
      <c r="ED1345" s="11">
        <v>0</v>
      </c>
      <c r="EE1345" s="11"/>
    </row>
    <row r="1346" spans="130:135" x14ac:dyDescent="0.2">
      <c r="DZ1346" s="5">
        <v>45962</v>
      </c>
      <c r="EA1346" s="13" t="s">
        <v>1252</v>
      </c>
      <c r="EB1346" s="13" t="s">
        <v>2354</v>
      </c>
      <c r="EC1346" s="13" t="s">
        <v>1224</v>
      </c>
      <c r="ED1346" s="11">
        <v>136134.45000000001</v>
      </c>
      <c r="EE1346" s="11"/>
    </row>
    <row r="1347" spans="130:135" x14ac:dyDescent="0.2">
      <c r="DZ1347" s="5">
        <v>45962</v>
      </c>
      <c r="EA1347" s="13" t="s">
        <v>1252</v>
      </c>
      <c r="EB1347" s="13" t="s">
        <v>2355</v>
      </c>
      <c r="EC1347" s="13" t="s">
        <v>1224</v>
      </c>
      <c r="ED1347" s="11">
        <v>47899.16</v>
      </c>
      <c r="EE1347" s="11"/>
    </row>
    <row r="1348" spans="130:135" x14ac:dyDescent="0.2">
      <c r="DZ1348" s="5">
        <v>45962</v>
      </c>
      <c r="EA1348" s="13" t="s">
        <v>1252</v>
      </c>
      <c r="EB1348" s="13" t="s">
        <v>2333</v>
      </c>
      <c r="EC1348" s="13" t="s">
        <v>1224</v>
      </c>
      <c r="ED1348" s="11">
        <v>0</v>
      </c>
      <c r="EE1348" s="11"/>
    </row>
    <row r="1349" spans="130:135" x14ac:dyDescent="0.2">
      <c r="DZ1349" s="5">
        <v>45962</v>
      </c>
      <c r="EA1349" s="13" t="s">
        <v>1252</v>
      </c>
      <c r="EB1349" s="13" t="s">
        <v>2239</v>
      </c>
      <c r="EC1349" s="13" t="s">
        <v>1224</v>
      </c>
      <c r="ED1349" s="11">
        <v>0</v>
      </c>
      <c r="EE1349" s="11"/>
    </row>
    <row r="1350" spans="130:135" x14ac:dyDescent="0.2">
      <c r="DZ1350" s="5">
        <v>45962</v>
      </c>
      <c r="EA1350" s="13" t="s">
        <v>1252</v>
      </c>
      <c r="EB1350" s="13" t="s">
        <v>2248</v>
      </c>
      <c r="EC1350" s="13" t="s">
        <v>1224</v>
      </c>
      <c r="ED1350" s="11">
        <v>0</v>
      </c>
      <c r="EE1350" s="11"/>
    </row>
    <row r="1351" spans="130:135" x14ac:dyDescent="0.2">
      <c r="DZ1351" s="5">
        <v>45962</v>
      </c>
      <c r="EA1351" s="13" t="s">
        <v>1252</v>
      </c>
      <c r="EB1351" s="13" t="s">
        <v>2230</v>
      </c>
      <c r="EC1351" s="13" t="s">
        <v>1224</v>
      </c>
      <c r="ED1351" s="11">
        <v>0</v>
      </c>
      <c r="EE1351" s="11"/>
    </row>
    <row r="1352" spans="130:135" x14ac:dyDescent="0.2">
      <c r="DZ1352" s="5">
        <v>45962</v>
      </c>
      <c r="EA1352" s="13" t="s">
        <v>1252</v>
      </c>
      <c r="EB1352" s="13" t="s">
        <v>2290</v>
      </c>
      <c r="EC1352" s="13" t="s">
        <v>1224</v>
      </c>
      <c r="ED1352" s="11">
        <v>0</v>
      </c>
      <c r="EE1352" s="11"/>
    </row>
    <row r="1353" spans="130:135" x14ac:dyDescent="0.2">
      <c r="DZ1353" s="5">
        <v>45962</v>
      </c>
      <c r="EA1353" s="13" t="s">
        <v>1252</v>
      </c>
      <c r="EB1353" s="13" t="s">
        <v>2327</v>
      </c>
      <c r="EC1353" s="13" t="s">
        <v>1224</v>
      </c>
      <c r="ED1353" s="11">
        <v>0</v>
      </c>
      <c r="EE1353" s="11"/>
    </row>
    <row r="1354" spans="130:135" x14ac:dyDescent="0.2">
      <c r="DZ1354" s="5">
        <v>45962</v>
      </c>
      <c r="EA1354" s="13" t="s">
        <v>1252</v>
      </c>
      <c r="EB1354" s="13" t="s">
        <v>2237</v>
      </c>
      <c r="EC1354" s="13" t="s">
        <v>1224</v>
      </c>
      <c r="ED1354" s="11">
        <v>0</v>
      </c>
      <c r="EE1354" s="11"/>
    </row>
    <row r="1355" spans="130:135" x14ac:dyDescent="0.2">
      <c r="DZ1355" s="5">
        <v>45962</v>
      </c>
      <c r="EA1355" s="13" t="s">
        <v>1252</v>
      </c>
      <c r="EB1355" s="13" t="s">
        <v>2240</v>
      </c>
      <c r="EC1355" s="13" t="s">
        <v>1224</v>
      </c>
      <c r="ED1355" s="11">
        <v>0</v>
      </c>
      <c r="EE1355" s="11"/>
    </row>
    <row r="1356" spans="130:135" x14ac:dyDescent="0.2">
      <c r="DZ1356" s="5">
        <v>45962</v>
      </c>
      <c r="EA1356" s="13" t="s">
        <v>1252</v>
      </c>
      <c r="EB1356" s="13" t="s">
        <v>2274</v>
      </c>
      <c r="EC1356" s="13" t="s">
        <v>1224</v>
      </c>
      <c r="ED1356" s="11">
        <v>0</v>
      </c>
      <c r="EE1356" s="11"/>
    </row>
    <row r="1357" spans="130:135" x14ac:dyDescent="0.2">
      <c r="DZ1357" s="5">
        <v>45962</v>
      </c>
      <c r="EA1357" s="13" t="s">
        <v>1252</v>
      </c>
      <c r="EB1357" s="13" t="s">
        <v>2236</v>
      </c>
      <c r="EC1357" s="13" t="s">
        <v>1224</v>
      </c>
      <c r="ED1357" s="11">
        <v>0</v>
      </c>
      <c r="EE1357" s="11"/>
    </row>
    <row r="1358" spans="130:135" x14ac:dyDescent="0.2">
      <c r="DZ1358" s="5">
        <v>45962</v>
      </c>
      <c r="EA1358" s="13" t="s">
        <v>1252</v>
      </c>
      <c r="EB1358" s="13" t="s">
        <v>2307</v>
      </c>
      <c r="EC1358" s="13" t="s">
        <v>1224</v>
      </c>
      <c r="ED1358" s="11">
        <v>0</v>
      </c>
      <c r="EE1358" s="11"/>
    </row>
    <row r="1359" spans="130:135" x14ac:dyDescent="0.2">
      <c r="DZ1359" s="5">
        <v>45962</v>
      </c>
      <c r="EA1359" s="13" t="s">
        <v>1252</v>
      </c>
      <c r="EB1359" s="13" t="s">
        <v>2356</v>
      </c>
      <c r="EC1359" s="13" t="s">
        <v>1224</v>
      </c>
      <c r="ED1359" s="11">
        <v>162605.03</v>
      </c>
      <c r="EE1359" s="11"/>
    </row>
    <row r="1360" spans="130:135" x14ac:dyDescent="0.2">
      <c r="DZ1360" s="5">
        <v>45962</v>
      </c>
      <c r="EA1360" s="13" t="s">
        <v>1252</v>
      </c>
      <c r="EB1360" s="13" t="s">
        <v>2249</v>
      </c>
      <c r="EC1360" s="13" t="s">
        <v>1224</v>
      </c>
      <c r="ED1360" s="11">
        <v>0</v>
      </c>
      <c r="EE1360" s="11"/>
    </row>
    <row r="1361" spans="130:135" x14ac:dyDescent="0.2">
      <c r="DZ1361" s="5">
        <v>45962</v>
      </c>
      <c r="EA1361" s="13" t="s">
        <v>1252</v>
      </c>
      <c r="EB1361" s="13" t="s">
        <v>2357</v>
      </c>
      <c r="EC1361" s="13" t="s">
        <v>1224</v>
      </c>
      <c r="ED1361" s="11">
        <v>216176.47</v>
      </c>
      <c r="EE1361" s="11"/>
    </row>
    <row r="1362" spans="130:135" x14ac:dyDescent="0.2">
      <c r="DZ1362" s="5">
        <v>45962</v>
      </c>
      <c r="EA1362" s="13" t="s">
        <v>1252</v>
      </c>
      <c r="EB1362" s="13" t="s">
        <v>2257</v>
      </c>
      <c r="EC1362" s="13" t="s">
        <v>1224</v>
      </c>
      <c r="ED1362" s="11">
        <v>0</v>
      </c>
      <c r="EE1362" s="11"/>
    </row>
    <row r="1363" spans="130:135" x14ac:dyDescent="0.2">
      <c r="DZ1363" s="5">
        <v>45962</v>
      </c>
      <c r="EA1363" s="13" t="s">
        <v>1252</v>
      </c>
      <c r="EB1363" s="13" t="s">
        <v>2241</v>
      </c>
      <c r="EC1363" s="13" t="s">
        <v>1224</v>
      </c>
      <c r="ED1363" s="11">
        <v>0</v>
      </c>
      <c r="EE1363" s="11"/>
    </row>
    <row r="1364" spans="130:135" x14ac:dyDescent="0.2">
      <c r="DZ1364" s="5">
        <v>45962</v>
      </c>
      <c r="EA1364" s="13" t="s">
        <v>1252</v>
      </c>
      <c r="EB1364" s="13" t="s">
        <v>2231</v>
      </c>
      <c r="EC1364" s="13" t="s">
        <v>1224</v>
      </c>
      <c r="ED1364" s="11">
        <v>0</v>
      </c>
      <c r="EE1364" s="11"/>
    </row>
    <row r="1365" spans="130:135" x14ac:dyDescent="0.2">
      <c r="DZ1365" s="5">
        <v>45962</v>
      </c>
      <c r="EA1365" s="13" t="s">
        <v>1252</v>
      </c>
      <c r="EB1365" s="13" t="s">
        <v>2297</v>
      </c>
      <c r="EC1365" s="13" t="s">
        <v>1224</v>
      </c>
      <c r="ED1365" s="11">
        <v>0</v>
      </c>
      <c r="EE1365" s="11"/>
    </row>
    <row r="1366" spans="130:135" x14ac:dyDescent="0.2">
      <c r="DZ1366" s="5">
        <v>45962</v>
      </c>
      <c r="EA1366" s="13" t="s">
        <v>1252</v>
      </c>
      <c r="EB1366" s="13" t="s">
        <v>2275</v>
      </c>
      <c r="EC1366" s="13" t="s">
        <v>1224</v>
      </c>
      <c r="ED1366" s="11">
        <v>0</v>
      </c>
      <c r="EE1366" s="11"/>
    </row>
    <row r="1367" spans="130:135" x14ac:dyDescent="0.2">
      <c r="DZ1367" s="5">
        <v>45962</v>
      </c>
      <c r="EA1367" s="13" t="s">
        <v>1252</v>
      </c>
      <c r="EB1367" s="13" t="s">
        <v>2310</v>
      </c>
      <c r="EC1367" s="13" t="s">
        <v>1224</v>
      </c>
      <c r="ED1367" s="11">
        <v>0</v>
      </c>
      <c r="EE1367" s="11"/>
    </row>
    <row r="1368" spans="130:135" x14ac:dyDescent="0.2">
      <c r="DZ1368" s="5">
        <v>45962</v>
      </c>
      <c r="EA1368" s="13" t="s">
        <v>1252</v>
      </c>
      <c r="EB1368" s="13" t="s">
        <v>2251</v>
      </c>
      <c r="EC1368" s="13" t="s">
        <v>1224</v>
      </c>
      <c r="ED1368" s="11">
        <v>0</v>
      </c>
      <c r="EE1368" s="11"/>
    </row>
    <row r="1369" spans="130:135" x14ac:dyDescent="0.2">
      <c r="DZ1369" s="5">
        <v>45962</v>
      </c>
      <c r="EA1369" s="13" t="s">
        <v>1252</v>
      </c>
      <c r="EB1369" s="13" t="s">
        <v>2268</v>
      </c>
      <c r="EC1369" s="13" t="s">
        <v>1224</v>
      </c>
      <c r="ED1369" s="11">
        <v>0</v>
      </c>
      <c r="EE1369" s="11"/>
    </row>
    <row r="1370" spans="130:135" x14ac:dyDescent="0.2">
      <c r="DZ1370" s="5">
        <v>45962</v>
      </c>
      <c r="EA1370" s="13" t="s">
        <v>1252</v>
      </c>
      <c r="EB1370" s="13" t="s">
        <v>2358</v>
      </c>
      <c r="EC1370" s="13" t="s">
        <v>1224</v>
      </c>
      <c r="ED1370" s="11">
        <v>22899.16</v>
      </c>
      <c r="EE1370" s="11"/>
    </row>
    <row r="1371" spans="130:135" x14ac:dyDescent="0.2">
      <c r="DZ1371" s="5">
        <v>45962</v>
      </c>
      <c r="EA1371" s="13" t="s">
        <v>1252</v>
      </c>
      <c r="EB1371" s="13" t="s">
        <v>2359</v>
      </c>
      <c r="EC1371" s="13" t="s">
        <v>1224</v>
      </c>
      <c r="ED1371" s="11">
        <v>16806.72</v>
      </c>
      <c r="EE1371" s="11"/>
    </row>
    <row r="1372" spans="130:135" x14ac:dyDescent="0.2">
      <c r="DZ1372" s="5">
        <v>45962</v>
      </c>
      <c r="EA1372" s="13" t="s">
        <v>1252</v>
      </c>
      <c r="EB1372" s="13" t="s">
        <v>2266</v>
      </c>
      <c r="EC1372" s="13" t="s">
        <v>1224</v>
      </c>
      <c r="ED1372" s="11">
        <v>0</v>
      </c>
      <c r="EE1372" s="11"/>
    </row>
    <row r="1373" spans="130:135" x14ac:dyDescent="0.2">
      <c r="DZ1373" s="5">
        <v>45962</v>
      </c>
      <c r="EA1373" s="13" t="s">
        <v>1252</v>
      </c>
      <c r="EB1373" s="13" t="s">
        <v>2326</v>
      </c>
      <c r="EC1373" s="13" t="s">
        <v>1224</v>
      </c>
      <c r="ED1373" s="11">
        <v>0</v>
      </c>
      <c r="EE1373" s="11"/>
    </row>
    <row r="1374" spans="130:135" x14ac:dyDescent="0.2">
      <c r="DZ1374" s="5">
        <v>45962</v>
      </c>
      <c r="EA1374" s="13" t="s">
        <v>1252</v>
      </c>
      <c r="EB1374" s="13" t="s">
        <v>2220</v>
      </c>
      <c r="EC1374" s="13" t="s">
        <v>1224</v>
      </c>
      <c r="ED1374" s="11">
        <v>0</v>
      </c>
      <c r="EE1374" s="11"/>
    </row>
    <row r="1375" spans="130:135" x14ac:dyDescent="0.2">
      <c r="DZ1375" s="5">
        <v>45962</v>
      </c>
      <c r="EA1375" s="13" t="s">
        <v>1252</v>
      </c>
      <c r="EB1375" s="13" t="s">
        <v>2349</v>
      </c>
      <c r="EC1375" s="13" t="s">
        <v>1224</v>
      </c>
      <c r="ED1375" s="11">
        <v>0</v>
      </c>
      <c r="EE1375" s="11"/>
    </row>
    <row r="1376" spans="130:135" x14ac:dyDescent="0.2">
      <c r="DZ1376" s="5">
        <v>45962</v>
      </c>
      <c r="EA1376" s="13" t="s">
        <v>1252</v>
      </c>
      <c r="EB1376" s="13" t="s">
        <v>2246</v>
      </c>
      <c r="EC1376" s="13" t="s">
        <v>1224</v>
      </c>
      <c r="ED1376" s="11">
        <v>0</v>
      </c>
      <c r="EE1376" s="11"/>
    </row>
    <row r="1377" spans="130:135" x14ac:dyDescent="0.2">
      <c r="DZ1377" s="5">
        <v>45962</v>
      </c>
      <c r="EA1377" s="13" t="s">
        <v>1252</v>
      </c>
      <c r="EB1377" s="13" t="s">
        <v>2343</v>
      </c>
      <c r="EC1377" s="13" t="s">
        <v>1224</v>
      </c>
      <c r="ED1377" s="11">
        <v>138655.49</v>
      </c>
      <c r="EE1377" s="11"/>
    </row>
    <row r="1378" spans="130:135" x14ac:dyDescent="0.2">
      <c r="DZ1378" s="5">
        <v>45962</v>
      </c>
      <c r="EA1378" s="13" t="s">
        <v>1252</v>
      </c>
      <c r="EB1378" s="13" t="s">
        <v>2235</v>
      </c>
      <c r="EC1378" s="13" t="s">
        <v>1224</v>
      </c>
      <c r="ED1378" s="11">
        <v>0</v>
      </c>
      <c r="EE1378" s="11"/>
    </row>
    <row r="1379" spans="130:135" x14ac:dyDescent="0.2">
      <c r="DZ1379" s="5">
        <v>45962</v>
      </c>
      <c r="EA1379" s="13" t="s">
        <v>1252</v>
      </c>
      <c r="EB1379" s="13" t="s">
        <v>2353</v>
      </c>
      <c r="EC1379" s="13" t="s">
        <v>1224</v>
      </c>
      <c r="ED1379" s="11">
        <v>0</v>
      </c>
      <c r="EE1379" s="11"/>
    </row>
    <row r="1380" spans="130:135" x14ac:dyDescent="0.2">
      <c r="DZ1380" s="5">
        <v>45962</v>
      </c>
      <c r="EA1380" s="13" t="s">
        <v>1252</v>
      </c>
      <c r="EB1380" s="13" t="s">
        <v>2360</v>
      </c>
      <c r="EC1380" s="13" t="s">
        <v>1224</v>
      </c>
      <c r="ED1380" s="11">
        <v>191806.72</v>
      </c>
      <c r="EE1380" s="11"/>
    </row>
    <row r="1381" spans="130:135" x14ac:dyDescent="0.2">
      <c r="DZ1381" s="5">
        <v>45962</v>
      </c>
      <c r="EA1381" s="13" t="s">
        <v>1252</v>
      </c>
      <c r="EB1381" s="13" t="s">
        <v>2254</v>
      </c>
      <c r="EC1381" s="13" t="s">
        <v>1224</v>
      </c>
      <c r="ED1381" s="11">
        <v>0</v>
      </c>
      <c r="EE1381" s="11"/>
    </row>
    <row r="1382" spans="130:135" x14ac:dyDescent="0.2">
      <c r="DZ1382" s="5">
        <v>45962</v>
      </c>
      <c r="EA1382" s="13" t="s">
        <v>1252</v>
      </c>
      <c r="EB1382" s="13" t="s">
        <v>2324</v>
      </c>
      <c r="EC1382" s="13" t="s">
        <v>1224</v>
      </c>
      <c r="ED1382" s="11">
        <v>0</v>
      </c>
      <c r="EE1382" s="11"/>
    </row>
    <row r="1383" spans="130:135" x14ac:dyDescent="0.2">
      <c r="DZ1383" s="5">
        <v>45962</v>
      </c>
      <c r="EA1383" s="13" t="s">
        <v>1252</v>
      </c>
      <c r="EB1383" s="13" t="s">
        <v>2261</v>
      </c>
      <c r="EC1383" s="13" t="s">
        <v>1224</v>
      </c>
      <c r="ED1383" s="11">
        <v>0</v>
      </c>
      <c r="EE1383" s="11"/>
    </row>
    <row r="1384" spans="130:135" x14ac:dyDescent="0.2">
      <c r="DZ1384" s="5">
        <v>45962</v>
      </c>
      <c r="EA1384" s="13" t="s">
        <v>1252</v>
      </c>
      <c r="EB1384" s="13" t="s">
        <v>2361</v>
      </c>
      <c r="EC1384" s="13" t="s">
        <v>1224</v>
      </c>
      <c r="ED1384" s="11">
        <v>214915.97</v>
      </c>
      <c r="EE1384" s="11"/>
    </row>
    <row r="1385" spans="130:135" x14ac:dyDescent="0.2">
      <c r="DZ1385" s="5">
        <v>45962</v>
      </c>
      <c r="EA1385" s="13" t="s">
        <v>1252</v>
      </c>
      <c r="EB1385" s="13" t="s">
        <v>2270</v>
      </c>
      <c r="EC1385" s="13" t="s">
        <v>1224</v>
      </c>
      <c r="ED1385" s="11">
        <v>0</v>
      </c>
      <c r="EE1385" s="11"/>
    </row>
    <row r="1386" spans="130:135" x14ac:dyDescent="0.2">
      <c r="DZ1386" s="5">
        <v>45962</v>
      </c>
      <c r="EA1386" s="13" t="s">
        <v>1252</v>
      </c>
      <c r="EB1386" s="13" t="s">
        <v>2262</v>
      </c>
      <c r="EC1386" s="13" t="s">
        <v>1224</v>
      </c>
      <c r="ED1386" s="11">
        <v>0</v>
      </c>
      <c r="EE1386" s="11"/>
    </row>
    <row r="1387" spans="130:135" x14ac:dyDescent="0.2">
      <c r="DZ1387" s="5">
        <v>45962</v>
      </c>
      <c r="EA1387" s="13" t="s">
        <v>1252</v>
      </c>
      <c r="EB1387" s="13" t="s">
        <v>2351</v>
      </c>
      <c r="EC1387" s="13" t="s">
        <v>1224</v>
      </c>
      <c r="ED1387" s="11">
        <v>0</v>
      </c>
      <c r="EE1387" s="11"/>
    </row>
    <row r="1388" spans="130:135" x14ac:dyDescent="0.2">
      <c r="DZ1388" s="5">
        <v>45962</v>
      </c>
      <c r="EA1388" s="13" t="s">
        <v>1252</v>
      </c>
      <c r="EB1388" s="13" t="s">
        <v>2272</v>
      </c>
      <c r="EC1388" s="13" t="s">
        <v>1224</v>
      </c>
      <c r="ED1388" s="11">
        <v>0</v>
      </c>
      <c r="EE1388" s="11"/>
    </row>
    <row r="1389" spans="130:135" x14ac:dyDescent="0.2">
      <c r="DZ1389" s="5">
        <v>45962</v>
      </c>
      <c r="EA1389" s="13" t="s">
        <v>1252</v>
      </c>
      <c r="EB1389" s="13" t="s">
        <v>2328</v>
      </c>
      <c r="EC1389" s="13" t="s">
        <v>1224</v>
      </c>
      <c r="ED1389" s="11">
        <v>0</v>
      </c>
      <c r="EE1389" s="11"/>
    </row>
    <row r="1390" spans="130:135" x14ac:dyDescent="0.2">
      <c r="DZ1390" s="5">
        <v>45962</v>
      </c>
      <c r="EA1390" s="13" t="s">
        <v>1252</v>
      </c>
      <c r="EB1390" s="13" t="s">
        <v>2253</v>
      </c>
      <c r="EC1390" s="13" t="s">
        <v>1224</v>
      </c>
      <c r="ED1390" s="11">
        <v>0</v>
      </c>
      <c r="EE1390" s="11"/>
    </row>
    <row r="1391" spans="130:135" x14ac:dyDescent="0.2">
      <c r="DZ1391" s="5">
        <v>45962</v>
      </c>
      <c r="EA1391" s="13" t="s">
        <v>1252</v>
      </c>
      <c r="EB1391" s="13" t="s">
        <v>2227</v>
      </c>
      <c r="EC1391" s="13" t="s">
        <v>1224</v>
      </c>
      <c r="ED1391" s="11">
        <v>0</v>
      </c>
      <c r="EE1391" s="11"/>
    </row>
    <row r="1392" spans="130:135" x14ac:dyDescent="0.2">
      <c r="DZ1392" s="5">
        <v>45962</v>
      </c>
      <c r="EA1392" s="13" t="s">
        <v>1252</v>
      </c>
      <c r="EB1392" s="13" t="s">
        <v>1356</v>
      </c>
      <c r="EC1392" s="13" t="s">
        <v>1224</v>
      </c>
      <c r="ED1392" s="11">
        <v>0</v>
      </c>
      <c r="EE1392" s="11"/>
    </row>
    <row r="1393" spans="130:135" x14ac:dyDescent="0.2">
      <c r="DZ1393" s="5">
        <v>45962</v>
      </c>
      <c r="EA1393" s="13" t="s">
        <v>1252</v>
      </c>
      <c r="EB1393" s="13" t="s">
        <v>2309</v>
      </c>
      <c r="EC1393" s="13" t="s">
        <v>1224</v>
      </c>
      <c r="ED1393" s="11">
        <v>0</v>
      </c>
      <c r="EE1393" s="11"/>
    </row>
    <row r="1394" spans="130:135" x14ac:dyDescent="0.2">
      <c r="DZ1394" s="5">
        <v>45962</v>
      </c>
      <c r="EA1394" s="13" t="s">
        <v>1252</v>
      </c>
      <c r="EB1394" s="13" t="s">
        <v>2265</v>
      </c>
      <c r="EC1394" s="13" t="s">
        <v>1224</v>
      </c>
      <c r="ED1394" s="11">
        <v>0</v>
      </c>
      <c r="EE1394" s="11"/>
    </row>
    <row r="1395" spans="130:135" x14ac:dyDescent="0.2">
      <c r="DZ1395" s="5">
        <v>45962</v>
      </c>
      <c r="EA1395" s="13" t="s">
        <v>1252</v>
      </c>
      <c r="EB1395" s="13" t="s">
        <v>2263</v>
      </c>
      <c r="EC1395" s="13" t="s">
        <v>1224</v>
      </c>
      <c r="ED1395" s="11">
        <v>0</v>
      </c>
      <c r="EE1395" s="11"/>
    </row>
    <row r="1396" spans="130:135" x14ac:dyDescent="0.2">
      <c r="DZ1396" s="5">
        <v>45962</v>
      </c>
      <c r="EA1396" s="13" t="s">
        <v>1252</v>
      </c>
      <c r="EB1396" s="13" t="s">
        <v>2258</v>
      </c>
      <c r="EC1396" s="13" t="s">
        <v>1224</v>
      </c>
      <c r="ED1396" s="11">
        <v>0</v>
      </c>
      <c r="EE1396" s="11"/>
    </row>
    <row r="1397" spans="130:135" x14ac:dyDescent="0.2">
      <c r="DZ1397" s="5">
        <v>45962</v>
      </c>
      <c r="EA1397" s="13" t="s">
        <v>1252</v>
      </c>
      <c r="EB1397" s="13" t="s">
        <v>2259</v>
      </c>
      <c r="EC1397" s="13" t="s">
        <v>1224</v>
      </c>
      <c r="ED1397" s="11">
        <v>0</v>
      </c>
      <c r="EE1397" s="11"/>
    </row>
    <row r="1398" spans="130:135" x14ac:dyDescent="0.2">
      <c r="DZ1398" s="5">
        <v>45962</v>
      </c>
      <c r="EA1398" s="13" t="s">
        <v>1252</v>
      </c>
      <c r="EB1398" s="13" t="s">
        <v>2267</v>
      </c>
      <c r="EC1398" s="13" t="s">
        <v>1224</v>
      </c>
      <c r="ED1398" s="11">
        <v>0</v>
      </c>
      <c r="EE1398" s="11"/>
    </row>
    <row r="1399" spans="130:135" x14ac:dyDescent="0.2">
      <c r="DZ1399" s="5">
        <v>45962</v>
      </c>
      <c r="EA1399" s="13" t="s">
        <v>1252</v>
      </c>
      <c r="EB1399" s="13" t="s">
        <v>2289</v>
      </c>
      <c r="EC1399" s="13" t="s">
        <v>1224</v>
      </c>
      <c r="ED1399" s="11">
        <v>0</v>
      </c>
      <c r="EE1399" s="11"/>
    </row>
    <row r="1400" spans="130:135" x14ac:dyDescent="0.2">
      <c r="DZ1400" s="5">
        <v>45962</v>
      </c>
      <c r="EA1400" s="13" t="s">
        <v>1252</v>
      </c>
      <c r="EB1400" s="13" t="s">
        <v>2255</v>
      </c>
      <c r="EC1400" s="13" t="s">
        <v>1224</v>
      </c>
      <c r="ED1400" s="11">
        <v>0</v>
      </c>
      <c r="EE1400" s="11"/>
    </row>
    <row r="1401" spans="130:135" x14ac:dyDescent="0.2">
      <c r="DZ1401" s="5">
        <v>45962</v>
      </c>
      <c r="EA1401" s="13" t="s">
        <v>1252</v>
      </c>
      <c r="EB1401" s="13" t="s">
        <v>2298</v>
      </c>
      <c r="EC1401" s="13" t="s">
        <v>1224</v>
      </c>
      <c r="ED1401" s="11">
        <v>0</v>
      </c>
      <c r="EE1401" s="11"/>
    </row>
    <row r="1402" spans="130:135" x14ac:dyDescent="0.2">
      <c r="DZ1402" s="5">
        <v>45962</v>
      </c>
      <c r="EA1402" s="13" t="s">
        <v>1252</v>
      </c>
      <c r="EB1402" s="13" t="s">
        <v>2323</v>
      </c>
      <c r="EC1402" s="13" t="s">
        <v>1224</v>
      </c>
      <c r="ED1402" s="11">
        <v>0</v>
      </c>
      <c r="EE1402" s="11"/>
    </row>
    <row r="1403" spans="130:135" x14ac:dyDescent="0.2">
      <c r="DZ1403" s="5">
        <v>45962</v>
      </c>
      <c r="EA1403" s="13" t="s">
        <v>1252</v>
      </c>
      <c r="EB1403" s="13" t="s">
        <v>2346</v>
      </c>
      <c r="EC1403" s="13" t="s">
        <v>1224</v>
      </c>
      <c r="ED1403" s="11">
        <v>0</v>
      </c>
      <c r="EE1403" s="11"/>
    </row>
    <row r="1404" spans="130:135" x14ac:dyDescent="0.2">
      <c r="DZ1404" s="5">
        <v>45962</v>
      </c>
      <c r="EA1404" s="13" t="s">
        <v>1252</v>
      </c>
      <c r="EB1404" s="13" t="s">
        <v>2228</v>
      </c>
      <c r="EC1404" s="13" t="s">
        <v>1224</v>
      </c>
      <c r="ED1404" s="11">
        <v>0</v>
      </c>
      <c r="EE1404" s="11"/>
    </row>
    <row r="1405" spans="130:135" x14ac:dyDescent="0.2">
      <c r="DZ1405" s="5">
        <v>45962</v>
      </c>
      <c r="EA1405" s="13" t="s">
        <v>1252</v>
      </c>
      <c r="EB1405" s="13" t="s">
        <v>2216</v>
      </c>
      <c r="EC1405" s="13" t="s">
        <v>1224</v>
      </c>
      <c r="ED1405" s="11">
        <v>0</v>
      </c>
      <c r="EE1405" s="11"/>
    </row>
    <row r="1406" spans="130:135" x14ac:dyDescent="0.2">
      <c r="DZ1406" s="5">
        <v>45962</v>
      </c>
      <c r="EA1406" s="13" t="s">
        <v>1252</v>
      </c>
      <c r="EB1406" s="13" t="s">
        <v>2296</v>
      </c>
      <c r="EC1406" s="13" t="s">
        <v>1224</v>
      </c>
      <c r="ED1406" s="11">
        <v>0</v>
      </c>
      <c r="EE1406" s="11"/>
    </row>
    <row r="1407" spans="130:135" x14ac:dyDescent="0.2">
      <c r="DZ1407" s="5">
        <v>45962</v>
      </c>
      <c r="EA1407" s="13" t="s">
        <v>1252</v>
      </c>
      <c r="EB1407" s="13" t="s">
        <v>2243</v>
      </c>
      <c r="EC1407" s="13" t="s">
        <v>1224</v>
      </c>
      <c r="ED1407" s="11">
        <v>0</v>
      </c>
      <c r="EE1407" s="11"/>
    </row>
    <row r="1408" spans="130:135" x14ac:dyDescent="0.2">
      <c r="DZ1408" s="5">
        <v>45962</v>
      </c>
      <c r="EA1408" s="13" t="s">
        <v>1252</v>
      </c>
      <c r="EB1408" s="13" t="s">
        <v>2299</v>
      </c>
      <c r="EC1408" s="13" t="s">
        <v>1224</v>
      </c>
      <c r="ED1408" s="11">
        <v>0</v>
      </c>
      <c r="EE1408" s="11"/>
    </row>
    <row r="1409" spans="130:135" x14ac:dyDescent="0.2">
      <c r="DZ1409" s="5">
        <v>45962</v>
      </c>
      <c r="EA1409" s="13" t="s">
        <v>1252</v>
      </c>
      <c r="EB1409" s="13" t="s">
        <v>2308</v>
      </c>
      <c r="EC1409" s="13" t="s">
        <v>1224</v>
      </c>
      <c r="ED1409" s="11">
        <v>0</v>
      </c>
      <c r="EE1409" s="11"/>
    </row>
    <row r="1410" spans="130:135" x14ac:dyDescent="0.2">
      <c r="DZ1410" s="5">
        <v>45962</v>
      </c>
      <c r="EA1410" s="13" t="s">
        <v>1252</v>
      </c>
      <c r="EB1410" s="13" t="s">
        <v>2238</v>
      </c>
      <c r="EC1410" s="13" t="s">
        <v>1224</v>
      </c>
      <c r="ED1410" s="11">
        <v>0</v>
      </c>
      <c r="EE1410" s="11"/>
    </row>
    <row r="1411" spans="130:135" x14ac:dyDescent="0.2">
      <c r="DZ1411" s="5">
        <v>45962</v>
      </c>
      <c r="EA1411" s="13" t="s">
        <v>1252</v>
      </c>
      <c r="EB1411" s="13" t="s">
        <v>2244</v>
      </c>
      <c r="EC1411" s="13" t="s">
        <v>1224</v>
      </c>
      <c r="ED1411" s="11">
        <v>0</v>
      </c>
      <c r="EE1411" s="11"/>
    </row>
    <row r="1412" spans="130:135" x14ac:dyDescent="0.2">
      <c r="DZ1412" s="5">
        <v>45962</v>
      </c>
      <c r="EA1412" s="13" t="s">
        <v>1252</v>
      </c>
      <c r="EB1412" s="13" t="s">
        <v>2291</v>
      </c>
      <c r="EC1412" s="13" t="s">
        <v>1224</v>
      </c>
      <c r="ED1412" s="11">
        <v>0</v>
      </c>
      <c r="EE1412" s="11"/>
    </row>
    <row r="1413" spans="130:135" x14ac:dyDescent="0.2">
      <c r="DZ1413" s="5">
        <v>45962</v>
      </c>
      <c r="EA1413" s="13" t="s">
        <v>1252</v>
      </c>
      <c r="EB1413" s="13" t="s">
        <v>2362</v>
      </c>
      <c r="EC1413" s="13" t="s">
        <v>1224</v>
      </c>
      <c r="ED1413" s="11">
        <v>95798.32</v>
      </c>
      <c r="EE1413" s="11"/>
    </row>
    <row r="1414" spans="130:135" x14ac:dyDescent="0.2">
      <c r="DZ1414" s="5">
        <v>45962</v>
      </c>
      <c r="EA1414" s="13" t="s">
        <v>1252</v>
      </c>
      <c r="EB1414" s="13" t="s">
        <v>2219</v>
      </c>
      <c r="EC1414" s="13" t="s">
        <v>1224</v>
      </c>
      <c r="ED1414" s="11">
        <v>0</v>
      </c>
      <c r="EE1414" s="11"/>
    </row>
    <row r="1415" spans="130:135" x14ac:dyDescent="0.2">
      <c r="DZ1415" s="5">
        <v>45962</v>
      </c>
      <c r="EA1415" s="13" t="s">
        <v>1252</v>
      </c>
      <c r="EB1415" s="13" t="s">
        <v>2363</v>
      </c>
      <c r="EC1415" s="13" t="s">
        <v>1224</v>
      </c>
      <c r="ED1415" s="11">
        <v>185294.12</v>
      </c>
      <c r="EE1415" s="11"/>
    </row>
    <row r="1416" spans="130:135" x14ac:dyDescent="0.2">
      <c r="DZ1416" s="5">
        <v>45962</v>
      </c>
      <c r="EA1416" s="13" t="s">
        <v>1252</v>
      </c>
      <c r="EB1416" s="13" t="s">
        <v>2223</v>
      </c>
      <c r="EC1416" s="13" t="s">
        <v>1224</v>
      </c>
      <c r="ED1416" s="11">
        <v>0</v>
      </c>
      <c r="EE1416" s="11"/>
    </row>
    <row r="1417" spans="130:135" x14ac:dyDescent="0.2">
      <c r="DZ1417" s="5">
        <v>45962</v>
      </c>
      <c r="EA1417" s="13" t="s">
        <v>1252</v>
      </c>
      <c r="EB1417" s="13" t="s">
        <v>2332</v>
      </c>
      <c r="EC1417" s="13" t="s">
        <v>1224</v>
      </c>
      <c r="ED1417" s="11">
        <v>0</v>
      </c>
      <c r="EE1417" s="11"/>
    </row>
    <row r="1418" spans="130:135" x14ac:dyDescent="0.2">
      <c r="DZ1418" s="5">
        <v>45962</v>
      </c>
      <c r="EA1418" s="13" t="s">
        <v>1252</v>
      </c>
      <c r="EB1418" s="13" t="s">
        <v>2226</v>
      </c>
      <c r="EC1418" s="13" t="s">
        <v>1224</v>
      </c>
      <c r="ED1418" s="11">
        <v>0</v>
      </c>
      <c r="EE1418" s="11"/>
    </row>
    <row r="1419" spans="130:135" x14ac:dyDescent="0.2">
      <c r="DZ1419" s="5">
        <v>45962</v>
      </c>
      <c r="EA1419" s="13" t="s">
        <v>1252</v>
      </c>
      <c r="EB1419" s="13" t="s">
        <v>2329</v>
      </c>
      <c r="EC1419" s="13" t="s">
        <v>1224</v>
      </c>
      <c r="ED1419" s="11">
        <v>0</v>
      </c>
      <c r="EE1419" s="11"/>
    </row>
    <row r="1420" spans="130:135" x14ac:dyDescent="0.2">
      <c r="DZ1420" s="5">
        <v>45962</v>
      </c>
      <c r="EA1420" s="13" t="s">
        <v>1252</v>
      </c>
      <c r="EB1420" s="13" t="s">
        <v>2300</v>
      </c>
      <c r="EC1420" s="13" t="s">
        <v>1224</v>
      </c>
      <c r="ED1420" s="11">
        <v>0</v>
      </c>
      <c r="EE1420" s="11"/>
    </row>
    <row r="1421" spans="130:135" x14ac:dyDescent="0.2">
      <c r="DZ1421" s="5">
        <v>45962</v>
      </c>
      <c r="EA1421" s="13" t="s">
        <v>1252</v>
      </c>
      <c r="EB1421" s="13" t="s">
        <v>1403</v>
      </c>
      <c r="EC1421" s="13" t="s">
        <v>1224</v>
      </c>
      <c r="ED1421" s="11">
        <v>283338.23</v>
      </c>
      <c r="EE1421" s="11"/>
    </row>
    <row r="1422" spans="130:135" x14ac:dyDescent="0.2">
      <c r="DZ1422" s="5">
        <v>45962</v>
      </c>
      <c r="EA1422" s="13" t="s">
        <v>1252</v>
      </c>
      <c r="EB1422" s="13" t="s">
        <v>2325</v>
      </c>
      <c r="EC1422" s="13" t="s">
        <v>1224</v>
      </c>
      <c r="ED1422" s="11">
        <v>0</v>
      </c>
      <c r="EE1422" s="11"/>
    </row>
    <row r="1423" spans="130:135" x14ac:dyDescent="0.2">
      <c r="DZ1423" s="5">
        <v>45962</v>
      </c>
      <c r="EA1423" s="13" t="s">
        <v>1252</v>
      </c>
      <c r="EB1423" s="13" t="s">
        <v>2269</v>
      </c>
      <c r="EC1423" s="13" t="s">
        <v>1224</v>
      </c>
      <c r="ED1423" s="11">
        <v>0</v>
      </c>
      <c r="EE1423" s="11"/>
    </row>
    <row r="1424" spans="130:135" x14ac:dyDescent="0.2">
      <c r="DZ1424" s="5">
        <v>45962</v>
      </c>
      <c r="EA1424" s="13" t="s">
        <v>1252</v>
      </c>
      <c r="EB1424" s="13" t="s">
        <v>2245</v>
      </c>
      <c r="EC1424" s="13" t="s">
        <v>1224</v>
      </c>
      <c r="ED1424" s="11">
        <v>0</v>
      </c>
      <c r="EE1424" s="11"/>
    </row>
    <row r="1425" spans="130:135" x14ac:dyDescent="0.2">
      <c r="DZ1425" s="5">
        <v>45962</v>
      </c>
      <c r="EA1425" s="13" t="s">
        <v>1252</v>
      </c>
      <c r="EB1425" s="13" t="s">
        <v>2264</v>
      </c>
      <c r="EC1425" s="13" t="s">
        <v>1224</v>
      </c>
      <c r="ED1425" s="11">
        <v>0</v>
      </c>
      <c r="EE1425" s="11"/>
    </row>
    <row r="1426" spans="130:135" x14ac:dyDescent="0.2">
      <c r="DZ1426" s="5">
        <v>45962</v>
      </c>
      <c r="EA1426" s="13" t="s">
        <v>1252</v>
      </c>
      <c r="EB1426" s="13" t="s">
        <v>2218</v>
      </c>
      <c r="EC1426" s="13" t="s">
        <v>1224</v>
      </c>
      <c r="ED1426" s="11">
        <v>0</v>
      </c>
      <c r="EE1426" s="11"/>
    </row>
    <row r="1427" spans="130:135" x14ac:dyDescent="0.2">
      <c r="DZ1427" s="5">
        <v>45962</v>
      </c>
      <c r="EA1427" s="13" t="s">
        <v>1252</v>
      </c>
      <c r="EB1427" s="13" t="s">
        <v>1391</v>
      </c>
      <c r="EC1427" s="13" t="s">
        <v>1224</v>
      </c>
      <c r="ED1427" s="11">
        <v>0</v>
      </c>
      <c r="EE1427" s="11"/>
    </row>
    <row r="1428" spans="130:135" x14ac:dyDescent="0.2">
      <c r="DZ1428" s="5">
        <v>45962</v>
      </c>
      <c r="EA1428" s="13" t="s">
        <v>1252</v>
      </c>
      <c r="EB1428" s="13" t="s">
        <v>2286</v>
      </c>
      <c r="EC1428" s="13" t="s">
        <v>1224</v>
      </c>
      <c r="ED1428" s="11">
        <v>429201.7</v>
      </c>
      <c r="EE1428" s="11"/>
    </row>
    <row r="1429" spans="130:135" x14ac:dyDescent="0.2">
      <c r="DZ1429" s="5">
        <v>45962</v>
      </c>
      <c r="EA1429" s="13" t="s">
        <v>1252</v>
      </c>
      <c r="EB1429" s="13" t="s">
        <v>2344</v>
      </c>
      <c r="EC1429" s="13" t="s">
        <v>1224</v>
      </c>
      <c r="ED1429" s="11">
        <v>0</v>
      </c>
      <c r="EE1429" s="11"/>
    </row>
    <row r="1430" spans="130:135" x14ac:dyDescent="0.2">
      <c r="DZ1430" s="5">
        <v>45962</v>
      </c>
      <c r="EA1430" s="13" t="s">
        <v>1252</v>
      </c>
      <c r="EB1430" s="13" t="s">
        <v>2352</v>
      </c>
      <c r="EC1430" s="13" t="s">
        <v>1224</v>
      </c>
      <c r="ED1430" s="11">
        <v>0</v>
      </c>
      <c r="EE1430" s="11"/>
    </row>
    <row r="1431" spans="130:135" x14ac:dyDescent="0.2">
      <c r="DZ1431" s="5">
        <v>45962</v>
      </c>
      <c r="EA1431" s="13" t="s">
        <v>1252</v>
      </c>
      <c r="EB1431" s="13" t="s">
        <v>2347</v>
      </c>
      <c r="EC1431" s="13" t="s">
        <v>1224</v>
      </c>
      <c r="ED1431" s="11">
        <v>0</v>
      </c>
      <c r="EE1431" s="11"/>
    </row>
    <row r="1432" spans="130:135" x14ac:dyDescent="0.2">
      <c r="DZ1432" s="5">
        <v>45962</v>
      </c>
      <c r="EA1432" s="13" t="s">
        <v>1252</v>
      </c>
      <c r="EB1432" s="13" t="s">
        <v>2331</v>
      </c>
      <c r="EC1432" s="13" t="s">
        <v>1224</v>
      </c>
      <c r="ED1432" s="11">
        <v>0</v>
      </c>
      <c r="EE1432" s="11"/>
    </row>
    <row r="1433" spans="130:135" x14ac:dyDescent="0.2">
      <c r="DZ1433" s="5">
        <v>45962</v>
      </c>
      <c r="EA1433" s="13" t="s">
        <v>1252</v>
      </c>
      <c r="EB1433" s="13" t="s">
        <v>2273</v>
      </c>
      <c r="EC1433" s="13" t="s">
        <v>1224</v>
      </c>
      <c r="ED1433" s="11">
        <v>0</v>
      </c>
      <c r="EE1433" s="11"/>
    </row>
    <row r="1434" spans="130:135" x14ac:dyDescent="0.2">
      <c r="DZ1434" s="5">
        <v>45962</v>
      </c>
      <c r="EA1434" s="13" t="s">
        <v>1252</v>
      </c>
      <c r="EB1434" s="13" t="s">
        <v>2234</v>
      </c>
      <c r="EC1434" s="13" t="s">
        <v>1224</v>
      </c>
      <c r="ED1434" s="11">
        <v>0</v>
      </c>
      <c r="EE1434" s="11"/>
    </row>
    <row r="1435" spans="130:135" x14ac:dyDescent="0.2">
      <c r="DZ1435" s="5">
        <v>45962</v>
      </c>
      <c r="EA1435" s="13" t="s">
        <v>1252</v>
      </c>
      <c r="EB1435" s="13" t="s">
        <v>2224</v>
      </c>
      <c r="EC1435" s="13" t="s">
        <v>1224</v>
      </c>
      <c r="ED1435" s="11">
        <v>0</v>
      </c>
      <c r="EE1435" s="11"/>
    </row>
    <row r="1436" spans="130:135" x14ac:dyDescent="0.2">
      <c r="DZ1436" s="5">
        <v>45962</v>
      </c>
      <c r="EA1436" s="13" t="s">
        <v>1252</v>
      </c>
      <c r="EB1436" s="13" t="s">
        <v>2252</v>
      </c>
      <c r="EC1436" s="13" t="s">
        <v>1224</v>
      </c>
      <c r="ED1436" s="11">
        <v>0</v>
      </c>
      <c r="EE1436" s="11"/>
    </row>
    <row r="1437" spans="130:135" x14ac:dyDescent="0.2">
      <c r="DZ1437" s="5">
        <v>45962</v>
      </c>
      <c r="EA1437" s="13" t="s">
        <v>1252</v>
      </c>
      <c r="EB1437" s="13" t="s">
        <v>2364</v>
      </c>
      <c r="EC1437" s="13" t="s">
        <v>1224</v>
      </c>
      <c r="ED1437" s="11">
        <v>88235.29</v>
      </c>
      <c r="EE1437" s="11"/>
    </row>
    <row r="1438" spans="130:135" x14ac:dyDescent="0.2">
      <c r="DZ1438" s="5">
        <v>45962</v>
      </c>
      <c r="EA1438" s="13" t="s">
        <v>1252</v>
      </c>
      <c r="EB1438" s="13" t="s">
        <v>2292</v>
      </c>
      <c r="EC1438" s="13" t="s">
        <v>1224</v>
      </c>
      <c r="ED1438" s="11">
        <v>0</v>
      </c>
      <c r="EE1438" s="11"/>
    </row>
    <row r="1439" spans="130:135" x14ac:dyDescent="0.2">
      <c r="DZ1439" s="5">
        <v>45962</v>
      </c>
      <c r="EA1439" s="13" t="s">
        <v>1252</v>
      </c>
      <c r="EB1439" s="13" t="s">
        <v>2260</v>
      </c>
      <c r="EC1439" s="13" t="s">
        <v>1224</v>
      </c>
      <c r="ED1439" s="11">
        <v>0</v>
      </c>
      <c r="EE1439" s="11"/>
    </row>
    <row r="1440" spans="130:135" x14ac:dyDescent="0.2">
      <c r="DZ1440" s="5">
        <v>45962</v>
      </c>
      <c r="EA1440" s="13" t="s">
        <v>1252</v>
      </c>
      <c r="EB1440" s="13" t="s">
        <v>2242</v>
      </c>
      <c r="EC1440" s="13" t="s">
        <v>1224</v>
      </c>
      <c r="ED1440" s="11">
        <v>0</v>
      </c>
      <c r="EE1440" s="11"/>
    </row>
    <row r="1441" spans="130:135" x14ac:dyDescent="0.2">
      <c r="DZ1441" s="5">
        <v>45962</v>
      </c>
      <c r="EA1441" s="13" t="s">
        <v>1252</v>
      </c>
      <c r="EB1441" s="13" t="s">
        <v>2330</v>
      </c>
      <c r="EC1441" s="13" t="s">
        <v>1224</v>
      </c>
      <c r="ED1441" s="11">
        <v>0</v>
      </c>
      <c r="EE1441" s="11"/>
    </row>
    <row r="1442" spans="130:135" x14ac:dyDescent="0.2">
      <c r="DZ1442" s="5">
        <v>45962</v>
      </c>
      <c r="EA1442" s="13" t="s">
        <v>1252</v>
      </c>
      <c r="EB1442" s="13" t="s">
        <v>2311</v>
      </c>
      <c r="EC1442" s="13" t="s">
        <v>1224</v>
      </c>
      <c r="ED1442" s="11">
        <v>0</v>
      </c>
      <c r="EE1442" s="11"/>
    </row>
    <row r="1443" spans="130:135" x14ac:dyDescent="0.2">
      <c r="DZ1443" s="5">
        <v>45962</v>
      </c>
      <c r="EA1443" s="13" t="s">
        <v>1252</v>
      </c>
      <c r="EB1443" s="13" t="s">
        <v>2221</v>
      </c>
      <c r="EC1443" s="13" t="s">
        <v>1224</v>
      </c>
      <c r="ED1443" s="11">
        <v>0</v>
      </c>
      <c r="EE1443" s="11"/>
    </row>
    <row r="1444" spans="130:135" x14ac:dyDescent="0.2">
      <c r="DZ1444" s="5">
        <v>45962</v>
      </c>
      <c r="EA1444" s="13" t="s">
        <v>1252</v>
      </c>
      <c r="EB1444" s="13" t="s">
        <v>2229</v>
      </c>
      <c r="EC1444" s="13" t="s">
        <v>1224</v>
      </c>
      <c r="ED1444" s="11">
        <v>0</v>
      </c>
      <c r="EE1444" s="11"/>
    </row>
    <row r="1445" spans="130:135" x14ac:dyDescent="0.2">
      <c r="DZ1445" s="5">
        <v>45962</v>
      </c>
      <c r="EA1445" s="13" t="s">
        <v>1252</v>
      </c>
      <c r="EB1445" s="13" t="s">
        <v>2233</v>
      </c>
      <c r="EC1445" s="13" t="s">
        <v>1224</v>
      </c>
      <c r="ED1445" s="11">
        <v>0</v>
      </c>
      <c r="EE1445" s="11"/>
    </row>
    <row r="1446" spans="130:135" x14ac:dyDescent="0.2">
      <c r="DZ1446" s="5">
        <v>45962</v>
      </c>
      <c r="EA1446" s="13" t="s">
        <v>1252</v>
      </c>
      <c r="EB1446" s="13" t="s">
        <v>2225</v>
      </c>
      <c r="EC1446" s="13" t="s">
        <v>1224</v>
      </c>
      <c r="ED1446" s="11">
        <v>0</v>
      </c>
      <c r="EE1446" s="11"/>
    </row>
    <row r="1447" spans="130:135" x14ac:dyDescent="0.2">
      <c r="DZ1447" s="5">
        <v>45962</v>
      </c>
      <c r="EA1447" s="13" t="s">
        <v>1252</v>
      </c>
      <c r="EB1447" s="13" t="s">
        <v>2217</v>
      </c>
      <c r="EC1447" s="13" t="s">
        <v>1224</v>
      </c>
      <c r="ED1447" s="11">
        <v>0</v>
      </c>
      <c r="EE1447" s="11"/>
    </row>
    <row r="1448" spans="130:135" x14ac:dyDescent="0.2">
      <c r="DZ1448" s="5">
        <v>45962</v>
      </c>
      <c r="EA1448" s="13" t="s">
        <v>1252</v>
      </c>
      <c r="EB1448" s="13" t="s">
        <v>2350</v>
      </c>
      <c r="EC1448" s="13" t="s">
        <v>1224</v>
      </c>
      <c r="ED1448" s="11">
        <v>0</v>
      </c>
      <c r="EE1448" s="11"/>
    </row>
    <row r="1449" spans="130:135" x14ac:dyDescent="0.2">
      <c r="DZ1449" s="5">
        <v>45962</v>
      </c>
      <c r="EA1449" s="13" t="s">
        <v>1252</v>
      </c>
      <c r="EB1449" s="13" t="s">
        <v>2232</v>
      </c>
      <c r="EC1449" s="13" t="s">
        <v>1224</v>
      </c>
      <c r="ED1449" s="11">
        <v>0</v>
      </c>
      <c r="EE1449" s="11"/>
    </row>
    <row r="1450" spans="130:135" x14ac:dyDescent="0.2">
      <c r="DZ1450" s="5">
        <v>45962</v>
      </c>
      <c r="EA1450" s="13" t="s">
        <v>1252</v>
      </c>
      <c r="EB1450" s="13" t="s">
        <v>2312</v>
      </c>
      <c r="EC1450" s="13" t="s">
        <v>1224</v>
      </c>
      <c r="ED1450" s="11">
        <v>0</v>
      </c>
      <c r="EE1450" s="11"/>
    </row>
    <row r="1451" spans="130:135" x14ac:dyDescent="0.2">
      <c r="DZ1451" s="5">
        <v>45962</v>
      </c>
      <c r="EA1451" s="13" t="s">
        <v>1252</v>
      </c>
      <c r="EB1451" s="13" t="s">
        <v>2271</v>
      </c>
      <c r="EC1451" s="13" t="s">
        <v>1224</v>
      </c>
      <c r="ED1451" s="11">
        <v>0</v>
      </c>
      <c r="EE1451" s="11"/>
    </row>
    <row r="1452" spans="130:135" x14ac:dyDescent="0.2">
      <c r="DZ1452" s="5">
        <v>45962</v>
      </c>
      <c r="EA1452" s="13" t="s">
        <v>1252</v>
      </c>
      <c r="EB1452" s="13" t="s">
        <v>2215</v>
      </c>
      <c r="EC1452" s="13" t="s">
        <v>1224</v>
      </c>
      <c r="ED1452" s="11">
        <v>0</v>
      </c>
      <c r="EE1452" s="11"/>
    </row>
    <row r="1453" spans="130:135" x14ac:dyDescent="0.2">
      <c r="DZ1453" s="5">
        <v>45962</v>
      </c>
      <c r="EA1453" s="13" t="s">
        <v>1252</v>
      </c>
      <c r="EB1453" s="13" t="s">
        <v>2306</v>
      </c>
      <c r="EC1453" s="13" t="s">
        <v>1224</v>
      </c>
      <c r="ED1453" s="11">
        <v>0</v>
      </c>
      <c r="EE1453" s="11"/>
    </row>
    <row r="1454" spans="130:135" x14ac:dyDescent="0.2">
      <c r="DZ1454" s="5">
        <v>45962</v>
      </c>
      <c r="EA1454" s="13" t="s">
        <v>1250</v>
      </c>
      <c r="EB1454" s="13" t="s">
        <v>2365</v>
      </c>
      <c r="EC1454" s="13" t="s">
        <v>1168</v>
      </c>
      <c r="ED1454" s="11">
        <v>26891</v>
      </c>
      <c r="EE1454" s="11"/>
    </row>
    <row r="1455" spans="130:135" x14ac:dyDescent="0.2">
      <c r="DZ1455" s="5">
        <v>45962</v>
      </c>
      <c r="EA1455" s="13" t="s">
        <v>1250</v>
      </c>
      <c r="EB1455" s="13" t="s">
        <v>1393</v>
      </c>
      <c r="EC1455" s="13" t="s">
        <v>1168</v>
      </c>
      <c r="ED1455" s="11">
        <v>199580</v>
      </c>
      <c r="EE1455" s="11"/>
    </row>
    <row r="1456" spans="130:135" x14ac:dyDescent="0.2">
      <c r="DZ1456" s="5">
        <v>45962</v>
      </c>
      <c r="EA1456" s="13" t="s">
        <v>1250</v>
      </c>
      <c r="EB1456" s="13" t="s">
        <v>1363</v>
      </c>
      <c r="EC1456" s="13" t="s">
        <v>1168</v>
      </c>
      <c r="ED1456" s="11">
        <v>48740</v>
      </c>
      <c r="EE1456" s="11"/>
    </row>
    <row r="1457" spans="130:135" x14ac:dyDescent="0.2">
      <c r="DZ1457" s="5">
        <v>45962</v>
      </c>
      <c r="EA1457" s="13" t="s">
        <v>1250</v>
      </c>
      <c r="EB1457" s="13" t="s">
        <v>2312</v>
      </c>
      <c r="EC1457" s="13" t="s">
        <v>1168</v>
      </c>
      <c r="ED1457" s="11">
        <v>0</v>
      </c>
      <c r="EE1457" s="11"/>
    </row>
    <row r="1458" spans="130:135" x14ac:dyDescent="0.2">
      <c r="DZ1458" s="5">
        <v>45962</v>
      </c>
      <c r="EA1458" s="13" t="s">
        <v>1250</v>
      </c>
      <c r="EB1458" s="13" t="s">
        <v>2276</v>
      </c>
      <c r="EC1458" s="13" t="s">
        <v>1168</v>
      </c>
      <c r="ED1458" s="11">
        <v>0</v>
      </c>
      <c r="EE1458" s="11"/>
    </row>
    <row r="1459" spans="130:135" x14ac:dyDescent="0.2">
      <c r="DZ1459" s="5">
        <v>45962</v>
      </c>
      <c r="EA1459" s="13" t="s">
        <v>1250</v>
      </c>
      <c r="EB1459" s="13" t="s">
        <v>2301</v>
      </c>
      <c r="EC1459" s="13" t="s">
        <v>1168</v>
      </c>
      <c r="ED1459" s="11">
        <v>0</v>
      </c>
      <c r="EE1459" s="11"/>
    </row>
    <row r="1460" spans="130:135" x14ac:dyDescent="0.2">
      <c r="DZ1460" s="5">
        <v>45962</v>
      </c>
      <c r="EA1460" s="13" t="s">
        <v>1250</v>
      </c>
      <c r="EB1460" s="13" t="s">
        <v>2334</v>
      </c>
      <c r="EC1460" s="13" t="s">
        <v>1168</v>
      </c>
      <c r="ED1460" s="11">
        <v>0</v>
      </c>
      <c r="EE1460" s="11"/>
    </row>
    <row r="1461" spans="130:135" x14ac:dyDescent="0.2">
      <c r="DZ1461" s="5">
        <v>45962</v>
      </c>
      <c r="EA1461" s="13" t="s">
        <v>1252</v>
      </c>
      <c r="EB1461" s="13" t="s">
        <v>1355</v>
      </c>
      <c r="EC1461" s="13" t="s">
        <v>1226</v>
      </c>
      <c r="ED1461" s="11">
        <v>354570</v>
      </c>
      <c r="EE1461" s="11"/>
    </row>
    <row r="1462" spans="130:135" x14ac:dyDescent="0.2">
      <c r="DZ1462" s="5">
        <v>45962</v>
      </c>
      <c r="EA1462" s="13" t="s">
        <v>1252</v>
      </c>
      <c r="EB1462" s="13" t="s">
        <v>1371</v>
      </c>
      <c r="EC1462" s="13" t="s">
        <v>1226</v>
      </c>
      <c r="ED1462" s="11">
        <v>29072</v>
      </c>
      <c r="EE1462" s="11"/>
    </row>
    <row r="1463" spans="130:135" x14ac:dyDescent="0.2">
      <c r="DZ1463" s="5">
        <v>45962</v>
      </c>
      <c r="EA1463" s="13" t="s">
        <v>1252</v>
      </c>
      <c r="EB1463" s="13" t="s">
        <v>1371</v>
      </c>
      <c r="EC1463" s="13" t="s">
        <v>1219</v>
      </c>
      <c r="ED1463" s="11">
        <v>90190</v>
      </c>
      <c r="EE1463" s="11"/>
    </row>
    <row r="1464" spans="130:135" x14ac:dyDescent="0.2">
      <c r="DZ1464" s="5">
        <v>45962</v>
      </c>
      <c r="EA1464" s="13" t="s">
        <v>1250</v>
      </c>
      <c r="EB1464" s="13" t="s">
        <v>1366</v>
      </c>
      <c r="EC1464" s="13" t="s">
        <v>1136</v>
      </c>
      <c r="ED1464" s="11">
        <v>1000000</v>
      </c>
      <c r="EE1464" s="11"/>
    </row>
    <row r="1465" spans="130:135" x14ac:dyDescent="0.2">
      <c r="DZ1465" s="5">
        <v>45962</v>
      </c>
      <c r="EA1465" s="13" t="s">
        <v>1251</v>
      </c>
      <c r="EB1465" s="13" t="s">
        <v>2319</v>
      </c>
      <c r="EC1465" s="13" t="s">
        <v>1179</v>
      </c>
      <c r="ED1465" s="11">
        <v>267230</v>
      </c>
      <c r="EE1465" s="11"/>
    </row>
    <row r="1466" spans="130:135" x14ac:dyDescent="0.2">
      <c r="DZ1466" s="5">
        <v>45962</v>
      </c>
      <c r="EA1466" s="13" t="s">
        <v>1251</v>
      </c>
      <c r="EB1466" s="13" t="s">
        <v>2305</v>
      </c>
      <c r="EC1466" s="13" t="s">
        <v>1179</v>
      </c>
      <c r="ED1466" s="11">
        <v>232936</v>
      </c>
      <c r="EE1466" s="11"/>
    </row>
    <row r="1467" spans="130:135" x14ac:dyDescent="0.2">
      <c r="DZ1467" s="5">
        <v>45962</v>
      </c>
      <c r="EA1467" s="13" t="s">
        <v>1252</v>
      </c>
      <c r="EB1467" s="13" t="s">
        <v>1360</v>
      </c>
      <c r="EC1467" s="13" t="s">
        <v>1222</v>
      </c>
      <c r="ED1467" s="11">
        <v>0</v>
      </c>
      <c r="EE1467" s="11"/>
    </row>
    <row r="1468" spans="130:135" x14ac:dyDescent="0.2">
      <c r="DZ1468" s="5">
        <v>45962</v>
      </c>
      <c r="EA1468" s="13" t="s">
        <v>1252</v>
      </c>
      <c r="EB1468" s="13" t="s">
        <v>1340</v>
      </c>
      <c r="EC1468" s="13" t="s">
        <v>1222</v>
      </c>
      <c r="ED1468" s="11">
        <v>0</v>
      </c>
      <c r="EE1468" s="11"/>
    </row>
    <row r="1469" spans="130:135" x14ac:dyDescent="0.2">
      <c r="DZ1469" s="5">
        <v>45962</v>
      </c>
      <c r="EA1469" s="13" t="s">
        <v>1252</v>
      </c>
      <c r="EB1469" s="13" t="s">
        <v>2287</v>
      </c>
      <c r="EC1469" s="13" t="s">
        <v>1222</v>
      </c>
      <c r="ED1469" s="11">
        <v>0</v>
      </c>
      <c r="EE1469" s="11"/>
    </row>
    <row r="1470" spans="130:135" x14ac:dyDescent="0.2">
      <c r="DZ1470" s="5">
        <v>45962</v>
      </c>
      <c r="EA1470" s="13" t="s">
        <v>1252</v>
      </c>
      <c r="EB1470" s="13" t="s">
        <v>2202</v>
      </c>
      <c r="EC1470" s="13" t="s">
        <v>1222</v>
      </c>
      <c r="ED1470" s="11">
        <v>0</v>
      </c>
      <c r="EE1470" s="11"/>
    </row>
    <row r="1471" spans="130:135" x14ac:dyDescent="0.2">
      <c r="DZ1471" s="5">
        <v>45962</v>
      </c>
      <c r="EA1471" s="13" t="s">
        <v>1252</v>
      </c>
      <c r="EB1471" s="13" t="s">
        <v>1374</v>
      </c>
      <c r="EC1471" s="13" t="s">
        <v>1222</v>
      </c>
      <c r="ED1471" s="11">
        <v>239000</v>
      </c>
      <c r="EE1471" s="11"/>
    </row>
    <row r="1472" spans="130:135" x14ac:dyDescent="0.2">
      <c r="DZ1472" s="5">
        <v>45962</v>
      </c>
      <c r="EA1472" s="13" t="s">
        <v>1252</v>
      </c>
      <c r="EB1472" s="13" t="s">
        <v>1338</v>
      </c>
      <c r="EC1472" s="13" t="s">
        <v>1222</v>
      </c>
      <c r="ED1472" s="11">
        <v>0</v>
      </c>
      <c r="EE1472" s="11"/>
    </row>
    <row r="1473" spans="130:135" x14ac:dyDescent="0.2">
      <c r="DZ1473" s="5">
        <v>45962</v>
      </c>
      <c r="EA1473" s="13" t="s">
        <v>1252</v>
      </c>
      <c r="EB1473" s="13" t="s">
        <v>1375</v>
      </c>
      <c r="EC1473" s="13" t="s">
        <v>1222</v>
      </c>
      <c r="ED1473" s="11">
        <v>0</v>
      </c>
      <c r="EE1473" s="11"/>
    </row>
    <row r="1474" spans="130:135" x14ac:dyDescent="0.2">
      <c r="DZ1474" s="5">
        <v>45962</v>
      </c>
      <c r="EA1474" s="13" t="s">
        <v>1250</v>
      </c>
      <c r="EB1474" s="13" t="s">
        <v>1358</v>
      </c>
      <c r="EC1474" s="13" t="s">
        <v>1056</v>
      </c>
      <c r="ED1474" s="11">
        <v>28669</v>
      </c>
      <c r="EE1474" s="11"/>
    </row>
    <row r="1475" spans="130:135" x14ac:dyDescent="0.2">
      <c r="DZ1475" s="5">
        <v>45962</v>
      </c>
      <c r="EA1475" s="13" t="s">
        <v>1251</v>
      </c>
      <c r="EB1475" s="13" t="s">
        <v>2206</v>
      </c>
      <c r="EC1475" s="13" t="s">
        <v>1056</v>
      </c>
      <c r="ED1475" s="11">
        <v>0</v>
      </c>
      <c r="EE1475" s="11"/>
    </row>
    <row r="1476" spans="130:135" x14ac:dyDescent="0.2">
      <c r="DZ1476" s="5">
        <v>45962</v>
      </c>
      <c r="EA1476" s="13" t="s">
        <v>1250</v>
      </c>
      <c r="EB1476" s="13" t="s">
        <v>1356</v>
      </c>
      <c r="EC1476" s="13" t="s">
        <v>1056</v>
      </c>
      <c r="ED1476" s="11">
        <v>2331</v>
      </c>
      <c r="EE1476" s="11"/>
    </row>
    <row r="1477" spans="130:135" x14ac:dyDescent="0.2">
      <c r="DZ1477" s="5">
        <v>45962</v>
      </c>
      <c r="EA1477" s="13" t="s">
        <v>1251</v>
      </c>
      <c r="EB1477" s="13" t="s">
        <v>2212</v>
      </c>
      <c r="EC1477" s="13" t="s">
        <v>1056</v>
      </c>
      <c r="ED1477" s="11">
        <v>0</v>
      </c>
      <c r="EE1477" s="11"/>
    </row>
    <row r="1478" spans="130:135" x14ac:dyDescent="0.2">
      <c r="DZ1478" s="5">
        <v>45962</v>
      </c>
      <c r="EA1478" s="13" t="s">
        <v>1251</v>
      </c>
      <c r="EB1478" s="13" t="s">
        <v>2319</v>
      </c>
      <c r="EC1478" s="13" t="s">
        <v>1056</v>
      </c>
      <c r="ED1478" s="11">
        <v>7125</v>
      </c>
      <c r="EE1478" s="11"/>
    </row>
    <row r="1479" spans="130:135" x14ac:dyDescent="0.2">
      <c r="DZ1479" s="5">
        <v>45962</v>
      </c>
      <c r="EA1479" s="13" t="s">
        <v>1250</v>
      </c>
      <c r="EB1479" s="13" t="s">
        <v>1357</v>
      </c>
      <c r="EC1479" s="13" t="s">
        <v>1056</v>
      </c>
      <c r="ED1479" s="11">
        <v>2331</v>
      </c>
      <c r="EE1479" s="11"/>
    </row>
    <row r="1480" spans="130:135" x14ac:dyDescent="0.2">
      <c r="DZ1480" s="5">
        <v>45962</v>
      </c>
      <c r="EA1480" s="13" t="s">
        <v>1251</v>
      </c>
      <c r="EB1480" s="13" t="s">
        <v>2305</v>
      </c>
      <c r="EC1480" s="13" t="s">
        <v>1056</v>
      </c>
      <c r="ED1480" s="11">
        <v>3141</v>
      </c>
      <c r="EE1480" s="11"/>
    </row>
    <row r="1481" spans="130:135" x14ac:dyDescent="0.2">
      <c r="DZ1481" s="5">
        <v>45962</v>
      </c>
      <c r="EA1481" s="13" t="s">
        <v>1251</v>
      </c>
      <c r="EB1481" s="13" t="s">
        <v>1409</v>
      </c>
      <c r="EC1481" s="13" t="s">
        <v>1148</v>
      </c>
      <c r="ED1481" s="11">
        <v>0</v>
      </c>
      <c r="EE1481" s="11"/>
    </row>
    <row r="1482" spans="130:135" x14ac:dyDescent="0.2">
      <c r="DZ1482" s="5">
        <v>45962</v>
      </c>
      <c r="EA1482" s="13" t="s">
        <v>1250</v>
      </c>
      <c r="EB1482" s="13" t="s">
        <v>2335</v>
      </c>
      <c r="EC1482" s="13" t="s">
        <v>1148</v>
      </c>
      <c r="ED1482" s="11">
        <v>0</v>
      </c>
      <c r="EE1482" s="11"/>
    </row>
    <row r="1483" spans="130:135" x14ac:dyDescent="0.2">
      <c r="DZ1483" s="5">
        <v>45962</v>
      </c>
      <c r="EA1483" s="13" t="s">
        <v>1251</v>
      </c>
      <c r="EB1483" s="13" t="s">
        <v>1341</v>
      </c>
      <c r="EC1483" s="13" t="s">
        <v>1148</v>
      </c>
      <c r="ED1483" s="11">
        <v>152617</v>
      </c>
      <c r="EE1483" s="11"/>
    </row>
    <row r="1484" spans="130:135" x14ac:dyDescent="0.2">
      <c r="DZ1484" s="5">
        <v>45962</v>
      </c>
      <c r="EA1484" s="13" t="s">
        <v>1251</v>
      </c>
      <c r="EB1484" s="13" t="s">
        <v>2366</v>
      </c>
      <c r="EC1484" s="13" t="s">
        <v>1208</v>
      </c>
      <c r="ED1484" s="11">
        <v>58994460</v>
      </c>
      <c r="EE1484" s="11"/>
    </row>
    <row r="1485" spans="130:135" x14ac:dyDescent="0.2">
      <c r="DZ1485" s="5">
        <v>45962</v>
      </c>
      <c r="EA1485" s="13" t="s">
        <v>1251</v>
      </c>
      <c r="EB1485" s="13" t="s">
        <v>2277</v>
      </c>
      <c r="EC1485" s="13" t="s">
        <v>1208</v>
      </c>
      <c r="ED1485" s="11">
        <v>0</v>
      </c>
      <c r="EE1485" s="11"/>
    </row>
    <row r="1486" spans="130:135" x14ac:dyDescent="0.2">
      <c r="DZ1486" s="5">
        <v>45962</v>
      </c>
      <c r="EA1486" s="13" t="s">
        <v>1251</v>
      </c>
      <c r="EB1486" s="13" t="s">
        <v>1346</v>
      </c>
      <c r="EC1486" s="13" t="s">
        <v>1208</v>
      </c>
      <c r="ED1486" s="11">
        <v>1960539</v>
      </c>
      <c r="EE1486" s="11"/>
    </row>
    <row r="1487" spans="130:135" x14ac:dyDescent="0.2">
      <c r="DZ1487" s="5">
        <v>45962</v>
      </c>
      <c r="EA1487" s="13" t="s">
        <v>1251</v>
      </c>
      <c r="EB1487" s="13" t="s">
        <v>1382</v>
      </c>
      <c r="EC1487" s="13" t="s">
        <v>1208</v>
      </c>
      <c r="ED1487" s="11">
        <v>0</v>
      </c>
      <c r="EE1487" s="11"/>
    </row>
    <row r="1488" spans="130:135" x14ac:dyDescent="0.2">
      <c r="DZ1488" s="5">
        <v>45962</v>
      </c>
      <c r="EA1488" s="13" t="s">
        <v>1251</v>
      </c>
      <c r="EB1488" s="13" t="s">
        <v>1350</v>
      </c>
      <c r="EC1488" s="13" t="s">
        <v>1208</v>
      </c>
      <c r="ED1488" s="11">
        <v>2247120</v>
      </c>
      <c r="EE1488" s="11"/>
    </row>
    <row r="1489" spans="130:135" x14ac:dyDescent="0.2">
      <c r="DZ1489" s="5">
        <v>45962</v>
      </c>
      <c r="EA1489" s="13" t="s">
        <v>1251</v>
      </c>
      <c r="EB1489" s="13" t="s">
        <v>2285</v>
      </c>
      <c r="EC1489" s="13" t="s">
        <v>1215</v>
      </c>
      <c r="ED1489" s="11"/>
      <c r="EE1489" s="11">
        <v>0</v>
      </c>
    </row>
    <row r="1490" spans="130:135" x14ac:dyDescent="0.2">
      <c r="DZ1490" s="5">
        <v>45962</v>
      </c>
      <c r="EA1490" s="13" t="s">
        <v>1251</v>
      </c>
      <c r="EB1490" s="13" t="s">
        <v>2293</v>
      </c>
      <c r="EC1490" s="13" t="s">
        <v>1215</v>
      </c>
      <c r="ED1490" s="11"/>
      <c r="EE1490" s="11">
        <v>0</v>
      </c>
    </row>
    <row r="1491" spans="130:135" x14ac:dyDescent="0.2">
      <c r="DZ1491" s="5">
        <v>45962</v>
      </c>
      <c r="EA1491" s="13" t="s">
        <v>1251</v>
      </c>
      <c r="EB1491" s="13" t="s">
        <v>1386</v>
      </c>
      <c r="EC1491" s="13" t="s">
        <v>1215</v>
      </c>
      <c r="ED1491" s="11"/>
      <c r="EE1491" s="11">
        <v>162412</v>
      </c>
    </row>
    <row r="1492" spans="130:135" x14ac:dyDescent="0.2">
      <c r="DZ1492" s="5">
        <v>45962</v>
      </c>
      <c r="EA1492" s="13" t="s">
        <v>1251</v>
      </c>
      <c r="EB1492" s="13" t="s">
        <v>1353</v>
      </c>
      <c r="EC1492" s="13" t="s">
        <v>1215</v>
      </c>
      <c r="ED1492" s="11"/>
      <c r="EE1492" s="11">
        <v>0</v>
      </c>
    </row>
    <row r="1493" spans="130:135" x14ac:dyDescent="0.2">
      <c r="DZ1493" s="5">
        <v>45962</v>
      </c>
      <c r="EA1493" s="13" t="s">
        <v>1251</v>
      </c>
      <c r="EB1493" s="13" t="s">
        <v>2281</v>
      </c>
      <c r="EC1493" s="13" t="s">
        <v>1215</v>
      </c>
      <c r="ED1493" s="11"/>
      <c r="EE1493" s="11">
        <v>0</v>
      </c>
    </row>
    <row r="1494" spans="130:135" x14ac:dyDescent="0.2">
      <c r="DZ1494" s="5">
        <v>45962</v>
      </c>
      <c r="EA1494" s="13" t="s">
        <v>1251</v>
      </c>
      <c r="EB1494" s="13" t="s">
        <v>2280</v>
      </c>
      <c r="EC1494" s="13" t="s">
        <v>1215</v>
      </c>
      <c r="ED1494" s="11"/>
      <c r="EE1494" s="11">
        <v>0</v>
      </c>
    </row>
    <row r="1495" spans="130:135" x14ac:dyDescent="0.2">
      <c r="DZ1495" s="5">
        <v>45962</v>
      </c>
      <c r="EA1495" s="13" t="s">
        <v>1251</v>
      </c>
      <c r="EB1495" s="13" t="s">
        <v>2279</v>
      </c>
      <c r="EC1495" s="13" t="s">
        <v>1215</v>
      </c>
      <c r="ED1495" s="11"/>
      <c r="EE1495" s="11">
        <v>0</v>
      </c>
    </row>
    <row r="1496" spans="130:135" x14ac:dyDescent="0.2">
      <c r="DZ1496" s="5">
        <v>45962</v>
      </c>
      <c r="EA1496" s="13" t="s">
        <v>1251</v>
      </c>
      <c r="EB1496" s="13" t="s">
        <v>1385</v>
      </c>
      <c r="EC1496" s="13" t="s">
        <v>1215</v>
      </c>
      <c r="ED1496" s="11"/>
      <c r="EE1496" s="11">
        <v>0</v>
      </c>
    </row>
    <row r="1497" spans="130:135" x14ac:dyDescent="0.2">
      <c r="DZ1497" s="5">
        <v>45962</v>
      </c>
      <c r="EA1497" s="13" t="s">
        <v>1251</v>
      </c>
      <c r="EB1497" s="13" t="s">
        <v>1354</v>
      </c>
      <c r="EC1497" s="13" t="s">
        <v>1215</v>
      </c>
      <c r="ED1497" s="11"/>
      <c r="EE1497" s="11">
        <v>0</v>
      </c>
    </row>
    <row r="1498" spans="130:135" x14ac:dyDescent="0.2">
      <c r="DZ1498" s="5">
        <v>45962</v>
      </c>
      <c r="EA1498" s="13" t="s">
        <v>1251</v>
      </c>
      <c r="EB1498" s="13" t="s">
        <v>1348</v>
      </c>
      <c r="EC1498" s="13" t="s">
        <v>1215</v>
      </c>
      <c r="ED1498" s="11"/>
      <c r="EE1498" s="11">
        <v>489300</v>
      </c>
    </row>
    <row r="1499" spans="130:135" x14ac:dyDescent="0.2">
      <c r="DZ1499" s="5">
        <v>45962</v>
      </c>
      <c r="EA1499" s="13" t="s">
        <v>1251</v>
      </c>
      <c r="EB1499" s="13" t="s">
        <v>2278</v>
      </c>
      <c r="EC1499" s="13" t="s">
        <v>1215</v>
      </c>
      <c r="ED1499" s="11"/>
      <c r="EE1499" s="11">
        <v>0</v>
      </c>
    </row>
    <row r="1500" spans="130:135" x14ac:dyDescent="0.2">
      <c r="DZ1500" s="5">
        <v>45962</v>
      </c>
      <c r="EA1500" s="13" t="s">
        <v>1251</v>
      </c>
      <c r="EB1500" s="13" t="s">
        <v>1347</v>
      </c>
      <c r="EC1500" s="13" t="s">
        <v>1215</v>
      </c>
      <c r="ED1500" s="11"/>
      <c r="EE1500" s="11">
        <v>0</v>
      </c>
    </row>
    <row r="1501" spans="130:135" x14ac:dyDescent="0.2">
      <c r="DZ1501" s="5">
        <v>45962</v>
      </c>
      <c r="EA1501" s="13" t="s">
        <v>1251</v>
      </c>
      <c r="EB1501" s="13" t="s">
        <v>2282</v>
      </c>
      <c r="EC1501" s="13" t="s">
        <v>1215</v>
      </c>
      <c r="ED1501" s="11"/>
      <c r="EE1501" s="11">
        <v>0</v>
      </c>
    </row>
    <row r="1502" spans="130:135" x14ac:dyDescent="0.2">
      <c r="DZ1502" s="5">
        <v>45962</v>
      </c>
      <c r="EA1502" s="13" t="s">
        <v>1251</v>
      </c>
      <c r="EB1502" s="13" t="s">
        <v>2339</v>
      </c>
      <c r="EC1502" s="13" t="s">
        <v>1217</v>
      </c>
      <c r="ED1502" s="11">
        <v>0</v>
      </c>
      <c r="EE1502" s="11"/>
    </row>
    <row r="1503" spans="130:135" x14ac:dyDescent="0.2">
      <c r="DZ1503" s="5">
        <v>45962</v>
      </c>
      <c r="EA1503" s="13" t="s">
        <v>1251</v>
      </c>
      <c r="EB1503" s="13" t="s">
        <v>1388</v>
      </c>
      <c r="EC1503" s="13" t="s">
        <v>1217</v>
      </c>
      <c r="ED1503" s="11">
        <v>0</v>
      </c>
      <c r="EE1503" s="11"/>
    </row>
    <row r="1504" spans="130:135" x14ac:dyDescent="0.2">
      <c r="DZ1504" s="5">
        <v>45962</v>
      </c>
      <c r="EA1504" s="13" t="s">
        <v>1251</v>
      </c>
      <c r="EB1504" s="13" t="s">
        <v>2337</v>
      </c>
      <c r="EC1504" s="13" t="s">
        <v>1217</v>
      </c>
      <c r="ED1504" s="11">
        <v>0</v>
      </c>
      <c r="EE1504" s="11"/>
    </row>
    <row r="1505" spans="130:135" x14ac:dyDescent="0.2">
      <c r="DZ1505" s="5">
        <v>45962</v>
      </c>
      <c r="EA1505" s="13" t="s">
        <v>1251</v>
      </c>
      <c r="EB1505" s="13" t="s">
        <v>1352</v>
      </c>
      <c r="EC1505" s="13" t="s">
        <v>1217</v>
      </c>
      <c r="ED1505" s="11">
        <v>0</v>
      </c>
      <c r="EE1505" s="11"/>
    </row>
    <row r="1506" spans="130:135" x14ac:dyDescent="0.2">
      <c r="DZ1506" s="5">
        <v>45962</v>
      </c>
      <c r="EA1506" s="13" t="s">
        <v>1251</v>
      </c>
      <c r="EB1506" s="13" t="s">
        <v>2340</v>
      </c>
      <c r="EC1506" s="13" t="s">
        <v>1217</v>
      </c>
      <c r="ED1506" s="11">
        <v>0</v>
      </c>
      <c r="EE1506" s="11"/>
    </row>
    <row r="1507" spans="130:135" x14ac:dyDescent="0.2">
      <c r="DZ1507" s="5">
        <v>45962</v>
      </c>
      <c r="EA1507" s="13" t="s">
        <v>1251</v>
      </c>
      <c r="EB1507" s="13" t="s">
        <v>2314</v>
      </c>
      <c r="EC1507" s="13" t="s">
        <v>1217</v>
      </c>
      <c r="ED1507" s="11">
        <v>0</v>
      </c>
      <c r="EE1507" s="11"/>
    </row>
    <row r="1508" spans="130:135" x14ac:dyDescent="0.2">
      <c r="DZ1508" s="5">
        <v>45962</v>
      </c>
      <c r="EA1508" s="13" t="s">
        <v>1251</v>
      </c>
      <c r="EB1508" s="13" t="s">
        <v>2294</v>
      </c>
      <c r="EC1508" s="13" t="s">
        <v>1217</v>
      </c>
      <c r="ED1508" s="11">
        <v>0</v>
      </c>
      <c r="EE1508" s="11"/>
    </row>
    <row r="1509" spans="130:135" x14ac:dyDescent="0.2">
      <c r="DZ1509" s="5">
        <v>45962</v>
      </c>
      <c r="EA1509" s="13" t="s">
        <v>1251</v>
      </c>
      <c r="EB1509" s="13" t="s">
        <v>2315</v>
      </c>
      <c r="EC1509" s="13" t="s">
        <v>1217</v>
      </c>
      <c r="ED1509" s="11">
        <v>845920</v>
      </c>
      <c r="EE1509" s="11"/>
    </row>
    <row r="1510" spans="130:135" x14ac:dyDescent="0.2">
      <c r="DZ1510" s="5">
        <v>45962</v>
      </c>
      <c r="EA1510" s="13" t="s">
        <v>1251</v>
      </c>
      <c r="EB1510" s="13" t="s">
        <v>1404</v>
      </c>
      <c r="EC1510" s="13" t="s">
        <v>1217</v>
      </c>
      <c r="ED1510" s="11">
        <v>0</v>
      </c>
      <c r="EE1510" s="11"/>
    </row>
    <row r="1511" spans="130:135" x14ac:dyDescent="0.2">
      <c r="DZ1511" s="5">
        <v>45962</v>
      </c>
      <c r="EA1511" s="13" t="s">
        <v>1251</v>
      </c>
      <c r="EB1511" s="13" t="s">
        <v>2338</v>
      </c>
      <c r="EC1511" s="13" t="s">
        <v>1217</v>
      </c>
      <c r="ED1511" s="11">
        <v>0</v>
      </c>
      <c r="EE1511" s="11"/>
    </row>
    <row r="1512" spans="130:135" x14ac:dyDescent="0.2">
      <c r="DZ1512" s="5">
        <v>45962</v>
      </c>
      <c r="EA1512" s="13" t="s">
        <v>1251</v>
      </c>
      <c r="EB1512" s="13" t="s">
        <v>1387</v>
      </c>
      <c r="EC1512" s="13" t="s">
        <v>1217</v>
      </c>
      <c r="ED1512" s="11">
        <v>1633608.48</v>
      </c>
      <c r="EE1512" s="11"/>
    </row>
    <row r="1513" spans="130:135" x14ac:dyDescent="0.2">
      <c r="DZ1513" s="5">
        <v>45962</v>
      </c>
      <c r="EA1513" s="13" t="s">
        <v>1251</v>
      </c>
      <c r="EB1513" s="13" t="s">
        <v>2367</v>
      </c>
      <c r="EC1513" s="13" t="s">
        <v>1217</v>
      </c>
      <c r="ED1513" s="11">
        <v>97500</v>
      </c>
      <c r="EE1513" s="11"/>
    </row>
    <row r="1514" spans="130:135" x14ac:dyDescent="0.2">
      <c r="DZ1514" s="5">
        <v>45962</v>
      </c>
      <c r="EA1514" s="13" t="s">
        <v>1251</v>
      </c>
      <c r="EB1514" s="13" t="s">
        <v>2283</v>
      </c>
      <c r="EC1514" s="13" t="s">
        <v>1217</v>
      </c>
      <c r="ED1514" s="11">
        <v>0</v>
      </c>
      <c r="EE1514" s="11"/>
    </row>
    <row r="1515" spans="130:135" x14ac:dyDescent="0.2">
      <c r="DZ1515" s="5">
        <v>45962</v>
      </c>
      <c r="EA1515" s="13" t="s">
        <v>1251</v>
      </c>
      <c r="EB1515" s="13" t="s">
        <v>1389</v>
      </c>
      <c r="EC1515" s="13" t="s">
        <v>1217</v>
      </c>
      <c r="ED1515" s="11">
        <v>0</v>
      </c>
      <c r="EE1515" s="11"/>
    </row>
    <row r="1516" spans="130:135" x14ac:dyDescent="0.2">
      <c r="DZ1516" s="5">
        <v>45962</v>
      </c>
      <c r="EA1516" s="13" t="s">
        <v>1251</v>
      </c>
      <c r="EB1516" s="13" t="s">
        <v>2368</v>
      </c>
      <c r="EC1516" s="13" t="s">
        <v>1217</v>
      </c>
      <c r="ED1516" s="11">
        <v>365300</v>
      </c>
      <c r="EE1516" s="11"/>
    </row>
    <row r="1517" spans="130:135" x14ac:dyDescent="0.2">
      <c r="DZ1517" s="5">
        <v>45962</v>
      </c>
      <c r="EA1517" s="13" t="s">
        <v>1251</v>
      </c>
      <c r="EB1517" s="13" t="s">
        <v>2336</v>
      </c>
      <c r="EC1517" s="13" t="s">
        <v>1217</v>
      </c>
      <c r="ED1517" s="11">
        <v>665500</v>
      </c>
      <c r="EE1517" s="11"/>
    </row>
    <row r="1518" spans="130:135" x14ac:dyDescent="0.2">
      <c r="DZ1518" s="5">
        <v>45962</v>
      </c>
      <c r="EA1518" s="13" t="s">
        <v>1251</v>
      </c>
      <c r="EB1518" s="13" t="s">
        <v>2284</v>
      </c>
      <c r="EC1518" s="13" t="s">
        <v>1217</v>
      </c>
      <c r="ED1518" s="11">
        <v>0</v>
      </c>
      <c r="EE1518" s="11"/>
    </row>
    <row r="1519" spans="130:135" x14ac:dyDescent="0.2">
      <c r="DZ1519" s="5">
        <v>45962</v>
      </c>
      <c r="EA1519" s="13" t="s">
        <v>1251</v>
      </c>
      <c r="EB1519" s="13" t="s">
        <v>2313</v>
      </c>
      <c r="EC1519" s="13" t="s">
        <v>1217</v>
      </c>
      <c r="ED1519" s="11">
        <v>0</v>
      </c>
      <c r="EE1519" s="11"/>
    </row>
    <row r="1520" spans="130:135" x14ac:dyDescent="0.2">
      <c r="DZ1520" s="5">
        <v>45962</v>
      </c>
      <c r="EA1520" s="13" t="s">
        <v>1253</v>
      </c>
      <c r="EB1520" s="13" t="s">
        <v>1335</v>
      </c>
      <c r="EC1520" s="13" t="s">
        <v>1084</v>
      </c>
      <c r="ED1520" s="11"/>
      <c r="EE1520" s="11">
        <v>18454181</v>
      </c>
    </row>
    <row r="1521" spans="130:135" x14ac:dyDescent="0.2">
      <c r="DZ1521" s="5">
        <v>45962</v>
      </c>
      <c r="EA1521" s="13" t="s">
        <v>1253</v>
      </c>
      <c r="EB1521" s="13" t="s">
        <v>2285</v>
      </c>
      <c r="EC1521" s="13" t="s">
        <v>1084</v>
      </c>
      <c r="ED1521" s="11"/>
      <c r="EE1521" s="11">
        <v>0</v>
      </c>
    </row>
    <row r="1522" spans="130:135" x14ac:dyDescent="0.2">
      <c r="DZ1522" s="5">
        <v>45962</v>
      </c>
      <c r="EA1522" s="13" t="s">
        <v>1250</v>
      </c>
      <c r="EB1522" s="13" t="s">
        <v>1357</v>
      </c>
      <c r="EC1522" s="13" t="s">
        <v>1114</v>
      </c>
      <c r="ED1522" s="11">
        <v>232500</v>
      </c>
      <c r="EE1522" s="11"/>
    </row>
    <row r="1523" spans="130:135" x14ac:dyDescent="0.2">
      <c r="DZ1523" s="5">
        <v>45962</v>
      </c>
      <c r="EA1523" s="13" t="s">
        <v>1251</v>
      </c>
      <c r="EB1523" s="13" t="s">
        <v>2305</v>
      </c>
      <c r="EC1523" s="13" t="s">
        <v>1114</v>
      </c>
      <c r="ED1523" s="11">
        <v>42210</v>
      </c>
      <c r="EE1523" s="11"/>
    </row>
    <row r="1524" spans="130:135" x14ac:dyDescent="0.2">
      <c r="DZ1524" s="5">
        <v>45962</v>
      </c>
      <c r="EA1524" s="13" t="s">
        <v>1250</v>
      </c>
      <c r="EB1524" s="13" t="s">
        <v>1358</v>
      </c>
      <c r="EC1524" s="13" t="s">
        <v>1114</v>
      </c>
      <c r="ED1524" s="11">
        <v>153191</v>
      </c>
      <c r="EE1524" s="11"/>
    </row>
    <row r="1525" spans="130:135" x14ac:dyDescent="0.2">
      <c r="DZ1525" s="5">
        <v>45962</v>
      </c>
      <c r="EA1525" s="13" t="s">
        <v>1251</v>
      </c>
      <c r="EB1525" s="13" t="s">
        <v>2319</v>
      </c>
      <c r="EC1525" s="13" t="s">
        <v>1114</v>
      </c>
      <c r="ED1525" s="11">
        <v>140843</v>
      </c>
      <c r="EE1525" s="11"/>
    </row>
    <row r="1526" spans="130:135" x14ac:dyDescent="0.2">
      <c r="DZ1526" s="5">
        <v>45962</v>
      </c>
      <c r="EA1526" s="13" t="s">
        <v>1251</v>
      </c>
      <c r="EB1526" s="13" t="s">
        <v>2212</v>
      </c>
      <c r="EC1526" s="13" t="s">
        <v>1114</v>
      </c>
      <c r="ED1526" s="11">
        <v>0</v>
      </c>
      <c r="EE1526" s="11"/>
    </row>
    <row r="1527" spans="130:135" x14ac:dyDescent="0.2">
      <c r="DZ1527" s="5">
        <v>45962</v>
      </c>
      <c r="EA1527" s="13" t="s">
        <v>1251</v>
      </c>
      <c r="EB1527" s="13" t="s">
        <v>2206</v>
      </c>
      <c r="EC1527" s="13" t="s">
        <v>1114</v>
      </c>
      <c r="ED1527" s="11">
        <v>0</v>
      </c>
      <c r="EE1527" s="11"/>
    </row>
    <row r="1528" spans="130:135" x14ac:dyDescent="0.2">
      <c r="DZ1528" s="5">
        <v>45962</v>
      </c>
      <c r="EA1528" s="13" t="s">
        <v>1250</v>
      </c>
      <c r="EB1528" s="13" t="s">
        <v>1356</v>
      </c>
      <c r="EC1528" s="13" t="s">
        <v>1114</v>
      </c>
      <c r="ED1528" s="11">
        <v>232500</v>
      </c>
      <c r="EE1528" s="11"/>
    </row>
    <row r="1529" spans="130:135" x14ac:dyDescent="0.2">
      <c r="DZ1529" s="5">
        <v>45962</v>
      </c>
      <c r="EA1529" s="13" t="s">
        <v>1250</v>
      </c>
      <c r="EB1529" s="13" t="s">
        <v>1417</v>
      </c>
      <c r="EC1529" s="13" t="s">
        <v>1156</v>
      </c>
      <c r="ED1529" s="11">
        <v>0</v>
      </c>
      <c r="EE1529" s="11"/>
    </row>
    <row r="1530" spans="130:135" x14ac:dyDescent="0.2">
      <c r="DZ1530" s="5">
        <v>45962</v>
      </c>
      <c r="EA1530" s="13" t="s">
        <v>1250</v>
      </c>
      <c r="EB1530" s="13" t="s">
        <v>1381</v>
      </c>
      <c r="EC1530" s="13" t="s">
        <v>1144</v>
      </c>
      <c r="ED1530" s="11">
        <v>0</v>
      </c>
      <c r="EE1530" s="11"/>
    </row>
    <row r="1531" spans="130:135" x14ac:dyDescent="0.2">
      <c r="DZ1531" s="5">
        <v>45962</v>
      </c>
      <c r="EA1531" s="13" t="s">
        <v>1250</v>
      </c>
      <c r="EB1531" s="13" t="s">
        <v>2369</v>
      </c>
      <c r="EC1531" s="13" t="s">
        <v>1144</v>
      </c>
      <c r="ED1531" s="11">
        <v>89916</v>
      </c>
      <c r="EE1531" s="11"/>
    </row>
    <row r="1532" spans="130:135" x14ac:dyDescent="0.2">
      <c r="DZ1532" s="5">
        <v>45962</v>
      </c>
      <c r="EA1532" s="13" t="s">
        <v>1250</v>
      </c>
      <c r="EB1532" s="13" t="s">
        <v>2286</v>
      </c>
      <c r="EC1532" s="13" t="s">
        <v>1144</v>
      </c>
      <c r="ED1532" s="11">
        <v>0</v>
      </c>
      <c r="EE1532" s="11"/>
    </row>
    <row r="1533" spans="130:135" x14ac:dyDescent="0.2">
      <c r="DZ1533" s="5">
        <v>45962</v>
      </c>
      <c r="EA1533" s="13" t="s">
        <v>1250</v>
      </c>
      <c r="EB1533" s="13" t="s">
        <v>1409</v>
      </c>
      <c r="EC1533" s="13" t="s">
        <v>1144</v>
      </c>
      <c r="ED1533" s="11">
        <v>218500</v>
      </c>
      <c r="EE1533" s="11"/>
    </row>
    <row r="1534" spans="130:135" x14ac:dyDescent="0.2">
      <c r="DZ1534" s="5">
        <v>45962</v>
      </c>
      <c r="EA1534" s="13" t="s">
        <v>1251</v>
      </c>
      <c r="EB1534" s="13" t="s">
        <v>1368</v>
      </c>
      <c r="EC1534" s="13" t="s">
        <v>1146</v>
      </c>
      <c r="ED1534" s="11">
        <v>0</v>
      </c>
      <c r="EE1534" s="11"/>
    </row>
    <row r="1535" spans="130:135" x14ac:dyDescent="0.2">
      <c r="DZ1535" s="5">
        <v>45962</v>
      </c>
      <c r="EA1535" s="13" t="s">
        <v>1251</v>
      </c>
      <c r="EB1535" s="13" t="s">
        <v>1345</v>
      </c>
      <c r="EC1535" s="13" t="s">
        <v>1146</v>
      </c>
      <c r="ED1535" s="11">
        <v>113548</v>
      </c>
      <c r="EE1535" s="11"/>
    </row>
    <row r="1536" spans="130:135" x14ac:dyDescent="0.2">
      <c r="DZ1536" s="5">
        <v>45962</v>
      </c>
      <c r="EA1536" s="13" t="s">
        <v>1250</v>
      </c>
      <c r="EB1536" s="13" t="s">
        <v>1368</v>
      </c>
      <c r="EC1536" s="13" t="s">
        <v>1146</v>
      </c>
      <c r="ED1536" s="11">
        <v>0</v>
      </c>
      <c r="EE1536" s="11"/>
    </row>
    <row r="1537" spans="130:135" x14ac:dyDescent="0.2">
      <c r="DZ1537" s="5">
        <v>45962</v>
      </c>
      <c r="EA1537" s="13" t="s">
        <v>1251</v>
      </c>
      <c r="EB1537" s="13" t="s">
        <v>1349</v>
      </c>
      <c r="EC1537" s="13" t="s">
        <v>1146</v>
      </c>
      <c r="ED1537" s="11">
        <v>965097</v>
      </c>
      <c r="EE1537" s="11"/>
    </row>
    <row r="1538" spans="130:135" x14ac:dyDescent="0.2">
      <c r="DZ1538" s="5">
        <v>45962</v>
      </c>
      <c r="EA1538" s="13" t="s">
        <v>1250</v>
      </c>
      <c r="EB1538" s="13" t="s">
        <v>1367</v>
      </c>
      <c r="EC1538" s="13" t="s">
        <v>1146</v>
      </c>
      <c r="ED1538" s="11">
        <v>44749</v>
      </c>
      <c r="EE1538" s="11"/>
    </row>
    <row r="1539" spans="130:135" x14ac:dyDescent="0.2">
      <c r="DZ1539" s="5">
        <v>45962</v>
      </c>
      <c r="EA1539" s="13" t="s">
        <v>1250</v>
      </c>
      <c r="EB1539" s="13" t="s">
        <v>2316</v>
      </c>
      <c r="EC1539" s="13" t="s">
        <v>1146</v>
      </c>
      <c r="ED1539" s="11">
        <v>0</v>
      </c>
      <c r="EE1539" s="11"/>
    </row>
    <row r="1540" spans="130:135" x14ac:dyDescent="0.2">
      <c r="DZ1540" s="5">
        <v>45962</v>
      </c>
      <c r="EA1540" s="13" t="s">
        <v>1251</v>
      </c>
      <c r="EB1540" s="13" t="s">
        <v>2212</v>
      </c>
      <c r="EC1540" s="13" t="s">
        <v>1108</v>
      </c>
      <c r="ED1540" s="11">
        <v>0</v>
      </c>
      <c r="EE1540" s="11"/>
    </row>
    <row r="1541" spans="130:135" x14ac:dyDescent="0.2">
      <c r="DZ1541" s="5">
        <v>45962</v>
      </c>
      <c r="EA1541" s="13" t="s">
        <v>1251</v>
      </c>
      <c r="EB1541" s="13" t="s">
        <v>2305</v>
      </c>
      <c r="EC1541" s="13" t="s">
        <v>1108</v>
      </c>
      <c r="ED1541" s="11">
        <v>616850</v>
      </c>
      <c r="EE1541" s="11"/>
    </row>
    <row r="1542" spans="130:135" x14ac:dyDescent="0.2">
      <c r="DZ1542" s="5">
        <v>45962</v>
      </c>
      <c r="EA1542" s="13" t="s">
        <v>1251</v>
      </c>
      <c r="EB1542" s="13" t="s">
        <v>2319</v>
      </c>
      <c r="EC1542" s="13" t="s">
        <v>1108</v>
      </c>
      <c r="ED1542" s="11">
        <v>1423500</v>
      </c>
      <c r="EE1542" s="11"/>
    </row>
    <row r="1543" spans="130:135" x14ac:dyDescent="0.2">
      <c r="DZ1543" s="5">
        <v>45962</v>
      </c>
      <c r="EA1543" s="13" t="s">
        <v>1251</v>
      </c>
      <c r="EB1543" s="13" t="s">
        <v>1337</v>
      </c>
      <c r="EC1543" s="13" t="s">
        <v>1108</v>
      </c>
      <c r="ED1543" s="11">
        <v>427050</v>
      </c>
      <c r="EE1543" s="11"/>
    </row>
    <row r="1544" spans="130:135" x14ac:dyDescent="0.2">
      <c r="DZ1544" s="5">
        <v>45962</v>
      </c>
      <c r="EA1544" s="13" t="s">
        <v>1251</v>
      </c>
      <c r="EB1544" s="13" t="s">
        <v>2206</v>
      </c>
      <c r="EC1544" s="13" t="s">
        <v>1108</v>
      </c>
      <c r="ED1544" s="11">
        <v>0</v>
      </c>
      <c r="EE1544" s="11"/>
    </row>
    <row r="1545" spans="130:135" x14ac:dyDescent="0.2">
      <c r="DZ1545" s="5">
        <v>45962</v>
      </c>
      <c r="EA1545" s="13" t="s">
        <v>1250</v>
      </c>
      <c r="EB1545" s="13" t="s">
        <v>1357</v>
      </c>
      <c r="EC1545" s="13" t="s">
        <v>1108</v>
      </c>
      <c r="ED1545" s="11">
        <v>2500000</v>
      </c>
      <c r="EE1545" s="11"/>
    </row>
    <row r="1546" spans="130:135" x14ac:dyDescent="0.2">
      <c r="DZ1546" s="5">
        <v>45962</v>
      </c>
      <c r="EA1546" s="13" t="s">
        <v>1250</v>
      </c>
      <c r="EB1546" s="13" t="s">
        <v>1358</v>
      </c>
      <c r="EC1546" s="13" t="s">
        <v>1108</v>
      </c>
      <c r="ED1546" s="11">
        <v>1423500</v>
      </c>
      <c r="EE1546" s="11"/>
    </row>
    <row r="1547" spans="130:135" x14ac:dyDescent="0.2">
      <c r="DZ1547" s="5">
        <v>45962</v>
      </c>
      <c r="EA1547" s="13" t="s">
        <v>1250</v>
      </c>
      <c r="EB1547" s="13" t="s">
        <v>1356</v>
      </c>
      <c r="EC1547" s="13" t="s">
        <v>1108</v>
      </c>
      <c r="ED1547" s="11">
        <v>2500000</v>
      </c>
      <c r="EE1547" s="11"/>
    </row>
    <row r="1548" spans="130:135" x14ac:dyDescent="0.2">
      <c r="DZ1548" s="5">
        <v>45962</v>
      </c>
      <c r="EA1548" s="13" t="s">
        <v>1251</v>
      </c>
      <c r="EB1548" s="13" t="s">
        <v>1408</v>
      </c>
      <c r="EC1548" s="13" t="s">
        <v>1206</v>
      </c>
      <c r="ED1548" s="11"/>
      <c r="EE1548" s="11">
        <v>18300</v>
      </c>
    </row>
    <row r="1549" spans="130:135" x14ac:dyDescent="0.2">
      <c r="DZ1549" s="5">
        <v>45962</v>
      </c>
      <c r="EA1549" s="13" t="s">
        <v>1251</v>
      </c>
      <c r="EB1549" s="13" t="s">
        <v>2281</v>
      </c>
      <c r="EC1549" s="13" t="s">
        <v>1206</v>
      </c>
      <c r="ED1549" s="11"/>
      <c r="EE1549" s="11">
        <v>0</v>
      </c>
    </row>
    <row r="1550" spans="130:135" x14ac:dyDescent="0.2">
      <c r="DZ1550" s="5">
        <v>45962</v>
      </c>
      <c r="EA1550" s="13" t="s">
        <v>1251</v>
      </c>
      <c r="EB1550" s="13" t="s">
        <v>1343</v>
      </c>
      <c r="EC1550" s="13" t="s">
        <v>1206</v>
      </c>
      <c r="ED1550" s="11"/>
      <c r="EE1550" s="11">
        <v>254278</v>
      </c>
    </row>
    <row r="1551" spans="130:135" x14ac:dyDescent="0.2">
      <c r="DZ1551" s="5">
        <v>45962</v>
      </c>
      <c r="EA1551" s="13" t="s">
        <v>1251</v>
      </c>
      <c r="EB1551" s="13" t="s">
        <v>1347</v>
      </c>
      <c r="EC1551" s="13" t="s">
        <v>1206</v>
      </c>
      <c r="ED1551" s="11"/>
      <c r="EE1551" s="11">
        <v>875003</v>
      </c>
    </row>
    <row r="1552" spans="130:135" x14ac:dyDescent="0.2">
      <c r="DZ1552" s="5">
        <v>45962</v>
      </c>
      <c r="EA1552" s="13" t="s">
        <v>1251</v>
      </c>
      <c r="EB1552" s="13" t="s">
        <v>2301</v>
      </c>
      <c r="EC1552" s="13" t="s">
        <v>1206</v>
      </c>
      <c r="ED1552" s="11"/>
      <c r="EE1552" s="11">
        <v>0</v>
      </c>
    </row>
    <row r="1553" spans="130:135" x14ac:dyDescent="0.2">
      <c r="DZ1553" s="5">
        <v>45962</v>
      </c>
      <c r="EA1553" s="13" t="s">
        <v>1251</v>
      </c>
      <c r="EB1553" s="13" t="s">
        <v>1344</v>
      </c>
      <c r="EC1553" s="13" t="s">
        <v>1206</v>
      </c>
      <c r="ED1553" s="11"/>
      <c r="EE1553" s="11">
        <v>889000</v>
      </c>
    </row>
    <row r="1554" spans="130:135" x14ac:dyDescent="0.2">
      <c r="DZ1554" s="5">
        <v>45962</v>
      </c>
      <c r="EA1554" s="13" t="s">
        <v>1250</v>
      </c>
      <c r="EB1554" s="13" t="s">
        <v>1357</v>
      </c>
      <c r="EC1554" s="13" t="s">
        <v>1058</v>
      </c>
      <c r="ED1554" s="11">
        <v>104170</v>
      </c>
      <c r="EE1554" s="11"/>
    </row>
    <row r="1555" spans="130:135" x14ac:dyDescent="0.2">
      <c r="DZ1555" s="5">
        <v>45962</v>
      </c>
      <c r="EA1555" s="13" t="s">
        <v>1250</v>
      </c>
      <c r="EB1555" s="13" t="s">
        <v>1356</v>
      </c>
      <c r="EC1555" s="13" t="s">
        <v>1058</v>
      </c>
      <c r="ED1555" s="11">
        <v>104170</v>
      </c>
      <c r="EE1555" s="11"/>
    </row>
    <row r="1556" spans="130:135" x14ac:dyDescent="0.2">
      <c r="DZ1556" s="5">
        <v>45962</v>
      </c>
      <c r="EA1556" s="13" t="s">
        <v>1251</v>
      </c>
      <c r="EB1556" s="13" t="s">
        <v>2212</v>
      </c>
      <c r="EC1556" s="13" t="s">
        <v>1058</v>
      </c>
      <c r="ED1556" s="11">
        <v>0</v>
      </c>
      <c r="EE1556" s="11"/>
    </row>
    <row r="1557" spans="130:135" x14ac:dyDescent="0.2">
      <c r="DZ1557" s="5">
        <v>45962</v>
      </c>
      <c r="EA1557" s="13" t="s">
        <v>1251</v>
      </c>
      <c r="EB1557" s="13" t="s">
        <v>2319</v>
      </c>
      <c r="EC1557" s="13" t="s">
        <v>1058</v>
      </c>
      <c r="ED1557" s="11">
        <v>100180</v>
      </c>
      <c r="EE1557" s="11"/>
    </row>
    <row r="1558" spans="130:135" x14ac:dyDescent="0.2">
      <c r="DZ1558" s="5">
        <v>45962</v>
      </c>
      <c r="EA1558" s="13" t="s">
        <v>1251</v>
      </c>
      <c r="EB1558" s="13" t="s">
        <v>2305</v>
      </c>
      <c r="EC1558" s="13" t="s">
        <v>1058</v>
      </c>
      <c r="ED1558" s="11">
        <v>-155700</v>
      </c>
      <c r="EE1558" s="11"/>
    </row>
    <row r="1559" spans="130:135" x14ac:dyDescent="0.2">
      <c r="DZ1559" s="5">
        <v>45962</v>
      </c>
      <c r="EA1559" s="13" t="s">
        <v>1250</v>
      </c>
      <c r="EB1559" s="13" t="s">
        <v>1358</v>
      </c>
      <c r="EC1559" s="13" t="s">
        <v>1058</v>
      </c>
      <c r="ED1559" s="11">
        <v>133270</v>
      </c>
      <c r="EE1559" s="11"/>
    </row>
    <row r="1560" spans="130:135" x14ac:dyDescent="0.2">
      <c r="DZ1560" s="5">
        <v>45962</v>
      </c>
      <c r="EA1560" s="13" t="s">
        <v>1251</v>
      </c>
      <c r="EB1560" s="13" t="s">
        <v>2206</v>
      </c>
      <c r="EC1560" s="13" t="s">
        <v>1058</v>
      </c>
      <c r="ED1560" s="11">
        <v>0</v>
      </c>
      <c r="EE1560" s="11"/>
    </row>
    <row r="1561" spans="130:135" x14ac:dyDescent="0.2">
      <c r="DZ1561" s="5">
        <v>45962</v>
      </c>
      <c r="EA1561" s="13" t="s">
        <v>1250</v>
      </c>
      <c r="EB1561" s="13" t="s">
        <v>1379</v>
      </c>
      <c r="EC1561" s="13" t="s">
        <v>1170</v>
      </c>
      <c r="ED1561" s="11">
        <v>0</v>
      </c>
      <c r="EE1561" s="11"/>
    </row>
    <row r="1562" spans="130:135" x14ac:dyDescent="0.2">
      <c r="DZ1562" s="5">
        <v>45962</v>
      </c>
      <c r="EA1562" s="13" t="s">
        <v>1250</v>
      </c>
      <c r="EB1562" s="13" t="s">
        <v>1389</v>
      </c>
      <c r="EC1562" s="13" t="s">
        <v>1170</v>
      </c>
      <c r="ED1562" s="11">
        <v>0</v>
      </c>
      <c r="EE1562" s="11"/>
    </row>
    <row r="1563" spans="130:135" x14ac:dyDescent="0.2">
      <c r="DZ1563" s="5">
        <v>45962</v>
      </c>
      <c r="EA1563" s="13" t="s">
        <v>1250</v>
      </c>
      <c r="EB1563" s="13" t="s">
        <v>2341</v>
      </c>
      <c r="EC1563" s="13" t="s">
        <v>1170</v>
      </c>
      <c r="ED1563" s="11">
        <v>0</v>
      </c>
      <c r="EE1563" s="11"/>
    </row>
    <row r="1564" spans="130:135" x14ac:dyDescent="0.2">
      <c r="DZ1564" s="5">
        <v>45962</v>
      </c>
      <c r="EA1564" s="13" t="s">
        <v>1250</v>
      </c>
      <c r="EB1564" s="13" t="s">
        <v>1364</v>
      </c>
      <c r="EC1564" s="13" t="s">
        <v>1170</v>
      </c>
      <c r="ED1564" s="11">
        <v>106134.54</v>
      </c>
      <c r="EE1564" s="11"/>
    </row>
    <row r="1565" spans="130:135" x14ac:dyDescent="0.2">
      <c r="DZ1565" s="5">
        <v>45962</v>
      </c>
      <c r="EA1565" s="13" t="s">
        <v>1250</v>
      </c>
      <c r="EB1565" s="13" t="s">
        <v>2342</v>
      </c>
      <c r="EC1565" s="13" t="s">
        <v>1170</v>
      </c>
      <c r="ED1565" s="11">
        <v>0</v>
      </c>
      <c r="EE1565" s="11"/>
    </row>
    <row r="1566" spans="130:135" x14ac:dyDescent="0.2">
      <c r="DZ1566" s="5">
        <v>45962</v>
      </c>
      <c r="EA1566" s="13" t="s">
        <v>1250</v>
      </c>
      <c r="EB1566" s="13" t="s">
        <v>1365</v>
      </c>
      <c r="EC1566" s="13" t="s">
        <v>1170</v>
      </c>
      <c r="ED1566" s="11">
        <v>40588.28</v>
      </c>
      <c r="EE1566" s="11"/>
    </row>
    <row r="1567" spans="130:135" x14ac:dyDescent="0.2">
      <c r="DZ1567" s="5">
        <v>45962</v>
      </c>
      <c r="EA1567" s="13" t="s">
        <v>1250</v>
      </c>
      <c r="EB1567" s="13" t="s">
        <v>2304</v>
      </c>
      <c r="EC1567" s="13" t="s">
        <v>1170</v>
      </c>
      <c r="ED1567" s="11">
        <v>0</v>
      </c>
      <c r="EE1567" s="11"/>
    </row>
    <row r="1568" spans="130:135" x14ac:dyDescent="0.2">
      <c r="DZ1568" s="5">
        <v>45962</v>
      </c>
      <c r="EA1568" s="13" t="s">
        <v>1250</v>
      </c>
      <c r="EB1568" s="13" t="s">
        <v>2317</v>
      </c>
      <c r="EC1568" s="13" t="s">
        <v>1170</v>
      </c>
      <c r="ED1568" s="11">
        <v>0</v>
      </c>
      <c r="EE1568" s="11"/>
    </row>
    <row r="1569" spans="130:135" x14ac:dyDescent="0.2">
      <c r="DZ1569" s="5">
        <v>45962</v>
      </c>
      <c r="EA1569" s="13" t="s">
        <v>1250</v>
      </c>
      <c r="EB1569" s="13" t="s">
        <v>2303</v>
      </c>
      <c r="EC1569" s="13" t="s">
        <v>1170</v>
      </c>
      <c r="ED1569" s="11">
        <v>0</v>
      </c>
      <c r="EE1569" s="11"/>
    </row>
    <row r="1570" spans="130:135" x14ac:dyDescent="0.2">
      <c r="DZ1570" s="5">
        <v>45962</v>
      </c>
      <c r="EA1570" s="13" t="s">
        <v>1250</v>
      </c>
      <c r="EB1570" s="13" t="s">
        <v>2302</v>
      </c>
      <c r="EC1570" s="13" t="s">
        <v>1170</v>
      </c>
      <c r="ED1570" s="11">
        <v>0</v>
      </c>
      <c r="EE1570" s="11"/>
    </row>
    <row r="1571" spans="130:135" x14ac:dyDescent="0.2">
      <c r="DZ1571" s="5">
        <v>45962</v>
      </c>
      <c r="EA1571" s="13" t="s">
        <v>1250</v>
      </c>
      <c r="EB1571" s="13" t="s">
        <v>2283</v>
      </c>
      <c r="EC1571" s="13" t="s">
        <v>1170</v>
      </c>
      <c r="ED1571" s="11">
        <v>86975</v>
      </c>
      <c r="EE1571" s="11"/>
    </row>
    <row r="1572" spans="130:135" x14ac:dyDescent="0.2">
      <c r="DZ1572" s="5">
        <v>45962</v>
      </c>
      <c r="EA1572" s="13" t="s">
        <v>1250</v>
      </c>
      <c r="EB1572" s="13" t="s">
        <v>2204</v>
      </c>
      <c r="EC1572" s="13" t="s">
        <v>1170</v>
      </c>
      <c r="ED1572" s="11">
        <v>1389583.42</v>
      </c>
      <c r="EE1572" s="11"/>
    </row>
    <row r="1573" spans="130:135" x14ac:dyDescent="0.2">
      <c r="DZ1573" s="5">
        <v>45962</v>
      </c>
      <c r="EA1573" s="13" t="s">
        <v>1250</v>
      </c>
      <c r="EB1573" s="13" t="s">
        <v>1394</v>
      </c>
      <c r="EC1573" s="13" t="s">
        <v>1170</v>
      </c>
      <c r="ED1573" s="11">
        <v>200959.54</v>
      </c>
      <c r="EE1573" s="11"/>
    </row>
    <row r="1574" spans="130:135" x14ac:dyDescent="0.2">
      <c r="DZ1574" s="5">
        <v>45962</v>
      </c>
      <c r="EA1574" s="13" t="s">
        <v>1250</v>
      </c>
      <c r="EB1574" s="13" t="s">
        <v>1352</v>
      </c>
      <c r="EC1574" s="13" t="s">
        <v>1170</v>
      </c>
      <c r="ED1574" s="11">
        <v>0</v>
      </c>
      <c r="EE1574" s="11"/>
    </row>
    <row r="1575" spans="130:135" x14ac:dyDescent="0.2">
      <c r="DZ1575" s="5">
        <v>45992</v>
      </c>
      <c r="EA1575" s="13" t="s">
        <v>1252</v>
      </c>
      <c r="EB1575" s="13" t="s">
        <v>1403</v>
      </c>
      <c r="EC1575" s="13" t="s">
        <v>1106</v>
      </c>
      <c r="ED1575" s="11">
        <v>0</v>
      </c>
      <c r="EE1575" s="11"/>
    </row>
    <row r="1576" spans="130:135" x14ac:dyDescent="0.2">
      <c r="DZ1576" s="5">
        <v>45992</v>
      </c>
      <c r="EA1576" s="13" t="s">
        <v>1252</v>
      </c>
      <c r="EB1576" s="13" t="s">
        <v>1388</v>
      </c>
      <c r="EC1576" s="13" t="s">
        <v>1106</v>
      </c>
      <c r="ED1576" s="11">
        <v>0</v>
      </c>
      <c r="EE1576" s="11"/>
    </row>
    <row r="1577" spans="130:135" x14ac:dyDescent="0.2">
      <c r="DZ1577" s="5">
        <v>45992</v>
      </c>
      <c r="EA1577" s="13" t="s">
        <v>1252</v>
      </c>
      <c r="EB1577" s="13" t="s">
        <v>1375</v>
      </c>
      <c r="EC1577" s="13" t="s">
        <v>1106</v>
      </c>
      <c r="ED1577" s="11">
        <v>0</v>
      </c>
      <c r="EE1577" s="11"/>
    </row>
    <row r="1578" spans="130:135" x14ac:dyDescent="0.2">
      <c r="DZ1578" s="5">
        <v>45992</v>
      </c>
      <c r="EA1578" s="13" t="s">
        <v>1252</v>
      </c>
      <c r="EB1578" s="13" t="s">
        <v>1384</v>
      </c>
      <c r="EC1578" s="13" t="s">
        <v>1106</v>
      </c>
      <c r="ED1578" s="11">
        <v>0</v>
      </c>
      <c r="EE1578" s="11"/>
    </row>
    <row r="1579" spans="130:135" x14ac:dyDescent="0.2">
      <c r="DZ1579" s="5">
        <v>45992</v>
      </c>
      <c r="EA1579" s="13" t="s">
        <v>1252</v>
      </c>
      <c r="EB1579" s="13" t="s">
        <v>1377</v>
      </c>
      <c r="EC1579" s="13" t="s">
        <v>1106</v>
      </c>
      <c r="ED1579" s="11">
        <v>-278</v>
      </c>
      <c r="EE1579" s="11"/>
    </row>
    <row r="1580" spans="130:135" x14ac:dyDescent="0.2">
      <c r="DZ1580" s="5">
        <v>45992</v>
      </c>
      <c r="EA1580" s="13" t="s">
        <v>1252</v>
      </c>
      <c r="EB1580" s="13" t="s">
        <v>1374</v>
      </c>
      <c r="EC1580" s="13" t="s">
        <v>1106</v>
      </c>
      <c r="ED1580" s="11">
        <v>0</v>
      </c>
      <c r="EE1580" s="11"/>
    </row>
    <row r="1581" spans="130:135" x14ac:dyDescent="0.2">
      <c r="DZ1581" s="5">
        <v>45992</v>
      </c>
      <c r="EA1581" s="13" t="s">
        <v>1252</v>
      </c>
      <c r="EB1581" s="13" t="s">
        <v>2202</v>
      </c>
      <c r="EC1581" s="13" t="s">
        <v>1106</v>
      </c>
      <c r="ED1581" s="11">
        <v>0</v>
      </c>
      <c r="EE1581" s="11"/>
    </row>
    <row r="1582" spans="130:135" x14ac:dyDescent="0.2">
      <c r="DZ1582" s="5">
        <v>45992</v>
      </c>
      <c r="EA1582" s="13" t="s">
        <v>1251</v>
      </c>
      <c r="EB1582" s="13" t="s">
        <v>2318</v>
      </c>
      <c r="EC1582" s="13" t="s">
        <v>1212</v>
      </c>
      <c r="ED1582" s="11">
        <v>0</v>
      </c>
      <c r="EE1582" s="11"/>
    </row>
    <row r="1583" spans="130:135" x14ac:dyDescent="0.2">
      <c r="DZ1583" s="5">
        <v>45992</v>
      </c>
      <c r="EA1583" s="13" t="s">
        <v>1251</v>
      </c>
      <c r="EB1583" s="13" t="s">
        <v>2204</v>
      </c>
      <c r="EC1583" s="13" t="s">
        <v>1212</v>
      </c>
      <c r="ED1583" s="11">
        <v>3206347</v>
      </c>
      <c r="EE1583" s="11"/>
    </row>
    <row r="1584" spans="130:135" x14ac:dyDescent="0.2">
      <c r="DZ1584" s="5">
        <v>45992</v>
      </c>
      <c r="EA1584" s="13" t="s">
        <v>1251</v>
      </c>
      <c r="EB1584" s="13" t="s">
        <v>1379</v>
      </c>
      <c r="EC1584" s="13" t="s">
        <v>1212</v>
      </c>
      <c r="ED1584" s="11">
        <v>1175000</v>
      </c>
      <c r="EE1584" s="11"/>
    </row>
    <row r="1585" spans="130:135" x14ac:dyDescent="0.2">
      <c r="DZ1585" s="5">
        <v>45992</v>
      </c>
      <c r="EA1585" s="13" t="s">
        <v>1251</v>
      </c>
      <c r="EB1585" s="13" t="s">
        <v>2203</v>
      </c>
      <c r="EC1585" s="13" t="s">
        <v>1212</v>
      </c>
      <c r="ED1585" s="11">
        <v>0</v>
      </c>
      <c r="EE1585" s="11"/>
    </row>
    <row r="1586" spans="130:135" x14ac:dyDescent="0.2">
      <c r="DZ1586" s="5">
        <v>45992</v>
      </c>
      <c r="EA1586" s="13" t="s">
        <v>1251</v>
      </c>
      <c r="EB1586" s="13" t="s">
        <v>1380</v>
      </c>
      <c r="EC1586" s="13" t="s">
        <v>1212</v>
      </c>
      <c r="ED1586" s="11">
        <v>1224500</v>
      </c>
      <c r="EE1586" s="11"/>
    </row>
    <row r="1587" spans="130:135" x14ac:dyDescent="0.2">
      <c r="DZ1587" s="5">
        <v>45992</v>
      </c>
      <c r="EA1587" s="13" t="s">
        <v>1250</v>
      </c>
      <c r="EB1587" s="13" t="s">
        <v>1339</v>
      </c>
      <c r="EC1587" s="13" t="s">
        <v>1124</v>
      </c>
      <c r="ED1587" s="11">
        <v>-947800</v>
      </c>
      <c r="EE1587" s="11"/>
    </row>
    <row r="1588" spans="130:135" x14ac:dyDescent="0.2">
      <c r="DZ1588" s="5">
        <v>45992</v>
      </c>
      <c r="EA1588" s="13" t="s">
        <v>1251</v>
      </c>
      <c r="EB1588" s="13" t="s">
        <v>1360</v>
      </c>
      <c r="EC1588" s="13" t="s">
        <v>1124</v>
      </c>
      <c r="ED1588" s="11">
        <v>0</v>
      </c>
      <c r="EE1588" s="11"/>
    </row>
    <row r="1589" spans="130:135" x14ac:dyDescent="0.2">
      <c r="DZ1589" s="5">
        <v>45992</v>
      </c>
      <c r="EA1589" s="13" t="s">
        <v>1250</v>
      </c>
      <c r="EB1589" s="13" t="s">
        <v>1359</v>
      </c>
      <c r="EC1589" s="13" t="s">
        <v>1124</v>
      </c>
      <c r="ED1589" s="11">
        <v>2160000</v>
      </c>
      <c r="EE1589" s="11"/>
    </row>
    <row r="1590" spans="130:135" x14ac:dyDescent="0.2">
      <c r="DZ1590" s="5">
        <v>45992</v>
      </c>
      <c r="EA1590" s="13" t="s">
        <v>1251</v>
      </c>
      <c r="EB1590" s="13" t="s">
        <v>1406</v>
      </c>
      <c r="EC1590" s="13" t="s">
        <v>1124</v>
      </c>
      <c r="ED1590" s="11">
        <v>0</v>
      </c>
      <c r="EE1590" s="11"/>
    </row>
    <row r="1591" spans="130:135" x14ac:dyDescent="0.2">
      <c r="DZ1591" s="5">
        <v>45992</v>
      </c>
      <c r="EA1591" s="13" t="s">
        <v>1250</v>
      </c>
      <c r="EB1591" s="13" t="s">
        <v>1360</v>
      </c>
      <c r="EC1591" s="13" t="s">
        <v>1124</v>
      </c>
      <c r="ED1591" s="11">
        <v>199600</v>
      </c>
      <c r="EE1591" s="11"/>
    </row>
    <row r="1592" spans="130:135" x14ac:dyDescent="0.2">
      <c r="DZ1592" s="5">
        <v>45992</v>
      </c>
      <c r="EA1592" s="13" t="s">
        <v>1251</v>
      </c>
      <c r="EB1592" s="13" t="s">
        <v>1339</v>
      </c>
      <c r="EC1592" s="13" t="s">
        <v>1124</v>
      </c>
      <c r="ED1592" s="11">
        <v>237800</v>
      </c>
      <c r="EE1592" s="11"/>
    </row>
    <row r="1593" spans="130:135" x14ac:dyDescent="0.2">
      <c r="DZ1593" s="5">
        <v>45992</v>
      </c>
      <c r="EA1593" s="13" t="s">
        <v>1250</v>
      </c>
      <c r="EB1593" s="13" t="s">
        <v>1338</v>
      </c>
      <c r="EC1593" s="13" t="s">
        <v>1121</v>
      </c>
      <c r="ED1593" s="11">
        <v>196600</v>
      </c>
      <c r="EE1593" s="11"/>
    </row>
    <row r="1594" spans="130:135" x14ac:dyDescent="0.2">
      <c r="DZ1594" s="5">
        <v>45992</v>
      </c>
      <c r="EA1594" s="13" t="s">
        <v>1251</v>
      </c>
      <c r="EB1594" s="13" t="s">
        <v>1338</v>
      </c>
      <c r="EC1594" s="13" t="s">
        <v>1121</v>
      </c>
      <c r="ED1594" s="11">
        <v>10400</v>
      </c>
      <c r="EE1594" s="11"/>
    </row>
    <row r="1595" spans="130:135" x14ac:dyDescent="0.2">
      <c r="DZ1595" s="5">
        <v>45992</v>
      </c>
      <c r="EA1595" s="13" t="s">
        <v>1250</v>
      </c>
      <c r="EB1595" s="13" t="s">
        <v>1375</v>
      </c>
      <c r="EC1595" s="13" t="s">
        <v>1016</v>
      </c>
      <c r="ED1595" s="11">
        <v>3800</v>
      </c>
      <c r="EE1595" s="11"/>
    </row>
    <row r="1596" spans="130:135" x14ac:dyDescent="0.2">
      <c r="DZ1596" s="5">
        <v>45992</v>
      </c>
      <c r="EA1596" s="13" t="s">
        <v>1250</v>
      </c>
      <c r="EB1596" s="13" t="s">
        <v>1376</v>
      </c>
      <c r="EC1596" s="13" t="s">
        <v>1016</v>
      </c>
      <c r="ED1596" s="11">
        <v>1530000</v>
      </c>
      <c r="EE1596" s="11"/>
    </row>
    <row r="1597" spans="130:135" x14ac:dyDescent="0.2">
      <c r="DZ1597" s="5">
        <v>45992</v>
      </c>
      <c r="EA1597" s="13" t="s">
        <v>1250</v>
      </c>
      <c r="EB1597" s="13" t="s">
        <v>2287</v>
      </c>
      <c r="EC1597" s="13" t="s">
        <v>1016</v>
      </c>
      <c r="ED1597" s="11">
        <v>0</v>
      </c>
      <c r="EE1597" s="11"/>
    </row>
    <row r="1598" spans="130:135" x14ac:dyDescent="0.2">
      <c r="DZ1598" s="5">
        <v>45992</v>
      </c>
      <c r="EA1598" s="13" t="s">
        <v>1250</v>
      </c>
      <c r="EB1598" s="13" t="s">
        <v>1378</v>
      </c>
      <c r="EC1598" s="13" t="s">
        <v>1016</v>
      </c>
      <c r="ED1598" s="11">
        <v>1530000</v>
      </c>
      <c r="EE1598" s="11"/>
    </row>
    <row r="1599" spans="130:135" x14ac:dyDescent="0.2">
      <c r="DZ1599" s="5">
        <v>45992</v>
      </c>
      <c r="EA1599" s="13" t="s">
        <v>1250</v>
      </c>
      <c r="EB1599" s="13" t="s">
        <v>1340</v>
      </c>
      <c r="EC1599" s="13" t="s">
        <v>1126</v>
      </c>
      <c r="ED1599" s="11">
        <v>1489700</v>
      </c>
      <c r="EE1599" s="11"/>
    </row>
    <row r="1600" spans="130:135" x14ac:dyDescent="0.2">
      <c r="DZ1600" s="5">
        <v>45992</v>
      </c>
      <c r="EA1600" s="13" t="s">
        <v>1251</v>
      </c>
      <c r="EB1600" s="13" t="s">
        <v>1340</v>
      </c>
      <c r="EC1600" s="13" t="s">
        <v>1126</v>
      </c>
      <c r="ED1600" s="11">
        <v>79300</v>
      </c>
      <c r="EE1600" s="11"/>
    </row>
    <row r="1601" spans="130:135" x14ac:dyDescent="0.2">
      <c r="DZ1601" s="5">
        <v>45992</v>
      </c>
      <c r="EA1601" s="13" t="s">
        <v>1251</v>
      </c>
      <c r="EB1601" s="13" t="s">
        <v>1341</v>
      </c>
      <c r="EC1601" s="13" t="s">
        <v>1142</v>
      </c>
      <c r="ED1601" s="11">
        <v>2400000</v>
      </c>
      <c r="EE1601" s="11"/>
    </row>
    <row r="1602" spans="130:135" x14ac:dyDescent="0.2">
      <c r="DZ1602" s="5">
        <v>45992</v>
      </c>
      <c r="EA1602" s="13" t="s">
        <v>1251</v>
      </c>
      <c r="EB1602" s="13" t="s">
        <v>1342</v>
      </c>
      <c r="EC1602" s="13" t="s">
        <v>1142</v>
      </c>
      <c r="ED1602" s="11">
        <v>6300000</v>
      </c>
      <c r="EE1602" s="11"/>
    </row>
    <row r="1603" spans="130:135" x14ac:dyDescent="0.2">
      <c r="DZ1603" s="5">
        <v>45992</v>
      </c>
      <c r="EA1603" s="13" t="s">
        <v>1250</v>
      </c>
      <c r="EB1603" s="13" t="s">
        <v>2205</v>
      </c>
      <c r="EC1603" s="13" t="s">
        <v>1138</v>
      </c>
      <c r="ED1603" s="11">
        <v>0</v>
      </c>
      <c r="EE1603" s="11"/>
    </row>
    <row r="1604" spans="130:135" x14ac:dyDescent="0.2">
      <c r="DZ1604" s="5">
        <v>45992</v>
      </c>
      <c r="EA1604" s="13" t="s">
        <v>1250</v>
      </c>
      <c r="EB1604" s="13" t="s">
        <v>1398</v>
      </c>
      <c r="EC1604" s="13" t="s">
        <v>1138</v>
      </c>
      <c r="ED1604" s="11">
        <v>10000000</v>
      </c>
      <c r="EE1604" s="11"/>
    </row>
    <row r="1605" spans="130:135" x14ac:dyDescent="0.2">
      <c r="DZ1605" s="5">
        <v>45992</v>
      </c>
      <c r="EA1605" s="13" t="s">
        <v>1250</v>
      </c>
      <c r="EB1605" s="13" t="s">
        <v>1357</v>
      </c>
      <c r="EC1605" s="13" t="s">
        <v>1110</v>
      </c>
      <c r="ED1605" s="11">
        <v>200000</v>
      </c>
      <c r="EE1605" s="11"/>
    </row>
    <row r="1606" spans="130:135" x14ac:dyDescent="0.2">
      <c r="DZ1606" s="5">
        <v>45992</v>
      </c>
      <c r="EA1606" s="13" t="s">
        <v>1250</v>
      </c>
      <c r="EB1606" s="13" t="s">
        <v>1356</v>
      </c>
      <c r="EC1606" s="13" t="s">
        <v>1110</v>
      </c>
      <c r="ED1606" s="11">
        <v>200000</v>
      </c>
      <c r="EE1606" s="11"/>
    </row>
    <row r="1607" spans="130:135" x14ac:dyDescent="0.2">
      <c r="DZ1607" s="5">
        <v>45992</v>
      </c>
      <c r="EA1607" s="13" t="s">
        <v>1250</v>
      </c>
      <c r="EB1607" s="13" t="s">
        <v>1358</v>
      </c>
      <c r="EC1607" s="13" t="s">
        <v>1110</v>
      </c>
      <c r="ED1607" s="11">
        <v>186666</v>
      </c>
      <c r="EE1607" s="11"/>
    </row>
    <row r="1608" spans="130:135" x14ac:dyDescent="0.2">
      <c r="DZ1608" s="5">
        <v>45992</v>
      </c>
      <c r="EA1608" s="13" t="s">
        <v>1251</v>
      </c>
      <c r="EB1608" s="13" t="s">
        <v>2305</v>
      </c>
      <c r="EC1608" s="13" t="s">
        <v>1187</v>
      </c>
      <c r="ED1608" s="11">
        <v>0</v>
      </c>
      <c r="EE1608" s="11"/>
    </row>
    <row r="1609" spans="130:135" x14ac:dyDescent="0.2">
      <c r="DZ1609" s="5">
        <v>45992</v>
      </c>
      <c r="EA1609" s="13" t="s">
        <v>1251</v>
      </c>
      <c r="EB1609" s="13" t="s">
        <v>2206</v>
      </c>
      <c r="EC1609" s="13" t="s">
        <v>1187</v>
      </c>
      <c r="ED1609" s="11">
        <v>0</v>
      </c>
      <c r="EE1609" s="11"/>
    </row>
    <row r="1610" spans="130:135" x14ac:dyDescent="0.2">
      <c r="DZ1610" s="5">
        <v>45992</v>
      </c>
      <c r="EA1610" s="13" t="s">
        <v>1251</v>
      </c>
      <c r="EB1610" s="13" t="s">
        <v>2319</v>
      </c>
      <c r="EC1610" s="13" t="s">
        <v>1187</v>
      </c>
      <c r="ED1610" s="11">
        <v>0</v>
      </c>
      <c r="EE1610" s="11"/>
    </row>
    <row r="1611" spans="130:135" x14ac:dyDescent="0.2">
      <c r="DZ1611" s="5">
        <v>45992</v>
      </c>
      <c r="EA1611" s="13" t="s">
        <v>1251</v>
      </c>
      <c r="EB1611" s="13" t="s">
        <v>1337</v>
      </c>
      <c r="EC1611" s="13" t="s">
        <v>1187</v>
      </c>
      <c r="ED1611" s="11">
        <v>200000</v>
      </c>
      <c r="EE1611" s="11"/>
    </row>
    <row r="1612" spans="130:135" x14ac:dyDescent="0.2">
      <c r="DZ1612" s="5">
        <v>45992</v>
      </c>
      <c r="EA1612" s="13" t="s">
        <v>1250</v>
      </c>
      <c r="EB1612" s="13" t="s">
        <v>1358</v>
      </c>
      <c r="EC1612" s="13" t="s">
        <v>1132</v>
      </c>
      <c r="ED1612" s="11">
        <v>338520</v>
      </c>
      <c r="EE1612" s="11"/>
    </row>
    <row r="1613" spans="130:135" x14ac:dyDescent="0.2">
      <c r="DZ1613" s="5">
        <v>45992</v>
      </c>
      <c r="EA1613" s="13" t="s">
        <v>1250</v>
      </c>
      <c r="EB1613" s="13" t="s">
        <v>1396</v>
      </c>
      <c r="EC1613" s="13" t="s">
        <v>1172</v>
      </c>
      <c r="ED1613" s="11">
        <v>0</v>
      </c>
      <c r="EE1613" s="11"/>
    </row>
    <row r="1614" spans="130:135" x14ac:dyDescent="0.2">
      <c r="DZ1614" s="5">
        <v>45992</v>
      </c>
      <c r="EA1614" s="13" t="s">
        <v>1250</v>
      </c>
      <c r="EB1614" s="13" t="s">
        <v>2288</v>
      </c>
      <c r="EC1614" s="13" t="s">
        <v>1172</v>
      </c>
      <c r="ED1614" s="11">
        <v>0</v>
      </c>
      <c r="EE1614" s="11"/>
    </row>
    <row r="1615" spans="130:135" x14ac:dyDescent="0.2">
      <c r="DZ1615" s="5">
        <v>45992</v>
      </c>
      <c r="EA1615" s="13" t="s">
        <v>1250</v>
      </c>
      <c r="EB1615" s="13" t="s">
        <v>1413</v>
      </c>
      <c r="EC1615" s="13" t="s">
        <v>1172</v>
      </c>
      <c r="ED1615" s="11">
        <v>396610</v>
      </c>
      <c r="EE1615" s="11"/>
    </row>
    <row r="1616" spans="130:135" x14ac:dyDescent="0.2">
      <c r="DZ1616" s="5">
        <v>45992</v>
      </c>
      <c r="EA1616" s="13" t="s">
        <v>1250</v>
      </c>
      <c r="EB1616" s="13" t="s">
        <v>2321</v>
      </c>
      <c r="EC1616" s="13" t="s">
        <v>1172</v>
      </c>
      <c r="ED1616" s="11">
        <v>0</v>
      </c>
      <c r="EE1616" s="11"/>
    </row>
    <row r="1617" spans="130:135" x14ac:dyDescent="0.2">
      <c r="DZ1617" s="5">
        <v>45992</v>
      </c>
      <c r="EA1617" s="13" t="s">
        <v>1250</v>
      </c>
      <c r="EB1617" s="13" t="s">
        <v>1391</v>
      </c>
      <c r="EC1617" s="13" t="s">
        <v>1172</v>
      </c>
      <c r="ED1617" s="11">
        <v>421520</v>
      </c>
      <c r="EE1617" s="11"/>
    </row>
    <row r="1618" spans="130:135" x14ac:dyDescent="0.2">
      <c r="DZ1618" s="5">
        <v>45992</v>
      </c>
      <c r="EA1618" s="13" t="s">
        <v>1250</v>
      </c>
      <c r="EB1618" s="13" t="s">
        <v>2211</v>
      </c>
      <c r="EC1618" s="13" t="s">
        <v>1172</v>
      </c>
      <c r="ED1618" s="11">
        <v>0</v>
      </c>
      <c r="EE1618" s="11"/>
    </row>
    <row r="1619" spans="130:135" x14ac:dyDescent="0.2">
      <c r="DZ1619" s="5">
        <v>45992</v>
      </c>
      <c r="EA1619" s="13" t="s">
        <v>1250</v>
      </c>
      <c r="EB1619" s="13" t="s">
        <v>2370</v>
      </c>
      <c r="EC1619" s="13" t="s">
        <v>1172</v>
      </c>
      <c r="ED1619" s="11">
        <v>131600</v>
      </c>
      <c r="EE1619" s="11"/>
    </row>
    <row r="1620" spans="130:135" x14ac:dyDescent="0.2">
      <c r="DZ1620" s="5">
        <v>45992</v>
      </c>
      <c r="EA1620" s="13" t="s">
        <v>1250</v>
      </c>
      <c r="EB1620" s="13" t="s">
        <v>2320</v>
      </c>
      <c r="EC1620" s="13" t="s">
        <v>1172</v>
      </c>
      <c r="ED1620" s="11">
        <v>0</v>
      </c>
      <c r="EE1620" s="11"/>
    </row>
    <row r="1621" spans="130:135" x14ac:dyDescent="0.2">
      <c r="DZ1621" s="5">
        <v>45992</v>
      </c>
      <c r="EA1621" s="13" t="s">
        <v>1250</v>
      </c>
      <c r="EB1621" s="13" t="s">
        <v>2210</v>
      </c>
      <c r="EC1621" s="13" t="s">
        <v>1172</v>
      </c>
      <c r="ED1621" s="11">
        <v>0</v>
      </c>
      <c r="EE1621" s="11"/>
    </row>
    <row r="1622" spans="130:135" x14ac:dyDescent="0.2">
      <c r="DZ1622" s="5">
        <v>45992</v>
      </c>
      <c r="EA1622" s="13" t="s">
        <v>1250</v>
      </c>
      <c r="EB1622" s="13" t="s">
        <v>1392</v>
      </c>
      <c r="EC1622" s="13" t="s">
        <v>1172</v>
      </c>
      <c r="ED1622" s="11">
        <v>0</v>
      </c>
      <c r="EE1622" s="11"/>
    </row>
    <row r="1623" spans="130:135" x14ac:dyDescent="0.2">
      <c r="DZ1623" s="5">
        <v>45992</v>
      </c>
      <c r="EA1623" s="13" t="s">
        <v>1250</v>
      </c>
      <c r="EB1623" s="13" t="s">
        <v>1362</v>
      </c>
      <c r="EC1623" s="13" t="s">
        <v>1172</v>
      </c>
      <c r="ED1623" s="11">
        <v>0</v>
      </c>
      <c r="EE1623" s="11"/>
    </row>
    <row r="1624" spans="130:135" x14ac:dyDescent="0.2">
      <c r="DZ1624" s="5">
        <v>45992</v>
      </c>
      <c r="EA1624" s="13" t="s">
        <v>1250</v>
      </c>
      <c r="EB1624" s="13" t="s">
        <v>2208</v>
      </c>
      <c r="EC1624" s="13" t="s">
        <v>1172</v>
      </c>
      <c r="ED1624" s="11">
        <v>0</v>
      </c>
      <c r="EE1624" s="11"/>
    </row>
    <row r="1625" spans="130:135" x14ac:dyDescent="0.2">
      <c r="DZ1625" s="5">
        <v>45992</v>
      </c>
      <c r="EA1625" s="13" t="s">
        <v>1250</v>
      </c>
      <c r="EB1625" s="13" t="s">
        <v>2207</v>
      </c>
      <c r="EC1625" s="13" t="s">
        <v>1172</v>
      </c>
      <c r="ED1625" s="11">
        <v>0</v>
      </c>
      <c r="EE1625" s="11"/>
    </row>
    <row r="1626" spans="130:135" x14ac:dyDescent="0.2">
      <c r="DZ1626" s="5">
        <v>45992</v>
      </c>
      <c r="EA1626" s="13" t="s">
        <v>1250</v>
      </c>
      <c r="EB1626" s="13" t="s">
        <v>2371</v>
      </c>
      <c r="EC1626" s="13" t="s">
        <v>1172</v>
      </c>
      <c r="ED1626" s="11">
        <v>8124</v>
      </c>
      <c r="EE1626" s="11"/>
    </row>
    <row r="1627" spans="130:135" x14ac:dyDescent="0.2">
      <c r="DZ1627" s="5">
        <v>45992</v>
      </c>
      <c r="EA1627" s="13" t="s">
        <v>1250</v>
      </c>
      <c r="EB1627" s="13" t="s">
        <v>2277</v>
      </c>
      <c r="EC1627" s="13" t="s">
        <v>1172</v>
      </c>
      <c r="ED1627" s="11">
        <v>0</v>
      </c>
      <c r="EE1627" s="11"/>
    </row>
    <row r="1628" spans="130:135" x14ac:dyDescent="0.2">
      <c r="DZ1628" s="5">
        <v>45992</v>
      </c>
      <c r="EA1628" s="13" t="s">
        <v>1250</v>
      </c>
      <c r="EB1628" s="13" t="s">
        <v>2209</v>
      </c>
      <c r="EC1628" s="13" t="s">
        <v>1172</v>
      </c>
      <c r="ED1628" s="11">
        <v>0</v>
      </c>
      <c r="EE1628" s="11"/>
    </row>
    <row r="1629" spans="130:135" x14ac:dyDescent="0.2">
      <c r="DZ1629" s="5">
        <v>45992</v>
      </c>
      <c r="EA1629" s="13" t="s">
        <v>1250</v>
      </c>
      <c r="EB1629" s="13" t="s">
        <v>2322</v>
      </c>
      <c r="EC1629" s="13" t="s">
        <v>1172</v>
      </c>
      <c r="ED1629" s="11">
        <v>0</v>
      </c>
      <c r="EE1629" s="11"/>
    </row>
    <row r="1630" spans="130:135" x14ac:dyDescent="0.2">
      <c r="DZ1630" s="5">
        <v>45992</v>
      </c>
      <c r="EA1630" s="13" t="s">
        <v>1250</v>
      </c>
      <c r="EB1630" s="13" t="s">
        <v>1414</v>
      </c>
      <c r="EC1630" s="13" t="s">
        <v>1172</v>
      </c>
      <c r="ED1630" s="11">
        <v>243970</v>
      </c>
      <c r="EE1630" s="11"/>
    </row>
    <row r="1631" spans="130:135" x14ac:dyDescent="0.2">
      <c r="DZ1631" s="5">
        <v>45992</v>
      </c>
      <c r="EA1631" s="13" t="s">
        <v>1250</v>
      </c>
      <c r="EB1631" s="13" t="s">
        <v>1358</v>
      </c>
      <c r="EC1631" s="13" t="s">
        <v>1054</v>
      </c>
      <c r="ED1631" s="11">
        <v>524778</v>
      </c>
      <c r="EE1631" s="11"/>
    </row>
    <row r="1632" spans="130:135" x14ac:dyDescent="0.2">
      <c r="DZ1632" s="5">
        <v>45992</v>
      </c>
      <c r="EA1632" s="13" t="s">
        <v>1250</v>
      </c>
      <c r="EB1632" s="13" t="s">
        <v>1357</v>
      </c>
      <c r="EC1632" s="13" t="s">
        <v>1054</v>
      </c>
      <c r="ED1632" s="11">
        <v>1623888</v>
      </c>
      <c r="EE1632" s="11"/>
    </row>
    <row r="1633" spans="130:135" x14ac:dyDescent="0.2">
      <c r="DZ1633" s="5">
        <v>45992</v>
      </c>
      <c r="EA1633" s="13" t="s">
        <v>1250</v>
      </c>
      <c r="EB1633" s="13" t="s">
        <v>1356</v>
      </c>
      <c r="EC1633" s="13" t="s">
        <v>1054</v>
      </c>
      <c r="ED1633" s="11">
        <v>1623888</v>
      </c>
      <c r="EE1633" s="11"/>
    </row>
    <row r="1634" spans="130:135" x14ac:dyDescent="0.2">
      <c r="DZ1634" s="5">
        <v>45992</v>
      </c>
      <c r="EA1634" s="13" t="s">
        <v>1251</v>
      </c>
      <c r="EB1634" s="13" t="s">
        <v>2206</v>
      </c>
      <c r="EC1634" s="13" t="s">
        <v>1054</v>
      </c>
      <c r="ED1634" s="11">
        <v>0</v>
      </c>
      <c r="EE1634" s="11"/>
    </row>
    <row r="1635" spans="130:135" x14ac:dyDescent="0.2">
      <c r="DZ1635" s="5">
        <v>45992</v>
      </c>
      <c r="EA1635" s="13" t="s">
        <v>1251</v>
      </c>
      <c r="EB1635" s="13" t="s">
        <v>2212</v>
      </c>
      <c r="EC1635" s="13" t="s">
        <v>1054</v>
      </c>
      <c r="ED1635" s="11">
        <v>0</v>
      </c>
      <c r="EE1635" s="11"/>
    </row>
    <row r="1636" spans="130:135" x14ac:dyDescent="0.2">
      <c r="DZ1636" s="5">
        <v>45992</v>
      </c>
      <c r="EA1636" s="13" t="s">
        <v>1251</v>
      </c>
      <c r="EB1636" s="13" t="s">
        <v>2319</v>
      </c>
      <c r="EC1636" s="13" t="s">
        <v>1054</v>
      </c>
      <c r="ED1636" s="11">
        <v>0</v>
      </c>
      <c r="EE1636" s="11"/>
    </row>
    <row r="1637" spans="130:135" x14ac:dyDescent="0.2">
      <c r="DZ1637" s="5">
        <v>45992</v>
      </c>
      <c r="EA1637" s="13" t="s">
        <v>1251</v>
      </c>
      <c r="EB1637" s="13" t="s">
        <v>1337</v>
      </c>
      <c r="EC1637" s="13" t="s">
        <v>1054</v>
      </c>
      <c r="ED1637" s="11">
        <v>175879</v>
      </c>
      <c r="EE1637" s="11"/>
    </row>
    <row r="1638" spans="130:135" x14ac:dyDescent="0.2">
      <c r="DZ1638" s="5">
        <v>45992</v>
      </c>
      <c r="EA1638" s="13" t="s">
        <v>1251</v>
      </c>
      <c r="EB1638" s="13" t="s">
        <v>2305</v>
      </c>
      <c r="EC1638" s="13" t="s">
        <v>1054</v>
      </c>
      <c r="ED1638" s="11">
        <v>0</v>
      </c>
      <c r="EE1638" s="11"/>
    </row>
    <row r="1639" spans="130:135" x14ac:dyDescent="0.2">
      <c r="DZ1639" s="5">
        <v>45992</v>
      </c>
      <c r="EA1639" s="13" t="s">
        <v>1251</v>
      </c>
      <c r="EB1639" s="13" t="s">
        <v>2212</v>
      </c>
      <c r="EC1639" s="13" t="s">
        <v>1166</v>
      </c>
      <c r="ED1639" s="11"/>
      <c r="EE1639" s="11">
        <v>0</v>
      </c>
    </row>
    <row r="1640" spans="130:135" x14ac:dyDescent="0.2">
      <c r="DZ1640" s="5">
        <v>45992</v>
      </c>
      <c r="EA1640" s="13" t="s">
        <v>1252</v>
      </c>
      <c r="EB1640" s="13" t="s">
        <v>1355</v>
      </c>
      <c r="EC1640" s="13" t="s">
        <v>1166</v>
      </c>
      <c r="ED1640" s="11">
        <v>0</v>
      </c>
      <c r="EE1640" s="11"/>
    </row>
    <row r="1641" spans="130:135" x14ac:dyDescent="0.2">
      <c r="DZ1641" s="5">
        <v>45992</v>
      </c>
      <c r="EA1641" s="13" t="s">
        <v>1252</v>
      </c>
      <c r="EB1641" s="13" t="s">
        <v>1371</v>
      </c>
      <c r="EC1641" s="13" t="s">
        <v>1166</v>
      </c>
      <c r="ED1641" s="11">
        <v>0</v>
      </c>
      <c r="EE1641" s="11"/>
    </row>
    <row r="1642" spans="130:135" x14ac:dyDescent="0.2">
      <c r="DZ1642" s="5">
        <v>45992</v>
      </c>
      <c r="EA1642" s="13" t="s">
        <v>1251</v>
      </c>
      <c r="EB1642" s="13" t="s">
        <v>1355</v>
      </c>
      <c r="EC1642" s="13" t="s">
        <v>1166</v>
      </c>
      <c r="ED1642" s="11"/>
      <c r="EE1642" s="11">
        <v>1489960</v>
      </c>
    </row>
    <row r="1643" spans="130:135" x14ac:dyDescent="0.2">
      <c r="DZ1643" s="5">
        <v>45992</v>
      </c>
      <c r="EA1643" s="13" t="s">
        <v>1251</v>
      </c>
      <c r="EB1643" s="13" t="s">
        <v>2305</v>
      </c>
      <c r="EC1643" s="13" t="s">
        <v>1166</v>
      </c>
      <c r="ED1643" s="11"/>
      <c r="EE1643" s="11">
        <v>0</v>
      </c>
    </row>
    <row r="1644" spans="130:135" x14ac:dyDescent="0.2">
      <c r="DZ1644" s="5">
        <v>45992</v>
      </c>
      <c r="EA1644" s="13" t="s">
        <v>1251</v>
      </c>
      <c r="EB1644" s="13" t="s">
        <v>2319</v>
      </c>
      <c r="EC1644" s="13" t="s">
        <v>1166</v>
      </c>
      <c r="ED1644" s="11"/>
      <c r="EE1644" s="11">
        <v>0</v>
      </c>
    </row>
    <row r="1645" spans="130:135" x14ac:dyDescent="0.2">
      <c r="DZ1645" s="5">
        <v>45992</v>
      </c>
      <c r="EA1645" s="13" t="s">
        <v>1251</v>
      </c>
      <c r="EB1645" s="13" t="s">
        <v>1337</v>
      </c>
      <c r="EC1645" s="13" t="s">
        <v>1166</v>
      </c>
      <c r="ED1645" s="11"/>
      <c r="EE1645" s="11">
        <v>372000</v>
      </c>
    </row>
    <row r="1646" spans="130:135" x14ac:dyDescent="0.2">
      <c r="DZ1646" s="5">
        <v>45992</v>
      </c>
      <c r="EA1646" s="13" t="s">
        <v>1251</v>
      </c>
      <c r="EB1646" s="13" t="s">
        <v>2214</v>
      </c>
      <c r="EC1646" s="13" t="s">
        <v>1166</v>
      </c>
      <c r="ED1646" s="11"/>
      <c r="EE1646" s="11">
        <v>0</v>
      </c>
    </row>
    <row r="1647" spans="130:135" x14ac:dyDescent="0.2">
      <c r="DZ1647" s="5">
        <v>45992</v>
      </c>
      <c r="EA1647" s="13" t="s">
        <v>1251</v>
      </c>
      <c r="EB1647" s="13" t="s">
        <v>1351</v>
      </c>
      <c r="EC1647" s="13" t="s">
        <v>1166</v>
      </c>
      <c r="ED1647" s="11"/>
      <c r="EE1647" s="11">
        <v>453495</v>
      </c>
    </row>
    <row r="1648" spans="130:135" x14ac:dyDescent="0.2">
      <c r="DZ1648" s="5">
        <v>45992</v>
      </c>
      <c r="EA1648" s="13" t="s">
        <v>1251</v>
      </c>
      <c r="EB1648" s="13" t="s">
        <v>2213</v>
      </c>
      <c r="EC1648" s="13" t="s">
        <v>1166</v>
      </c>
      <c r="ED1648" s="11"/>
      <c r="EE1648" s="11">
        <v>0</v>
      </c>
    </row>
    <row r="1649" spans="130:135" x14ac:dyDescent="0.2">
      <c r="DZ1649" s="5">
        <v>45992</v>
      </c>
      <c r="EA1649" s="13" t="s">
        <v>1252</v>
      </c>
      <c r="EB1649" s="13" t="s">
        <v>2361</v>
      </c>
      <c r="EC1649" s="13" t="s">
        <v>1224</v>
      </c>
      <c r="ED1649" s="11">
        <v>0</v>
      </c>
      <c r="EE1649" s="11"/>
    </row>
    <row r="1650" spans="130:135" x14ac:dyDescent="0.2">
      <c r="DZ1650" s="5">
        <v>45992</v>
      </c>
      <c r="EA1650" s="13" t="s">
        <v>1252</v>
      </c>
      <c r="EB1650" s="13" t="s">
        <v>2358</v>
      </c>
      <c r="EC1650" s="13" t="s">
        <v>1224</v>
      </c>
      <c r="ED1650" s="11">
        <v>0</v>
      </c>
      <c r="EE1650" s="11"/>
    </row>
    <row r="1651" spans="130:135" x14ac:dyDescent="0.2">
      <c r="DZ1651" s="5">
        <v>45992</v>
      </c>
      <c r="EA1651" s="13" t="s">
        <v>1252</v>
      </c>
      <c r="EB1651" s="13" t="s">
        <v>2274</v>
      </c>
      <c r="EC1651" s="13" t="s">
        <v>1224</v>
      </c>
      <c r="ED1651" s="11">
        <v>0</v>
      </c>
      <c r="EE1651" s="11"/>
    </row>
    <row r="1652" spans="130:135" x14ac:dyDescent="0.2">
      <c r="DZ1652" s="5">
        <v>45992</v>
      </c>
      <c r="EA1652" s="13" t="s">
        <v>1252</v>
      </c>
      <c r="EB1652" s="13" t="s">
        <v>2228</v>
      </c>
      <c r="EC1652" s="13" t="s">
        <v>1224</v>
      </c>
      <c r="ED1652" s="11">
        <v>0</v>
      </c>
      <c r="EE1652" s="11"/>
    </row>
    <row r="1653" spans="130:135" x14ac:dyDescent="0.2">
      <c r="DZ1653" s="5">
        <v>45992</v>
      </c>
      <c r="EA1653" s="13" t="s">
        <v>1252</v>
      </c>
      <c r="EB1653" s="13" t="s">
        <v>2237</v>
      </c>
      <c r="EC1653" s="13" t="s">
        <v>1224</v>
      </c>
      <c r="ED1653" s="11">
        <v>0</v>
      </c>
      <c r="EE1653" s="11"/>
    </row>
    <row r="1654" spans="130:135" x14ac:dyDescent="0.2">
      <c r="DZ1654" s="5">
        <v>45992</v>
      </c>
      <c r="EA1654" s="13" t="s">
        <v>1252</v>
      </c>
      <c r="EB1654" s="13" t="s">
        <v>2220</v>
      </c>
      <c r="EC1654" s="13" t="s">
        <v>1224</v>
      </c>
      <c r="ED1654" s="11">
        <v>0</v>
      </c>
      <c r="EE1654" s="11"/>
    </row>
    <row r="1655" spans="130:135" x14ac:dyDescent="0.2">
      <c r="DZ1655" s="5">
        <v>45992</v>
      </c>
      <c r="EA1655" s="13" t="s">
        <v>1252</v>
      </c>
      <c r="EB1655" s="13" t="s">
        <v>2248</v>
      </c>
      <c r="EC1655" s="13" t="s">
        <v>1224</v>
      </c>
      <c r="ED1655" s="11">
        <v>0</v>
      </c>
      <c r="EE1655" s="11"/>
    </row>
    <row r="1656" spans="130:135" x14ac:dyDescent="0.2">
      <c r="DZ1656" s="5">
        <v>45992</v>
      </c>
      <c r="EA1656" s="13" t="s">
        <v>1252</v>
      </c>
      <c r="EB1656" s="13" t="s">
        <v>2333</v>
      </c>
      <c r="EC1656" s="13" t="s">
        <v>1224</v>
      </c>
      <c r="ED1656" s="11">
        <v>0</v>
      </c>
      <c r="EE1656" s="11"/>
    </row>
    <row r="1657" spans="130:135" x14ac:dyDescent="0.2">
      <c r="DZ1657" s="5">
        <v>45992</v>
      </c>
      <c r="EA1657" s="13" t="s">
        <v>1252</v>
      </c>
      <c r="EB1657" s="13" t="s">
        <v>2331</v>
      </c>
      <c r="EC1657" s="13" t="s">
        <v>1224</v>
      </c>
      <c r="ED1657" s="11">
        <v>0</v>
      </c>
      <c r="EE1657" s="11"/>
    </row>
    <row r="1658" spans="130:135" x14ac:dyDescent="0.2">
      <c r="DZ1658" s="5">
        <v>45992</v>
      </c>
      <c r="EA1658" s="13" t="s">
        <v>1252</v>
      </c>
      <c r="EB1658" s="13" t="s">
        <v>2330</v>
      </c>
      <c r="EC1658" s="13" t="s">
        <v>1224</v>
      </c>
      <c r="ED1658" s="11">
        <v>0</v>
      </c>
      <c r="EE1658" s="11"/>
    </row>
    <row r="1659" spans="130:135" x14ac:dyDescent="0.2">
      <c r="DZ1659" s="5">
        <v>45992</v>
      </c>
      <c r="EA1659" s="13" t="s">
        <v>1252</v>
      </c>
      <c r="EB1659" s="13" t="s">
        <v>2308</v>
      </c>
      <c r="EC1659" s="13" t="s">
        <v>1224</v>
      </c>
      <c r="ED1659" s="11">
        <v>0</v>
      </c>
      <c r="EE1659" s="11"/>
    </row>
    <row r="1660" spans="130:135" x14ac:dyDescent="0.2">
      <c r="DZ1660" s="5">
        <v>45992</v>
      </c>
      <c r="EA1660" s="13" t="s">
        <v>1252</v>
      </c>
      <c r="EB1660" s="13" t="s">
        <v>2245</v>
      </c>
      <c r="EC1660" s="13" t="s">
        <v>1224</v>
      </c>
      <c r="ED1660" s="11">
        <v>0</v>
      </c>
      <c r="EE1660" s="11"/>
    </row>
    <row r="1661" spans="130:135" x14ac:dyDescent="0.2">
      <c r="DZ1661" s="5">
        <v>45992</v>
      </c>
      <c r="EA1661" s="13" t="s">
        <v>1252</v>
      </c>
      <c r="EB1661" s="13" t="s">
        <v>2372</v>
      </c>
      <c r="EC1661" s="13" t="s">
        <v>1224</v>
      </c>
      <c r="ED1661" s="11">
        <v>211764.71</v>
      </c>
      <c r="EE1661" s="11"/>
    </row>
    <row r="1662" spans="130:135" x14ac:dyDescent="0.2">
      <c r="DZ1662" s="5">
        <v>45992</v>
      </c>
      <c r="EA1662" s="13" t="s">
        <v>1252</v>
      </c>
      <c r="EB1662" s="13" t="s">
        <v>2373</v>
      </c>
      <c r="EC1662" s="13" t="s">
        <v>1224</v>
      </c>
      <c r="ED1662" s="11">
        <v>75630.25</v>
      </c>
      <c r="EE1662" s="11"/>
    </row>
    <row r="1663" spans="130:135" x14ac:dyDescent="0.2">
      <c r="DZ1663" s="5">
        <v>45992</v>
      </c>
      <c r="EA1663" s="13" t="s">
        <v>1252</v>
      </c>
      <c r="EB1663" s="13" t="s">
        <v>2374</v>
      </c>
      <c r="EC1663" s="13" t="s">
        <v>1224</v>
      </c>
      <c r="ED1663" s="11">
        <v>129831.94</v>
      </c>
      <c r="EE1663" s="11"/>
    </row>
    <row r="1664" spans="130:135" x14ac:dyDescent="0.2">
      <c r="DZ1664" s="5">
        <v>45992</v>
      </c>
      <c r="EA1664" s="13" t="s">
        <v>1252</v>
      </c>
      <c r="EB1664" s="13" t="s">
        <v>2348</v>
      </c>
      <c r="EC1664" s="13" t="s">
        <v>1224</v>
      </c>
      <c r="ED1664" s="11">
        <v>0</v>
      </c>
      <c r="EE1664" s="11"/>
    </row>
    <row r="1665" spans="130:135" x14ac:dyDescent="0.2">
      <c r="DZ1665" s="5">
        <v>45992</v>
      </c>
      <c r="EA1665" s="13" t="s">
        <v>1252</v>
      </c>
      <c r="EB1665" s="13" t="s">
        <v>2307</v>
      </c>
      <c r="EC1665" s="13" t="s">
        <v>1224</v>
      </c>
      <c r="ED1665" s="11">
        <v>0</v>
      </c>
      <c r="EE1665" s="11"/>
    </row>
    <row r="1666" spans="130:135" x14ac:dyDescent="0.2">
      <c r="DZ1666" s="5">
        <v>45992</v>
      </c>
      <c r="EA1666" s="13" t="s">
        <v>1252</v>
      </c>
      <c r="EB1666" s="13" t="s">
        <v>2360</v>
      </c>
      <c r="EC1666" s="13" t="s">
        <v>1224</v>
      </c>
      <c r="ED1666" s="11">
        <v>0</v>
      </c>
      <c r="EE1666" s="11"/>
    </row>
    <row r="1667" spans="130:135" x14ac:dyDescent="0.2">
      <c r="DZ1667" s="5">
        <v>45992</v>
      </c>
      <c r="EA1667" s="13" t="s">
        <v>1252</v>
      </c>
      <c r="EB1667" s="13" t="s">
        <v>2268</v>
      </c>
      <c r="EC1667" s="13" t="s">
        <v>1224</v>
      </c>
      <c r="ED1667" s="11">
        <v>0</v>
      </c>
      <c r="EE1667" s="11"/>
    </row>
    <row r="1668" spans="130:135" x14ac:dyDescent="0.2">
      <c r="DZ1668" s="5">
        <v>45992</v>
      </c>
      <c r="EA1668" s="13" t="s">
        <v>1252</v>
      </c>
      <c r="EB1668" s="13" t="s">
        <v>2230</v>
      </c>
      <c r="EC1668" s="13" t="s">
        <v>1224</v>
      </c>
      <c r="ED1668" s="11">
        <v>0</v>
      </c>
      <c r="EE1668" s="11"/>
    </row>
    <row r="1669" spans="130:135" x14ac:dyDescent="0.2">
      <c r="DZ1669" s="5">
        <v>45992</v>
      </c>
      <c r="EA1669" s="13" t="s">
        <v>1252</v>
      </c>
      <c r="EB1669" s="13" t="s">
        <v>2375</v>
      </c>
      <c r="EC1669" s="13" t="s">
        <v>1224</v>
      </c>
      <c r="ED1669" s="11">
        <v>172689.07</v>
      </c>
      <c r="EE1669" s="11"/>
    </row>
    <row r="1670" spans="130:135" x14ac:dyDescent="0.2">
      <c r="DZ1670" s="5">
        <v>45992</v>
      </c>
      <c r="EA1670" s="13" t="s">
        <v>1252</v>
      </c>
      <c r="EB1670" s="13" t="s">
        <v>2359</v>
      </c>
      <c r="EC1670" s="13" t="s">
        <v>1224</v>
      </c>
      <c r="ED1670" s="11">
        <v>0</v>
      </c>
      <c r="EE1670" s="11"/>
    </row>
    <row r="1671" spans="130:135" x14ac:dyDescent="0.2">
      <c r="DZ1671" s="5">
        <v>45992</v>
      </c>
      <c r="EA1671" s="13" t="s">
        <v>1252</v>
      </c>
      <c r="EB1671" s="13" t="s">
        <v>2240</v>
      </c>
      <c r="EC1671" s="13" t="s">
        <v>1224</v>
      </c>
      <c r="ED1671" s="11">
        <v>0</v>
      </c>
      <c r="EE1671" s="11"/>
    </row>
    <row r="1672" spans="130:135" x14ac:dyDescent="0.2">
      <c r="DZ1672" s="5">
        <v>45992</v>
      </c>
      <c r="EA1672" s="13" t="s">
        <v>1252</v>
      </c>
      <c r="EB1672" s="13" t="s">
        <v>2355</v>
      </c>
      <c r="EC1672" s="13" t="s">
        <v>1224</v>
      </c>
      <c r="ED1672" s="11">
        <v>0</v>
      </c>
      <c r="EE1672" s="11"/>
    </row>
    <row r="1673" spans="130:135" x14ac:dyDescent="0.2">
      <c r="DZ1673" s="5">
        <v>45992</v>
      </c>
      <c r="EA1673" s="13" t="s">
        <v>1252</v>
      </c>
      <c r="EB1673" s="13" t="s">
        <v>2346</v>
      </c>
      <c r="EC1673" s="13" t="s">
        <v>1224</v>
      </c>
      <c r="ED1673" s="11">
        <v>0</v>
      </c>
      <c r="EE1673" s="11"/>
    </row>
    <row r="1674" spans="130:135" x14ac:dyDescent="0.2">
      <c r="DZ1674" s="5">
        <v>45992</v>
      </c>
      <c r="EA1674" s="13" t="s">
        <v>1252</v>
      </c>
      <c r="EB1674" s="13" t="s">
        <v>2309</v>
      </c>
      <c r="EC1674" s="13" t="s">
        <v>1224</v>
      </c>
      <c r="ED1674" s="11">
        <v>0</v>
      </c>
      <c r="EE1674" s="11"/>
    </row>
    <row r="1675" spans="130:135" x14ac:dyDescent="0.2">
      <c r="DZ1675" s="5">
        <v>45992</v>
      </c>
      <c r="EA1675" s="13" t="s">
        <v>1252</v>
      </c>
      <c r="EB1675" s="13" t="s">
        <v>2347</v>
      </c>
      <c r="EC1675" s="13" t="s">
        <v>1224</v>
      </c>
      <c r="ED1675" s="11">
        <v>0</v>
      </c>
      <c r="EE1675" s="11"/>
    </row>
    <row r="1676" spans="130:135" x14ac:dyDescent="0.2">
      <c r="DZ1676" s="5">
        <v>45992</v>
      </c>
      <c r="EA1676" s="13" t="s">
        <v>1252</v>
      </c>
      <c r="EB1676" s="13" t="s">
        <v>2364</v>
      </c>
      <c r="EC1676" s="13" t="s">
        <v>1224</v>
      </c>
      <c r="ED1676" s="11">
        <v>0</v>
      </c>
      <c r="EE1676" s="11"/>
    </row>
    <row r="1677" spans="130:135" x14ac:dyDescent="0.2">
      <c r="DZ1677" s="5">
        <v>45992</v>
      </c>
      <c r="EA1677" s="13" t="s">
        <v>1252</v>
      </c>
      <c r="EB1677" s="13" t="s">
        <v>2249</v>
      </c>
      <c r="EC1677" s="13" t="s">
        <v>1224</v>
      </c>
      <c r="ED1677" s="11">
        <v>0</v>
      </c>
      <c r="EE1677" s="11"/>
    </row>
    <row r="1678" spans="130:135" x14ac:dyDescent="0.2">
      <c r="DZ1678" s="5">
        <v>45992</v>
      </c>
      <c r="EA1678" s="13" t="s">
        <v>1252</v>
      </c>
      <c r="EB1678" s="13" t="s">
        <v>2376</v>
      </c>
      <c r="EC1678" s="13" t="s">
        <v>1224</v>
      </c>
      <c r="ED1678" s="11">
        <v>73109.240000000005</v>
      </c>
      <c r="EE1678" s="11"/>
    </row>
    <row r="1679" spans="130:135" x14ac:dyDescent="0.2">
      <c r="DZ1679" s="5">
        <v>45992</v>
      </c>
      <c r="EA1679" s="13" t="s">
        <v>1252</v>
      </c>
      <c r="EB1679" s="13" t="s">
        <v>2295</v>
      </c>
      <c r="EC1679" s="13" t="s">
        <v>1224</v>
      </c>
      <c r="ED1679" s="11">
        <v>0</v>
      </c>
      <c r="EE1679" s="11"/>
    </row>
    <row r="1680" spans="130:135" x14ac:dyDescent="0.2">
      <c r="DZ1680" s="5">
        <v>45992</v>
      </c>
      <c r="EA1680" s="13" t="s">
        <v>1252</v>
      </c>
      <c r="EB1680" s="13" t="s">
        <v>2343</v>
      </c>
      <c r="EC1680" s="13" t="s">
        <v>1224</v>
      </c>
      <c r="ED1680" s="11">
        <v>0</v>
      </c>
      <c r="EE1680" s="11"/>
    </row>
    <row r="1681" spans="130:135" x14ac:dyDescent="0.2">
      <c r="DZ1681" s="5">
        <v>45992</v>
      </c>
      <c r="EA1681" s="13" t="s">
        <v>1252</v>
      </c>
      <c r="EB1681" s="13" t="s">
        <v>2257</v>
      </c>
      <c r="EC1681" s="13" t="s">
        <v>1224</v>
      </c>
      <c r="ED1681" s="11">
        <v>0</v>
      </c>
      <c r="EE1681" s="11"/>
    </row>
    <row r="1682" spans="130:135" x14ac:dyDescent="0.2">
      <c r="DZ1682" s="5">
        <v>45992</v>
      </c>
      <c r="EA1682" s="13" t="s">
        <v>1252</v>
      </c>
      <c r="EB1682" s="13" t="s">
        <v>2297</v>
      </c>
      <c r="EC1682" s="13" t="s">
        <v>1224</v>
      </c>
      <c r="ED1682" s="11">
        <v>0</v>
      </c>
      <c r="EE1682" s="11"/>
    </row>
    <row r="1683" spans="130:135" x14ac:dyDescent="0.2">
      <c r="DZ1683" s="5">
        <v>45992</v>
      </c>
      <c r="EA1683" s="13" t="s">
        <v>1252</v>
      </c>
      <c r="EB1683" s="13" t="s">
        <v>2377</v>
      </c>
      <c r="EC1683" s="13" t="s">
        <v>1224</v>
      </c>
      <c r="ED1683" s="11">
        <v>26050.44</v>
      </c>
      <c r="EE1683" s="11"/>
    </row>
    <row r="1684" spans="130:135" x14ac:dyDescent="0.2">
      <c r="DZ1684" s="5">
        <v>45992</v>
      </c>
      <c r="EA1684" s="13" t="s">
        <v>1252</v>
      </c>
      <c r="EB1684" s="13" t="s">
        <v>2311</v>
      </c>
      <c r="EC1684" s="13" t="s">
        <v>1224</v>
      </c>
      <c r="ED1684" s="11">
        <v>0</v>
      </c>
      <c r="EE1684" s="11"/>
    </row>
    <row r="1685" spans="130:135" x14ac:dyDescent="0.2">
      <c r="DZ1685" s="5">
        <v>45992</v>
      </c>
      <c r="EA1685" s="13" t="s">
        <v>1252</v>
      </c>
      <c r="EB1685" s="13" t="s">
        <v>2251</v>
      </c>
      <c r="EC1685" s="13" t="s">
        <v>1224</v>
      </c>
      <c r="ED1685" s="11">
        <v>0</v>
      </c>
      <c r="EE1685" s="11"/>
    </row>
    <row r="1686" spans="130:135" x14ac:dyDescent="0.2">
      <c r="DZ1686" s="5">
        <v>45992</v>
      </c>
      <c r="EA1686" s="13" t="s">
        <v>1252</v>
      </c>
      <c r="EB1686" s="13" t="s">
        <v>2351</v>
      </c>
      <c r="EC1686" s="13" t="s">
        <v>1224</v>
      </c>
      <c r="ED1686" s="11">
        <v>0</v>
      </c>
      <c r="EE1686" s="11"/>
    </row>
    <row r="1687" spans="130:135" x14ac:dyDescent="0.2">
      <c r="DZ1687" s="5">
        <v>45992</v>
      </c>
      <c r="EA1687" s="13" t="s">
        <v>1252</v>
      </c>
      <c r="EB1687" s="13" t="s">
        <v>2352</v>
      </c>
      <c r="EC1687" s="13" t="s">
        <v>1224</v>
      </c>
      <c r="ED1687" s="11">
        <v>0</v>
      </c>
      <c r="EE1687" s="11"/>
    </row>
    <row r="1688" spans="130:135" x14ac:dyDescent="0.2">
      <c r="DZ1688" s="5">
        <v>45992</v>
      </c>
      <c r="EA1688" s="13" t="s">
        <v>1252</v>
      </c>
      <c r="EB1688" s="13" t="s">
        <v>2328</v>
      </c>
      <c r="EC1688" s="13" t="s">
        <v>1224</v>
      </c>
      <c r="ED1688" s="11">
        <v>0</v>
      </c>
      <c r="EE1688" s="11"/>
    </row>
    <row r="1689" spans="130:135" x14ac:dyDescent="0.2">
      <c r="DZ1689" s="5">
        <v>45992</v>
      </c>
      <c r="EA1689" s="13" t="s">
        <v>1252</v>
      </c>
      <c r="EB1689" s="13" t="s">
        <v>2378</v>
      </c>
      <c r="EC1689" s="13" t="s">
        <v>1224</v>
      </c>
      <c r="ED1689" s="11">
        <v>452521</v>
      </c>
      <c r="EE1689" s="11"/>
    </row>
    <row r="1690" spans="130:135" x14ac:dyDescent="0.2">
      <c r="DZ1690" s="5">
        <v>45992</v>
      </c>
      <c r="EA1690" s="13" t="s">
        <v>1252</v>
      </c>
      <c r="EB1690" s="13" t="s">
        <v>2246</v>
      </c>
      <c r="EC1690" s="13" t="s">
        <v>1224</v>
      </c>
      <c r="ED1690" s="11">
        <v>0</v>
      </c>
      <c r="EE1690" s="11"/>
    </row>
    <row r="1691" spans="130:135" x14ac:dyDescent="0.2">
      <c r="DZ1691" s="5">
        <v>45992</v>
      </c>
      <c r="EA1691" s="13" t="s">
        <v>1252</v>
      </c>
      <c r="EB1691" s="13" t="s">
        <v>2224</v>
      </c>
      <c r="EC1691" s="13" t="s">
        <v>1224</v>
      </c>
      <c r="ED1691" s="11">
        <v>0</v>
      </c>
      <c r="EE1691" s="11"/>
    </row>
    <row r="1692" spans="130:135" x14ac:dyDescent="0.2">
      <c r="DZ1692" s="5">
        <v>45992</v>
      </c>
      <c r="EA1692" s="13" t="s">
        <v>1252</v>
      </c>
      <c r="EB1692" s="13" t="s">
        <v>2254</v>
      </c>
      <c r="EC1692" s="13" t="s">
        <v>1224</v>
      </c>
      <c r="ED1692" s="11">
        <v>0</v>
      </c>
      <c r="EE1692" s="11"/>
    </row>
    <row r="1693" spans="130:135" x14ac:dyDescent="0.2">
      <c r="DZ1693" s="5">
        <v>45992</v>
      </c>
      <c r="EA1693" s="13" t="s">
        <v>1252</v>
      </c>
      <c r="EB1693" s="13" t="s">
        <v>2379</v>
      </c>
      <c r="EC1693" s="13" t="s">
        <v>1224</v>
      </c>
      <c r="ED1693" s="11">
        <v>132352.95000000001</v>
      </c>
      <c r="EE1693" s="11"/>
    </row>
    <row r="1694" spans="130:135" x14ac:dyDescent="0.2">
      <c r="DZ1694" s="5">
        <v>45992</v>
      </c>
      <c r="EA1694" s="13" t="s">
        <v>1252</v>
      </c>
      <c r="EB1694" s="13" t="s">
        <v>2229</v>
      </c>
      <c r="EC1694" s="13" t="s">
        <v>1224</v>
      </c>
      <c r="ED1694" s="11">
        <v>0</v>
      </c>
      <c r="EE1694" s="11"/>
    </row>
    <row r="1695" spans="130:135" x14ac:dyDescent="0.2">
      <c r="DZ1695" s="5">
        <v>45992</v>
      </c>
      <c r="EA1695" s="13" t="s">
        <v>1252</v>
      </c>
      <c r="EB1695" s="13" t="s">
        <v>2222</v>
      </c>
      <c r="EC1695" s="13" t="s">
        <v>1224</v>
      </c>
      <c r="ED1695" s="11">
        <v>0</v>
      </c>
      <c r="EE1695" s="11"/>
    </row>
    <row r="1696" spans="130:135" x14ac:dyDescent="0.2">
      <c r="DZ1696" s="5">
        <v>45992</v>
      </c>
      <c r="EA1696" s="13" t="s">
        <v>1252</v>
      </c>
      <c r="EB1696" s="13" t="s">
        <v>2239</v>
      </c>
      <c r="EC1696" s="13" t="s">
        <v>1224</v>
      </c>
      <c r="ED1696" s="11">
        <v>0</v>
      </c>
      <c r="EE1696" s="11"/>
    </row>
    <row r="1697" spans="130:135" x14ac:dyDescent="0.2">
      <c r="DZ1697" s="5">
        <v>45992</v>
      </c>
      <c r="EA1697" s="13" t="s">
        <v>1252</v>
      </c>
      <c r="EB1697" s="13" t="s">
        <v>2380</v>
      </c>
      <c r="EC1697" s="13" t="s">
        <v>1224</v>
      </c>
      <c r="ED1697" s="11">
        <v>52941.18</v>
      </c>
      <c r="EE1697" s="11"/>
    </row>
    <row r="1698" spans="130:135" x14ac:dyDescent="0.2">
      <c r="DZ1698" s="5">
        <v>45992</v>
      </c>
      <c r="EA1698" s="13" t="s">
        <v>1252</v>
      </c>
      <c r="EB1698" s="13" t="s">
        <v>2275</v>
      </c>
      <c r="EC1698" s="13" t="s">
        <v>1224</v>
      </c>
      <c r="ED1698" s="11">
        <v>0</v>
      </c>
      <c r="EE1698" s="11"/>
    </row>
    <row r="1699" spans="130:135" x14ac:dyDescent="0.2">
      <c r="DZ1699" s="5">
        <v>45992</v>
      </c>
      <c r="EA1699" s="13" t="s">
        <v>1252</v>
      </c>
      <c r="EB1699" s="13" t="s">
        <v>2349</v>
      </c>
      <c r="EC1699" s="13" t="s">
        <v>1224</v>
      </c>
      <c r="ED1699" s="11">
        <v>0</v>
      </c>
      <c r="EE1699" s="11"/>
    </row>
    <row r="1700" spans="130:135" x14ac:dyDescent="0.2">
      <c r="DZ1700" s="5">
        <v>45992</v>
      </c>
      <c r="EA1700" s="13" t="s">
        <v>1252</v>
      </c>
      <c r="EB1700" s="13" t="s">
        <v>2381</v>
      </c>
      <c r="EC1700" s="13" t="s">
        <v>1224</v>
      </c>
      <c r="ED1700" s="11">
        <v>176470.6</v>
      </c>
      <c r="EE1700" s="11"/>
    </row>
    <row r="1701" spans="130:135" x14ac:dyDescent="0.2">
      <c r="DZ1701" s="5">
        <v>45992</v>
      </c>
      <c r="EA1701" s="13" t="s">
        <v>1252</v>
      </c>
      <c r="EB1701" s="13" t="s">
        <v>2382</v>
      </c>
      <c r="EC1701" s="13" t="s">
        <v>1224</v>
      </c>
      <c r="ED1701" s="11">
        <v>67647.06</v>
      </c>
      <c r="EE1701" s="11"/>
    </row>
    <row r="1702" spans="130:135" x14ac:dyDescent="0.2">
      <c r="DZ1702" s="5">
        <v>45992</v>
      </c>
      <c r="EA1702" s="13" t="s">
        <v>1252</v>
      </c>
      <c r="EB1702" s="13" t="s">
        <v>2215</v>
      </c>
      <c r="EC1702" s="13" t="s">
        <v>1224</v>
      </c>
      <c r="ED1702" s="11">
        <v>0</v>
      </c>
      <c r="EE1702" s="11"/>
    </row>
    <row r="1703" spans="130:135" x14ac:dyDescent="0.2">
      <c r="DZ1703" s="5">
        <v>45992</v>
      </c>
      <c r="EA1703" s="13" t="s">
        <v>1252</v>
      </c>
      <c r="EB1703" s="13" t="s">
        <v>2292</v>
      </c>
      <c r="EC1703" s="13" t="s">
        <v>1224</v>
      </c>
      <c r="ED1703" s="11">
        <v>0</v>
      </c>
      <c r="EE1703" s="11"/>
    </row>
    <row r="1704" spans="130:135" x14ac:dyDescent="0.2">
      <c r="DZ1704" s="5">
        <v>45992</v>
      </c>
      <c r="EA1704" s="13" t="s">
        <v>1252</v>
      </c>
      <c r="EB1704" s="13" t="s">
        <v>2263</v>
      </c>
      <c r="EC1704" s="13" t="s">
        <v>1224</v>
      </c>
      <c r="ED1704" s="11">
        <v>0</v>
      </c>
      <c r="EE1704" s="11"/>
    </row>
    <row r="1705" spans="130:135" x14ac:dyDescent="0.2">
      <c r="DZ1705" s="5">
        <v>45992</v>
      </c>
      <c r="EA1705" s="13" t="s">
        <v>1252</v>
      </c>
      <c r="EB1705" s="13" t="s">
        <v>2383</v>
      </c>
      <c r="EC1705" s="13" t="s">
        <v>1224</v>
      </c>
      <c r="ED1705" s="11">
        <v>548949.59</v>
      </c>
      <c r="EE1705" s="11"/>
    </row>
    <row r="1706" spans="130:135" x14ac:dyDescent="0.2">
      <c r="DZ1706" s="5">
        <v>45992</v>
      </c>
      <c r="EA1706" s="13" t="s">
        <v>1252</v>
      </c>
      <c r="EB1706" s="13" t="s">
        <v>2241</v>
      </c>
      <c r="EC1706" s="13" t="s">
        <v>1224</v>
      </c>
      <c r="ED1706" s="11">
        <v>0</v>
      </c>
      <c r="EE1706" s="11"/>
    </row>
    <row r="1707" spans="130:135" x14ac:dyDescent="0.2">
      <c r="DZ1707" s="5">
        <v>45992</v>
      </c>
      <c r="EA1707" s="13" t="s">
        <v>1252</v>
      </c>
      <c r="EB1707" s="13" t="s">
        <v>2270</v>
      </c>
      <c r="EC1707" s="13" t="s">
        <v>1224</v>
      </c>
      <c r="ED1707" s="11">
        <v>0</v>
      </c>
      <c r="EE1707" s="11"/>
    </row>
    <row r="1708" spans="130:135" x14ac:dyDescent="0.2">
      <c r="DZ1708" s="5">
        <v>45992</v>
      </c>
      <c r="EA1708" s="13" t="s">
        <v>1252</v>
      </c>
      <c r="EB1708" s="13" t="s">
        <v>2259</v>
      </c>
      <c r="EC1708" s="13" t="s">
        <v>1224</v>
      </c>
      <c r="ED1708" s="11">
        <v>0</v>
      </c>
      <c r="EE1708" s="11"/>
    </row>
    <row r="1709" spans="130:135" x14ac:dyDescent="0.2">
      <c r="DZ1709" s="5">
        <v>45992</v>
      </c>
      <c r="EA1709" s="13" t="s">
        <v>1252</v>
      </c>
      <c r="EB1709" s="13" t="s">
        <v>2362</v>
      </c>
      <c r="EC1709" s="13" t="s">
        <v>1224</v>
      </c>
      <c r="ED1709" s="11">
        <v>0</v>
      </c>
      <c r="EE1709" s="11"/>
    </row>
    <row r="1710" spans="130:135" x14ac:dyDescent="0.2">
      <c r="DZ1710" s="5">
        <v>45992</v>
      </c>
      <c r="EA1710" s="13" t="s">
        <v>1252</v>
      </c>
      <c r="EB1710" s="13" t="s">
        <v>2234</v>
      </c>
      <c r="EC1710" s="13" t="s">
        <v>1224</v>
      </c>
      <c r="ED1710" s="11">
        <v>0</v>
      </c>
      <c r="EE1710" s="11"/>
    </row>
    <row r="1711" spans="130:135" x14ac:dyDescent="0.2">
      <c r="DZ1711" s="5">
        <v>45992</v>
      </c>
      <c r="EA1711" s="13" t="s">
        <v>1252</v>
      </c>
      <c r="EB1711" s="13" t="s">
        <v>2289</v>
      </c>
      <c r="EC1711" s="13" t="s">
        <v>1224</v>
      </c>
      <c r="ED1711" s="11">
        <v>0</v>
      </c>
      <c r="EE1711" s="11"/>
    </row>
    <row r="1712" spans="130:135" x14ac:dyDescent="0.2">
      <c r="DZ1712" s="5">
        <v>45992</v>
      </c>
      <c r="EA1712" s="13" t="s">
        <v>1252</v>
      </c>
      <c r="EB1712" s="13" t="s">
        <v>2323</v>
      </c>
      <c r="EC1712" s="13" t="s">
        <v>1224</v>
      </c>
      <c r="ED1712" s="11">
        <v>0</v>
      </c>
      <c r="EE1712" s="11"/>
    </row>
    <row r="1713" spans="130:135" x14ac:dyDescent="0.2">
      <c r="DZ1713" s="5">
        <v>45992</v>
      </c>
      <c r="EA1713" s="13" t="s">
        <v>1252</v>
      </c>
      <c r="EB1713" s="13" t="s">
        <v>2310</v>
      </c>
      <c r="EC1713" s="13" t="s">
        <v>1224</v>
      </c>
      <c r="ED1713" s="11">
        <v>0</v>
      </c>
      <c r="EE1713" s="11"/>
    </row>
    <row r="1714" spans="130:135" x14ac:dyDescent="0.2">
      <c r="DZ1714" s="5">
        <v>45992</v>
      </c>
      <c r="EA1714" s="13" t="s">
        <v>1252</v>
      </c>
      <c r="EB1714" s="13" t="s">
        <v>2233</v>
      </c>
      <c r="EC1714" s="13" t="s">
        <v>1224</v>
      </c>
      <c r="ED1714" s="11">
        <v>0</v>
      </c>
      <c r="EE1714" s="11"/>
    </row>
    <row r="1715" spans="130:135" x14ac:dyDescent="0.2">
      <c r="DZ1715" s="5">
        <v>45992</v>
      </c>
      <c r="EA1715" s="13" t="s">
        <v>1252</v>
      </c>
      <c r="EB1715" s="13" t="s">
        <v>2266</v>
      </c>
      <c r="EC1715" s="13" t="s">
        <v>1224</v>
      </c>
      <c r="ED1715" s="11">
        <v>0</v>
      </c>
      <c r="EE1715" s="11"/>
    </row>
    <row r="1716" spans="130:135" x14ac:dyDescent="0.2">
      <c r="DZ1716" s="5">
        <v>45992</v>
      </c>
      <c r="EA1716" s="13" t="s">
        <v>1252</v>
      </c>
      <c r="EB1716" s="13" t="s">
        <v>2326</v>
      </c>
      <c r="EC1716" s="13" t="s">
        <v>1224</v>
      </c>
      <c r="ED1716" s="11">
        <v>0</v>
      </c>
      <c r="EE1716" s="11"/>
    </row>
    <row r="1717" spans="130:135" x14ac:dyDescent="0.2">
      <c r="DZ1717" s="5">
        <v>45992</v>
      </c>
      <c r="EA1717" s="13" t="s">
        <v>1252</v>
      </c>
      <c r="EB1717" s="13" t="s">
        <v>2324</v>
      </c>
      <c r="EC1717" s="13" t="s">
        <v>1224</v>
      </c>
      <c r="ED1717" s="11">
        <v>0</v>
      </c>
      <c r="EE1717" s="11"/>
    </row>
    <row r="1718" spans="130:135" x14ac:dyDescent="0.2">
      <c r="DZ1718" s="5">
        <v>45992</v>
      </c>
      <c r="EA1718" s="13" t="s">
        <v>1252</v>
      </c>
      <c r="EB1718" s="13" t="s">
        <v>2353</v>
      </c>
      <c r="EC1718" s="13" t="s">
        <v>1224</v>
      </c>
      <c r="ED1718" s="11">
        <v>0</v>
      </c>
      <c r="EE1718" s="11"/>
    </row>
    <row r="1719" spans="130:135" x14ac:dyDescent="0.2">
      <c r="DZ1719" s="5">
        <v>45992</v>
      </c>
      <c r="EA1719" s="13" t="s">
        <v>1252</v>
      </c>
      <c r="EB1719" s="13" t="s">
        <v>2384</v>
      </c>
      <c r="EC1719" s="13" t="s">
        <v>1224</v>
      </c>
      <c r="ED1719" s="11">
        <v>127310.93</v>
      </c>
      <c r="EE1719" s="11"/>
    </row>
    <row r="1720" spans="130:135" x14ac:dyDescent="0.2">
      <c r="DZ1720" s="5">
        <v>45992</v>
      </c>
      <c r="EA1720" s="13" t="s">
        <v>1252</v>
      </c>
      <c r="EB1720" s="13" t="s">
        <v>2262</v>
      </c>
      <c r="EC1720" s="13" t="s">
        <v>1224</v>
      </c>
      <c r="ED1720" s="11">
        <v>0</v>
      </c>
      <c r="EE1720" s="11"/>
    </row>
    <row r="1721" spans="130:135" x14ac:dyDescent="0.2">
      <c r="DZ1721" s="5">
        <v>45992</v>
      </c>
      <c r="EA1721" s="13" t="s">
        <v>1252</v>
      </c>
      <c r="EB1721" s="13" t="s">
        <v>2227</v>
      </c>
      <c r="EC1721" s="13" t="s">
        <v>1224</v>
      </c>
      <c r="ED1721" s="11">
        <v>0</v>
      </c>
      <c r="EE1721" s="11"/>
    </row>
    <row r="1722" spans="130:135" x14ac:dyDescent="0.2">
      <c r="DZ1722" s="5">
        <v>45992</v>
      </c>
      <c r="EA1722" s="13" t="s">
        <v>1252</v>
      </c>
      <c r="EB1722" s="13" t="s">
        <v>2327</v>
      </c>
      <c r="EC1722" s="13" t="s">
        <v>1224</v>
      </c>
      <c r="ED1722" s="11">
        <v>0</v>
      </c>
      <c r="EE1722" s="11"/>
    </row>
    <row r="1723" spans="130:135" x14ac:dyDescent="0.2">
      <c r="DZ1723" s="5">
        <v>45992</v>
      </c>
      <c r="EA1723" s="13" t="s">
        <v>1252</v>
      </c>
      <c r="EB1723" s="13" t="s">
        <v>2236</v>
      </c>
      <c r="EC1723" s="13" t="s">
        <v>1224</v>
      </c>
      <c r="ED1723" s="11">
        <v>0</v>
      </c>
      <c r="EE1723" s="11"/>
    </row>
    <row r="1724" spans="130:135" x14ac:dyDescent="0.2">
      <c r="DZ1724" s="5">
        <v>45992</v>
      </c>
      <c r="EA1724" s="13" t="s">
        <v>1252</v>
      </c>
      <c r="EB1724" s="13" t="s">
        <v>2356</v>
      </c>
      <c r="EC1724" s="13" t="s">
        <v>1224</v>
      </c>
      <c r="ED1724" s="11">
        <v>0</v>
      </c>
      <c r="EE1724" s="11"/>
    </row>
    <row r="1725" spans="130:135" x14ac:dyDescent="0.2">
      <c r="DZ1725" s="5">
        <v>45992</v>
      </c>
      <c r="EA1725" s="13" t="s">
        <v>1252</v>
      </c>
      <c r="EB1725" s="13" t="s">
        <v>2357</v>
      </c>
      <c r="EC1725" s="13" t="s">
        <v>1224</v>
      </c>
      <c r="ED1725" s="11">
        <v>0</v>
      </c>
      <c r="EE1725" s="11"/>
    </row>
    <row r="1726" spans="130:135" x14ac:dyDescent="0.2">
      <c r="DZ1726" s="5">
        <v>45992</v>
      </c>
      <c r="EA1726" s="13" t="s">
        <v>1252</v>
      </c>
      <c r="EB1726" s="13" t="s">
        <v>2231</v>
      </c>
      <c r="EC1726" s="13" t="s">
        <v>1224</v>
      </c>
      <c r="ED1726" s="11">
        <v>0</v>
      </c>
      <c r="EE1726" s="11"/>
    </row>
    <row r="1727" spans="130:135" x14ac:dyDescent="0.2">
      <c r="DZ1727" s="5">
        <v>45992</v>
      </c>
      <c r="EA1727" s="13" t="s">
        <v>1252</v>
      </c>
      <c r="EB1727" s="13" t="s">
        <v>1356</v>
      </c>
      <c r="EC1727" s="13" t="s">
        <v>1224</v>
      </c>
      <c r="ED1727" s="11">
        <v>0</v>
      </c>
      <c r="EE1727" s="11"/>
    </row>
    <row r="1728" spans="130:135" x14ac:dyDescent="0.2">
      <c r="DZ1728" s="5">
        <v>45992</v>
      </c>
      <c r="EA1728" s="13" t="s">
        <v>1252</v>
      </c>
      <c r="EB1728" s="13" t="s">
        <v>2265</v>
      </c>
      <c r="EC1728" s="13" t="s">
        <v>1224</v>
      </c>
      <c r="ED1728" s="11">
        <v>0</v>
      </c>
      <c r="EE1728" s="11"/>
    </row>
    <row r="1729" spans="130:135" x14ac:dyDescent="0.2">
      <c r="DZ1729" s="5">
        <v>45992</v>
      </c>
      <c r="EA1729" s="13" t="s">
        <v>1252</v>
      </c>
      <c r="EB1729" s="13" t="s">
        <v>2258</v>
      </c>
      <c r="EC1729" s="13" t="s">
        <v>1224</v>
      </c>
      <c r="ED1729" s="11">
        <v>0</v>
      </c>
      <c r="EE1729" s="11"/>
    </row>
    <row r="1730" spans="130:135" x14ac:dyDescent="0.2">
      <c r="DZ1730" s="5">
        <v>45992</v>
      </c>
      <c r="EA1730" s="13" t="s">
        <v>1252</v>
      </c>
      <c r="EB1730" s="13" t="s">
        <v>2267</v>
      </c>
      <c r="EC1730" s="13" t="s">
        <v>1224</v>
      </c>
      <c r="ED1730" s="11">
        <v>0</v>
      </c>
      <c r="EE1730" s="11"/>
    </row>
    <row r="1731" spans="130:135" x14ac:dyDescent="0.2">
      <c r="DZ1731" s="5">
        <v>45992</v>
      </c>
      <c r="EA1731" s="13" t="s">
        <v>1252</v>
      </c>
      <c r="EB1731" s="13" t="s">
        <v>2217</v>
      </c>
      <c r="EC1731" s="13" t="s">
        <v>1224</v>
      </c>
      <c r="ED1731" s="11">
        <v>0</v>
      </c>
      <c r="EE1731" s="11"/>
    </row>
    <row r="1732" spans="130:135" x14ac:dyDescent="0.2">
      <c r="DZ1732" s="5">
        <v>45992</v>
      </c>
      <c r="EA1732" s="13" t="s">
        <v>1252</v>
      </c>
      <c r="EB1732" s="13" t="s">
        <v>2273</v>
      </c>
      <c r="EC1732" s="13" t="s">
        <v>1224</v>
      </c>
      <c r="ED1732" s="11">
        <v>0</v>
      </c>
      <c r="EE1732" s="11"/>
    </row>
    <row r="1733" spans="130:135" x14ac:dyDescent="0.2">
      <c r="DZ1733" s="5">
        <v>45992</v>
      </c>
      <c r="EA1733" s="13" t="s">
        <v>1252</v>
      </c>
      <c r="EB1733" s="13" t="s">
        <v>2244</v>
      </c>
      <c r="EC1733" s="13" t="s">
        <v>1224</v>
      </c>
      <c r="ED1733" s="11">
        <v>0</v>
      </c>
      <c r="EE1733" s="11"/>
    </row>
    <row r="1734" spans="130:135" x14ac:dyDescent="0.2">
      <c r="DZ1734" s="5">
        <v>45992</v>
      </c>
      <c r="EA1734" s="13" t="s">
        <v>1252</v>
      </c>
      <c r="EB1734" s="13" t="s">
        <v>2225</v>
      </c>
      <c r="EC1734" s="13" t="s">
        <v>1224</v>
      </c>
      <c r="ED1734" s="11">
        <v>0</v>
      </c>
      <c r="EE1734" s="11"/>
    </row>
    <row r="1735" spans="130:135" x14ac:dyDescent="0.2">
      <c r="DZ1735" s="5">
        <v>45992</v>
      </c>
      <c r="EA1735" s="13" t="s">
        <v>1252</v>
      </c>
      <c r="EB1735" s="13" t="s">
        <v>2226</v>
      </c>
      <c r="EC1735" s="13" t="s">
        <v>1224</v>
      </c>
      <c r="ED1735" s="11">
        <v>0</v>
      </c>
      <c r="EE1735" s="11"/>
    </row>
    <row r="1736" spans="130:135" x14ac:dyDescent="0.2">
      <c r="DZ1736" s="5">
        <v>45992</v>
      </c>
      <c r="EA1736" s="13" t="s">
        <v>1252</v>
      </c>
      <c r="EB1736" s="13" t="s">
        <v>2306</v>
      </c>
      <c r="EC1736" s="13" t="s">
        <v>1224</v>
      </c>
      <c r="ED1736" s="11">
        <v>0</v>
      </c>
      <c r="EE1736" s="11"/>
    </row>
    <row r="1737" spans="130:135" x14ac:dyDescent="0.2">
      <c r="DZ1737" s="5">
        <v>45992</v>
      </c>
      <c r="EA1737" s="13" t="s">
        <v>1252</v>
      </c>
      <c r="EB1737" s="13" t="s">
        <v>2300</v>
      </c>
      <c r="EC1737" s="13" t="s">
        <v>1224</v>
      </c>
      <c r="ED1737" s="11">
        <v>0</v>
      </c>
      <c r="EE1737" s="11"/>
    </row>
    <row r="1738" spans="130:135" x14ac:dyDescent="0.2">
      <c r="DZ1738" s="5">
        <v>45992</v>
      </c>
      <c r="EA1738" s="13" t="s">
        <v>1252</v>
      </c>
      <c r="EB1738" s="13" t="s">
        <v>2329</v>
      </c>
      <c r="EC1738" s="13" t="s">
        <v>1224</v>
      </c>
      <c r="ED1738" s="11">
        <v>0</v>
      </c>
      <c r="EE1738" s="11"/>
    </row>
    <row r="1739" spans="130:135" x14ac:dyDescent="0.2">
      <c r="DZ1739" s="5">
        <v>45992</v>
      </c>
      <c r="EA1739" s="13" t="s">
        <v>1252</v>
      </c>
      <c r="EB1739" s="13" t="s">
        <v>2216</v>
      </c>
      <c r="EC1739" s="13" t="s">
        <v>1224</v>
      </c>
      <c r="ED1739" s="11">
        <v>0</v>
      </c>
      <c r="EE1739" s="11"/>
    </row>
    <row r="1740" spans="130:135" x14ac:dyDescent="0.2">
      <c r="DZ1740" s="5">
        <v>45992</v>
      </c>
      <c r="EA1740" s="13" t="s">
        <v>1252</v>
      </c>
      <c r="EB1740" s="13" t="s">
        <v>2242</v>
      </c>
      <c r="EC1740" s="13" t="s">
        <v>1224</v>
      </c>
      <c r="ED1740" s="11">
        <v>0</v>
      </c>
      <c r="EE1740" s="11"/>
    </row>
    <row r="1741" spans="130:135" x14ac:dyDescent="0.2">
      <c r="DZ1741" s="5">
        <v>45992</v>
      </c>
      <c r="EA1741" s="13" t="s">
        <v>1252</v>
      </c>
      <c r="EB1741" s="13" t="s">
        <v>2247</v>
      </c>
      <c r="EC1741" s="13" t="s">
        <v>1224</v>
      </c>
      <c r="ED1741" s="11">
        <v>0</v>
      </c>
      <c r="EE1741" s="11"/>
    </row>
    <row r="1742" spans="130:135" x14ac:dyDescent="0.2">
      <c r="DZ1742" s="5">
        <v>45992</v>
      </c>
      <c r="EA1742" s="13" t="s">
        <v>1252</v>
      </c>
      <c r="EB1742" s="13" t="s">
        <v>2325</v>
      </c>
      <c r="EC1742" s="13" t="s">
        <v>1224</v>
      </c>
      <c r="ED1742" s="11">
        <v>0</v>
      </c>
      <c r="EE1742" s="11"/>
    </row>
    <row r="1743" spans="130:135" x14ac:dyDescent="0.2">
      <c r="DZ1743" s="5">
        <v>45992</v>
      </c>
      <c r="EA1743" s="13" t="s">
        <v>1252</v>
      </c>
      <c r="EB1743" s="13" t="s">
        <v>2221</v>
      </c>
      <c r="EC1743" s="13" t="s">
        <v>1224</v>
      </c>
      <c r="ED1743" s="11">
        <v>0</v>
      </c>
      <c r="EE1743" s="11"/>
    </row>
    <row r="1744" spans="130:135" x14ac:dyDescent="0.2">
      <c r="DZ1744" s="5">
        <v>45992</v>
      </c>
      <c r="EA1744" s="13" t="s">
        <v>1252</v>
      </c>
      <c r="EB1744" s="13" t="s">
        <v>2385</v>
      </c>
      <c r="EC1744" s="13" t="s">
        <v>1224</v>
      </c>
      <c r="ED1744" s="11">
        <v>352310.93</v>
      </c>
      <c r="EE1744" s="11"/>
    </row>
    <row r="1745" spans="130:135" x14ac:dyDescent="0.2">
      <c r="DZ1745" s="5">
        <v>45992</v>
      </c>
      <c r="EA1745" s="13" t="s">
        <v>1252</v>
      </c>
      <c r="EB1745" s="13" t="s">
        <v>1391</v>
      </c>
      <c r="EC1745" s="13" t="s">
        <v>1224</v>
      </c>
      <c r="ED1745" s="11">
        <v>0</v>
      </c>
      <c r="EE1745" s="11"/>
    </row>
    <row r="1746" spans="130:135" x14ac:dyDescent="0.2">
      <c r="DZ1746" s="5">
        <v>45992</v>
      </c>
      <c r="EA1746" s="13" t="s">
        <v>1252</v>
      </c>
      <c r="EB1746" s="13" t="s">
        <v>2363</v>
      </c>
      <c r="EC1746" s="13" t="s">
        <v>1224</v>
      </c>
      <c r="ED1746" s="11">
        <v>0</v>
      </c>
      <c r="EE1746" s="11"/>
    </row>
    <row r="1747" spans="130:135" x14ac:dyDescent="0.2">
      <c r="DZ1747" s="5">
        <v>45992</v>
      </c>
      <c r="EA1747" s="13" t="s">
        <v>1252</v>
      </c>
      <c r="EB1747" s="13" t="s">
        <v>2298</v>
      </c>
      <c r="EC1747" s="13" t="s">
        <v>1224</v>
      </c>
      <c r="ED1747" s="11">
        <v>0</v>
      </c>
      <c r="EE1747" s="11"/>
    </row>
    <row r="1748" spans="130:135" x14ac:dyDescent="0.2">
      <c r="DZ1748" s="5">
        <v>45992</v>
      </c>
      <c r="EA1748" s="13" t="s">
        <v>1252</v>
      </c>
      <c r="EB1748" s="13" t="s">
        <v>2290</v>
      </c>
      <c r="EC1748" s="13" t="s">
        <v>1224</v>
      </c>
      <c r="ED1748" s="11">
        <v>0</v>
      </c>
      <c r="EE1748" s="11"/>
    </row>
    <row r="1749" spans="130:135" x14ac:dyDescent="0.2">
      <c r="DZ1749" s="5">
        <v>45992</v>
      </c>
      <c r="EA1749" s="13" t="s">
        <v>1252</v>
      </c>
      <c r="EB1749" s="13" t="s">
        <v>2386</v>
      </c>
      <c r="EC1749" s="13" t="s">
        <v>1224</v>
      </c>
      <c r="ED1749" s="11">
        <v>8403.36</v>
      </c>
      <c r="EE1749" s="11"/>
    </row>
    <row r="1750" spans="130:135" x14ac:dyDescent="0.2">
      <c r="DZ1750" s="5">
        <v>45992</v>
      </c>
      <c r="EA1750" s="13" t="s">
        <v>1252</v>
      </c>
      <c r="EB1750" s="13" t="s">
        <v>2269</v>
      </c>
      <c r="EC1750" s="13" t="s">
        <v>1224</v>
      </c>
      <c r="ED1750" s="11">
        <v>0</v>
      </c>
      <c r="EE1750" s="11"/>
    </row>
    <row r="1751" spans="130:135" x14ac:dyDescent="0.2">
      <c r="DZ1751" s="5">
        <v>45992</v>
      </c>
      <c r="EA1751" s="13" t="s">
        <v>1252</v>
      </c>
      <c r="EB1751" s="13" t="s">
        <v>2253</v>
      </c>
      <c r="EC1751" s="13" t="s">
        <v>1224</v>
      </c>
      <c r="ED1751" s="11">
        <v>0</v>
      </c>
      <c r="EE1751" s="11"/>
    </row>
    <row r="1752" spans="130:135" x14ac:dyDescent="0.2">
      <c r="DZ1752" s="5">
        <v>45992</v>
      </c>
      <c r="EA1752" s="13" t="s">
        <v>1252</v>
      </c>
      <c r="EB1752" s="13" t="s">
        <v>2296</v>
      </c>
      <c r="EC1752" s="13" t="s">
        <v>1224</v>
      </c>
      <c r="ED1752" s="11">
        <v>0</v>
      </c>
      <c r="EE1752" s="11"/>
    </row>
    <row r="1753" spans="130:135" x14ac:dyDescent="0.2">
      <c r="DZ1753" s="5">
        <v>45992</v>
      </c>
      <c r="EA1753" s="13" t="s">
        <v>1252</v>
      </c>
      <c r="EB1753" s="13" t="s">
        <v>2255</v>
      </c>
      <c r="EC1753" s="13" t="s">
        <v>1224</v>
      </c>
      <c r="ED1753" s="11">
        <v>0</v>
      </c>
      <c r="EE1753" s="11"/>
    </row>
    <row r="1754" spans="130:135" x14ac:dyDescent="0.2">
      <c r="DZ1754" s="5">
        <v>45992</v>
      </c>
      <c r="EA1754" s="13" t="s">
        <v>1252</v>
      </c>
      <c r="EB1754" s="13" t="s">
        <v>2272</v>
      </c>
      <c r="EC1754" s="13" t="s">
        <v>1224</v>
      </c>
      <c r="ED1754" s="11">
        <v>0</v>
      </c>
      <c r="EE1754" s="11"/>
    </row>
    <row r="1755" spans="130:135" x14ac:dyDescent="0.2">
      <c r="DZ1755" s="5">
        <v>45992</v>
      </c>
      <c r="EA1755" s="13" t="s">
        <v>1252</v>
      </c>
      <c r="EB1755" s="13" t="s">
        <v>2387</v>
      </c>
      <c r="EC1755" s="13" t="s">
        <v>1224</v>
      </c>
      <c r="ED1755" s="11">
        <v>25630.25</v>
      </c>
      <c r="EE1755" s="11"/>
    </row>
    <row r="1756" spans="130:135" x14ac:dyDescent="0.2">
      <c r="DZ1756" s="5">
        <v>45992</v>
      </c>
      <c r="EA1756" s="13" t="s">
        <v>1252</v>
      </c>
      <c r="EB1756" s="13" t="s">
        <v>2261</v>
      </c>
      <c r="EC1756" s="13" t="s">
        <v>1224</v>
      </c>
      <c r="ED1756" s="11">
        <v>0</v>
      </c>
      <c r="EE1756" s="11"/>
    </row>
    <row r="1757" spans="130:135" x14ac:dyDescent="0.2">
      <c r="DZ1757" s="5">
        <v>45992</v>
      </c>
      <c r="EA1757" s="13" t="s">
        <v>1252</v>
      </c>
      <c r="EB1757" s="13" t="s">
        <v>2388</v>
      </c>
      <c r="EC1757" s="13" t="s">
        <v>1224</v>
      </c>
      <c r="ED1757" s="11">
        <v>286134.45</v>
      </c>
      <c r="EE1757" s="11"/>
    </row>
    <row r="1758" spans="130:135" x14ac:dyDescent="0.2">
      <c r="DZ1758" s="5">
        <v>45992</v>
      </c>
      <c r="EA1758" s="13" t="s">
        <v>1252</v>
      </c>
      <c r="EB1758" s="13" t="s">
        <v>2354</v>
      </c>
      <c r="EC1758" s="13" t="s">
        <v>1224</v>
      </c>
      <c r="ED1758" s="11">
        <v>0</v>
      </c>
      <c r="EE1758" s="11"/>
    </row>
    <row r="1759" spans="130:135" x14ac:dyDescent="0.2">
      <c r="DZ1759" s="5">
        <v>45992</v>
      </c>
      <c r="EA1759" s="13" t="s">
        <v>1252</v>
      </c>
      <c r="EB1759" s="13" t="s">
        <v>2260</v>
      </c>
      <c r="EC1759" s="13" t="s">
        <v>1224</v>
      </c>
      <c r="ED1759" s="11">
        <v>0</v>
      </c>
      <c r="EE1759" s="11"/>
    </row>
    <row r="1760" spans="130:135" x14ac:dyDescent="0.2">
      <c r="DZ1760" s="5">
        <v>45992</v>
      </c>
      <c r="EA1760" s="13" t="s">
        <v>1252</v>
      </c>
      <c r="EB1760" s="13" t="s">
        <v>2252</v>
      </c>
      <c r="EC1760" s="13" t="s">
        <v>1224</v>
      </c>
      <c r="ED1760" s="11">
        <v>0</v>
      </c>
      <c r="EE1760" s="11"/>
    </row>
    <row r="1761" spans="130:135" x14ac:dyDescent="0.2">
      <c r="DZ1761" s="5">
        <v>45992</v>
      </c>
      <c r="EA1761" s="13" t="s">
        <v>1252</v>
      </c>
      <c r="EB1761" s="13" t="s">
        <v>2264</v>
      </c>
      <c r="EC1761" s="13" t="s">
        <v>1224</v>
      </c>
      <c r="ED1761" s="11">
        <v>0</v>
      </c>
      <c r="EE1761" s="11"/>
    </row>
    <row r="1762" spans="130:135" x14ac:dyDescent="0.2">
      <c r="DZ1762" s="5">
        <v>45992</v>
      </c>
      <c r="EA1762" s="13" t="s">
        <v>1252</v>
      </c>
      <c r="EB1762" s="13" t="s">
        <v>2389</v>
      </c>
      <c r="EC1762" s="13" t="s">
        <v>1224</v>
      </c>
      <c r="ED1762" s="11">
        <v>37815.120000000003</v>
      </c>
      <c r="EE1762" s="11"/>
    </row>
    <row r="1763" spans="130:135" x14ac:dyDescent="0.2">
      <c r="DZ1763" s="5">
        <v>45992</v>
      </c>
      <c r="EA1763" s="13" t="s">
        <v>1252</v>
      </c>
      <c r="EB1763" s="13" t="s">
        <v>2332</v>
      </c>
      <c r="EC1763" s="13" t="s">
        <v>1224</v>
      </c>
      <c r="ED1763" s="11">
        <v>0</v>
      </c>
      <c r="EE1763" s="11"/>
    </row>
    <row r="1764" spans="130:135" x14ac:dyDescent="0.2">
      <c r="DZ1764" s="5">
        <v>45992</v>
      </c>
      <c r="EA1764" s="13" t="s">
        <v>1252</v>
      </c>
      <c r="EB1764" s="13" t="s">
        <v>2218</v>
      </c>
      <c r="EC1764" s="13" t="s">
        <v>1224</v>
      </c>
      <c r="ED1764" s="11">
        <v>0</v>
      </c>
      <c r="EE1764" s="11"/>
    </row>
    <row r="1765" spans="130:135" x14ac:dyDescent="0.2">
      <c r="DZ1765" s="5">
        <v>45992</v>
      </c>
      <c r="EA1765" s="13" t="s">
        <v>1252</v>
      </c>
      <c r="EB1765" s="13" t="s">
        <v>2243</v>
      </c>
      <c r="EC1765" s="13" t="s">
        <v>1224</v>
      </c>
      <c r="ED1765" s="11">
        <v>0</v>
      </c>
      <c r="EE1765" s="11"/>
    </row>
    <row r="1766" spans="130:135" x14ac:dyDescent="0.2">
      <c r="DZ1766" s="5">
        <v>45992</v>
      </c>
      <c r="EA1766" s="13" t="s">
        <v>1252</v>
      </c>
      <c r="EB1766" s="13" t="s">
        <v>2286</v>
      </c>
      <c r="EC1766" s="13" t="s">
        <v>1224</v>
      </c>
      <c r="ED1766" s="11">
        <v>0</v>
      </c>
      <c r="EE1766" s="11"/>
    </row>
    <row r="1767" spans="130:135" x14ac:dyDescent="0.2">
      <c r="DZ1767" s="5">
        <v>45992</v>
      </c>
      <c r="EA1767" s="13" t="s">
        <v>1252</v>
      </c>
      <c r="EB1767" s="13" t="s">
        <v>2390</v>
      </c>
      <c r="EC1767" s="13" t="s">
        <v>1224</v>
      </c>
      <c r="ED1767" s="11">
        <v>80672.27</v>
      </c>
      <c r="EE1767" s="11"/>
    </row>
    <row r="1768" spans="130:135" x14ac:dyDescent="0.2">
      <c r="DZ1768" s="5">
        <v>45992</v>
      </c>
      <c r="EA1768" s="13" t="s">
        <v>1252</v>
      </c>
      <c r="EB1768" s="13" t="s">
        <v>2299</v>
      </c>
      <c r="EC1768" s="13" t="s">
        <v>1224</v>
      </c>
      <c r="ED1768" s="11">
        <v>0</v>
      </c>
      <c r="EE1768" s="11"/>
    </row>
    <row r="1769" spans="130:135" x14ac:dyDescent="0.2">
      <c r="DZ1769" s="5">
        <v>45992</v>
      </c>
      <c r="EA1769" s="13" t="s">
        <v>1252</v>
      </c>
      <c r="EB1769" s="13" t="s">
        <v>2219</v>
      </c>
      <c r="EC1769" s="13" t="s">
        <v>1224</v>
      </c>
      <c r="ED1769" s="11">
        <v>0</v>
      </c>
      <c r="EE1769" s="11"/>
    </row>
    <row r="1770" spans="130:135" x14ac:dyDescent="0.2">
      <c r="DZ1770" s="5">
        <v>45992</v>
      </c>
      <c r="EA1770" s="13" t="s">
        <v>1252</v>
      </c>
      <c r="EB1770" s="13" t="s">
        <v>2271</v>
      </c>
      <c r="EC1770" s="13" t="s">
        <v>1224</v>
      </c>
      <c r="ED1770" s="11">
        <v>0</v>
      </c>
      <c r="EE1770" s="11"/>
    </row>
    <row r="1771" spans="130:135" x14ac:dyDescent="0.2">
      <c r="DZ1771" s="5">
        <v>45992</v>
      </c>
      <c r="EA1771" s="13" t="s">
        <v>1252</v>
      </c>
      <c r="EB1771" s="13" t="s">
        <v>2250</v>
      </c>
      <c r="EC1771" s="13" t="s">
        <v>1224</v>
      </c>
      <c r="ED1771" s="11">
        <v>0</v>
      </c>
      <c r="EE1771" s="11"/>
    </row>
    <row r="1772" spans="130:135" x14ac:dyDescent="0.2">
      <c r="DZ1772" s="5">
        <v>45992</v>
      </c>
      <c r="EA1772" s="13" t="s">
        <v>1252</v>
      </c>
      <c r="EB1772" s="13" t="s">
        <v>2238</v>
      </c>
      <c r="EC1772" s="13" t="s">
        <v>1224</v>
      </c>
      <c r="ED1772" s="11">
        <v>0</v>
      </c>
      <c r="EE1772" s="11"/>
    </row>
    <row r="1773" spans="130:135" x14ac:dyDescent="0.2">
      <c r="DZ1773" s="5">
        <v>45992</v>
      </c>
      <c r="EA1773" s="13" t="s">
        <v>1252</v>
      </c>
      <c r="EB1773" s="13" t="s">
        <v>2235</v>
      </c>
      <c r="EC1773" s="13" t="s">
        <v>1224</v>
      </c>
      <c r="ED1773" s="11">
        <v>0</v>
      </c>
      <c r="EE1773" s="11"/>
    </row>
    <row r="1774" spans="130:135" x14ac:dyDescent="0.2">
      <c r="DZ1774" s="5">
        <v>45992</v>
      </c>
      <c r="EA1774" s="13" t="s">
        <v>1252</v>
      </c>
      <c r="EB1774" s="13" t="s">
        <v>2391</v>
      </c>
      <c r="EC1774" s="13" t="s">
        <v>1224</v>
      </c>
      <c r="ED1774" s="11">
        <v>284369.74</v>
      </c>
      <c r="EE1774" s="11"/>
    </row>
    <row r="1775" spans="130:135" x14ac:dyDescent="0.2">
      <c r="DZ1775" s="5">
        <v>45992</v>
      </c>
      <c r="EA1775" s="13" t="s">
        <v>1252</v>
      </c>
      <c r="EB1775" s="13" t="s">
        <v>2291</v>
      </c>
      <c r="EC1775" s="13" t="s">
        <v>1224</v>
      </c>
      <c r="ED1775" s="11">
        <v>0</v>
      </c>
      <c r="EE1775" s="11"/>
    </row>
    <row r="1776" spans="130:135" x14ac:dyDescent="0.2">
      <c r="DZ1776" s="5">
        <v>45992</v>
      </c>
      <c r="EA1776" s="13" t="s">
        <v>1252</v>
      </c>
      <c r="EB1776" s="13" t="s">
        <v>2392</v>
      </c>
      <c r="EC1776" s="13" t="s">
        <v>1224</v>
      </c>
      <c r="ED1776" s="11">
        <v>47899.16</v>
      </c>
      <c r="EE1776" s="11"/>
    </row>
    <row r="1777" spans="130:135" x14ac:dyDescent="0.2">
      <c r="DZ1777" s="5">
        <v>45992</v>
      </c>
      <c r="EA1777" s="13" t="s">
        <v>1252</v>
      </c>
      <c r="EB1777" s="13" t="s">
        <v>2344</v>
      </c>
      <c r="EC1777" s="13" t="s">
        <v>1224</v>
      </c>
      <c r="ED1777" s="11">
        <v>0</v>
      </c>
      <c r="EE1777" s="11"/>
    </row>
    <row r="1778" spans="130:135" x14ac:dyDescent="0.2">
      <c r="DZ1778" s="5">
        <v>45992</v>
      </c>
      <c r="EA1778" s="13" t="s">
        <v>1252</v>
      </c>
      <c r="EB1778" s="13" t="s">
        <v>1403</v>
      </c>
      <c r="EC1778" s="13" t="s">
        <v>1224</v>
      </c>
      <c r="ED1778" s="11">
        <v>-15520038.25</v>
      </c>
      <c r="EE1778" s="11"/>
    </row>
    <row r="1779" spans="130:135" x14ac:dyDescent="0.2">
      <c r="DZ1779" s="5">
        <v>45992</v>
      </c>
      <c r="EA1779" s="13" t="s">
        <v>1252</v>
      </c>
      <c r="EB1779" s="13" t="s">
        <v>2350</v>
      </c>
      <c r="EC1779" s="13" t="s">
        <v>1224</v>
      </c>
      <c r="ED1779" s="11">
        <v>0</v>
      </c>
      <c r="EE1779" s="11"/>
    </row>
    <row r="1780" spans="130:135" x14ac:dyDescent="0.2">
      <c r="DZ1780" s="5">
        <v>45992</v>
      </c>
      <c r="EA1780" s="13" t="s">
        <v>1252</v>
      </c>
      <c r="EB1780" s="13" t="s">
        <v>2312</v>
      </c>
      <c r="EC1780" s="13" t="s">
        <v>1224</v>
      </c>
      <c r="ED1780" s="11">
        <v>0</v>
      </c>
      <c r="EE1780" s="11"/>
    </row>
    <row r="1781" spans="130:135" x14ac:dyDescent="0.2">
      <c r="DZ1781" s="5">
        <v>45992</v>
      </c>
      <c r="EA1781" s="13" t="s">
        <v>1252</v>
      </c>
      <c r="EB1781" s="13" t="s">
        <v>2223</v>
      </c>
      <c r="EC1781" s="13" t="s">
        <v>1224</v>
      </c>
      <c r="ED1781" s="11">
        <v>0</v>
      </c>
      <c r="EE1781" s="11"/>
    </row>
    <row r="1782" spans="130:135" x14ac:dyDescent="0.2">
      <c r="DZ1782" s="5">
        <v>45992</v>
      </c>
      <c r="EA1782" s="13" t="s">
        <v>1252</v>
      </c>
      <c r="EB1782" s="13" t="s">
        <v>2232</v>
      </c>
      <c r="EC1782" s="13" t="s">
        <v>1224</v>
      </c>
      <c r="ED1782" s="11">
        <v>0</v>
      </c>
      <c r="EE1782" s="11"/>
    </row>
    <row r="1783" spans="130:135" x14ac:dyDescent="0.2">
      <c r="DZ1783" s="5">
        <v>45992</v>
      </c>
      <c r="EA1783" s="13" t="s">
        <v>1252</v>
      </c>
      <c r="EB1783" s="13" t="s">
        <v>2256</v>
      </c>
      <c r="EC1783" s="13" t="s">
        <v>1224</v>
      </c>
      <c r="ED1783" s="11">
        <v>0</v>
      </c>
      <c r="EE1783" s="11"/>
    </row>
    <row r="1784" spans="130:135" x14ac:dyDescent="0.2">
      <c r="DZ1784" s="5">
        <v>45992</v>
      </c>
      <c r="EA1784" s="13" t="s">
        <v>1250</v>
      </c>
      <c r="EB1784" s="13" t="s">
        <v>2365</v>
      </c>
      <c r="EC1784" s="13" t="s">
        <v>1168</v>
      </c>
      <c r="ED1784" s="11">
        <v>0</v>
      </c>
      <c r="EE1784" s="11"/>
    </row>
    <row r="1785" spans="130:135" x14ac:dyDescent="0.2">
      <c r="DZ1785" s="5">
        <v>45992</v>
      </c>
      <c r="EA1785" s="13" t="s">
        <v>1250</v>
      </c>
      <c r="EB1785" s="13" t="s">
        <v>2393</v>
      </c>
      <c r="EC1785" s="13" t="s">
        <v>1168</v>
      </c>
      <c r="ED1785" s="11">
        <v>184873</v>
      </c>
      <c r="EE1785" s="11"/>
    </row>
    <row r="1786" spans="130:135" x14ac:dyDescent="0.2">
      <c r="DZ1786" s="5">
        <v>45992</v>
      </c>
      <c r="EA1786" s="13" t="s">
        <v>1250</v>
      </c>
      <c r="EB1786" s="13" t="s">
        <v>1363</v>
      </c>
      <c r="EC1786" s="13" t="s">
        <v>1168</v>
      </c>
      <c r="ED1786" s="11">
        <v>0</v>
      </c>
      <c r="EE1786" s="11"/>
    </row>
    <row r="1787" spans="130:135" x14ac:dyDescent="0.2">
      <c r="DZ1787" s="5">
        <v>45992</v>
      </c>
      <c r="EA1787" s="13" t="s">
        <v>1250</v>
      </c>
      <c r="EB1787" s="13" t="s">
        <v>2334</v>
      </c>
      <c r="EC1787" s="13" t="s">
        <v>1168</v>
      </c>
      <c r="ED1787" s="11">
        <v>498100</v>
      </c>
      <c r="EE1787" s="11"/>
    </row>
    <row r="1788" spans="130:135" x14ac:dyDescent="0.2">
      <c r="DZ1788" s="5">
        <v>45992</v>
      </c>
      <c r="EA1788" s="13" t="s">
        <v>1250</v>
      </c>
      <c r="EB1788" s="13" t="s">
        <v>1393</v>
      </c>
      <c r="EC1788" s="13" t="s">
        <v>1168</v>
      </c>
      <c r="ED1788" s="11">
        <v>0</v>
      </c>
      <c r="EE1788" s="11"/>
    </row>
    <row r="1789" spans="130:135" x14ac:dyDescent="0.2">
      <c r="DZ1789" s="5">
        <v>45992</v>
      </c>
      <c r="EA1789" s="13" t="s">
        <v>1250</v>
      </c>
      <c r="EB1789" s="13" t="s">
        <v>2312</v>
      </c>
      <c r="EC1789" s="13" t="s">
        <v>1168</v>
      </c>
      <c r="ED1789" s="11">
        <v>0</v>
      </c>
      <c r="EE1789" s="11"/>
    </row>
    <row r="1790" spans="130:135" x14ac:dyDescent="0.2">
      <c r="DZ1790" s="5">
        <v>45992</v>
      </c>
      <c r="EA1790" s="13" t="s">
        <v>1250</v>
      </c>
      <c r="EB1790" s="13" t="s">
        <v>2301</v>
      </c>
      <c r="EC1790" s="13" t="s">
        <v>1168</v>
      </c>
      <c r="ED1790" s="11">
        <v>0</v>
      </c>
      <c r="EE1790" s="11"/>
    </row>
    <row r="1791" spans="130:135" x14ac:dyDescent="0.2">
      <c r="DZ1791" s="5">
        <v>45992</v>
      </c>
      <c r="EA1791" s="13" t="s">
        <v>1250</v>
      </c>
      <c r="EB1791" s="13" t="s">
        <v>2276</v>
      </c>
      <c r="EC1791" s="13" t="s">
        <v>1168</v>
      </c>
      <c r="ED1791" s="11">
        <v>0</v>
      </c>
      <c r="EE1791" s="11"/>
    </row>
    <row r="1792" spans="130:135" x14ac:dyDescent="0.2">
      <c r="DZ1792" s="5">
        <v>45992</v>
      </c>
      <c r="EA1792" s="13" t="s">
        <v>1252</v>
      </c>
      <c r="EB1792" s="13" t="s">
        <v>1371</v>
      </c>
      <c r="EC1792" s="13" t="s">
        <v>1226</v>
      </c>
      <c r="ED1792" s="11">
        <v>36455.06</v>
      </c>
      <c r="EE1792" s="11"/>
    </row>
    <row r="1793" spans="130:135" x14ac:dyDescent="0.2">
      <c r="DZ1793" s="5">
        <v>45992</v>
      </c>
      <c r="EA1793" s="13" t="s">
        <v>1252</v>
      </c>
      <c r="EB1793" s="13" t="s">
        <v>1355</v>
      </c>
      <c r="EC1793" s="13" t="s">
        <v>1226</v>
      </c>
      <c r="ED1793" s="11">
        <v>640503.33000000007</v>
      </c>
      <c r="EE1793" s="11"/>
    </row>
    <row r="1794" spans="130:135" x14ac:dyDescent="0.2">
      <c r="DZ1794" s="5">
        <v>45992</v>
      </c>
      <c r="EA1794" s="13" t="s">
        <v>1252</v>
      </c>
      <c r="EB1794" s="13" t="s">
        <v>1371</v>
      </c>
      <c r="EC1794" s="13" t="s">
        <v>1219</v>
      </c>
      <c r="ED1794" s="11">
        <v>91039.87</v>
      </c>
      <c r="EE1794" s="11"/>
    </row>
    <row r="1795" spans="130:135" x14ac:dyDescent="0.2">
      <c r="DZ1795" s="5">
        <v>45992</v>
      </c>
      <c r="EA1795" s="13" t="s">
        <v>1250</v>
      </c>
      <c r="EB1795" s="13" t="s">
        <v>1366</v>
      </c>
      <c r="EC1795" s="13" t="s">
        <v>1136</v>
      </c>
      <c r="ED1795" s="11">
        <v>2000000</v>
      </c>
      <c r="EE1795" s="11"/>
    </row>
    <row r="1796" spans="130:135" x14ac:dyDescent="0.2">
      <c r="DZ1796" s="5">
        <v>45992</v>
      </c>
      <c r="EA1796" s="13" t="s">
        <v>1251</v>
      </c>
      <c r="EB1796" s="13" t="s">
        <v>1337</v>
      </c>
      <c r="EC1796" s="13" t="s">
        <v>1179</v>
      </c>
      <c r="ED1796" s="11">
        <v>186349</v>
      </c>
      <c r="EE1796" s="11"/>
    </row>
    <row r="1797" spans="130:135" x14ac:dyDescent="0.2">
      <c r="DZ1797" s="5">
        <v>45992</v>
      </c>
      <c r="EA1797" s="13" t="s">
        <v>1251</v>
      </c>
      <c r="EB1797" s="13" t="s">
        <v>2319</v>
      </c>
      <c r="EC1797" s="13" t="s">
        <v>1179</v>
      </c>
      <c r="ED1797" s="11">
        <v>0</v>
      </c>
      <c r="EE1797" s="11"/>
    </row>
    <row r="1798" spans="130:135" x14ac:dyDescent="0.2">
      <c r="DZ1798" s="5">
        <v>45992</v>
      </c>
      <c r="EA1798" s="13" t="s">
        <v>1251</v>
      </c>
      <c r="EB1798" s="13" t="s">
        <v>2305</v>
      </c>
      <c r="EC1798" s="13" t="s">
        <v>1179</v>
      </c>
      <c r="ED1798" s="11">
        <v>0</v>
      </c>
      <c r="EE1798" s="11"/>
    </row>
    <row r="1799" spans="130:135" x14ac:dyDescent="0.2">
      <c r="DZ1799" s="5">
        <v>45992</v>
      </c>
      <c r="EA1799" s="13" t="s">
        <v>1252</v>
      </c>
      <c r="EB1799" s="13" t="s">
        <v>2202</v>
      </c>
      <c r="EC1799" s="13" t="s">
        <v>1222</v>
      </c>
      <c r="ED1799" s="11">
        <v>0</v>
      </c>
      <c r="EE1799" s="11"/>
    </row>
    <row r="1800" spans="130:135" x14ac:dyDescent="0.2">
      <c r="DZ1800" s="5">
        <v>45992</v>
      </c>
      <c r="EA1800" s="13" t="s">
        <v>1252</v>
      </c>
      <c r="EB1800" s="13" t="s">
        <v>2287</v>
      </c>
      <c r="EC1800" s="13" t="s">
        <v>1222</v>
      </c>
      <c r="ED1800" s="11">
        <v>0</v>
      </c>
      <c r="EE1800" s="11"/>
    </row>
    <row r="1801" spans="130:135" x14ac:dyDescent="0.2">
      <c r="DZ1801" s="5">
        <v>45992</v>
      </c>
      <c r="EA1801" s="13" t="s">
        <v>1252</v>
      </c>
      <c r="EB1801" s="13" t="s">
        <v>1406</v>
      </c>
      <c r="EC1801" s="13" t="s">
        <v>1222</v>
      </c>
      <c r="ED1801" s="11">
        <v>3300</v>
      </c>
      <c r="EE1801" s="11"/>
    </row>
    <row r="1802" spans="130:135" x14ac:dyDescent="0.2">
      <c r="DZ1802" s="5">
        <v>45992</v>
      </c>
      <c r="EA1802" s="13" t="s">
        <v>1252</v>
      </c>
      <c r="EB1802" s="13" t="s">
        <v>1338</v>
      </c>
      <c r="EC1802" s="13" t="s">
        <v>1222</v>
      </c>
      <c r="ED1802" s="11">
        <v>2200</v>
      </c>
      <c r="EE1802" s="11"/>
    </row>
    <row r="1803" spans="130:135" x14ac:dyDescent="0.2">
      <c r="DZ1803" s="5">
        <v>45992</v>
      </c>
      <c r="EA1803" s="13" t="s">
        <v>1252</v>
      </c>
      <c r="EB1803" s="13" t="s">
        <v>1374</v>
      </c>
      <c r="EC1803" s="13" t="s">
        <v>1222</v>
      </c>
      <c r="ED1803" s="11">
        <v>0</v>
      </c>
      <c r="EE1803" s="11"/>
    </row>
    <row r="1804" spans="130:135" x14ac:dyDescent="0.2">
      <c r="DZ1804" s="5">
        <v>45992</v>
      </c>
      <c r="EA1804" s="13" t="s">
        <v>1252</v>
      </c>
      <c r="EB1804" s="13" t="s">
        <v>1359</v>
      </c>
      <c r="EC1804" s="13" t="s">
        <v>1222</v>
      </c>
      <c r="ED1804" s="11">
        <v>29000</v>
      </c>
      <c r="EE1804" s="11"/>
    </row>
    <row r="1805" spans="130:135" x14ac:dyDescent="0.2">
      <c r="DZ1805" s="5">
        <v>45992</v>
      </c>
      <c r="EA1805" s="13" t="s">
        <v>1252</v>
      </c>
      <c r="EB1805" s="13" t="s">
        <v>1339</v>
      </c>
      <c r="EC1805" s="13" t="s">
        <v>1222</v>
      </c>
      <c r="ED1805" s="11">
        <v>31300</v>
      </c>
      <c r="EE1805" s="11"/>
    </row>
    <row r="1806" spans="130:135" x14ac:dyDescent="0.2">
      <c r="DZ1806" s="5">
        <v>45992</v>
      </c>
      <c r="EA1806" s="13" t="s">
        <v>1252</v>
      </c>
      <c r="EB1806" s="13" t="s">
        <v>1376</v>
      </c>
      <c r="EC1806" s="13" t="s">
        <v>1222</v>
      </c>
      <c r="ED1806" s="11">
        <v>22700</v>
      </c>
      <c r="EE1806" s="11"/>
    </row>
    <row r="1807" spans="130:135" x14ac:dyDescent="0.2">
      <c r="DZ1807" s="5">
        <v>45992</v>
      </c>
      <c r="EA1807" s="13" t="s">
        <v>1252</v>
      </c>
      <c r="EB1807" s="13" t="s">
        <v>1360</v>
      </c>
      <c r="EC1807" s="13" t="s">
        <v>1222</v>
      </c>
      <c r="ED1807" s="11">
        <v>2700</v>
      </c>
      <c r="EE1807" s="11"/>
    </row>
    <row r="1808" spans="130:135" x14ac:dyDescent="0.2">
      <c r="DZ1808" s="5">
        <v>45992</v>
      </c>
      <c r="EA1808" s="13" t="s">
        <v>1252</v>
      </c>
      <c r="EB1808" s="13" t="s">
        <v>1375</v>
      </c>
      <c r="EC1808" s="13" t="s">
        <v>1222</v>
      </c>
      <c r="ED1808" s="11">
        <v>1000</v>
      </c>
      <c r="EE1808" s="11"/>
    </row>
    <row r="1809" spans="130:135" x14ac:dyDescent="0.2">
      <c r="DZ1809" s="5">
        <v>45992</v>
      </c>
      <c r="EA1809" s="13" t="s">
        <v>1252</v>
      </c>
      <c r="EB1809" s="13" t="s">
        <v>1340</v>
      </c>
      <c r="EC1809" s="13" t="s">
        <v>1222</v>
      </c>
      <c r="ED1809" s="11">
        <v>33400</v>
      </c>
      <c r="EE1809" s="11"/>
    </row>
    <row r="1810" spans="130:135" x14ac:dyDescent="0.2">
      <c r="DZ1810" s="5">
        <v>45992</v>
      </c>
      <c r="EA1810" s="13" t="s">
        <v>1251</v>
      </c>
      <c r="EB1810" s="13" t="s">
        <v>2212</v>
      </c>
      <c r="EC1810" s="13" t="s">
        <v>1056</v>
      </c>
      <c r="ED1810" s="11">
        <v>0</v>
      </c>
      <c r="EE1810" s="11"/>
    </row>
    <row r="1811" spans="130:135" x14ac:dyDescent="0.2">
      <c r="DZ1811" s="5">
        <v>45992</v>
      </c>
      <c r="EA1811" s="13" t="s">
        <v>1251</v>
      </c>
      <c r="EB1811" s="13" t="s">
        <v>2305</v>
      </c>
      <c r="EC1811" s="13" t="s">
        <v>1056</v>
      </c>
      <c r="ED1811" s="11">
        <v>0</v>
      </c>
      <c r="EE1811" s="11"/>
    </row>
    <row r="1812" spans="130:135" x14ac:dyDescent="0.2">
      <c r="DZ1812" s="5">
        <v>45992</v>
      </c>
      <c r="EA1812" s="13" t="s">
        <v>1251</v>
      </c>
      <c r="EB1812" s="13" t="s">
        <v>2319</v>
      </c>
      <c r="EC1812" s="13" t="s">
        <v>1056</v>
      </c>
      <c r="ED1812" s="11">
        <v>0</v>
      </c>
      <c r="EE1812" s="11"/>
    </row>
    <row r="1813" spans="130:135" x14ac:dyDescent="0.2">
      <c r="DZ1813" s="5">
        <v>45992</v>
      </c>
      <c r="EA1813" s="13" t="s">
        <v>1250</v>
      </c>
      <c r="EB1813" s="13" t="s">
        <v>1356</v>
      </c>
      <c r="EC1813" s="13" t="s">
        <v>1056</v>
      </c>
      <c r="ED1813" s="11">
        <v>57588</v>
      </c>
      <c r="EE1813" s="11"/>
    </row>
    <row r="1814" spans="130:135" x14ac:dyDescent="0.2">
      <c r="DZ1814" s="5">
        <v>45992</v>
      </c>
      <c r="EA1814" s="13" t="s">
        <v>1251</v>
      </c>
      <c r="EB1814" s="13" t="s">
        <v>2206</v>
      </c>
      <c r="EC1814" s="13" t="s">
        <v>1056</v>
      </c>
      <c r="ED1814" s="11">
        <v>0</v>
      </c>
      <c r="EE1814" s="11"/>
    </row>
    <row r="1815" spans="130:135" x14ac:dyDescent="0.2">
      <c r="DZ1815" s="5">
        <v>45992</v>
      </c>
      <c r="EA1815" s="13" t="s">
        <v>1251</v>
      </c>
      <c r="EB1815" s="13" t="s">
        <v>1337</v>
      </c>
      <c r="EC1815" s="13" t="s">
        <v>1056</v>
      </c>
      <c r="ED1815" s="11">
        <v>2352</v>
      </c>
      <c r="EE1815" s="11"/>
    </row>
    <row r="1816" spans="130:135" x14ac:dyDescent="0.2">
      <c r="DZ1816" s="5">
        <v>45992</v>
      </c>
      <c r="EA1816" s="13" t="s">
        <v>1250</v>
      </c>
      <c r="EB1816" s="13" t="s">
        <v>1357</v>
      </c>
      <c r="EC1816" s="13" t="s">
        <v>1056</v>
      </c>
      <c r="ED1816" s="11">
        <v>57588</v>
      </c>
      <c r="EE1816" s="11"/>
    </row>
    <row r="1817" spans="130:135" x14ac:dyDescent="0.2">
      <c r="DZ1817" s="5">
        <v>45992</v>
      </c>
      <c r="EA1817" s="13" t="s">
        <v>1250</v>
      </c>
      <c r="EB1817" s="13" t="s">
        <v>1358</v>
      </c>
      <c r="EC1817" s="13" t="s">
        <v>1056</v>
      </c>
      <c r="ED1817" s="11">
        <v>81011</v>
      </c>
      <c r="EE1817" s="11"/>
    </row>
    <row r="1818" spans="130:135" x14ac:dyDescent="0.2">
      <c r="DZ1818" s="5">
        <v>45992</v>
      </c>
      <c r="EA1818" s="13" t="s">
        <v>1251</v>
      </c>
      <c r="EB1818" s="13" t="s">
        <v>1341</v>
      </c>
      <c r="EC1818" s="13" t="s">
        <v>1148</v>
      </c>
      <c r="ED1818" s="11">
        <v>0</v>
      </c>
      <c r="EE1818" s="11"/>
    </row>
    <row r="1819" spans="130:135" x14ac:dyDescent="0.2">
      <c r="DZ1819" s="5">
        <v>45992</v>
      </c>
      <c r="EA1819" s="13" t="s">
        <v>1250</v>
      </c>
      <c r="EB1819" s="13" t="s">
        <v>2335</v>
      </c>
      <c r="EC1819" s="13" t="s">
        <v>1148</v>
      </c>
      <c r="ED1819" s="11">
        <v>0</v>
      </c>
      <c r="EE1819" s="11"/>
    </row>
    <row r="1820" spans="130:135" x14ac:dyDescent="0.2">
      <c r="DZ1820" s="5">
        <v>45992</v>
      </c>
      <c r="EA1820" s="13" t="s">
        <v>1251</v>
      </c>
      <c r="EB1820" s="13" t="s">
        <v>1409</v>
      </c>
      <c r="EC1820" s="13" t="s">
        <v>1148</v>
      </c>
      <c r="ED1820" s="11">
        <v>0</v>
      </c>
      <c r="EE1820" s="11"/>
    </row>
    <row r="1821" spans="130:135" x14ac:dyDescent="0.2">
      <c r="DZ1821" s="5">
        <v>45992</v>
      </c>
      <c r="EA1821" s="13" t="s">
        <v>1251</v>
      </c>
      <c r="EB1821" s="13" t="s">
        <v>1382</v>
      </c>
      <c r="EC1821" s="13" t="s">
        <v>1208</v>
      </c>
      <c r="ED1821" s="11">
        <v>0</v>
      </c>
      <c r="EE1821" s="11"/>
    </row>
    <row r="1822" spans="130:135" x14ac:dyDescent="0.2">
      <c r="DZ1822" s="5">
        <v>45992</v>
      </c>
      <c r="EA1822" s="13" t="s">
        <v>1251</v>
      </c>
      <c r="EB1822" s="13" t="s">
        <v>1346</v>
      </c>
      <c r="EC1822" s="13" t="s">
        <v>1208</v>
      </c>
      <c r="ED1822" s="11">
        <v>1844459</v>
      </c>
      <c r="EE1822" s="11"/>
    </row>
    <row r="1823" spans="130:135" x14ac:dyDescent="0.2">
      <c r="DZ1823" s="5">
        <v>45992</v>
      </c>
      <c r="EA1823" s="13" t="s">
        <v>1251</v>
      </c>
      <c r="EB1823" s="13" t="s">
        <v>2366</v>
      </c>
      <c r="EC1823" s="13" t="s">
        <v>1208</v>
      </c>
      <c r="ED1823" s="11">
        <v>0</v>
      </c>
      <c r="EE1823" s="11"/>
    </row>
    <row r="1824" spans="130:135" x14ac:dyDescent="0.2">
      <c r="DZ1824" s="5">
        <v>45992</v>
      </c>
      <c r="EA1824" s="13" t="s">
        <v>1251</v>
      </c>
      <c r="EB1824" s="13" t="s">
        <v>2277</v>
      </c>
      <c r="EC1824" s="13" t="s">
        <v>1208</v>
      </c>
      <c r="ED1824" s="11">
        <v>0</v>
      </c>
      <c r="EE1824" s="11"/>
    </row>
    <row r="1825" spans="130:135" x14ac:dyDescent="0.2">
      <c r="DZ1825" s="5">
        <v>45992</v>
      </c>
      <c r="EA1825" s="13" t="s">
        <v>1251</v>
      </c>
      <c r="EB1825" s="13" t="s">
        <v>1350</v>
      </c>
      <c r="EC1825" s="13" t="s">
        <v>1208</v>
      </c>
      <c r="ED1825" s="11">
        <v>2580984</v>
      </c>
      <c r="EE1825" s="11"/>
    </row>
    <row r="1826" spans="130:135" x14ac:dyDescent="0.2">
      <c r="DZ1826" s="5">
        <v>45992</v>
      </c>
      <c r="EA1826" s="13" t="s">
        <v>1251</v>
      </c>
      <c r="EB1826" s="13" t="s">
        <v>2278</v>
      </c>
      <c r="EC1826" s="13" t="s">
        <v>1215</v>
      </c>
      <c r="ED1826" s="11"/>
      <c r="EE1826" s="11">
        <v>1740000.4</v>
      </c>
    </row>
    <row r="1827" spans="130:135" x14ac:dyDescent="0.2">
      <c r="DZ1827" s="5">
        <v>45992</v>
      </c>
      <c r="EA1827" s="13" t="s">
        <v>1251</v>
      </c>
      <c r="EB1827" s="13" t="s">
        <v>1354</v>
      </c>
      <c r="EC1827" s="13" t="s">
        <v>1215</v>
      </c>
      <c r="ED1827" s="11"/>
      <c r="EE1827" s="11">
        <v>0</v>
      </c>
    </row>
    <row r="1828" spans="130:135" x14ac:dyDescent="0.2">
      <c r="DZ1828" s="5">
        <v>45992</v>
      </c>
      <c r="EA1828" s="13" t="s">
        <v>1251</v>
      </c>
      <c r="EB1828" s="13" t="s">
        <v>2293</v>
      </c>
      <c r="EC1828" s="13" t="s">
        <v>1215</v>
      </c>
      <c r="ED1828" s="11"/>
      <c r="EE1828" s="11">
        <v>0</v>
      </c>
    </row>
    <row r="1829" spans="130:135" x14ac:dyDescent="0.2">
      <c r="DZ1829" s="5">
        <v>45992</v>
      </c>
      <c r="EA1829" s="13" t="s">
        <v>1251</v>
      </c>
      <c r="EB1829" s="13" t="s">
        <v>1385</v>
      </c>
      <c r="EC1829" s="13" t="s">
        <v>1215</v>
      </c>
      <c r="ED1829" s="11"/>
      <c r="EE1829" s="11">
        <v>1571800</v>
      </c>
    </row>
    <row r="1830" spans="130:135" x14ac:dyDescent="0.2">
      <c r="DZ1830" s="5">
        <v>45992</v>
      </c>
      <c r="EA1830" s="13" t="s">
        <v>1251</v>
      </c>
      <c r="EB1830" s="13" t="s">
        <v>2285</v>
      </c>
      <c r="EC1830" s="13" t="s">
        <v>1215</v>
      </c>
      <c r="ED1830" s="11"/>
      <c r="EE1830" s="11">
        <v>0</v>
      </c>
    </row>
    <row r="1831" spans="130:135" x14ac:dyDescent="0.2">
      <c r="DZ1831" s="5">
        <v>45992</v>
      </c>
      <c r="EA1831" s="13" t="s">
        <v>1251</v>
      </c>
      <c r="EB1831" s="13" t="s">
        <v>2280</v>
      </c>
      <c r="EC1831" s="13" t="s">
        <v>1215</v>
      </c>
      <c r="ED1831" s="11"/>
      <c r="EE1831" s="11">
        <v>0</v>
      </c>
    </row>
    <row r="1832" spans="130:135" x14ac:dyDescent="0.2">
      <c r="DZ1832" s="5">
        <v>45992</v>
      </c>
      <c r="EA1832" s="13" t="s">
        <v>1251</v>
      </c>
      <c r="EB1832" s="13" t="s">
        <v>1347</v>
      </c>
      <c r="EC1832" s="13" t="s">
        <v>1215</v>
      </c>
      <c r="ED1832" s="11"/>
      <c r="EE1832" s="11">
        <v>0</v>
      </c>
    </row>
    <row r="1833" spans="130:135" x14ac:dyDescent="0.2">
      <c r="DZ1833" s="5">
        <v>45992</v>
      </c>
      <c r="EA1833" s="13" t="s">
        <v>1251</v>
      </c>
      <c r="EB1833" s="13" t="s">
        <v>1348</v>
      </c>
      <c r="EC1833" s="13" t="s">
        <v>1215</v>
      </c>
      <c r="ED1833" s="11"/>
      <c r="EE1833" s="11">
        <v>572300</v>
      </c>
    </row>
    <row r="1834" spans="130:135" x14ac:dyDescent="0.2">
      <c r="DZ1834" s="5">
        <v>45992</v>
      </c>
      <c r="EA1834" s="13" t="s">
        <v>1251</v>
      </c>
      <c r="EB1834" s="13" t="s">
        <v>2282</v>
      </c>
      <c r="EC1834" s="13" t="s">
        <v>1215</v>
      </c>
      <c r="ED1834" s="11"/>
      <c r="EE1834" s="11">
        <v>0</v>
      </c>
    </row>
    <row r="1835" spans="130:135" x14ac:dyDescent="0.2">
      <c r="DZ1835" s="5">
        <v>45992</v>
      </c>
      <c r="EA1835" s="13" t="s">
        <v>1251</v>
      </c>
      <c r="EB1835" s="13" t="s">
        <v>1386</v>
      </c>
      <c r="EC1835" s="13" t="s">
        <v>1215</v>
      </c>
      <c r="ED1835" s="11"/>
      <c r="EE1835" s="11">
        <v>235116</v>
      </c>
    </row>
    <row r="1836" spans="130:135" x14ac:dyDescent="0.2">
      <c r="DZ1836" s="5">
        <v>45992</v>
      </c>
      <c r="EA1836" s="13" t="s">
        <v>1251</v>
      </c>
      <c r="EB1836" s="13" t="s">
        <v>1353</v>
      </c>
      <c r="EC1836" s="13" t="s">
        <v>1215</v>
      </c>
      <c r="ED1836" s="11"/>
      <c r="EE1836" s="11">
        <v>146218</v>
      </c>
    </row>
    <row r="1837" spans="130:135" x14ac:dyDescent="0.2">
      <c r="DZ1837" s="5">
        <v>45992</v>
      </c>
      <c r="EA1837" s="13" t="s">
        <v>1251</v>
      </c>
      <c r="EB1837" s="13" t="s">
        <v>2281</v>
      </c>
      <c r="EC1837" s="13" t="s">
        <v>1215</v>
      </c>
      <c r="ED1837" s="11"/>
      <c r="EE1837" s="11">
        <v>0</v>
      </c>
    </row>
    <row r="1838" spans="130:135" x14ac:dyDescent="0.2">
      <c r="DZ1838" s="5">
        <v>45992</v>
      </c>
      <c r="EA1838" s="13" t="s">
        <v>1251</v>
      </c>
      <c r="EB1838" s="13" t="s">
        <v>2279</v>
      </c>
      <c r="EC1838" s="13" t="s">
        <v>1215</v>
      </c>
      <c r="ED1838" s="11"/>
      <c r="EE1838" s="11">
        <v>0</v>
      </c>
    </row>
    <row r="1839" spans="130:135" x14ac:dyDescent="0.2">
      <c r="DZ1839" s="5">
        <v>45992</v>
      </c>
      <c r="EA1839" s="13" t="s">
        <v>1251</v>
      </c>
      <c r="EB1839" s="13" t="s">
        <v>1404</v>
      </c>
      <c r="EC1839" s="13" t="s">
        <v>1217</v>
      </c>
      <c r="ED1839" s="11">
        <v>1571429</v>
      </c>
      <c r="EE1839" s="11"/>
    </row>
    <row r="1840" spans="130:135" x14ac:dyDescent="0.2">
      <c r="DZ1840" s="5">
        <v>45992</v>
      </c>
      <c r="EA1840" s="13" t="s">
        <v>1251</v>
      </c>
      <c r="EB1840" s="13" t="s">
        <v>2315</v>
      </c>
      <c r="EC1840" s="13" t="s">
        <v>1217</v>
      </c>
      <c r="ED1840" s="11">
        <v>794117</v>
      </c>
      <c r="EE1840" s="11"/>
    </row>
    <row r="1841" spans="130:135" x14ac:dyDescent="0.2">
      <c r="DZ1841" s="5">
        <v>45992</v>
      </c>
      <c r="EA1841" s="13" t="s">
        <v>1251</v>
      </c>
      <c r="EB1841" s="13" t="s">
        <v>2336</v>
      </c>
      <c r="EC1841" s="13" t="s">
        <v>1217</v>
      </c>
      <c r="ED1841" s="11">
        <v>0</v>
      </c>
      <c r="EE1841" s="11"/>
    </row>
    <row r="1842" spans="130:135" x14ac:dyDescent="0.2">
      <c r="DZ1842" s="5">
        <v>45992</v>
      </c>
      <c r="EA1842" s="13" t="s">
        <v>1251</v>
      </c>
      <c r="EB1842" s="13" t="s">
        <v>2314</v>
      </c>
      <c r="EC1842" s="13" t="s">
        <v>1217</v>
      </c>
      <c r="ED1842" s="11">
        <v>0</v>
      </c>
      <c r="EE1842" s="11"/>
    </row>
    <row r="1843" spans="130:135" x14ac:dyDescent="0.2">
      <c r="DZ1843" s="5">
        <v>45992</v>
      </c>
      <c r="EA1843" s="13" t="s">
        <v>1251</v>
      </c>
      <c r="EB1843" s="13" t="s">
        <v>2294</v>
      </c>
      <c r="EC1843" s="13" t="s">
        <v>1217</v>
      </c>
      <c r="ED1843" s="11">
        <v>0</v>
      </c>
      <c r="EE1843" s="11"/>
    </row>
    <row r="1844" spans="130:135" x14ac:dyDescent="0.2">
      <c r="DZ1844" s="5">
        <v>45992</v>
      </c>
      <c r="EA1844" s="13" t="s">
        <v>1251</v>
      </c>
      <c r="EB1844" s="13" t="s">
        <v>2337</v>
      </c>
      <c r="EC1844" s="13" t="s">
        <v>1217</v>
      </c>
      <c r="ED1844" s="11">
        <v>0</v>
      </c>
      <c r="EE1844" s="11"/>
    </row>
    <row r="1845" spans="130:135" x14ac:dyDescent="0.2">
      <c r="DZ1845" s="5">
        <v>45992</v>
      </c>
      <c r="EA1845" s="13" t="s">
        <v>1251</v>
      </c>
      <c r="EB1845" s="13" t="s">
        <v>1352</v>
      </c>
      <c r="EC1845" s="13" t="s">
        <v>1217</v>
      </c>
      <c r="ED1845" s="11">
        <v>0</v>
      </c>
      <c r="EE1845" s="11"/>
    </row>
    <row r="1846" spans="130:135" x14ac:dyDescent="0.2">
      <c r="DZ1846" s="5">
        <v>45992</v>
      </c>
      <c r="EA1846" s="13" t="s">
        <v>1251</v>
      </c>
      <c r="EB1846" s="13" t="s">
        <v>2394</v>
      </c>
      <c r="EC1846" s="13" t="s">
        <v>1217</v>
      </c>
      <c r="ED1846" s="11">
        <v>168100</v>
      </c>
      <c r="EE1846" s="11"/>
    </row>
    <row r="1847" spans="130:135" x14ac:dyDescent="0.2">
      <c r="DZ1847" s="5">
        <v>45992</v>
      </c>
      <c r="EA1847" s="13" t="s">
        <v>1251</v>
      </c>
      <c r="EB1847" s="13" t="s">
        <v>2283</v>
      </c>
      <c r="EC1847" s="13" t="s">
        <v>1217</v>
      </c>
      <c r="ED1847" s="11">
        <v>0</v>
      </c>
      <c r="EE1847" s="11"/>
    </row>
    <row r="1848" spans="130:135" x14ac:dyDescent="0.2">
      <c r="DZ1848" s="5">
        <v>45992</v>
      </c>
      <c r="EA1848" s="13" t="s">
        <v>1251</v>
      </c>
      <c r="EB1848" s="13" t="s">
        <v>1387</v>
      </c>
      <c r="EC1848" s="13" t="s">
        <v>1217</v>
      </c>
      <c r="ED1848" s="11">
        <v>1512600</v>
      </c>
      <c r="EE1848" s="11"/>
    </row>
    <row r="1849" spans="130:135" x14ac:dyDescent="0.2">
      <c r="DZ1849" s="5">
        <v>45992</v>
      </c>
      <c r="EA1849" s="13" t="s">
        <v>1251</v>
      </c>
      <c r="EB1849" s="13" t="s">
        <v>2339</v>
      </c>
      <c r="EC1849" s="13" t="s">
        <v>1217</v>
      </c>
      <c r="ED1849" s="11">
        <v>0</v>
      </c>
      <c r="EE1849" s="11"/>
    </row>
    <row r="1850" spans="130:135" x14ac:dyDescent="0.2">
      <c r="DZ1850" s="5">
        <v>45992</v>
      </c>
      <c r="EA1850" s="13" t="s">
        <v>1251</v>
      </c>
      <c r="EB1850" s="13" t="s">
        <v>2313</v>
      </c>
      <c r="EC1850" s="13" t="s">
        <v>1217</v>
      </c>
      <c r="ED1850" s="11">
        <v>0</v>
      </c>
      <c r="EE1850" s="11"/>
    </row>
    <row r="1851" spans="130:135" x14ac:dyDescent="0.2">
      <c r="DZ1851" s="5">
        <v>45992</v>
      </c>
      <c r="EA1851" s="13" t="s">
        <v>1251</v>
      </c>
      <c r="EB1851" s="13" t="s">
        <v>2367</v>
      </c>
      <c r="EC1851" s="13" t="s">
        <v>1217</v>
      </c>
      <c r="ED1851" s="11">
        <v>0</v>
      </c>
      <c r="EE1851" s="11"/>
    </row>
    <row r="1852" spans="130:135" x14ac:dyDescent="0.2">
      <c r="DZ1852" s="5">
        <v>45992</v>
      </c>
      <c r="EA1852" s="13" t="s">
        <v>1251</v>
      </c>
      <c r="EB1852" s="13" t="s">
        <v>1389</v>
      </c>
      <c r="EC1852" s="13" t="s">
        <v>1217</v>
      </c>
      <c r="ED1852" s="11">
        <v>0</v>
      </c>
      <c r="EE1852" s="11"/>
    </row>
    <row r="1853" spans="130:135" x14ac:dyDescent="0.2">
      <c r="DZ1853" s="5">
        <v>45992</v>
      </c>
      <c r="EA1853" s="13" t="s">
        <v>1251</v>
      </c>
      <c r="EB1853" s="13" t="s">
        <v>1388</v>
      </c>
      <c r="EC1853" s="13" t="s">
        <v>1217</v>
      </c>
      <c r="ED1853" s="11">
        <v>1533000</v>
      </c>
      <c r="EE1853" s="11"/>
    </row>
    <row r="1854" spans="130:135" x14ac:dyDescent="0.2">
      <c r="DZ1854" s="5">
        <v>45992</v>
      </c>
      <c r="EA1854" s="13" t="s">
        <v>1251</v>
      </c>
      <c r="EB1854" s="13" t="s">
        <v>2340</v>
      </c>
      <c r="EC1854" s="13" t="s">
        <v>1217</v>
      </c>
      <c r="ED1854" s="11">
        <v>0</v>
      </c>
      <c r="EE1854" s="11"/>
    </row>
    <row r="1855" spans="130:135" x14ac:dyDescent="0.2">
      <c r="DZ1855" s="5">
        <v>45992</v>
      </c>
      <c r="EA1855" s="13" t="s">
        <v>1251</v>
      </c>
      <c r="EB1855" s="13" t="s">
        <v>1384</v>
      </c>
      <c r="EC1855" s="13" t="s">
        <v>1217</v>
      </c>
      <c r="ED1855" s="11">
        <v>1248000</v>
      </c>
      <c r="EE1855" s="11"/>
    </row>
    <row r="1856" spans="130:135" x14ac:dyDescent="0.2">
      <c r="DZ1856" s="5">
        <v>45992</v>
      </c>
      <c r="EA1856" s="13" t="s">
        <v>1251</v>
      </c>
      <c r="EB1856" s="13" t="s">
        <v>2284</v>
      </c>
      <c r="EC1856" s="13" t="s">
        <v>1217</v>
      </c>
      <c r="ED1856" s="11">
        <v>0</v>
      </c>
      <c r="EE1856" s="11"/>
    </row>
    <row r="1857" spans="130:135" x14ac:dyDescent="0.2">
      <c r="DZ1857" s="5">
        <v>45992</v>
      </c>
      <c r="EA1857" s="13" t="s">
        <v>1251</v>
      </c>
      <c r="EB1857" s="13" t="s">
        <v>2302</v>
      </c>
      <c r="EC1857" s="13" t="s">
        <v>1217</v>
      </c>
      <c r="ED1857" s="11">
        <v>9750</v>
      </c>
      <c r="EE1857" s="11"/>
    </row>
    <row r="1858" spans="130:135" x14ac:dyDescent="0.2">
      <c r="DZ1858" s="5">
        <v>45992</v>
      </c>
      <c r="EA1858" s="13" t="s">
        <v>1251</v>
      </c>
      <c r="EB1858" s="13" t="s">
        <v>2368</v>
      </c>
      <c r="EC1858" s="13" t="s">
        <v>1217</v>
      </c>
      <c r="ED1858" s="11">
        <v>0</v>
      </c>
      <c r="EE1858" s="11"/>
    </row>
    <row r="1859" spans="130:135" x14ac:dyDescent="0.2">
      <c r="DZ1859" s="5">
        <v>45992</v>
      </c>
      <c r="EA1859" s="13" t="s">
        <v>1251</v>
      </c>
      <c r="EB1859" s="13" t="s">
        <v>2338</v>
      </c>
      <c r="EC1859" s="13" t="s">
        <v>1217</v>
      </c>
      <c r="ED1859" s="11">
        <v>0</v>
      </c>
      <c r="EE1859" s="11"/>
    </row>
    <row r="1860" spans="130:135" x14ac:dyDescent="0.2">
      <c r="DZ1860" s="5">
        <v>45992</v>
      </c>
      <c r="EA1860" s="13" t="s">
        <v>1253</v>
      </c>
      <c r="EB1860" s="13" t="s">
        <v>1335</v>
      </c>
      <c r="EC1860" s="13" t="s">
        <v>1084</v>
      </c>
      <c r="ED1860" s="11"/>
      <c r="EE1860" s="11">
        <v>51054828</v>
      </c>
    </row>
    <row r="1861" spans="130:135" x14ac:dyDescent="0.2">
      <c r="DZ1861" s="5">
        <v>45992</v>
      </c>
      <c r="EA1861" s="13" t="s">
        <v>1253</v>
      </c>
      <c r="EB1861" s="13" t="s">
        <v>2285</v>
      </c>
      <c r="EC1861" s="13" t="s">
        <v>1084</v>
      </c>
      <c r="ED1861" s="11"/>
      <c r="EE1861" s="11">
        <v>0</v>
      </c>
    </row>
    <row r="1862" spans="130:135" x14ac:dyDescent="0.2">
      <c r="DZ1862" s="5">
        <v>45992</v>
      </c>
      <c r="EA1862" s="13" t="s">
        <v>1250</v>
      </c>
      <c r="EB1862" s="13" t="s">
        <v>1357</v>
      </c>
      <c r="EC1862" s="13" t="s">
        <v>1114</v>
      </c>
      <c r="ED1862" s="11">
        <v>1293333</v>
      </c>
      <c r="EE1862" s="11"/>
    </row>
    <row r="1863" spans="130:135" x14ac:dyDescent="0.2">
      <c r="DZ1863" s="5">
        <v>45992</v>
      </c>
      <c r="EA1863" s="13" t="s">
        <v>1251</v>
      </c>
      <c r="EB1863" s="13" t="s">
        <v>2212</v>
      </c>
      <c r="EC1863" s="13" t="s">
        <v>1114</v>
      </c>
      <c r="ED1863" s="11">
        <v>0</v>
      </c>
      <c r="EE1863" s="11"/>
    </row>
    <row r="1864" spans="130:135" x14ac:dyDescent="0.2">
      <c r="DZ1864" s="5">
        <v>45992</v>
      </c>
      <c r="EA1864" s="13" t="s">
        <v>1251</v>
      </c>
      <c r="EB1864" s="13" t="s">
        <v>2305</v>
      </c>
      <c r="EC1864" s="13" t="s">
        <v>1114</v>
      </c>
      <c r="ED1864" s="11">
        <v>0</v>
      </c>
      <c r="EE1864" s="11"/>
    </row>
    <row r="1865" spans="130:135" x14ac:dyDescent="0.2">
      <c r="DZ1865" s="5">
        <v>45992</v>
      </c>
      <c r="EA1865" s="13" t="s">
        <v>1250</v>
      </c>
      <c r="EB1865" s="13" t="s">
        <v>1358</v>
      </c>
      <c r="EC1865" s="13" t="s">
        <v>1114</v>
      </c>
      <c r="ED1865" s="11">
        <v>64806</v>
      </c>
      <c r="EE1865" s="11"/>
    </row>
    <row r="1866" spans="130:135" x14ac:dyDescent="0.2">
      <c r="DZ1866" s="5">
        <v>45992</v>
      </c>
      <c r="EA1866" s="13" t="s">
        <v>1251</v>
      </c>
      <c r="EB1866" s="13" t="s">
        <v>2319</v>
      </c>
      <c r="EC1866" s="13" t="s">
        <v>1114</v>
      </c>
      <c r="ED1866" s="11">
        <v>0</v>
      </c>
      <c r="EE1866" s="11"/>
    </row>
    <row r="1867" spans="130:135" x14ac:dyDescent="0.2">
      <c r="DZ1867" s="5">
        <v>45992</v>
      </c>
      <c r="EA1867" s="13" t="s">
        <v>1250</v>
      </c>
      <c r="EB1867" s="13" t="s">
        <v>1356</v>
      </c>
      <c r="EC1867" s="13" t="s">
        <v>1114</v>
      </c>
      <c r="ED1867" s="11">
        <v>1293333</v>
      </c>
      <c r="EE1867" s="11"/>
    </row>
    <row r="1868" spans="130:135" x14ac:dyDescent="0.2">
      <c r="DZ1868" s="5">
        <v>45992</v>
      </c>
      <c r="EA1868" s="13" t="s">
        <v>1251</v>
      </c>
      <c r="EB1868" s="13" t="s">
        <v>1337</v>
      </c>
      <c r="EC1868" s="13" t="s">
        <v>1114</v>
      </c>
      <c r="ED1868" s="11">
        <v>175879</v>
      </c>
      <c r="EE1868" s="11"/>
    </row>
    <row r="1869" spans="130:135" x14ac:dyDescent="0.2">
      <c r="DZ1869" s="5">
        <v>45992</v>
      </c>
      <c r="EA1869" s="13" t="s">
        <v>1251</v>
      </c>
      <c r="EB1869" s="13" t="s">
        <v>2206</v>
      </c>
      <c r="EC1869" s="13" t="s">
        <v>1114</v>
      </c>
      <c r="ED1869" s="11">
        <v>0</v>
      </c>
      <c r="EE1869" s="11"/>
    </row>
    <row r="1870" spans="130:135" x14ac:dyDescent="0.2">
      <c r="DZ1870" s="5">
        <v>45992</v>
      </c>
      <c r="EA1870" s="13" t="s">
        <v>1250</v>
      </c>
      <c r="EB1870" s="13" t="s">
        <v>1417</v>
      </c>
      <c r="EC1870" s="13" t="s">
        <v>1156</v>
      </c>
      <c r="ED1870" s="11">
        <v>0</v>
      </c>
      <c r="EE1870" s="11"/>
    </row>
    <row r="1871" spans="130:135" x14ac:dyDescent="0.2">
      <c r="DZ1871" s="5">
        <v>45992</v>
      </c>
      <c r="EA1871" s="13" t="s">
        <v>1250</v>
      </c>
      <c r="EB1871" s="13" t="s">
        <v>1369</v>
      </c>
      <c r="EC1871" s="13" t="s">
        <v>1150</v>
      </c>
      <c r="ED1871" s="11">
        <v>61384</v>
      </c>
      <c r="EE1871" s="11"/>
    </row>
    <row r="1872" spans="130:135" x14ac:dyDescent="0.2">
      <c r="DZ1872" s="5">
        <v>45992</v>
      </c>
      <c r="EA1872" s="13" t="s">
        <v>1250</v>
      </c>
      <c r="EB1872" s="13" t="s">
        <v>1370</v>
      </c>
      <c r="EC1872" s="13" t="s">
        <v>1150</v>
      </c>
      <c r="ED1872" s="11">
        <v>75781</v>
      </c>
      <c r="EE1872" s="11"/>
    </row>
    <row r="1873" spans="130:135" x14ac:dyDescent="0.2">
      <c r="DZ1873" s="5">
        <v>45992</v>
      </c>
      <c r="EA1873" s="13" t="s">
        <v>1250</v>
      </c>
      <c r="EB1873" s="13" t="s">
        <v>1409</v>
      </c>
      <c r="EC1873" s="13" t="s">
        <v>1144</v>
      </c>
      <c r="ED1873" s="11">
        <v>0</v>
      </c>
      <c r="EE1873" s="11"/>
    </row>
    <row r="1874" spans="130:135" x14ac:dyDescent="0.2">
      <c r="DZ1874" s="5">
        <v>45992</v>
      </c>
      <c r="EA1874" s="13" t="s">
        <v>1250</v>
      </c>
      <c r="EB1874" s="13" t="s">
        <v>2286</v>
      </c>
      <c r="EC1874" s="13" t="s">
        <v>1144</v>
      </c>
      <c r="ED1874" s="11">
        <v>0</v>
      </c>
      <c r="EE1874" s="11"/>
    </row>
    <row r="1875" spans="130:135" x14ac:dyDescent="0.2">
      <c r="DZ1875" s="5">
        <v>45992</v>
      </c>
      <c r="EA1875" s="13" t="s">
        <v>1250</v>
      </c>
      <c r="EB1875" s="13" t="s">
        <v>2395</v>
      </c>
      <c r="EC1875" s="13" t="s">
        <v>1144</v>
      </c>
      <c r="ED1875" s="11">
        <v>150000</v>
      </c>
      <c r="EE1875" s="11"/>
    </row>
    <row r="1876" spans="130:135" x14ac:dyDescent="0.2">
      <c r="DZ1876" s="5">
        <v>45992</v>
      </c>
      <c r="EA1876" s="13" t="s">
        <v>1250</v>
      </c>
      <c r="EB1876" s="13" t="s">
        <v>1381</v>
      </c>
      <c r="EC1876" s="13" t="s">
        <v>1144</v>
      </c>
      <c r="ED1876" s="11">
        <v>0</v>
      </c>
      <c r="EE1876" s="11"/>
    </row>
    <row r="1877" spans="130:135" x14ac:dyDescent="0.2">
      <c r="DZ1877" s="5">
        <v>45992</v>
      </c>
      <c r="EA1877" s="13" t="s">
        <v>1250</v>
      </c>
      <c r="EB1877" s="13" t="s">
        <v>2369</v>
      </c>
      <c r="EC1877" s="13" t="s">
        <v>1144</v>
      </c>
      <c r="ED1877" s="11">
        <v>0</v>
      </c>
      <c r="EE1877" s="11"/>
    </row>
    <row r="1878" spans="130:135" x14ac:dyDescent="0.2">
      <c r="DZ1878" s="5">
        <v>45992</v>
      </c>
      <c r="EA1878" s="13" t="s">
        <v>1250</v>
      </c>
      <c r="EB1878" s="13" t="s">
        <v>2316</v>
      </c>
      <c r="EC1878" s="13" t="s">
        <v>1146</v>
      </c>
      <c r="ED1878" s="11">
        <v>0</v>
      </c>
      <c r="EE1878" s="11"/>
    </row>
    <row r="1879" spans="130:135" x14ac:dyDescent="0.2">
      <c r="DZ1879" s="5">
        <v>45992</v>
      </c>
      <c r="EA1879" s="13" t="s">
        <v>1251</v>
      </c>
      <c r="EB1879" s="13" t="s">
        <v>1345</v>
      </c>
      <c r="EC1879" s="13" t="s">
        <v>1146</v>
      </c>
      <c r="ED1879" s="11">
        <v>75708</v>
      </c>
      <c r="EE1879" s="11"/>
    </row>
    <row r="1880" spans="130:135" x14ac:dyDescent="0.2">
      <c r="DZ1880" s="5">
        <v>45992</v>
      </c>
      <c r="EA1880" s="13" t="s">
        <v>1250</v>
      </c>
      <c r="EB1880" s="13" t="s">
        <v>1368</v>
      </c>
      <c r="EC1880" s="13" t="s">
        <v>1146</v>
      </c>
      <c r="ED1880" s="11">
        <v>76695</v>
      </c>
      <c r="EE1880" s="11"/>
    </row>
    <row r="1881" spans="130:135" x14ac:dyDescent="0.2">
      <c r="DZ1881" s="5">
        <v>45992</v>
      </c>
      <c r="EA1881" s="13" t="s">
        <v>1251</v>
      </c>
      <c r="EB1881" s="13" t="s">
        <v>1349</v>
      </c>
      <c r="EC1881" s="13" t="s">
        <v>1146</v>
      </c>
      <c r="ED1881" s="11">
        <v>1169852</v>
      </c>
      <c r="EE1881" s="11"/>
    </row>
    <row r="1882" spans="130:135" x14ac:dyDescent="0.2">
      <c r="DZ1882" s="5">
        <v>45992</v>
      </c>
      <c r="EA1882" s="13" t="s">
        <v>1250</v>
      </c>
      <c r="EB1882" s="13" t="s">
        <v>1367</v>
      </c>
      <c r="EC1882" s="13" t="s">
        <v>1146</v>
      </c>
      <c r="ED1882" s="11">
        <v>73055</v>
      </c>
      <c r="EE1882" s="11"/>
    </row>
    <row r="1883" spans="130:135" x14ac:dyDescent="0.2">
      <c r="DZ1883" s="5">
        <v>45992</v>
      </c>
      <c r="EA1883" s="13" t="s">
        <v>1251</v>
      </c>
      <c r="EB1883" s="13" t="s">
        <v>1368</v>
      </c>
      <c r="EC1883" s="13" t="s">
        <v>1146</v>
      </c>
      <c r="ED1883" s="11">
        <v>0</v>
      </c>
      <c r="EE1883" s="11"/>
    </row>
    <row r="1884" spans="130:135" x14ac:dyDescent="0.2">
      <c r="DZ1884" s="5">
        <v>45992</v>
      </c>
      <c r="EA1884" s="13" t="s">
        <v>1250</v>
      </c>
      <c r="EB1884" s="13" t="s">
        <v>1356</v>
      </c>
      <c r="EC1884" s="13" t="s">
        <v>1108</v>
      </c>
      <c r="ED1884" s="11">
        <v>2500000</v>
      </c>
      <c r="EE1884" s="11"/>
    </row>
    <row r="1885" spans="130:135" x14ac:dyDescent="0.2">
      <c r="DZ1885" s="5">
        <v>45992</v>
      </c>
      <c r="EA1885" s="13" t="s">
        <v>1250</v>
      </c>
      <c r="EB1885" s="13" t="s">
        <v>1357</v>
      </c>
      <c r="EC1885" s="13" t="s">
        <v>1108</v>
      </c>
      <c r="ED1885" s="11">
        <v>2500000</v>
      </c>
      <c r="EE1885" s="11"/>
    </row>
    <row r="1886" spans="130:135" x14ac:dyDescent="0.2">
      <c r="DZ1886" s="5">
        <v>45992</v>
      </c>
      <c r="EA1886" s="13" t="s">
        <v>1250</v>
      </c>
      <c r="EB1886" s="13" t="s">
        <v>1358</v>
      </c>
      <c r="EC1886" s="13" t="s">
        <v>1108</v>
      </c>
      <c r="ED1886" s="11">
        <v>1328600</v>
      </c>
      <c r="EE1886" s="11"/>
    </row>
    <row r="1887" spans="130:135" x14ac:dyDescent="0.2">
      <c r="DZ1887" s="5">
        <v>45992</v>
      </c>
      <c r="EA1887" s="13" t="s">
        <v>1251</v>
      </c>
      <c r="EB1887" s="13" t="s">
        <v>2305</v>
      </c>
      <c r="EC1887" s="13" t="s">
        <v>1108</v>
      </c>
      <c r="ED1887" s="11">
        <v>0</v>
      </c>
      <c r="EE1887" s="11"/>
    </row>
    <row r="1888" spans="130:135" x14ac:dyDescent="0.2">
      <c r="DZ1888" s="5">
        <v>45992</v>
      </c>
      <c r="EA1888" s="13" t="s">
        <v>1251</v>
      </c>
      <c r="EB1888" s="13" t="s">
        <v>2212</v>
      </c>
      <c r="EC1888" s="13" t="s">
        <v>1108</v>
      </c>
      <c r="ED1888" s="11">
        <v>0</v>
      </c>
      <c r="EE1888" s="11"/>
    </row>
    <row r="1889" spans="130:135" x14ac:dyDescent="0.2">
      <c r="DZ1889" s="5">
        <v>45992</v>
      </c>
      <c r="EA1889" s="13" t="s">
        <v>1251</v>
      </c>
      <c r="EB1889" s="13" t="s">
        <v>2319</v>
      </c>
      <c r="EC1889" s="13" t="s">
        <v>1108</v>
      </c>
      <c r="ED1889" s="11">
        <v>0</v>
      </c>
      <c r="EE1889" s="11"/>
    </row>
    <row r="1890" spans="130:135" x14ac:dyDescent="0.2">
      <c r="DZ1890" s="5">
        <v>45992</v>
      </c>
      <c r="EA1890" s="13" t="s">
        <v>1251</v>
      </c>
      <c r="EB1890" s="13" t="s">
        <v>1337</v>
      </c>
      <c r="EC1890" s="13" t="s">
        <v>1108</v>
      </c>
      <c r="ED1890" s="11">
        <v>1423500</v>
      </c>
      <c r="EE1890" s="11"/>
    </row>
    <row r="1891" spans="130:135" x14ac:dyDescent="0.2">
      <c r="DZ1891" s="5">
        <v>45992</v>
      </c>
      <c r="EA1891" s="13" t="s">
        <v>1251</v>
      </c>
      <c r="EB1891" s="13" t="s">
        <v>2206</v>
      </c>
      <c r="EC1891" s="13" t="s">
        <v>1108</v>
      </c>
      <c r="ED1891" s="11">
        <v>0</v>
      </c>
      <c r="EE1891" s="11"/>
    </row>
    <row r="1892" spans="130:135" x14ac:dyDescent="0.2">
      <c r="DZ1892" s="5">
        <v>45992</v>
      </c>
      <c r="EA1892" s="13" t="s">
        <v>1251</v>
      </c>
      <c r="EB1892" s="13" t="s">
        <v>1343</v>
      </c>
      <c r="EC1892" s="13" t="s">
        <v>1206</v>
      </c>
      <c r="ED1892" s="11"/>
      <c r="EE1892" s="11">
        <v>827565</v>
      </c>
    </row>
    <row r="1893" spans="130:135" x14ac:dyDescent="0.2">
      <c r="DZ1893" s="5">
        <v>45992</v>
      </c>
      <c r="EA1893" s="13" t="s">
        <v>1251</v>
      </c>
      <c r="EB1893" s="13" t="s">
        <v>1408</v>
      </c>
      <c r="EC1893" s="13" t="s">
        <v>1206</v>
      </c>
      <c r="ED1893" s="11"/>
      <c r="EE1893" s="11">
        <v>28900</v>
      </c>
    </row>
    <row r="1894" spans="130:135" x14ac:dyDescent="0.2">
      <c r="DZ1894" s="5">
        <v>45992</v>
      </c>
      <c r="EA1894" s="13" t="s">
        <v>1251</v>
      </c>
      <c r="EB1894" s="13" t="s">
        <v>2279</v>
      </c>
      <c r="EC1894" s="13" t="s">
        <v>1206</v>
      </c>
      <c r="ED1894" s="11"/>
      <c r="EE1894" s="11">
        <v>160084</v>
      </c>
    </row>
    <row r="1895" spans="130:135" x14ac:dyDescent="0.2">
      <c r="DZ1895" s="5">
        <v>45992</v>
      </c>
      <c r="EA1895" s="13" t="s">
        <v>1251</v>
      </c>
      <c r="EB1895" s="13" t="s">
        <v>1347</v>
      </c>
      <c r="EC1895" s="13" t="s">
        <v>1206</v>
      </c>
      <c r="ED1895" s="11"/>
      <c r="EE1895" s="11">
        <v>1810396</v>
      </c>
    </row>
    <row r="1896" spans="130:135" x14ac:dyDescent="0.2">
      <c r="DZ1896" s="5">
        <v>45992</v>
      </c>
      <c r="EA1896" s="13" t="s">
        <v>1251</v>
      </c>
      <c r="EB1896" s="13" t="s">
        <v>2281</v>
      </c>
      <c r="EC1896" s="13" t="s">
        <v>1206</v>
      </c>
      <c r="ED1896" s="11"/>
      <c r="EE1896" s="11">
        <v>0</v>
      </c>
    </row>
    <row r="1897" spans="130:135" x14ac:dyDescent="0.2">
      <c r="DZ1897" s="5">
        <v>45992</v>
      </c>
      <c r="EA1897" s="13" t="s">
        <v>1251</v>
      </c>
      <c r="EB1897" s="13" t="s">
        <v>2301</v>
      </c>
      <c r="EC1897" s="13" t="s">
        <v>1206</v>
      </c>
      <c r="ED1897" s="11"/>
      <c r="EE1897" s="11">
        <v>0</v>
      </c>
    </row>
    <row r="1898" spans="130:135" x14ac:dyDescent="0.2">
      <c r="DZ1898" s="5">
        <v>45992</v>
      </c>
      <c r="EA1898" s="13" t="s">
        <v>1251</v>
      </c>
      <c r="EB1898" s="13" t="s">
        <v>1344</v>
      </c>
      <c r="EC1898" s="13" t="s">
        <v>1206</v>
      </c>
      <c r="ED1898" s="11"/>
      <c r="EE1898" s="11">
        <v>0</v>
      </c>
    </row>
    <row r="1899" spans="130:135" x14ac:dyDescent="0.2">
      <c r="DZ1899" s="5">
        <v>45992</v>
      </c>
      <c r="EA1899" s="13" t="s">
        <v>1251</v>
      </c>
      <c r="EB1899" s="13" t="s">
        <v>2206</v>
      </c>
      <c r="EC1899" s="13" t="s">
        <v>1058</v>
      </c>
      <c r="ED1899" s="11">
        <v>0</v>
      </c>
      <c r="EE1899" s="11"/>
    </row>
    <row r="1900" spans="130:135" x14ac:dyDescent="0.2">
      <c r="DZ1900" s="5">
        <v>45992</v>
      </c>
      <c r="EA1900" s="13" t="s">
        <v>1251</v>
      </c>
      <c r="EB1900" s="13" t="s">
        <v>2319</v>
      </c>
      <c r="EC1900" s="13" t="s">
        <v>1058</v>
      </c>
      <c r="ED1900" s="11">
        <v>0</v>
      </c>
      <c r="EE1900" s="11"/>
    </row>
    <row r="1901" spans="130:135" x14ac:dyDescent="0.2">
      <c r="DZ1901" s="5">
        <v>45992</v>
      </c>
      <c r="EA1901" s="13" t="s">
        <v>1251</v>
      </c>
      <c r="EB1901" s="13" t="s">
        <v>1337</v>
      </c>
      <c r="EC1901" s="13" t="s">
        <v>1058</v>
      </c>
      <c r="ED1901" s="11">
        <v>77340</v>
      </c>
      <c r="EE1901" s="11"/>
    </row>
    <row r="1902" spans="130:135" x14ac:dyDescent="0.2">
      <c r="DZ1902" s="5">
        <v>45992</v>
      </c>
      <c r="EA1902" s="13" t="s">
        <v>1250</v>
      </c>
      <c r="EB1902" s="13" t="s">
        <v>1357</v>
      </c>
      <c r="EC1902" s="13" t="s">
        <v>1058</v>
      </c>
      <c r="ED1902" s="11">
        <v>104160</v>
      </c>
      <c r="EE1902" s="11"/>
    </row>
    <row r="1903" spans="130:135" x14ac:dyDescent="0.2">
      <c r="DZ1903" s="5">
        <v>45992</v>
      </c>
      <c r="EA1903" s="13" t="s">
        <v>1251</v>
      </c>
      <c r="EB1903" s="13" t="s">
        <v>2305</v>
      </c>
      <c r="EC1903" s="13" t="s">
        <v>1058</v>
      </c>
      <c r="ED1903" s="11">
        <v>0</v>
      </c>
      <c r="EE1903" s="11"/>
    </row>
    <row r="1904" spans="130:135" x14ac:dyDescent="0.2">
      <c r="DZ1904" s="5">
        <v>45992</v>
      </c>
      <c r="EA1904" s="13" t="s">
        <v>1251</v>
      </c>
      <c r="EB1904" s="13" t="s">
        <v>2212</v>
      </c>
      <c r="EC1904" s="13" t="s">
        <v>1058</v>
      </c>
      <c r="ED1904" s="11">
        <v>0</v>
      </c>
      <c r="EE1904" s="11"/>
    </row>
    <row r="1905" spans="130:135" x14ac:dyDescent="0.2">
      <c r="DZ1905" s="5">
        <v>45992</v>
      </c>
      <c r="EA1905" s="13" t="s">
        <v>1250</v>
      </c>
      <c r="EB1905" s="13" t="s">
        <v>1358</v>
      </c>
      <c r="EC1905" s="13" t="s">
        <v>1058</v>
      </c>
      <c r="ED1905" s="11">
        <v>225851</v>
      </c>
      <c r="EE1905" s="11"/>
    </row>
    <row r="1906" spans="130:135" x14ac:dyDescent="0.2">
      <c r="DZ1906" s="5">
        <v>45992</v>
      </c>
      <c r="EA1906" s="13" t="s">
        <v>1250</v>
      </c>
      <c r="EB1906" s="13" t="s">
        <v>1356</v>
      </c>
      <c r="EC1906" s="13" t="s">
        <v>1058</v>
      </c>
      <c r="ED1906" s="11">
        <v>104160</v>
      </c>
      <c r="EE1906" s="11"/>
    </row>
    <row r="1907" spans="130:135" x14ac:dyDescent="0.2">
      <c r="DZ1907" s="5">
        <v>45992</v>
      </c>
      <c r="EA1907" s="13" t="s">
        <v>1250</v>
      </c>
      <c r="EB1907" s="13" t="s">
        <v>1365</v>
      </c>
      <c r="EC1907" s="13" t="s">
        <v>1170</v>
      </c>
      <c r="ED1907" s="11">
        <v>88361</v>
      </c>
      <c r="EE1907" s="11"/>
    </row>
    <row r="1908" spans="130:135" x14ac:dyDescent="0.2">
      <c r="DZ1908" s="5">
        <v>45992</v>
      </c>
      <c r="EA1908" s="13" t="s">
        <v>1250</v>
      </c>
      <c r="EB1908" s="13" t="s">
        <v>2283</v>
      </c>
      <c r="EC1908" s="13" t="s">
        <v>1170</v>
      </c>
      <c r="ED1908" s="11">
        <v>0</v>
      </c>
      <c r="EE1908" s="11"/>
    </row>
    <row r="1909" spans="130:135" x14ac:dyDescent="0.2">
      <c r="DZ1909" s="5">
        <v>45992</v>
      </c>
      <c r="EA1909" s="13" t="s">
        <v>1250</v>
      </c>
      <c r="EB1909" s="13" t="s">
        <v>1379</v>
      </c>
      <c r="EC1909" s="13" t="s">
        <v>1170</v>
      </c>
      <c r="ED1909" s="11">
        <v>0</v>
      </c>
      <c r="EE1909" s="11"/>
    </row>
    <row r="1910" spans="130:135" x14ac:dyDescent="0.2">
      <c r="DZ1910" s="5">
        <v>45992</v>
      </c>
      <c r="EA1910" s="13" t="s">
        <v>1250</v>
      </c>
      <c r="EB1910" s="13" t="s">
        <v>1352</v>
      </c>
      <c r="EC1910" s="13" t="s">
        <v>1170</v>
      </c>
      <c r="ED1910" s="11">
        <v>1574652</v>
      </c>
      <c r="EE1910" s="11"/>
    </row>
    <row r="1911" spans="130:135" x14ac:dyDescent="0.2">
      <c r="DZ1911" s="5">
        <v>45992</v>
      </c>
      <c r="EA1911" s="13" t="s">
        <v>1250</v>
      </c>
      <c r="EB1911" s="13" t="s">
        <v>2304</v>
      </c>
      <c r="EC1911" s="13" t="s">
        <v>1170</v>
      </c>
      <c r="ED1911" s="11">
        <v>0</v>
      </c>
      <c r="EE1911" s="11"/>
    </row>
    <row r="1912" spans="130:135" x14ac:dyDescent="0.2">
      <c r="DZ1912" s="5">
        <v>45992</v>
      </c>
      <c r="EA1912" s="13" t="s">
        <v>1250</v>
      </c>
      <c r="EB1912" s="13" t="s">
        <v>2302</v>
      </c>
      <c r="EC1912" s="13" t="s">
        <v>1170</v>
      </c>
      <c r="ED1912" s="11">
        <v>0</v>
      </c>
      <c r="EE1912" s="11"/>
    </row>
    <row r="1913" spans="130:135" x14ac:dyDescent="0.2">
      <c r="DZ1913" s="5">
        <v>45992</v>
      </c>
      <c r="EA1913" s="13" t="s">
        <v>1250</v>
      </c>
      <c r="EB1913" s="13" t="s">
        <v>2317</v>
      </c>
      <c r="EC1913" s="13" t="s">
        <v>1170</v>
      </c>
      <c r="ED1913" s="11">
        <v>0</v>
      </c>
      <c r="EE1913" s="11"/>
    </row>
    <row r="1914" spans="130:135" x14ac:dyDescent="0.2">
      <c r="DZ1914" s="5">
        <v>45992</v>
      </c>
      <c r="EA1914" s="13" t="s">
        <v>1250</v>
      </c>
      <c r="EB1914" s="13" t="s">
        <v>1364</v>
      </c>
      <c r="EC1914" s="13" t="s">
        <v>1170</v>
      </c>
      <c r="ED1914" s="11">
        <v>0</v>
      </c>
      <c r="EE1914" s="11"/>
    </row>
    <row r="1915" spans="130:135" x14ac:dyDescent="0.2">
      <c r="DZ1915" s="5">
        <v>45992</v>
      </c>
      <c r="EA1915" s="13" t="s">
        <v>1250</v>
      </c>
      <c r="EB1915" s="13" t="s">
        <v>2342</v>
      </c>
      <c r="EC1915" s="13" t="s">
        <v>1170</v>
      </c>
      <c r="ED1915" s="11">
        <v>0</v>
      </c>
      <c r="EE1915" s="11"/>
    </row>
    <row r="1916" spans="130:135" x14ac:dyDescent="0.2">
      <c r="DZ1916" s="5">
        <v>45992</v>
      </c>
      <c r="EA1916" s="13" t="s">
        <v>1250</v>
      </c>
      <c r="EB1916" s="13" t="s">
        <v>1394</v>
      </c>
      <c r="EC1916" s="13" t="s">
        <v>1170</v>
      </c>
      <c r="ED1916" s="11">
        <v>0</v>
      </c>
      <c r="EE1916" s="11"/>
    </row>
    <row r="1917" spans="130:135" x14ac:dyDescent="0.2">
      <c r="DZ1917" s="5">
        <v>45992</v>
      </c>
      <c r="EA1917" s="13" t="s">
        <v>1250</v>
      </c>
      <c r="EB1917" s="13" t="s">
        <v>1389</v>
      </c>
      <c r="EC1917" s="13" t="s">
        <v>1170</v>
      </c>
      <c r="ED1917" s="11">
        <v>180628</v>
      </c>
      <c r="EE1917" s="11"/>
    </row>
    <row r="1918" spans="130:135" x14ac:dyDescent="0.2">
      <c r="DZ1918" s="5">
        <v>45992</v>
      </c>
      <c r="EA1918" s="13" t="s">
        <v>1250</v>
      </c>
      <c r="EB1918" s="13" t="s">
        <v>2303</v>
      </c>
      <c r="EC1918" s="13" t="s">
        <v>1170</v>
      </c>
      <c r="ED1918" s="11">
        <v>0</v>
      </c>
      <c r="EE1918" s="11"/>
    </row>
    <row r="1919" spans="130:135" x14ac:dyDescent="0.2">
      <c r="DZ1919" s="5">
        <v>45992</v>
      </c>
      <c r="EA1919" s="13" t="s">
        <v>1250</v>
      </c>
      <c r="EB1919" s="13" t="s">
        <v>2204</v>
      </c>
      <c r="EC1919" s="13" t="s">
        <v>1170</v>
      </c>
      <c r="ED1919" s="11">
        <v>0</v>
      </c>
      <c r="EE1919" s="11"/>
    </row>
    <row r="1920" spans="130:135" x14ac:dyDescent="0.2">
      <c r="DZ1920" s="5">
        <v>45992</v>
      </c>
      <c r="EA1920" s="13" t="s">
        <v>1250</v>
      </c>
      <c r="EB1920" s="13" t="s">
        <v>2341</v>
      </c>
      <c r="EC1920" s="13" t="s">
        <v>1170</v>
      </c>
      <c r="ED1920" s="11">
        <v>0</v>
      </c>
      <c r="EE1920" s="11"/>
    </row>
    <row r="1921" spans="130:135" x14ac:dyDescent="0.2">
      <c r="DZ1921" s="5">
        <v>46023</v>
      </c>
      <c r="EA1921" s="13" t="s">
        <v>1252</v>
      </c>
      <c r="EB1921" s="13" t="s">
        <v>1377</v>
      </c>
      <c r="EC1921" s="13" t="s">
        <v>1106</v>
      </c>
      <c r="ED1921" s="11">
        <v>774</v>
      </c>
      <c r="EE1921" s="11"/>
    </row>
    <row r="1922" spans="130:135" x14ac:dyDescent="0.2">
      <c r="DZ1922" s="5">
        <v>46023</v>
      </c>
      <c r="EA1922" s="13" t="s">
        <v>1252</v>
      </c>
      <c r="EB1922" s="13" t="s">
        <v>1374</v>
      </c>
      <c r="EC1922" s="13" t="s">
        <v>1106</v>
      </c>
      <c r="ED1922" s="11">
        <v>2968</v>
      </c>
      <c r="EE1922" s="11"/>
    </row>
    <row r="1923" spans="130:135" x14ac:dyDescent="0.2">
      <c r="DZ1923" s="5">
        <v>46023</v>
      </c>
      <c r="EA1923" s="13" t="s">
        <v>1251</v>
      </c>
      <c r="EB1923" s="13" t="s">
        <v>1339</v>
      </c>
      <c r="EC1923" s="13" t="s">
        <v>1124</v>
      </c>
      <c r="ED1923" s="11">
        <v>210100</v>
      </c>
      <c r="EE1923" s="11"/>
    </row>
    <row r="1924" spans="130:135" x14ac:dyDescent="0.2">
      <c r="DZ1924" s="5">
        <v>46023</v>
      </c>
      <c r="EA1924" s="13" t="s">
        <v>1250</v>
      </c>
      <c r="EB1924" s="13" t="s">
        <v>1359</v>
      </c>
      <c r="EC1924" s="13" t="s">
        <v>1124</v>
      </c>
      <c r="ED1924" s="11">
        <v>300000</v>
      </c>
      <c r="EE1924" s="11"/>
    </row>
    <row r="1925" spans="130:135" x14ac:dyDescent="0.2">
      <c r="DZ1925" s="5">
        <v>46023</v>
      </c>
      <c r="EA1925" s="13" t="s">
        <v>1250</v>
      </c>
      <c r="EB1925" s="13" t="s">
        <v>1360</v>
      </c>
      <c r="EC1925" s="13" t="s">
        <v>1124</v>
      </c>
      <c r="ED1925" s="11">
        <v>210100</v>
      </c>
      <c r="EE1925" s="11"/>
    </row>
    <row r="1926" spans="130:135" x14ac:dyDescent="0.2">
      <c r="DZ1926" s="5">
        <v>46023</v>
      </c>
      <c r="EA1926" s="13" t="s">
        <v>1250</v>
      </c>
      <c r="EB1926" s="13" t="s">
        <v>1339</v>
      </c>
      <c r="EC1926" s="13" t="s">
        <v>1124</v>
      </c>
      <c r="ED1926" s="11">
        <v>300000</v>
      </c>
      <c r="EE1926" s="11"/>
    </row>
    <row r="1927" spans="130:135" x14ac:dyDescent="0.2">
      <c r="DZ1927" s="5">
        <v>46023</v>
      </c>
      <c r="EA1927" s="13" t="s">
        <v>1250</v>
      </c>
      <c r="EB1927" s="13" t="s">
        <v>1338</v>
      </c>
      <c r="EC1927" s="13" t="s">
        <v>1121</v>
      </c>
      <c r="ED1927" s="11">
        <v>35400</v>
      </c>
      <c r="EE1927" s="11"/>
    </row>
    <row r="1928" spans="130:135" x14ac:dyDescent="0.2">
      <c r="DZ1928" s="5">
        <v>46023</v>
      </c>
      <c r="EA1928" s="13" t="s">
        <v>1251</v>
      </c>
      <c r="EB1928" s="13" t="s">
        <v>1338</v>
      </c>
      <c r="EC1928" s="13" t="s">
        <v>1121</v>
      </c>
      <c r="ED1928" s="11">
        <v>9200</v>
      </c>
      <c r="EE1928" s="11"/>
    </row>
    <row r="1929" spans="130:135" x14ac:dyDescent="0.2">
      <c r="DZ1929" s="5">
        <v>46023</v>
      </c>
      <c r="EA1929" s="13" t="s">
        <v>1251</v>
      </c>
      <c r="EB1929" s="13" t="s">
        <v>1340</v>
      </c>
      <c r="EC1929" s="13" t="s">
        <v>1126</v>
      </c>
      <c r="ED1929" s="11">
        <v>70100</v>
      </c>
      <c r="EE1929" s="11"/>
    </row>
    <row r="1930" spans="130:135" x14ac:dyDescent="0.2">
      <c r="DZ1930" s="5">
        <v>46023</v>
      </c>
      <c r="EA1930" s="13" t="s">
        <v>1250</v>
      </c>
      <c r="EB1930" s="13" t="s">
        <v>1340</v>
      </c>
      <c r="EC1930" s="13" t="s">
        <v>1126</v>
      </c>
      <c r="ED1930" s="11">
        <v>270100</v>
      </c>
      <c r="EE1930" s="11"/>
    </row>
    <row r="1931" spans="130:135" x14ac:dyDescent="0.2">
      <c r="DZ1931" s="5">
        <v>46023</v>
      </c>
      <c r="EA1931" s="13" t="s">
        <v>1251</v>
      </c>
      <c r="EB1931" s="13" t="s">
        <v>1341</v>
      </c>
      <c r="EC1931" s="13" t="s">
        <v>1142</v>
      </c>
      <c r="ED1931" s="11">
        <v>2400000</v>
      </c>
      <c r="EE1931" s="11"/>
    </row>
    <row r="1932" spans="130:135" x14ac:dyDescent="0.2">
      <c r="DZ1932" s="5">
        <v>46023</v>
      </c>
      <c r="EA1932" s="13" t="s">
        <v>1251</v>
      </c>
      <c r="EB1932" s="13" t="s">
        <v>1342</v>
      </c>
      <c r="EC1932" s="13" t="s">
        <v>1142</v>
      </c>
      <c r="ED1932" s="11">
        <v>6300000</v>
      </c>
      <c r="EE1932" s="11"/>
    </row>
    <row r="1933" spans="130:135" x14ac:dyDescent="0.2">
      <c r="DZ1933" s="5">
        <v>46023</v>
      </c>
      <c r="EA1933" s="13" t="s">
        <v>1250</v>
      </c>
      <c r="EB1933" s="13" t="s">
        <v>1356</v>
      </c>
      <c r="EC1933" s="13" t="s">
        <v>1110</v>
      </c>
      <c r="ED1933" s="11">
        <v>249095</v>
      </c>
      <c r="EE1933" s="11"/>
    </row>
    <row r="1934" spans="130:135" x14ac:dyDescent="0.2">
      <c r="DZ1934" s="5">
        <v>46023</v>
      </c>
      <c r="EA1934" s="13" t="s">
        <v>1250</v>
      </c>
      <c r="EB1934" s="13" t="s">
        <v>1358</v>
      </c>
      <c r="EC1934" s="13" t="s">
        <v>1110</v>
      </c>
      <c r="ED1934" s="11">
        <v>249095</v>
      </c>
      <c r="EE1934" s="11"/>
    </row>
    <row r="1935" spans="130:135" x14ac:dyDescent="0.2">
      <c r="DZ1935" s="5">
        <v>46023</v>
      </c>
      <c r="EA1935" s="13" t="s">
        <v>1250</v>
      </c>
      <c r="EB1935" s="13" t="s">
        <v>1357</v>
      </c>
      <c r="EC1935" s="13" t="s">
        <v>1110</v>
      </c>
      <c r="ED1935" s="11">
        <v>249095</v>
      </c>
      <c r="EE1935" s="11"/>
    </row>
    <row r="1936" spans="130:135" x14ac:dyDescent="0.2">
      <c r="DZ1936" s="5">
        <v>46023</v>
      </c>
      <c r="EA1936" s="13" t="s">
        <v>1251</v>
      </c>
      <c r="EB1936" s="13" t="s">
        <v>1337</v>
      </c>
      <c r="EC1936" s="13" t="s">
        <v>1187</v>
      </c>
      <c r="ED1936" s="11">
        <v>249095</v>
      </c>
      <c r="EE1936" s="11"/>
    </row>
    <row r="1937" spans="130:135" x14ac:dyDescent="0.2">
      <c r="DZ1937" s="5">
        <v>46023</v>
      </c>
      <c r="EA1937" s="13" t="s">
        <v>1250</v>
      </c>
      <c r="EB1937" s="13" t="s">
        <v>1358</v>
      </c>
      <c r="EC1937" s="13" t="s">
        <v>1132</v>
      </c>
      <c r="ED1937" s="11">
        <v>130400</v>
      </c>
      <c r="EE1937" s="11"/>
    </row>
    <row r="1938" spans="130:135" x14ac:dyDescent="0.2">
      <c r="DZ1938" s="5">
        <v>46023</v>
      </c>
      <c r="EA1938" s="13" t="s">
        <v>1250</v>
      </c>
      <c r="EB1938" s="13" t="s">
        <v>1361</v>
      </c>
      <c r="EC1938" s="13" t="s">
        <v>1172</v>
      </c>
      <c r="ED1938" s="11">
        <v>161700</v>
      </c>
      <c r="EE1938" s="11"/>
    </row>
    <row r="1939" spans="130:135" x14ac:dyDescent="0.2">
      <c r="DZ1939" s="5">
        <v>46023</v>
      </c>
      <c r="EA1939" s="13" t="s">
        <v>1250</v>
      </c>
      <c r="EB1939" s="13" t="s">
        <v>1362</v>
      </c>
      <c r="EC1939" s="13" t="s">
        <v>1172</v>
      </c>
      <c r="ED1939" s="11">
        <v>91200</v>
      </c>
      <c r="EE1939" s="11"/>
    </row>
    <row r="1940" spans="130:135" x14ac:dyDescent="0.2">
      <c r="DZ1940" s="5">
        <v>46023</v>
      </c>
      <c r="EA1940" s="13" t="s">
        <v>1250</v>
      </c>
      <c r="EB1940" s="13" t="s">
        <v>1356</v>
      </c>
      <c r="EC1940" s="13" t="s">
        <v>1054</v>
      </c>
      <c r="ED1940" s="11">
        <v>229091</v>
      </c>
      <c r="EE1940" s="11"/>
    </row>
    <row r="1941" spans="130:135" x14ac:dyDescent="0.2">
      <c r="DZ1941" s="5">
        <v>46023</v>
      </c>
      <c r="EA1941" s="13" t="s">
        <v>1250</v>
      </c>
      <c r="EB1941" s="13" t="s">
        <v>1357</v>
      </c>
      <c r="EC1941" s="13" t="s">
        <v>1054</v>
      </c>
      <c r="ED1941" s="11">
        <v>229091</v>
      </c>
      <c r="EE1941" s="11"/>
    </row>
    <row r="1942" spans="130:135" x14ac:dyDescent="0.2">
      <c r="DZ1942" s="5">
        <v>46023</v>
      </c>
      <c r="EA1942" s="13" t="s">
        <v>1251</v>
      </c>
      <c r="EB1942" s="13" t="s">
        <v>1337</v>
      </c>
      <c r="EC1942" s="13" t="s">
        <v>1054</v>
      </c>
      <c r="ED1942" s="11">
        <v>166667</v>
      </c>
      <c r="EE1942" s="11"/>
    </row>
    <row r="1943" spans="130:135" x14ac:dyDescent="0.2">
      <c r="DZ1943" s="5">
        <v>46023</v>
      </c>
      <c r="EA1943" s="13" t="s">
        <v>1250</v>
      </c>
      <c r="EB1943" s="13" t="s">
        <v>1358</v>
      </c>
      <c r="EC1943" s="13" t="s">
        <v>1054</v>
      </c>
      <c r="ED1943" s="11">
        <v>166667</v>
      </c>
      <c r="EE1943" s="11"/>
    </row>
    <row r="1944" spans="130:135" x14ac:dyDescent="0.2">
      <c r="DZ1944" s="5">
        <v>46023</v>
      </c>
      <c r="EA1944" s="13" t="s">
        <v>1252</v>
      </c>
      <c r="EB1944" s="13" t="s">
        <v>1355</v>
      </c>
      <c r="EC1944" s="13" t="s">
        <v>1166</v>
      </c>
      <c r="ED1944" s="11">
        <v>9552</v>
      </c>
      <c r="EE1944" s="11"/>
    </row>
    <row r="1945" spans="130:135" x14ac:dyDescent="0.2">
      <c r="DZ1945" s="5">
        <v>46023</v>
      </c>
      <c r="EA1945" s="13" t="s">
        <v>1251</v>
      </c>
      <c r="EB1945" s="13" t="s">
        <v>1355</v>
      </c>
      <c r="EC1945" s="13" t="s">
        <v>1166</v>
      </c>
      <c r="ED1945" s="11"/>
      <c r="EE1945" s="11">
        <v>1642868</v>
      </c>
    </row>
    <row r="1946" spans="130:135" x14ac:dyDescent="0.2">
      <c r="DZ1946" s="5">
        <v>46023</v>
      </c>
      <c r="EA1946" s="13" t="s">
        <v>1251</v>
      </c>
      <c r="EB1946" s="13" t="s">
        <v>1351</v>
      </c>
      <c r="EC1946" s="13" t="s">
        <v>1166</v>
      </c>
      <c r="ED1946" s="11"/>
      <c r="EE1946" s="11">
        <v>521003</v>
      </c>
    </row>
    <row r="1947" spans="130:135" x14ac:dyDescent="0.2">
      <c r="DZ1947" s="5">
        <v>46023</v>
      </c>
      <c r="EA1947" s="13" t="s">
        <v>1252</v>
      </c>
      <c r="EB1947" s="13" t="s">
        <v>1333</v>
      </c>
      <c r="EC1947" s="13" t="s">
        <v>1224</v>
      </c>
      <c r="ED1947" s="11">
        <v>92428.57</v>
      </c>
      <c r="EE1947" s="11"/>
    </row>
    <row r="1948" spans="130:135" x14ac:dyDescent="0.2">
      <c r="DZ1948" s="5">
        <v>46023</v>
      </c>
      <c r="EA1948" s="13" t="s">
        <v>1252</v>
      </c>
      <c r="EB1948" s="13" t="s">
        <v>1334</v>
      </c>
      <c r="EC1948" s="13" t="s">
        <v>1224</v>
      </c>
      <c r="ED1948" s="11">
        <v>27226.89</v>
      </c>
      <c r="EE1948" s="11"/>
    </row>
    <row r="1949" spans="130:135" x14ac:dyDescent="0.2">
      <c r="DZ1949" s="5">
        <v>46023</v>
      </c>
      <c r="EA1949" s="13" t="s">
        <v>1250</v>
      </c>
      <c r="EB1949" s="13" t="s">
        <v>1363</v>
      </c>
      <c r="EC1949" s="13" t="s">
        <v>1168</v>
      </c>
      <c r="ED1949" s="11">
        <v>48740</v>
      </c>
      <c r="EE1949" s="11"/>
    </row>
    <row r="1950" spans="130:135" x14ac:dyDescent="0.2">
      <c r="DZ1950" s="5">
        <v>46023</v>
      </c>
      <c r="EA1950" s="13" t="s">
        <v>1252</v>
      </c>
      <c r="EB1950" s="13" t="s">
        <v>1355</v>
      </c>
      <c r="EC1950" s="13" t="s">
        <v>1226</v>
      </c>
      <c r="ED1950" s="11">
        <v>572776</v>
      </c>
      <c r="EE1950" s="11"/>
    </row>
    <row r="1951" spans="130:135" x14ac:dyDescent="0.2">
      <c r="DZ1951" s="5">
        <v>46023</v>
      </c>
      <c r="EA1951" s="13" t="s">
        <v>1252</v>
      </c>
      <c r="EB1951" s="13" t="s">
        <v>1371</v>
      </c>
      <c r="EC1951" s="13" t="s">
        <v>1226</v>
      </c>
      <c r="ED1951" s="11">
        <v>118113</v>
      </c>
      <c r="EE1951" s="11"/>
    </row>
    <row r="1952" spans="130:135" x14ac:dyDescent="0.2">
      <c r="DZ1952" s="5">
        <v>46023</v>
      </c>
      <c r="EA1952" s="13" t="s">
        <v>1252</v>
      </c>
      <c r="EB1952" s="13" t="s">
        <v>1371</v>
      </c>
      <c r="EC1952" s="13" t="s">
        <v>1219</v>
      </c>
      <c r="ED1952" s="11">
        <v>91053</v>
      </c>
      <c r="EE1952" s="11"/>
    </row>
    <row r="1953" spans="130:135" x14ac:dyDescent="0.2">
      <c r="DZ1953" s="5">
        <v>46023</v>
      </c>
      <c r="EA1953" s="13" t="s">
        <v>1250</v>
      </c>
      <c r="EB1953" s="13" t="s">
        <v>1366</v>
      </c>
      <c r="EC1953" s="13" t="s">
        <v>1136</v>
      </c>
      <c r="ED1953" s="11">
        <v>1700000</v>
      </c>
      <c r="EE1953" s="11"/>
    </row>
    <row r="1954" spans="130:135" x14ac:dyDescent="0.2">
      <c r="DZ1954" s="5">
        <v>46023</v>
      </c>
      <c r="EA1954" s="13" t="s">
        <v>1252</v>
      </c>
      <c r="EB1954" s="13" t="s">
        <v>1372</v>
      </c>
      <c r="EC1954" s="13" t="s">
        <v>1222</v>
      </c>
      <c r="ED1954" s="11">
        <v>700</v>
      </c>
      <c r="EE1954" s="11"/>
    </row>
    <row r="1955" spans="130:135" x14ac:dyDescent="0.2">
      <c r="DZ1955" s="5">
        <v>46023</v>
      </c>
      <c r="EA1955" s="13" t="s">
        <v>1252</v>
      </c>
      <c r="EB1955" s="13" t="s">
        <v>1359</v>
      </c>
      <c r="EC1955" s="13" t="s">
        <v>1222</v>
      </c>
      <c r="ED1955" s="11">
        <v>2000</v>
      </c>
      <c r="EE1955" s="11"/>
    </row>
    <row r="1956" spans="130:135" x14ac:dyDescent="0.2">
      <c r="DZ1956" s="5">
        <v>46023</v>
      </c>
      <c r="EA1956" s="13" t="s">
        <v>1252</v>
      </c>
      <c r="EB1956" s="13" t="s">
        <v>1375</v>
      </c>
      <c r="EC1956" s="13" t="s">
        <v>1222</v>
      </c>
      <c r="ED1956" s="11">
        <v>100</v>
      </c>
      <c r="EE1956" s="11"/>
    </row>
    <row r="1957" spans="130:135" x14ac:dyDescent="0.2">
      <c r="DZ1957" s="5">
        <v>46023</v>
      </c>
      <c r="EA1957" s="13" t="s">
        <v>1252</v>
      </c>
      <c r="EB1957" s="13" t="s">
        <v>1377</v>
      </c>
      <c r="EC1957" s="13" t="s">
        <v>1222</v>
      </c>
      <c r="ED1957" s="11">
        <v>59000</v>
      </c>
      <c r="EE1957" s="11"/>
    </row>
    <row r="1958" spans="130:135" x14ac:dyDescent="0.2">
      <c r="DZ1958" s="5">
        <v>46023</v>
      </c>
      <c r="EA1958" s="13" t="s">
        <v>1252</v>
      </c>
      <c r="EB1958" s="13" t="s">
        <v>1373</v>
      </c>
      <c r="EC1958" s="13" t="s">
        <v>1222</v>
      </c>
      <c r="ED1958" s="11">
        <v>500</v>
      </c>
      <c r="EE1958" s="11"/>
    </row>
    <row r="1959" spans="130:135" x14ac:dyDescent="0.2">
      <c r="DZ1959" s="5">
        <v>46023</v>
      </c>
      <c r="EA1959" s="13" t="s">
        <v>1252</v>
      </c>
      <c r="EB1959" s="13" t="s">
        <v>1339</v>
      </c>
      <c r="EC1959" s="13" t="s">
        <v>1222</v>
      </c>
      <c r="ED1959" s="11">
        <v>2200</v>
      </c>
      <c r="EE1959" s="11"/>
    </row>
    <row r="1960" spans="130:135" x14ac:dyDescent="0.2">
      <c r="DZ1960" s="5">
        <v>46023</v>
      </c>
      <c r="EA1960" s="13" t="s">
        <v>1252</v>
      </c>
      <c r="EB1960" s="13" t="s">
        <v>1374</v>
      </c>
      <c r="EC1960" s="13" t="s">
        <v>1222</v>
      </c>
      <c r="ED1960" s="11">
        <v>99000</v>
      </c>
      <c r="EE1960" s="11"/>
    </row>
    <row r="1961" spans="130:135" x14ac:dyDescent="0.2">
      <c r="DZ1961" s="5">
        <v>46023</v>
      </c>
      <c r="EA1961" s="13" t="s">
        <v>1252</v>
      </c>
      <c r="EB1961" s="13" t="s">
        <v>1340</v>
      </c>
      <c r="EC1961" s="13" t="s">
        <v>1222</v>
      </c>
      <c r="ED1961" s="11">
        <v>1100</v>
      </c>
      <c r="EE1961" s="11"/>
    </row>
    <row r="1962" spans="130:135" x14ac:dyDescent="0.2">
      <c r="DZ1962" s="5">
        <v>46023</v>
      </c>
      <c r="EA1962" s="13" t="s">
        <v>1252</v>
      </c>
      <c r="EB1962" s="13" t="s">
        <v>1378</v>
      </c>
      <c r="EC1962" s="13" t="s">
        <v>1222</v>
      </c>
      <c r="ED1962" s="11">
        <v>1400</v>
      </c>
      <c r="EE1962" s="11"/>
    </row>
    <row r="1963" spans="130:135" x14ac:dyDescent="0.2">
      <c r="DZ1963" s="5">
        <v>46023</v>
      </c>
      <c r="EA1963" s="13" t="s">
        <v>1252</v>
      </c>
      <c r="EB1963" s="13" t="s">
        <v>1338</v>
      </c>
      <c r="EC1963" s="13" t="s">
        <v>1222</v>
      </c>
      <c r="ED1963" s="11">
        <v>200</v>
      </c>
      <c r="EE1963" s="11"/>
    </row>
    <row r="1964" spans="130:135" x14ac:dyDescent="0.2">
      <c r="DZ1964" s="5">
        <v>46023</v>
      </c>
      <c r="EA1964" s="13" t="s">
        <v>1252</v>
      </c>
      <c r="EB1964" s="13" t="s">
        <v>1360</v>
      </c>
      <c r="EC1964" s="13" t="s">
        <v>1222</v>
      </c>
      <c r="ED1964" s="11">
        <v>200</v>
      </c>
      <c r="EE1964" s="11"/>
    </row>
    <row r="1965" spans="130:135" x14ac:dyDescent="0.2">
      <c r="DZ1965" s="5">
        <v>46023</v>
      </c>
      <c r="EA1965" s="13" t="s">
        <v>1252</v>
      </c>
      <c r="EB1965" s="13" t="s">
        <v>1376</v>
      </c>
      <c r="EC1965" s="13" t="s">
        <v>1222</v>
      </c>
      <c r="ED1965" s="11">
        <v>1400</v>
      </c>
      <c r="EE1965" s="11"/>
    </row>
    <row r="1966" spans="130:135" x14ac:dyDescent="0.2">
      <c r="DZ1966" s="5">
        <v>46023</v>
      </c>
      <c r="EA1966" s="13" t="s">
        <v>1250</v>
      </c>
      <c r="EB1966" s="13" t="s">
        <v>1357</v>
      </c>
      <c r="EC1966" s="13" t="s">
        <v>1056</v>
      </c>
      <c r="ED1966" s="11">
        <v>2290</v>
      </c>
      <c r="EE1966" s="11"/>
    </row>
    <row r="1967" spans="130:135" x14ac:dyDescent="0.2">
      <c r="DZ1967" s="5">
        <v>46023</v>
      </c>
      <c r="EA1967" s="13" t="s">
        <v>1250</v>
      </c>
      <c r="EB1967" s="13" t="s">
        <v>1356</v>
      </c>
      <c r="EC1967" s="13" t="s">
        <v>1056</v>
      </c>
      <c r="ED1967" s="11">
        <v>2290</v>
      </c>
      <c r="EE1967" s="11"/>
    </row>
    <row r="1968" spans="130:135" x14ac:dyDescent="0.2">
      <c r="DZ1968" s="5">
        <v>46023</v>
      </c>
      <c r="EA1968" s="13" t="s">
        <v>1251</v>
      </c>
      <c r="EB1968" s="13" t="s">
        <v>1337</v>
      </c>
      <c r="EC1968" s="13" t="s">
        <v>1056</v>
      </c>
      <c r="ED1968" s="11">
        <v>1670</v>
      </c>
      <c r="EE1968" s="11"/>
    </row>
    <row r="1969" spans="130:135" x14ac:dyDescent="0.2">
      <c r="DZ1969" s="5">
        <v>46023</v>
      </c>
      <c r="EA1969" s="13" t="s">
        <v>1250</v>
      </c>
      <c r="EB1969" s="13" t="s">
        <v>1358</v>
      </c>
      <c r="EC1969" s="13" t="s">
        <v>1056</v>
      </c>
      <c r="ED1969" s="11">
        <v>1670</v>
      </c>
      <c r="EE1969" s="11"/>
    </row>
    <row r="1970" spans="130:135" x14ac:dyDescent="0.2">
      <c r="DZ1970" s="5">
        <v>46023</v>
      </c>
      <c r="EA1970" s="13" t="s">
        <v>1251</v>
      </c>
      <c r="EB1970" s="13" t="s">
        <v>1346</v>
      </c>
      <c r="EC1970" s="13" t="s">
        <v>1208</v>
      </c>
      <c r="ED1970" s="11">
        <v>1922058</v>
      </c>
      <c r="EE1970" s="11"/>
    </row>
    <row r="1971" spans="130:135" x14ac:dyDescent="0.2">
      <c r="DZ1971" s="5">
        <v>46023</v>
      </c>
      <c r="EA1971" s="13" t="s">
        <v>1251</v>
      </c>
      <c r="EB1971" s="13" t="s">
        <v>1350</v>
      </c>
      <c r="EC1971" s="13" t="s">
        <v>1208</v>
      </c>
      <c r="ED1971" s="11">
        <v>2028365</v>
      </c>
      <c r="EE1971" s="11"/>
    </row>
    <row r="1972" spans="130:135" x14ac:dyDescent="0.2">
      <c r="DZ1972" s="5">
        <v>46023</v>
      </c>
      <c r="EA1972" s="13" t="s">
        <v>1251</v>
      </c>
      <c r="EB1972" s="13" t="s">
        <v>1354</v>
      </c>
      <c r="EC1972" s="13" t="s">
        <v>1215</v>
      </c>
      <c r="ED1972" s="11"/>
      <c r="EE1972" s="11">
        <v>55042</v>
      </c>
    </row>
    <row r="1973" spans="130:135" x14ac:dyDescent="0.2">
      <c r="DZ1973" s="5">
        <v>46023</v>
      </c>
      <c r="EA1973" s="13" t="s">
        <v>1251</v>
      </c>
      <c r="EB1973" s="13" t="s">
        <v>1353</v>
      </c>
      <c r="EC1973" s="13" t="s">
        <v>1215</v>
      </c>
      <c r="ED1973" s="11"/>
      <c r="EE1973" s="11">
        <v>25210</v>
      </c>
    </row>
    <row r="1974" spans="130:135" x14ac:dyDescent="0.2">
      <c r="DZ1974" s="5">
        <v>46023</v>
      </c>
      <c r="EA1974" s="13" t="s">
        <v>1251</v>
      </c>
      <c r="EB1974" s="13" t="s">
        <v>1352</v>
      </c>
      <c r="EC1974" s="13" t="s">
        <v>1217</v>
      </c>
      <c r="ED1974" s="11">
        <v>0</v>
      </c>
      <c r="EE1974" s="11"/>
    </row>
    <row r="1975" spans="130:135" x14ac:dyDescent="0.2">
      <c r="DZ1975" s="5">
        <v>46023</v>
      </c>
      <c r="EA1975" s="13" t="s">
        <v>1253</v>
      </c>
      <c r="EB1975" s="13" t="s">
        <v>1335</v>
      </c>
      <c r="EC1975" s="13" t="s">
        <v>1084</v>
      </c>
      <c r="ED1975" s="11"/>
      <c r="EE1975" s="11">
        <v>12330714</v>
      </c>
    </row>
    <row r="1976" spans="130:135" x14ac:dyDescent="0.2">
      <c r="DZ1976" s="5">
        <v>46023</v>
      </c>
      <c r="EA1976" s="13" t="s">
        <v>1253</v>
      </c>
      <c r="EB1976" s="13" t="s">
        <v>1336</v>
      </c>
      <c r="EC1976" s="13" t="s">
        <v>1084</v>
      </c>
      <c r="ED1976" s="11"/>
      <c r="EE1976" s="11">
        <v>250000</v>
      </c>
    </row>
    <row r="1977" spans="130:135" x14ac:dyDescent="0.2">
      <c r="DZ1977" s="5">
        <v>46023</v>
      </c>
      <c r="EA1977" s="13" t="s">
        <v>1251</v>
      </c>
      <c r="EB1977" s="13" t="s">
        <v>1337</v>
      </c>
      <c r="EC1977" s="13" t="s">
        <v>1114</v>
      </c>
      <c r="ED1977" s="11">
        <v>166667</v>
      </c>
      <c r="EE1977" s="11"/>
    </row>
    <row r="1978" spans="130:135" x14ac:dyDescent="0.2">
      <c r="DZ1978" s="5">
        <v>46023</v>
      </c>
      <c r="EA1978" s="13" t="s">
        <v>1250</v>
      </c>
      <c r="EB1978" s="13" t="s">
        <v>1357</v>
      </c>
      <c r="EC1978" s="13" t="s">
        <v>1114</v>
      </c>
      <c r="ED1978" s="11">
        <v>229091</v>
      </c>
      <c r="EE1978" s="11"/>
    </row>
    <row r="1979" spans="130:135" x14ac:dyDescent="0.2">
      <c r="DZ1979" s="5">
        <v>46023</v>
      </c>
      <c r="EA1979" s="13" t="s">
        <v>1250</v>
      </c>
      <c r="EB1979" s="13" t="s">
        <v>1358</v>
      </c>
      <c r="EC1979" s="13" t="s">
        <v>1114</v>
      </c>
      <c r="ED1979" s="11">
        <v>166667</v>
      </c>
      <c r="EE1979" s="11"/>
    </row>
    <row r="1980" spans="130:135" x14ac:dyDescent="0.2">
      <c r="DZ1980" s="5">
        <v>46023</v>
      </c>
      <c r="EA1980" s="13" t="s">
        <v>1250</v>
      </c>
      <c r="EB1980" s="13" t="s">
        <v>1356</v>
      </c>
      <c r="EC1980" s="13" t="s">
        <v>1114</v>
      </c>
      <c r="ED1980" s="11">
        <v>229091</v>
      </c>
      <c r="EE1980" s="11"/>
    </row>
    <row r="1981" spans="130:135" x14ac:dyDescent="0.2">
      <c r="DZ1981" s="5">
        <v>46023</v>
      </c>
      <c r="EA1981" s="13" t="s">
        <v>1250</v>
      </c>
      <c r="EB1981" s="13" t="s">
        <v>1370</v>
      </c>
      <c r="EC1981" s="13" t="s">
        <v>1150</v>
      </c>
      <c r="ED1981" s="11">
        <v>76204</v>
      </c>
      <c r="EE1981" s="11"/>
    </row>
    <row r="1982" spans="130:135" x14ac:dyDescent="0.2">
      <c r="DZ1982" s="5">
        <v>46023</v>
      </c>
      <c r="EA1982" s="13" t="s">
        <v>1250</v>
      </c>
      <c r="EB1982" s="13" t="s">
        <v>1369</v>
      </c>
      <c r="EC1982" s="13" t="s">
        <v>1150</v>
      </c>
      <c r="ED1982" s="11">
        <v>46522</v>
      </c>
      <c r="EE1982" s="11"/>
    </row>
    <row r="1983" spans="130:135" x14ac:dyDescent="0.2">
      <c r="DZ1983" s="5">
        <v>46023</v>
      </c>
      <c r="EA1983" s="13" t="s">
        <v>1251</v>
      </c>
      <c r="EB1983" s="13" t="s">
        <v>1345</v>
      </c>
      <c r="EC1983" s="13" t="s">
        <v>1146</v>
      </c>
      <c r="ED1983" s="11">
        <v>113548</v>
      </c>
      <c r="EE1983" s="11"/>
    </row>
    <row r="1984" spans="130:135" x14ac:dyDescent="0.2">
      <c r="DZ1984" s="5">
        <v>46023</v>
      </c>
      <c r="EA1984" s="13" t="s">
        <v>1250</v>
      </c>
      <c r="EB1984" s="13" t="s">
        <v>1368</v>
      </c>
      <c r="EC1984" s="13" t="s">
        <v>1146</v>
      </c>
      <c r="ED1984" s="11">
        <v>74078</v>
      </c>
      <c r="EE1984" s="11"/>
    </row>
    <row r="1985" spans="130:135" x14ac:dyDescent="0.2">
      <c r="DZ1985" s="5">
        <v>46023</v>
      </c>
      <c r="EA1985" s="13" t="s">
        <v>1250</v>
      </c>
      <c r="EB1985" s="13" t="s">
        <v>1367</v>
      </c>
      <c r="EC1985" s="13" t="s">
        <v>1146</v>
      </c>
      <c r="ED1985" s="11">
        <v>66823</v>
      </c>
      <c r="EE1985" s="11"/>
    </row>
    <row r="1986" spans="130:135" x14ac:dyDescent="0.2">
      <c r="DZ1986" s="5">
        <v>46023</v>
      </c>
      <c r="EA1986" s="13" t="s">
        <v>1251</v>
      </c>
      <c r="EB1986" s="13" t="s">
        <v>1349</v>
      </c>
      <c r="EC1986" s="13" t="s">
        <v>1146</v>
      </c>
      <c r="ED1986" s="11">
        <v>1351965</v>
      </c>
      <c r="EE1986" s="11"/>
    </row>
    <row r="1987" spans="130:135" x14ac:dyDescent="0.2">
      <c r="DZ1987" s="5">
        <v>46023</v>
      </c>
      <c r="EA1987" s="13" t="s">
        <v>1250</v>
      </c>
      <c r="EB1987" s="13" t="s">
        <v>1356</v>
      </c>
      <c r="EC1987" s="13" t="s">
        <v>1108</v>
      </c>
      <c r="ED1987" s="11">
        <v>2500000</v>
      </c>
      <c r="EE1987" s="11"/>
    </row>
    <row r="1988" spans="130:135" x14ac:dyDescent="0.2">
      <c r="DZ1988" s="5">
        <v>46023</v>
      </c>
      <c r="EA1988" s="13" t="s">
        <v>1250</v>
      </c>
      <c r="EB1988" s="13" t="s">
        <v>1358</v>
      </c>
      <c r="EC1988" s="13" t="s">
        <v>1108</v>
      </c>
      <c r="ED1988" s="11">
        <v>1750905</v>
      </c>
      <c r="EE1988" s="11"/>
    </row>
    <row r="1989" spans="130:135" x14ac:dyDescent="0.2">
      <c r="DZ1989" s="5">
        <v>46023</v>
      </c>
      <c r="EA1989" s="13" t="s">
        <v>1251</v>
      </c>
      <c r="EB1989" s="13" t="s">
        <v>1337</v>
      </c>
      <c r="EC1989" s="13" t="s">
        <v>1108</v>
      </c>
      <c r="ED1989" s="11">
        <v>1750905</v>
      </c>
      <c r="EE1989" s="11"/>
    </row>
    <row r="1990" spans="130:135" x14ac:dyDescent="0.2">
      <c r="DZ1990" s="5">
        <v>46023</v>
      </c>
      <c r="EA1990" s="13" t="s">
        <v>1250</v>
      </c>
      <c r="EB1990" s="13" t="s">
        <v>1357</v>
      </c>
      <c r="EC1990" s="13" t="s">
        <v>1108</v>
      </c>
      <c r="ED1990" s="11">
        <v>2500000</v>
      </c>
      <c r="EE1990" s="11"/>
    </row>
    <row r="1991" spans="130:135" x14ac:dyDescent="0.2">
      <c r="DZ1991" s="5">
        <v>46023</v>
      </c>
      <c r="EA1991" s="13" t="s">
        <v>1251</v>
      </c>
      <c r="EB1991" s="13" t="s">
        <v>1347</v>
      </c>
      <c r="EC1991" s="13" t="s">
        <v>1206</v>
      </c>
      <c r="ED1991" s="11"/>
      <c r="EE1991" s="11">
        <v>1085463</v>
      </c>
    </row>
    <row r="1992" spans="130:135" x14ac:dyDescent="0.2">
      <c r="DZ1992" s="5">
        <v>46023</v>
      </c>
      <c r="EA1992" s="13" t="s">
        <v>1251</v>
      </c>
      <c r="EB1992" s="13" t="s">
        <v>1343</v>
      </c>
      <c r="EC1992" s="13" t="s">
        <v>1206</v>
      </c>
      <c r="ED1992" s="11"/>
      <c r="EE1992" s="11">
        <v>141906</v>
      </c>
    </row>
    <row r="1993" spans="130:135" x14ac:dyDescent="0.2">
      <c r="DZ1993" s="5">
        <v>46023</v>
      </c>
      <c r="EA1993" s="13" t="s">
        <v>1251</v>
      </c>
      <c r="EB1993" s="13" t="s">
        <v>1344</v>
      </c>
      <c r="EC1993" s="13" t="s">
        <v>1206</v>
      </c>
      <c r="ED1993" s="11"/>
      <c r="EE1993" s="11">
        <v>1099000</v>
      </c>
    </row>
    <row r="1994" spans="130:135" x14ac:dyDescent="0.2">
      <c r="DZ1994" s="5">
        <v>46023</v>
      </c>
      <c r="EA1994" s="13" t="s">
        <v>1251</v>
      </c>
      <c r="EB1994" s="13" t="s">
        <v>1348</v>
      </c>
      <c r="EC1994" s="13" t="s">
        <v>1206</v>
      </c>
      <c r="ED1994" s="11"/>
      <c r="EE1994" s="11">
        <v>344000</v>
      </c>
    </row>
    <row r="1995" spans="130:135" x14ac:dyDescent="0.2">
      <c r="DZ1995" s="5">
        <v>46023</v>
      </c>
      <c r="EA1995" s="13" t="s">
        <v>1250</v>
      </c>
      <c r="EB1995" s="13" t="s">
        <v>1358</v>
      </c>
      <c r="EC1995" s="13" t="s">
        <v>1058</v>
      </c>
      <c r="ED1995" s="11">
        <v>360135</v>
      </c>
      <c r="EE1995" s="11"/>
    </row>
    <row r="1996" spans="130:135" x14ac:dyDescent="0.2">
      <c r="DZ1996" s="5">
        <v>46023</v>
      </c>
      <c r="EA1996" s="13" t="s">
        <v>1250</v>
      </c>
      <c r="EB1996" s="13" t="s">
        <v>1356</v>
      </c>
      <c r="EC1996" s="13" t="s">
        <v>1058</v>
      </c>
      <c r="ED1996" s="11">
        <v>104170</v>
      </c>
      <c r="EE1996" s="11"/>
    </row>
    <row r="1997" spans="130:135" x14ac:dyDescent="0.2">
      <c r="DZ1997" s="5">
        <v>46023</v>
      </c>
      <c r="EA1997" s="13" t="s">
        <v>1251</v>
      </c>
      <c r="EB1997" s="13" t="s">
        <v>1337</v>
      </c>
      <c r="EC1997" s="13" t="s">
        <v>1058</v>
      </c>
      <c r="ED1997" s="11">
        <v>93080</v>
      </c>
      <c r="EE1997" s="11"/>
    </row>
    <row r="1998" spans="130:135" x14ac:dyDescent="0.2">
      <c r="DZ1998" s="5">
        <v>46023</v>
      </c>
      <c r="EA1998" s="13" t="s">
        <v>1250</v>
      </c>
      <c r="EB1998" s="13" t="s">
        <v>1357</v>
      </c>
      <c r="EC1998" s="13" t="s">
        <v>1058</v>
      </c>
      <c r="ED1998" s="11">
        <v>104170</v>
      </c>
      <c r="EE1998" s="11"/>
    </row>
    <row r="1999" spans="130:135" x14ac:dyDescent="0.2">
      <c r="DZ1999" s="5">
        <v>46023</v>
      </c>
      <c r="EA1999" s="13" t="s">
        <v>1250</v>
      </c>
      <c r="EB1999" s="13" t="s">
        <v>1364</v>
      </c>
      <c r="EC1999" s="13" t="s">
        <v>1170</v>
      </c>
      <c r="ED1999" s="11">
        <v>20756</v>
      </c>
      <c r="EE1999" s="11"/>
    </row>
    <row r="2000" spans="130:135" x14ac:dyDescent="0.2">
      <c r="DZ2000" s="5">
        <v>46023</v>
      </c>
      <c r="EA2000" s="13" t="s">
        <v>1250</v>
      </c>
      <c r="EB2000" s="13" t="s">
        <v>1365</v>
      </c>
      <c r="EC2000" s="13" t="s">
        <v>1170</v>
      </c>
      <c r="ED2000" s="11">
        <v>26176</v>
      </c>
      <c r="EE2000" s="11"/>
    </row>
    <row r="2001" spans="130:135" x14ac:dyDescent="0.2">
      <c r="DZ2001" s="5">
        <v>46054</v>
      </c>
      <c r="EA2001" s="13" t="s">
        <v>1250</v>
      </c>
      <c r="EB2001" s="13" t="s">
        <v>1401</v>
      </c>
      <c r="EC2001" s="13" t="s">
        <v>1162</v>
      </c>
      <c r="ED2001" s="11">
        <v>228151</v>
      </c>
      <c r="EE2001" s="11"/>
    </row>
    <row r="2002" spans="130:135" x14ac:dyDescent="0.2">
      <c r="DZ2002" s="5">
        <v>46054</v>
      </c>
      <c r="EA2002" s="13" t="s">
        <v>1252</v>
      </c>
      <c r="EB2002" s="13" t="s">
        <v>1404</v>
      </c>
      <c r="EC2002" s="13" t="s">
        <v>1106</v>
      </c>
      <c r="ED2002" s="11">
        <v>0.27</v>
      </c>
      <c r="EE2002" s="11"/>
    </row>
    <row r="2003" spans="130:135" x14ac:dyDescent="0.2">
      <c r="DZ2003" s="5">
        <v>46054</v>
      </c>
      <c r="EA2003" s="13" t="s">
        <v>1252</v>
      </c>
      <c r="EB2003" s="13" t="s">
        <v>1381</v>
      </c>
      <c r="EC2003" s="13" t="s">
        <v>1106</v>
      </c>
      <c r="ED2003" s="11">
        <v>0.26</v>
      </c>
      <c r="EE2003" s="11"/>
    </row>
    <row r="2004" spans="130:135" x14ac:dyDescent="0.2">
      <c r="DZ2004" s="5">
        <v>46054</v>
      </c>
      <c r="EA2004" s="13" t="s">
        <v>1252</v>
      </c>
      <c r="EB2004" s="13" t="s">
        <v>1399</v>
      </c>
      <c r="EC2004" s="13" t="s">
        <v>1106</v>
      </c>
      <c r="ED2004" s="11">
        <v>-2</v>
      </c>
      <c r="EE2004" s="11"/>
    </row>
    <row r="2005" spans="130:135" x14ac:dyDescent="0.2">
      <c r="DZ2005" s="5">
        <v>46054</v>
      </c>
      <c r="EA2005" s="13" t="s">
        <v>1252</v>
      </c>
      <c r="EB2005" s="13" t="s">
        <v>1374</v>
      </c>
      <c r="EC2005" s="13" t="s">
        <v>1106</v>
      </c>
      <c r="ED2005" s="11">
        <v>0</v>
      </c>
      <c r="EE2005" s="11"/>
    </row>
    <row r="2006" spans="130:135" x14ac:dyDescent="0.2">
      <c r="DZ2006" s="5">
        <v>46054</v>
      </c>
      <c r="EA2006" s="13" t="s">
        <v>1252</v>
      </c>
      <c r="EB2006" s="13" t="s">
        <v>1377</v>
      </c>
      <c r="EC2006" s="13" t="s">
        <v>1106</v>
      </c>
      <c r="ED2006" s="11">
        <v>0</v>
      </c>
      <c r="EE2006" s="11"/>
    </row>
    <row r="2007" spans="130:135" x14ac:dyDescent="0.2">
      <c r="DZ2007" s="5">
        <v>46054</v>
      </c>
      <c r="EA2007" s="13" t="s">
        <v>1251</v>
      </c>
      <c r="EB2007" s="13" t="s">
        <v>1380</v>
      </c>
      <c r="EC2007" s="13" t="s">
        <v>1212</v>
      </c>
      <c r="ED2007" s="11">
        <v>0</v>
      </c>
      <c r="EE2007" s="11"/>
    </row>
    <row r="2008" spans="130:135" x14ac:dyDescent="0.2">
      <c r="DZ2008" s="5">
        <v>46054</v>
      </c>
      <c r="EA2008" s="13" t="s">
        <v>1251</v>
      </c>
      <c r="EB2008" s="13" t="s">
        <v>1339</v>
      </c>
      <c r="EC2008" s="13" t="s">
        <v>1124</v>
      </c>
      <c r="ED2008" s="11">
        <v>266800</v>
      </c>
      <c r="EE2008" s="11"/>
    </row>
    <row r="2009" spans="130:135" x14ac:dyDescent="0.2">
      <c r="DZ2009" s="5">
        <v>46054</v>
      </c>
      <c r="EA2009" s="13" t="s">
        <v>1250</v>
      </c>
      <c r="EB2009" s="13" t="s">
        <v>1339</v>
      </c>
      <c r="EC2009" s="13" t="s">
        <v>1124</v>
      </c>
      <c r="ED2009" s="11">
        <v>600000</v>
      </c>
      <c r="EE2009" s="11"/>
    </row>
    <row r="2010" spans="130:135" x14ac:dyDescent="0.2">
      <c r="DZ2010" s="5">
        <v>46054</v>
      </c>
      <c r="EA2010" s="13" t="s">
        <v>1250</v>
      </c>
      <c r="EB2010" s="13" t="s">
        <v>1360</v>
      </c>
      <c r="EC2010" s="13" t="s">
        <v>1124</v>
      </c>
      <c r="ED2010" s="11">
        <v>231000</v>
      </c>
      <c r="EE2010" s="11"/>
    </row>
    <row r="2011" spans="130:135" x14ac:dyDescent="0.2">
      <c r="DZ2011" s="5">
        <v>46054</v>
      </c>
      <c r="EA2011" s="13" t="s">
        <v>1250</v>
      </c>
      <c r="EB2011" s="13" t="s">
        <v>1359</v>
      </c>
      <c r="EC2011" s="13" t="s">
        <v>1124</v>
      </c>
      <c r="ED2011" s="11">
        <v>600000</v>
      </c>
      <c r="EE2011" s="11"/>
    </row>
    <row r="2012" spans="130:135" x14ac:dyDescent="0.2">
      <c r="DZ2012" s="5">
        <v>46054</v>
      </c>
      <c r="EA2012" s="13" t="s">
        <v>1251</v>
      </c>
      <c r="EB2012" s="13" t="s">
        <v>1338</v>
      </c>
      <c r="EC2012" s="13" t="s">
        <v>1121</v>
      </c>
      <c r="ED2012" s="11">
        <v>11700</v>
      </c>
      <c r="EE2012" s="11"/>
    </row>
    <row r="2013" spans="130:135" x14ac:dyDescent="0.2">
      <c r="DZ2013" s="5">
        <v>46054</v>
      </c>
      <c r="EA2013" s="13" t="s">
        <v>1250</v>
      </c>
      <c r="EB2013" s="13" t="s">
        <v>1338</v>
      </c>
      <c r="EC2013" s="13" t="s">
        <v>1121</v>
      </c>
      <c r="ED2013" s="11">
        <v>62100</v>
      </c>
      <c r="EE2013" s="11"/>
    </row>
    <row r="2014" spans="130:135" x14ac:dyDescent="0.2">
      <c r="DZ2014" s="5">
        <v>46054</v>
      </c>
      <c r="EA2014" s="13" t="s">
        <v>1250</v>
      </c>
      <c r="EB2014" s="13" t="s">
        <v>1375</v>
      </c>
      <c r="EC2014" s="13" t="s">
        <v>1016</v>
      </c>
      <c r="ED2014" s="11">
        <v>5200</v>
      </c>
      <c r="EE2014" s="11"/>
    </row>
    <row r="2015" spans="130:135" x14ac:dyDescent="0.2">
      <c r="DZ2015" s="5">
        <v>46054</v>
      </c>
      <c r="EA2015" s="13" t="s">
        <v>1251</v>
      </c>
      <c r="EB2015" s="13" t="s">
        <v>1340</v>
      </c>
      <c r="EC2015" s="13" t="s">
        <v>1126</v>
      </c>
      <c r="ED2015" s="11">
        <v>89000</v>
      </c>
      <c r="EE2015" s="11"/>
    </row>
    <row r="2016" spans="130:135" x14ac:dyDescent="0.2">
      <c r="DZ2016" s="5">
        <v>46054</v>
      </c>
      <c r="EA2016" s="13" t="s">
        <v>1250</v>
      </c>
      <c r="EB2016" s="13" t="s">
        <v>1340</v>
      </c>
      <c r="EC2016" s="13" t="s">
        <v>1126</v>
      </c>
      <c r="ED2016" s="11">
        <v>475300</v>
      </c>
      <c r="EE2016" s="11"/>
    </row>
    <row r="2017" spans="130:135" x14ac:dyDescent="0.2">
      <c r="DZ2017" s="5">
        <v>46054</v>
      </c>
      <c r="EA2017" s="13" t="s">
        <v>1251</v>
      </c>
      <c r="EB2017" s="13" t="s">
        <v>1341</v>
      </c>
      <c r="EC2017" s="13" t="s">
        <v>1142</v>
      </c>
      <c r="ED2017" s="11">
        <v>2400000</v>
      </c>
      <c r="EE2017" s="11"/>
    </row>
    <row r="2018" spans="130:135" x14ac:dyDescent="0.2">
      <c r="DZ2018" s="5">
        <v>46054</v>
      </c>
      <c r="EA2018" s="13" t="s">
        <v>1251</v>
      </c>
      <c r="EB2018" s="13" t="s">
        <v>1342</v>
      </c>
      <c r="EC2018" s="13" t="s">
        <v>1142</v>
      </c>
      <c r="ED2018" s="11">
        <v>6300000</v>
      </c>
      <c r="EE2018" s="11"/>
    </row>
    <row r="2019" spans="130:135" x14ac:dyDescent="0.2">
      <c r="DZ2019" s="5">
        <v>46054</v>
      </c>
      <c r="EA2019" s="13" t="s">
        <v>1250</v>
      </c>
      <c r="EB2019" s="13" t="s">
        <v>1398</v>
      </c>
      <c r="EC2019" s="13" t="s">
        <v>1138</v>
      </c>
      <c r="ED2019" s="11">
        <v>2400000</v>
      </c>
      <c r="EE2019" s="11"/>
    </row>
    <row r="2020" spans="130:135" x14ac:dyDescent="0.2">
      <c r="DZ2020" s="5">
        <v>46054</v>
      </c>
      <c r="EA2020" s="13" t="s">
        <v>1250</v>
      </c>
      <c r="EB2020" s="13" t="s">
        <v>1356</v>
      </c>
      <c r="EC2020" s="13" t="s">
        <v>1110</v>
      </c>
      <c r="ED2020" s="11">
        <v>0</v>
      </c>
      <c r="EE2020" s="11"/>
    </row>
    <row r="2021" spans="130:135" x14ac:dyDescent="0.2">
      <c r="DZ2021" s="5">
        <v>46054</v>
      </c>
      <c r="EA2021" s="13" t="s">
        <v>1250</v>
      </c>
      <c r="EB2021" s="13" t="s">
        <v>1358</v>
      </c>
      <c r="EC2021" s="13" t="s">
        <v>1110</v>
      </c>
      <c r="ED2021" s="11">
        <v>249095</v>
      </c>
      <c r="EE2021" s="11"/>
    </row>
    <row r="2022" spans="130:135" x14ac:dyDescent="0.2">
      <c r="DZ2022" s="5">
        <v>46054</v>
      </c>
      <c r="EA2022" s="13" t="s">
        <v>1250</v>
      </c>
      <c r="EB2022" s="13" t="s">
        <v>1357</v>
      </c>
      <c r="EC2022" s="13" t="s">
        <v>1110</v>
      </c>
      <c r="ED2022" s="11">
        <v>0</v>
      </c>
      <c r="EE2022" s="11"/>
    </row>
    <row r="2023" spans="130:135" x14ac:dyDescent="0.2">
      <c r="DZ2023" s="5">
        <v>46054</v>
      </c>
      <c r="EA2023" s="13" t="s">
        <v>1251</v>
      </c>
      <c r="EB2023" s="13" t="s">
        <v>1337</v>
      </c>
      <c r="EC2023" s="13" t="s">
        <v>1187</v>
      </c>
      <c r="ED2023" s="11">
        <v>249095</v>
      </c>
      <c r="EE2023" s="11"/>
    </row>
    <row r="2024" spans="130:135" x14ac:dyDescent="0.2">
      <c r="DZ2024" s="5">
        <v>46054</v>
      </c>
      <c r="EA2024" s="13" t="s">
        <v>1250</v>
      </c>
      <c r="EB2024" s="13" t="s">
        <v>1358</v>
      </c>
      <c r="EC2024" s="13" t="s">
        <v>1132</v>
      </c>
      <c r="ED2024" s="11">
        <v>130400</v>
      </c>
      <c r="EE2024" s="11"/>
    </row>
    <row r="2025" spans="130:135" x14ac:dyDescent="0.2">
      <c r="DZ2025" s="5">
        <v>46054</v>
      </c>
      <c r="EA2025" s="13" t="s">
        <v>1250</v>
      </c>
      <c r="EB2025" s="13" t="s">
        <v>1391</v>
      </c>
      <c r="EC2025" s="13" t="s">
        <v>1172</v>
      </c>
      <c r="ED2025" s="11">
        <v>232390</v>
      </c>
      <c r="EE2025" s="11"/>
    </row>
    <row r="2026" spans="130:135" x14ac:dyDescent="0.2">
      <c r="DZ2026" s="5">
        <v>46054</v>
      </c>
      <c r="EA2026" s="13" t="s">
        <v>1250</v>
      </c>
      <c r="EB2026" s="13" t="s">
        <v>1361</v>
      </c>
      <c r="EC2026" s="13" t="s">
        <v>1172</v>
      </c>
      <c r="ED2026" s="11">
        <v>0</v>
      </c>
      <c r="EE2026" s="11"/>
    </row>
    <row r="2027" spans="130:135" x14ac:dyDescent="0.2">
      <c r="DZ2027" s="5">
        <v>46054</v>
      </c>
      <c r="EA2027" s="13" t="s">
        <v>1250</v>
      </c>
      <c r="EB2027" s="13" t="s">
        <v>1362</v>
      </c>
      <c r="EC2027" s="13" t="s">
        <v>1172</v>
      </c>
      <c r="ED2027" s="11">
        <v>0</v>
      </c>
      <c r="EE2027" s="11"/>
    </row>
    <row r="2028" spans="130:135" x14ac:dyDescent="0.2">
      <c r="DZ2028" s="5">
        <v>46054</v>
      </c>
      <c r="EA2028" s="13" t="s">
        <v>1250</v>
      </c>
      <c r="EB2028" s="13" t="s">
        <v>1396</v>
      </c>
      <c r="EC2028" s="13" t="s">
        <v>1172</v>
      </c>
      <c r="ED2028" s="11">
        <v>414639</v>
      </c>
      <c r="EE2028" s="11"/>
    </row>
    <row r="2029" spans="130:135" x14ac:dyDescent="0.2">
      <c r="DZ2029" s="5">
        <v>46054</v>
      </c>
      <c r="EA2029" s="13" t="s">
        <v>1250</v>
      </c>
      <c r="EB2029" s="13" t="s">
        <v>1395</v>
      </c>
      <c r="EC2029" s="13" t="s">
        <v>1172</v>
      </c>
      <c r="ED2029" s="11">
        <v>49887</v>
      </c>
      <c r="EE2029" s="11"/>
    </row>
    <row r="2030" spans="130:135" x14ac:dyDescent="0.2">
      <c r="DZ2030" s="5">
        <v>46054</v>
      </c>
      <c r="EA2030" s="13" t="s">
        <v>1250</v>
      </c>
      <c r="EB2030" s="13" t="s">
        <v>1392</v>
      </c>
      <c r="EC2030" s="13" t="s">
        <v>1172</v>
      </c>
      <c r="ED2030" s="11">
        <v>268754</v>
      </c>
      <c r="EE2030" s="11"/>
    </row>
    <row r="2031" spans="130:135" x14ac:dyDescent="0.2">
      <c r="DZ2031" s="5">
        <v>46054</v>
      </c>
      <c r="EA2031" s="13" t="s">
        <v>1251</v>
      </c>
      <c r="EB2031" s="13" t="s">
        <v>1337</v>
      </c>
      <c r="EC2031" s="13" t="s">
        <v>1054</v>
      </c>
      <c r="ED2031" s="11">
        <v>206070</v>
      </c>
      <c r="EE2031" s="11"/>
    </row>
    <row r="2032" spans="130:135" x14ac:dyDescent="0.2">
      <c r="DZ2032" s="5">
        <v>46054</v>
      </c>
      <c r="EA2032" s="13" t="s">
        <v>1250</v>
      </c>
      <c r="EB2032" s="13" t="s">
        <v>1357</v>
      </c>
      <c r="EC2032" s="13" t="s">
        <v>1054</v>
      </c>
      <c r="ED2032" s="11">
        <v>604242</v>
      </c>
      <c r="EE2032" s="11"/>
    </row>
    <row r="2033" spans="130:135" x14ac:dyDescent="0.2">
      <c r="DZ2033" s="5">
        <v>46054</v>
      </c>
      <c r="EA2033" s="13" t="s">
        <v>1250</v>
      </c>
      <c r="EB2033" s="13" t="s">
        <v>1358</v>
      </c>
      <c r="EC2033" s="13" t="s">
        <v>1054</v>
      </c>
      <c r="ED2033" s="11">
        <v>166666</v>
      </c>
      <c r="EE2033" s="11"/>
    </row>
    <row r="2034" spans="130:135" x14ac:dyDescent="0.2">
      <c r="DZ2034" s="5">
        <v>46054</v>
      </c>
      <c r="EA2034" s="13" t="s">
        <v>1250</v>
      </c>
      <c r="EB2034" s="13" t="s">
        <v>1356</v>
      </c>
      <c r="EC2034" s="13" t="s">
        <v>1054</v>
      </c>
      <c r="ED2034" s="11">
        <v>604242</v>
      </c>
      <c r="EE2034" s="11"/>
    </row>
    <row r="2035" spans="130:135" x14ac:dyDescent="0.2">
      <c r="DZ2035" s="5">
        <v>46054</v>
      </c>
      <c r="EA2035" s="13" t="s">
        <v>1252</v>
      </c>
      <c r="EB2035" s="13" t="s">
        <v>1355</v>
      </c>
      <c r="EC2035" s="13" t="s">
        <v>1166</v>
      </c>
      <c r="ED2035" s="11">
        <v>1445115.68</v>
      </c>
      <c r="EE2035" s="11"/>
    </row>
    <row r="2036" spans="130:135" x14ac:dyDescent="0.2">
      <c r="DZ2036" s="5">
        <v>46054</v>
      </c>
      <c r="EA2036" s="13" t="s">
        <v>1251</v>
      </c>
      <c r="EB2036" s="13" t="s">
        <v>1351</v>
      </c>
      <c r="EC2036" s="13" t="s">
        <v>1166</v>
      </c>
      <c r="ED2036" s="11"/>
      <c r="EE2036" s="11">
        <v>156618</v>
      </c>
    </row>
    <row r="2037" spans="130:135" x14ac:dyDescent="0.2">
      <c r="DZ2037" s="5">
        <v>46054</v>
      </c>
      <c r="EA2037" s="13" t="s">
        <v>1251</v>
      </c>
      <c r="EB2037" s="13" t="s">
        <v>1355</v>
      </c>
      <c r="EC2037" s="13" t="s">
        <v>1166</v>
      </c>
      <c r="ED2037" s="11"/>
      <c r="EE2037" s="11">
        <v>577744</v>
      </c>
    </row>
    <row r="2038" spans="130:135" x14ac:dyDescent="0.2">
      <c r="DZ2038" s="5">
        <v>46054</v>
      </c>
      <c r="EA2038" s="13" t="s">
        <v>1251</v>
      </c>
      <c r="EB2038" s="13" t="s">
        <v>1381</v>
      </c>
      <c r="EC2038" s="13" t="s">
        <v>1166</v>
      </c>
      <c r="ED2038" s="11"/>
      <c r="EE2038" s="11">
        <v>470420</v>
      </c>
    </row>
    <row r="2039" spans="130:135" x14ac:dyDescent="0.2">
      <c r="DZ2039" s="5">
        <v>46054</v>
      </c>
      <c r="EA2039" s="13" t="s">
        <v>1251</v>
      </c>
      <c r="EB2039" s="13" t="s">
        <v>1337</v>
      </c>
      <c r="EC2039" s="13" t="s">
        <v>1166</v>
      </c>
      <c r="ED2039" s="11"/>
      <c r="EE2039" s="11">
        <v>250000</v>
      </c>
    </row>
    <row r="2040" spans="130:135" x14ac:dyDescent="0.2">
      <c r="DZ2040" s="5">
        <v>46054</v>
      </c>
      <c r="EA2040" s="13" t="s">
        <v>1252</v>
      </c>
      <c r="EB2040" s="13" t="s">
        <v>1402</v>
      </c>
      <c r="EC2040" s="13" t="s">
        <v>1230</v>
      </c>
      <c r="ED2040" s="11">
        <v>223000</v>
      </c>
      <c r="EE2040" s="11"/>
    </row>
    <row r="2041" spans="130:135" x14ac:dyDescent="0.2">
      <c r="DZ2041" s="5">
        <v>46054</v>
      </c>
      <c r="EA2041" s="13" t="s">
        <v>1252</v>
      </c>
      <c r="EB2041" s="13" t="s">
        <v>1403</v>
      </c>
      <c r="EC2041" s="13" t="s">
        <v>1230</v>
      </c>
      <c r="ED2041" s="11">
        <v>131176</v>
      </c>
      <c r="EE2041" s="11"/>
    </row>
    <row r="2042" spans="130:135" x14ac:dyDescent="0.2">
      <c r="DZ2042" s="5">
        <v>46054</v>
      </c>
      <c r="EA2042" s="13" t="s">
        <v>1252</v>
      </c>
      <c r="EB2042" s="13" t="s">
        <v>1333</v>
      </c>
      <c r="EC2042" s="13" t="s">
        <v>1224</v>
      </c>
      <c r="ED2042" s="11">
        <v>0</v>
      </c>
      <c r="EE2042" s="11"/>
    </row>
    <row r="2043" spans="130:135" x14ac:dyDescent="0.2">
      <c r="DZ2043" s="5">
        <v>46054</v>
      </c>
      <c r="EA2043" s="13" t="s">
        <v>1252</v>
      </c>
      <c r="EB2043" s="13" t="s">
        <v>1334</v>
      </c>
      <c r="EC2043" s="13" t="s">
        <v>1224</v>
      </c>
      <c r="ED2043" s="11">
        <v>0</v>
      </c>
      <c r="EE2043" s="11"/>
    </row>
    <row r="2044" spans="130:135" x14ac:dyDescent="0.2">
      <c r="DZ2044" s="5">
        <v>46054</v>
      </c>
      <c r="EA2044" s="13" t="s">
        <v>1250</v>
      </c>
      <c r="EB2044" s="13" t="s">
        <v>1363</v>
      </c>
      <c r="EC2044" s="13" t="s">
        <v>1168</v>
      </c>
      <c r="ED2044" s="11">
        <v>0</v>
      </c>
      <c r="EE2044" s="11"/>
    </row>
    <row r="2045" spans="130:135" x14ac:dyDescent="0.2">
      <c r="DZ2045" s="5">
        <v>46054</v>
      </c>
      <c r="EA2045" s="13" t="s">
        <v>1250</v>
      </c>
      <c r="EB2045" s="13" t="s">
        <v>1397</v>
      </c>
      <c r="EC2045" s="13" t="s">
        <v>1168</v>
      </c>
      <c r="ED2045" s="11">
        <v>46050</v>
      </c>
      <c r="EE2045" s="11"/>
    </row>
    <row r="2046" spans="130:135" x14ac:dyDescent="0.2">
      <c r="DZ2046" s="5">
        <v>46054</v>
      </c>
      <c r="EA2046" s="13" t="s">
        <v>1250</v>
      </c>
      <c r="EB2046" s="13" t="s">
        <v>1393</v>
      </c>
      <c r="EC2046" s="13" t="s">
        <v>1168</v>
      </c>
      <c r="ED2046" s="11">
        <v>178589</v>
      </c>
      <c r="EE2046" s="11"/>
    </row>
    <row r="2047" spans="130:135" x14ac:dyDescent="0.2">
      <c r="DZ2047" s="5">
        <v>46054</v>
      </c>
      <c r="EA2047" s="13" t="s">
        <v>1250</v>
      </c>
      <c r="EB2047" s="13" t="s">
        <v>1390</v>
      </c>
      <c r="EC2047" s="13" t="s">
        <v>1168</v>
      </c>
      <c r="ED2047" s="11">
        <v>439092</v>
      </c>
      <c r="EE2047" s="11"/>
    </row>
    <row r="2048" spans="130:135" x14ac:dyDescent="0.2">
      <c r="DZ2048" s="5">
        <v>46054</v>
      </c>
      <c r="EA2048" s="13" t="s">
        <v>1252</v>
      </c>
      <c r="EB2048" s="13" t="s">
        <v>1355</v>
      </c>
      <c r="EC2048" s="13" t="s">
        <v>1226</v>
      </c>
      <c r="ED2048" s="11">
        <v>497901</v>
      </c>
      <c r="EE2048" s="11"/>
    </row>
    <row r="2049" spans="130:135" x14ac:dyDescent="0.2">
      <c r="DZ2049" s="5">
        <v>46054</v>
      </c>
      <c r="EA2049" s="13" t="s">
        <v>1252</v>
      </c>
      <c r="EB2049" s="13" t="s">
        <v>1371</v>
      </c>
      <c r="EC2049" s="13" t="s">
        <v>1226</v>
      </c>
      <c r="ED2049" s="11">
        <v>23148</v>
      </c>
      <c r="EE2049" s="11"/>
    </row>
    <row r="2050" spans="130:135" x14ac:dyDescent="0.2">
      <c r="DZ2050" s="5">
        <v>46054</v>
      </c>
      <c r="EA2050" s="13" t="s">
        <v>1252</v>
      </c>
      <c r="EB2050" s="13" t="s">
        <v>1371</v>
      </c>
      <c r="EC2050" s="13" t="s">
        <v>1219</v>
      </c>
      <c r="ED2050" s="11">
        <v>18050</v>
      </c>
      <c r="EE2050" s="11"/>
    </row>
    <row r="2051" spans="130:135" x14ac:dyDescent="0.2">
      <c r="DZ2051" s="5">
        <v>46054</v>
      </c>
      <c r="EA2051" s="13" t="s">
        <v>1252</v>
      </c>
      <c r="EB2051" s="13" t="s">
        <v>1355</v>
      </c>
      <c r="EC2051" s="13" t="s">
        <v>1219</v>
      </c>
      <c r="ED2051" s="11">
        <v>23651</v>
      </c>
      <c r="EE2051" s="11"/>
    </row>
    <row r="2052" spans="130:135" x14ac:dyDescent="0.2">
      <c r="DZ2052" s="5">
        <v>46054</v>
      </c>
      <c r="EA2052" s="13" t="s">
        <v>1250</v>
      </c>
      <c r="EB2052" s="13" t="s">
        <v>1366</v>
      </c>
      <c r="EC2052" s="13" t="s">
        <v>1136</v>
      </c>
      <c r="ED2052" s="11">
        <v>2000000</v>
      </c>
      <c r="EE2052" s="11"/>
    </row>
    <row r="2053" spans="130:135" x14ac:dyDescent="0.2">
      <c r="DZ2053" s="5">
        <v>46054</v>
      </c>
      <c r="EA2053" s="13" t="s">
        <v>1251</v>
      </c>
      <c r="EB2053" s="13" t="s">
        <v>1337</v>
      </c>
      <c r="EC2053" s="13" t="s">
        <v>1179</v>
      </c>
      <c r="ED2053" s="11">
        <v>222842</v>
      </c>
      <c r="EE2053" s="11"/>
    </row>
    <row r="2054" spans="130:135" x14ac:dyDescent="0.2">
      <c r="DZ2054" s="5">
        <v>46054</v>
      </c>
      <c r="EA2054" s="13" t="s">
        <v>1252</v>
      </c>
      <c r="EB2054" s="13" t="s">
        <v>1373</v>
      </c>
      <c r="EC2054" s="13" t="s">
        <v>1222</v>
      </c>
      <c r="ED2054" s="11">
        <v>0</v>
      </c>
      <c r="EE2054" s="11"/>
    </row>
    <row r="2055" spans="130:135" x14ac:dyDescent="0.2">
      <c r="DZ2055" s="5">
        <v>46054</v>
      </c>
      <c r="EA2055" s="13" t="s">
        <v>1252</v>
      </c>
      <c r="EB2055" s="13" t="s">
        <v>1376</v>
      </c>
      <c r="EC2055" s="13" t="s">
        <v>1222</v>
      </c>
      <c r="ED2055" s="11">
        <v>0</v>
      </c>
      <c r="EE2055" s="11"/>
    </row>
    <row r="2056" spans="130:135" x14ac:dyDescent="0.2">
      <c r="DZ2056" s="5">
        <v>46054</v>
      </c>
      <c r="EA2056" s="13" t="s">
        <v>1252</v>
      </c>
      <c r="EB2056" s="13" t="s">
        <v>1338</v>
      </c>
      <c r="EC2056" s="13" t="s">
        <v>1222</v>
      </c>
      <c r="ED2056" s="11">
        <v>0</v>
      </c>
      <c r="EE2056" s="11"/>
    </row>
    <row r="2057" spans="130:135" x14ac:dyDescent="0.2">
      <c r="DZ2057" s="5">
        <v>46054</v>
      </c>
      <c r="EA2057" s="13" t="s">
        <v>1252</v>
      </c>
      <c r="EB2057" s="13" t="s">
        <v>1374</v>
      </c>
      <c r="EC2057" s="13" t="s">
        <v>1222</v>
      </c>
      <c r="ED2057" s="11">
        <v>0</v>
      </c>
      <c r="EE2057" s="11"/>
    </row>
    <row r="2058" spans="130:135" x14ac:dyDescent="0.2">
      <c r="DZ2058" s="5">
        <v>46054</v>
      </c>
      <c r="EA2058" s="13" t="s">
        <v>1252</v>
      </c>
      <c r="EB2058" s="13" t="s">
        <v>1359</v>
      </c>
      <c r="EC2058" s="13" t="s">
        <v>1222</v>
      </c>
      <c r="ED2058" s="11">
        <v>0</v>
      </c>
      <c r="EE2058" s="11"/>
    </row>
    <row r="2059" spans="130:135" x14ac:dyDescent="0.2">
      <c r="DZ2059" s="5">
        <v>46054</v>
      </c>
      <c r="EA2059" s="13" t="s">
        <v>1252</v>
      </c>
      <c r="EB2059" s="13" t="s">
        <v>1375</v>
      </c>
      <c r="EC2059" s="13" t="s">
        <v>1222</v>
      </c>
      <c r="ED2059" s="11">
        <v>0</v>
      </c>
      <c r="EE2059" s="11"/>
    </row>
    <row r="2060" spans="130:135" x14ac:dyDescent="0.2">
      <c r="DZ2060" s="5">
        <v>46054</v>
      </c>
      <c r="EA2060" s="13" t="s">
        <v>1252</v>
      </c>
      <c r="EB2060" s="13" t="s">
        <v>1377</v>
      </c>
      <c r="EC2060" s="13" t="s">
        <v>1222</v>
      </c>
      <c r="ED2060" s="11">
        <v>0</v>
      </c>
      <c r="EE2060" s="11"/>
    </row>
    <row r="2061" spans="130:135" x14ac:dyDescent="0.2">
      <c r="DZ2061" s="5">
        <v>46054</v>
      </c>
      <c r="EA2061" s="13" t="s">
        <v>1252</v>
      </c>
      <c r="EB2061" s="13" t="s">
        <v>1372</v>
      </c>
      <c r="EC2061" s="13" t="s">
        <v>1222</v>
      </c>
      <c r="ED2061" s="11">
        <v>0</v>
      </c>
      <c r="EE2061" s="11"/>
    </row>
    <row r="2062" spans="130:135" x14ac:dyDescent="0.2">
      <c r="DZ2062" s="5">
        <v>46054</v>
      </c>
      <c r="EA2062" s="13" t="s">
        <v>1252</v>
      </c>
      <c r="EB2062" s="13" t="s">
        <v>1360</v>
      </c>
      <c r="EC2062" s="13" t="s">
        <v>1222</v>
      </c>
      <c r="ED2062" s="11">
        <v>0</v>
      </c>
      <c r="EE2062" s="11"/>
    </row>
    <row r="2063" spans="130:135" x14ac:dyDescent="0.2">
      <c r="DZ2063" s="5">
        <v>46054</v>
      </c>
      <c r="EA2063" s="13" t="s">
        <v>1252</v>
      </c>
      <c r="EB2063" s="13" t="s">
        <v>1340</v>
      </c>
      <c r="EC2063" s="13" t="s">
        <v>1222</v>
      </c>
      <c r="ED2063" s="11">
        <v>0</v>
      </c>
      <c r="EE2063" s="11"/>
    </row>
    <row r="2064" spans="130:135" x14ac:dyDescent="0.2">
      <c r="DZ2064" s="5">
        <v>46054</v>
      </c>
      <c r="EA2064" s="13" t="s">
        <v>1252</v>
      </c>
      <c r="EB2064" s="13" t="s">
        <v>1339</v>
      </c>
      <c r="EC2064" s="13" t="s">
        <v>1222</v>
      </c>
      <c r="ED2064" s="11">
        <v>0</v>
      </c>
      <c r="EE2064" s="11"/>
    </row>
    <row r="2065" spans="130:135" x14ac:dyDescent="0.2">
      <c r="DZ2065" s="5">
        <v>46054</v>
      </c>
      <c r="EA2065" s="13" t="s">
        <v>1252</v>
      </c>
      <c r="EB2065" s="13" t="s">
        <v>1378</v>
      </c>
      <c r="EC2065" s="13" t="s">
        <v>1222</v>
      </c>
      <c r="ED2065" s="11">
        <v>0</v>
      </c>
      <c r="EE2065" s="11"/>
    </row>
    <row r="2066" spans="130:135" x14ac:dyDescent="0.2">
      <c r="DZ2066" s="5">
        <v>46054</v>
      </c>
      <c r="EA2066" s="13" t="s">
        <v>1250</v>
      </c>
      <c r="EB2066" s="13" t="s">
        <v>1358</v>
      </c>
      <c r="EC2066" s="13" t="s">
        <v>1056</v>
      </c>
      <c r="ED2066" s="11">
        <v>5000</v>
      </c>
      <c r="EE2066" s="11"/>
    </row>
    <row r="2067" spans="130:135" x14ac:dyDescent="0.2">
      <c r="DZ2067" s="5">
        <v>46054</v>
      </c>
      <c r="EA2067" s="13" t="s">
        <v>1251</v>
      </c>
      <c r="EB2067" s="13" t="s">
        <v>1337</v>
      </c>
      <c r="EC2067" s="13" t="s">
        <v>1056</v>
      </c>
      <c r="ED2067" s="11">
        <v>5780</v>
      </c>
      <c r="EE2067" s="11"/>
    </row>
    <row r="2068" spans="130:135" x14ac:dyDescent="0.2">
      <c r="DZ2068" s="5">
        <v>46054</v>
      </c>
      <c r="EA2068" s="13" t="s">
        <v>1250</v>
      </c>
      <c r="EB2068" s="13" t="s">
        <v>1357</v>
      </c>
      <c r="EC2068" s="13" t="s">
        <v>1056</v>
      </c>
      <c r="ED2068" s="11">
        <v>14380</v>
      </c>
      <c r="EE2068" s="11"/>
    </row>
    <row r="2069" spans="130:135" x14ac:dyDescent="0.2">
      <c r="DZ2069" s="5">
        <v>46054</v>
      </c>
      <c r="EA2069" s="13" t="s">
        <v>1250</v>
      </c>
      <c r="EB2069" s="13" t="s">
        <v>1356</v>
      </c>
      <c r="EC2069" s="13" t="s">
        <v>1056</v>
      </c>
      <c r="ED2069" s="11">
        <v>14380</v>
      </c>
      <c r="EE2069" s="11"/>
    </row>
    <row r="2070" spans="130:135" x14ac:dyDescent="0.2">
      <c r="DZ2070" s="5">
        <v>46054</v>
      </c>
      <c r="EA2070" s="13" t="s">
        <v>1250</v>
      </c>
      <c r="EB2070" s="13" t="s">
        <v>1400</v>
      </c>
      <c r="EC2070" s="13" t="s">
        <v>1148</v>
      </c>
      <c r="ED2070" s="11">
        <v>5200000</v>
      </c>
      <c r="EE2070" s="11"/>
    </row>
    <row r="2071" spans="130:135" x14ac:dyDescent="0.2">
      <c r="DZ2071" s="5">
        <v>46054</v>
      </c>
      <c r="EA2071" s="13" t="s">
        <v>1251</v>
      </c>
      <c r="EB2071" s="13" t="s">
        <v>1341</v>
      </c>
      <c r="EC2071" s="13" t="s">
        <v>1148</v>
      </c>
      <c r="ED2071" s="11">
        <v>312534</v>
      </c>
      <c r="EE2071" s="11"/>
    </row>
    <row r="2072" spans="130:135" x14ac:dyDescent="0.2">
      <c r="DZ2072" s="5">
        <v>46054</v>
      </c>
      <c r="EA2072" s="13" t="s">
        <v>1251</v>
      </c>
      <c r="EB2072" s="13" t="s">
        <v>1346</v>
      </c>
      <c r="EC2072" s="13" t="s">
        <v>1208</v>
      </c>
      <c r="ED2072" s="11">
        <v>1169430</v>
      </c>
      <c r="EE2072" s="11"/>
    </row>
    <row r="2073" spans="130:135" x14ac:dyDescent="0.2">
      <c r="DZ2073" s="5">
        <v>46054</v>
      </c>
      <c r="EA2073" s="13" t="s">
        <v>1251</v>
      </c>
      <c r="EB2073" s="13" t="s">
        <v>1382</v>
      </c>
      <c r="EC2073" s="13" t="s">
        <v>1208</v>
      </c>
      <c r="ED2073" s="11">
        <v>505734</v>
      </c>
      <c r="EE2073" s="11"/>
    </row>
    <row r="2074" spans="130:135" x14ac:dyDescent="0.2">
      <c r="DZ2074" s="5">
        <v>46054</v>
      </c>
      <c r="EA2074" s="13" t="s">
        <v>1251</v>
      </c>
      <c r="EB2074" s="13" t="s">
        <v>1350</v>
      </c>
      <c r="EC2074" s="13" t="s">
        <v>1208</v>
      </c>
      <c r="ED2074" s="11">
        <v>365610</v>
      </c>
      <c r="EE2074" s="11"/>
    </row>
    <row r="2075" spans="130:135" x14ac:dyDescent="0.2">
      <c r="DZ2075" s="5">
        <v>46054</v>
      </c>
      <c r="EA2075" s="13" t="s">
        <v>1251</v>
      </c>
      <c r="EB2075" s="13" t="s">
        <v>1383</v>
      </c>
      <c r="EC2075" s="13" t="s">
        <v>1215</v>
      </c>
      <c r="ED2075" s="11"/>
      <c r="EE2075" s="11">
        <v>251000</v>
      </c>
    </row>
    <row r="2076" spans="130:135" x14ac:dyDescent="0.2">
      <c r="DZ2076" s="5">
        <v>46054</v>
      </c>
      <c r="EA2076" s="13" t="s">
        <v>1251</v>
      </c>
      <c r="EB2076" s="13" t="s">
        <v>1354</v>
      </c>
      <c r="EC2076" s="13" t="s">
        <v>1215</v>
      </c>
      <c r="ED2076" s="11"/>
      <c r="EE2076" s="11">
        <v>0</v>
      </c>
    </row>
    <row r="2077" spans="130:135" x14ac:dyDescent="0.2">
      <c r="DZ2077" s="5">
        <v>46054</v>
      </c>
      <c r="EA2077" s="13" t="s">
        <v>1251</v>
      </c>
      <c r="EB2077" s="13" t="s">
        <v>1385</v>
      </c>
      <c r="EC2077" s="13" t="s">
        <v>1215</v>
      </c>
      <c r="ED2077" s="11"/>
      <c r="EE2077" s="11">
        <v>650000</v>
      </c>
    </row>
    <row r="2078" spans="130:135" x14ac:dyDescent="0.2">
      <c r="DZ2078" s="5">
        <v>46054</v>
      </c>
      <c r="EA2078" s="13" t="s">
        <v>1251</v>
      </c>
      <c r="EB2078" s="13" t="s">
        <v>1386</v>
      </c>
      <c r="EC2078" s="13" t="s">
        <v>1215</v>
      </c>
      <c r="ED2078" s="11"/>
      <c r="EE2078" s="11">
        <v>198980</v>
      </c>
    </row>
    <row r="2079" spans="130:135" x14ac:dyDescent="0.2">
      <c r="DZ2079" s="5">
        <v>46054</v>
      </c>
      <c r="EA2079" s="13" t="s">
        <v>1251</v>
      </c>
      <c r="EB2079" s="13" t="s">
        <v>1353</v>
      </c>
      <c r="EC2079" s="13" t="s">
        <v>1215</v>
      </c>
      <c r="ED2079" s="11"/>
      <c r="EE2079" s="11">
        <v>0</v>
      </c>
    </row>
    <row r="2080" spans="130:135" x14ac:dyDescent="0.2">
      <c r="DZ2080" s="5">
        <v>46054</v>
      </c>
      <c r="EA2080" s="13" t="s">
        <v>1251</v>
      </c>
      <c r="EB2080" s="13" t="s">
        <v>1352</v>
      </c>
      <c r="EC2080" s="13" t="s">
        <v>1217</v>
      </c>
      <c r="ED2080" s="11">
        <v>0</v>
      </c>
      <c r="EE2080" s="11"/>
    </row>
    <row r="2081" spans="130:135" x14ac:dyDescent="0.2">
      <c r="DZ2081" s="5">
        <v>46054</v>
      </c>
      <c r="EA2081" s="13" t="s">
        <v>1251</v>
      </c>
      <c r="EB2081" s="13" t="s">
        <v>1387</v>
      </c>
      <c r="EC2081" s="13" t="s">
        <v>1217</v>
      </c>
      <c r="ED2081" s="11">
        <v>855000</v>
      </c>
      <c r="EE2081" s="11"/>
    </row>
    <row r="2082" spans="130:135" x14ac:dyDescent="0.2">
      <c r="DZ2082" s="5">
        <v>46054</v>
      </c>
      <c r="EA2082" s="13" t="s">
        <v>1251</v>
      </c>
      <c r="EB2082" s="13" t="s">
        <v>1388</v>
      </c>
      <c r="EC2082" s="13" t="s">
        <v>1217</v>
      </c>
      <c r="ED2082" s="11">
        <v>438000</v>
      </c>
      <c r="EE2082" s="11"/>
    </row>
    <row r="2083" spans="130:135" x14ac:dyDescent="0.2">
      <c r="DZ2083" s="5">
        <v>46054</v>
      </c>
      <c r="EA2083" s="13" t="s">
        <v>1251</v>
      </c>
      <c r="EB2083" s="13" t="s">
        <v>1384</v>
      </c>
      <c r="EC2083" s="13" t="s">
        <v>1217</v>
      </c>
      <c r="ED2083" s="11">
        <v>3055500</v>
      </c>
      <c r="EE2083" s="11"/>
    </row>
    <row r="2084" spans="130:135" x14ac:dyDescent="0.2">
      <c r="DZ2084" s="5">
        <v>46054</v>
      </c>
      <c r="EA2084" s="13" t="s">
        <v>1253</v>
      </c>
      <c r="EB2084" s="13" t="s">
        <v>1336</v>
      </c>
      <c r="EC2084" s="13" t="s">
        <v>1084</v>
      </c>
      <c r="ED2084" s="11"/>
      <c r="EE2084" s="11">
        <v>0</v>
      </c>
    </row>
    <row r="2085" spans="130:135" x14ac:dyDescent="0.2">
      <c r="DZ2085" s="5">
        <v>46054</v>
      </c>
      <c r="EA2085" s="13" t="s">
        <v>1253</v>
      </c>
      <c r="EB2085" s="13" t="s">
        <v>1335</v>
      </c>
      <c r="EC2085" s="13" t="s">
        <v>1084</v>
      </c>
      <c r="ED2085" s="11"/>
      <c r="EE2085" s="11">
        <v>10985590</v>
      </c>
    </row>
    <row r="2086" spans="130:135" x14ac:dyDescent="0.2">
      <c r="DZ2086" s="5">
        <v>46054</v>
      </c>
      <c r="EA2086" s="13" t="s">
        <v>1253</v>
      </c>
      <c r="EB2086" s="13" t="s">
        <v>1381</v>
      </c>
      <c r="EC2086" s="13" t="s">
        <v>1084</v>
      </c>
      <c r="ED2086" s="11"/>
      <c r="EE2086" s="11">
        <v>400000</v>
      </c>
    </row>
    <row r="2087" spans="130:135" x14ac:dyDescent="0.2">
      <c r="DZ2087" s="5">
        <v>46054</v>
      </c>
      <c r="EA2087" s="13" t="s">
        <v>1253</v>
      </c>
      <c r="EB2087" s="13" t="s">
        <v>1379</v>
      </c>
      <c r="EC2087" s="13" t="s">
        <v>1084</v>
      </c>
      <c r="ED2087" s="11"/>
      <c r="EE2087" s="11">
        <v>100000</v>
      </c>
    </row>
    <row r="2088" spans="130:135" x14ac:dyDescent="0.2">
      <c r="DZ2088" s="5">
        <v>46054</v>
      </c>
      <c r="EA2088" s="13" t="s">
        <v>1253</v>
      </c>
      <c r="EB2088" s="13" t="s">
        <v>1380</v>
      </c>
      <c r="EC2088" s="13" t="s">
        <v>1084</v>
      </c>
      <c r="ED2088" s="11"/>
      <c r="EE2088" s="11">
        <v>1709600</v>
      </c>
    </row>
    <row r="2089" spans="130:135" x14ac:dyDescent="0.2">
      <c r="DZ2089" s="5">
        <v>46054</v>
      </c>
      <c r="EA2089" s="13" t="s">
        <v>1250</v>
      </c>
      <c r="EB2089" s="13" t="s">
        <v>1358</v>
      </c>
      <c r="EC2089" s="13" t="s">
        <v>1114</v>
      </c>
      <c r="ED2089" s="11">
        <v>166666</v>
      </c>
      <c r="EE2089" s="11"/>
    </row>
    <row r="2090" spans="130:135" x14ac:dyDescent="0.2">
      <c r="DZ2090" s="5">
        <v>46054</v>
      </c>
      <c r="EA2090" s="13" t="s">
        <v>1250</v>
      </c>
      <c r="EB2090" s="13" t="s">
        <v>1356</v>
      </c>
      <c r="EC2090" s="13" t="s">
        <v>1114</v>
      </c>
      <c r="ED2090" s="11">
        <v>604242</v>
      </c>
      <c r="EE2090" s="11"/>
    </row>
    <row r="2091" spans="130:135" x14ac:dyDescent="0.2">
      <c r="DZ2091" s="5">
        <v>46054</v>
      </c>
      <c r="EA2091" s="13" t="s">
        <v>1251</v>
      </c>
      <c r="EB2091" s="13" t="s">
        <v>1337</v>
      </c>
      <c r="EC2091" s="13" t="s">
        <v>1114</v>
      </c>
      <c r="ED2091" s="11">
        <v>206070</v>
      </c>
      <c r="EE2091" s="11"/>
    </row>
    <row r="2092" spans="130:135" x14ac:dyDescent="0.2">
      <c r="DZ2092" s="5">
        <v>46054</v>
      </c>
      <c r="EA2092" s="13" t="s">
        <v>1250</v>
      </c>
      <c r="EB2092" s="13" t="s">
        <v>1357</v>
      </c>
      <c r="EC2092" s="13" t="s">
        <v>1114</v>
      </c>
      <c r="ED2092" s="11">
        <v>604242</v>
      </c>
      <c r="EE2092" s="11"/>
    </row>
    <row r="2093" spans="130:135" x14ac:dyDescent="0.2">
      <c r="DZ2093" s="5">
        <v>46054</v>
      </c>
      <c r="EA2093" s="13" t="s">
        <v>1250</v>
      </c>
      <c r="EB2093" s="13" t="s">
        <v>1370</v>
      </c>
      <c r="EC2093" s="13" t="s">
        <v>1150</v>
      </c>
      <c r="ED2093" s="11">
        <v>82927</v>
      </c>
      <c r="EE2093" s="11"/>
    </row>
    <row r="2094" spans="130:135" x14ac:dyDescent="0.2">
      <c r="DZ2094" s="5">
        <v>46054</v>
      </c>
      <c r="EA2094" s="13" t="s">
        <v>1250</v>
      </c>
      <c r="EB2094" s="13" t="s">
        <v>1369</v>
      </c>
      <c r="EC2094" s="13" t="s">
        <v>1150</v>
      </c>
      <c r="ED2094" s="11">
        <v>67484</v>
      </c>
      <c r="EE2094" s="11"/>
    </row>
    <row r="2095" spans="130:135" x14ac:dyDescent="0.2">
      <c r="DZ2095" s="5">
        <v>46054</v>
      </c>
      <c r="EA2095" s="13" t="s">
        <v>1250</v>
      </c>
      <c r="EB2095" s="13" t="s">
        <v>1335</v>
      </c>
      <c r="EC2095" s="13" t="s">
        <v>1144</v>
      </c>
      <c r="ED2095" s="11">
        <v>95395</v>
      </c>
      <c r="EE2095" s="11"/>
    </row>
    <row r="2096" spans="130:135" x14ac:dyDescent="0.2">
      <c r="DZ2096" s="5">
        <v>46054</v>
      </c>
      <c r="EA2096" s="13" t="s">
        <v>1250</v>
      </c>
      <c r="EB2096" s="13" t="s">
        <v>1399</v>
      </c>
      <c r="EC2096" s="13" t="s">
        <v>1144</v>
      </c>
      <c r="ED2096" s="11">
        <v>118486</v>
      </c>
      <c r="EE2096" s="11"/>
    </row>
    <row r="2097" spans="130:135" x14ac:dyDescent="0.2">
      <c r="DZ2097" s="5">
        <v>46054</v>
      </c>
      <c r="EA2097" s="13" t="s">
        <v>1250</v>
      </c>
      <c r="EB2097" s="13" t="s">
        <v>1368</v>
      </c>
      <c r="EC2097" s="13" t="s">
        <v>1146</v>
      </c>
      <c r="ED2097" s="11">
        <v>73387</v>
      </c>
      <c r="EE2097" s="11"/>
    </row>
    <row r="2098" spans="130:135" x14ac:dyDescent="0.2">
      <c r="DZ2098" s="5">
        <v>46054</v>
      </c>
      <c r="EA2098" s="13" t="s">
        <v>1251</v>
      </c>
      <c r="EB2098" s="13" t="s">
        <v>1349</v>
      </c>
      <c r="EC2098" s="13" t="s">
        <v>1146</v>
      </c>
      <c r="ED2098" s="11">
        <v>92800</v>
      </c>
      <c r="EE2098" s="11"/>
    </row>
    <row r="2099" spans="130:135" x14ac:dyDescent="0.2">
      <c r="DZ2099" s="5">
        <v>46054</v>
      </c>
      <c r="EA2099" s="13" t="s">
        <v>1250</v>
      </c>
      <c r="EB2099" s="13" t="s">
        <v>1367</v>
      </c>
      <c r="EC2099" s="13" t="s">
        <v>1146</v>
      </c>
      <c r="ED2099" s="11">
        <v>66745</v>
      </c>
      <c r="EE2099" s="11"/>
    </row>
    <row r="2100" spans="130:135" x14ac:dyDescent="0.2">
      <c r="DZ2100" s="5">
        <v>46054</v>
      </c>
      <c r="EA2100" s="13" t="s">
        <v>1251</v>
      </c>
      <c r="EB2100" s="13" t="s">
        <v>1345</v>
      </c>
      <c r="EC2100" s="13" t="s">
        <v>1146</v>
      </c>
      <c r="ED2100" s="11">
        <v>113548</v>
      </c>
      <c r="EE2100" s="11"/>
    </row>
    <row r="2101" spans="130:135" x14ac:dyDescent="0.2">
      <c r="DZ2101" s="5">
        <v>46054</v>
      </c>
      <c r="EA2101" s="13" t="s">
        <v>1250</v>
      </c>
      <c r="EB2101" s="13" t="s">
        <v>1356</v>
      </c>
      <c r="EC2101" s="13" t="s">
        <v>1108</v>
      </c>
      <c r="ED2101" s="11">
        <v>5000000</v>
      </c>
      <c r="EE2101" s="11"/>
    </row>
    <row r="2102" spans="130:135" x14ac:dyDescent="0.2">
      <c r="DZ2102" s="5">
        <v>46054</v>
      </c>
      <c r="EA2102" s="13" t="s">
        <v>1250</v>
      </c>
      <c r="EB2102" s="13" t="s">
        <v>1358</v>
      </c>
      <c r="EC2102" s="13" t="s">
        <v>1108</v>
      </c>
      <c r="ED2102" s="11">
        <v>1750905</v>
      </c>
      <c r="EE2102" s="11"/>
    </row>
    <row r="2103" spans="130:135" x14ac:dyDescent="0.2">
      <c r="DZ2103" s="5">
        <v>46054</v>
      </c>
      <c r="EA2103" s="13" t="s">
        <v>1250</v>
      </c>
      <c r="EB2103" s="13" t="s">
        <v>1357</v>
      </c>
      <c r="EC2103" s="13" t="s">
        <v>1108</v>
      </c>
      <c r="ED2103" s="11">
        <v>5000000</v>
      </c>
      <c r="EE2103" s="11"/>
    </row>
    <row r="2104" spans="130:135" x14ac:dyDescent="0.2">
      <c r="DZ2104" s="5">
        <v>46054</v>
      </c>
      <c r="EA2104" s="13" t="s">
        <v>1251</v>
      </c>
      <c r="EB2104" s="13" t="s">
        <v>1337</v>
      </c>
      <c r="EC2104" s="13" t="s">
        <v>1108</v>
      </c>
      <c r="ED2104" s="11">
        <v>1750905</v>
      </c>
      <c r="EE2104" s="11"/>
    </row>
    <row r="2105" spans="130:135" x14ac:dyDescent="0.2">
      <c r="DZ2105" s="5">
        <v>46054</v>
      </c>
      <c r="EA2105" s="13" t="s">
        <v>1251</v>
      </c>
      <c r="EB2105" s="13" t="s">
        <v>1348</v>
      </c>
      <c r="EC2105" s="13" t="s">
        <v>1206</v>
      </c>
      <c r="ED2105" s="11"/>
      <c r="EE2105" s="11">
        <v>217600</v>
      </c>
    </row>
    <row r="2106" spans="130:135" x14ac:dyDescent="0.2">
      <c r="DZ2106" s="5">
        <v>46054</v>
      </c>
      <c r="EA2106" s="13" t="s">
        <v>1251</v>
      </c>
      <c r="EB2106" s="13" t="s">
        <v>1347</v>
      </c>
      <c r="EC2106" s="13" t="s">
        <v>1206</v>
      </c>
      <c r="ED2106" s="11"/>
      <c r="EE2106" s="11">
        <v>705908</v>
      </c>
    </row>
    <row r="2107" spans="130:135" x14ac:dyDescent="0.2">
      <c r="DZ2107" s="5">
        <v>46054</v>
      </c>
      <c r="EA2107" s="13" t="s">
        <v>1251</v>
      </c>
      <c r="EB2107" s="13" t="s">
        <v>1344</v>
      </c>
      <c r="EC2107" s="13" t="s">
        <v>1206</v>
      </c>
      <c r="ED2107" s="11"/>
      <c r="EE2107" s="11">
        <v>0</v>
      </c>
    </row>
    <row r="2108" spans="130:135" x14ac:dyDescent="0.2">
      <c r="DZ2108" s="5">
        <v>46054</v>
      </c>
      <c r="EA2108" s="13" t="s">
        <v>1251</v>
      </c>
      <c r="EB2108" s="13" t="s">
        <v>1335</v>
      </c>
      <c r="EC2108" s="13" t="s">
        <v>1206</v>
      </c>
      <c r="ED2108" s="11"/>
      <c r="EE2108" s="11">
        <v>8044</v>
      </c>
    </row>
    <row r="2109" spans="130:135" x14ac:dyDescent="0.2">
      <c r="DZ2109" s="5">
        <v>46054</v>
      </c>
      <c r="EA2109" s="13" t="s">
        <v>1251</v>
      </c>
      <c r="EB2109" s="13" t="s">
        <v>1343</v>
      </c>
      <c r="EC2109" s="13" t="s">
        <v>1206</v>
      </c>
      <c r="ED2109" s="11"/>
      <c r="EE2109" s="11">
        <v>242518</v>
      </c>
    </row>
    <row r="2110" spans="130:135" x14ac:dyDescent="0.2">
      <c r="DZ2110" s="5">
        <v>46054</v>
      </c>
      <c r="EA2110" s="13" t="s">
        <v>1251</v>
      </c>
      <c r="EB2110" s="13" t="s">
        <v>1337</v>
      </c>
      <c r="EC2110" s="13" t="s">
        <v>1058</v>
      </c>
      <c r="ED2110" s="11">
        <v>67700</v>
      </c>
      <c r="EE2110" s="11"/>
    </row>
    <row r="2111" spans="130:135" x14ac:dyDescent="0.2">
      <c r="DZ2111" s="5">
        <v>46054</v>
      </c>
      <c r="EA2111" s="13" t="s">
        <v>1250</v>
      </c>
      <c r="EB2111" s="13" t="s">
        <v>1357</v>
      </c>
      <c r="EC2111" s="13" t="s">
        <v>1058</v>
      </c>
      <c r="ED2111" s="11">
        <v>625000</v>
      </c>
      <c r="EE2111" s="11"/>
    </row>
    <row r="2112" spans="130:135" x14ac:dyDescent="0.2">
      <c r="DZ2112" s="5">
        <v>46054</v>
      </c>
      <c r="EA2112" s="13" t="s">
        <v>1250</v>
      </c>
      <c r="EB2112" s="13" t="s">
        <v>1358</v>
      </c>
      <c r="EC2112" s="13" t="s">
        <v>1058</v>
      </c>
      <c r="ED2112" s="11">
        <v>67700</v>
      </c>
      <c r="EE2112" s="11"/>
    </row>
    <row r="2113" spans="130:135" x14ac:dyDescent="0.2">
      <c r="DZ2113" s="5">
        <v>46054</v>
      </c>
      <c r="EA2113" s="13" t="s">
        <v>1250</v>
      </c>
      <c r="EB2113" s="13" t="s">
        <v>1356</v>
      </c>
      <c r="EC2113" s="13" t="s">
        <v>1058</v>
      </c>
      <c r="ED2113" s="11">
        <v>625000</v>
      </c>
      <c r="EE2113" s="11"/>
    </row>
    <row r="2114" spans="130:135" x14ac:dyDescent="0.2">
      <c r="DZ2114" s="5">
        <v>46054</v>
      </c>
      <c r="EA2114" s="13" t="s">
        <v>1250</v>
      </c>
      <c r="EB2114" s="13" t="s">
        <v>1394</v>
      </c>
      <c r="EC2114" s="13" t="s">
        <v>1170</v>
      </c>
      <c r="ED2114" s="11">
        <v>33950</v>
      </c>
      <c r="EE2114" s="11"/>
    </row>
    <row r="2115" spans="130:135" x14ac:dyDescent="0.2">
      <c r="DZ2115" s="5">
        <v>46054</v>
      </c>
      <c r="EA2115" s="13" t="s">
        <v>1250</v>
      </c>
      <c r="EB2115" s="13" t="s">
        <v>1389</v>
      </c>
      <c r="EC2115" s="13" t="s">
        <v>1170</v>
      </c>
      <c r="ED2115" s="11">
        <v>13931</v>
      </c>
      <c r="EE2115" s="11"/>
    </row>
    <row r="2116" spans="130:135" x14ac:dyDescent="0.2">
      <c r="DZ2116" s="5">
        <v>46054</v>
      </c>
      <c r="EA2116" s="13" t="s">
        <v>1250</v>
      </c>
      <c r="EB2116" s="13" t="s">
        <v>1365</v>
      </c>
      <c r="EC2116" s="13" t="s">
        <v>1170</v>
      </c>
      <c r="ED2116" s="11">
        <v>0</v>
      </c>
      <c r="EE2116" s="11"/>
    </row>
    <row r="2117" spans="130:135" x14ac:dyDescent="0.2">
      <c r="DZ2117" s="5">
        <v>46054</v>
      </c>
      <c r="EA2117" s="13" t="s">
        <v>1250</v>
      </c>
      <c r="EB2117" s="13" t="s">
        <v>1364</v>
      </c>
      <c r="EC2117" s="13" t="s">
        <v>1170</v>
      </c>
      <c r="ED2117" s="11">
        <v>0</v>
      </c>
      <c r="EE2117" s="11"/>
    </row>
    <row r="2118" spans="130:135" x14ac:dyDescent="0.2">
      <c r="DZ2118" s="5">
        <v>46082</v>
      </c>
      <c r="EA2118" s="13" t="s">
        <v>1250</v>
      </c>
      <c r="EB2118" s="13" t="s">
        <v>1401</v>
      </c>
      <c r="EC2118" s="13" t="s">
        <v>1162</v>
      </c>
      <c r="ED2118" s="11">
        <v>0</v>
      </c>
      <c r="EE2118" s="11"/>
    </row>
    <row r="2119" spans="130:135" x14ac:dyDescent="0.2">
      <c r="DZ2119" s="5">
        <v>46082</v>
      </c>
      <c r="EA2119" s="13" t="s">
        <v>1250</v>
      </c>
      <c r="EB2119" s="13" t="s">
        <v>1419</v>
      </c>
      <c r="EC2119" s="13" t="s">
        <v>1162</v>
      </c>
      <c r="ED2119" s="11">
        <v>55495</v>
      </c>
      <c r="EE2119" s="11"/>
    </row>
    <row r="2120" spans="130:135" x14ac:dyDescent="0.2">
      <c r="DZ2120" s="5">
        <v>46082</v>
      </c>
      <c r="EA2120" s="13" t="s">
        <v>1250</v>
      </c>
      <c r="EB2120" s="13" t="s">
        <v>1418</v>
      </c>
      <c r="EC2120" s="13" t="s">
        <v>1162</v>
      </c>
      <c r="ED2120" s="11">
        <v>67647</v>
      </c>
      <c r="EE2120" s="11"/>
    </row>
    <row r="2121" spans="130:135" x14ac:dyDescent="0.2">
      <c r="DZ2121" s="5">
        <v>46082</v>
      </c>
      <c r="EA2121" s="13" t="s">
        <v>1252</v>
      </c>
      <c r="EB2121" s="13" t="s">
        <v>1374</v>
      </c>
      <c r="EC2121" s="13" t="s">
        <v>1106</v>
      </c>
      <c r="ED2121" s="11">
        <v>0</v>
      </c>
      <c r="EE2121" s="11"/>
    </row>
    <row r="2122" spans="130:135" x14ac:dyDescent="0.2">
      <c r="DZ2122" s="5">
        <v>46082</v>
      </c>
      <c r="EA2122" s="13" t="s">
        <v>1252</v>
      </c>
      <c r="EB2122" s="13" t="s">
        <v>1377</v>
      </c>
      <c r="EC2122" s="13" t="s">
        <v>1106</v>
      </c>
      <c r="ED2122" s="11">
        <v>0</v>
      </c>
      <c r="EE2122" s="11"/>
    </row>
    <row r="2123" spans="130:135" x14ac:dyDescent="0.2">
      <c r="DZ2123" s="5">
        <v>46082</v>
      </c>
      <c r="EA2123" s="13" t="s">
        <v>1252</v>
      </c>
      <c r="EB2123" s="13" t="s">
        <v>1399</v>
      </c>
      <c r="EC2123" s="13" t="s">
        <v>1106</v>
      </c>
      <c r="ED2123" s="11">
        <v>0</v>
      </c>
      <c r="EE2123" s="11"/>
    </row>
    <row r="2124" spans="130:135" x14ac:dyDescent="0.2">
      <c r="DZ2124" s="5">
        <v>46082</v>
      </c>
      <c r="EA2124" s="13" t="s">
        <v>1252</v>
      </c>
      <c r="EB2124" s="13" t="s">
        <v>1381</v>
      </c>
      <c r="EC2124" s="13" t="s">
        <v>1106</v>
      </c>
      <c r="ED2124" s="11">
        <v>0</v>
      </c>
      <c r="EE2124" s="11"/>
    </row>
    <row r="2125" spans="130:135" x14ac:dyDescent="0.2">
      <c r="DZ2125" s="5">
        <v>46082</v>
      </c>
      <c r="EA2125" s="13" t="s">
        <v>1252</v>
      </c>
      <c r="EB2125" s="13" t="s">
        <v>1404</v>
      </c>
      <c r="EC2125" s="13" t="s">
        <v>1106</v>
      </c>
      <c r="ED2125" s="11">
        <v>0</v>
      </c>
      <c r="EE2125" s="11"/>
    </row>
    <row r="2126" spans="130:135" x14ac:dyDescent="0.2">
      <c r="DZ2126" s="5">
        <v>46082</v>
      </c>
      <c r="EA2126" s="13" t="s">
        <v>1250</v>
      </c>
      <c r="EB2126" s="13" t="s">
        <v>1360</v>
      </c>
      <c r="EC2126" s="13" t="s">
        <v>1124</v>
      </c>
      <c r="ED2126" s="11">
        <v>239000</v>
      </c>
      <c r="EE2126" s="11"/>
    </row>
    <row r="2127" spans="130:135" x14ac:dyDescent="0.2">
      <c r="DZ2127" s="5">
        <v>46082</v>
      </c>
      <c r="EA2127" s="13" t="s">
        <v>1250</v>
      </c>
      <c r="EB2127" s="13" t="s">
        <v>1339</v>
      </c>
      <c r="EC2127" s="13" t="s">
        <v>1124</v>
      </c>
      <c r="ED2127" s="11">
        <v>600000</v>
      </c>
      <c r="EE2127" s="11"/>
    </row>
    <row r="2128" spans="130:135" x14ac:dyDescent="0.2">
      <c r="DZ2128" s="5">
        <v>46082</v>
      </c>
      <c r="EA2128" s="13" t="s">
        <v>1250</v>
      </c>
      <c r="EB2128" s="13" t="s">
        <v>1359</v>
      </c>
      <c r="EC2128" s="13" t="s">
        <v>1124</v>
      </c>
      <c r="ED2128" s="11">
        <v>600000</v>
      </c>
      <c r="EE2128" s="11"/>
    </row>
    <row r="2129" spans="130:135" x14ac:dyDescent="0.2">
      <c r="DZ2129" s="5">
        <v>46082</v>
      </c>
      <c r="EA2129" s="13" t="s">
        <v>1251</v>
      </c>
      <c r="EB2129" s="13" t="s">
        <v>1406</v>
      </c>
      <c r="EC2129" s="13" t="s">
        <v>1124</v>
      </c>
      <c r="ED2129" s="11">
        <v>209500</v>
      </c>
      <c r="EE2129" s="11"/>
    </row>
    <row r="2130" spans="130:135" x14ac:dyDescent="0.2">
      <c r="DZ2130" s="5">
        <v>46082</v>
      </c>
      <c r="EA2130" s="13" t="s">
        <v>1251</v>
      </c>
      <c r="EB2130" s="13" t="s">
        <v>1339</v>
      </c>
      <c r="EC2130" s="13" t="s">
        <v>1124</v>
      </c>
      <c r="ED2130" s="11">
        <v>326900</v>
      </c>
      <c r="EE2130" s="11"/>
    </row>
    <row r="2131" spans="130:135" x14ac:dyDescent="0.2">
      <c r="DZ2131" s="5">
        <v>46082</v>
      </c>
      <c r="EA2131" s="13" t="s">
        <v>1251</v>
      </c>
      <c r="EB2131" s="13" t="s">
        <v>1338</v>
      </c>
      <c r="EC2131" s="13" t="s">
        <v>1121</v>
      </c>
      <c r="ED2131" s="11">
        <v>23300</v>
      </c>
      <c r="EE2131" s="11"/>
    </row>
    <row r="2132" spans="130:135" x14ac:dyDescent="0.2">
      <c r="DZ2132" s="5">
        <v>46082</v>
      </c>
      <c r="EA2132" s="13" t="s">
        <v>1250</v>
      </c>
      <c r="EB2132" s="13" t="s">
        <v>1338</v>
      </c>
      <c r="EC2132" s="13" t="s">
        <v>1121</v>
      </c>
      <c r="ED2132" s="11">
        <v>62600</v>
      </c>
      <c r="EE2132" s="11"/>
    </row>
    <row r="2133" spans="130:135" x14ac:dyDescent="0.2">
      <c r="DZ2133" s="5">
        <v>46082</v>
      </c>
      <c r="EA2133" s="13" t="s">
        <v>1250</v>
      </c>
      <c r="EB2133" s="13" t="s">
        <v>1375</v>
      </c>
      <c r="EC2133" s="13" t="s">
        <v>1016</v>
      </c>
      <c r="ED2133" s="11">
        <v>0</v>
      </c>
      <c r="EE2133" s="11"/>
    </row>
    <row r="2134" spans="130:135" x14ac:dyDescent="0.2">
      <c r="DZ2134" s="5">
        <v>46082</v>
      </c>
      <c r="EA2134" s="13" t="s">
        <v>1251</v>
      </c>
      <c r="EB2134" s="13" t="s">
        <v>1340</v>
      </c>
      <c r="EC2134" s="13" t="s">
        <v>1126</v>
      </c>
      <c r="ED2134" s="11">
        <v>178800</v>
      </c>
      <c r="EE2134" s="11"/>
    </row>
    <row r="2135" spans="130:135" x14ac:dyDescent="0.2">
      <c r="DZ2135" s="5">
        <v>46082</v>
      </c>
      <c r="EA2135" s="13" t="s">
        <v>1250</v>
      </c>
      <c r="EB2135" s="13" t="s">
        <v>1340</v>
      </c>
      <c r="EC2135" s="13" t="s">
        <v>1126</v>
      </c>
      <c r="ED2135" s="11">
        <v>479700</v>
      </c>
      <c r="EE2135" s="11"/>
    </row>
    <row r="2136" spans="130:135" x14ac:dyDescent="0.2">
      <c r="DZ2136" s="5">
        <v>46082</v>
      </c>
      <c r="EA2136" s="13" t="s">
        <v>1251</v>
      </c>
      <c r="EB2136" s="13" t="s">
        <v>1342</v>
      </c>
      <c r="EC2136" s="13" t="s">
        <v>1142</v>
      </c>
      <c r="ED2136" s="11">
        <v>6300000</v>
      </c>
      <c r="EE2136" s="11"/>
    </row>
    <row r="2137" spans="130:135" x14ac:dyDescent="0.2">
      <c r="DZ2137" s="5">
        <v>46082</v>
      </c>
      <c r="EA2137" s="13" t="s">
        <v>1250</v>
      </c>
      <c r="EB2137" s="13" t="s">
        <v>1415</v>
      </c>
      <c r="EC2137" s="13" t="s">
        <v>1142</v>
      </c>
      <c r="ED2137" s="11">
        <v>2500000</v>
      </c>
      <c r="EE2137" s="11"/>
    </row>
    <row r="2138" spans="130:135" x14ac:dyDescent="0.2">
      <c r="DZ2138" s="5">
        <v>46082</v>
      </c>
      <c r="EA2138" s="13" t="s">
        <v>1251</v>
      </c>
      <c r="EB2138" s="13" t="s">
        <v>1341</v>
      </c>
      <c r="EC2138" s="13" t="s">
        <v>1142</v>
      </c>
      <c r="ED2138" s="11">
        <v>0</v>
      </c>
      <c r="EE2138" s="11"/>
    </row>
    <row r="2139" spans="130:135" x14ac:dyDescent="0.2">
      <c r="DZ2139" s="5">
        <v>46082</v>
      </c>
      <c r="EA2139" s="13" t="s">
        <v>1250</v>
      </c>
      <c r="EB2139" s="13" t="s">
        <v>1398</v>
      </c>
      <c r="EC2139" s="13" t="s">
        <v>1138</v>
      </c>
      <c r="ED2139" s="11">
        <v>2400000</v>
      </c>
      <c r="EE2139" s="11"/>
    </row>
    <row r="2140" spans="130:135" x14ac:dyDescent="0.2">
      <c r="DZ2140" s="5">
        <v>46082</v>
      </c>
      <c r="EA2140" s="13" t="s">
        <v>1250</v>
      </c>
      <c r="EB2140" s="13" t="s">
        <v>1356</v>
      </c>
      <c r="EC2140" s="13" t="s">
        <v>1110</v>
      </c>
      <c r="ED2140" s="11">
        <v>0</v>
      </c>
      <c r="EE2140" s="11"/>
    </row>
    <row r="2141" spans="130:135" x14ac:dyDescent="0.2">
      <c r="DZ2141" s="5">
        <v>46082</v>
      </c>
      <c r="EA2141" s="13" t="s">
        <v>1250</v>
      </c>
      <c r="EB2141" s="13" t="s">
        <v>1358</v>
      </c>
      <c r="EC2141" s="13" t="s">
        <v>1110</v>
      </c>
      <c r="ED2141" s="11">
        <v>215882</v>
      </c>
      <c r="EE2141" s="11"/>
    </row>
    <row r="2142" spans="130:135" x14ac:dyDescent="0.2">
      <c r="DZ2142" s="5">
        <v>46082</v>
      </c>
      <c r="EA2142" s="13" t="s">
        <v>1250</v>
      </c>
      <c r="EB2142" s="13" t="s">
        <v>1357</v>
      </c>
      <c r="EC2142" s="13" t="s">
        <v>1110</v>
      </c>
      <c r="ED2142" s="11">
        <v>0</v>
      </c>
      <c r="EE2142" s="11"/>
    </row>
    <row r="2143" spans="130:135" x14ac:dyDescent="0.2">
      <c r="DZ2143" s="5">
        <v>46082</v>
      </c>
      <c r="EA2143" s="13" t="s">
        <v>1251</v>
      </c>
      <c r="EB2143" s="13" t="s">
        <v>1405</v>
      </c>
      <c r="EC2143" s="13" t="s">
        <v>1187</v>
      </c>
      <c r="ED2143" s="11">
        <v>232489</v>
      </c>
      <c r="EE2143" s="11"/>
    </row>
    <row r="2144" spans="130:135" x14ac:dyDescent="0.2">
      <c r="DZ2144" s="5">
        <v>46082</v>
      </c>
      <c r="EA2144" s="13" t="s">
        <v>1251</v>
      </c>
      <c r="EB2144" s="13" t="s">
        <v>1337</v>
      </c>
      <c r="EC2144" s="13" t="s">
        <v>1187</v>
      </c>
      <c r="ED2144" s="11">
        <v>249095</v>
      </c>
      <c r="EE2144" s="11"/>
    </row>
    <row r="2145" spans="130:135" x14ac:dyDescent="0.2">
      <c r="DZ2145" s="5">
        <v>46082</v>
      </c>
      <c r="EA2145" s="13" t="s">
        <v>1250</v>
      </c>
      <c r="EB2145" s="13" t="s">
        <v>1358</v>
      </c>
      <c r="EC2145" s="13" t="s">
        <v>1132</v>
      </c>
      <c r="ED2145" s="11">
        <v>182200</v>
      </c>
      <c r="EE2145" s="11"/>
    </row>
    <row r="2146" spans="130:135" x14ac:dyDescent="0.2">
      <c r="DZ2146" s="5">
        <v>46082</v>
      </c>
      <c r="EA2146" s="13" t="s">
        <v>1250</v>
      </c>
      <c r="EB2146" s="13" t="s">
        <v>1395</v>
      </c>
      <c r="EC2146" s="13" t="s">
        <v>1172</v>
      </c>
      <c r="ED2146" s="11">
        <v>0</v>
      </c>
      <c r="EE2146" s="11"/>
    </row>
    <row r="2147" spans="130:135" x14ac:dyDescent="0.2">
      <c r="DZ2147" s="5">
        <v>46082</v>
      </c>
      <c r="EA2147" s="13" t="s">
        <v>1250</v>
      </c>
      <c r="EB2147" s="13" t="s">
        <v>1411</v>
      </c>
      <c r="EC2147" s="13" t="s">
        <v>1172</v>
      </c>
      <c r="ED2147" s="11">
        <v>1399390</v>
      </c>
      <c r="EE2147" s="11"/>
    </row>
    <row r="2148" spans="130:135" x14ac:dyDescent="0.2">
      <c r="DZ2148" s="5">
        <v>46082</v>
      </c>
      <c r="EA2148" s="13" t="s">
        <v>1250</v>
      </c>
      <c r="EB2148" s="13" t="s">
        <v>1396</v>
      </c>
      <c r="EC2148" s="13" t="s">
        <v>1172</v>
      </c>
      <c r="ED2148" s="11">
        <v>0</v>
      </c>
      <c r="EE2148" s="11"/>
    </row>
    <row r="2149" spans="130:135" x14ac:dyDescent="0.2">
      <c r="DZ2149" s="5">
        <v>46082</v>
      </c>
      <c r="EA2149" s="13" t="s">
        <v>1250</v>
      </c>
      <c r="EB2149" s="13" t="s">
        <v>1414</v>
      </c>
      <c r="EC2149" s="13" t="s">
        <v>1172</v>
      </c>
      <c r="ED2149" s="11">
        <v>266140</v>
      </c>
      <c r="EE2149" s="11"/>
    </row>
    <row r="2150" spans="130:135" x14ac:dyDescent="0.2">
      <c r="DZ2150" s="5">
        <v>46082</v>
      </c>
      <c r="EA2150" s="13" t="s">
        <v>1250</v>
      </c>
      <c r="EB2150" s="13" t="s">
        <v>1391</v>
      </c>
      <c r="EC2150" s="13" t="s">
        <v>1172</v>
      </c>
      <c r="ED2150" s="11">
        <v>368090</v>
      </c>
      <c r="EE2150" s="11"/>
    </row>
    <row r="2151" spans="130:135" x14ac:dyDescent="0.2">
      <c r="DZ2151" s="5">
        <v>46082</v>
      </c>
      <c r="EA2151" s="13" t="s">
        <v>1250</v>
      </c>
      <c r="EB2151" s="13" t="s">
        <v>1413</v>
      </c>
      <c r="EC2151" s="13" t="s">
        <v>1172</v>
      </c>
      <c r="ED2151" s="11">
        <v>360554</v>
      </c>
      <c r="EE2151" s="11"/>
    </row>
    <row r="2152" spans="130:135" x14ac:dyDescent="0.2">
      <c r="DZ2152" s="5">
        <v>46082</v>
      </c>
      <c r="EA2152" s="13" t="s">
        <v>1250</v>
      </c>
      <c r="EB2152" s="13" t="s">
        <v>1362</v>
      </c>
      <c r="EC2152" s="13" t="s">
        <v>1172</v>
      </c>
      <c r="ED2152" s="11">
        <v>0</v>
      </c>
      <c r="EE2152" s="11"/>
    </row>
    <row r="2153" spans="130:135" x14ac:dyDescent="0.2">
      <c r="DZ2153" s="5">
        <v>46082</v>
      </c>
      <c r="EA2153" s="13" t="s">
        <v>1250</v>
      </c>
      <c r="EB2153" s="13" t="s">
        <v>1361</v>
      </c>
      <c r="EC2153" s="13" t="s">
        <v>1172</v>
      </c>
      <c r="ED2153" s="11">
        <v>0</v>
      </c>
      <c r="EE2153" s="11"/>
    </row>
    <row r="2154" spans="130:135" x14ac:dyDescent="0.2">
      <c r="DZ2154" s="5">
        <v>46082</v>
      </c>
      <c r="EA2154" s="13" t="s">
        <v>1250</v>
      </c>
      <c r="EB2154" s="13" t="s">
        <v>1392</v>
      </c>
      <c r="EC2154" s="13" t="s">
        <v>1172</v>
      </c>
      <c r="ED2154" s="11">
        <v>0</v>
      </c>
      <c r="EE2154" s="11"/>
    </row>
    <row r="2155" spans="130:135" x14ac:dyDescent="0.2">
      <c r="DZ2155" s="5">
        <v>46082</v>
      </c>
      <c r="EA2155" s="13" t="s">
        <v>1250</v>
      </c>
      <c r="EB2155" s="13" t="s">
        <v>1357</v>
      </c>
      <c r="EC2155" s="13" t="s">
        <v>1054</v>
      </c>
      <c r="ED2155" s="11">
        <v>416667</v>
      </c>
      <c r="EE2155" s="11"/>
    </row>
    <row r="2156" spans="130:135" x14ac:dyDescent="0.2">
      <c r="DZ2156" s="5">
        <v>46082</v>
      </c>
      <c r="EA2156" s="13" t="s">
        <v>1251</v>
      </c>
      <c r="EB2156" s="13" t="s">
        <v>1337</v>
      </c>
      <c r="EC2156" s="13" t="s">
        <v>1054</v>
      </c>
      <c r="ED2156" s="11">
        <v>247798</v>
      </c>
      <c r="EE2156" s="11"/>
    </row>
    <row r="2157" spans="130:135" x14ac:dyDescent="0.2">
      <c r="DZ2157" s="5">
        <v>46082</v>
      </c>
      <c r="EA2157" s="13" t="s">
        <v>1250</v>
      </c>
      <c r="EB2157" s="13" t="s">
        <v>1356</v>
      </c>
      <c r="EC2157" s="13" t="s">
        <v>1054</v>
      </c>
      <c r="ED2157" s="11">
        <v>416667</v>
      </c>
      <c r="EE2157" s="11"/>
    </row>
    <row r="2158" spans="130:135" x14ac:dyDescent="0.2">
      <c r="DZ2158" s="5">
        <v>46082</v>
      </c>
      <c r="EA2158" s="13" t="s">
        <v>1250</v>
      </c>
      <c r="EB2158" s="13" t="s">
        <v>1358</v>
      </c>
      <c r="EC2158" s="13" t="s">
        <v>1054</v>
      </c>
      <c r="ED2158" s="11">
        <v>225623</v>
      </c>
      <c r="EE2158" s="11"/>
    </row>
    <row r="2159" spans="130:135" x14ac:dyDescent="0.2">
      <c r="DZ2159" s="5">
        <v>46082</v>
      </c>
      <c r="EA2159" s="13" t="s">
        <v>1251</v>
      </c>
      <c r="EB2159" s="13" t="s">
        <v>1405</v>
      </c>
      <c r="EC2159" s="13" t="s">
        <v>1054</v>
      </c>
      <c r="ED2159" s="11">
        <v>155556</v>
      </c>
      <c r="EE2159" s="11"/>
    </row>
    <row r="2160" spans="130:135" x14ac:dyDescent="0.2">
      <c r="DZ2160" s="5">
        <v>46082</v>
      </c>
      <c r="EA2160" s="13" t="s">
        <v>1251</v>
      </c>
      <c r="EB2160" s="13" t="s">
        <v>1337</v>
      </c>
      <c r="EC2160" s="13" t="s">
        <v>1166</v>
      </c>
      <c r="ED2160" s="11"/>
      <c r="EE2160" s="11">
        <v>126000</v>
      </c>
    </row>
    <row r="2161" spans="130:135" x14ac:dyDescent="0.2">
      <c r="DZ2161" s="5">
        <v>46082</v>
      </c>
      <c r="EA2161" s="13" t="s">
        <v>1251</v>
      </c>
      <c r="EB2161" s="13" t="s">
        <v>1381</v>
      </c>
      <c r="EC2161" s="13" t="s">
        <v>1166</v>
      </c>
      <c r="ED2161" s="11"/>
      <c r="EE2161" s="11">
        <v>0</v>
      </c>
    </row>
    <row r="2162" spans="130:135" x14ac:dyDescent="0.2">
      <c r="DZ2162" s="5">
        <v>46082</v>
      </c>
      <c r="EA2162" s="13" t="s">
        <v>1251</v>
      </c>
      <c r="EB2162" s="13" t="s">
        <v>1409</v>
      </c>
      <c r="EC2162" s="13" t="s">
        <v>1166</v>
      </c>
      <c r="ED2162" s="11"/>
      <c r="EE2162" s="11">
        <v>189916</v>
      </c>
    </row>
    <row r="2163" spans="130:135" x14ac:dyDescent="0.2">
      <c r="DZ2163" s="5">
        <v>46082</v>
      </c>
      <c r="EA2163" s="13" t="s">
        <v>1252</v>
      </c>
      <c r="EB2163" s="13" t="s">
        <v>1355</v>
      </c>
      <c r="EC2163" s="13" t="s">
        <v>1166</v>
      </c>
      <c r="ED2163" s="11">
        <v>22254</v>
      </c>
      <c r="EE2163" s="11"/>
    </row>
    <row r="2164" spans="130:135" x14ac:dyDescent="0.2">
      <c r="DZ2164" s="5">
        <v>46082</v>
      </c>
      <c r="EA2164" s="13" t="s">
        <v>1251</v>
      </c>
      <c r="EB2164" s="13" t="s">
        <v>1355</v>
      </c>
      <c r="EC2164" s="13" t="s">
        <v>1166</v>
      </c>
      <c r="ED2164" s="11"/>
      <c r="EE2164" s="11">
        <v>1367748</v>
      </c>
    </row>
    <row r="2165" spans="130:135" x14ac:dyDescent="0.2">
      <c r="DZ2165" s="5">
        <v>46082</v>
      </c>
      <c r="EA2165" s="13" t="s">
        <v>1251</v>
      </c>
      <c r="EB2165" s="13" t="s">
        <v>1351</v>
      </c>
      <c r="EC2165" s="13" t="s">
        <v>1166</v>
      </c>
      <c r="ED2165" s="11"/>
      <c r="EE2165" s="11">
        <v>432482</v>
      </c>
    </row>
    <row r="2166" spans="130:135" x14ac:dyDescent="0.2">
      <c r="DZ2166" s="5">
        <v>46082</v>
      </c>
      <c r="EA2166" s="13" t="s">
        <v>1252</v>
      </c>
      <c r="EB2166" s="13" t="s">
        <v>1402</v>
      </c>
      <c r="EC2166" s="13" t="s">
        <v>1230</v>
      </c>
      <c r="ED2166" s="11">
        <v>0</v>
      </c>
      <c r="EE2166" s="11"/>
    </row>
    <row r="2167" spans="130:135" x14ac:dyDescent="0.2">
      <c r="DZ2167" s="5">
        <v>46082</v>
      </c>
      <c r="EA2167" s="13" t="s">
        <v>1252</v>
      </c>
      <c r="EB2167" s="13" t="s">
        <v>1403</v>
      </c>
      <c r="EC2167" s="13" t="s">
        <v>1230</v>
      </c>
      <c r="ED2167" s="11">
        <v>0</v>
      </c>
      <c r="EE2167" s="11"/>
    </row>
    <row r="2168" spans="130:135" x14ac:dyDescent="0.2">
      <c r="DZ2168" s="5">
        <v>46082</v>
      </c>
      <c r="EA2168" s="13" t="s">
        <v>1252</v>
      </c>
      <c r="EB2168" s="13" t="s">
        <v>1333</v>
      </c>
      <c r="EC2168" s="13" t="s">
        <v>1224</v>
      </c>
      <c r="ED2168" s="11">
        <v>0</v>
      </c>
      <c r="EE2168" s="11"/>
    </row>
    <row r="2169" spans="130:135" x14ac:dyDescent="0.2">
      <c r="DZ2169" s="5">
        <v>46082</v>
      </c>
      <c r="EA2169" s="13" t="s">
        <v>1252</v>
      </c>
      <c r="EB2169" s="13" t="s">
        <v>1334</v>
      </c>
      <c r="EC2169" s="13" t="s">
        <v>1224</v>
      </c>
      <c r="ED2169" s="11">
        <v>0</v>
      </c>
      <c r="EE2169" s="11"/>
    </row>
    <row r="2170" spans="130:135" x14ac:dyDescent="0.2">
      <c r="DZ2170" s="5">
        <v>46082</v>
      </c>
      <c r="EA2170" s="13" t="s">
        <v>1250</v>
      </c>
      <c r="EB2170" s="13" t="s">
        <v>1390</v>
      </c>
      <c r="EC2170" s="13" t="s">
        <v>1168</v>
      </c>
      <c r="ED2170" s="11">
        <v>0</v>
      </c>
      <c r="EE2170" s="11"/>
    </row>
    <row r="2171" spans="130:135" x14ac:dyDescent="0.2">
      <c r="DZ2171" s="5">
        <v>46082</v>
      </c>
      <c r="EA2171" s="13" t="s">
        <v>1250</v>
      </c>
      <c r="EB2171" s="13" t="s">
        <v>1363</v>
      </c>
      <c r="EC2171" s="13" t="s">
        <v>1168</v>
      </c>
      <c r="ED2171" s="11">
        <v>102521</v>
      </c>
      <c r="EE2171" s="11"/>
    </row>
    <row r="2172" spans="130:135" x14ac:dyDescent="0.2">
      <c r="DZ2172" s="5">
        <v>46082</v>
      </c>
      <c r="EA2172" s="13" t="s">
        <v>1250</v>
      </c>
      <c r="EB2172" s="13" t="s">
        <v>1397</v>
      </c>
      <c r="EC2172" s="13" t="s">
        <v>1168</v>
      </c>
      <c r="ED2172" s="11">
        <v>0</v>
      </c>
      <c r="EE2172" s="11"/>
    </row>
    <row r="2173" spans="130:135" x14ac:dyDescent="0.2">
      <c r="DZ2173" s="5">
        <v>46082</v>
      </c>
      <c r="EA2173" s="13" t="s">
        <v>1250</v>
      </c>
      <c r="EB2173" s="13" t="s">
        <v>1393</v>
      </c>
      <c r="EC2173" s="13" t="s">
        <v>1168</v>
      </c>
      <c r="ED2173" s="11">
        <v>208403</v>
      </c>
      <c r="EE2173" s="11"/>
    </row>
    <row r="2174" spans="130:135" x14ac:dyDescent="0.2">
      <c r="DZ2174" s="5">
        <v>46082</v>
      </c>
      <c r="EA2174" s="13" t="s">
        <v>1252</v>
      </c>
      <c r="EB2174" s="13" t="s">
        <v>1371</v>
      </c>
      <c r="EC2174" s="13" t="s">
        <v>1226</v>
      </c>
      <c r="ED2174" s="11">
        <v>48434</v>
      </c>
      <c r="EE2174" s="11"/>
    </row>
    <row r="2175" spans="130:135" x14ac:dyDescent="0.2">
      <c r="DZ2175" s="5">
        <v>46082</v>
      </c>
      <c r="EA2175" s="13" t="s">
        <v>1252</v>
      </c>
      <c r="EB2175" s="13" t="s">
        <v>1355</v>
      </c>
      <c r="EC2175" s="13" t="s">
        <v>1226</v>
      </c>
      <c r="ED2175" s="11">
        <v>344065</v>
      </c>
      <c r="EE2175" s="11"/>
    </row>
    <row r="2176" spans="130:135" x14ac:dyDescent="0.2">
      <c r="DZ2176" s="5">
        <v>46082</v>
      </c>
      <c r="EA2176" s="13" t="s">
        <v>1252</v>
      </c>
      <c r="EB2176" s="13" t="s">
        <v>1371</v>
      </c>
      <c r="EC2176" s="13" t="s">
        <v>1219</v>
      </c>
      <c r="ED2176" s="11">
        <v>18050</v>
      </c>
      <c r="EE2176" s="11"/>
    </row>
    <row r="2177" spans="130:135" x14ac:dyDescent="0.2">
      <c r="DZ2177" s="5">
        <v>46082</v>
      </c>
      <c r="EA2177" s="13" t="s">
        <v>1252</v>
      </c>
      <c r="EB2177" s="13" t="s">
        <v>1355</v>
      </c>
      <c r="EC2177" s="13" t="s">
        <v>1219</v>
      </c>
      <c r="ED2177" s="11">
        <v>2575</v>
      </c>
      <c r="EE2177" s="11"/>
    </row>
    <row r="2178" spans="130:135" x14ac:dyDescent="0.2">
      <c r="DZ2178" s="5">
        <v>46082</v>
      </c>
      <c r="EA2178" s="13" t="s">
        <v>1250</v>
      </c>
      <c r="EB2178" s="13" t="s">
        <v>1366</v>
      </c>
      <c r="EC2178" s="13" t="s">
        <v>1136</v>
      </c>
      <c r="ED2178" s="11">
        <v>2000000</v>
      </c>
      <c r="EE2178" s="11"/>
    </row>
    <row r="2179" spans="130:135" x14ac:dyDescent="0.2">
      <c r="DZ2179" s="5">
        <v>46082</v>
      </c>
      <c r="EA2179" s="13" t="s">
        <v>1251</v>
      </c>
      <c r="EB2179" s="13" t="s">
        <v>1337</v>
      </c>
      <c r="EC2179" s="13" t="s">
        <v>1179</v>
      </c>
      <c r="ED2179" s="11">
        <v>847582</v>
      </c>
      <c r="EE2179" s="11"/>
    </row>
    <row r="2180" spans="130:135" x14ac:dyDescent="0.2">
      <c r="DZ2180" s="5">
        <v>46082</v>
      </c>
      <c r="EA2180" s="13" t="s">
        <v>1251</v>
      </c>
      <c r="EB2180" s="13" t="s">
        <v>1405</v>
      </c>
      <c r="EC2180" s="13" t="s">
        <v>1179</v>
      </c>
      <c r="ED2180" s="11">
        <v>111421</v>
      </c>
      <c r="EE2180" s="11"/>
    </row>
    <row r="2181" spans="130:135" x14ac:dyDescent="0.2">
      <c r="DZ2181" s="5">
        <v>46082</v>
      </c>
      <c r="EA2181" s="13" t="s">
        <v>1252</v>
      </c>
      <c r="EB2181" s="13" t="s">
        <v>1372</v>
      </c>
      <c r="EC2181" s="13" t="s">
        <v>1222</v>
      </c>
      <c r="ED2181" s="11">
        <v>0</v>
      </c>
      <c r="EE2181" s="11"/>
    </row>
    <row r="2182" spans="130:135" x14ac:dyDescent="0.2">
      <c r="DZ2182" s="5">
        <v>46082</v>
      </c>
      <c r="EA2182" s="13" t="s">
        <v>1252</v>
      </c>
      <c r="EB2182" s="13" t="s">
        <v>1339</v>
      </c>
      <c r="EC2182" s="13" t="s">
        <v>1222</v>
      </c>
      <c r="ED2182" s="11">
        <v>0</v>
      </c>
      <c r="EE2182" s="11"/>
    </row>
    <row r="2183" spans="130:135" x14ac:dyDescent="0.2">
      <c r="DZ2183" s="5">
        <v>46082</v>
      </c>
      <c r="EA2183" s="13" t="s">
        <v>1252</v>
      </c>
      <c r="EB2183" s="13" t="s">
        <v>1374</v>
      </c>
      <c r="EC2183" s="13" t="s">
        <v>1222</v>
      </c>
      <c r="ED2183" s="11">
        <v>0</v>
      </c>
      <c r="EE2183" s="11"/>
    </row>
    <row r="2184" spans="130:135" x14ac:dyDescent="0.2">
      <c r="DZ2184" s="5">
        <v>46082</v>
      </c>
      <c r="EA2184" s="13" t="s">
        <v>1252</v>
      </c>
      <c r="EB2184" s="13" t="s">
        <v>1375</v>
      </c>
      <c r="EC2184" s="13" t="s">
        <v>1222</v>
      </c>
      <c r="ED2184" s="11">
        <v>0</v>
      </c>
      <c r="EE2184" s="11"/>
    </row>
    <row r="2185" spans="130:135" x14ac:dyDescent="0.2">
      <c r="DZ2185" s="5">
        <v>46082</v>
      </c>
      <c r="EA2185" s="13" t="s">
        <v>1252</v>
      </c>
      <c r="EB2185" s="13" t="s">
        <v>1376</v>
      </c>
      <c r="EC2185" s="13" t="s">
        <v>1222</v>
      </c>
      <c r="ED2185" s="11">
        <v>0</v>
      </c>
      <c r="EE2185" s="11"/>
    </row>
    <row r="2186" spans="130:135" x14ac:dyDescent="0.2">
      <c r="DZ2186" s="5">
        <v>46082</v>
      </c>
      <c r="EA2186" s="13" t="s">
        <v>1252</v>
      </c>
      <c r="EB2186" s="13" t="s">
        <v>1378</v>
      </c>
      <c r="EC2186" s="13" t="s">
        <v>1222</v>
      </c>
      <c r="ED2186" s="11">
        <v>0</v>
      </c>
      <c r="EE2186" s="11"/>
    </row>
    <row r="2187" spans="130:135" x14ac:dyDescent="0.2">
      <c r="DZ2187" s="5">
        <v>46082</v>
      </c>
      <c r="EA2187" s="13" t="s">
        <v>1252</v>
      </c>
      <c r="EB2187" s="13" t="s">
        <v>1340</v>
      </c>
      <c r="EC2187" s="13" t="s">
        <v>1222</v>
      </c>
      <c r="ED2187" s="11">
        <v>0</v>
      </c>
      <c r="EE2187" s="11"/>
    </row>
    <row r="2188" spans="130:135" x14ac:dyDescent="0.2">
      <c r="DZ2188" s="5">
        <v>46082</v>
      </c>
      <c r="EA2188" s="13" t="s">
        <v>1252</v>
      </c>
      <c r="EB2188" s="13" t="s">
        <v>1373</v>
      </c>
      <c r="EC2188" s="13" t="s">
        <v>1222</v>
      </c>
      <c r="ED2188" s="11">
        <v>0</v>
      </c>
      <c r="EE2188" s="11"/>
    </row>
    <row r="2189" spans="130:135" x14ac:dyDescent="0.2">
      <c r="DZ2189" s="5">
        <v>46082</v>
      </c>
      <c r="EA2189" s="13" t="s">
        <v>1252</v>
      </c>
      <c r="EB2189" s="13" t="s">
        <v>1338</v>
      </c>
      <c r="EC2189" s="13" t="s">
        <v>1222</v>
      </c>
      <c r="ED2189" s="11">
        <v>0</v>
      </c>
      <c r="EE2189" s="11"/>
    </row>
    <row r="2190" spans="130:135" x14ac:dyDescent="0.2">
      <c r="DZ2190" s="5">
        <v>46082</v>
      </c>
      <c r="EA2190" s="13" t="s">
        <v>1252</v>
      </c>
      <c r="EB2190" s="13" t="s">
        <v>1377</v>
      </c>
      <c r="EC2190" s="13" t="s">
        <v>1222</v>
      </c>
      <c r="ED2190" s="11">
        <v>0</v>
      </c>
      <c r="EE2190" s="11"/>
    </row>
    <row r="2191" spans="130:135" x14ac:dyDescent="0.2">
      <c r="DZ2191" s="5">
        <v>46082</v>
      </c>
      <c r="EA2191" s="13" t="s">
        <v>1252</v>
      </c>
      <c r="EB2191" s="13" t="s">
        <v>1360</v>
      </c>
      <c r="EC2191" s="13" t="s">
        <v>1222</v>
      </c>
      <c r="ED2191" s="11">
        <v>0</v>
      </c>
      <c r="EE2191" s="11"/>
    </row>
    <row r="2192" spans="130:135" x14ac:dyDescent="0.2">
      <c r="DZ2192" s="5">
        <v>46082</v>
      </c>
      <c r="EA2192" s="13" t="s">
        <v>1252</v>
      </c>
      <c r="EB2192" s="13" t="s">
        <v>1359</v>
      </c>
      <c r="EC2192" s="13" t="s">
        <v>1222</v>
      </c>
      <c r="ED2192" s="11">
        <v>0</v>
      </c>
      <c r="EE2192" s="11"/>
    </row>
    <row r="2193" spans="130:135" x14ac:dyDescent="0.2">
      <c r="DZ2193" s="5">
        <v>46082</v>
      </c>
      <c r="EA2193" s="13" t="s">
        <v>1250</v>
      </c>
      <c r="EB2193" s="13" t="s">
        <v>1357</v>
      </c>
      <c r="EC2193" s="13" t="s">
        <v>1056</v>
      </c>
      <c r="ED2193" s="11">
        <v>20830</v>
      </c>
      <c r="EE2193" s="11"/>
    </row>
    <row r="2194" spans="130:135" x14ac:dyDescent="0.2">
      <c r="DZ2194" s="5">
        <v>46082</v>
      </c>
      <c r="EA2194" s="13" t="s">
        <v>1250</v>
      </c>
      <c r="EB2194" s="13" t="s">
        <v>1356</v>
      </c>
      <c r="EC2194" s="13" t="s">
        <v>1056</v>
      </c>
      <c r="ED2194" s="11">
        <v>20830</v>
      </c>
      <c r="EE2194" s="11"/>
    </row>
    <row r="2195" spans="130:135" x14ac:dyDescent="0.2">
      <c r="DZ2195" s="5">
        <v>46082</v>
      </c>
      <c r="EA2195" s="13" t="s">
        <v>1251</v>
      </c>
      <c r="EB2195" s="13" t="s">
        <v>1405</v>
      </c>
      <c r="EC2195" s="13" t="s">
        <v>1056</v>
      </c>
      <c r="ED2195" s="11">
        <v>1450</v>
      </c>
      <c r="EE2195" s="11"/>
    </row>
    <row r="2196" spans="130:135" x14ac:dyDescent="0.2">
      <c r="DZ2196" s="5">
        <v>46082</v>
      </c>
      <c r="EA2196" s="13" t="s">
        <v>1251</v>
      </c>
      <c r="EB2196" s="13" t="s">
        <v>1337</v>
      </c>
      <c r="EC2196" s="13" t="s">
        <v>1056</v>
      </c>
      <c r="ED2196" s="11">
        <v>11170</v>
      </c>
      <c r="EE2196" s="11"/>
    </row>
    <row r="2197" spans="130:135" x14ac:dyDescent="0.2">
      <c r="DZ2197" s="5">
        <v>46082</v>
      </c>
      <c r="EA2197" s="13" t="s">
        <v>1250</v>
      </c>
      <c r="EB2197" s="13" t="s">
        <v>1358</v>
      </c>
      <c r="EC2197" s="13" t="s">
        <v>1056</v>
      </c>
      <c r="ED2197" s="11">
        <v>10100</v>
      </c>
      <c r="EE2197" s="11"/>
    </row>
    <row r="2198" spans="130:135" x14ac:dyDescent="0.2">
      <c r="DZ2198" s="5">
        <v>46082</v>
      </c>
      <c r="EA2198" s="13" t="s">
        <v>1250</v>
      </c>
      <c r="EB2198" s="13" t="s">
        <v>1400</v>
      </c>
      <c r="EC2198" s="13" t="s">
        <v>1148</v>
      </c>
      <c r="ED2198" s="11">
        <v>0</v>
      </c>
      <c r="EE2198" s="11"/>
    </row>
    <row r="2199" spans="130:135" x14ac:dyDescent="0.2">
      <c r="DZ2199" s="5">
        <v>46082</v>
      </c>
      <c r="EA2199" s="13" t="s">
        <v>1251</v>
      </c>
      <c r="EB2199" s="13" t="s">
        <v>1341</v>
      </c>
      <c r="EC2199" s="13" t="s">
        <v>1148</v>
      </c>
      <c r="ED2199" s="11">
        <v>0</v>
      </c>
      <c r="EE2199" s="11"/>
    </row>
    <row r="2200" spans="130:135" x14ac:dyDescent="0.2">
      <c r="DZ2200" s="5">
        <v>46082</v>
      </c>
      <c r="EA2200" s="13" t="s">
        <v>1251</v>
      </c>
      <c r="EB2200" s="13" t="s">
        <v>1346</v>
      </c>
      <c r="EC2200" s="13" t="s">
        <v>1208</v>
      </c>
      <c r="ED2200" s="11">
        <v>1738312.19</v>
      </c>
      <c r="EE2200" s="11"/>
    </row>
    <row r="2201" spans="130:135" x14ac:dyDescent="0.2">
      <c r="DZ2201" s="5">
        <v>46082</v>
      </c>
      <c r="EA2201" s="13" t="s">
        <v>1251</v>
      </c>
      <c r="EB2201" s="13" t="s">
        <v>1382</v>
      </c>
      <c r="EC2201" s="13" t="s">
        <v>1208</v>
      </c>
      <c r="ED2201" s="11">
        <v>0</v>
      </c>
      <c r="EE2201" s="11"/>
    </row>
    <row r="2202" spans="130:135" x14ac:dyDescent="0.2">
      <c r="DZ2202" s="5">
        <v>46082</v>
      </c>
      <c r="EA2202" s="13" t="s">
        <v>1251</v>
      </c>
      <c r="EB2202" s="13" t="s">
        <v>1350</v>
      </c>
      <c r="EC2202" s="13" t="s">
        <v>1208</v>
      </c>
      <c r="ED2202" s="11">
        <v>2662847.7599999998</v>
      </c>
      <c r="EE2202" s="11"/>
    </row>
    <row r="2203" spans="130:135" x14ac:dyDescent="0.2">
      <c r="DZ2203" s="5">
        <v>46082</v>
      </c>
      <c r="EA2203" s="13" t="s">
        <v>1251</v>
      </c>
      <c r="EB2203" s="13" t="s">
        <v>1353</v>
      </c>
      <c r="EC2203" s="13" t="s">
        <v>1215</v>
      </c>
      <c r="ED2203" s="11"/>
      <c r="EE2203" s="11">
        <v>0</v>
      </c>
    </row>
    <row r="2204" spans="130:135" x14ac:dyDescent="0.2">
      <c r="DZ2204" s="5">
        <v>46082</v>
      </c>
      <c r="EA2204" s="13" t="s">
        <v>1251</v>
      </c>
      <c r="EB2204" s="13" t="s">
        <v>1386</v>
      </c>
      <c r="EC2204" s="13" t="s">
        <v>1215</v>
      </c>
      <c r="ED2204" s="11"/>
      <c r="EE2204" s="11">
        <v>0</v>
      </c>
    </row>
    <row r="2205" spans="130:135" x14ac:dyDescent="0.2">
      <c r="DZ2205" s="5">
        <v>46082</v>
      </c>
      <c r="EA2205" s="13" t="s">
        <v>1251</v>
      </c>
      <c r="EB2205" s="13" t="s">
        <v>1383</v>
      </c>
      <c r="EC2205" s="13" t="s">
        <v>1215</v>
      </c>
      <c r="ED2205" s="11"/>
      <c r="EE2205" s="11">
        <v>763500</v>
      </c>
    </row>
    <row r="2206" spans="130:135" x14ac:dyDescent="0.2">
      <c r="DZ2206" s="5">
        <v>46082</v>
      </c>
      <c r="EA2206" s="13" t="s">
        <v>1251</v>
      </c>
      <c r="EB2206" s="13" t="s">
        <v>1354</v>
      </c>
      <c r="EC2206" s="13" t="s">
        <v>1215</v>
      </c>
      <c r="ED2206" s="11"/>
      <c r="EE2206" s="11">
        <v>99580</v>
      </c>
    </row>
    <row r="2207" spans="130:135" x14ac:dyDescent="0.2">
      <c r="DZ2207" s="5">
        <v>46082</v>
      </c>
      <c r="EA2207" s="13" t="s">
        <v>1251</v>
      </c>
      <c r="EB2207" s="13" t="s">
        <v>1385</v>
      </c>
      <c r="EC2207" s="13" t="s">
        <v>1215</v>
      </c>
      <c r="ED2207" s="11"/>
      <c r="EE2207" s="11">
        <v>451684</v>
      </c>
    </row>
    <row r="2208" spans="130:135" x14ac:dyDescent="0.2">
      <c r="DZ2208" s="5">
        <v>46082</v>
      </c>
      <c r="EA2208" s="13" t="s">
        <v>1251</v>
      </c>
      <c r="EB2208" s="13" t="s">
        <v>1410</v>
      </c>
      <c r="EC2208" s="13" t="s">
        <v>1217</v>
      </c>
      <c r="ED2208" s="11">
        <v>480000</v>
      </c>
      <c r="EE2208" s="11"/>
    </row>
    <row r="2209" spans="130:135" x14ac:dyDescent="0.2">
      <c r="DZ2209" s="5">
        <v>46082</v>
      </c>
      <c r="EA2209" s="13" t="s">
        <v>1251</v>
      </c>
      <c r="EB2209" s="13" t="s">
        <v>1384</v>
      </c>
      <c r="EC2209" s="13" t="s">
        <v>1217</v>
      </c>
      <c r="ED2209" s="11">
        <v>0</v>
      </c>
      <c r="EE2209" s="11"/>
    </row>
    <row r="2210" spans="130:135" x14ac:dyDescent="0.2">
      <c r="DZ2210" s="5">
        <v>46082</v>
      </c>
      <c r="EA2210" s="13" t="s">
        <v>1251</v>
      </c>
      <c r="EB2210" s="13" t="s">
        <v>1388</v>
      </c>
      <c r="EC2210" s="13" t="s">
        <v>1217</v>
      </c>
      <c r="ED2210" s="11">
        <v>438000</v>
      </c>
      <c r="EE2210" s="11"/>
    </row>
    <row r="2211" spans="130:135" x14ac:dyDescent="0.2">
      <c r="DZ2211" s="5">
        <v>46082</v>
      </c>
      <c r="EA2211" s="13" t="s">
        <v>1251</v>
      </c>
      <c r="EB2211" s="13" t="s">
        <v>1387</v>
      </c>
      <c r="EC2211" s="13" t="s">
        <v>1217</v>
      </c>
      <c r="ED2211" s="11">
        <v>0</v>
      </c>
      <c r="EE2211" s="11"/>
    </row>
    <row r="2212" spans="130:135" x14ac:dyDescent="0.2">
      <c r="DZ2212" s="5">
        <v>46082</v>
      </c>
      <c r="EA2212" s="13" t="s">
        <v>1251</v>
      </c>
      <c r="EB2212" s="13" t="s">
        <v>1409</v>
      </c>
      <c r="EC2212" s="13" t="s">
        <v>1217</v>
      </c>
      <c r="ED2212" s="11">
        <v>392000</v>
      </c>
      <c r="EE2212" s="11"/>
    </row>
    <row r="2213" spans="130:135" x14ac:dyDescent="0.2">
      <c r="DZ2213" s="5">
        <v>46082</v>
      </c>
      <c r="EA2213" s="13" t="s">
        <v>1253</v>
      </c>
      <c r="EB2213" s="13" t="s">
        <v>1380</v>
      </c>
      <c r="EC2213" s="13" t="s">
        <v>1084</v>
      </c>
      <c r="ED2213" s="11"/>
      <c r="EE2213" s="11">
        <v>0</v>
      </c>
    </row>
    <row r="2214" spans="130:135" x14ac:dyDescent="0.2">
      <c r="DZ2214" s="5">
        <v>46082</v>
      </c>
      <c r="EA2214" s="13" t="s">
        <v>1253</v>
      </c>
      <c r="EB2214" s="13" t="s">
        <v>1335</v>
      </c>
      <c r="EC2214" s="13" t="s">
        <v>1084</v>
      </c>
      <c r="ED2214" s="11"/>
      <c r="EE2214" s="11">
        <v>49218521</v>
      </c>
    </row>
    <row r="2215" spans="130:135" x14ac:dyDescent="0.2">
      <c r="DZ2215" s="5">
        <v>46082</v>
      </c>
      <c r="EA2215" s="13" t="s">
        <v>1253</v>
      </c>
      <c r="EB2215" s="13" t="s">
        <v>1381</v>
      </c>
      <c r="EC2215" s="13" t="s">
        <v>1084</v>
      </c>
      <c r="ED2215" s="11"/>
      <c r="EE2215" s="11">
        <v>0</v>
      </c>
    </row>
    <row r="2216" spans="130:135" x14ac:dyDescent="0.2">
      <c r="DZ2216" s="5">
        <v>46082</v>
      </c>
      <c r="EA2216" s="13" t="s">
        <v>1253</v>
      </c>
      <c r="EB2216" s="13" t="s">
        <v>1379</v>
      </c>
      <c r="EC2216" s="13" t="s">
        <v>1084</v>
      </c>
      <c r="ED2216" s="11"/>
      <c r="EE2216" s="11">
        <v>0</v>
      </c>
    </row>
    <row r="2217" spans="130:135" x14ac:dyDescent="0.2">
      <c r="DZ2217" s="5">
        <v>46082</v>
      </c>
      <c r="EA2217" s="13" t="s">
        <v>1253</v>
      </c>
      <c r="EB2217" s="13" t="s">
        <v>1336</v>
      </c>
      <c r="EC2217" s="13" t="s">
        <v>1084</v>
      </c>
      <c r="ED2217" s="11"/>
      <c r="EE2217" s="11">
        <v>0</v>
      </c>
    </row>
    <row r="2218" spans="130:135" x14ac:dyDescent="0.2">
      <c r="DZ2218" s="5">
        <v>46082</v>
      </c>
      <c r="EA2218" s="13" t="s">
        <v>1250</v>
      </c>
      <c r="EB2218" s="13" t="s">
        <v>1356</v>
      </c>
      <c r="EC2218" s="13" t="s">
        <v>1114</v>
      </c>
      <c r="ED2218" s="11">
        <v>416667</v>
      </c>
      <c r="EE2218" s="11"/>
    </row>
    <row r="2219" spans="130:135" x14ac:dyDescent="0.2">
      <c r="DZ2219" s="5">
        <v>46082</v>
      </c>
      <c r="EA2219" s="13" t="s">
        <v>1250</v>
      </c>
      <c r="EB2219" s="13" t="s">
        <v>1357</v>
      </c>
      <c r="EC2219" s="13" t="s">
        <v>1114</v>
      </c>
      <c r="ED2219" s="11">
        <v>416667</v>
      </c>
      <c r="EE2219" s="11"/>
    </row>
    <row r="2220" spans="130:135" x14ac:dyDescent="0.2">
      <c r="DZ2220" s="5">
        <v>46082</v>
      </c>
      <c r="EA2220" s="13" t="s">
        <v>1251</v>
      </c>
      <c r="EB2220" s="13" t="s">
        <v>1405</v>
      </c>
      <c r="EC2220" s="13" t="s">
        <v>1114</v>
      </c>
      <c r="ED2220" s="11">
        <v>155556</v>
      </c>
      <c r="EE2220" s="11"/>
    </row>
    <row r="2221" spans="130:135" x14ac:dyDescent="0.2">
      <c r="DZ2221" s="5">
        <v>46082</v>
      </c>
      <c r="EA2221" s="13" t="s">
        <v>1251</v>
      </c>
      <c r="EB2221" s="13" t="s">
        <v>1337</v>
      </c>
      <c r="EC2221" s="13" t="s">
        <v>1114</v>
      </c>
      <c r="ED2221" s="11">
        <v>247798</v>
      </c>
      <c r="EE2221" s="11"/>
    </row>
    <row r="2222" spans="130:135" x14ac:dyDescent="0.2">
      <c r="DZ2222" s="5">
        <v>46082</v>
      </c>
      <c r="EA2222" s="13" t="s">
        <v>1250</v>
      </c>
      <c r="EB2222" s="13" t="s">
        <v>1358</v>
      </c>
      <c r="EC2222" s="13" t="s">
        <v>1114</v>
      </c>
      <c r="ED2222" s="11">
        <v>225623</v>
      </c>
      <c r="EE2222" s="11"/>
    </row>
    <row r="2223" spans="130:135" x14ac:dyDescent="0.2">
      <c r="DZ2223" s="5">
        <v>46082</v>
      </c>
      <c r="EA2223" s="13" t="s">
        <v>1250</v>
      </c>
      <c r="EB2223" s="13" t="s">
        <v>1417</v>
      </c>
      <c r="EC2223" s="13" t="s">
        <v>1156</v>
      </c>
      <c r="ED2223" s="11">
        <v>1570700</v>
      </c>
      <c r="EE2223" s="11"/>
    </row>
    <row r="2224" spans="130:135" x14ac:dyDescent="0.2">
      <c r="DZ2224" s="5">
        <v>46082</v>
      </c>
      <c r="EA2224" s="13" t="s">
        <v>1250</v>
      </c>
      <c r="EB2224" s="13" t="s">
        <v>1370</v>
      </c>
      <c r="EC2224" s="13" t="s">
        <v>1150</v>
      </c>
      <c r="ED2224" s="11">
        <v>165854</v>
      </c>
      <c r="EE2224" s="11"/>
    </row>
    <row r="2225" spans="130:135" x14ac:dyDescent="0.2">
      <c r="DZ2225" s="5">
        <v>46082</v>
      </c>
      <c r="EA2225" s="13" t="s">
        <v>1250</v>
      </c>
      <c r="EB2225" s="13" t="s">
        <v>1369</v>
      </c>
      <c r="EC2225" s="13" t="s">
        <v>1150</v>
      </c>
      <c r="ED2225" s="11">
        <v>99008</v>
      </c>
      <c r="EE2225" s="11"/>
    </row>
    <row r="2226" spans="130:135" x14ac:dyDescent="0.2">
      <c r="DZ2226" s="5">
        <v>46082</v>
      </c>
      <c r="EA2226" s="13" t="s">
        <v>1250</v>
      </c>
      <c r="EB2226" s="13" t="s">
        <v>1335</v>
      </c>
      <c r="EC2226" s="13" t="s">
        <v>1144</v>
      </c>
      <c r="ED2226" s="11">
        <v>0</v>
      </c>
      <c r="EE2226" s="11"/>
    </row>
    <row r="2227" spans="130:135" x14ac:dyDescent="0.2">
      <c r="DZ2227" s="5">
        <v>46082</v>
      </c>
      <c r="EA2227" s="13" t="s">
        <v>1250</v>
      </c>
      <c r="EB2227" s="13" t="s">
        <v>1399</v>
      </c>
      <c r="EC2227" s="13" t="s">
        <v>1144</v>
      </c>
      <c r="ED2227" s="11">
        <v>0</v>
      </c>
      <c r="EE2227" s="11"/>
    </row>
    <row r="2228" spans="130:135" x14ac:dyDescent="0.2">
      <c r="DZ2228" s="5">
        <v>46082</v>
      </c>
      <c r="EA2228" s="13" t="s">
        <v>1250</v>
      </c>
      <c r="EB2228" s="13" t="s">
        <v>1416</v>
      </c>
      <c r="EC2228" s="13" t="s">
        <v>1144</v>
      </c>
      <c r="ED2228" s="11">
        <v>165265.24</v>
      </c>
      <c r="EE2228" s="11"/>
    </row>
    <row r="2229" spans="130:135" x14ac:dyDescent="0.2">
      <c r="DZ2229" s="5">
        <v>46082</v>
      </c>
      <c r="EA2229" s="13" t="s">
        <v>1250</v>
      </c>
      <c r="EB2229" s="13" t="s">
        <v>1368</v>
      </c>
      <c r="EC2229" s="13" t="s">
        <v>1146</v>
      </c>
      <c r="ED2229" s="11">
        <v>74042.289999999994</v>
      </c>
      <c r="EE2229" s="11"/>
    </row>
    <row r="2230" spans="130:135" x14ac:dyDescent="0.2">
      <c r="DZ2230" s="5">
        <v>46082</v>
      </c>
      <c r="EA2230" s="13" t="s">
        <v>1251</v>
      </c>
      <c r="EB2230" s="13" t="s">
        <v>1349</v>
      </c>
      <c r="EC2230" s="13" t="s">
        <v>1146</v>
      </c>
      <c r="ED2230" s="11">
        <v>1386698.21</v>
      </c>
      <c r="EE2230" s="11"/>
    </row>
    <row r="2231" spans="130:135" x14ac:dyDescent="0.2">
      <c r="DZ2231" s="5">
        <v>46082</v>
      </c>
      <c r="EA2231" s="13" t="s">
        <v>1250</v>
      </c>
      <c r="EB2231" s="13" t="s">
        <v>1367</v>
      </c>
      <c r="EC2231" s="13" t="s">
        <v>1146</v>
      </c>
      <c r="ED2231" s="11">
        <v>66686.179999999993</v>
      </c>
      <c r="EE2231" s="11"/>
    </row>
    <row r="2232" spans="130:135" x14ac:dyDescent="0.2">
      <c r="DZ2232" s="5">
        <v>46082</v>
      </c>
      <c r="EA2232" s="13" t="s">
        <v>1251</v>
      </c>
      <c r="EB2232" s="13" t="s">
        <v>1345</v>
      </c>
      <c r="EC2232" s="13" t="s">
        <v>1146</v>
      </c>
      <c r="ED2232" s="11">
        <v>113520</v>
      </c>
      <c r="EE2232" s="11"/>
    </row>
    <row r="2233" spans="130:135" x14ac:dyDescent="0.2">
      <c r="DZ2233" s="5">
        <v>46082</v>
      </c>
      <c r="EA2233" s="13" t="s">
        <v>1250</v>
      </c>
      <c r="EB2233" s="13" t="s">
        <v>1358</v>
      </c>
      <c r="EC2233" s="13" t="s">
        <v>1108</v>
      </c>
      <c r="ED2233" s="11">
        <v>1517451</v>
      </c>
      <c r="EE2233" s="11"/>
    </row>
    <row r="2234" spans="130:135" x14ac:dyDescent="0.2">
      <c r="DZ2234" s="5">
        <v>46082</v>
      </c>
      <c r="EA2234" s="13" t="s">
        <v>1251</v>
      </c>
      <c r="EB2234" s="13" t="s">
        <v>1405</v>
      </c>
      <c r="EC2234" s="13" t="s">
        <v>1108</v>
      </c>
      <c r="ED2234" s="11">
        <v>1634178</v>
      </c>
      <c r="EE2234" s="11"/>
    </row>
    <row r="2235" spans="130:135" x14ac:dyDescent="0.2">
      <c r="DZ2235" s="5">
        <v>46082</v>
      </c>
      <c r="EA2235" s="13" t="s">
        <v>1251</v>
      </c>
      <c r="EB2235" s="13" t="s">
        <v>1337</v>
      </c>
      <c r="EC2235" s="13" t="s">
        <v>1108</v>
      </c>
      <c r="ED2235" s="11">
        <v>1750905</v>
      </c>
      <c r="EE2235" s="11"/>
    </row>
    <row r="2236" spans="130:135" x14ac:dyDescent="0.2">
      <c r="DZ2236" s="5">
        <v>46082</v>
      </c>
      <c r="EA2236" s="13" t="s">
        <v>1250</v>
      </c>
      <c r="EB2236" s="13" t="s">
        <v>1356</v>
      </c>
      <c r="EC2236" s="13" t="s">
        <v>1108</v>
      </c>
      <c r="ED2236" s="11">
        <v>5000000</v>
      </c>
      <c r="EE2236" s="11"/>
    </row>
    <row r="2237" spans="130:135" x14ac:dyDescent="0.2">
      <c r="DZ2237" s="5">
        <v>46082</v>
      </c>
      <c r="EA2237" s="13" t="s">
        <v>1250</v>
      </c>
      <c r="EB2237" s="13" t="s">
        <v>1357</v>
      </c>
      <c r="EC2237" s="13" t="s">
        <v>1108</v>
      </c>
      <c r="ED2237" s="11">
        <v>5000000</v>
      </c>
      <c r="EE2237" s="11"/>
    </row>
    <row r="2238" spans="130:135" x14ac:dyDescent="0.2">
      <c r="DZ2238" s="5">
        <v>46082</v>
      </c>
      <c r="EA2238" s="13" t="s">
        <v>1251</v>
      </c>
      <c r="EB2238" s="13" t="s">
        <v>1344</v>
      </c>
      <c r="EC2238" s="13" t="s">
        <v>1206</v>
      </c>
      <c r="ED2238" s="11"/>
      <c r="EE2238" s="11">
        <v>1099000</v>
      </c>
    </row>
    <row r="2239" spans="130:135" x14ac:dyDescent="0.2">
      <c r="DZ2239" s="5">
        <v>46082</v>
      </c>
      <c r="EA2239" s="13" t="s">
        <v>1251</v>
      </c>
      <c r="EB2239" s="13" t="s">
        <v>1348</v>
      </c>
      <c r="EC2239" s="13" t="s">
        <v>1206</v>
      </c>
      <c r="ED2239" s="11"/>
      <c r="EE2239" s="11">
        <v>138600</v>
      </c>
    </row>
    <row r="2240" spans="130:135" x14ac:dyDescent="0.2">
      <c r="DZ2240" s="5">
        <v>46082</v>
      </c>
      <c r="EA2240" s="13" t="s">
        <v>1251</v>
      </c>
      <c r="EB2240" s="13" t="s">
        <v>1407</v>
      </c>
      <c r="EC2240" s="13" t="s">
        <v>1206</v>
      </c>
      <c r="ED2240" s="11"/>
      <c r="EE2240" s="11">
        <v>1244779</v>
      </c>
    </row>
    <row r="2241" spans="130:135" x14ac:dyDescent="0.2">
      <c r="DZ2241" s="5">
        <v>46082</v>
      </c>
      <c r="EA2241" s="13" t="s">
        <v>1251</v>
      </c>
      <c r="EB2241" s="13" t="s">
        <v>1347</v>
      </c>
      <c r="EC2241" s="13" t="s">
        <v>1206</v>
      </c>
      <c r="ED2241" s="11"/>
      <c r="EE2241" s="11">
        <v>1454206</v>
      </c>
    </row>
    <row r="2242" spans="130:135" x14ac:dyDescent="0.2">
      <c r="DZ2242" s="5">
        <v>46082</v>
      </c>
      <c r="EA2242" s="13" t="s">
        <v>1251</v>
      </c>
      <c r="EB2242" s="13" t="s">
        <v>1335</v>
      </c>
      <c r="EC2242" s="13" t="s">
        <v>1206</v>
      </c>
      <c r="ED2242" s="11"/>
      <c r="EE2242" s="11">
        <v>0</v>
      </c>
    </row>
    <row r="2243" spans="130:135" x14ac:dyDescent="0.2">
      <c r="DZ2243" s="5">
        <v>46082</v>
      </c>
      <c r="EA2243" s="13" t="s">
        <v>1251</v>
      </c>
      <c r="EB2243" s="13" t="s">
        <v>1343</v>
      </c>
      <c r="EC2243" s="13" t="s">
        <v>1206</v>
      </c>
      <c r="ED2243" s="11"/>
      <c r="EE2243" s="11">
        <v>193608</v>
      </c>
    </row>
    <row r="2244" spans="130:135" x14ac:dyDescent="0.2">
      <c r="DZ2244" s="5">
        <v>46082</v>
      </c>
      <c r="EA2244" s="13" t="s">
        <v>1251</v>
      </c>
      <c r="EB2244" s="13" t="s">
        <v>1408</v>
      </c>
      <c r="EC2244" s="13" t="s">
        <v>1206</v>
      </c>
      <c r="ED2244" s="11"/>
      <c r="EE2244" s="11">
        <v>14000</v>
      </c>
    </row>
    <row r="2245" spans="130:135" x14ac:dyDescent="0.2">
      <c r="DZ2245" s="5">
        <v>46082</v>
      </c>
      <c r="EA2245" s="13" t="s">
        <v>1250</v>
      </c>
      <c r="EB2245" s="13" t="s">
        <v>1357</v>
      </c>
      <c r="EC2245" s="13" t="s">
        <v>1058</v>
      </c>
      <c r="ED2245" s="11">
        <v>208330</v>
      </c>
      <c r="EE2245" s="11"/>
    </row>
    <row r="2246" spans="130:135" x14ac:dyDescent="0.2">
      <c r="DZ2246" s="5">
        <v>46082</v>
      </c>
      <c r="EA2246" s="13" t="s">
        <v>1250</v>
      </c>
      <c r="EB2246" s="13" t="s">
        <v>1356</v>
      </c>
      <c r="EC2246" s="13" t="s">
        <v>1058</v>
      </c>
      <c r="ED2246" s="11">
        <v>208330</v>
      </c>
      <c r="EE2246" s="11"/>
    </row>
    <row r="2247" spans="130:135" x14ac:dyDescent="0.2">
      <c r="DZ2247" s="5">
        <v>46082</v>
      </c>
      <c r="EA2247" s="13" t="s">
        <v>1250</v>
      </c>
      <c r="EB2247" s="13" t="s">
        <v>1358</v>
      </c>
      <c r="EC2247" s="13" t="s">
        <v>1058</v>
      </c>
      <c r="ED2247" s="11">
        <v>197268</v>
      </c>
      <c r="EE2247" s="11"/>
    </row>
    <row r="2248" spans="130:135" x14ac:dyDescent="0.2">
      <c r="DZ2248" s="5">
        <v>46082</v>
      </c>
      <c r="EA2248" s="13" t="s">
        <v>1251</v>
      </c>
      <c r="EB2248" s="13" t="s">
        <v>1405</v>
      </c>
      <c r="EC2248" s="13" t="s">
        <v>1058</v>
      </c>
      <c r="ED2248" s="11">
        <v>68290</v>
      </c>
      <c r="EE2248" s="11"/>
    </row>
    <row r="2249" spans="130:135" x14ac:dyDescent="0.2">
      <c r="DZ2249" s="5">
        <v>46082</v>
      </c>
      <c r="EA2249" s="13" t="s">
        <v>1251</v>
      </c>
      <c r="EB2249" s="13" t="s">
        <v>1337</v>
      </c>
      <c r="EC2249" s="13" t="s">
        <v>1058</v>
      </c>
      <c r="ED2249" s="11">
        <v>72960</v>
      </c>
      <c r="EE2249" s="11"/>
    </row>
    <row r="2250" spans="130:135" x14ac:dyDescent="0.2">
      <c r="DZ2250" s="5">
        <v>46082</v>
      </c>
      <c r="EA2250" s="13" t="s">
        <v>1250</v>
      </c>
      <c r="EB2250" s="13" t="s">
        <v>1389</v>
      </c>
      <c r="EC2250" s="13" t="s">
        <v>1170</v>
      </c>
      <c r="ED2250" s="11">
        <v>61176</v>
      </c>
      <c r="EE2250" s="11"/>
    </row>
    <row r="2251" spans="130:135" x14ac:dyDescent="0.2">
      <c r="DZ2251" s="5">
        <v>46082</v>
      </c>
      <c r="EA2251" s="13" t="s">
        <v>1250</v>
      </c>
      <c r="EB2251" s="13" t="s">
        <v>1364</v>
      </c>
      <c r="EC2251" s="13" t="s">
        <v>1170</v>
      </c>
      <c r="ED2251" s="11">
        <v>137451</v>
      </c>
      <c r="EE2251" s="11"/>
    </row>
    <row r="2252" spans="130:135" x14ac:dyDescent="0.2">
      <c r="DZ2252" s="5">
        <v>46082</v>
      </c>
      <c r="EA2252" s="13" t="s">
        <v>1250</v>
      </c>
      <c r="EB2252" s="13" t="s">
        <v>1365</v>
      </c>
      <c r="EC2252" s="13" t="s">
        <v>1170</v>
      </c>
      <c r="ED2252" s="11">
        <v>44538</v>
      </c>
      <c r="EE2252" s="11"/>
    </row>
    <row r="2253" spans="130:135" x14ac:dyDescent="0.2">
      <c r="DZ2253" s="5">
        <v>46082</v>
      </c>
      <c r="EA2253" s="13" t="s">
        <v>1250</v>
      </c>
      <c r="EB2253" s="13" t="s">
        <v>1394</v>
      </c>
      <c r="EC2253" s="13" t="s">
        <v>1170</v>
      </c>
      <c r="ED2253" s="11">
        <v>0</v>
      </c>
      <c r="EE2253" s="11"/>
    </row>
    <row r="2254" spans="130:135" x14ac:dyDescent="0.2">
      <c r="DZ2254" s="5">
        <v>46082</v>
      </c>
      <c r="EA2254" s="13" t="s">
        <v>1250</v>
      </c>
      <c r="EB2254" s="13" t="s">
        <v>1352</v>
      </c>
      <c r="EC2254" s="13" t="s">
        <v>1170</v>
      </c>
      <c r="ED2254" s="11">
        <v>0</v>
      </c>
      <c r="EE2254" s="11"/>
    </row>
    <row r="2255" spans="130:135" x14ac:dyDescent="0.2">
      <c r="DZ2255" s="5">
        <v>46082</v>
      </c>
      <c r="EA2255" s="13" t="s">
        <v>1250</v>
      </c>
      <c r="EB2255" s="13" t="s">
        <v>1412</v>
      </c>
      <c r="EC2255" s="13" t="s">
        <v>1170</v>
      </c>
      <c r="ED2255" s="11">
        <v>31613</v>
      </c>
      <c r="EE2255" s="11"/>
    </row>
    <row r="2256" spans="130:135" x14ac:dyDescent="0.2">
      <c r="DZ2256" s="5">
        <v>46113</v>
      </c>
      <c r="EA2256" s="13" t="s">
        <v>1250</v>
      </c>
      <c r="EB2256" s="13" t="s">
        <v>1418</v>
      </c>
      <c r="EC2256" s="13" t="s">
        <v>1162</v>
      </c>
      <c r="ED2256" s="11">
        <v>0</v>
      </c>
      <c r="EE2256" s="11"/>
    </row>
    <row r="2257" spans="130:135" x14ac:dyDescent="0.2">
      <c r="DZ2257" s="5">
        <v>46113</v>
      </c>
      <c r="EA2257" s="13" t="s">
        <v>1250</v>
      </c>
      <c r="EB2257" s="13" t="s">
        <v>1419</v>
      </c>
      <c r="EC2257" s="13" t="s">
        <v>1162</v>
      </c>
      <c r="ED2257" s="11">
        <v>0</v>
      </c>
      <c r="EE2257" s="11"/>
    </row>
    <row r="2258" spans="130:135" x14ac:dyDescent="0.2">
      <c r="DZ2258" s="5">
        <v>46113</v>
      </c>
      <c r="EA2258" s="13" t="s">
        <v>1250</v>
      </c>
      <c r="EB2258" s="13" t="s">
        <v>1401</v>
      </c>
      <c r="EC2258" s="13" t="s">
        <v>1162</v>
      </c>
      <c r="ED2258" s="11">
        <v>0</v>
      </c>
      <c r="EE2258" s="11"/>
    </row>
    <row r="2259" spans="130:135" x14ac:dyDescent="0.2">
      <c r="DZ2259" s="5">
        <v>46113</v>
      </c>
      <c r="EA2259" s="13" t="s">
        <v>1252</v>
      </c>
      <c r="EB2259" s="13" t="s">
        <v>1374</v>
      </c>
      <c r="EC2259" s="13" t="s">
        <v>1106</v>
      </c>
      <c r="ED2259" s="11">
        <v>0</v>
      </c>
      <c r="EE2259" s="11"/>
    </row>
    <row r="2260" spans="130:135" x14ac:dyDescent="0.2">
      <c r="DZ2260" s="5">
        <v>46113</v>
      </c>
      <c r="EA2260" s="13" t="s">
        <v>1252</v>
      </c>
      <c r="EB2260" s="13" t="s">
        <v>1377</v>
      </c>
      <c r="EC2260" s="13" t="s">
        <v>1106</v>
      </c>
      <c r="ED2260" s="11">
        <v>0</v>
      </c>
      <c r="EE2260" s="11"/>
    </row>
    <row r="2261" spans="130:135" x14ac:dyDescent="0.2">
      <c r="DZ2261" s="5">
        <v>46113</v>
      </c>
      <c r="EA2261" s="13" t="s">
        <v>1252</v>
      </c>
      <c r="EB2261" s="13" t="s">
        <v>1399</v>
      </c>
      <c r="EC2261" s="13" t="s">
        <v>1106</v>
      </c>
      <c r="ED2261" s="11">
        <v>0</v>
      </c>
      <c r="EE2261" s="11"/>
    </row>
    <row r="2262" spans="130:135" x14ac:dyDescent="0.2">
      <c r="DZ2262" s="5">
        <v>46113</v>
      </c>
      <c r="EA2262" s="13" t="s">
        <v>1252</v>
      </c>
      <c r="EB2262" s="13" t="s">
        <v>1404</v>
      </c>
      <c r="EC2262" s="13" t="s">
        <v>1106</v>
      </c>
      <c r="ED2262" s="11">
        <v>0</v>
      </c>
      <c r="EE2262" s="11"/>
    </row>
    <row r="2263" spans="130:135" x14ac:dyDescent="0.2">
      <c r="DZ2263" s="5">
        <v>46113</v>
      </c>
      <c r="EA2263" s="13" t="s">
        <v>1252</v>
      </c>
      <c r="EB2263" s="13" t="s">
        <v>1381</v>
      </c>
      <c r="EC2263" s="13" t="s">
        <v>1106</v>
      </c>
      <c r="ED2263" s="11">
        <v>0</v>
      </c>
      <c r="EE2263" s="11"/>
    </row>
    <row r="2264" spans="130:135" x14ac:dyDescent="0.2">
      <c r="DZ2264" s="5">
        <v>46113</v>
      </c>
      <c r="EA2264" s="13" t="s">
        <v>1251</v>
      </c>
      <c r="EB2264" s="13" t="s">
        <v>1406</v>
      </c>
      <c r="EC2264" s="13" t="s">
        <v>1124</v>
      </c>
      <c r="ED2264" s="11">
        <v>0</v>
      </c>
      <c r="EE2264" s="11"/>
    </row>
    <row r="2265" spans="130:135" x14ac:dyDescent="0.2">
      <c r="DZ2265" s="5">
        <v>46113</v>
      </c>
      <c r="EA2265" s="13" t="s">
        <v>1250</v>
      </c>
      <c r="EB2265" s="13" t="s">
        <v>1339</v>
      </c>
      <c r="EC2265" s="13" t="s">
        <v>1124</v>
      </c>
      <c r="ED2265" s="11">
        <v>0</v>
      </c>
      <c r="EE2265" s="11"/>
    </row>
    <row r="2266" spans="130:135" x14ac:dyDescent="0.2">
      <c r="DZ2266" s="5">
        <v>46113</v>
      </c>
      <c r="EA2266" s="13" t="s">
        <v>1251</v>
      </c>
      <c r="EB2266" s="13" t="s">
        <v>1339</v>
      </c>
      <c r="EC2266" s="13" t="s">
        <v>1124</v>
      </c>
      <c r="ED2266" s="11">
        <v>0</v>
      </c>
      <c r="EE2266" s="11"/>
    </row>
    <row r="2267" spans="130:135" x14ac:dyDescent="0.2">
      <c r="DZ2267" s="5">
        <v>46113</v>
      </c>
      <c r="EA2267" s="13" t="s">
        <v>1250</v>
      </c>
      <c r="EB2267" s="13" t="s">
        <v>1359</v>
      </c>
      <c r="EC2267" s="13" t="s">
        <v>1124</v>
      </c>
      <c r="ED2267" s="11">
        <v>0</v>
      </c>
      <c r="EE2267" s="11"/>
    </row>
    <row r="2268" spans="130:135" x14ac:dyDescent="0.2">
      <c r="DZ2268" s="5">
        <v>46113</v>
      </c>
      <c r="EA2268" s="13" t="s">
        <v>1250</v>
      </c>
      <c r="EB2268" s="13" t="s">
        <v>1360</v>
      </c>
      <c r="EC2268" s="13" t="s">
        <v>1124</v>
      </c>
      <c r="ED2268" s="11">
        <v>0</v>
      </c>
      <c r="EE2268" s="11"/>
    </row>
    <row r="2269" spans="130:135" x14ac:dyDescent="0.2">
      <c r="DZ2269" s="5">
        <v>46113</v>
      </c>
      <c r="EA2269" s="13" t="s">
        <v>1251</v>
      </c>
      <c r="EB2269" s="13" t="s">
        <v>1338</v>
      </c>
      <c r="EC2269" s="13" t="s">
        <v>1121</v>
      </c>
      <c r="ED2269" s="11">
        <v>0</v>
      </c>
      <c r="EE2269" s="11"/>
    </row>
    <row r="2270" spans="130:135" x14ac:dyDescent="0.2">
      <c r="DZ2270" s="5">
        <v>46113</v>
      </c>
      <c r="EA2270" s="13" t="s">
        <v>1250</v>
      </c>
      <c r="EB2270" s="13" t="s">
        <v>1338</v>
      </c>
      <c r="EC2270" s="13" t="s">
        <v>1121</v>
      </c>
      <c r="ED2270" s="11">
        <v>0</v>
      </c>
      <c r="EE2270" s="11"/>
    </row>
    <row r="2271" spans="130:135" x14ac:dyDescent="0.2">
      <c r="DZ2271" s="5">
        <v>46113</v>
      </c>
      <c r="EA2271" s="13" t="s">
        <v>1250</v>
      </c>
      <c r="EB2271" s="13" t="s">
        <v>1375</v>
      </c>
      <c r="EC2271" s="13" t="s">
        <v>1016</v>
      </c>
      <c r="ED2271" s="11">
        <v>0</v>
      </c>
      <c r="EE2271" s="11"/>
    </row>
    <row r="2272" spans="130:135" x14ac:dyDescent="0.2">
      <c r="DZ2272" s="5">
        <v>46113</v>
      </c>
      <c r="EA2272" s="13" t="s">
        <v>1251</v>
      </c>
      <c r="EB2272" s="13" t="s">
        <v>1340</v>
      </c>
      <c r="EC2272" s="13" t="s">
        <v>1126</v>
      </c>
      <c r="ED2272" s="11">
        <v>0</v>
      </c>
      <c r="EE2272" s="11"/>
    </row>
    <row r="2273" spans="130:135" x14ac:dyDescent="0.2">
      <c r="DZ2273" s="5">
        <v>46113</v>
      </c>
      <c r="EA2273" s="13" t="s">
        <v>1250</v>
      </c>
      <c r="EB2273" s="13" t="s">
        <v>1340</v>
      </c>
      <c r="EC2273" s="13" t="s">
        <v>1126</v>
      </c>
      <c r="ED2273" s="11">
        <v>0</v>
      </c>
      <c r="EE2273" s="11"/>
    </row>
    <row r="2274" spans="130:135" x14ac:dyDescent="0.2">
      <c r="DZ2274" s="5">
        <v>46113</v>
      </c>
      <c r="EA2274" s="13" t="s">
        <v>1250</v>
      </c>
      <c r="EB2274" s="13" t="s">
        <v>1415</v>
      </c>
      <c r="EC2274" s="13" t="s">
        <v>1142</v>
      </c>
      <c r="ED2274" s="11">
        <v>0</v>
      </c>
      <c r="EE2274" s="11"/>
    </row>
    <row r="2275" spans="130:135" x14ac:dyDescent="0.2">
      <c r="DZ2275" s="5">
        <v>46113</v>
      </c>
      <c r="EA2275" s="13" t="s">
        <v>1251</v>
      </c>
      <c r="EB2275" s="13" t="s">
        <v>1341</v>
      </c>
      <c r="EC2275" s="13" t="s">
        <v>1142</v>
      </c>
      <c r="ED2275" s="11">
        <v>0</v>
      </c>
      <c r="EE2275" s="11"/>
    </row>
    <row r="2276" spans="130:135" x14ac:dyDescent="0.2">
      <c r="DZ2276" s="5">
        <v>46113</v>
      </c>
      <c r="EA2276" s="13" t="s">
        <v>1251</v>
      </c>
      <c r="EB2276" s="13" t="s">
        <v>1342</v>
      </c>
      <c r="EC2276" s="13" t="s">
        <v>1142</v>
      </c>
      <c r="ED2276" s="11">
        <v>0</v>
      </c>
      <c r="EE2276" s="11"/>
    </row>
    <row r="2277" spans="130:135" x14ac:dyDescent="0.2">
      <c r="DZ2277" s="5">
        <v>46113</v>
      </c>
      <c r="EA2277" s="13" t="s">
        <v>1250</v>
      </c>
      <c r="EB2277" s="13" t="s">
        <v>1398</v>
      </c>
      <c r="EC2277" s="13" t="s">
        <v>1138</v>
      </c>
      <c r="ED2277" s="11">
        <v>2400000</v>
      </c>
      <c r="EE2277" s="11"/>
    </row>
    <row r="2278" spans="130:135" x14ac:dyDescent="0.2">
      <c r="DZ2278" s="5">
        <v>46113</v>
      </c>
      <c r="EA2278" s="13" t="s">
        <v>1250</v>
      </c>
      <c r="EB2278" s="13" t="s">
        <v>1357</v>
      </c>
      <c r="EC2278" s="13" t="s">
        <v>1110</v>
      </c>
      <c r="ED2278" s="11">
        <v>0</v>
      </c>
      <c r="EE2278" s="11"/>
    </row>
    <row r="2279" spans="130:135" x14ac:dyDescent="0.2">
      <c r="DZ2279" s="5">
        <v>46113</v>
      </c>
      <c r="EA2279" s="13" t="s">
        <v>1250</v>
      </c>
      <c r="EB2279" s="13" t="s">
        <v>1358</v>
      </c>
      <c r="EC2279" s="13" t="s">
        <v>1110</v>
      </c>
      <c r="ED2279" s="11">
        <v>0</v>
      </c>
      <c r="EE2279" s="11"/>
    </row>
    <row r="2280" spans="130:135" x14ac:dyDescent="0.2">
      <c r="DZ2280" s="5">
        <v>46113</v>
      </c>
      <c r="EA2280" s="13" t="s">
        <v>1250</v>
      </c>
      <c r="EB2280" s="13" t="s">
        <v>1356</v>
      </c>
      <c r="EC2280" s="13" t="s">
        <v>1110</v>
      </c>
      <c r="ED2280" s="11">
        <v>0</v>
      </c>
      <c r="EE2280" s="11"/>
    </row>
    <row r="2281" spans="130:135" x14ac:dyDescent="0.2">
      <c r="DZ2281" s="5">
        <v>46113</v>
      </c>
      <c r="EA2281" s="13" t="s">
        <v>1251</v>
      </c>
      <c r="EB2281" s="13" t="s">
        <v>1405</v>
      </c>
      <c r="EC2281" s="13" t="s">
        <v>1187</v>
      </c>
      <c r="ED2281" s="11">
        <v>0</v>
      </c>
      <c r="EE2281" s="11"/>
    </row>
    <row r="2282" spans="130:135" x14ac:dyDescent="0.2">
      <c r="DZ2282" s="5">
        <v>46113</v>
      </c>
      <c r="EA2282" s="13" t="s">
        <v>1251</v>
      </c>
      <c r="EB2282" s="13" t="s">
        <v>1337</v>
      </c>
      <c r="EC2282" s="13" t="s">
        <v>1187</v>
      </c>
      <c r="ED2282" s="11">
        <v>0</v>
      </c>
      <c r="EE2282" s="11"/>
    </row>
    <row r="2283" spans="130:135" x14ac:dyDescent="0.2">
      <c r="DZ2283" s="5">
        <v>46113</v>
      </c>
      <c r="EA2283" s="13" t="s">
        <v>1250</v>
      </c>
      <c r="EB2283" s="13" t="s">
        <v>1358</v>
      </c>
      <c r="EC2283" s="13" t="s">
        <v>1132</v>
      </c>
      <c r="ED2283" s="11">
        <v>0</v>
      </c>
      <c r="EE2283" s="11"/>
    </row>
    <row r="2284" spans="130:135" x14ac:dyDescent="0.2">
      <c r="DZ2284" s="5">
        <v>46113</v>
      </c>
      <c r="EA2284" s="13" t="s">
        <v>1250</v>
      </c>
      <c r="EB2284" s="13" t="s">
        <v>1413</v>
      </c>
      <c r="EC2284" s="13" t="s">
        <v>1172</v>
      </c>
      <c r="ED2284" s="11">
        <v>0</v>
      </c>
      <c r="EE2284" s="11"/>
    </row>
    <row r="2285" spans="130:135" x14ac:dyDescent="0.2">
      <c r="DZ2285" s="5">
        <v>46113</v>
      </c>
      <c r="EA2285" s="13" t="s">
        <v>1250</v>
      </c>
      <c r="EB2285" s="13" t="s">
        <v>1391</v>
      </c>
      <c r="EC2285" s="13" t="s">
        <v>1172</v>
      </c>
      <c r="ED2285" s="11">
        <v>0</v>
      </c>
      <c r="EE2285" s="11"/>
    </row>
    <row r="2286" spans="130:135" x14ac:dyDescent="0.2">
      <c r="DZ2286" s="5">
        <v>46113</v>
      </c>
      <c r="EA2286" s="13" t="s">
        <v>1250</v>
      </c>
      <c r="EB2286" s="13" t="s">
        <v>1411</v>
      </c>
      <c r="EC2286" s="13" t="s">
        <v>1172</v>
      </c>
      <c r="ED2286" s="11">
        <v>0</v>
      </c>
      <c r="EE2286" s="11"/>
    </row>
    <row r="2287" spans="130:135" x14ac:dyDescent="0.2">
      <c r="DZ2287" s="5">
        <v>46113</v>
      </c>
      <c r="EA2287" s="13" t="s">
        <v>1250</v>
      </c>
      <c r="EB2287" s="13" t="s">
        <v>1361</v>
      </c>
      <c r="EC2287" s="13" t="s">
        <v>1172</v>
      </c>
      <c r="ED2287" s="11">
        <v>0</v>
      </c>
      <c r="EE2287" s="11"/>
    </row>
    <row r="2288" spans="130:135" x14ac:dyDescent="0.2">
      <c r="DZ2288" s="5">
        <v>46113</v>
      </c>
      <c r="EA2288" s="13" t="s">
        <v>1250</v>
      </c>
      <c r="EB2288" s="13" t="s">
        <v>1414</v>
      </c>
      <c r="EC2288" s="13" t="s">
        <v>1172</v>
      </c>
      <c r="ED2288" s="11">
        <v>0</v>
      </c>
      <c r="EE2288" s="11"/>
    </row>
    <row r="2289" spans="130:135" x14ac:dyDescent="0.2">
      <c r="DZ2289" s="5">
        <v>46113</v>
      </c>
      <c r="EA2289" s="13" t="s">
        <v>1250</v>
      </c>
      <c r="EB2289" s="13" t="s">
        <v>1396</v>
      </c>
      <c r="EC2289" s="13" t="s">
        <v>1172</v>
      </c>
      <c r="ED2289" s="11">
        <v>0</v>
      </c>
      <c r="EE2289" s="11"/>
    </row>
    <row r="2290" spans="130:135" x14ac:dyDescent="0.2">
      <c r="DZ2290" s="5">
        <v>46113</v>
      </c>
      <c r="EA2290" s="13" t="s">
        <v>1250</v>
      </c>
      <c r="EB2290" s="13" t="s">
        <v>1392</v>
      </c>
      <c r="EC2290" s="13" t="s">
        <v>1172</v>
      </c>
      <c r="ED2290" s="11">
        <v>0</v>
      </c>
      <c r="EE2290" s="11"/>
    </row>
    <row r="2291" spans="130:135" x14ac:dyDescent="0.2">
      <c r="DZ2291" s="5">
        <v>46113</v>
      </c>
      <c r="EA2291" s="13" t="s">
        <v>1250</v>
      </c>
      <c r="EB2291" s="13" t="s">
        <v>1395</v>
      </c>
      <c r="EC2291" s="13" t="s">
        <v>1172</v>
      </c>
      <c r="ED2291" s="11">
        <v>0</v>
      </c>
      <c r="EE2291" s="11"/>
    </row>
    <row r="2292" spans="130:135" x14ac:dyDescent="0.2">
      <c r="DZ2292" s="5">
        <v>46113</v>
      </c>
      <c r="EA2292" s="13" t="s">
        <v>1250</v>
      </c>
      <c r="EB2292" s="13" t="s">
        <v>1362</v>
      </c>
      <c r="EC2292" s="13" t="s">
        <v>1172</v>
      </c>
      <c r="ED2292" s="11">
        <v>0</v>
      </c>
      <c r="EE2292" s="11"/>
    </row>
    <row r="2293" spans="130:135" x14ac:dyDescent="0.2">
      <c r="DZ2293" s="5">
        <v>46113</v>
      </c>
      <c r="EA2293" s="13" t="s">
        <v>1250</v>
      </c>
      <c r="EB2293" s="13" t="s">
        <v>1356</v>
      </c>
      <c r="EC2293" s="13" t="s">
        <v>1054</v>
      </c>
      <c r="ED2293" s="11">
        <v>0</v>
      </c>
      <c r="EE2293" s="11"/>
    </row>
    <row r="2294" spans="130:135" x14ac:dyDescent="0.2">
      <c r="DZ2294" s="5">
        <v>46113</v>
      </c>
      <c r="EA2294" s="13" t="s">
        <v>1251</v>
      </c>
      <c r="EB2294" s="13" t="s">
        <v>1337</v>
      </c>
      <c r="EC2294" s="13" t="s">
        <v>1054</v>
      </c>
      <c r="ED2294" s="11">
        <v>0</v>
      </c>
      <c r="EE2294" s="11"/>
    </row>
    <row r="2295" spans="130:135" x14ac:dyDescent="0.2">
      <c r="DZ2295" s="5">
        <v>46113</v>
      </c>
      <c r="EA2295" s="13" t="s">
        <v>1251</v>
      </c>
      <c r="EB2295" s="13" t="s">
        <v>1405</v>
      </c>
      <c r="EC2295" s="13" t="s">
        <v>1054</v>
      </c>
      <c r="ED2295" s="11">
        <v>0</v>
      </c>
      <c r="EE2295" s="11"/>
    </row>
    <row r="2296" spans="130:135" x14ac:dyDescent="0.2">
      <c r="DZ2296" s="5">
        <v>46113</v>
      </c>
      <c r="EA2296" s="13" t="s">
        <v>1250</v>
      </c>
      <c r="EB2296" s="13" t="s">
        <v>1358</v>
      </c>
      <c r="EC2296" s="13" t="s">
        <v>1054</v>
      </c>
      <c r="ED2296" s="11">
        <v>0</v>
      </c>
      <c r="EE2296" s="11"/>
    </row>
    <row r="2297" spans="130:135" x14ac:dyDescent="0.2">
      <c r="DZ2297" s="5">
        <v>46113</v>
      </c>
      <c r="EA2297" s="13" t="s">
        <v>1250</v>
      </c>
      <c r="EB2297" s="13" t="s">
        <v>1357</v>
      </c>
      <c r="EC2297" s="13" t="s">
        <v>1054</v>
      </c>
      <c r="ED2297" s="11">
        <v>0</v>
      </c>
      <c r="EE2297" s="11"/>
    </row>
    <row r="2298" spans="130:135" x14ac:dyDescent="0.2">
      <c r="DZ2298" s="5">
        <v>46113</v>
      </c>
      <c r="EA2298" s="13" t="s">
        <v>1251</v>
      </c>
      <c r="EB2298" s="13" t="s">
        <v>1337</v>
      </c>
      <c r="EC2298" s="13" t="s">
        <v>1166</v>
      </c>
      <c r="ED2298" s="11"/>
      <c r="EE2298" s="11">
        <v>0</v>
      </c>
    </row>
    <row r="2299" spans="130:135" x14ac:dyDescent="0.2">
      <c r="DZ2299" s="5">
        <v>46113</v>
      </c>
      <c r="EA2299" s="13" t="s">
        <v>1251</v>
      </c>
      <c r="EB2299" s="13" t="s">
        <v>1409</v>
      </c>
      <c r="EC2299" s="13" t="s">
        <v>1166</v>
      </c>
      <c r="ED2299" s="11"/>
      <c r="EE2299" s="11">
        <v>150420</v>
      </c>
    </row>
    <row r="2300" spans="130:135" x14ac:dyDescent="0.2">
      <c r="DZ2300" s="5">
        <v>46113</v>
      </c>
      <c r="EA2300" s="13" t="s">
        <v>1251</v>
      </c>
      <c r="EB2300" s="13" t="s">
        <v>1351</v>
      </c>
      <c r="EC2300" s="13" t="s">
        <v>1166</v>
      </c>
      <c r="ED2300" s="11"/>
      <c r="EE2300" s="11">
        <v>0</v>
      </c>
    </row>
    <row r="2301" spans="130:135" x14ac:dyDescent="0.2">
      <c r="DZ2301" s="5">
        <v>46113</v>
      </c>
      <c r="EA2301" s="13" t="s">
        <v>1251</v>
      </c>
      <c r="EB2301" s="13" t="s">
        <v>1355</v>
      </c>
      <c r="EC2301" s="13" t="s">
        <v>1166</v>
      </c>
      <c r="ED2301" s="11"/>
      <c r="EE2301" s="11">
        <v>0</v>
      </c>
    </row>
    <row r="2302" spans="130:135" x14ac:dyDescent="0.2">
      <c r="DZ2302" s="5">
        <v>46113</v>
      </c>
      <c r="EA2302" s="13" t="s">
        <v>1252</v>
      </c>
      <c r="EB2302" s="13" t="s">
        <v>1355</v>
      </c>
      <c r="EC2302" s="13" t="s">
        <v>1166</v>
      </c>
      <c r="ED2302" s="11">
        <v>0</v>
      </c>
      <c r="EE2302" s="11"/>
    </row>
    <row r="2303" spans="130:135" x14ac:dyDescent="0.2">
      <c r="DZ2303" s="5">
        <v>46113</v>
      </c>
      <c r="EA2303" s="13" t="s">
        <v>1251</v>
      </c>
      <c r="EB2303" s="13" t="s">
        <v>1381</v>
      </c>
      <c r="EC2303" s="13" t="s">
        <v>1166</v>
      </c>
      <c r="ED2303" s="11"/>
      <c r="EE2303" s="11">
        <v>0</v>
      </c>
    </row>
    <row r="2304" spans="130:135" x14ac:dyDescent="0.2">
      <c r="DZ2304" s="5">
        <v>46113</v>
      </c>
      <c r="EA2304" s="13" t="s">
        <v>1252</v>
      </c>
      <c r="EB2304" s="13" t="s">
        <v>1402</v>
      </c>
      <c r="EC2304" s="13" t="s">
        <v>1230</v>
      </c>
      <c r="ED2304" s="11">
        <v>0</v>
      </c>
      <c r="EE2304" s="11"/>
    </row>
    <row r="2305" spans="130:135" x14ac:dyDescent="0.2">
      <c r="DZ2305" s="5">
        <v>46113</v>
      </c>
      <c r="EA2305" s="13" t="s">
        <v>1252</v>
      </c>
      <c r="EB2305" s="13" t="s">
        <v>1403</v>
      </c>
      <c r="EC2305" s="13" t="s">
        <v>1230</v>
      </c>
      <c r="ED2305" s="11">
        <v>0</v>
      </c>
      <c r="EE2305" s="11"/>
    </row>
    <row r="2306" spans="130:135" x14ac:dyDescent="0.2">
      <c r="DZ2306" s="5">
        <v>46113</v>
      </c>
      <c r="EA2306" s="13" t="s">
        <v>1252</v>
      </c>
      <c r="EB2306" s="13" t="s">
        <v>1333</v>
      </c>
      <c r="EC2306" s="13" t="s">
        <v>1224</v>
      </c>
      <c r="ED2306" s="11">
        <v>0</v>
      </c>
      <c r="EE2306" s="11"/>
    </row>
    <row r="2307" spans="130:135" x14ac:dyDescent="0.2">
      <c r="DZ2307" s="5">
        <v>46113</v>
      </c>
      <c r="EA2307" s="13" t="s">
        <v>1252</v>
      </c>
      <c r="EB2307" s="13" t="s">
        <v>1334</v>
      </c>
      <c r="EC2307" s="13" t="s">
        <v>1224</v>
      </c>
      <c r="ED2307" s="11">
        <v>0</v>
      </c>
      <c r="EE2307" s="11"/>
    </row>
    <row r="2308" spans="130:135" x14ac:dyDescent="0.2">
      <c r="DZ2308" s="5">
        <v>46113</v>
      </c>
      <c r="EA2308" s="13" t="s">
        <v>1250</v>
      </c>
      <c r="EB2308" s="13" t="s">
        <v>1393</v>
      </c>
      <c r="EC2308" s="13" t="s">
        <v>1168</v>
      </c>
      <c r="ED2308" s="11">
        <v>0</v>
      </c>
      <c r="EE2308" s="11"/>
    </row>
    <row r="2309" spans="130:135" x14ac:dyDescent="0.2">
      <c r="DZ2309" s="5">
        <v>46113</v>
      </c>
      <c r="EA2309" s="13" t="s">
        <v>1250</v>
      </c>
      <c r="EB2309" s="13" t="s">
        <v>1397</v>
      </c>
      <c r="EC2309" s="13" t="s">
        <v>1168</v>
      </c>
      <c r="ED2309" s="11">
        <v>0</v>
      </c>
      <c r="EE2309" s="11"/>
    </row>
    <row r="2310" spans="130:135" x14ac:dyDescent="0.2">
      <c r="DZ2310" s="5">
        <v>46113</v>
      </c>
      <c r="EA2310" s="13" t="s">
        <v>1250</v>
      </c>
      <c r="EB2310" s="13" t="s">
        <v>1390</v>
      </c>
      <c r="EC2310" s="13" t="s">
        <v>1168</v>
      </c>
      <c r="ED2310" s="11">
        <v>0</v>
      </c>
      <c r="EE2310" s="11"/>
    </row>
    <row r="2311" spans="130:135" x14ac:dyDescent="0.2">
      <c r="DZ2311" s="5">
        <v>46113</v>
      </c>
      <c r="EA2311" s="13" t="s">
        <v>1250</v>
      </c>
      <c r="EB2311" s="13" t="s">
        <v>1363</v>
      </c>
      <c r="EC2311" s="13" t="s">
        <v>1168</v>
      </c>
      <c r="ED2311" s="11">
        <v>0</v>
      </c>
      <c r="EE2311" s="11"/>
    </row>
    <row r="2312" spans="130:135" x14ac:dyDescent="0.2">
      <c r="DZ2312" s="5">
        <v>46113</v>
      </c>
      <c r="EA2312" s="13" t="s">
        <v>1252</v>
      </c>
      <c r="EB2312" s="13" t="s">
        <v>1371</v>
      </c>
      <c r="EC2312" s="13" t="s">
        <v>1226</v>
      </c>
      <c r="ED2312" s="11">
        <v>0</v>
      </c>
      <c r="EE2312" s="11"/>
    </row>
    <row r="2313" spans="130:135" x14ac:dyDescent="0.2">
      <c r="DZ2313" s="5">
        <v>46113</v>
      </c>
      <c r="EA2313" s="13" t="s">
        <v>1252</v>
      </c>
      <c r="EB2313" s="13" t="s">
        <v>1355</v>
      </c>
      <c r="EC2313" s="13" t="s">
        <v>1226</v>
      </c>
      <c r="ED2313" s="11">
        <v>0</v>
      </c>
      <c r="EE2313" s="11"/>
    </row>
    <row r="2314" spans="130:135" x14ac:dyDescent="0.2">
      <c r="DZ2314" s="5">
        <v>46113</v>
      </c>
      <c r="EA2314" s="13" t="s">
        <v>1252</v>
      </c>
      <c r="EB2314" s="13" t="s">
        <v>1371</v>
      </c>
      <c r="EC2314" s="13" t="s">
        <v>1219</v>
      </c>
      <c r="ED2314" s="11">
        <v>0</v>
      </c>
      <c r="EE2314" s="11"/>
    </row>
    <row r="2315" spans="130:135" x14ac:dyDescent="0.2">
      <c r="DZ2315" s="5">
        <v>46113</v>
      </c>
      <c r="EA2315" s="13" t="s">
        <v>1252</v>
      </c>
      <c r="EB2315" s="13" t="s">
        <v>1355</v>
      </c>
      <c r="EC2315" s="13" t="s">
        <v>1219</v>
      </c>
      <c r="ED2315" s="11">
        <v>0</v>
      </c>
      <c r="EE2315" s="11"/>
    </row>
    <row r="2316" spans="130:135" x14ac:dyDescent="0.2">
      <c r="DZ2316" s="5">
        <v>46113</v>
      </c>
      <c r="EA2316" s="13" t="s">
        <v>1250</v>
      </c>
      <c r="EB2316" s="13" t="s">
        <v>1366</v>
      </c>
      <c r="EC2316" s="13" t="s">
        <v>1136</v>
      </c>
      <c r="ED2316" s="11">
        <v>2000000</v>
      </c>
      <c r="EE2316" s="11"/>
    </row>
    <row r="2317" spans="130:135" x14ac:dyDescent="0.2">
      <c r="DZ2317" s="5">
        <v>46113</v>
      </c>
      <c r="EA2317" s="13" t="s">
        <v>1251</v>
      </c>
      <c r="EB2317" s="13" t="s">
        <v>1405</v>
      </c>
      <c r="EC2317" s="13" t="s">
        <v>1179</v>
      </c>
      <c r="ED2317" s="11">
        <v>0</v>
      </c>
      <c r="EE2317" s="11"/>
    </row>
    <row r="2318" spans="130:135" x14ac:dyDescent="0.2">
      <c r="DZ2318" s="5">
        <v>46113</v>
      </c>
      <c r="EA2318" s="13" t="s">
        <v>1251</v>
      </c>
      <c r="EB2318" s="13" t="s">
        <v>1337</v>
      </c>
      <c r="EC2318" s="13" t="s">
        <v>1179</v>
      </c>
      <c r="ED2318" s="11">
        <v>0</v>
      </c>
      <c r="EE2318" s="11"/>
    </row>
    <row r="2319" spans="130:135" x14ac:dyDescent="0.2">
      <c r="DZ2319" s="5">
        <v>46113</v>
      </c>
      <c r="EA2319" s="13" t="s">
        <v>1252</v>
      </c>
      <c r="EB2319" s="13" t="s">
        <v>1373</v>
      </c>
      <c r="EC2319" s="13" t="s">
        <v>1222</v>
      </c>
      <c r="ED2319" s="11">
        <v>0</v>
      </c>
      <c r="EE2319" s="11"/>
    </row>
    <row r="2320" spans="130:135" x14ac:dyDescent="0.2">
      <c r="DZ2320" s="5">
        <v>46113</v>
      </c>
      <c r="EA2320" s="13" t="s">
        <v>1252</v>
      </c>
      <c r="EB2320" s="13" t="s">
        <v>1372</v>
      </c>
      <c r="EC2320" s="13" t="s">
        <v>1222</v>
      </c>
      <c r="ED2320" s="11">
        <v>0</v>
      </c>
      <c r="EE2320" s="11"/>
    </row>
    <row r="2321" spans="130:135" x14ac:dyDescent="0.2">
      <c r="DZ2321" s="5">
        <v>46113</v>
      </c>
      <c r="EA2321" s="13" t="s">
        <v>1252</v>
      </c>
      <c r="EB2321" s="13" t="s">
        <v>1360</v>
      </c>
      <c r="EC2321" s="13" t="s">
        <v>1222</v>
      </c>
      <c r="ED2321" s="11">
        <v>0</v>
      </c>
      <c r="EE2321" s="11"/>
    </row>
    <row r="2322" spans="130:135" x14ac:dyDescent="0.2">
      <c r="DZ2322" s="5">
        <v>46113</v>
      </c>
      <c r="EA2322" s="13" t="s">
        <v>1252</v>
      </c>
      <c r="EB2322" s="13" t="s">
        <v>1339</v>
      </c>
      <c r="EC2322" s="13" t="s">
        <v>1222</v>
      </c>
      <c r="ED2322" s="11">
        <v>0</v>
      </c>
      <c r="EE2322" s="11"/>
    </row>
    <row r="2323" spans="130:135" x14ac:dyDescent="0.2">
      <c r="DZ2323" s="5">
        <v>46113</v>
      </c>
      <c r="EA2323" s="13" t="s">
        <v>1252</v>
      </c>
      <c r="EB2323" s="13" t="s">
        <v>1338</v>
      </c>
      <c r="EC2323" s="13" t="s">
        <v>1222</v>
      </c>
      <c r="ED2323" s="11">
        <v>0</v>
      </c>
      <c r="EE2323" s="11"/>
    </row>
    <row r="2324" spans="130:135" x14ac:dyDescent="0.2">
      <c r="DZ2324" s="5">
        <v>46113</v>
      </c>
      <c r="EA2324" s="13" t="s">
        <v>1252</v>
      </c>
      <c r="EB2324" s="13" t="s">
        <v>1378</v>
      </c>
      <c r="EC2324" s="13" t="s">
        <v>1222</v>
      </c>
      <c r="ED2324" s="11">
        <v>0</v>
      </c>
      <c r="EE2324" s="11"/>
    </row>
    <row r="2325" spans="130:135" x14ac:dyDescent="0.2">
      <c r="DZ2325" s="5">
        <v>46113</v>
      </c>
      <c r="EA2325" s="13" t="s">
        <v>1252</v>
      </c>
      <c r="EB2325" s="13" t="s">
        <v>1375</v>
      </c>
      <c r="EC2325" s="13" t="s">
        <v>1222</v>
      </c>
      <c r="ED2325" s="11">
        <v>0</v>
      </c>
      <c r="EE2325" s="11"/>
    </row>
    <row r="2326" spans="130:135" x14ac:dyDescent="0.2">
      <c r="DZ2326" s="5">
        <v>46113</v>
      </c>
      <c r="EA2326" s="13" t="s">
        <v>1252</v>
      </c>
      <c r="EB2326" s="13" t="s">
        <v>1377</v>
      </c>
      <c r="EC2326" s="13" t="s">
        <v>1222</v>
      </c>
      <c r="ED2326" s="11">
        <v>0</v>
      </c>
      <c r="EE2326" s="11"/>
    </row>
    <row r="2327" spans="130:135" x14ac:dyDescent="0.2">
      <c r="DZ2327" s="5">
        <v>46113</v>
      </c>
      <c r="EA2327" s="13" t="s">
        <v>1252</v>
      </c>
      <c r="EB2327" s="13" t="s">
        <v>1374</v>
      </c>
      <c r="EC2327" s="13" t="s">
        <v>1222</v>
      </c>
      <c r="ED2327" s="11">
        <v>0</v>
      </c>
      <c r="EE2327" s="11"/>
    </row>
    <row r="2328" spans="130:135" x14ac:dyDescent="0.2">
      <c r="DZ2328" s="5">
        <v>46113</v>
      </c>
      <c r="EA2328" s="13" t="s">
        <v>1252</v>
      </c>
      <c r="EB2328" s="13" t="s">
        <v>1359</v>
      </c>
      <c r="EC2328" s="13" t="s">
        <v>1222</v>
      </c>
      <c r="ED2328" s="11">
        <v>0</v>
      </c>
      <c r="EE2328" s="11"/>
    </row>
    <row r="2329" spans="130:135" x14ac:dyDescent="0.2">
      <c r="DZ2329" s="5">
        <v>46113</v>
      </c>
      <c r="EA2329" s="13" t="s">
        <v>1252</v>
      </c>
      <c r="EB2329" s="13" t="s">
        <v>1340</v>
      </c>
      <c r="EC2329" s="13" t="s">
        <v>1222</v>
      </c>
      <c r="ED2329" s="11">
        <v>0</v>
      </c>
      <c r="EE2329" s="11"/>
    </row>
    <row r="2330" spans="130:135" x14ac:dyDescent="0.2">
      <c r="DZ2330" s="5">
        <v>46113</v>
      </c>
      <c r="EA2330" s="13" t="s">
        <v>1252</v>
      </c>
      <c r="EB2330" s="13" t="s">
        <v>1376</v>
      </c>
      <c r="EC2330" s="13" t="s">
        <v>1222</v>
      </c>
      <c r="ED2330" s="11">
        <v>0</v>
      </c>
      <c r="EE2330" s="11"/>
    </row>
    <row r="2331" spans="130:135" x14ac:dyDescent="0.2">
      <c r="DZ2331" s="5">
        <v>46113</v>
      </c>
      <c r="EA2331" s="13" t="s">
        <v>1250</v>
      </c>
      <c r="EB2331" s="13" t="s">
        <v>1358</v>
      </c>
      <c r="EC2331" s="13" t="s">
        <v>1056</v>
      </c>
      <c r="ED2331" s="11">
        <v>0</v>
      </c>
      <c r="EE2331" s="11"/>
    </row>
    <row r="2332" spans="130:135" x14ac:dyDescent="0.2">
      <c r="DZ2332" s="5">
        <v>46113</v>
      </c>
      <c r="EA2332" s="13" t="s">
        <v>1251</v>
      </c>
      <c r="EB2332" s="13" t="s">
        <v>1405</v>
      </c>
      <c r="EC2332" s="13" t="s">
        <v>1056</v>
      </c>
      <c r="ED2332" s="11">
        <v>0</v>
      </c>
      <c r="EE2332" s="11"/>
    </row>
    <row r="2333" spans="130:135" x14ac:dyDescent="0.2">
      <c r="DZ2333" s="5">
        <v>46113</v>
      </c>
      <c r="EA2333" s="13" t="s">
        <v>1250</v>
      </c>
      <c r="EB2333" s="13" t="s">
        <v>1356</v>
      </c>
      <c r="EC2333" s="13" t="s">
        <v>1056</v>
      </c>
      <c r="ED2333" s="11">
        <v>0</v>
      </c>
      <c r="EE2333" s="11"/>
    </row>
    <row r="2334" spans="130:135" x14ac:dyDescent="0.2">
      <c r="DZ2334" s="5">
        <v>46113</v>
      </c>
      <c r="EA2334" s="13" t="s">
        <v>1250</v>
      </c>
      <c r="EB2334" s="13" t="s">
        <v>1357</v>
      </c>
      <c r="EC2334" s="13" t="s">
        <v>1056</v>
      </c>
      <c r="ED2334" s="11">
        <v>0</v>
      </c>
      <c r="EE2334" s="11"/>
    </row>
    <row r="2335" spans="130:135" x14ac:dyDescent="0.2">
      <c r="DZ2335" s="5">
        <v>46113</v>
      </c>
      <c r="EA2335" s="13" t="s">
        <v>1251</v>
      </c>
      <c r="EB2335" s="13" t="s">
        <v>1337</v>
      </c>
      <c r="EC2335" s="13" t="s">
        <v>1056</v>
      </c>
      <c r="ED2335" s="11">
        <v>0</v>
      </c>
      <c r="EE2335" s="11"/>
    </row>
    <row r="2336" spans="130:135" x14ac:dyDescent="0.2">
      <c r="DZ2336" s="5">
        <v>46113</v>
      </c>
      <c r="EA2336" s="13" t="s">
        <v>1250</v>
      </c>
      <c r="EB2336" s="13" t="s">
        <v>1400</v>
      </c>
      <c r="EC2336" s="13" t="s">
        <v>1148</v>
      </c>
      <c r="ED2336" s="11">
        <v>0</v>
      </c>
      <c r="EE2336" s="11"/>
    </row>
    <row r="2337" spans="130:135" x14ac:dyDescent="0.2">
      <c r="DZ2337" s="5">
        <v>46113</v>
      </c>
      <c r="EA2337" s="13" t="s">
        <v>1251</v>
      </c>
      <c r="EB2337" s="13" t="s">
        <v>1341</v>
      </c>
      <c r="EC2337" s="13" t="s">
        <v>1148</v>
      </c>
      <c r="ED2337" s="11">
        <v>0</v>
      </c>
      <c r="EE2337" s="11"/>
    </row>
    <row r="2338" spans="130:135" x14ac:dyDescent="0.2">
      <c r="DZ2338" s="5">
        <v>46113</v>
      </c>
      <c r="EA2338" s="13" t="s">
        <v>1251</v>
      </c>
      <c r="EB2338" s="13" t="s">
        <v>1346</v>
      </c>
      <c r="EC2338" s="13" t="s">
        <v>1208</v>
      </c>
      <c r="ED2338" s="11">
        <v>1586973.86</v>
      </c>
      <c r="EE2338" s="11"/>
    </row>
    <row r="2339" spans="130:135" x14ac:dyDescent="0.2">
      <c r="DZ2339" s="5">
        <v>46113</v>
      </c>
      <c r="EA2339" s="13" t="s">
        <v>1251</v>
      </c>
      <c r="EB2339" s="13" t="s">
        <v>1382</v>
      </c>
      <c r="EC2339" s="13" t="s">
        <v>1208</v>
      </c>
      <c r="ED2339" s="11">
        <v>510018</v>
      </c>
      <c r="EE2339" s="11"/>
    </row>
    <row r="2340" spans="130:135" x14ac:dyDescent="0.2">
      <c r="DZ2340" s="5">
        <v>46113</v>
      </c>
      <c r="EA2340" s="13" t="s">
        <v>1251</v>
      </c>
      <c r="EB2340" s="13" t="s">
        <v>1350</v>
      </c>
      <c r="EC2340" s="13" t="s">
        <v>1208</v>
      </c>
      <c r="ED2340" s="11">
        <v>363241.48</v>
      </c>
      <c r="EE2340" s="11"/>
    </row>
    <row r="2341" spans="130:135" x14ac:dyDescent="0.2">
      <c r="DZ2341" s="5">
        <v>46113</v>
      </c>
      <c r="EA2341" s="13" t="s">
        <v>1251</v>
      </c>
      <c r="EB2341" s="13" t="s">
        <v>1353</v>
      </c>
      <c r="EC2341" s="13" t="s">
        <v>1215</v>
      </c>
      <c r="ED2341" s="11"/>
      <c r="EE2341" s="11">
        <v>0</v>
      </c>
    </row>
    <row r="2342" spans="130:135" x14ac:dyDescent="0.2">
      <c r="DZ2342" s="5">
        <v>46113</v>
      </c>
      <c r="EA2342" s="13" t="s">
        <v>1251</v>
      </c>
      <c r="EB2342" s="13" t="s">
        <v>1383</v>
      </c>
      <c r="EC2342" s="13" t="s">
        <v>1215</v>
      </c>
      <c r="ED2342" s="11"/>
      <c r="EE2342" s="11">
        <v>0</v>
      </c>
    </row>
    <row r="2343" spans="130:135" x14ac:dyDescent="0.2">
      <c r="DZ2343" s="5">
        <v>46113</v>
      </c>
      <c r="EA2343" s="13" t="s">
        <v>1251</v>
      </c>
      <c r="EB2343" s="13" t="s">
        <v>1385</v>
      </c>
      <c r="EC2343" s="13" t="s">
        <v>1215</v>
      </c>
      <c r="ED2343" s="11"/>
      <c r="EE2343" s="11">
        <v>0</v>
      </c>
    </row>
    <row r="2344" spans="130:135" x14ac:dyDescent="0.2">
      <c r="DZ2344" s="5">
        <v>46113</v>
      </c>
      <c r="EA2344" s="13" t="s">
        <v>1251</v>
      </c>
      <c r="EB2344" s="13" t="s">
        <v>1386</v>
      </c>
      <c r="EC2344" s="13" t="s">
        <v>1215</v>
      </c>
      <c r="ED2344" s="11"/>
      <c r="EE2344" s="11">
        <v>0</v>
      </c>
    </row>
    <row r="2345" spans="130:135" x14ac:dyDescent="0.2">
      <c r="DZ2345" s="5">
        <v>46113</v>
      </c>
      <c r="EA2345" s="13" t="s">
        <v>1251</v>
      </c>
      <c r="EB2345" s="13" t="s">
        <v>1354</v>
      </c>
      <c r="EC2345" s="13" t="s">
        <v>1215</v>
      </c>
      <c r="ED2345" s="11"/>
      <c r="EE2345" s="11">
        <v>0</v>
      </c>
    </row>
    <row r="2346" spans="130:135" x14ac:dyDescent="0.2">
      <c r="DZ2346" s="5">
        <v>46113</v>
      </c>
      <c r="EA2346" s="13" t="s">
        <v>1251</v>
      </c>
      <c r="EB2346" s="13" t="s">
        <v>1409</v>
      </c>
      <c r="EC2346" s="13" t="s">
        <v>1217</v>
      </c>
      <c r="ED2346" s="11">
        <v>0</v>
      </c>
      <c r="EE2346" s="11"/>
    </row>
    <row r="2347" spans="130:135" x14ac:dyDescent="0.2">
      <c r="DZ2347" s="5">
        <v>46113</v>
      </c>
      <c r="EA2347" s="13" t="s">
        <v>1251</v>
      </c>
      <c r="EB2347" s="13" t="s">
        <v>1384</v>
      </c>
      <c r="EC2347" s="13" t="s">
        <v>1217</v>
      </c>
      <c r="ED2347" s="11">
        <v>432500</v>
      </c>
      <c r="EE2347" s="11"/>
    </row>
    <row r="2348" spans="130:135" x14ac:dyDescent="0.2">
      <c r="DZ2348" s="5">
        <v>46113</v>
      </c>
      <c r="EA2348" s="13" t="s">
        <v>1251</v>
      </c>
      <c r="EB2348" s="13" t="s">
        <v>1410</v>
      </c>
      <c r="EC2348" s="13" t="s">
        <v>1217</v>
      </c>
      <c r="ED2348" s="11">
        <v>120000</v>
      </c>
      <c r="EE2348" s="11"/>
    </row>
    <row r="2349" spans="130:135" x14ac:dyDescent="0.2">
      <c r="DZ2349" s="5">
        <v>46113</v>
      </c>
      <c r="EA2349" s="13" t="s">
        <v>1251</v>
      </c>
      <c r="EB2349" s="13" t="s">
        <v>1388</v>
      </c>
      <c r="EC2349" s="13" t="s">
        <v>1217</v>
      </c>
      <c r="ED2349" s="11">
        <v>0</v>
      </c>
      <c r="EE2349" s="11"/>
    </row>
    <row r="2350" spans="130:135" x14ac:dyDescent="0.2">
      <c r="DZ2350" s="5">
        <v>46113</v>
      </c>
      <c r="EA2350" s="13" t="s">
        <v>1251</v>
      </c>
      <c r="EB2350" s="13" t="s">
        <v>1387</v>
      </c>
      <c r="EC2350" s="13" t="s">
        <v>1217</v>
      </c>
      <c r="ED2350" s="11">
        <v>0</v>
      </c>
      <c r="EE2350" s="11"/>
    </row>
    <row r="2351" spans="130:135" x14ac:dyDescent="0.2">
      <c r="DZ2351" s="5">
        <v>46113</v>
      </c>
      <c r="EA2351" s="13" t="s">
        <v>1253</v>
      </c>
      <c r="EB2351" s="13" t="s">
        <v>1381</v>
      </c>
      <c r="EC2351" s="13" t="s">
        <v>1084</v>
      </c>
      <c r="ED2351" s="11"/>
      <c r="EE2351" s="11">
        <v>0</v>
      </c>
    </row>
    <row r="2352" spans="130:135" x14ac:dyDescent="0.2">
      <c r="DZ2352" s="5">
        <v>46113</v>
      </c>
      <c r="EA2352" s="13" t="s">
        <v>1253</v>
      </c>
      <c r="EB2352" s="13" t="s">
        <v>1335</v>
      </c>
      <c r="EC2352" s="13" t="s">
        <v>1084</v>
      </c>
      <c r="ED2352" s="11"/>
      <c r="EE2352" s="11">
        <v>0</v>
      </c>
    </row>
    <row r="2353" spans="130:135" x14ac:dyDescent="0.2">
      <c r="DZ2353" s="5">
        <v>46113</v>
      </c>
      <c r="EA2353" s="13" t="s">
        <v>1253</v>
      </c>
      <c r="EB2353" s="13" t="s">
        <v>1380</v>
      </c>
      <c r="EC2353" s="13" t="s">
        <v>1084</v>
      </c>
      <c r="ED2353" s="11"/>
      <c r="EE2353" s="11">
        <v>260000</v>
      </c>
    </row>
    <row r="2354" spans="130:135" x14ac:dyDescent="0.2">
      <c r="DZ2354" s="5">
        <v>46113</v>
      </c>
      <c r="EA2354" s="13" t="s">
        <v>1253</v>
      </c>
      <c r="EB2354" s="13" t="s">
        <v>1336</v>
      </c>
      <c r="EC2354" s="13" t="s">
        <v>1084</v>
      </c>
      <c r="ED2354" s="11"/>
      <c r="EE2354" s="11">
        <v>0</v>
      </c>
    </row>
    <row r="2355" spans="130:135" x14ac:dyDescent="0.2">
      <c r="DZ2355" s="5">
        <v>46113</v>
      </c>
      <c r="EA2355" s="13" t="s">
        <v>1253</v>
      </c>
      <c r="EB2355" s="13" t="s">
        <v>1379</v>
      </c>
      <c r="EC2355" s="13" t="s">
        <v>1084</v>
      </c>
      <c r="ED2355" s="11"/>
      <c r="EE2355" s="11">
        <v>0</v>
      </c>
    </row>
    <row r="2356" spans="130:135" x14ac:dyDescent="0.2">
      <c r="DZ2356" s="5">
        <v>46113</v>
      </c>
      <c r="EA2356" s="13" t="s">
        <v>1251</v>
      </c>
      <c r="EB2356" s="13" t="s">
        <v>1337</v>
      </c>
      <c r="EC2356" s="13" t="s">
        <v>1114</v>
      </c>
      <c r="ED2356" s="11">
        <v>0</v>
      </c>
      <c r="EE2356" s="11"/>
    </row>
    <row r="2357" spans="130:135" x14ac:dyDescent="0.2">
      <c r="DZ2357" s="5">
        <v>46113</v>
      </c>
      <c r="EA2357" s="13" t="s">
        <v>1251</v>
      </c>
      <c r="EB2357" s="13" t="s">
        <v>1405</v>
      </c>
      <c r="EC2357" s="13" t="s">
        <v>1114</v>
      </c>
      <c r="ED2357" s="11">
        <v>0</v>
      </c>
      <c r="EE2357" s="11"/>
    </row>
    <row r="2358" spans="130:135" x14ac:dyDescent="0.2">
      <c r="DZ2358" s="5">
        <v>46113</v>
      </c>
      <c r="EA2358" s="13" t="s">
        <v>1250</v>
      </c>
      <c r="EB2358" s="13" t="s">
        <v>1358</v>
      </c>
      <c r="EC2358" s="13" t="s">
        <v>1114</v>
      </c>
      <c r="ED2358" s="11">
        <v>0</v>
      </c>
      <c r="EE2358" s="11"/>
    </row>
    <row r="2359" spans="130:135" x14ac:dyDescent="0.2">
      <c r="DZ2359" s="5">
        <v>46113</v>
      </c>
      <c r="EA2359" s="13" t="s">
        <v>1250</v>
      </c>
      <c r="EB2359" s="13" t="s">
        <v>1357</v>
      </c>
      <c r="EC2359" s="13" t="s">
        <v>1114</v>
      </c>
      <c r="ED2359" s="11">
        <v>0</v>
      </c>
      <c r="EE2359" s="11"/>
    </row>
    <row r="2360" spans="130:135" x14ac:dyDescent="0.2">
      <c r="DZ2360" s="5">
        <v>46113</v>
      </c>
      <c r="EA2360" s="13" t="s">
        <v>1250</v>
      </c>
      <c r="EB2360" s="13" t="s">
        <v>1356</v>
      </c>
      <c r="EC2360" s="13" t="s">
        <v>1114</v>
      </c>
      <c r="ED2360" s="11">
        <v>0</v>
      </c>
      <c r="EE2360" s="11"/>
    </row>
    <row r="2361" spans="130:135" x14ac:dyDescent="0.2">
      <c r="DZ2361" s="5">
        <v>46113</v>
      </c>
      <c r="EA2361" s="13" t="s">
        <v>1250</v>
      </c>
      <c r="EB2361" s="13" t="s">
        <v>1417</v>
      </c>
      <c r="EC2361" s="13" t="s">
        <v>1156</v>
      </c>
      <c r="ED2361" s="11">
        <v>0</v>
      </c>
      <c r="EE2361" s="11"/>
    </row>
    <row r="2362" spans="130:135" x14ac:dyDescent="0.2">
      <c r="DZ2362" s="5">
        <v>46113</v>
      </c>
      <c r="EA2362" s="13" t="s">
        <v>1250</v>
      </c>
      <c r="EB2362" s="13" t="s">
        <v>1370</v>
      </c>
      <c r="EC2362" s="13" t="s">
        <v>1150</v>
      </c>
      <c r="ED2362" s="11">
        <v>0</v>
      </c>
      <c r="EE2362" s="11"/>
    </row>
    <row r="2363" spans="130:135" x14ac:dyDescent="0.2">
      <c r="DZ2363" s="5">
        <v>46113</v>
      </c>
      <c r="EA2363" s="13" t="s">
        <v>1250</v>
      </c>
      <c r="EB2363" s="13" t="s">
        <v>1369</v>
      </c>
      <c r="EC2363" s="13" t="s">
        <v>1150</v>
      </c>
      <c r="ED2363" s="11">
        <v>0</v>
      </c>
      <c r="EE2363" s="11"/>
    </row>
    <row r="2364" spans="130:135" x14ac:dyDescent="0.2">
      <c r="DZ2364" s="5">
        <v>46113</v>
      </c>
      <c r="EA2364" s="13" t="s">
        <v>1250</v>
      </c>
      <c r="EB2364" s="13" t="s">
        <v>1399</v>
      </c>
      <c r="EC2364" s="13" t="s">
        <v>1144</v>
      </c>
      <c r="ED2364" s="11">
        <v>0</v>
      </c>
      <c r="EE2364" s="11"/>
    </row>
    <row r="2365" spans="130:135" x14ac:dyDescent="0.2">
      <c r="DZ2365" s="5">
        <v>46113</v>
      </c>
      <c r="EA2365" s="13" t="s">
        <v>1250</v>
      </c>
      <c r="EB2365" s="13" t="s">
        <v>1335</v>
      </c>
      <c r="EC2365" s="13" t="s">
        <v>1144</v>
      </c>
      <c r="ED2365" s="11">
        <v>0</v>
      </c>
      <c r="EE2365" s="11"/>
    </row>
    <row r="2366" spans="130:135" x14ac:dyDescent="0.2">
      <c r="DZ2366" s="5">
        <v>46113</v>
      </c>
      <c r="EA2366" s="13" t="s">
        <v>1250</v>
      </c>
      <c r="EB2366" s="13" t="s">
        <v>1416</v>
      </c>
      <c r="EC2366" s="13" t="s">
        <v>1144</v>
      </c>
      <c r="ED2366" s="11">
        <v>4867.93</v>
      </c>
      <c r="EE2366" s="11"/>
    </row>
    <row r="2367" spans="130:135" x14ac:dyDescent="0.2">
      <c r="DZ2367" s="5">
        <v>46113</v>
      </c>
      <c r="EA2367" s="13" t="s">
        <v>1251</v>
      </c>
      <c r="EB2367" s="13" t="s">
        <v>1349</v>
      </c>
      <c r="EC2367" s="13" t="s">
        <v>1146</v>
      </c>
      <c r="ED2367" s="11">
        <v>640846.9</v>
      </c>
      <c r="EE2367" s="11"/>
    </row>
    <row r="2368" spans="130:135" x14ac:dyDescent="0.2">
      <c r="DZ2368" s="5">
        <v>46113</v>
      </c>
      <c r="EA2368" s="13" t="s">
        <v>1251</v>
      </c>
      <c r="EB2368" s="13" t="s">
        <v>1345</v>
      </c>
      <c r="EC2368" s="13" t="s">
        <v>1146</v>
      </c>
      <c r="ED2368" s="11">
        <v>113520</v>
      </c>
      <c r="EE2368" s="11"/>
    </row>
    <row r="2369" spans="130:135" x14ac:dyDescent="0.2">
      <c r="DZ2369" s="5">
        <v>46113</v>
      </c>
      <c r="EA2369" s="13" t="s">
        <v>1250</v>
      </c>
      <c r="EB2369" s="13" t="s">
        <v>1732</v>
      </c>
      <c r="EC2369" s="13" t="s">
        <v>1146</v>
      </c>
      <c r="ED2369" s="11">
        <v>173750</v>
      </c>
      <c r="EE2369" s="11"/>
    </row>
    <row r="2370" spans="130:135" x14ac:dyDescent="0.2">
      <c r="DZ2370" s="5">
        <v>46113</v>
      </c>
      <c r="EA2370" s="13" t="s">
        <v>1250</v>
      </c>
      <c r="EB2370" s="13" t="s">
        <v>1367</v>
      </c>
      <c r="EC2370" s="13" t="s">
        <v>1146</v>
      </c>
      <c r="ED2370" s="11">
        <v>64892</v>
      </c>
      <c r="EE2370" s="11"/>
    </row>
    <row r="2371" spans="130:135" x14ac:dyDescent="0.2">
      <c r="DZ2371" s="5">
        <v>46113</v>
      </c>
      <c r="EA2371" s="13" t="s">
        <v>1250</v>
      </c>
      <c r="EB2371" s="13" t="s">
        <v>1733</v>
      </c>
      <c r="EC2371" s="13" t="s">
        <v>1146</v>
      </c>
      <c r="ED2371" s="11">
        <v>360089</v>
      </c>
      <c r="EE2371" s="11"/>
    </row>
    <row r="2372" spans="130:135" x14ac:dyDescent="0.2">
      <c r="DZ2372" s="5">
        <v>46113</v>
      </c>
      <c r="EA2372" s="13" t="s">
        <v>1250</v>
      </c>
      <c r="EB2372" s="13" t="s">
        <v>1368</v>
      </c>
      <c r="EC2372" s="13" t="s">
        <v>1146</v>
      </c>
      <c r="ED2372" s="11">
        <v>72388</v>
      </c>
      <c r="EE2372" s="11"/>
    </row>
    <row r="2373" spans="130:135" x14ac:dyDescent="0.2">
      <c r="DZ2373" s="5">
        <v>46113</v>
      </c>
      <c r="EA2373" s="13" t="s">
        <v>1251</v>
      </c>
      <c r="EB2373" s="13" t="s">
        <v>1337</v>
      </c>
      <c r="EC2373" s="13" t="s">
        <v>1108</v>
      </c>
      <c r="ED2373" s="11">
        <v>0</v>
      </c>
      <c r="EE2373" s="11"/>
    </row>
    <row r="2374" spans="130:135" x14ac:dyDescent="0.2">
      <c r="DZ2374" s="5">
        <v>46113</v>
      </c>
      <c r="EA2374" s="13" t="s">
        <v>1250</v>
      </c>
      <c r="EB2374" s="13" t="s">
        <v>1357</v>
      </c>
      <c r="EC2374" s="13" t="s">
        <v>1108</v>
      </c>
      <c r="ED2374" s="11">
        <v>0</v>
      </c>
      <c r="EE2374" s="11"/>
    </row>
    <row r="2375" spans="130:135" x14ac:dyDescent="0.2">
      <c r="DZ2375" s="5">
        <v>46113</v>
      </c>
      <c r="EA2375" s="13" t="s">
        <v>1251</v>
      </c>
      <c r="EB2375" s="13" t="s">
        <v>1405</v>
      </c>
      <c r="EC2375" s="13" t="s">
        <v>1108</v>
      </c>
      <c r="ED2375" s="11">
        <v>0</v>
      </c>
      <c r="EE2375" s="11"/>
    </row>
    <row r="2376" spans="130:135" x14ac:dyDescent="0.2">
      <c r="DZ2376" s="5">
        <v>46113</v>
      </c>
      <c r="EA2376" s="13" t="s">
        <v>1250</v>
      </c>
      <c r="EB2376" s="13" t="s">
        <v>1358</v>
      </c>
      <c r="EC2376" s="13" t="s">
        <v>1108</v>
      </c>
      <c r="ED2376" s="11">
        <v>0</v>
      </c>
      <c r="EE2376" s="11"/>
    </row>
    <row r="2377" spans="130:135" x14ac:dyDescent="0.2">
      <c r="DZ2377" s="5">
        <v>46113</v>
      </c>
      <c r="EA2377" s="13" t="s">
        <v>1250</v>
      </c>
      <c r="EB2377" s="13" t="s">
        <v>1356</v>
      </c>
      <c r="EC2377" s="13" t="s">
        <v>1108</v>
      </c>
      <c r="ED2377" s="11">
        <v>0</v>
      </c>
      <c r="EE2377" s="11"/>
    </row>
    <row r="2378" spans="130:135" x14ac:dyDescent="0.2">
      <c r="DZ2378" s="5">
        <v>46113</v>
      </c>
      <c r="EA2378" s="13" t="s">
        <v>1251</v>
      </c>
      <c r="EB2378" s="13" t="s">
        <v>1407</v>
      </c>
      <c r="EC2378" s="13" t="s">
        <v>1206</v>
      </c>
      <c r="ED2378" s="11"/>
      <c r="EE2378" s="11">
        <v>0</v>
      </c>
    </row>
    <row r="2379" spans="130:135" x14ac:dyDescent="0.2">
      <c r="DZ2379" s="5">
        <v>46113</v>
      </c>
      <c r="EA2379" s="13" t="s">
        <v>1251</v>
      </c>
      <c r="EB2379" s="13" t="s">
        <v>1344</v>
      </c>
      <c r="EC2379" s="13" t="s">
        <v>1206</v>
      </c>
      <c r="ED2379" s="11"/>
      <c r="EE2379" s="11">
        <v>0</v>
      </c>
    </row>
    <row r="2380" spans="130:135" x14ac:dyDescent="0.2">
      <c r="DZ2380" s="5">
        <v>46113</v>
      </c>
      <c r="EA2380" s="13" t="s">
        <v>1251</v>
      </c>
      <c r="EB2380" s="13" t="s">
        <v>1347</v>
      </c>
      <c r="EC2380" s="13" t="s">
        <v>1206</v>
      </c>
      <c r="ED2380" s="11"/>
      <c r="EE2380" s="11">
        <v>0</v>
      </c>
    </row>
    <row r="2381" spans="130:135" x14ac:dyDescent="0.2">
      <c r="DZ2381" s="5">
        <v>46113</v>
      </c>
      <c r="EA2381" s="13" t="s">
        <v>1251</v>
      </c>
      <c r="EB2381" s="13" t="s">
        <v>1408</v>
      </c>
      <c r="EC2381" s="13" t="s">
        <v>1206</v>
      </c>
      <c r="ED2381" s="11"/>
      <c r="EE2381" s="11">
        <v>0</v>
      </c>
    </row>
    <row r="2382" spans="130:135" x14ac:dyDescent="0.2">
      <c r="DZ2382" s="5">
        <v>46113</v>
      </c>
      <c r="EA2382" s="13" t="s">
        <v>1251</v>
      </c>
      <c r="EB2382" s="13" t="s">
        <v>1348</v>
      </c>
      <c r="EC2382" s="13" t="s">
        <v>1206</v>
      </c>
      <c r="ED2382" s="11"/>
      <c r="EE2382" s="11">
        <v>0</v>
      </c>
    </row>
    <row r="2383" spans="130:135" x14ac:dyDescent="0.2">
      <c r="DZ2383" s="5">
        <v>46113</v>
      </c>
      <c r="EA2383" s="13" t="s">
        <v>1251</v>
      </c>
      <c r="EB2383" s="13" t="s">
        <v>1343</v>
      </c>
      <c r="EC2383" s="13" t="s">
        <v>1206</v>
      </c>
      <c r="ED2383" s="11"/>
      <c r="EE2383" s="11">
        <v>0</v>
      </c>
    </row>
    <row r="2384" spans="130:135" x14ac:dyDescent="0.2">
      <c r="DZ2384" s="5">
        <v>46113</v>
      </c>
      <c r="EA2384" s="13" t="s">
        <v>1251</v>
      </c>
      <c r="EB2384" s="13" t="s">
        <v>1335</v>
      </c>
      <c r="EC2384" s="13" t="s">
        <v>1206</v>
      </c>
      <c r="ED2384" s="11"/>
      <c r="EE2384" s="11">
        <v>0</v>
      </c>
    </row>
    <row r="2385" spans="130:135" x14ac:dyDescent="0.2">
      <c r="DZ2385" s="5">
        <v>46113</v>
      </c>
      <c r="EA2385" s="13" t="s">
        <v>1251</v>
      </c>
      <c r="EB2385" s="13" t="s">
        <v>1405</v>
      </c>
      <c r="EC2385" s="13" t="s">
        <v>1058</v>
      </c>
      <c r="ED2385" s="11">
        <v>0</v>
      </c>
      <c r="EE2385" s="11"/>
    </row>
    <row r="2386" spans="130:135" x14ac:dyDescent="0.2">
      <c r="DZ2386" s="5">
        <v>46113</v>
      </c>
      <c r="EA2386" s="13" t="s">
        <v>1250</v>
      </c>
      <c r="EB2386" s="13" t="s">
        <v>1356</v>
      </c>
      <c r="EC2386" s="13" t="s">
        <v>1058</v>
      </c>
      <c r="ED2386" s="11">
        <v>0</v>
      </c>
      <c r="EE2386" s="11"/>
    </row>
    <row r="2387" spans="130:135" x14ac:dyDescent="0.2">
      <c r="DZ2387" s="5">
        <v>46113</v>
      </c>
      <c r="EA2387" s="13" t="s">
        <v>1251</v>
      </c>
      <c r="EB2387" s="13" t="s">
        <v>1337</v>
      </c>
      <c r="EC2387" s="13" t="s">
        <v>1058</v>
      </c>
      <c r="ED2387" s="11">
        <v>0</v>
      </c>
      <c r="EE2387" s="11"/>
    </row>
    <row r="2388" spans="130:135" x14ac:dyDescent="0.2">
      <c r="DZ2388" s="5">
        <v>46113</v>
      </c>
      <c r="EA2388" s="13" t="s">
        <v>1250</v>
      </c>
      <c r="EB2388" s="13" t="s">
        <v>1358</v>
      </c>
      <c r="EC2388" s="13" t="s">
        <v>1058</v>
      </c>
      <c r="ED2388" s="11">
        <v>0</v>
      </c>
      <c r="EE2388" s="11"/>
    </row>
    <row r="2389" spans="130:135" x14ac:dyDescent="0.2">
      <c r="DZ2389" s="5">
        <v>46113</v>
      </c>
      <c r="EA2389" s="13" t="s">
        <v>1250</v>
      </c>
      <c r="EB2389" s="13" t="s">
        <v>1357</v>
      </c>
      <c r="EC2389" s="13" t="s">
        <v>1058</v>
      </c>
      <c r="ED2389" s="11">
        <v>0</v>
      </c>
      <c r="EE2389" s="11"/>
    </row>
    <row r="2390" spans="130:135" x14ac:dyDescent="0.2">
      <c r="DZ2390" s="5">
        <v>46113</v>
      </c>
      <c r="EA2390" s="13" t="s">
        <v>1250</v>
      </c>
      <c r="EB2390" s="13" t="s">
        <v>1394</v>
      </c>
      <c r="EC2390" s="13" t="s">
        <v>1170</v>
      </c>
      <c r="ED2390" s="11">
        <v>0</v>
      </c>
      <c r="EE2390" s="11"/>
    </row>
    <row r="2391" spans="130:135" x14ac:dyDescent="0.2">
      <c r="DZ2391" s="5">
        <v>46113</v>
      </c>
      <c r="EA2391" s="13" t="s">
        <v>1250</v>
      </c>
      <c r="EB2391" s="13" t="s">
        <v>1389</v>
      </c>
      <c r="EC2391" s="13" t="s">
        <v>1170</v>
      </c>
      <c r="ED2391" s="11">
        <v>0</v>
      </c>
      <c r="EE2391" s="11"/>
    </row>
    <row r="2392" spans="130:135" x14ac:dyDescent="0.2">
      <c r="DZ2392" s="5">
        <v>46113</v>
      </c>
      <c r="EA2392" s="13" t="s">
        <v>1250</v>
      </c>
      <c r="EB2392" s="13" t="s">
        <v>1412</v>
      </c>
      <c r="EC2392" s="13" t="s">
        <v>1170</v>
      </c>
      <c r="ED2392" s="11">
        <v>0</v>
      </c>
      <c r="EE2392" s="11"/>
    </row>
    <row r="2393" spans="130:135" x14ac:dyDescent="0.2">
      <c r="DZ2393" s="5">
        <v>46113</v>
      </c>
      <c r="EA2393" s="13" t="s">
        <v>1250</v>
      </c>
      <c r="EB2393" s="13" t="s">
        <v>1365</v>
      </c>
      <c r="EC2393" s="13" t="s">
        <v>1170</v>
      </c>
      <c r="ED2393" s="11">
        <v>0</v>
      </c>
      <c r="EE2393" s="11"/>
    </row>
    <row r="2394" spans="130:135" x14ac:dyDescent="0.2">
      <c r="DZ2394" s="5">
        <v>46113</v>
      </c>
      <c r="EA2394" s="13" t="s">
        <v>1250</v>
      </c>
      <c r="EB2394" s="13" t="s">
        <v>1364</v>
      </c>
      <c r="EC2394" s="13" t="s">
        <v>1170</v>
      </c>
      <c r="ED2394" s="11">
        <v>0</v>
      </c>
      <c r="EE2394" s="11"/>
    </row>
    <row r="2395" spans="130:135" x14ac:dyDescent="0.2">
      <c r="DZ2395" s="5">
        <v>46143</v>
      </c>
      <c r="EA2395" s="13" t="s">
        <v>1250</v>
      </c>
      <c r="EB2395" s="13" t="s">
        <v>1419</v>
      </c>
      <c r="EC2395" s="13" t="s">
        <v>1162</v>
      </c>
      <c r="ED2395" s="11">
        <v>0</v>
      </c>
      <c r="EE2395" s="11"/>
    </row>
    <row r="2396" spans="130:135" x14ac:dyDescent="0.2">
      <c r="DZ2396" s="5">
        <v>46143</v>
      </c>
      <c r="EA2396" s="13" t="s">
        <v>1250</v>
      </c>
      <c r="EB2396" s="13" t="s">
        <v>1418</v>
      </c>
      <c r="EC2396" s="13" t="s">
        <v>1162</v>
      </c>
      <c r="ED2396" s="11">
        <v>0</v>
      </c>
      <c r="EE2396" s="11"/>
    </row>
    <row r="2397" spans="130:135" x14ac:dyDescent="0.2">
      <c r="DZ2397" s="5">
        <v>46143</v>
      </c>
      <c r="EA2397" s="13" t="s">
        <v>1250</v>
      </c>
      <c r="EB2397" s="13" t="s">
        <v>1401</v>
      </c>
      <c r="EC2397" s="13" t="s">
        <v>1162</v>
      </c>
      <c r="ED2397" s="11">
        <v>0</v>
      </c>
      <c r="EE2397" s="11"/>
    </row>
    <row r="2398" spans="130:135" x14ac:dyDescent="0.2">
      <c r="DZ2398" s="5">
        <v>46143</v>
      </c>
      <c r="EA2398" s="13" t="s">
        <v>1252</v>
      </c>
      <c r="EB2398" s="13" t="s">
        <v>1399</v>
      </c>
      <c r="EC2398" s="13" t="s">
        <v>1106</v>
      </c>
      <c r="ED2398" s="11">
        <v>0</v>
      </c>
      <c r="EE2398" s="11"/>
    </row>
    <row r="2399" spans="130:135" x14ac:dyDescent="0.2">
      <c r="DZ2399" s="5">
        <v>46143</v>
      </c>
      <c r="EA2399" s="13" t="s">
        <v>1252</v>
      </c>
      <c r="EB2399" s="13" t="s">
        <v>1381</v>
      </c>
      <c r="EC2399" s="13" t="s">
        <v>1106</v>
      </c>
      <c r="ED2399" s="11">
        <v>0</v>
      </c>
      <c r="EE2399" s="11"/>
    </row>
    <row r="2400" spans="130:135" x14ac:dyDescent="0.2">
      <c r="DZ2400" s="5">
        <v>46143</v>
      </c>
      <c r="EA2400" s="13" t="s">
        <v>1252</v>
      </c>
      <c r="EB2400" s="13" t="s">
        <v>1404</v>
      </c>
      <c r="EC2400" s="13" t="s">
        <v>1106</v>
      </c>
      <c r="ED2400" s="11">
        <v>0</v>
      </c>
      <c r="EE2400" s="11"/>
    </row>
    <row r="2401" spans="130:135" x14ac:dyDescent="0.2">
      <c r="DZ2401" s="5">
        <v>46143</v>
      </c>
      <c r="EA2401" s="13" t="s">
        <v>1252</v>
      </c>
      <c r="EB2401" s="13" t="s">
        <v>1374</v>
      </c>
      <c r="EC2401" s="13" t="s">
        <v>1106</v>
      </c>
      <c r="ED2401" s="11">
        <v>0</v>
      </c>
      <c r="EE2401" s="11"/>
    </row>
    <row r="2402" spans="130:135" x14ac:dyDescent="0.2">
      <c r="DZ2402" s="5">
        <v>46143</v>
      </c>
      <c r="EA2402" s="13" t="s">
        <v>1252</v>
      </c>
      <c r="EB2402" s="13" t="s">
        <v>1377</v>
      </c>
      <c r="EC2402" s="13" t="s">
        <v>1106</v>
      </c>
      <c r="ED2402" s="11">
        <v>0</v>
      </c>
      <c r="EE2402" s="11"/>
    </row>
    <row r="2403" spans="130:135" x14ac:dyDescent="0.2">
      <c r="DZ2403" s="5">
        <v>46143</v>
      </c>
      <c r="EA2403" s="13" t="s">
        <v>1250</v>
      </c>
      <c r="EB2403" s="13" t="s">
        <v>1359</v>
      </c>
      <c r="EC2403" s="13" t="s">
        <v>1124</v>
      </c>
      <c r="ED2403" s="11">
        <v>0</v>
      </c>
      <c r="EE2403" s="11"/>
    </row>
    <row r="2404" spans="130:135" x14ac:dyDescent="0.2">
      <c r="DZ2404" s="5">
        <v>46143</v>
      </c>
      <c r="EA2404" s="13" t="s">
        <v>1250</v>
      </c>
      <c r="EB2404" s="13" t="s">
        <v>1339</v>
      </c>
      <c r="EC2404" s="13" t="s">
        <v>1124</v>
      </c>
      <c r="ED2404" s="11">
        <v>0</v>
      </c>
      <c r="EE2404" s="11"/>
    </row>
    <row r="2405" spans="130:135" x14ac:dyDescent="0.2">
      <c r="DZ2405" s="5">
        <v>46143</v>
      </c>
      <c r="EA2405" s="13" t="s">
        <v>1251</v>
      </c>
      <c r="EB2405" s="13" t="s">
        <v>1406</v>
      </c>
      <c r="EC2405" s="13" t="s">
        <v>1124</v>
      </c>
      <c r="ED2405" s="11">
        <v>0</v>
      </c>
      <c r="EE2405" s="11"/>
    </row>
    <row r="2406" spans="130:135" x14ac:dyDescent="0.2">
      <c r="DZ2406" s="5">
        <v>46143</v>
      </c>
      <c r="EA2406" s="13" t="s">
        <v>1250</v>
      </c>
      <c r="EB2406" s="13" t="s">
        <v>1360</v>
      </c>
      <c r="EC2406" s="13" t="s">
        <v>1124</v>
      </c>
      <c r="ED2406" s="11">
        <v>0</v>
      </c>
      <c r="EE2406" s="11"/>
    </row>
    <row r="2407" spans="130:135" x14ac:dyDescent="0.2">
      <c r="DZ2407" s="5">
        <v>46143</v>
      </c>
      <c r="EA2407" s="13" t="s">
        <v>1251</v>
      </c>
      <c r="EB2407" s="13" t="s">
        <v>1339</v>
      </c>
      <c r="EC2407" s="13" t="s">
        <v>1124</v>
      </c>
      <c r="ED2407" s="11">
        <v>0</v>
      </c>
      <c r="EE2407" s="11"/>
    </row>
    <row r="2408" spans="130:135" x14ac:dyDescent="0.2">
      <c r="DZ2408" s="5">
        <v>46143</v>
      </c>
      <c r="EA2408" s="13" t="s">
        <v>1250</v>
      </c>
      <c r="EB2408" s="13" t="s">
        <v>1338</v>
      </c>
      <c r="EC2408" s="13" t="s">
        <v>1121</v>
      </c>
      <c r="ED2408" s="11">
        <v>0</v>
      </c>
      <c r="EE2408" s="11"/>
    </row>
    <row r="2409" spans="130:135" x14ac:dyDescent="0.2">
      <c r="DZ2409" s="5">
        <v>46143</v>
      </c>
      <c r="EA2409" s="13" t="s">
        <v>1251</v>
      </c>
      <c r="EB2409" s="13" t="s">
        <v>1338</v>
      </c>
      <c r="EC2409" s="13" t="s">
        <v>1121</v>
      </c>
      <c r="ED2409" s="11">
        <v>0</v>
      </c>
      <c r="EE2409" s="11"/>
    </row>
    <row r="2410" spans="130:135" x14ac:dyDescent="0.2">
      <c r="DZ2410" s="5">
        <v>46143</v>
      </c>
      <c r="EA2410" s="13" t="s">
        <v>1250</v>
      </c>
      <c r="EB2410" s="13" t="s">
        <v>1375</v>
      </c>
      <c r="EC2410" s="13" t="s">
        <v>1016</v>
      </c>
      <c r="ED2410" s="11">
        <v>0</v>
      </c>
      <c r="EE2410" s="11"/>
    </row>
    <row r="2411" spans="130:135" x14ac:dyDescent="0.2">
      <c r="DZ2411" s="5">
        <v>46143</v>
      </c>
      <c r="EA2411" s="13" t="s">
        <v>1250</v>
      </c>
      <c r="EB2411" s="13" t="s">
        <v>1340</v>
      </c>
      <c r="EC2411" s="13" t="s">
        <v>1126</v>
      </c>
      <c r="ED2411" s="11">
        <v>0</v>
      </c>
      <c r="EE2411" s="11"/>
    </row>
    <row r="2412" spans="130:135" x14ac:dyDescent="0.2">
      <c r="DZ2412" s="5">
        <v>46143</v>
      </c>
      <c r="EA2412" s="13" t="s">
        <v>1251</v>
      </c>
      <c r="EB2412" s="13" t="s">
        <v>1340</v>
      </c>
      <c r="EC2412" s="13" t="s">
        <v>1126</v>
      </c>
      <c r="ED2412" s="11">
        <v>0</v>
      </c>
      <c r="EE2412" s="11"/>
    </row>
    <row r="2413" spans="130:135" x14ac:dyDescent="0.2">
      <c r="DZ2413" s="5">
        <v>46143</v>
      </c>
      <c r="EA2413" s="13" t="s">
        <v>1251</v>
      </c>
      <c r="EB2413" s="13" t="s">
        <v>1342</v>
      </c>
      <c r="EC2413" s="13" t="s">
        <v>1142</v>
      </c>
      <c r="ED2413" s="11">
        <v>0</v>
      </c>
      <c r="EE2413" s="11"/>
    </row>
    <row r="2414" spans="130:135" x14ac:dyDescent="0.2">
      <c r="DZ2414" s="5">
        <v>46143</v>
      </c>
      <c r="EA2414" s="13" t="s">
        <v>1251</v>
      </c>
      <c r="EB2414" s="13" t="s">
        <v>1341</v>
      </c>
      <c r="EC2414" s="13" t="s">
        <v>1142</v>
      </c>
      <c r="ED2414" s="11">
        <v>0</v>
      </c>
      <c r="EE2414" s="11"/>
    </row>
    <row r="2415" spans="130:135" x14ac:dyDescent="0.2">
      <c r="DZ2415" s="5">
        <v>46143</v>
      </c>
      <c r="EA2415" s="13" t="s">
        <v>1250</v>
      </c>
      <c r="EB2415" s="13" t="s">
        <v>1415</v>
      </c>
      <c r="EC2415" s="13" t="s">
        <v>1142</v>
      </c>
      <c r="ED2415" s="11">
        <v>0</v>
      </c>
      <c r="EE2415" s="11"/>
    </row>
    <row r="2416" spans="130:135" x14ac:dyDescent="0.2">
      <c r="DZ2416" s="5">
        <v>46143</v>
      </c>
      <c r="EA2416" s="13" t="s">
        <v>1250</v>
      </c>
      <c r="EB2416" s="13" t="s">
        <v>1398</v>
      </c>
      <c r="EC2416" s="13" t="s">
        <v>1138</v>
      </c>
      <c r="ED2416" s="11">
        <v>0</v>
      </c>
      <c r="EE2416" s="11"/>
    </row>
    <row r="2417" spans="130:135" x14ac:dyDescent="0.2">
      <c r="DZ2417" s="5">
        <v>46143</v>
      </c>
      <c r="EA2417" s="13" t="s">
        <v>1250</v>
      </c>
      <c r="EB2417" s="13" t="s">
        <v>1356</v>
      </c>
      <c r="EC2417" s="13" t="s">
        <v>1110</v>
      </c>
      <c r="ED2417" s="11">
        <v>0</v>
      </c>
      <c r="EE2417" s="11"/>
    </row>
    <row r="2418" spans="130:135" x14ac:dyDescent="0.2">
      <c r="DZ2418" s="5">
        <v>46143</v>
      </c>
      <c r="EA2418" s="13" t="s">
        <v>1250</v>
      </c>
      <c r="EB2418" s="13" t="s">
        <v>1357</v>
      </c>
      <c r="EC2418" s="13" t="s">
        <v>1110</v>
      </c>
      <c r="ED2418" s="11">
        <v>0</v>
      </c>
      <c r="EE2418" s="11"/>
    </row>
    <row r="2419" spans="130:135" x14ac:dyDescent="0.2">
      <c r="DZ2419" s="5">
        <v>46143</v>
      </c>
      <c r="EA2419" s="13" t="s">
        <v>1250</v>
      </c>
      <c r="EB2419" s="13" t="s">
        <v>1358</v>
      </c>
      <c r="EC2419" s="13" t="s">
        <v>1110</v>
      </c>
      <c r="ED2419" s="11">
        <v>0</v>
      </c>
      <c r="EE2419" s="11"/>
    </row>
    <row r="2420" spans="130:135" x14ac:dyDescent="0.2">
      <c r="DZ2420" s="5">
        <v>46143</v>
      </c>
      <c r="EA2420" s="13" t="s">
        <v>1251</v>
      </c>
      <c r="EB2420" s="13" t="s">
        <v>1337</v>
      </c>
      <c r="EC2420" s="13" t="s">
        <v>1187</v>
      </c>
      <c r="ED2420" s="11">
        <v>0</v>
      </c>
      <c r="EE2420" s="11"/>
    </row>
    <row r="2421" spans="130:135" x14ac:dyDescent="0.2">
      <c r="DZ2421" s="5">
        <v>46143</v>
      </c>
      <c r="EA2421" s="13" t="s">
        <v>1251</v>
      </c>
      <c r="EB2421" s="13" t="s">
        <v>1405</v>
      </c>
      <c r="EC2421" s="13" t="s">
        <v>1187</v>
      </c>
      <c r="ED2421" s="11">
        <v>0</v>
      </c>
      <c r="EE2421" s="11"/>
    </row>
    <row r="2422" spans="130:135" x14ac:dyDescent="0.2">
      <c r="DZ2422" s="5">
        <v>46143</v>
      </c>
      <c r="EA2422" s="13" t="s">
        <v>1250</v>
      </c>
      <c r="EB2422" s="13" t="s">
        <v>1358</v>
      </c>
      <c r="EC2422" s="13" t="s">
        <v>1132</v>
      </c>
      <c r="ED2422" s="11">
        <v>0</v>
      </c>
      <c r="EE2422" s="11"/>
    </row>
    <row r="2423" spans="130:135" x14ac:dyDescent="0.2">
      <c r="DZ2423" s="5">
        <v>46143</v>
      </c>
      <c r="EA2423" s="13" t="s">
        <v>1250</v>
      </c>
      <c r="EB2423" s="13" t="s">
        <v>1411</v>
      </c>
      <c r="EC2423" s="13" t="s">
        <v>1172</v>
      </c>
      <c r="ED2423" s="11">
        <v>0</v>
      </c>
      <c r="EE2423" s="11"/>
    </row>
    <row r="2424" spans="130:135" x14ac:dyDescent="0.2">
      <c r="DZ2424" s="5">
        <v>46143</v>
      </c>
      <c r="EA2424" s="13" t="s">
        <v>1250</v>
      </c>
      <c r="EB2424" s="13" t="s">
        <v>1391</v>
      </c>
      <c r="EC2424" s="13" t="s">
        <v>1172</v>
      </c>
      <c r="ED2424" s="11">
        <v>0</v>
      </c>
      <c r="EE2424" s="11"/>
    </row>
    <row r="2425" spans="130:135" x14ac:dyDescent="0.2">
      <c r="DZ2425" s="5">
        <v>46143</v>
      </c>
      <c r="EA2425" s="13" t="s">
        <v>1250</v>
      </c>
      <c r="EB2425" s="13" t="s">
        <v>1413</v>
      </c>
      <c r="EC2425" s="13" t="s">
        <v>1172</v>
      </c>
      <c r="ED2425" s="11">
        <v>0</v>
      </c>
      <c r="EE2425" s="11"/>
    </row>
    <row r="2426" spans="130:135" x14ac:dyDescent="0.2">
      <c r="DZ2426" s="5">
        <v>46143</v>
      </c>
      <c r="EA2426" s="13" t="s">
        <v>1250</v>
      </c>
      <c r="EB2426" s="13" t="s">
        <v>1392</v>
      </c>
      <c r="EC2426" s="13" t="s">
        <v>1172</v>
      </c>
      <c r="ED2426" s="11">
        <v>0</v>
      </c>
      <c r="EE2426" s="11"/>
    </row>
    <row r="2427" spans="130:135" x14ac:dyDescent="0.2">
      <c r="DZ2427" s="5">
        <v>46143</v>
      </c>
      <c r="EA2427" s="13" t="s">
        <v>1250</v>
      </c>
      <c r="EB2427" s="13" t="s">
        <v>1362</v>
      </c>
      <c r="EC2427" s="13" t="s">
        <v>1172</v>
      </c>
      <c r="ED2427" s="11">
        <v>0</v>
      </c>
      <c r="EE2427" s="11"/>
    </row>
    <row r="2428" spans="130:135" x14ac:dyDescent="0.2">
      <c r="DZ2428" s="5">
        <v>46143</v>
      </c>
      <c r="EA2428" s="13" t="s">
        <v>1250</v>
      </c>
      <c r="EB2428" s="13" t="s">
        <v>1396</v>
      </c>
      <c r="EC2428" s="13" t="s">
        <v>1172</v>
      </c>
      <c r="ED2428" s="11">
        <v>0</v>
      </c>
      <c r="EE2428" s="11"/>
    </row>
    <row r="2429" spans="130:135" x14ac:dyDescent="0.2">
      <c r="DZ2429" s="5">
        <v>46143</v>
      </c>
      <c r="EA2429" s="13" t="s">
        <v>1250</v>
      </c>
      <c r="EB2429" s="13" t="s">
        <v>1395</v>
      </c>
      <c r="EC2429" s="13" t="s">
        <v>1172</v>
      </c>
      <c r="ED2429" s="11">
        <v>0</v>
      </c>
      <c r="EE2429" s="11"/>
    </row>
    <row r="2430" spans="130:135" x14ac:dyDescent="0.2">
      <c r="DZ2430" s="5">
        <v>46143</v>
      </c>
      <c r="EA2430" s="13" t="s">
        <v>1250</v>
      </c>
      <c r="EB2430" s="13" t="s">
        <v>1361</v>
      </c>
      <c r="EC2430" s="13" t="s">
        <v>1172</v>
      </c>
      <c r="ED2430" s="11">
        <v>0</v>
      </c>
      <c r="EE2430" s="11"/>
    </row>
    <row r="2431" spans="130:135" x14ac:dyDescent="0.2">
      <c r="DZ2431" s="5">
        <v>46143</v>
      </c>
      <c r="EA2431" s="13" t="s">
        <v>1250</v>
      </c>
      <c r="EB2431" s="13" t="s">
        <v>1414</v>
      </c>
      <c r="EC2431" s="13" t="s">
        <v>1172</v>
      </c>
      <c r="ED2431" s="11">
        <v>0</v>
      </c>
      <c r="EE2431" s="11"/>
    </row>
    <row r="2432" spans="130:135" x14ac:dyDescent="0.2">
      <c r="DZ2432" s="5">
        <v>46143</v>
      </c>
      <c r="EA2432" s="13" t="s">
        <v>1251</v>
      </c>
      <c r="EB2432" s="13" t="s">
        <v>1337</v>
      </c>
      <c r="EC2432" s="13" t="s">
        <v>1054</v>
      </c>
      <c r="ED2432" s="11">
        <v>0</v>
      </c>
      <c r="EE2432" s="11"/>
    </row>
    <row r="2433" spans="130:135" x14ac:dyDescent="0.2">
      <c r="DZ2433" s="5">
        <v>46143</v>
      </c>
      <c r="EA2433" s="13" t="s">
        <v>1250</v>
      </c>
      <c r="EB2433" s="13" t="s">
        <v>1358</v>
      </c>
      <c r="EC2433" s="13" t="s">
        <v>1054</v>
      </c>
      <c r="ED2433" s="11">
        <v>0</v>
      </c>
      <c r="EE2433" s="11"/>
    </row>
    <row r="2434" spans="130:135" x14ac:dyDescent="0.2">
      <c r="DZ2434" s="5">
        <v>46143</v>
      </c>
      <c r="EA2434" s="13" t="s">
        <v>1250</v>
      </c>
      <c r="EB2434" s="13" t="s">
        <v>1356</v>
      </c>
      <c r="EC2434" s="13" t="s">
        <v>1054</v>
      </c>
      <c r="ED2434" s="11">
        <v>0</v>
      </c>
      <c r="EE2434" s="11"/>
    </row>
    <row r="2435" spans="130:135" x14ac:dyDescent="0.2">
      <c r="DZ2435" s="5">
        <v>46143</v>
      </c>
      <c r="EA2435" s="13" t="s">
        <v>1251</v>
      </c>
      <c r="EB2435" s="13" t="s">
        <v>1405</v>
      </c>
      <c r="EC2435" s="13" t="s">
        <v>1054</v>
      </c>
      <c r="ED2435" s="11">
        <v>0</v>
      </c>
      <c r="EE2435" s="11"/>
    </row>
    <row r="2436" spans="130:135" x14ac:dyDescent="0.2">
      <c r="DZ2436" s="5">
        <v>46143</v>
      </c>
      <c r="EA2436" s="13" t="s">
        <v>1250</v>
      </c>
      <c r="EB2436" s="13" t="s">
        <v>1357</v>
      </c>
      <c r="EC2436" s="13" t="s">
        <v>1054</v>
      </c>
      <c r="ED2436" s="11">
        <v>0</v>
      </c>
      <c r="EE2436" s="11"/>
    </row>
    <row r="2437" spans="130:135" x14ac:dyDescent="0.2">
      <c r="DZ2437" s="5">
        <v>46143</v>
      </c>
      <c r="EA2437" s="13" t="s">
        <v>1252</v>
      </c>
      <c r="EB2437" s="13" t="s">
        <v>1355</v>
      </c>
      <c r="EC2437" s="13" t="s">
        <v>1166</v>
      </c>
      <c r="ED2437" s="11">
        <v>0</v>
      </c>
      <c r="EE2437" s="11"/>
    </row>
    <row r="2438" spans="130:135" x14ac:dyDescent="0.2">
      <c r="DZ2438" s="5">
        <v>46143</v>
      </c>
      <c r="EA2438" s="13" t="s">
        <v>1251</v>
      </c>
      <c r="EB2438" s="13" t="s">
        <v>1355</v>
      </c>
      <c r="EC2438" s="13" t="s">
        <v>1166</v>
      </c>
      <c r="ED2438" s="11"/>
      <c r="EE2438" s="11">
        <v>0</v>
      </c>
    </row>
    <row r="2439" spans="130:135" x14ac:dyDescent="0.2">
      <c r="DZ2439" s="5">
        <v>46143</v>
      </c>
      <c r="EA2439" s="13" t="s">
        <v>1251</v>
      </c>
      <c r="EB2439" s="13" t="s">
        <v>1351</v>
      </c>
      <c r="EC2439" s="13" t="s">
        <v>1166</v>
      </c>
      <c r="ED2439" s="11"/>
      <c r="EE2439" s="11">
        <v>0</v>
      </c>
    </row>
    <row r="2440" spans="130:135" x14ac:dyDescent="0.2">
      <c r="DZ2440" s="5">
        <v>46143</v>
      </c>
      <c r="EA2440" s="13" t="s">
        <v>1251</v>
      </c>
      <c r="EB2440" s="13" t="s">
        <v>1337</v>
      </c>
      <c r="EC2440" s="13" t="s">
        <v>1166</v>
      </c>
      <c r="ED2440" s="11"/>
      <c r="EE2440" s="11">
        <v>0</v>
      </c>
    </row>
    <row r="2441" spans="130:135" x14ac:dyDescent="0.2">
      <c r="DZ2441" s="5">
        <v>46143</v>
      </c>
      <c r="EA2441" s="13" t="s">
        <v>1251</v>
      </c>
      <c r="EB2441" s="13" t="s">
        <v>1409</v>
      </c>
      <c r="EC2441" s="13" t="s">
        <v>1166</v>
      </c>
      <c r="ED2441" s="11"/>
      <c r="EE2441" s="11">
        <v>0</v>
      </c>
    </row>
    <row r="2442" spans="130:135" x14ac:dyDescent="0.2">
      <c r="DZ2442" s="5">
        <v>46143</v>
      </c>
      <c r="EA2442" s="13" t="s">
        <v>1251</v>
      </c>
      <c r="EB2442" s="13" t="s">
        <v>1381</v>
      </c>
      <c r="EC2442" s="13" t="s">
        <v>1166</v>
      </c>
      <c r="ED2442" s="11"/>
      <c r="EE2442" s="11">
        <v>0</v>
      </c>
    </row>
    <row r="2443" spans="130:135" x14ac:dyDescent="0.2">
      <c r="DZ2443" s="5">
        <v>46143</v>
      </c>
      <c r="EA2443" s="13" t="s">
        <v>1252</v>
      </c>
      <c r="EB2443" s="13" t="s">
        <v>1403</v>
      </c>
      <c r="EC2443" s="13" t="s">
        <v>1230</v>
      </c>
      <c r="ED2443" s="11">
        <v>0</v>
      </c>
      <c r="EE2443" s="11"/>
    </row>
    <row r="2444" spans="130:135" x14ac:dyDescent="0.2">
      <c r="DZ2444" s="5">
        <v>46143</v>
      </c>
      <c r="EA2444" s="13" t="s">
        <v>1252</v>
      </c>
      <c r="EB2444" s="13" t="s">
        <v>1402</v>
      </c>
      <c r="EC2444" s="13" t="s">
        <v>1230</v>
      </c>
      <c r="ED2444" s="11">
        <v>0</v>
      </c>
      <c r="EE2444" s="11"/>
    </row>
    <row r="2445" spans="130:135" x14ac:dyDescent="0.2">
      <c r="DZ2445" s="5">
        <v>46143</v>
      </c>
      <c r="EA2445" s="13" t="s">
        <v>1252</v>
      </c>
      <c r="EB2445" s="13" t="s">
        <v>1334</v>
      </c>
      <c r="EC2445" s="13" t="s">
        <v>1224</v>
      </c>
      <c r="ED2445" s="11">
        <v>0</v>
      </c>
      <c r="EE2445" s="11"/>
    </row>
    <row r="2446" spans="130:135" x14ac:dyDescent="0.2">
      <c r="DZ2446" s="5">
        <v>46143</v>
      </c>
      <c r="EA2446" s="13" t="s">
        <v>1252</v>
      </c>
      <c r="EB2446" s="13" t="s">
        <v>1333</v>
      </c>
      <c r="EC2446" s="13" t="s">
        <v>1224</v>
      </c>
      <c r="ED2446" s="11">
        <v>0</v>
      </c>
      <c r="EE2446" s="11"/>
    </row>
    <row r="2447" spans="130:135" x14ac:dyDescent="0.2">
      <c r="DZ2447" s="5">
        <v>46143</v>
      </c>
      <c r="EA2447" s="13" t="s">
        <v>1250</v>
      </c>
      <c r="EB2447" s="13" t="s">
        <v>1363</v>
      </c>
      <c r="EC2447" s="13" t="s">
        <v>1168</v>
      </c>
      <c r="ED2447" s="11">
        <v>0</v>
      </c>
      <c r="EE2447" s="11"/>
    </row>
    <row r="2448" spans="130:135" x14ac:dyDescent="0.2">
      <c r="DZ2448" s="5">
        <v>46143</v>
      </c>
      <c r="EA2448" s="13" t="s">
        <v>1250</v>
      </c>
      <c r="EB2448" s="13" t="s">
        <v>1390</v>
      </c>
      <c r="EC2448" s="13" t="s">
        <v>1168</v>
      </c>
      <c r="ED2448" s="11">
        <v>0</v>
      </c>
      <c r="EE2448" s="11"/>
    </row>
    <row r="2449" spans="130:135" x14ac:dyDescent="0.2">
      <c r="DZ2449" s="5">
        <v>46143</v>
      </c>
      <c r="EA2449" s="13" t="s">
        <v>1250</v>
      </c>
      <c r="EB2449" s="13" t="s">
        <v>1397</v>
      </c>
      <c r="EC2449" s="13" t="s">
        <v>1168</v>
      </c>
      <c r="ED2449" s="11">
        <v>0</v>
      </c>
      <c r="EE2449" s="11"/>
    </row>
    <row r="2450" spans="130:135" x14ac:dyDescent="0.2">
      <c r="DZ2450" s="5">
        <v>46143</v>
      </c>
      <c r="EA2450" s="13" t="s">
        <v>1250</v>
      </c>
      <c r="EB2450" s="13" t="s">
        <v>1393</v>
      </c>
      <c r="EC2450" s="13" t="s">
        <v>1168</v>
      </c>
      <c r="ED2450" s="11">
        <v>0</v>
      </c>
      <c r="EE2450" s="11"/>
    </row>
    <row r="2451" spans="130:135" x14ac:dyDescent="0.2">
      <c r="DZ2451" s="5">
        <v>46143</v>
      </c>
      <c r="EA2451" s="13" t="s">
        <v>1252</v>
      </c>
      <c r="EB2451" s="13" t="s">
        <v>1355</v>
      </c>
      <c r="EC2451" s="13" t="s">
        <v>1226</v>
      </c>
      <c r="ED2451" s="11">
        <v>0</v>
      </c>
      <c r="EE2451" s="11"/>
    </row>
    <row r="2452" spans="130:135" x14ac:dyDescent="0.2">
      <c r="DZ2452" s="5">
        <v>46143</v>
      </c>
      <c r="EA2452" s="13" t="s">
        <v>1252</v>
      </c>
      <c r="EB2452" s="13" t="s">
        <v>1371</v>
      </c>
      <c r="EC2452" s="13" t="s">
        <v>1226</v>
      </c>
      <c r="ED2452" s="11">
        <v>0</v>
      </c>
      <c r="EE2452" s="11"/>
    </row>
    <row r="2453" spans="130:135" x14ac:dyDescent="0.2">
      <c r="DZ2453" s="5">
        <v>46143</v>
      </c>
      <c r="EA2453" s="13" t="s">
        <v>1252</v>
      </c>
      <c r="EB2453" s="13" t="s">
        <v>1355</v>
      </c>
      <c r="EC2453" s="13" t="s">
        <v>1219</v>
      </c>
      <c r="ED2453" s="11">
        <v>0</v>
      </c>
      <c r="EE2453" s="11"/>
    </row>
    <row r="2454" spans="130:135" x14ac:dyDescent="0.2">
      <c r="DZ2454" s="5">
        <v>46143</v>
      </c>
      <c r="EA2454" s="13" t="s">
        <v>1252</v>
      </c>
      <c r="EB2454" s="13" t="s">
        <v>1371</v>
      </c>
      <c r="EC2454" s="13" t="s">
        <v>1219</v>
      </c>
      <c r="ED2454" s="11">
        <v>0</v>
      </c>
      <c r="EE2454" s="11"/>
    </row>
    <row r="2455" spans="130:135" x14ac:dyDescent="0.2">
      <c r="DZ2455" s="5">
        <v>46143</v>
      </c>
      <c r="EA2455" s="13" t="s">
        <v>1250</v>
      </c>
      <c r="EB2455" s="13" t="s">
        <v>1366</v>
      </c>
      <c r="EC2455" s="13" t="s">
        <v>1136</v>
      </c>
      <c r="ED2455" s="11">
        <v>0</v>
      </c>
      <c r="EE2455" s="11"/>
    </row>
    <row r="2456" spans="130:135" x14ac:dyDescent="0.2">
      <c r="DZ2456" s="5">
        <v>46143</v>
      </c>
      <c r="EA2456" s="13" t="s">
        <v>1251</v>
      </c>
      <c r="EB2456" s="13" t="s">
        <v>1405</v>
      </c>
      <c r="EC2456" s="13" t="s">
        <v>1179</v>
      </c>
      <c r="ED2456" s="11">
        <v>0</v>
      </c>
      <c r="EE2456" s="11"/>
    </row>
    <row r="2457" spans="130:135" x14ac:dyDescent="0.2">
      <c r="DZ2457" s="5">
        <v>46143</v>
      </c>
      <c r="EA2457" s="13" t="s">
        <v>1251</v>
      </c>
      <c r="EB2457" s="13" t="s">
        <v>1337</v>
      </c>
      <c r="EC2457" s="13" t="s">
        <v>1179</v>
      </c>
      <c r="ED2457" s="11">
        <v>0</v>
      </c>
      <c r="EE2457" s="11"/>
    </row>
    <row r="2458" spans="130:135" x14ac:dyDescent="0.2">
      <c r="DZ2458" s="5">
        <v>46143</v>
      </c>
      <c r="EA2458" s="13" t="s">
        <v>1252</v>
      </c>
      <c r="EB2458" s="13" t="s">
        <v>1374</v>
      </c>
      <c r="EC2458" s="13" t="s">
        <v>1222</v>
      </c>
      <c r="ED2458" s="11">
        <v>0</v>
      </c>
      <c r="EE2458" s="11"/>
    </row>
    <row r="2459" spans="130:135" x14ac:dyDescent="0.2">
      <c r="DZ2459" s="5">
        <v>46143</v>
      </c>
      <c r="EA2459" s="13" t="s">
        <v>1252</v>
      </c>
      <c r="EB2459" s="13" t="s">
        <v>1373</v>
      </c>
      <c r="EC2459" s="13" t="s">
        <v>1222</v>
      </c>
      <c r="ED2459" s="11">
        <v>0</v>
      </c>
      <c r="EE2459" s="11"/>
    </row>
    <row r="2460" spans="130:135" x14ac:dyDescent="0.2">
      <c r="DZ2460" s="5">
        <v>46143</v>
      </c>
      <c r="EA2460" s="13" t="s">
        <v>1252</v>
      </c>
      <c r="EB2460" s="13" t="s">
        <v>1372</v>
      </c>
      <c r="EC2460" s="13" t="s">
        <v>1222</v>
      </c>
      <c r="ED2460" s="11">
        <v>0</v>
      </c>
      <c r="EE2460" s="11"/>
    </row>
    <row r="2461" spans="130:135" x14ac:dyDescent="0.2">
      <c r="DZ2461" s="5">
        <v>46143</v>
      </c>
      <c r="EA2461" s="13" t="s">
        <v>1252</v>
      </c>
      <c r="EB2461" s="13" t="s">
        <v>1378</v>
      </c>
      <c r="EC2461" s="13" t="s">
        <v>1222</v>
      </c>
      <c r="ED2461" s="11">
        <v>0</v>
      </c>
      <c r="EE2461" s="11"/>
    </row>
    <row r="2462" spans="130:135" x14ac:dyDescent="0.2">
      <c r="DZ2462" s="5">
        <v>46143</v>
      </c>
      <c r="EA2462" s="13" t="s">
        <v>1252</v>
      </c>
      <c r="EB2462" s="13" t="s">
        <v>1377</v>
      </c>
      <c r="EC2462" s="13" t="s">
        <v>1222</v>
      </c>
      <c r="ED2462" s="11">
        <v>0</v>
      </c>
      <c r="EE2462" s="11"/>
    </row>
    <row r="2463" spans="130:135" x14ac:dyDescent="0.2">
      <c r="DZ2463" s="5">
        <v>46143</v>
      </c>
      <c r="EA2463" s="13" t="s">
        <v>1252</v>
      </c>
      <c r="EB2463" s="13" t="s">
        <v>1359</v>
      </c>
      <c r="EC2463" s="13" t="s">
        <v>1222</v>
      </c>
      <c r="ED2463" s="11">
        <v>0</v>
      </c>
      <c r="EE2463" s="11"/>
    </row>
    <row r="2464" spans="130:135" x14ac:dyDescent="0.2">
      <c r="DZ2464" s="5">
        <v>46143</v>
      </c>
      <c r="EA2464" s="13" t="s">
        <v>1252</v>
      </c>
      <c r="EB2464" s="13" t="s">
        <v>1375</v>
      </c>
      <c r="EC2464" s="13" t="s">
        <v>1222</v>
      </c>
      <c r="ED2464" s="11">
        <v>0</v>
      </c>
      <c r="EE2464" s="11"/>
    </row>
    <row r="2465" spans="130:135" x14ac:dyDescent="0.2">
      <c r="DZ2465" s="5">
        <v>46143</v>
      </c>
      <c r="EA2465" s="13" t="s">
        <v>1252</v>
      </c>
      <c r="EB2465" s="13" t="s">
        <v>1376</v>
      </c>
      <c r="EC2465" s="13" t="s">
        <v>1222</v>
      </c>
      <c r="ED2465" s="11">
        <v>0</v>
      </c>
      <c r="EE2465" s="11"/>
    </row>
    <row r="2466" spans="130:135" x14ac:dyDescent="0.2">
      <c r="DZ2466" s="5">
        <v>46143</v>
      </c>
      <c r="EA2466" s="13" t="s">
        <v>1252</v>
      </c>
      <c r="EB2466" s="13" t="s">
        <v>1338</v>
      </c>
      <c r="EC2466" s="13" t="s">
        <v>1222</v>
      </c>
      <c r="ED2466" s="11">
        <v>0</v>
      </c>
      <c r="EE2466" s="11"/>
    </row>
    <row r="2467" spans="130:135" x14ac:dyDescent="0.2">
      <c r="DZ2467" s="5">
        <v>46143</v>
      </c>
      <c r="EA2467" s="13" t="s">
        <v>1252</v>
      </c>
      <c r="EB2467" s="13" t="s">
        <v>1340</v>
      </c>
      <c r="EC2467" s="13" t="s">
        <v>1222</v>
      </c>
      <c r="ED2467" s="11">
        <v>0</v>
      </c>
      <c r="EE2467" s="11"/>
    </row>
    <row r="2468" spans="130:135" x14ac:dyDescent="0.2">
      <c r="DZ2468" s="5">
        <v>46143</v>
      </c>
      <c r="EA2468" s="13" t="s">
        <v>1252</v>
      </c>
      <c r="EB2468" s="13" t="s">
        <v>1360</v>
      </c>
      <c r="EC2468" s="13" t="s">
        <v>1222</v>
      </c>
      <c r="ED2468" s="11">
        <v>0</v>
      </c>
      <c r="EE2468" s="11"/>
    </row>
    <row r="2469" spans="130:135" x14ac:dyDescent="0.2">
      <c r="DZ2469" s="5">
        <v>46143</v>
      </c>
      <c r="EA2469" s="13" t="s">
        <v>1252</v>
      </c>
      <c r="EB2469" s="13" t="s">
        <v>1339</v>
      </c>
      <c r="EC2469" s="13" t="s">
        <v>1222</v>
      </c>
      <c r="ED2469" s="11">
        <v>0</v>
      </c>
      <c r="EE2469" s="11"/>
    </row>
    <row r="2470" spans="130:135" x14ac:dyDescent="0.2">
      <c r="DZ2470" s="5">
        <v>46143</v>
      </c>
      <c r="EA2470" s="13" t="s">
        <v>1250</v>
      </c>
      <c r="EB2470" s="13" t="s">
        <v>1356</v>
      </c>
      <c r="EC2470" s="13" t="s">
        <v>1056</v>
      </c>
      <c r="ED2470" s="11">
        <v>0</v>
      </c>
      <c r="EE2470" s="11"/>
    </row>
    <row r="2471" spans="130:135" x14ac:dyDescent="0.2">
      <c r="DZ2471" s="5">
        <v>46143</v>
      </c>
      <c r="EA2471" s="13" t="s">
        <v>1251</v>
      </c>
      <c r="EB2471" s="13" t="s">
        <v>1337</v>
      </c>
      <c r="EC2471" s="13" t="s">
        <v>1056</v>
      </c>
      <c r="ED2471" s="11">
        <v>0</v>
      </c>
      <c r="EE2471" s="11"/>
    </row>
    <row r="2472" spans="130:135" x14ac:dyDescent="0.2">
      <c r="DZ2472" s="5">
        <v>46143</v>
      </c>
      <c r="EA2472" s="13" t="s">
        <v>1251</v>
      </c>
      <c r="EB2472" s="13" t="s">
        <v>1405</v>
      </c>
      <c r="EC2472" s="13" t="s">
        <v>1056</v>
      </c>
      <c r="ED2472" s="11">
        <v>0</v>
      </c>
      <c r="EE2472" s="11"/>
    </row>
    <row r="2473" spans="130:135" x14ac:dyDescent="0.2">
      <c r="DZ2473" s="5">
        <v>46143</v>
      </c>
      <c r="EA2473" s="13" t="s">
        <v>1250</v>
      </c>
      <c r="EB2473" s="13" t="s">
        <v>1358</v>
      </c>
      <c r="EC2473" s="13" t="s">
        <v>1056</v>
      </c>
      <c r="ED2473" s="11">
        <v>0</v>
      </c>
      <c r="EE2473" s="11"/>
    </row>
    <row r="2474" spans="130:135" x14ac:dyDescent="0.2">
      <c r="DZ2474" s="5">
        <v>46143</v>
      </c>
      <c r="EA2474" s="13" t="s">
        <v>1250</v>
      </c>
      <c r="EB2474" s="13" t="s">
        <v>1357</v>
      </c>
      <c r="EC2474" s="13" t="s">
        <v>1056</v>
      </c>
      <c r="ED2474" s="11">
        <v>0</v>
      </c>
      <c r="EE2474" s="11"/>
    </row>
    <row r="2475" spans="130:135" x14ac:dyDescent="0.2">
      <c r="DZ2475" s="5">
        <v>46143</v>
      </c>
      <c r="EA2475" s="13" t="s">
        <v>1251</v>
      </c>
      <c r="EB2475" s="13" t="s">
        <v>1341</v>
      </c>
      <c r="EC2475" s="13" t="s">
        <v>1148</v>
      </c>
      <c r="ED2475" s="11">
        <v>0</v>
      </c>
      <c r="EE2475" s="11"/>
    </row>
    <row r="2476" spans="130:135" x14ac:dyDescent="0.2">
      <c r="DZ2476" s="5">
        <v>46143</v>
      </c>
      <c r="EA2476" s="13" t="s">
        <v>1250</v>
      </c>
      <c r="EB2476" s="13" t="s">
        <v>1400</v>
      </c>
      <c r="EC2476" s="13" t="s">
        <v>1148</v>
      </c>
      <c r="ED2476" s="11">
        <v>0</v>
      </c>
      <c r="EE2476" s="11"/>
    </row>
    <row r="2477" spans="130:135" x14ac:dyDescent="0.2">
      <c r="DZ2477" s="5">
        <v>46143</v>
      </c>
      <c r="EA2477" s="13" t="s">
        <v>1251</v>
      </c>
      <c r="EB2477" s="13" t="s">
        <v>1346</v>
      </c>
      <c r="EC2477" s="13" t="s">
        <v>1208</v>
      </c>
      <c r="ED2477" s="11">
        <v>0</v>
      </c>
      <c r="EE2477" s="11"/>
    </row>
    <row r="2478" spans="130:135" x14ac:dyDescent="0.2">
      <c r="DZ2478" s="5">
        <v>46143</v>
      </c>
      <c r="EA2478" s="13" t="s">
        <v>1251</v>
      </c>
      <c r="EB2478" s="13" t="s">
        <v>1350</v>
      </c>
      <c r="EC2478" s="13" t="s">
        <v>1208</v>
      </c>
      <c r="ED2478" s="11">
        <v>0</v>
      </c>
      <c r="EE2478" s="11"/>
    </row>
    <row r="2479" spans="130:135" x14ac:dyDescent="0.2">
      <c r="DZ2479" s="5">
        <v>46143</v>
      </c>
      <c r="EA2479" s="13" t="s">
        <v>1251</v>
      </c>
      <c r="EB2479" s="13" t="s">
        <v>1382</v>
      </c>
      <c r="EC2479" s="13" t="s">
        <v>1208</v>
      </c>
      <c r="ED2479" s="11">
        <v>0</v>
      </c>
      <c r="EE2479" s="11"/>
    </row>
    <row r="2480" spans="130:135" x14ac:dyDescent="0.2">
      <c r="DZ2480" s="5">
        <v>46143</v>
      </c>
      <c r="EA2480" s="13" t="s">
        <v>1251</v>
      </c>
      <c r="EB2480" s="13" t="s">
        <v>1385</v>
      </c>
      <c r="EC2480" s="13" t="s">
        <v>1215</v>
      </c>
      <c r="ED2480" s="11"/>
      <c r="EE2480" s="11">
        <v>0</v>
      </c>
    </row>
    <row r="2481" spans="130:135" x14ac:dyDescent="0.2">
      <c r="DZ2481" s="5">
        <v>46143</v>
      </c>
      <c r="EA2481" s="13" t="s">
        <v>1251</v>
      </c>
      <c r="EB2481" s="13" t="s">
        <v>1383</v>
      </c>
      <c r="EC2481" s="13" t="s">
        <v>1215</v>
      </c>
      <c r="ED2481" s="11"/>
      <c r="EE2481" s="11">
        <v>0</v>
      </c>
    </row>
    <row r="2482" spans="130:135" x14ac:dyDescent="0.2">
      <c r="DZ2482" s="5">
        <v>46143</v>
      </c>
      <c r="EA2482" s="13" t="s">
        <v>1251</v>
      </c>
      <c r="EB2482" s="13" t="s">
        <v>1386</v>
      </c>
      <c r="EC2482" s="13" t="s">
        <v>1215</v>
      </c>
      <c r="ED2482" s="11"/>
      <c r="EE2482" s="11">
        <v>0</v>
      </c>
    </row>
    <row r="2483" spans="130:135" x14ac:dyDescent="0.2">
      <c r="DZ2483" s="5">
        <v>46143</v>
      </c>
      <c r="EA2483" s="13" t="s">
        <v>1251</v>
      </c>
      <c r="EB2483" s="13" t="s">
        <v>1354</v>
      </c>
      <c r="EC2483" s="13" t="s">
        <v>1215</v>
      </c>
      <c r="ED2483" s="11"/>
      <c r="EE2483" s="11">
        <v>0</v>
      </c>
    </row>
    <row r="2484" spans="130:135" x14ac:dyDescent="0.2">
      <c r="DZ2484" s="5">
        <v>46143</v>
      </c>
      <c r="EA2484" s="13" t="s">
        <v>1251</v>
      </c>
      <c r="EB2484" s="13" t="s">
        <v>1353</v>
      </c>
      <c r="EC2484" s="13" t="s">
        <v>1215</v>
      </c>
      <c r="ED2484" s="11"/>
      <c r="EE2484" s="11">
        <v>0</v>
      </c>
    </row>
    <row r="2485" spans="130:135" x14ac:dyDescent="0.2">
      <c r="DZ2485" s="5">
        <v>46143</v>
      </c>
      <c r="EA2485" s="13" t="s">
        <v>1251</v>
      </c>
      <c r="EB2485" s="13" t="s">
        <v>1384</v>
      </c>
      <c r="EC2485" s="13" t="s">
        <v>1217</v>
      </c>
      <c r="ED2485" s="11">
        <v>0</v>
      </c>
      <c r="EE2485" s="11"/>
    </row>
    <row r="2486" spans="130:135" x14ac:dyDescent="0.2">
      <c r="DZ2486" s="5">
        <v>46143</v>
      </c>
      <c r="EA2486" s="13" t="s">
        <v>1251</v>
      </c>
      <c r="EB2486" s="13" t="s">
        <v>1388</v>
      </c>
      <c r="EC2486" s="13" t="s">
        <v>1217</v>
      </c>
      <c r="ED2486" s="11">
        <v>0</v>
      </c>
      <c r="EE2486" s="11"/>
    </row>
    <row r="2487" spans="130:135" x14ac:dyDescent="0.2">
      <c r="DZ2487" s="5">
        <v>46143</v>
      </c>
      <c r="EA2487" s="13" t="s">
        <v>1251</v>
      </c>
      <c r="EB2487" s="13" t="s">
        <v>1387</v>
      </c>
      <c r="EC2487" s="13" t="s">
        <v>1217</v>
      </c>
      <c r="ED2487" s="11">
        <v>0</v>
      </c>
      <c r="EE2487" s="11"/>
    </row>
    <row r="2488" spans="130:135" x14ac:dyDescent="0.2">
      <c r="DZ2488" s="5">
        <v>46143</v>
      </c>
      <c r="EA2488" s="13" t="s">
        <v>1251</v>
      </c>
      <c r="EB2488" s="13" t="s">
        <v>1409</v>
      </c>
      <c r="EC2488" s="13" t="s">
        <v>1217</v>
      </c>
      <c r="ED2488" s="11">
        <v>0</v>
      </c>
      <c r="EE2488" s="11"/>
    </row>
    <row r="2489" spans="130:135" x14ac:dyDescent="0.2">
      <c r="DZ2489" s="5">
        <v>46143</v>
      </c>
      <c r="EA2489" s="13" t="s">
        <v>1251</v>
      </c>
      <c r="EB2489" s="13" t="s">
        <v>1410</v>
      </c>
      <c r="EC2489" s="13" t="s">
        <v>1217</v>
      </c>
      <c r="ED2489" s="11">
        <v>0</v>
      </c>
      <c r="EE2489" s="11"/>
    </row>
    <row r="2490" spans="130:135" x14ac:dyDescent="0.2">
      <c r="DZ2490" s="5">
        <v>46143</v>
      </c>
      <c r="EA2490" s="13" t="s">
        <v>1253</v>
      </c>
      <c r="EB2490" s="13" t="s">
        <v>1379</v>
      </c>
      <c r="EC2490" s="13" t="s">
        <v>1084</v>
      </c>
      <c r="ED2490" s="11"/>
      <c r="EE2490" s="11">
        <v>0</v>
      </c>
    </row>
    <row r="2491" spans="130:135" x14ac:dyDescent="0.2">
      <c r="DZ2491" s="5">
        <v>46143</v>
      </c>
      <c r="EA2491" s="13" t="s">
        <v>1253</v>
      </c>
      <c r="EB2491" s="13" t="s">
        <v>1336</v>
      </c>
      <c r="EC2491" s="13" t="s">
        <v>1084</v>
      </c>
      <c r="ED2491" s="11"/>
      <c r="EE2491" s="11">
        <v>0</v>
      </c>
    </row>
    <row r="2492" spans="130:135" x14ac:dyDescent="0.2">
      <c r="DZ2492" s="5">
        <v>46143</v>
      </c>
      <c r="EA2492" s="13" t="s">
        <v>1253</v>
      </c>
      <c r="EB2492" s="13" t="s">
        <v>1380</v>
      </c>
      <c r="EC2492" s="13" t="s">
        <v>1084</v>
      </c>
      <c r="ED2492" s="11"/>
      <c r="EE2492" s="11">
        <v>0</v>
      </c>
    </row>
    <row r="2493" spans="130:135" x14ac:dyDescent="0.2">
      <c r="DZ2493" s="5">
        <v>46143</v>
      </c>
      <c r="EA2493" s="13" t="s">
        <v>1253</v>
      </c>
      <c r="EB2493" s="13" t="s">
        <v>1381</v>
      </c>
      <c r="EC2493" s="13" t="s">
        <v>1084</v>
      </c>
      <c r="ED2493" s="11"/>
      <c r="EE2493" s="11">
        <v>0</v>
      </c>
    </row>
    <row r="2494" spans="130:135" x14ac:dyDescent="0.2">
      <c r="DZ2494" s="5">
        <v>46143</v>
      </c>
      <c r="EA2494" s="13" t="s">
        <v>1253</v>
      </c>
      <c r="EB2494" s="13" t="s">
        <v>1335</v>
      </c>
      <c r="EC2494" s="13" t="s">
        <v>1084</v>
      </c>
      <c r="ED2494" s="11"/>
      <c r="EE2494" s="11">
        <v>0</v>
      </c>
    </row>
    <row r="2495" spans="130:135" x14ac:dyDescent="0.2">
      <c r="DZ2495" s="5">
        <v>46143</v>
      </c>
      <c r="EA2495" s="13" t="s">
        <v>1251</v>
      </c>
      <c r="EB2495" s="13" t="s">
        <v>1337</v>
      </c>
      <c r="EC2495" s="13" t="s">
        <v>1114</v>
      </c>
      <c r="ED2495" s="11">
        <v>0</v>
      </c>
      <c r="EE2495" s="11"/>
    </row>
    <row r="2496" spans="130:135" x14ac:dyDescent="0.2">
      <c r="DZ2496" s="5">
        <v>46143</v>
      </c>
      <c r="EA2496" s="13" t="s">
        <v>1250</v>
      </c>
      <c r="EB2496" s="13" t="s">
        <v>1357</v>
      </c>
      <c r="EC2496" s="13" t="s">
        <v>1114</v>
      </c>
      <c r="ED2496" s="11">
        <v>0</v>
      </c>
      <c r="EE2496" s="11"/>
    </row>
    <row r="2497" spans="130:135" x14ac:dyDescent="0.2">
      <c r="DZ2497" s="5">
        <v>46143</v>
      </c>
      <c r="EA2497" s="13" t="s">
        <v>1251</v>
      </c>
      <c r="EB2497" s="13" t="s">
        <v>1405</v>
      </c>
      <c r="EC2497" s="13" t="s">
        <v>1114</v>
      </c>
      <c r="ED2497" s="11">
        <v>0</v>
      </c>
      <c r="EE2497" s="11"/>
    </row>
    <row r="2498" spans="130:135" x14ac:dyDescent="0.2">
      <c r="DZ2498" s="5">
        <v>46143</v>
      </c>
      <c r="EA2498" s="13" t="s">
        <v>1250</v>
      </c>
      <c r="EB2498" s="13" t="s">
        <v>1358</v>
      </c>
      <c r="EC2498" s="13" t="s">
        <v>1114</v>
      </c>
      <c r="ED2498" s="11">
        <v>0</v>
      </c>
      <c r="EE2498" s="11"/>
    </row>
    <row r="2499" spans="130:135" x14ac:dyDescent="0.2">
      <c r="DZ2499" s="5">
        <v>46143</v>
      </c>
      <c r="EA2499" s="13" t="s">
        <v>1250</v>
      </c>
      <c r="EB2499" s="13" t="s">
        <v>1356</v>
      </c>
      <c r="EC2499" s="13" t="s">
        <v>1114</v>
      </c>
      <c r="ED2499" s="11">
        <v>0</v>
      </c>
      <c r="EE2499" s="11"/>
    </row>
    <row r="2500" spans="130:135" x14ac:dyDescent="0.2">
      <c r="DZ2500" s="5">
        <v>46143</v>
      </c>
      <c r="EA2500" s="13" t="s">
        <v>1250</v>
      </c>
      <c r="EB2500" s="13" t="s">
        <v>1417</v>
      </c>
      <c r="EC2500" s="13" t="s">
        <v>1156</v>
      </c>
      <c r="ED2500" s="11">
        <v>0</v>
      </c>
      <c r="EE2500" s="11"/>
    </row>
    <row r="2501" spans="130:135" x14ac:dyDescent="0.2">
      <c r="DZ2501" s="5">
        <v>46143</v>
      </c>
      <c r="EA2501" s="13" t="s">
        <v>1250</v>
      </c>
      <c r="EB2501" s="13" t="s">
        <v>1369</v>
      </c>
      <c r="EC2501" s="13" t="s">
        <v>1150</v>
      </c>
      <c r="ED2501" s="11">
        <v>0</v>
      </c>
      <c r="EE2501" s="11"/>
    </row>
    <row r="2502" spans="130:135" x14ac:dyDescent="0.2">
      <c r="DZ2502" s="5">
        <v>46143</v>
      </c>
      <c r="EA2502" s="13" t="s">
        <v>1250</v>
      </c>
      <c r="EB2502" s="13" t="s">
        <v>1370</v>
      </c>
      <c r="EC2502" s="13" t="s">
        <v>1150</v>
      </c>
      <c r="ED2502" s="11">
        <v>0</v>
      </c>
      <c r="EE2502" s="11"/>
    </row>
    <row r="2503" spans="130:135" x14ac:dyDescent="0.2">
      <c r="DZ2503" s="5">
        <v>46143</v>
      </c>
      <c r="EA2503" s="13" t="s">
        <v>1250</v>
      </c>
      <c r="EB2503" s="13" t="s">
        <v>1335</v>
      </c>
      <c r="EC2503" s="13" t="s">
        <v>1144</v>
      </c>
      <c r="ED2503" s="11">
        <v>0</v>
      </c>
      <c r="EE2503" s="11"/>
    </row>
    <row r="2504" spans="130:135" x14ac:dyDescent="0.2">
      <c r="DZ2504" s="5">
        <v>46143</v>
      </c>
      <c r="EA2504" s="13" t="s">
        <v>1250</v>
      </c>
      <c r="EB2504" s="13" t="s">
        <v>1416</v>
      </c>
      <c r="EC2504" s="13" t="s">
        <v>1144</v>
      </c>
      <c r="ED2504" s="11">
        <v>0</v>
      </c>
      <c r="EE2504" s="11"/>
    </row>
    <row r="2505" spans="130:135" x14ac:dyDescent="0.2">
      <c r="DZ2505" s="5">
        <v>46143</v>
      </c>
      <c r="EA2505" s="13" t="s">
        <v>1250</v>
      </c>
      <c r="EB2505" s="13" t="s">
        <v>1399</v>
      </c>
      <c r="EC2505" s="13" t="s">
        <v>1144</v>
      </c>
      <c r="ED2505" s="11">
        <v>0</v>
      </c>
      <c r="EE2505" s="11"/>
    </row>
    <row r="2506" spans="130:135" x14ac:dyDescent="0.2">
      <c r="DZ2506" s="5">
        <v>46143</v>
      </c>
      <c r="EA2506" s="13" t="s">
        <v>1250</v>
      </c>
      <c r="EB2506" s="13" t="s">
        <v>1733</v>
      </c>
      <c r="EC2506" s="13" t="s">
        <v>1146</v>
      </c>
      <c r="ED2506" s="11">
        <v>0</v>
      </c>
      <c r="EE2506" s="11"/>
    </row>
    <row r="2507" spans="130:135" x14ac:dyDescent="0.2">
      <c r="DZ2507" s="5">
        <v>46143</v>
      </c>
      <c r="EA2507" s="13" t="s">
        <v>1251</v>
      </c>
      <c r="EB2507" s="13" t="s">
        <v>1345</v>
      </c>
      <c r="EC2507" s="13" t="s">
        <v>1146</v>
      </c>
      <c r="ED2507" s="11">
        <v>0</v>
      </c>
      <c r="EE2507" s="11"/>
    </row>
    <row r="2508" spans="130:135" x14ac:dyDescent="0.2">
      <c r="DZ2508" s="5">
        <v>46143</v>
      </c>
      <c r="EA2508" s="13" t="s">
        <v>1250</v>
      </c>
      <c r="EB2508" s="13" t="s">
        <v>1368</v>
      </c>
      <c r="EC2508" s="13" t="s">
        <v>1146</v>
      </c>
      <c r="ED2508" s="11">
        <v>0</v>
      </c>
      <c r="EE2508" s="11"/>
    </row>
    <row r="2509" spans="130:135" x14ac:dyDescent="0.2">
      <c r="DZ2509" s="5">
        <v>46143</v>
      </c>
      <c r="EA2509" s="13" t="s">
        <v>1251</v>
      </c>
      <c r="EB2509" s="13" t="s">
        <v>1349</v>
      </c>
      <c r="EC2509" s="13" t="s">
        <v>1146</v>
      </c>
      <c r="ED2509" s="11">
        <v>0</v>
      </c>
      <c r="EE2509" s="11"/>
    </row>
    <row r="2510" spans="130:135" x14ac:dyDescent="0.2">
      <c r="DZ2510" s="5">
        <v>46143</v>
      </c>
      <c r="EA2510" s="13" t="s">
        <v>1250</v>
      </c>
      <c r="EB2510" s="13" t="s">
        <v>1732</v>
      </c>
      <c r="EC2510" s="13" t="s">
        <v>1146</v>
      </c>
      <c r="ED2510" s="11">
        <v>0</v>
      </c>
      <c r="EE2510" s="11"/>
    </row>
    <row r="2511" spans="130:135" x14ac:dyDescent="0.2">
      <c r="DZ2511" s="5">
        <v>46143</v>
      </c>
      <c r="EA2511" s="13" t="s">
        <v>1250</v>
      </c>
      <c r="EB2511" s="13" t="s">
        <v>1367</v>
      </c>
      <c r="EC2511" s="13" t="s">
        <v>1146</v>
      </c>
      <c r="ED2511" s="11">
        <v>0</v>
      </c>
      <c r="EE2511" s="11"/>
    </row>
    <row r="2512" spans="130:135" x14ac:dyDescent="0.2">
      <c r="DZ2512" s="5">
        <v>46143</v>
      </c>
      <c r="EA2512" s="13" t="s">
        <v>1251</v>
      </c>
      <c r="EB2512" s="13" t="s">
        <v>1405</v>
      </c>
      <c r="EC2512" s="13" t="s">
        <v>1108</v>
      </c>
      <c r="ED2512" s="11">
        <v>0</v>
      </c>
      <c r="EE2512" s="11"/>
    </row>
    <row r="2513" spans="130:135" x14ac:dyDescent="0.2">
      <c r="DZ2513" s="5">
        <v>46143</v>
      </c>
      <c r="EA2513" s="13" t="s">
        <v>1251</v>
      </c>
      <c r="EB2513" s="13" t="s">
        <v>1337</v>
      </c>
      <c r="EC2513" s="13" t="s">
        <v>1108</v>
      </c>
      <c r="ED2513" s="11">
        <v>0</v>
      </c>
      <c r="EE2513" s="11"/>
    </row>
    <row r="2514" spans="130:135" x14ac:dyDescent="0.2">
      <c r="DZ2514" s="5">
        <v>46143</v>
      </c>
      <c r="EA2514" s="13" t="s">
        <v>1250</v>
      </c>
      <c r="EB2514" s="13" t="s">
        <v>1356</v>
      </c>
      <c r="EC2514" s="13" t="s">
        <v>1108</v>
      </c>
      <c r="ED2514" s="11">
        <v>0</v>
      </c>
      <c r="EE2514" s="11"/>
    </row>
    <row r="2515" spans="130:135" x14ac:dyDescent="0.2">
      <c r="DZ2515" s="5">
        <v>46143</v>
      </c>
      <c r="EA2515" s="13" t="s">
        <v>1250</v>
      </c>
      <c r="EB2515" s="13" t="s">
        <v>1357</v>
      </c>
      <c r="EC2515" s="13" t="s">
        <v>1108</v>
      </c>
      <c r="ED2515" s="11">
        <v>0</v>
      </c>
      <c r="EE2515" s="11"/>
    </row>
    <row r="2516" spans="130:135" x14ac:dyDescent="0.2">
      <c r="DZ2516" s="5">
        <v>46143</v>
      </c>
      <c r="EA2516" s="13" t="s">
        <v>1250</v>
      </c>
      <c r="EB2516" s="13" t="s">
        <v>1358</v>
      </c>
      <c r="EC2516" s="13" t="s">
        <v>1108</v>
      </c>
      <c r="ED2516" s="11">
        <v>0</v>
      </c>
      <c r="EE2516" s="11"/>
    </row>
    <row r="2517" spans="130:135" x14ac:dyDescent="0.2">
      <c r="DZ2517" s="5">
        <v>46143</v>
      </c>
      <c r="EA2517" s="13" t="s">
        <v>1251</v>
      </c>
      <c r="EB2517" s="13" t="s">
        <v>1343</v>
      </c>
      <c r="EC2517" s="13" t="s">
        <v>1206</v>
      </c>
      <c r="ED2517" s="11"/>
      <c r="EE2517" s="11">
        <v>0</v>
      </c>
    </row>
    <row r="2518" spans="130:135" x14ac:dyDescent="0.2">
      <c r="DZ2518" s="5">
        <v>46143</v>
      </c>
      <c r="EA2518" s="13" t="s">
        <v>1251</v>
      </c>
      <c r="EB2518" s="13" t="s">
        <v>1407</v>
      </c>
      <c r="EC2518" s="13" t="s">
        <v>1206</v>
      </c>
      <c r="ED2518" s="11"/>
      <c r="EE2518" s="11">
        <v>0</v>
      </c>
    </row>
    <row r="2519" spans="130:135" x14ac:dyDescent="0.2">
      <c r="DZ2519" s="5">
        <v>46143</v>
      </c>
      <c r="EA2519" s="13" t="s">
        <v>1251</v>
      </c>
      <c r="EB2519" s="13" t="s">
        <v>1408</v>
      </c>
      <c r="EC2519" s="13" t="s">
        <v>1206</v>
      </c>
      <c r="ED2519" s="11"/>
      <c r="EE2519" s="11">
        <v>0</v>
      </c>
    </row>
    <row r="2520" spans="130:135" x14ac:dyDescent="0.2">
      <c r="DZ2520" s="5">
        <v>46143</v>
      </c>
      <c r="EA2520" s="13" t="s">
        <v>1251</v>
      </c>
      <c r="EB2520" s="13" t="s">
        <v>1347</v>
      </c>
      <c r="EC2520" s="13" t="s">
        <v>1206</v>
      </c>
      <c r="ED2520" s="11"/>
      <c r="EE2520" s="11">
        <v>0</v>
      </c>
    </row>
    <row r="2521" spans="130:135" x14ac:dyDescent="0.2">
      <c r="DZ2521" s="5">
        <v>46143</v>
      </c>
      <c r="EA2521" s="13" t="s">
        <v>1251</v>
      </c>
      <c r="EB2521" s="13" t="s">
        <v>1335</v>
      </c>
      <c r="EC2521" s="13" t="s">
        <v>1206</v>
      </c>
      <c r="ED2521" s="11"/>
      <c r="EE2521" s="11">
        <v>0</v>
      </c>
    </row>
    <row r="2522" spans="130:135" x14ac:dyDescent="0.2">
      <c r="DZ2522" s="5">
        <v>46143</v>
      </c>
      <c r="EA2522" s="13" t="s">
        <v>1251</v>
      </c>
      <c r="EB2522" s="13" t="s">
        <v>1348</v>
      </c>
      <c r="EC2522" s="13" t="s">
        <v>1206</v>
      </c>
      <c r="ED2522" s="11"/>
      <c r="EE2522" s="11">
        <v>0</v>
      </c>
    </row>
    <row r="2523" spans="130:135" x14ac:dyDescent="0.2">
      <c r="DZ2523" s="5">
        <v>46143</v>
      </c>
      <c r="EA2523" s="13" t="s">
        <v>1251</v>
      </c>
      <c r="EB2523" s="13" t="s">
        <v>1344</v>
      </c>
      <c r="EC2523" s="13" t="s">
        <v>1206</v>
      </c>
      <c r="ED2523" s="11"/>
      <c r="EE2523" s="11">
        <v>0</v>
      </c>
    </row>
    <row r="2524" spans="130:135" x14ac:dyDescent="0.2">
      <c r="DZ2524" s="5">
        <v>46143</v>
      </c>
      <c r="EA2524" s="13" t="s">
        <v>1250</v>
      </c>
      <c r="EB2524" s="13" t="s">
        <v>1358</v>
      </c>
      <c r="EC2524" s="13" t="s">
        <v>1058</v>
      </c>
      <c r="ED2524" s="11">
        <v>0</v>
      </c>
      <c r="EE2524" s="11"/>
    </row>
    <row r="2525" spans="130:135" x14ac:dyDescent="0.2">
      <c r="DZ2525" s="5">
        <v>46143</v>
      </c>
      <c r="EA2525" s="13" t="s">
        <v>1251</v>
      </c>
      <c r="EB2525" s="13" t="s">
        <v>1337</v>
      </c>
      <c r="EC2525" s="13" t="s">
        <v>1058</v>
      </c>
      <c r="ED2525" s="11">
        <v>0</v>
      </c>
      <c r="EE2525" s="11"/>
    </row>
    <row r="2526" spans="130:135" x14ac:dyDescent="0.2">
      <c r="DZ2526" s="5">
        <v>46143</v>
      </c>
      <c r="EA2526" s="13" t="s">
        <v>1250</v>
      </c>
      <c r="EB2526" s="13" t="s">
        <v>1357</v>
      </c>
      <c r="EC2526" s="13" t="s">
        <v>1058</v>
      </c>
      <c r="ED2526" s="11">
        <v>0</v>
      </c>
      <c r="EE2526" s="11"/>
    </row>
    <row r="2527" spans="130:135" x14ac:dyDescent="0.2">
      <c r="DZ2527" s="5">
        <v>46143</v>
      </c>
      <c r="EA2527" s="13" t="s">
        <v>1250</v>
      </c>
      <c r="EB2527" s="13" t="s">
        <v>1356</v>
      </c>
      <c r="EC2527" s="13" t="s">
        <v>1058</v>
      </c>
      <c r="ED2527" s="11">
        <v>0</v>
      </c>
      <c r="EE2527" s="11"/>
    </row>
    <row r="2528" spans="130:135" x14ac:dyDescent="0.2">
      <c r="DZ2528" s="5">
        <v>46143</v>
      </c>
      <c r="EA2528" s="13" t="s">
        <v>1251</v>
      </c>
      <c r="EB2528" s="13" t="s">
        <v>1405</v>
      </c>
      <c r="EC2528" s="13" t="s">
        <v>1058</v>
      </c>
      <c r="ED2528" s="11">
        <v>0</v>
      </c>
      <c r="EE2528" s="11"/>
    </row>
    <row r="2529" spans="130:135" x14ac:dyDescent="0.2">
      <c r="DZ2529" s="5">
        <v>46143</v>
      </c>
      <c r="EA2529" s="13" t="s">
        <v>1250</v>
      </c>
      <c r="EB2529" s="13" t="s">
        <v>1364</v>
      </c>
      <c r="EC2529" s="13" t="s">
        <v>1170</v>
      </c>
      <c r="ED2529" s="11">
        <v>0</v>
      </c>
      <c r="EE2529" s="11"/>
    </row>
    <row r="2530" spans="130:135" x14ac:dyDescent="0.2">
      <c r="DZ2530" s="5">
        <v>46143</v>
      </c>
      <c r="EA2530" s="13" t="s">
        <v>1250</v>
      </c>
      <c r="EB2530" s="13" t="s">
        <v>1365</v>
      </c>
      <c r="EC2530" s="13" t="s">
        <v>1170</v>
      </c>
      <c r="ED2530" s="11">
        <v>0</v>
      </c>
      <c r="EE2530" s="11"/>
    </row>
    <row r="2531" spans="130:135" x14ac:dyDescent="0.2">
      <c r="DZ2531" s="5">
        <v>46143</v>
      </c>
      <c r="EA2531" s="13" t="s">
        <v>1250</v>
      </c>
      <c r="EB2531" s="13" t="s">
        <v>1389</v>
      </c>
      <c r="EC2531" s="13" t="s">
        <v>1170</v>
      </c>
      <c r="ED2531" s="11">
        <v>0</v>
      </c>
      <c r="EE2531" s="11"/>
    </row>
    <row r="2532" spans="130:135" x14ac:dyDescent="0.2">
      <c r="DZ2532" s="5">
        <v>46143</v>
      </c>
      <c r="EA2532" s="13" t="s">
        <v>1250</v>
      </c>
      <c r="EB2532" s="13" t="s">
        <v>1394</v>
      </c>
      <c r="EC2532" s="13" t="s">
        <v>1170</v>
      </c>
      <c r="ED2532" s="11">
        <v>0</v>
      </c>
      <c r="EE2532" s="11"/>
    </row>
    <row r="2533" spans="130:135" x14ac:dyDescent="0.2">
      <c r="DZ2533" s="5">
        <v>46143</v>
      </c>
      <c r="EA2533" s="13" t="s">
        <v>1250</v>
      </c>
      <c r="EB2533" s="13" t="s">
        <v>1412</v>
      </c>
      <c r="EC2533" s="13" t="s">
        <v>1170</v>
      </c>
      <c r="ED2533" s="11">
        <v>0</v>
      </c>
      <c r="EE2533" s="11"/>
    </row>
  </sheetData>
  <phoneticPr fontId="49" type="noConversion"/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1CD79-198E-46B3-B478-4BF6F0E5B5B5}">
  <dimension ref="B2:FN6"/>
  <sheetViews>
    <sheetView workbookViewId="0">
      <selection activeCell="DN6" sqref="DN6"/>
    </sheetView>
  </sheetViews>
  <sheetFormatPr defaultRowHeight="12" x14ac:dyDescent="0.2"/>
  <cols>
    <col min="2" max="2" width="6.83203125" bestFit="1" customWidth="1"/>
    <col min="3" max="3" width="13.33203125" bestFit="1" customWidth="1"/>
    <col min="4" max="4" width="11.5" bestFit="1" customWidth="1"/>
    <col min="5" max="5" width="11.6640625" bestFit="1" customWidth="1"/>
    <col min="6" max="6" width="8.33203125" bestFit="1" customWidth="1"/>
    <col min="8" max="8" width="6.83203125" bestFit="1" customWidth="1"/>
    <col min="9" max="9" width="9" bestFit="1" customWidth="1"/>
    <col min="10" max="10" width="27.5" bestFit="1" customWidth="1"/>
    <col min="11" max="11" width="21.6640625" bestFit="1" customWidth="1"/>
    <col min="12" max="12" width="18.83203125" bestFit="1" customWidth="1"/>
    <col min="13" max="13" width="13.33203125" bestFit="1" customWidth="1"/>
    <col min="14" max="14" width="11.5" bestFit="1" customWidth="1"/>
    <col min="15" max="15" width="16.6640625" bestFit="1" customWidth="1"/>
    <col min="16" max="16" width="11.6640625" bestFit="1" customWidth="1"/>
    <col min="17" max="17" width="18.1640625" bestFit="1" customWidth="1"/>
    <col min="18" max="18" width="13.33203125" bestFit="1" customWidth="1"/>
    <col min="19" max="19" width="8.33203125" bestFit="1" customWidth="1"/>
    <col min="20" max="20" width="12.83203125" bestFit="1" customWidth="1"/>
    <col min="21" max="21" width="32.1640625" bestFit="1" customWidth="1"/>
    <col min="22" max="22" width="29.5" bestFit="1" customWidth="1"/>
    <col min="23" max="23" width="20.33203125" bestFit="1" customWidth="1"/>
    <col min="24" max="24" width="13.6640625" bestFit="1" customWidth="1"/>
    <col min="25" max="25" width="22" bestFit="1" customWidth="1"/>
    <col min="26" max="26" width="16.6640625" bestFit="1" customWidth="1"/>
    <col min="27" max="27" width="20.1640625" bestFit="1" customWidth="1"/>
    <col min="28" max="28" width="20.33203125" bestFit="1" customWidth="1"/>
    <col min="29" max="29" width="14.33203125" bestFit="1" customWidth="1"/>
    <col min="31" max="31" width="9.1640625" bestFit="1" customWidth="1"/>
    <col min="32" max="32" width="9" bestFit="1" customWidth="1"/>
    <col min="33" max="33" width="27.5" bestFit="1" customWidth="1"/>
    <col min="34" max="34" width="21.6640625" bestFit="1" customWidth="1"/>
    <col min="35" max="35" width="18.83203125" bestFit="1" customWidth="1"/>
    <col min="36" max="36" width="13.33203125" bestFit="1" customWidth="1"/>
    <col min="37" max="37" width="11.5" bestFit="1" customWidth="1"/>
    <col min="38" max="38" width="16.6640625" bestFit="1" customWidth="1"/>
    <col min="39" max="39" width="11.6640625" bestFit="1" customWidth="1"/>
    <col min="40" max="40" width="18.1640625" bestFit="1" customWidth="1"/>
    <col min="41" max="41" width="13.33203125" bestFit="1" customWidth="1"/>
    <col min="42" max="42" width="8.33203125" bestFit="1" customWidth="1"/>
    <col min="43" max="43" width="12.83203125" bestFit="1" customWidth="1"/>
    <col min="44" max="44" width="32.1640625" bestFit="1" customWidth="1"/>
    <col min="45" max="45" width="29.5" bestFit="1" customWidth="1"/>
    <col min="46" max="46" width="20.33203125" bestFit="1" customWidth="1"/>
    <col min="47" max="47" width="13.6640625" bestFit="1" customWidth="1"/>
    <col min="48" max="48" width="22" bestFit="1" customWidth="1"/>
    <col min="49" max="49" width="16.6640625" bestFit="1" customWidth="1"/>
    <col min="50" max="50" width="20.1640625" bestFit="1" customWidth="1"/>
    <col min="51" max="51" width="20.33203125" bestFit="1" customWidth="1"/>
    <col min="52" max="52" width="14.33203125" bestFit="1" customWidth="1"/>
    <col min="54" max="54" width="6.83203125" bestFit="1" customWidth="1"/>
    <col min="55" max="55" width="21.1640625" bestFit="1" customWidth="1"/>
    <col min="56" max="56" width="17.6640625" bestFit="1" customWidth="1"/>
    <col min="57" max="57" width="20.5" bestFit="1" customWidth="1"/>
    <col min="58" max="58" width="30.5" bestFit="1" customWidth="1"/>
    <col min="59" max="59" width="29.1640625" bestFit="1" customWidth="1"/>
    <col min="60" max="60" width="22.5" bestFit="1" customWidth="1"/>
    <col min="61" max="61" width="17" bestFit="1" customWidth="1"/>
    <col min="62" max="62" width="13.5" bestFit="1" customWidth="1"/>
    <col min="63" max="63" width="16.33203125" bestFit="1" customWidth="1"/>
    <col min="64" max="64" width="26.33203125" bestFit="1" customWidth="1"/>
    <col min="65" max="65" width="25" bestFit="1" customWidth="1"/>
    <col min="66" max="66" width="18.33203125" bestFit="1" customWidth="1"/>
    <col min="67" max="67" width="21.1640625" bestFit="1" customWidth="1"/>
    <col min="68" max="68" width="17.6640625" bestFit="1" customWidth="1"/>
    <col min="69" max="69" width="20.5" bestFit="1" customWidth="1"/>
    <col min="70" max="70" width="30.5" bestFit="1" customWidth="1"/>
    <col min="71" max="71" width="29.1640625" bestFit="1" customWidth="1"/>
    <col min="72" max="72" width="22.5" bestFit="1" customWidth="1"/>
    <col min="73" max="73" width="14.33203125" bestFit="1" customWidth="1"/>
    <col min="75" max="75" width="9.1640625" bestFit="1" customWidth="1"/>
    <col min="76" max="76" width="21.1640625" bestFit="1" customWidth="1"/>
    <col min="77" max="77" width="17.6640625" bestFit="1" customWidth="1"/>
    <col min="78" max="78" width="20.5" bestFit="1" customWidth="1"/>
    <col min="79" max="79" width="30.5" bestFit="1" customWidth="1"/>
    <col min="80" max="80" width="29.1640625" bestFit="1" customWidth="1"/>
    <col min="81" max="81" width="22.5" bestFit="1" customWidth="1"/>
    <col min="82" max="82" width="17" bestFit="1" customWidth="1"/>
    <col min="83" max="83" width="13.5" bestFit="1" customWidth="1"/>
    <col min="84" max="84" width="16.33203125" bestFit="1" customWidth="1"/>
    <col min="85" max="85" width="26.33203125" bestFit="1" customWidth="1"/>
    <col min="86" max="86" width="25" bestFit="1" customWidth="1"/>
    <col min="87" max="87" width="18.33203125" bestFit="1" customWidth="1"/>
    <col min="88" max="88" width="21.1640625" bestFit="1" customWidth="1"/>
    <col min="89" max="89" width="17.6640625" bestFit="1" customWidth="1"/>
    <col min="90" max="90" width="20.5" bestFit="1" customWidth="1"/>
    <col min="91" max="91" width="30.5" bestFit="1" customWidth="1"/>
    <col min="92" max="92" width="29.1640625" bestFit="1" customWidth="1"/>
    <col min="93" max="93" width="22.5" bestFit="1" customWidth="1"/>
    <col min="94" max="94" width="14.33203125" bestFit="1" customWidth="1"/>
    <col min="96" max="96" width="6.83203125" bestFit="1" customWidth="1"/>
    <col min="97" max="97" width="21.83203125" bestFit="1" customWidth="1"/>
    <col min="98" max="98" width="22.1640625" bestFit="1" customWidth="1"/>
    <col min="99" max="99" width="22.83203125" bestFit="1" customWidth="1"/>
    <col min="100" max="100" width="14.33203125" bestFit="1" customWidth="1"/>
    <col min="102" max="102" width="9.1640625" bestFit="1" customWidth="1"/>
    <col min="103" max="103" width="21.83203125" bestFit="1" customWidth="1"/>
    <col min="104" max="104" width="22.1640625" bestFit="1" customWidth="1"/>
    <col min="105" max="105" width="22.83203125" bestFit="1" customWidth="1"/>
    <col min="106" max="106" width="14.33203125" bestFit="1" customWidth="1"/>
    <col min="108" max="108" width="6.83203125" bestFit="1" customWidth="1"/>
    <col min="109" max="109" width="7.33203125" bestFit="1" customWidth="1"/>
    <col min="110" max="110" width="13.6640625" bestFit="1" customWidth="1"/>
    <col min="111" max="111" width="8.5" bestFit="1" customWidth="1"/>
    <col min="112" max="112" width="14.33203125" bestFit="1" customWidth="1"/>
    <col min="114" max="114" width="9.1640625" bestFit="1" customWidth="1"/>
    <col min="115" max="115" width="7.33203125" bestFit="1" customWidth="1"/>
    <col min="116" max="116" width="13.6640625" bestFit="1" customWidth="1"/>
    <col min="117" max="117" width="8.5" bestFit="1" customWidth="1"/>
    <col min="118" max="118" width="14.33203125" bestFit="1" customWidth="1"/>
    <col min="120" max="120" width="6.83203125" bestFit="1" customWidth="1"/>
    <col min="121" max="121" width="17.6640625" bestFit="1" customWidth="1"/>
    <col min="122" max="122" width="8.6640625" bestFit="1" customWidth="1"/>
    <col min="123" max="123" width="8.33203125" bestFit="1" customWidth="1"/>
    <col min="124" max="124" width="13.6640625" bestFit="1" customWidth="1"/>
    <col min="125" max="125" width="14.33203125" bestFit="1" customWidth="1"/>
    <col min="127" max="127" width="9.1640625" bestFit="1" customWidth="1"/>
    <col min="128" max="128" width="17.6640625" bestFit="1" customWidth="1"/>
    <col min="129" max="129" width="8.6640625" bestFit="1" customWidth="1"/>
    <col min="130" max="130" width="8.33203125" bestFit="1" customWidth="1"/>
    <col min="131" max="131" width="13.6640625" bestFit="1" customWidth="1"/>
    <col min="132" max="132" width="14.33203125" bestFit="1" customWidth="1"/>
    <col min="134" max="134" width="6.83203125" bestFit="1" customWidth="1"/>
    <col min="135" max="135" width="10.1640625" bestFit="1" customWidth="1"/>
    <col min="136" max="136" width="11.6640625" bestFit="1" customWidth="1"/>
    <col min="137" max="137" width="9" bestFit="1" customWidth="1"/>
    <col min="138" max="138" width="21.6640625" bestFit="1" customWidth="1"/>
    <col min="139" max="139" width="20.33203125" bestFit="1" customWidth="1"/>
    <col min="140" max="140" width="13.6640625" bestFit="1" customWidth="1"/>
    <col min="142" max="142" width="6.83203125" bestFit="1" customWidth="1"/>
    <col min="143" max="143" width="16.6640625" bestFit="1" customWidth="1"/>
    <col min="144" max="144" width="10.6640625" bestFit="1" customWidth="1"/>
    <col min="145" max="145" width="33.83203125" bestFit="1" customWidth="1"/>
    <col min="146" max="146" width="17.1640625" bestFit="1" customWidth="1"/>
    <col min="148" max="148" width="6.83203125" bestFit="1" customWidth="1"/>
    <col min="149" max="149" width="9.1640625" bestFit="1" customWidth="1"/>
    <col min="150" max="150" width="27.6640625" bestFit="1" customWidth="1"/>
    <col min="151" max="151" width="14.33203125" bestFit="1" customWidth="1"/>
    <col min="152" max="152" width="18.1640625" bestFit="1" customWidth="1"/>
    <col min="153" max="153" width="11.6640625" bestFit="1" customWidth="1"/>
    <col min="155" max="155" width="7" bestFit="1" customWidth="1"/>
    <col min="156" max="156" width="7.33203125" bestFit="1" customWidth="1"/>
    <col min="157" max="157" width="8.1640625" bestFit="1" customWidth="1"/>
    <col min="158" max="158" width="15" bestFit="1" customWidth="1"/>
    <col min="159" max="159" width="23.1640625" bestFit="1" customWidth="1"/>
    <col min="160" max="160" width="24.6640625" bestFit="1" customWidth="1"/>
    <col min="161" max="161" width="14.83203125" bestFit="1" customWidth="1"/>
    <col min="162" max="162" width="10.6640625" bestFit="1" customWidth="1"/>
    <col min="163" max="163" width="17" bestFit="1" customWidth="1"/>
    <col min="164" max="164" width="13.6640625" bestFit="1" customWidth="1"/>
    <col min="165" max="165" width="20.1640625" bestFit="1" customWidth="1"/>
    <col min="166" max="166" width="20.5" bestFit="1" customWidth="1"/>
    <col min="167" max="167" width="12.5" bestFit="1" customWidth="1"/>
    <col min="168" max="168" width="25.6640625" bestFit="1" customWidth="1"/>
    <col min="169" max="169" width="13.5" bestFit="1" customWidth="1"/>
    <col min="170" max="170" width="11.33203125" bestFit="1" customWidth="1"/>
  </cols>
  <sheetData>
    <row r="2" spans="2:170" x14ac:dyDescent="0.2">
      <c r="B2" s="23" t="s">
        <v>2418</v>
      </c>
    </row>
    <row r="5" spans="2:170" x14ac:dyDescent="0.2">
      <c r="B5" t="s">
        <v>42</v>
      </c>
      <c r="C5" t="s">
        <v>43</v>
      </c>
      <c r="D5" t="s">
        <v>44</v>
      </c>
      <c r="E5" t="s">
        <v>45</v>
      </c>
      <c r="F5" t="s">
        <v>48</v>
      </c>
      <c r="H5" t="s">
        <v>42</v>
      </c>
      <c r="I5" t="s">
        <v>61</v>
      </c>
      <c r="J5" t="s">
        <v>62</v>
      </c>
      <c r="K5" t="s">
        <v>63</v>
      </c>
      <c r="L5" t="s">
        <v>64</v>
      </c>
      <c r="M5" t="s">
        <v>43</v>
      </c>
      <c r="N5" t="s">
        <v>44</v>
      </c>
      <c r="O5" t="s">
        <v>51</v>
      </c>
      <c r="P5" t="s">
        <v>45</v>
      </c>
      <c r="Q5" t="s">
        <v>52</v>
      </c>
      <c r="R5" t="s">
        <v>53</v>
      </c>
      <c r="S5" t="s">
        <v>48</v>
      </c>
      <c r="T5" t="s">
        <v>54</v>
      </c>
      <c r="U5" t="s">
        <v>47</v>
      </c>
      <c r="V5" t="s">
        <v>46</v>
      </c>
      <c r="W5" t="s">
        <v>55</v>
      </c>
      <c r="X5" t="s">
        <v>56</v>
      </c>
      <c r="Y5" t="s">
        <v>57</v>
      </c>
      <c r="Z5" t="s">
        <v>58</v>
      </c>
      <c r="AA5" t="s">
        <v>59</v>
      </c>
      <c r="AB5" t="s">
        <v>60</v>
      </c>
      <c r="AC5" t="s">
        <v>2396</v>
      </c>
      <c r="AE5" t="s">
        <v>2397</v>
      </c>
      <c r="AF5" t="s">
        <v>61</v>
      </c>
      <c r="AG5" t="s">
        <v>62</v>
      </c>
      <c r="AH5" t="s">
        <v>63</v>
      </c>
      <c r="AI5" t="s">
        <v>64</v>
      </c>
      <c r="AJ5" t="s">
        <v>43</v>
      </c>
      <c r="AK5" t="s">
        <v>44</v>
      </c>
      <c r="AL5" t="s">
        <v>51</v>
      </c>
      <c r="AM5" t="s">
        <v>45</v>
      </c>
      <c r="AN5" t="s">
        <v>52</v>
      </c>
      <c r="AO5" t="s">
        <v>53</v>
      </c>
      <c r="AP5" t="s">
        <v>48</v>
      </c>
      <c r="AQ5" t="s">
        <v>54</v>
      </c>
      <c r="AR5" t="s">
        <v>47</v>
      </c>
      <c r="AS5" t="s">
        <v>46</v>
      </c>
      <c r="AT5" t="s">
        <v>55</v>
      </c>
      <c r="AU5" t="s">
        <v>56</v>
      </c>
      <c r="AV5" t="s">
        <v>57</v>
      </c>
      <c r="AW5" t="s">
        <v>58</v>
      </c>
      <c r="AX5" t="s">
        <v>59</v>
      </c>
      <c r="AY5" t="s">
        <v>60</v>
      </c>
      <c r="AZ5" t="s">
        <v>2396</v>
      </c>
      <c r="BB5" t="s">
        <v>42</v>
      </c>
      <c r="BC5" t="s">
        <v>65</v>
      </c>
      <c r="BD5" t="s">
        <v>66</v>
      </c>
      <c r="BE5" t="s">
        <v>842</v>
      </c>
      <c r="BF5" t="s">
        <v>843</v>
      </c>
      <c r="BG5" t="s">
        <v>867</v>
      </c>
      <c r="BH5" t="s">
        <v>870</v>
      </c>
      <c r="BI5" t="s">
        <v>67</v>
      </c>
      <c r="BJ5" t="s">
        <v>68</v>
      </c>
      <c r="BK5" t="s">
        <v>844</v>
      </c>
      <c r="BL5" t="s">
        <v>845</v>
      </c>
      <c r="BM5" t="s">
        <v>868</v>
      </c>
      <c r="BN5" t="s">
        <v>871</v>
      </c>
      <c r="BO5" t="s">
        <v>69</v>
      </c>
      <c r="BP5" t="s">
        <v>70</v>
      </c>
      <c r="BQ5" t="s">
        <v>846</v>
      </c>
      <c r="BR5" t="s">
        <v>847</v>
      </c>
      <c r="BS5" t="s">
        <v>869</v>
      </c>
      <c r="BT5" t="s">
        <v>872</v>
      </c>
      <c r="BU5" t="s">
        <v>2396</v>
      </c>
      <c r="BW5" t="s">
        <v>2397</v>
      </c>
      <c r="BX5" t="s">
        <v>65</v>
      </c>
      <c r="BY5" t="s">
        <v>66</v>
      </c>
      <c r="BZ5" t="s">
        <v>842</v>
      </c>
      <c r="CA5" t="s">
        <v>843</v>
      </c>
      <c r="CB5" t="s">
        <v>867</v>
      </c>
      <c r="CC5" t="s">
        <v>870</v>
      </c>
      <c r="CD5" t="s">
        <v>67</v>
      </c>
      <c r="CE5" t="s">
        <v>68</v>
      </c>
      <c r="CF5" t="s">
        <v>844</v>
      </c>
      <c r="CG5" t="s">
        <v>845</v>
      </c>
      <c r="CH5" t="s">
        <v>868</v>
      </c>
      <c r="CI5" t="s">
        <v>871</v>
      </c>
      <c r="CJ5" t="s">
        <v>69</v>
      </c>
      <c r="CK5" t="s">
        <v>70</v>
      </c>
      <c r="CL5" t="s">
        <v>846</v>
      </c>
      <c r="CM5" t="s">
        <v>847</v>
      </c>
      <c r="CN5" t="s">
        <v>869</v>
      </c>
      <c r="CO5" t="s">
        <v>872</v>
      </c>
      <c r="CP5" t="s">
        <v>2396</v>
      </c>
      <c r="CR5" t="s">
        <v>42</v>
      </c>
      <c r="CS5" t="s">
        <v>77</v>
      </c>
      <c r="CT5" t="s">
        <v>78</v>
      </c>
      <c r="CU5" t="s">
        <v>82</v>
      </c>
      <c r="CV5" t="s">
        <v>2396</v>
      </c>
      <c r="CX5" t="s">
        <v>2397</v>
      </c>
      <c r="CY5" t="s">
        <v>77</v>
      </c>
      <c r="CZ5" t="s">
        <v>78</v>
      </c>
      <c r="DA5" t="s">
        <v>82</v>
      </c>
      <c r="DB5" t="s">
        <v>2396</v>
      </c>
      <c r="DD5" t="s">
        <v>42</v>
      </c>
      <c r="DE5" t="s">
        <v>2398</v>
      </c>
      <c r="DF5" t="s">
        <v>2399</v>
      </c>
      <c r="DG5" t="s">
        <v>2400</v>
      </c>
      <c r="DH5" t="s">
        <v>2396</v>
      </c>
      <c r="DJ5" t="s">
        <v>2397</v>
      </c>
      <c r="DK5" t="s">
        <v>2398</v>
      </c>
      <c r="DL5" t="s">
        <v>2399</v>
      </c>
      <c r="DM5" t="s">
        <v>2400</v>
      </c>
      <c r="DN5" t="s">
        <v>2396</v>
      </c>
      <c r="DP5" t="s">
        <v>42</v>
      </c>
      <c r="DQ5" t="s">
        <v>2401</v>
      </c>
      <c r="DR5" t="s">
        <v>2402</v>
      </c>
      <c r="DS5" t="s">
        <v>2403</v>
      </c>
      <c r="DT5" t="s">
        <v>2404</v>
      </c>
      <c r="DU5" t="s">
        <v>2396</v>
      </c>
      <c r="DW5" t="s">
        <v>2397</v>
      </c>
      <c r="DX5" t="s">
        <v>2401</v>
      </c>
      <c r="DY5" t="s">
        <v>2402</v>
      </c>
      <c r="DZ5" t="s">
        <v>2403</v>
      </c>
      <c r="EA5" t="s">
        <v>2404</v>
      </c>
      <c r="EB5" t="s">
        <v>2396</v>
      </c>
      <c r="ED5" t="s">
        <v>42</v>
      </c>
      <c r="EE5" t="s">
        <v>111</v>
      </c>
      <c r="EF5" t="s">
        <v>45</v>
      </c>
      <c r="EG5" t="s">
        <v>61</v>
      </c>
      <c r="EH5" t="s">
        <v>63</v>
      </c>
      <c r="EI5" t="s">
        <v>55</v>
      </c>
      <c r="EJ5" t="s">
        <v>56</v>
      </c>
      <c r="EL5" t="s">
        <v>42</v>
      </c>
      <c r="EM5" t="s">
        <v>873</v>
      </c>
      <c r="EN5" t="s">
        <v>884</v>
      </c>
      <c r="EO5" t="s">
        <v>885</v>
      </c>
      <c r="EP5" t="s">
        <v>874</v>
      </c>
      <c r="ER5" t="s">
        <v>42</v>
      </c>
      <c r="ES5" t="s">
        <v>139</v>
      </c>
      <c r="ET5" t="s">
        <v>632</v>
      </c>
      <c r="EU5" t="s">
        <v>140</v>
      </c>
      <c r="EV5" t="s">
        <v>141</v>
      </c>
      <c r="EW5" t="s">
        <v>45</v>
      </c>
      <c r="EY5" t="s">
        <v>2405</v>
      </c>
      <c r="EZ5" t="s">
        <v>94</v>
      </c>
      <c r="FA5" t="s">
        <v>1420</v>
      </c>
      <c r="FB5" t="s">
        <v>1421</v>
      </c>
      <c r="FC5" t="s">
        <v>2406</v>
      </c>
      <c r="FD5" t="s">
        <v>2407</v>
      </c>
      <c r="FE5" t="s">
        <v>2408</v>
      </c>
      <c r="FF5" t="s">
        <v>2409</v>
      </c>
      <c r="FG5" t="s">
        <v>2410</v>
      </c>
      <c r="FH5" t="s">
        <v>2411</v>
      </c>
      <c r="FI5" t="s">
        <v>2412</v>
      </c>
      <c r="FJ5" t="s">
        <v>2413</v>
      </c>
      <c r="FK5" t="s">
        <v>2414</v>
      </c>
      <c r="FL5" t="s">
        <v>2415</v>
      </c>
      <c r="FM5" t="s">
        <v>2416</v>
      </c>
      <c r="FN5" t="s">
        <v>2417</v>
      </c>
    </row>
    <row r="6" spans="2:170" x14ac:dyDescent="0.2">
      <c r="B6" s="5"/>
      <c r="H6" s="5"/>
      <c r="AC6" s="31"/>
      <c r="AE6" s="5"/>
      <c r="AZ6" s="31"/>
      <c r="BB6" s="5"/>
      <c r="BU6" s="31"/>
      <c r="BW6" s="5"/>
      <c r="CP6" s="31"/>
      <c r="CR6" s="5"/>
      <c r="CV6" s="31"/>
      <c r="CX6" s="5"/>
      <c r="DB6" s="31"/>
      <c r="DD6" s="5"/>
      <c r="DH6" s="31"/>
      <c r="DJ6" s="5"/>
      <c r="DN6" s="31"/>
      <c r="DP6" s="5"/>
      <c r="DU6" s="31"/>
      <c r="DW6" s="5"/>
      <c r="EB6" s="31"/>
      <c r="ED6" s="5"/>
      <c r="EL6" s="5"/>
      <c r="ER6" s="5"/>
      <c r="FM6" s="5"/>
      <c r="FN6" s="5"/>
    </row>
  </sheetData>
  <pageMargins left="0.7" right="0.7" top="0.75" bottom="0.75" header="0.3" footer="0.3"/>
  <pageSetup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A166F-F036-4B9C-9607-81DB9CE163D2}">
  <dimension ref="B5:F2159"/>
  <sheetViews>
    <sheetView workbookViewId="0">
      <selection activeCell="B5" sqref="B5:F2158"/>
    </sheetView>
  </sheetViews>
  <sheetFormatPr defaultRowHeight="12" x14ac:dyDescent="0.2"/>
  <cols>
    <col min="2" max="2" width="10.83203125" bestFit="1" customWidth="1"/>
    <col min="3" max="3" width="16.6640625" bestFit="1" customWidth="1"/>
    <col min="4" max="4" width="10.6640625" bestFit="1" customWidth="1"/>
    <col min="5" max="5" width="33.83203125" bestFit="1" customWidth="1"/>
    <col min="6" max="6" width="17.1640625" bestFit="1" customWidth="1"/>
  </cols>
  <sheetData>
    <row r="5" spans="2:6" x14ac:dyDescent="0.2">
      <c r="B5" t="s">
        <v>42</v>
      </c>
      <c r="C5" t="s">
        <v>873</v>
      </c>
      <c r="D5" t="s">
        <v>884</v>
      </c>
      <c r="E5" t="s">
        <v>885</v>
      </c>
      <c r="F5" t="s">
        <v>874</v>
      </c>
    </row>
    <row r="6" spans="2:6" x14ac:dyDescent="0.2">
      <c r="B6" s="5">
        <v>45778</v>
      </c>
      <c r="C6" t="s">
        <v>875</v>
      </c>
      <c r="D6" s="11">
        <v>235</v>
      </c>
      <c r="E6" s="18">
        <v>1</v>
      </c>
      <c r="F6" s="24">
        <v>4.2553191489361703E-3</v>
      </c>
    </row>
    <row r="7" spans="2:6" x14ac:dyDescent="0.2">
      <c r="B7" s="5">
        <v>45778</v>
      </c>
      <c r="C7" t="s">
        <v>84</v>
      </c>
      <c r="D7" s="11">
        <v>11</v>
      </c>
      <c r="E7" s="18">
        <v>1</v>
      </c>
      <c r="F7" s="24">
        <v>9.0909090909090912E-2</v>
      </c>
    </row>
    <row r="8" spans="2:6" x14ac:dyDescent="0.2">
      <c r="B8" s="5">
        <v>45778</v>
      </c>
      <c r="C8" t="s">
        <v>86</v>
      </c>
      <c r="D8" s="11">
        <v>33</v>
      </c>
      <c r="E8" s="18">
        <v>2</v>
      </c>
      <c r="F8" s="24">
        <v>6.0606060606060608E-2</v>
      </c>
    </row>
    <row r="9" spans="2:6" x14ac:dyDescent="0.2">
      <c r="B9" s="5">
        <v>45778</v>
      </c>
      <c r="C9" t="s">
        <v>876</v>
      </c>
      <c r="D9" s="11">
        <v>12</v>
      </c>
      <c r="E9" s="18">
        <v>0</v>
      </c>
      <c r="F9" s="24">
        <v>0</v>
      </c>
    </row>
    <row r="10" spans="2:6" x14ac:dyDescent="0.2">
      <c r="B10" s="5">
        <v>45778</v>
      </c>
      <c r="C10" t="s">
        <v>877</v>
      </c>
      <c r="D10" s="11">
        <v>45</v>
      </c>
      <c r="E10" s="18">
        <v>2</v>
      </c>
      <c r="F10" s="24">
        <v>4.4444444444444446E-2</v>
      </c>
    </row>
    <row r="11" spans="2:6" x14ac:dyDescent="0.2">
      <c r="B11" s="5">
        <v>45778</v>
      </c>
      <c r="C11" t="s">
        <v>878</v>
      </c>
      <c r="D11" s="11">
        <v>336</v>
      </c>
      <c r="E11" s="18">
        <v>6</v>
      </c>
      <c r="F11" s="24">
        <v>1.7857142857142856E-2</v>
      </c>
    </row>
    <row r="12" spans="2:6" x14ac:dyDescent="0.2">
      <c r="B12" s="5">
        <v>45779</v>
      </c>
      <c r="C12" t="s">
        <v>875</v>
      </c>
      <c r="D12" s="11">
        <v>185</v>
      </c>
      <c r="E12" s="18">
        <v>1</v>
      </c>
      <c r="F12" s="24">
        <v>5.4054054054054057E-3</v>
      </c>
    </row>
    <row r="13" spans="2:6" x14ac:dyDescent="0.2">
      <c r="B13" s="5">
        <v>45779</v>
      </c>
      <c r="C13" t="s">
        <v>84</v>
      </c>
      <c r="D13" s="11">
        <v>26</v>
      </c>
      <c r="E13" s="18">
        <v>1</v>
      </c>
      <c r="F13" s="24">
        <v>3.8461538461538464E-2</v>
      </c>
    </row>
    <row r="14" spans="2:6" x14ac:dyDescent="0.2">
      <c r="B14" s="5">
        <v>45779</v>
      </c>
      <c r="C14" t="s">
        <v>86</v>
      </c>
      <c r="D14" s="11">
        <v>47</v>
      </c>
      <c r="E14" s="18">
        <v>4</v>
      </c>
      <c r="F14" s="24">
        <v>8.5106382978723402E-2</v>
      </c>
    </row>
    <row r="15" spans="2:6" x14ac:dyDescent="0.2">
      <c r="B15" s="5">
        <v>45779</v>
      </c>
      <c r="C15" t="s">
        <v>876</v>
      </c>
      <c r="D15" s="11">
        <v>10</v>
      </c>
      <c r="E15" s="18">
        <v>0</v>
      </c>
      <c r="F15" s="24">
        <v>0</v>
      </c>
    </row>
    <row r="16" spans="2:6" x14ac:dyDescent="0.2">
      <c r="B16" s="5">
        <v>45779</v>
      </c>
      <c r="C16" t="s">
        <v>877</v>
      </c>
      <c r="D16" s="11">
        <v>70</v>
      </c>
      <c r="E16" s="18">
        <v>7</v>
      </c>
      <c r="F16" s="24">
        <v>0.1</v>
      </c>
    </row>
    <row r="17" spans="2:6" x14ac:dyDescent="0.2">
      <c r="B17" s="5">
        <v>45779</v>
      </c>
      <c r="C17" t="s">
        <v>878</v>
      </c>
      <c r="D17" s="11">
        <v>338</v>
      </c>
      <c r="E17" s="18">
        <v>13</v>
      </c>
      <c r="F17" s="24">
        <v>3.8461538461538464E-2</v>
      </c>
    </row>
    <row r="18" spans="2:6" x14ac:dyDescent="0.2">
      <c r="B18" s="5">
        <v>45780</v>
      </c>
      <c r="C18" t="s">
        <v>875</v>
      </c>
      <c r="D18" s="11">
        <v>359</v>
      </c>
      <c r="E18" s="18">
        <v>1</v>
      </c>
      <c r="F18" s="24">
        <v>2.7855153203342618E-3</v>
      </c>
    </row>
    <row r="19" spans="2:6" x14ac:dyDescent="0.2">
      <c r="B19" s="5">
        <v>45780</v>
      </c>
      <c r="C19" t="s">
        <v>84</v>
      </c>
      <c r="D19" s="11">
        <v>29</v>
      </c>
      <c r="E19" s="18">
        <v>0</v>
      </c>
      <c r="F19" s="24">
        <v>0</v>
      </c>
    </row>
    <row r="20" spans="2:6" x14ac:dyDescent="0.2">
      <c r="B20" s="5">
        <v>45780</v>
      </c>
      <c r="C20" t="s">
        <v>86</v>
      </c>
      <c r="D20" s="11">
        <v>20</v>
      </c>
      <c r="E20" s="18">
        <v>2</v>
      </c>
      <c r="F20" s="24">
        <v>0.1</v>
      </c>
    </row>
    <row r="21" spans="2:6" x14ac:dyDescent="0.2">
      <c r="B21" s="5">
        <v>45780</v>
      </c>
      <c r="C21" t="s">
        <v>876</v>
      </c>
      <c r="D21" s="11">
        <v>25</v>
      </c>
      <c r="E21" s="18">
        <v>0</v>
      </c>
      <c r="F21" s="24">
        <v>0</v>
      </c>
    </row>
    <row r="22" spans="2:6" x14ac:dyDescent="0.2">
      <c r="B22" s="5">
        <v>45780</v>
      </c>
      <c r="C22" t="s">
        <v>877</v>
      </c>
      <c r="D22" s="11">
        <v>60</v>
      </c>
      <c r="E22" s="18">
        <v>3</v>
      </c>
      <c r="F22" s="24">
        <v>0.05</v>
      </c>
    </row>
    <row r="23" spans="2:6" x14ac:dyDescent="0.2">
      <c r="B23" s="5">
        <v>45780</v>
      </c>
      <c r="C23" t="s">
        <v>878</v>
      </c>
      <c r="D23" s="11">
        <v>493</v>
      </c>
      <c r="E23" s="18">
        <v>6</v>
      </c>
      <c r="F23" s="24">
        <v>1.2170385395537525E-2</v>
      </c>
    </row>
    <row r="24" spans="2:6" x14ac:dyDescent="0.2">
      <c r="B24" s="5">
        <v>45781</v>
      </c>
      <c r="C24" t="s">
        <v>875</v>
      </c>
      <c r="D24" s="11">
        <v>217</v>
      </c>
      <c r="E24" s="18">
        <v>1</v>
      </c>
      <c r="F24" s="24">
        <v>4.608294930875576E-3</v>
      </c>
    </row>
    <row r="25" spans="2:6" x14ac:dyDescent="0.2">
      <c r="B25" s="5">
        <v>45781</v>
      </c>
      <c r="C25" t="s">
        <v>84</v>
      </c>
      <c r="D25" s="11">
        <v>21</v>
      </c>
      <c r="E25" s="18">
        <v>0</v>
      </c>
      <c r="F25" s="24">
        <v>0</v>
      </c>
    </row>
    <row r="26" spans="2:6" x14ac:dyDescent="0.2">
      <c r="B26" s="5">
        <v>45781</v>
      </c>
      <c r="C26" t="s">
        <v>86</v>
      </c>
      <c r="D26" s="11">
        <v>27</v>
      </c>
      <c r="E26" s="18">
        <v>0</v>
      </c>
      <c r="F26" s="24">
        <v>0</v>
      </c>
    </row>
    <row r="27" spans="2:6" x14ac:dyDescent="0.2">
      <c r="B27" s="5">
        <v>45781</v>
      </c>
      <c r="C27" t="s">
        <v>876</v>
      </c>
      <c r="D27" s="11">
        <v>16</v>
      </c>
      <c r="E27" s="18">
        <v>0</v>
      </c>
      <c r="F27" s="24">
        <v>0</v>
      </c>
    </row>
    <row r="28" spans="2:6" x14ac:dyDescent="0.2">
      <c r="B28" s="5">
        <v>45781</v>
      </c>
      <c r="C28" t="s">
        <v>877</v>
      </c>
      <c r="D28" s="11">
        <v>58</v>
      </c>
      <c r="E28" s="18">
        <v>4</v>
      </c>
      <c r="F28" s="24">
        <v>6.8965517241379309E-2</v>
      </c>
    </row>
    <row r="29" spans="2:6" x14ac:dyDescent="0.2">
      <c r="B29" s="5">
        <v>45781</v>
      </c>
      <c r="C29" t="s">
        <v>878</v>
      </c>
      <c r="D29" s="11">
        <v>339</v>
      </c>
      <c r="E29" s="18">
        <v>5</v>
      </c>
      <c r="F29" s="24">
        <v>1.4749262536873156E-2</v>
      </c>
    </row>
    <row r="30" spans="2:6" x14ac:dyDescent="0.2">
      <c r="B30" s="5">
        <v>45782</v>
      </c>
      <c r="C30" t="s">
        <v>875</v>
      </c>
      <c r="D30" s="11">
        <v>377</v>
      </c>
      <c r="E30" s="18">
        <v>0</v>
      </c>
      <c r="F30" s="24">
        <v>0</v>
      </c>
    </row>
    <row r="31" spans="2:6" x14ac:dyDescent="0.2">
      <c r="B31" s="5">
        <v>45782</v>
      </c>
      <c r="C31" t="s">
        <v>84</v>
      </c>
      <c r="D31" s="11">
        <v>21</v>
      </c>
      <c r="E31" s="18">
        <v>0</v>
      </c>
      <c r="F31" s="24">
        <v>0</v>
      </c>
    </row>
    <row r="32" spans="2:6" x14ac:dyDescent="0.2">
      <c r="B32" s="5">
        <v>45782</v>
      </c>
      <c r="C32" t="s">
        <v>86</v>
      </c>
      <c r="D32" s="11">
        <v>42</v>
      </c>
      <c r="E32" s="18">
        <v>6</v>
      </c>
      <c r="F32" s="24">
        <v>0.14285714285714285</v>
      </c>
    </row>
    <row r="33" spans="2:6" x14ac:dyDescent="0.2">
      <c r="B33" s="5">
        <v>45782</v>
      </c>
      <c r="C33" t="s">
        <v>876</v>
      </c>
      <c r="D33" s="11">
        <v>19</v>
      </c>
      <c r="E33" s="18">
        <v>0</v>
      </c>
      <c r="F33" s="24">
        <v>0</v>
      </c>
    </row>
    <row r="34" spans="2:6" x14ac:dyDescent="0.2">
      <c r="B34" s="5">
        <v>45782</v>
      </c>
      <c r="C34" t="s">
        <v>877</v>
      </c>
      <c r="D34" s="11">
        <v>92</v>
      </c>
      <c r="E34" s="18">
        <v>5</v>
      </c>
      <c r="F34" s="24">
        <v>5.434782608695652E-2</v>
      </c>
    </row>
    <row r="35" spans="2:6" x14ac:dyDescent="0.2">
      <c r="B35" s="5">
        <v>45782</v>
      </c>
      <c r="C35" t="s">
        <v>878</v>
      </c>
      <c r="D35" s="11">
        <v>551</v>
      </c>
      <c r="E35" s="18">
        <v>11</v>
      </c>
      <c r="F35" s="24">
        <v>1.9963702359346643E-2</v>
      </c>
    </row>
    <row r="36" spans="2:6" x14ac:dyDescent="0.2">
      <c r="B36" s="5">
        <v>45783</v>
      </c>
      <c r="C36" t="s">
        <v>875</v>
      </c>
      <c r="D36" s="11">
        <v>473</v>
      </c>
      <c r="E36" s="18">
        <v>0</v>
      </c>
      <c r="F36" s="24">
        <v>0</v>
      </c>
    </row>
    <row r="37" spans="2:6" x14ac:dyDescent="0.2">
      <c r="B37" s="5">
        <v>45783</v>
      </c>
      <c r="C37" t="s">
        <v>84</v>
      </c>
      <c r="D37" s="11">
        <v>17</v>
      </c>
      <c r="E37" s="18">
        <v>0</v>
      </c>
      <c r="F37" s="24">
        <v>0</v>
      </c>
    </row>
    <row r="38" spans="2:6" x14ac:dyDescent="0.2">
      <c r="B38" s="5">
        <v>45783</v>
      </c>
      <c r="C38" t="s">
        <v>86</v>
      </c>
      <c r="D38" s="11">
        <v>36</v>
      </c>
      <c r="E38" s="18">
        <v>2</v>
      </c>
      <c r="F38" s="24">
        <v>5.5555555555555552E-2</v>
      </c>
    </row>
    <row r="39" spans="2:6" x14ac:dyDescent="0.2">
      <c r="B39" s="5">
        <v>45783</v>
      </c>
      <c r="C39" t="s">
        <v>876</v>
      </c>
      <c r="D39" s="11">
        <v>21</v>
      </c>
      <c r="E39" s="18">
        <v>0</v>
      </c>
      <c r="F39" s="24">
        <v>0</v>
      </c>
    </row>
    <row r="40" spans="2:6" x14ac:dyDescent="0.2">
      <c r="B40" s="5">
        <v>45783</v>
      </c>
      <c r="C40" t="s">
        <v>877</v>
      </c>
      <c r="D40" s="11">
        <v>144</v>
      </c>
      <c r="E40" s="18">
        <v>7</v>
      </c>
      <c r="F40" s="24">
        <v>4.8611111111111112E-2</v>
      </c>
    </row>
    <row r="41" spans="2:6" x14ac:dyDescent="0.2">
      <c r="B41" s="5">
        <v>45783</v>
      </c>
      <c r="C41" t="s">
        <v>878</v>
      </c>
      <c r="D41" s="11">
        <v>691</v>
      </c>
      <c r="E41" s="18">
        <v>9</v>
      </c>
      <c r="F41" s="24">
        <v>1.3024602026049204E-2</v>
      </c>
    </row>
    <row r="42" spans="2:6" x14ac:dyDescent="0.2">
      <c r="B42" s="5">
        <v>45784</v>
      </c>
      <c r="C42" t="s">
        <v>875</v>
      </c>
      <c r="D42" s="11">
        <v>198</v>
      </c>
      <c r="E42" s="18">
        <v>0</v>
      </c>
      <c r="F42" s="24">
        <v>0</v>
      </c>
    </row>
    <row r="43" spans="2:6" x14ac:dyDescent="0.2">
      <c r="B43" s="5">
        <v>45784</v>
      </c>
      <c r="C43" t="s">
        <v>84</v>
      </c>
      <c r="D43" s="11">
        <v>21</v>
      </c>
      <c r="E43" s="18">
        <v>0</v>
      </c>
      <c r="F43" s="24">
        <v>0</v>
      </c>
    </row>
    <row r="44" spans="2:6" x14ac:dyDescent="0.2">
      <c r="B44" s="5">
        <v>45784</v>
      </c>
      <c r="C44" t="s">
        <v>86</v>
      </c>
      <c r="D44" s="11">
        <v>35</v>
      </c>
      <c r="E44" s="18">
        <v>3</v>
      </c>
      <c r="F44" s="24">
        <v>8.5714285714285715E-2</v>
      </c>
    </row>
    <row r="45" spans="2:6" x14ac:dyDescent="0.2">
      <c r="B45" s="5">
        <v>45784</v>
      </c>
      <c r="C45" t="s">
        <v>876</v>
      </c>
      <c r="D45" s="11">
        <v>16</v>
      </c>
      <c r="E45" s="18">
        <v>0</v>
      </c>
      <c r="F45" s="24">
        <v>0</v>
      </c>
    </row>
    <row r="46" spans="2:6" x14ac:dyDescent="0.2">
      <c r="B46" s="5">
        <v>45784</v>
      </c>
      <c r="C46" t="s">
        <v>877</v>
      </c>
      <c r="D46" s="11">
        <v>75</v>
      </c>
      <c r="E46" s="18">
        <v>5</v>
      </c>
      <c r="F46" s="24">
        <v>6.6666666666666666E-2</v>
      </c>
    </row>
    <row r="47" spans="2:6" x14ac:dyDescent="0.2">
      <c r="B47" s="5">
        <v>45784</v>
      </c>
      <c r="C47" t="s">
        <v>878</v>
      </c>
      <c r="D47" s="11">
        <v>345</v>
      </c>
      <c r="E47" s="18">
        <v>8</v>
      </c>
      <c r="F47" s="24">
        <v>2.318840579710145E-2</v>
      </c>
    </row>
    <row r="48" spans="2:6" x14ac:dyDescent="0.2">
      <c r="B48" s="5">
        <v>45785</v>
      </c>
      <c r="C48" t="s">
        <v>875</v>
      </c>
      <c r="D48" s="11">
        <v>325</v>
      </c>
      <c r="E48" s="18">
        <v>0</v>
      </c>
      <c r="F48" s="24">
        <v>0</v>
      </c>
    </row>
    <row r="49" spans="2:6" x14ac:dyDescent="0.2">
      <c r="B49" s="5">
        <v>45785</v>
      </c>
      <c r="C49" t="s">
        <v>84</v>
      </c>
      <c r="D49" s="11">
        <v>26</v>
      </c>
      <c r="E49" s="18">
        <v>1</v>
      </c>
      <c r="F49" s="24">
        <v>3.8461538461538464E-2</v>
      </c>
    </row>
    <row r="50" spans="2:6" x14ac:dyDescent="0.2">
      <c r="B50" s="5">
        <v>45785</v>
      </c>
      <c r="C50" t="s">
        <v>86</v>
      </c>
      <c r="D50" s="11">
        <v>23</v>
      </c>
      <c r="E50" s="18">
        <v>2</v>
      </c>
      <c r="F50" s="24">
        <v>8.6956521739130432E-2</v>
      </c>
    </row>
    <row r="51" spans="2:6" x14ac:dyDescent="0.2">
      <c r="B51" s="5">
        <v>45785</v>
      </c>
      <c r="C51" t="s">
        <v>876</v>
      </c>
      <c r="D51" s="11">
        <v>20</v>
      </c>
      <c r="E51" s="18">
        <v>0</v>
      </c>
      <c r="F51" s="24">
        <v>0</v>
      </c>
    </row>
    <row r="52" spans="2:6" x14ac:dyDescent="0.2">
      <c r="B52" s="5">
        <v>45785</v>
      </c>
      <c r="C52" t="s">
        <v>877</v>
      </c>
      <c r="D52" s="11">
        <v>87</v>
      </c>
      <c r="E52" s="18">
        <v>6</v>
      </c>
      <c r="F52" s="24">
        <v>6.8965517241379309E-2</v>
      </c>
    </row>
    <row r="53" spans="2:6" x14ac:dyDescent="0.2">
      <c r="B53" s="5">
        <v>45785</v>
      </c>
      <c r="C53" t="s">
        <v>878</v>
      </c>
      <c r="D53" s="11">
        <v>481</v>
      </c>
      <c r="E53" s="18">
        <v>9</v>
      </c>
      <c r="F53" s="24">
        <v>1.8711018711018712E-2</v>
      </c>
    </row>
    <row r="54" spans="2:6" x14ac:dyDescent="0.2">
      <c r="B54" s="5">
        <v>45786</v>
      </c>
      <c r="C54" t="s">
        <v>875</v>
      </c>
      <c r="D54" s="11">
        <v>224</v>
      </c>
      <c r="E54" s="18">
        <v>0</v>
      </c>
      <c r="F54" s="24">
        <v>0</v>
      </c>
    </row>
    <row r="55" spans="2:6" x14ac:dyDescent="0.2">
      <c r="B55" s="5">
        <v>45786</v>
      </c>
      <c r="C55" t="s">
        <v>84</v>
      </c>
      <c r="D55" s="11">
        <v>14</v>
      </c>
      <c r="E55" s="18">
        <v>0</v>
      </c>
      <c r="F55" s="24">
        <v>0</v>
      </c>
    </row>
    <row r="56" spans="2:6" x14ac:dyDescent="0.2">
      <c r="B56" s="5">
        <v>45786</v>
      </c>
      <c r="C56" t="s">
        <v>86</v>
      </c>
      <c r="D56" s="11">
        <v>27</v>
      </c>
      <c r="E56" s="18">
        <v>1</v>
      </c>
      <c r="F56" s="24">
        <v>3.7037037037037035E-2</v>
      </c>
    </row>
    <row r="57" spans="2:6" x14ac:dyDescent="0.2">
      <c r="B57" s="5">
        <v>45786</v>
      </c>
      <c r="C57" t="s">
        <v>876</v>
      </c>
      <c r="D57" s="11">
        <v>15</v>
      </c>
      <c r="E57" s="18">
        <v>0</v>
      </c>
      <c r="F57" s="24">
        <v>0</v>
      </c>
    </row>
    <row r="58" spans="2:6" x14ac:dyDescent="0.2">
      <c r="B58" s="5">
        <v>45786</v>
      </c>
      <c r="C58" t="s">
        <v>877</v>
      </c>
      <c r="D58" s="11">
        <v>77</v>
      </c>
      <c r="E58" s="18">
        <v>7</v>
      </c>
      <c r="F58" s="24">
        <v>9.0909090909090912E-2</v>
      </c>
    </row>
    <row r="59" spans="2:6" x14ac:dyDescent="0.2">
      <c r="B59" s="5">
        <v>45786</v>
      </c>
      <c r="C59" t="s">
        <v>878</v>
      </c>
      <c r="D59" s="11">
        <v>357</v>
      </c>
      <c r="E59" s="18">
        <v>8</v>
      </c>
      <c r="F59" s="24">
        <v>2.2408963585434174E-2</v>
      </c>
    </row>
    <row r="60" spans="2:6" x14ac:dyDescent="0.2">
      <c r="B60" s="5">
        <v>45787</v>
      </c>
      <c r="C60" t="s">
        <v>875</v>
      </c>
      <c r="D60" s="11">
        <v>382</v>
      </c>
      <c r="E60" s="18">
        <v>0</v>
      </c>
      <c r="F60" s="24">
        <v>0</v>
      </c>
    </row>
    <row r="61" spans="2:6" x14ac:dyDescent="0.2">
      <c r="B61" s="5">
        <v>45787</v>
      </c>
      <c r="C61" t="s">
        <v>84</v>
      </c>
      <c r="D61" s="11">
        <v>30</v>
      </c>
      <c r="E61" s="18">
        <v>2</v>
      </c>
      <c r="F61" s="24">
        <v>6.6666666666666666E-2</v>
      </c>
    </row>
    <row r="62" spans="2:6" x14ac:dyDescent="0.2">
      <c r="B62" s="5">
        <v>45787</v>
      </c>
      <c r="C62" t="s">
        <v>86</v>
      </c>
      <c r="D62" s="11">
        <v>21</v>
      </c>
      <c r="E62" s="18">
        <v>0</v>
      </c>
      <c r="F62" s="24">
        <v>0</v>
      </c>
    </row>
    <row r="63" spans="2:6" x14ac:dyDescent="0.2">
      <c r="B63" s="5">
        <v>45787</v>
      </c>
      <c r="C63" t="s">
        <v>876</v>
      </c>
      <c r="D63" s="11">
        <v>20</v>
      </c>
      <c r="E63" s="18">
        <v>0</v>
      </c>
      <c r="F63" s="24">
        <v>0</v>
      </c>
    </row>
    <row r="64" spans="2:6" x14ac:dyDescent="0.2">
      <c r="B64" s="5">
        <v>45787</v>
      </c>
      <c r="C64" t="s">
        <v>877</v>
      </c>
      <c r="D64" s="11">
        <v>58</v>
      </c>
      <c r="E64" s="18">
        <v>3</v>
      </c>
      <c r="F64" s="24">
        <v>5.1724137931034482E-2</v>
      </c>
    </row>
    <row r="65" spans="2:6" x14ac:dyDescent="0.2">
      <c r="B65" s="5">
        <v>45787</v>
      </c>
      <c r="C65" t="s">
        <v>878</v>
      </c>
      <c r="D65" s="11">
        <v>511</v>
      </c>
      <c r="E65" s="18">
        <v>5</v>
      </c>
      <c r="F65" s="24">
        <v>9.7847358121330719E-3</v>
      </c>
    </row>
    <row r="66" spans="2:6" x14ac:dyDescent="0.2">
      <c r="B66" s="5">
        <v>45788</v>
      </c>
      <c r="C66" t="s">
        <v>875</v>
      </c>
      <c r="D66" s="11">
        <v>247</v>
      </c>
      <c r="E66" s="18">
        <v>0</v>
      </c>
      <c r="F66" s="24">
        <v>0</v>
      </c>
    </row>
    <row r="67" spans="2:6" x14ac:dyDescent="0.2">
      <c r="B67" s="5">
        <v>45788</v>
      </c>
      <c r="C67" t="s">
        <v>84</v>
      </c>
      <c r="D67" s="11">
        <v>22</v>
      </c>
      <c r="E67" s="18">
        <v>0</v>
      </c>
      <c r="F67" s="24">
        <v>0</v>
      </c>
    </row>
    <row r="68" spans="2:6" x14ac:dyDescent="0.2">
      <c r="B68" s="5">
        <v>45788</v>
      </c>
      <c r="C68" t="s">
        <v>86</v>
      </c>
      <c r="D68" s="11">
        <v>26</v>
      </c>
      <c r="E68" s="18">
        <v>1</v>
      </c>
      <c r="F68" s="24">
        <v>3.8461538461538464E-2</v>
      </c>
    </row>
    <row r="69" spans="2:6" x14ac:dyDescent="0.2">
      <c r="B69" s="5">
        <v>45788</v>
      </c>
      <c r="C69" t="s">
        <v>876</v>
      </c>
      <c r="D69" s="11">
        <v>34</v>
      </c>
      <c r="E69" s="18">
        <v>0</v>
      </c>
      <c r="F69" s="24">
        <v>0</v>
      </c>
    </row>
    <row r="70" spans="2:6" x14ac:dyDescent="0.2">
      <c r="B70" s="5">
        <v>45788</v>
      </c>
      <c r="C70" t="s">
        <v>877</v>
      </c>
      <c r="D70" s="11">
        <v>23</v>
      </c>
      <c r="E70" s="18">
        <v>1</v>
      </c>
      <c r="F70" s="24">
        <v>4.3478260869565216E-2</v>
      </c>
    </row>
    <row r="71" spans="2:6" x14ac:dyDescent="0.2">
      <c r="B71" s="5">
        <v>45788</v>
      </c>
      <c r="C71" t="s">
        <v>878</v>
      </c>
      <c r="D71" s="11">
        <v>352</v>
      </c>
      <c r="E71" s="18">
        <v>2</v>
      </c>
      <c r="F71" s="24">
        <v>5.681818181818182E-3</v>
      </c>
    </row>
    <row r="72" spans="2:6" x14ac:dyDescent="0.2">
      <c r="B72" s="5">
        <v>45789</v>
      </c>
      <c r="C72" t="s">
        <v>875</v>
      </c>
      <c r="D72" s="11">
        <v>262</v>
      </c>
      <c r="E72" s="18">
        <v>1</v>
      </c>
      <c r="F72" s="24">
        <v>3.8167938931297708E-3</v>
      </c>
    </row>
    <row r="73" spans="2:6" x14ac:dyDescent="0.2">
      <c r="B73" s="5">
        <v>45789</v>
      </c>
      <c r="C73" t="s">
        <v>84</v>
      </c>
      <c r="D73" s="11">
        <v>14</v>
      </c>
      <c r="E73" s="18">
        <v>0</v>
      </c>
      <c r="F73" s="24">
        <v>0</v>
      </c>
    </row>
    <row r="74" spans="2:6" x14ac:dyDescent="0.2">
      <c r="B74" s="5">
        <v>45789</v>
      </c>
      <c r="C74" t="s">
        <v>86</v>
      </c>
      <c r="D74" s="11">
        <v>34</v>
      </c>
      <c r="E74" s="18">
        <v>2</v>
      </c>
      <c r="F74" s="24">
        <v>5.8823529411764705E-2</v>
      </c>
    </row>
    <row r="75" spans="2:6" x14ac:dyDescent="0.2">
      <c r="B75" s="5">
        <v>45789</v>
      </c>
      <c r="C75" t="s">
        <v>876</v>
      </c>
      <c r="D75" s="11">
        <v>20</v>
      </c>
      <c r="E75" s="18">
        <v>0</v>
      </c>
      <c r="F75" s="24">
        <v>0</v>
      </c>
    </row>
    <row r="76" spans="2:6" x14ac:dyDescent="0.2">
      <c r="B76" s="5">
        <v>45789</v>
      </c>
      <c r="C76" t="s">
        <v>877</v>
      </c>
      <c r="D76" s="11">
        <v>62</v>
      </c>
      <c r="E76" s="18">
        <v>3</v>
      </c>
      <c r="F76" s="24">
        <v>4.8387096774193547E-2</v>
      </c>
    </row>
    <row r="77" spans="2:6" x14ac:dyDescent="0.2">
      <c r="B77" s="5">
        <v>45789</v>
      </c>
      <c r="C77" t="s">
        <v>878</v>
      </c>
      <c r="D77" s="11">
        <v>392</v>
      </c>
      <c r="E77" s="18">
        <v>6</v>
      </c>
      <c r="F77" s="24">
        <v>1.5306122448979591E-2</v>
      </c>
    </row>
    <row r="78" spans="2:6" x14ac:dyDescent="0.2">
      <c r="B78" s="5">
        <v>45790</v>
      </c>
      <c r="C78" t="s">
        <v>875</v>
      </c>
      <c r="D78" s="11">
        <v>273</v>
      </c>
      <c r="E78" s="18">
        <v>0</v>
      </c>
      <c r="F78" s="24">
        <v>0</v>
      </c>
    </row>
    <row r="79" spans="2:6" x14ac:dyDescent="0.2">
      <c r="B79" s="5">
        <v>45790</v>
      </c>
      <c r="C79" t="s">
        <v>84</v>
      </c>
      <c r="D79" s="11">
        <v>21</v>
      </c>
      <c r="E79" s="18">
        <v>0</v>
      </c>
      <c r="F79" s="24">
        <v>0</v>
      </c>
    </row>
    <row r="80" spans="2:6" x14ac:dyDescent="0.2">
      <c r="B80" s="5">
        <v>45790</v>
      </c>
      <c r="C80" t="s">
        <v>86</v>
      </c>
      <c r="D80" s="11">
        <v>29</v>
      </c>
      <c r="E80" s="18">
        <v>1</v>
      </c>
      <c r="F80" s="24">
        <v>3.4482758620689655E-2</v>
      </c>
    </row>
    <row r="81" spans="2:6" x14ac:dyDescent="0.2">
      <c r="B81" s="5">
        <v>45790</v>
      </c>
      <c r="C81" t="s">
        <v>876</v>
      </c>
      <c r="D81" s="11">
        <v>17</v>
      </c>
      <c r="E81" s="18">
        <v>0</v>
      </c>
      <c r="F81" s="24">
        <v>0</v>
      </c>
    </row>
    <row r="82" spans="2:6" x14ac:dyDescent="0.2">
      <c r="B82" s="5">
        <v>45790</v>
      </c>
      <c r="C82" t="s">
        <v>877</v>
      </c>
      <c r="D82" s="11">
        <v>135</v>
      </c>
      <c r="E82" s="18">
        <v>4</v>
      </c>
      <c r="F82" s="24">
        <v>2.9629629629629631E-2</v>
      </c>
    </row>
    <row r="83" spans="2:6" x14ac:dyDescent="0.2">
      <c r="B83" s="5">
        <v>45790</v>
      </c>
      <c r="C83" t="s">
        <v>878</v>
      </c>
      <c r="D83" s="11">
        <v>475</v>
      </c>
      <c r="E83" s="18">
        <v>5</v>
      </c>
      <c r="F83" s="24">
        <v>1.0526315789473684E-2</v>
      </c>
    </row>
    <row r="84" spans="2:6" x14ac:dyDescent="0.2">
      <c r="B84" s="5">
        <v>45791</v>
      </c>
      <c r="C84" t="s">
        <v>875</v>
      </c>
      <c r="D84" s="11">
        <v>88</v>
      </c>
      <c r="E84" s="18">
        <v>2</v>
      </c>
      <c r="F84" s="24">
        <v>2.2727272727272728E-2</v>
      </c>
    </row>
    <row r="85" spans="2:6" x14ac:dyDescent="0.2">
      <c r="B85" s="5">
        <v>45791</v>
      </c>
      <c r="C85" t="s">
        <v>84</v>
      </c>
      <c r="D85" s="11">
        <v>21</v>
      </c>
      <c r="E85" s="18">
        <v>1</v>
      </c>
      <c r="F85" s="24">
        <v>4.7619047619047616E-2</v>
      </c>
    </row>
    <row r="86" spans="2:6" x14ac:dyDescent="0.2">
      <c r="B86" s="5">
        <v>45791</v>
      </c>
      <c r="C86" t="s">
        <v>86</v>
      </c>
      <c r="D86" s="11">
        <v>41</v>
      </c>
      <c r="E86" s="18">
        <v>2</v>
      </c>
      <c r="F86" s="24">
        <v>4.878048780487805E-2</v>
      </c>
    </row>
    <row r="87" spans="2:6" x14ac:dyDescent="0.2">
      <c r="B87" s="5">
        <v>45791</v>
      </c>
      <c r="C87" t="s">
        <v>876</v>
      </c>
      <c r="D87" s="11">
        <v>8</v>
      </c>
      <c r="E87" s="18">
        <v>0</v>
      </c>
      <c r="F87" s="24">
        <v>0</v>
      </c>
    </row>
    <row r="88" spans="2:6" x14ac:dyDescent="0.2">
      <c r="B88" s="5">
        <v>45791</v>
      </c>
      <c r="C88" t="s">
        <v>877</v>
      </c>
      <c r="D88" s="11">
        <v>81</v>
      </c>
      <c r="E88" s="18">
        <v>7</v>
      </c>
      <c r="F88" s="24">
        <v>8.6419753086419748E-2</v>
      </c>
    </row>
    <row r="89" spans="2:6" x14ac:dyDescent="0.2">
      <c r="B89" s="5">
        <v>45791</v>
      </c>
      <c r="C89" t="s">
        <v>878</v>
      </c>
      <c r="D89" s="11">
        <v>239</v>
      </c>
      <c r="E89" s="18">
        <v>12</v>
      </c>
      <c r="F89" s="24">
        <v>5.0209205020920501E-2</v>
      </c>
    </row>
    <row r="90" spans="2:6" x14ac:dyDescent="0.2">
      <c r="B90" s="5">
        <v>45792</v>
      </c>
      <c r="C90" t="s">
        <v>875</v>
      </c>
      <c r="D90" s="11">
        <v>346</v>
      </c>
      <c r="E90" s="18">
        <v>0</v>
      </c>
      <c r="F90" s="24">
        <v>0</v>
      </c>
    </row>
    <row r="91" spans="2:6" x14ac:dyDescent="0.2">
      <c r="B91" s="5">
        <v>45792</v>
      </c>
      <c r="C91" t="s">
        <v>84</v>
      </c>
      <c r="D91" s="11">
        <v>9</v>
      </c>
      <c r="E91" s="18">
        <v>0</v>
      </c>
      <c r="F91" s="24">
        <v>0</v>
      </c>
    </row>
    <row r="92" spans="2:6" x14ac:dyDescent="0.2">
      <c r="B92" s="5">
        <v>45792</v>
      </c>
      <c r="C92" t="s">
        <v>86</v>
      </c>
      <c r="D92" s="11">
        <v>38</v>
      </c>
      <c r="E92" s="18">
        <v>1</v>
      </c>
      <c r="F92" s="24">
        <v>2.6315789473684209E-2</v>
      </c>
    </row>
    <row r="93" spans="2:6" x14ac:dyDescent="0.2">
      <c r="B93" s="5">
        <v>45792</v>
      </c>
      <c r="C93" t="s">
        <v>876</v>
      </c>
      <c r="D93" s="11">
        <v>41</v>
      </c>
      <c r="E93" s="18">
        <v>0</v>
      </c>
      <c r="F93" s="24">
        <v>0</v>
      </c>
    </row>
    <row r="94" spans="2:6" x14ac:dyDescent="0.2">
      <c r="B94" s="5">
        <v>45792</v>
      </c>
      <c r="C94" t="s">
        <v>877</v>
      </c>
      <c r="D94" s="11">
        <v>81</v>
      </c>
      <c r="E94" s="18">
        <v>8</v>
      </c>
      <c r="F94" s="24">
        <v>9.8765432098765427E-2</v>
      </c>
    </row>
    <row r="95" spans="2:6" x14ac:dyDescent="0.2">
      <c r="B95" s="5">
        <v>45792</v>
      </c>
      <c r="C95" t="s">
        <v>878</v>
      </c>
      <c r="D95" s="11">
        <v>515</v>
      </c>
      <c r="E95" s="18">
        <v>9</v>
      </c>
      <c r="F95" s="24">
        <v>1.7475728155339806E-2</v>
      </c>
    </row>
    <row r="96" spans="2:6" x14ac:dyDescent="0.2">
      <c r="B96" s="5">
        <v>45793</v>
      </c>
      <c r="C96" t="s">
        <v>875</v>
      </c>
      <c r="D96" s="11">
        <v>119</v>
      </c>
      <c r="E96" s="18">
        <v>0</v>
      </c>
      <c r="F96" s="24">
        <v>0</v>
      </c>
    </row>
    <row r="97" spans="2:6" x14ac:dyDescent="0.2">
      <c r="B97" s="5">
        <v>45793</v>
      </c>
      <c r="C97" t="s">
        <v>84</v>
      </c>
      <c r="D97" s="11">
        <v>21</v>
      </c>
      <c r="E97" s="18">
        <v>0</v>
      </c>
      <c r="F97" s="24">
        <v>0</v>
      </c>
    </row>
    <row r="98" spans="2:6" x14ac:dyDescent="0.2">
      <c r="B98" s="5">
        <v>45793</v>
      </c>
      <c r="C98" t="s">
        <v>86</v>
      </c>
      <c r="D98" s="11">
        <v>35</v>
      </c>
      <c r="E98" s="18">
        <v>1</v>
      </c>
      <c r="F98" s="24">
        <v>2.8571428571428571E-2</v>
      </c>
    </row>
    <row r="99" spans="2:6" x14ac:dyDescent="0.2">
      <c r="B99" s="5">
        <v>45793</v>
      </c>
      <c r="C99" t="s">
        <v>876</v>
      </c>
      <c r="D99" s="11">
        <v>22</v>
      </c>
      <c r="E99" s="18">
        <v>0</v>
      </c>
      <c r="F99" s="24">
        <v>0</v>
      </c>
    </row>
    <row r="100" spans="2:6" x14ac:dyDescent="0.2">
      <c r="B100" s="5">
        <v>45793</v>
      </c>
      <c r="C100" t="s">
        <v>877</v>
      </c>
      <c r="D100" s="11">
        <v>48</v>
      </c>
      <c r="E100" s="18">
        <v>3</v>
      </c>
      <c r="F100" s="24">
        <v>6.25E-2</v>
      </c>
    </row>
    <row r="101" spans="2:6" x14ac:dyDescent="0.2">
      <c r="B101" s="5">
        <v>45793</v>
      </c>
      <c r="C101" t="s">
        <v>878</v>
      </c>
      <c r="D101" s="11">
        <v>245</v>
      </c>
      <c r="E101" s="18">
        <v>4</v>
      </c>
      <c r="F101" s="24">
        <v>1.6326530612244899E-2</v>
      </c>
    </row>
    <row r="102" spans="2:6" x14ac:dyDescent="0.2">
      <c r="B102" s="5">
        <v>45794</v>
      </c>
      <c r="C102" t="s">
        <v>875</v>
      </c>
      <c r="D102" s="11">
        <v>401</v>
      </c>
      <c r="E102" s="18">
        <v>1</v>
      </c>
      <c r="F102" s="24">
        <v>2.4937655860349127E-3</v>
      </c>
    </row>
    <row r="103" spans="2:6" x14ac:dyDescent="0.2">
      <c r="B103" s="5">
        <v>45794</v>
      </c>
      <c r="C103" t="s">
        <v>84</v>
      </c>
      <c r="D103" s="11">
        <v>19</v>
      </c>
      <c r="E103" s="18">
        <v>0</v>
      </c>
      <c r="F103" s="24">
        <v>0</v>
      </c>
    </row>
    <row r="104" spans="2:6" x14ac:dyDescent="0.2">
      <c r="B104" s="5">
        <v>45794</v>
      </c>
      <c r="C104" t="s">
        <v>86</v>
      </c>
      <c r="D104" s="11">
        <v>26</v>
      </c>
      <c r="E104" s="18">
        <v>1</v>
      </c>
      <c r="F104" s="24">
        <v>3.8461538461538464E-2</v>
      </c>
    </row>
    <row r="105" spans="2:6" x14ac:dyDescent="0.2">
      <c r="B105" s="5">
        <v>45794</v>
      </c>
      <c r="C105" t="s">
        <v>876</v>
      </c>
      <c r="D105" s="11">
        <v>48</v>
      </c>
      <c r="E105" s="18">
        <v>0</v>
      </c>
      <c r="F105" s="24">
        <v>0</v>
      </c>
    </row>
    <row r="106" spans="2:6" x14ac:dyDescent="0.2">
      <c r="B106" s="5">
        <v>45794</v>
      </c>
      <c r="C106" t="s">
        <v>877</v>
      </c>
      <c r="D106" s="11">
        <v>36</v>
      </c>
      <c r="E106" s="18">
        <v>3</v>
      </c>
      <c r="F106" s="24">
        <v>8.3333333333333329E-2</v>
      </c>
    </row>
    <row r="107" spans="2:6" x14ac:dyDescent="0.2">
      <c r="B107" s="5">
        <v>45794</v>
      </c>
      <c r="C107" t="s">
        <v>878</v>
      </c>
      <c r="D107" s="11">
        <v>530</v>
      </c>
      <c r="E107" s="18">
        <v>5</v>
      </c>
      <c r="F107" s="24">
        <v>9.433962264150943E-3</v>
      </c>
    </row>
    <row r="108" spans="2:6" x14ac:dyDescent="0.2">
      <c r="B108" s="5">
        <v>45795</v>
      </c>
      <c r="C108" t="s">
        <v>875</v>
      </c>
      <c r="D108" s="11">
        <v>18</v>
      </c>
      <c r="E108" s="18">
        <v>2</v>
      </c>
      <c r="F108" s="24">
        <v>0.1111111111111111</v>
      </c>
    </row>
    <row r="109" spans="2:6" x14ac:dyDescent="0.2">
      <c r="B109" s="5">
        <v>45795</v>
      </c>
      <c r="C109" t="s">
        <v>84</v>
      </c>
      <c r="D109" s="11">
        <v>26</v>
      </c>
      <c r="E109" s="18">
        <v>0</v>
      </c>
      <c r="F109" s="24">
        <v>0</v>
      </c>
    </row>
    <row r="110" spans="2:6" x14ac:dyDescent="0.2">
      <c r="B110" s="5">
        <v>45795</v>
      </c>
      <c r="C110" t="s">
        <v>86</v>
      </c>
      <c r="D110" s="11">
        <v>23</v>
      </c>
      <c r="E110" s="18">
        <v>1</v>
      </c>
      <c r="F110" s="24">
        <v>4.3478260869565216E-2</v>
      </c>
    </row>
    <row r="111" spans="2:6" x14ac:dyDescent="0.2">
      <c r="B111" s="5">
        <v>45795</v>
      </c>
      <c r="C111" t="s">
        <v>877</v>
      </c>
      <c r="D111" s="11">
        <v>35</v>
      </c>
      <c r="E111" s="18">
        <v>0</v>
      </c>
      <c r="F111" s="24">
        <v>0</v>
      </c>
    </row>
    <row r="112" spans="2:6" x14ac:dyDescent="0.2">
      <c r="B112" s="5">
        <v>45795</v>
      </c>
      <c r="C112" t="s">
        <v>878</v>
      </c>
      <c r="D112" s="11">
        <v>102</v>
      </c>
      <c r="E112" s="18">
        <v>3</v>
      </c>
      <c r="F112" s="24">
        <v>2.9411764705882353E-2</v>
      </c>
    </row>
    <row r="113" spans="2:6" x14ac:dyDescent="0.2">
      <c r="B113" s="5">
        <v>45796</v>
      </c>
      <c r="C113" t="s">
        <v>875</v>
      </c>
      <c r="D113" s="11">
        <v>307</v>
      </c>
      <c r="E113" s="18">
        <v>0</v>
      </c>
      <c r="F113" s="24">
        <v>0</v>
      </c>
    </row>
    <row r="114" spans="2:6" x14ac:dyDescent="0.2">
      <c r="B114" s="5">
        <v>45796</v>
      </c>
      <c r="C114" t="s">
        <v>84</v>
      </c>
      <c r="D114" s="11">
        <v>13</v>
      </c>
      <c r="E114" s="18">
        <v>0</v>
      </c>
      <c r="F114" s="24">
        <v>0</v>
      </c>
    </row>
    <row r="115" spans="2:6" x14ac:dyDescent="0.2">
      <c r="B115" s="5">
        <v>45796</v>
      </c>
      <c r="C115" t="s">
        <v>86</v>
      </c>
      <c r="D115" s="11">
        <v>40</v>
      </c>
      <c r="E115" s="18">
        <v>3</v>
      </c>
      <c r="F115" s="24">
        <v>7.4999999999999997E-2</v>
      </c>
    </row>
    <row r="116" spans="2:6" x14ac:dyDescent="0.2">
      <c r="B116" s="5">
        <v>45796</v>
      </c>
      <c r="C116" t="s">
        <v>876</v>
      </c>
      <c r="D116" s="11">
        <v>32</v>
      </c>
      <c r="E116" s="18">
        <v>0</v>
      </c>
      <c r="F116" s="24">
        <v>0</v>
      </c>
    </row>
    <row r="117" spans="2:6" x14ac:dyDescent="0.2">
      <c r="B117" s="5">
        <v>45796</v>
      </c>
      <c r="C117" t="s">
        <v>877</v>
      </c>
      <c r="D117" s="11">
        <v>88</v>
      </c>
      <c r="E117" s="18">
        <v>5</v>
      </c>
      <c r="F117" s="24">
        <v>5.6818181818181816E-2</v>
      </c>
    </row>
    <row r="118" spans="2:6" x14ac:dyDescent="0.2">
      <c r="B118" s="5">
        <v>45796</v>
      </c>
      <c r="C118" t="s">
        <v>878</v>
      </c>
      <c r="D118" s="11">
        <v>480</v>
      </c>
      <c r="E118" s="18">
        <v>8</v>
      </c>
      <c r="F118" s="24">
        <v>1.6666666666666666E-2</v>
      </c>
    </row>
    <row r="119" spans="2:6" x14ac:dyDescent="0.2">
      <c r="B119" s="5">
        <v>45797</v>
      </c>
      <c r="C119" t="s">
        <v>875</v>
      </c>
      <c r="D119" s="11">
        <v>266</v>
      </c>
      <c r="E119" s="18">
        <v>0</v>
      </c>
      <c r="F119" s="24">
        <v>0</v>
      </c>
    </row>
    <row r="120" spans="2:6" x14ac:dyDescent="0.2">
      <c r="B120" s="5">
        <v>45797</v>
      </c>
      <c r="C120" t="s">
        <v>84</v>
      </c>
      <c r="D120" s="11">
        <v>6</v>
      </c>
      <c r="E120" s="18">
        <v>0</v>
      </c>
      <c r="F120" s="24">
        <v>0</v>
      </c>
    </row>
    <row r="121" spans="2:6" x14ac:dyDescent="0.2">
      <c r="B121" s="5">
        <v>45797</v>
      </c>
      <c r="C121" t="s">
        <v>86</v>
      </c>
      <c r="D121" s="11">
        <v>29</v>
      </c>
      <c r="E121" s="18">
        <v>3</v>
      </c>
      <c r="F121" s="24">
        <v>0.10344827586206896</v>
      </c>
    </row>
    <row r="122" spans="2:6" x14ac:dyDescent="0.2">
      <c r="B122" s="5">
        <v>45797</v>
      </c>
      <c r="C122" t="s">
        <v>876</v>
      </c>
      <c r="D122" s="11">
        <v>26</v>
      </c>
      <c r="E122" s="18">
        <v>0</v>
      </c>
      <c r="F122" s="24">
        <v>0</v>
      </c>
    </row>
    <row r="123" spans="2:6" x14ac:dyDescent="0.2">
      <c r="B123" s="5">
        <v>45797</v>
      </c>
      <c r="C123" t="s">
        <v>877</v>
      </c>
      <c r="D123" s="11">
        <v>53</v>
      </c>
      <c r="E123" s="18">
        <v>5</v>
      </c>
      <c r="F123" s="24">
        <v>9.4339622641509441E-2</v>
      </c>
    </row>
    <row r="124" spans="2:6" x14ac:dyDescent="0.2">
      <c r="B124" s="5">
        <v>45797</v>
      </c>
      <c r="C124" t="s">
        <v>878</v>
      </c>
      <c r="D124" s="11">
        <v>380</v>
      </c>
      <c r="E124" s="18">
        <v>8</v>
      </c>
      <c r="F124" s="24">
        <v>2.1052631578947368E-2</v>
      </c>
    </row>
    <row r="125" spans="2:6" x14ac:dyDescent="0.2">
      <c r="B125" s="5">
        <v>45798</v>
      </c>
      <c r="C125" t="s">
        <v>875</v>
      </c>
      <c r="D125" s="11">
        <v>85</v>
      </c>
      <c r="E125" s="18">
        <v>2</v>
      </c>
      <c r="F125" s="24">
        <v>2.3529411764705882E-2</v>
      </c>
    </row>
    <row r="126" spans="2:6" x14ac:dyDescent="0.2">
      <c r="B126" s="5">
        <v>45798</v>
      </c>
      <c r="C126" t="s">
        <v>84</v>
      </c>
      <c r="D126" s="11">
        <v>17</v>
      </c>
      <c r="E126" s="18">
        <v>0</v>
      </c>
      <c r="F126" s="24">
        <v>0</v>
      </c>
    </row>
    <row r="127" spans="2:6" x14ac:dyDescent="0.2">
      <c r="B127" s="5">
        <v>45798</v>
      </c>
      <c r="C127" t="s">
        <v>86</v>
      </c>
      <c r="D127" s="11">
        <v>26</v>
      </c>
      <c r="E127" s="18">
        <v>0</v>
      </c>
      <c r="F127" s="24">
        <v>0</v>
      </c>
    </row>
    <row r="128" spans="2:6" x14ac:dyDescent="0.2">
      <c r="B128" s="5">
        <v>45798</v>
      </c>
      <c r="C128" t="s">
        <v>876</v>
      </c>
      <c r="D128" s="11">
        <v>6</v>
      </c>
      <c r="E128" s="18">
        <v>0</v>
      </c>
      <c r="F128" s="24">
        <v>0</v>
      </c>
    </row>
    <row r="129" spans="2:6" x14ac:dyDescent="0.2">
      <c r="B129" s="5">
        <v>45798</v>
      </c>
      <c r="C129" t="s">
        <v>877</v>
      </c>
      <c r="D129" s="11">
        <v>60</v>
      </c>
      <c r="E129" s="18">
        <v>3</v>
      </c>
      <c r="F129" s="24">
        <v>0.05</v>
      </c>
    </row>
    <row r="130" spans="2:6" x14ac:dyDescent="0.2">
      <c r="B130" s="5">
        <v>45798</v>
      </c>
      <c r="C130" t="s">
        <v>878</v>
      </c>
      <c r="D130" s="11">
        <v>194</v>
      </c>
      <c r="E130" s="18">
        <v>5</v>
      </c>
      <c r="F130" s="24">
        <v>2.5773195876288658E-2</v>
      </c>
    </row>
    <row r="131" spans="2:6" x14ac:dyDescent="0.2">
      <c r="B131" s="5">
        <v>45799</v>
      </c>
      <c r="C131" t="s">
        <v>875</v>
      </c>
      <c r="D131" s="11">
        <v>323</v>
      </c>
      <c r="E131" s="18">
        <v>2</v>
      </c>
      <c r="F131" s="24">
        <v>6.1919504643962852E-3</v>
      </c>
    </row>
    <row r="132" spans="2:6" x14ac:dyDescent="0.2">
      <c r="B132" s="5">
        <v>45799</v>
      </c>
      <c r="C132" t="s">
        <v>84</v>
      </c>
      <c r="D132" s="11">
        <v>9</v>
      </c>
      <c r="E132" s="18">
        <v>0</v>
      </c>
      <c r="F132" s="24">
        <v>0</v>
      </c>
    </row>
    <row r="133" spans="2:6" x14ac:dyDescent="0.2">
      <c r="B133" s="5">
        <v>45799</v>
      </c>
      <c r="C133" t="s">
        <v>86</v>
      </c>
      <c r="D133" s="11">
        <v>30</v>
      </c>
      <c r="E133" s="18">
        <v>2</v>
      </c>
      <c r="F133" s="24">
        <v>6.6666666666666666E-2</v>
      </c>
    </row>
    <row r="134" spans="2:6" x14ac:dyDescent="0.2">
      <c r="B134" s="5">
        <v>45799</v>
      </c>
      <c r="C134" t="s">
        <v>876</v>
      </c>
      <c r="D134" s="11">
        <v>66</v>
      </c>
      <c r="E134" s="18">
        <v>0</v>
      </c>
      <c r="F134" s="24">
        <v>0</v>
      </c>
    </row>
    <row r="135" spans="2:6" x14ac:dyDescent="0.2">
      <c r="B135" s="5">
        <v>45799</v>
      </c>
      <c r="C135" t="s">
        <v>877</v>
      </c>
      <c r="D135" s="11">
        <v>63</v>
      </c>
      <c r="E135" s="18">
        <v>0</v>
      </c>
      <c r="F135" s="24">
        <v>0</v>
      </c>
    </row>
    <row r="136" spans="2:6" x14ac:dyDescent="0.2">
      <c r="B136" s="5">
        <v>45799</v>
      </c>
      <c r="C136" t="s">
        <v>878</v>
      </c>
      <c r="D136" s="11">
        <v>491</v>
      </c>
      <c r="E136" s="18">
        <v>4</v>
      </c>
      <c r="F136" s="24">
        <v>8.1466395112016286E-3</v>
      </c>
    </row>
    <row r="137" spans="2:6" x14ac:dyDescent="0.2">
      <c r="B137" s="5">
        <v>45800</v>
      </c>
      <c r="C137" t="s">
        <v>875</v>
      </c>
      <c r="D137" s="11">
        <v>174</v>
      </c>
      <c r="E137" s="18">
        <v>0</v>
      </c>
      <c r="F137" s="24">
        <v>0</v>
      </c>
    </row>
    <row r="138" spans="2:6" x14ac:dyDescent="0.2">
      <c r="B138" s="5">
        <v>45800</v>
      </c>
      <c r="C138" t="s">
        <v>84</v>
      </c>
      <c r="D138" s="11">
        <v>16</v>
      </c>
      <c r="E138" s="18">
        <v>0</v>
      </c>
      <c r="F138" s="24">
        <v>0</v>
      </c>
    </row>
    <row r="139" spans="2:6" x14ac:dyDescent="0.2">
      <c r="B139" s="5">
        <v>45800</v>
      </c>
      <c r="C139" t="s">
        <v>86</v>
      </c>
      <c r="D139" s="11">
        <v>33</v>
      </c>
      <c r="E139" s="18">
        <v>0</v>
      </c>
      <c r="F139" s="24">
        <v>0</v>
      </c>
    </row>
    <row r="140" spans="2:6" x14ac:dyDescent="0.2">
      <c r="B140" s="5">
        <v>45800</v>
      </c>
      <c r="C140" t="s">
        <v>876</v>
      </c>
      <c r="D140" s="11">
        <v>22</v>
      </c>
      <c r="E140" s="18">
        <v>0</v>
      </c>
      <c r="F140" s="24">
        <v>0</v>
      </c>
    </row>
    <row r="141" spans="2:6" x14ac:dyDescent="0.2">
      <c r="B141" s="5">
        <v>45800</v>
      </c>
      <c r="C141" t="s">
        <v>877</v>
      </c>
      <c r="D141" s="11">
        <v>36</v>
      </c>
      <c r="E141" s="18">
        <v>2</v>
      </c>
      <c r="F141" s="24">
        <v>5.5555555555555552E-2</v>
      </c>
    </row>
    <row r="142" spans="2:6" x14ac:dyDescent="0.2">
      <c r="B142" s="5">
        <v>45800</v>
      </c>
      <c r="C142" t="s">
        <v>878</v>
      </c>
      <c r="D142" s="11">
        <v>281</v>
      </c>
      <c r="E142" s="18">
        <v>2</v>
      </c>
      <c r="F142" s="24">
        <v>7.1174377224199285E-3</v>
      </c>
    </row>
    <row r="143" spans="2:6" x14ac:dyDescent="0.2">
      <c r="B143" s="5">
        <v>45801</v>
      </c>
      <c r="C143" t="s">
        <v>875</v>
      </c>
      <c r="D143" s="11">
        <v>146</v>
      </c>
      <c r="E143" s="18">
        <v>0</v>
      </c>
      <c r="F143" s="24">
        <v>0</v>
      </c>
    </row>
    <row r="144" spans="2:6" x14ac:dyDescent="0.2">
      <c r="B144" s="5">
        <v>45801</v>
      </c>
      <c r="C144" t="s">
        <v>84</v>
      </c>
      <c r="D144" s="11">
        <v>21</v>
      </c>
      <c r="E144" s="18">
        <v>1</v>
      </c>
      <c r="F144" s="24">
        <v>4.7619047619047616E-2</v>
      </c>
    </row>
    <row r="145" spans="2:6" x14ac:dyDescent="0.2">
      <c r="B145" s="5">
        <v>45801</v>
      </c>
      <c r="C145" t="s">
        <v>86</v>
      </c>
      <c r="D145" s="11">
        <v>31</v>
      </c>
      <c r="E145" s="18">
        <v>0</v>
      </c>
      <c r="F145" s="24">
        <v>0</v>
      </c>
    </row>
    <row r="146" spans="2:6" x14ac:dyDescent="0.2">
      <c r="B146" s="5">
        <v>45801</v>
      </c>
      <c r="C146" t="s">
        <v>876</v>
      </c>
      <c r="D146" s="11">
        <v>27</v>
      </c>
      <c r="E146" s="18">
        <v>0</v>
      </c>
      <c r="F146" s="24">
        <v>0</v>
      </c>
    </row>
    <row r="147" spans="2:6" x14ac:dyDescent="0.2">
      <c r="B147" s="5">
        <v>45801</v>
      </c>
      <c r="C147" t="s">
        <v>877</v>
      </c>
      <c r="D147" s="11">
        <v>42</v>
      </c>
      <c r="E147" s="18">
        <v>4</v>
      </c>
      <c r="F147" s="24">
        <v>9.5238095238095233E-2</v>
      </c>
    </row>
    <row r="148" spans="2:6" x14ac:dyDescent="0.2">
      <c r="B148" s="5">
        <v>45801</v>
      </c>
      <c r="C148" t="s">
        <v>878</v>
      </c>
      <c r="D148" s="11">
        <v>267</v>
      </c>
      <c r="E148" s="18">
        <v>5</v>
      </c>
      <c r="F148" s="24">
        <v>1.8726591760299626E-2</v>
      </c>
    </row>
    <row r="149" spans="2:6" x14ac:dyDescent="0.2">
      <c r="B149" s="5">
        <v>45802</v>
      </c>
      <c r="C149" t="s">
        <v>875</v>
      </c>
      <c r="D149" s="11">
        <v>299</v>
      </c>
      <c r="E149" s="18">
        <v>2</v>
      </c>
      <c r="F149" s="24">
        <v>6.688963210702341E-3</v>
      </c>
    </row>
    <row r="150" spans="2:6" x14ac:dyDescent="0.2">
      <c r="B150" s="5">
        <v>45802</v>
      </c>
      <c r="C150" t="s">
        <v>84</v>
      </c>
      <c r="D150" s="11">
        <v>20</v>
      </c>
      <c r="E150" s="18">
        <v>1</v>
      </c>
      <c r="F150" s="24">
        <v>0.05</v>
      </c>
    </row>
    <row r="151" spans="2:6" x14ac:dyDescent="0.2">
      <c r="B151" s="5">
        <v>45802</v>
      </c>
      <c r="C151" t="s">
        <v>86</v>
      </c>
      <c r="D151" s="11">
        <v>33</v>
      </c>
      <c r="E151" s="18">
        <v>2</v>
      </c>
      <c r="F151" s="24">
        <v>6.0606060606060608E-2</v>
      </c>
    </row>
    <row r="152" spans="2:6" x14ac:dyDescent="0.2">
      <c r="B152" s="5">
        <v>45802</v>
      </c>
      <c r="C152" t="s">
        <v>876</v>
      </c>
      <c r="D152" s="11">
        <v>51</v>
      </c>
      <c r="E152" s="18">
        <v>0</v>
      </c>
      <c r="F152" s="24">
        <v>0</v>
      </c>
    </row>
    <row r="153" spans="2:6" x14ac:dyDescent="0.2">
      <c r="B153" s="5">
        <v>45802</v>
      </c>
      <c r="C153" t="s">
        <v>877</v>
      </c>
      <c r="D153" s="11">
        <v>36</v>
      </c>
      <c r="E153" s="18">
        <v>2</v>
      </c>
      <c r="F153" s="24">
        <v>5.5555555555555552E-2</v>
      </c>
    </row>
    <row r="154" spans="2:6" x14ac:dyDescent="0.2">
      <c r="B154" s="5">
        <v>45802</v>
      </c>
      <c r="C154" t="s">
        <v>878</v>
      </c>
      <c r="D154" s="11">
        <v>439</v>
      </c>
      <c r="E154" s="18">
        <v>7</v>
      </c>
      <c r="F154" s="24">
        <v>1.5945330296127564E-2</v>
      </c>
    </row>
    <row r="155" spans="2:6" x14ac:dyDescent="0.2">
      <c r="B155" s="5">
        <v>45803</v>
      </c>
      <c r="C155" t="s">
        <v>875</v>
      </c>
      <c r="D155" s="11">
        <v>38</v>
      </c>
      <c r="E155" s="18">
        <v>1</v>
      </c>
      <c r="F155" s="24">
        <v>2.6315789473684209E-2</v>
      </c>
    </row>
    <row r="156" spans="2:6" x14ac:dyDescent="0.2">
      <c r="B156" s="5">
        <v>45803</v>
      </c>
      <c r="C156" t="s">
        <v>84</v>
      </c>
      <c r="D156" s="11">
        <v>15</v>
      </c>
      <c r="E156" s="18">
        <v>0</v>
      </c>
      <c r="F156" s="24">
        <v>0</v>
      </c>
    </row>
    <row r="157" spans="2:6" x14ac:dyDescent="0.2">
      <c r="B157" s="5">
        <v>45803</v>
      </c>
      <c r="C157" t="s">
        <v>86</v>
      </c>
      <c r="D157" s="11">
        <v>37</v>
      </c>
      <c r="E157" s="18">
        <v>0</v>
      </c>
      <c r="F157" s="24">
        <v>0</v>
      </c>
    </row>
    <row r="158" spans="2:6" x14ac:dyDescent="0.2">
      <c r="B158" s="5">
        <v>45803</v>
      </c>
      <c r="C158" t="s">
        <v>876</v>
      </c>
      <c r="D158" s="11">
        <v>3</v>
      </c>
      <c r="E158" s="18">
        <v>0</v>
      </c>
      <c r="F158" s="24">
        <v>0</v>
      </c>
    </row>
    <row r="159" spans="2:6" x14ac:dyDescent="0.2">
      <c r="B159" s="5">
        <v>45803</v>
      </c>
      <c r="C159" t="s">
        <v>877</v>
      </c>
      <c r="D159" s="11">
        <v>47</v>
      </c>
      <c r="E159" s="18">
        <v>0</v>
      </c>
      <c r="F159" s="24">
        <v>0</v>
      </c>
    </row>
    <row r="160" spans="2:6" x14ac:dyDescent="0.2">
      <c r="B160" s="5">
        <v>45803</v>
      </c>
      <c r="C160" t="s">
        <v>878</v>
      </c>
      <c r="D160" s="11">
        <v>140</v>
      </c>
      <c r="E160" s="18">
        <v>1</v>
      </c>
      <c r="F160" s="24">
        <v>7.1428571428571426E-3</v>
      </c>
    </row>
    <row r="161" spans="2:6" x14ac:dyDescent="0.2">
      <c r="B161" s="5">
        <v>45804</v>
      </c>
      <c r="C161" t="s">
        <v>875</v>
      </c>
      <c r="D161" s="11">
        <v>352</v>
      </c>
      <c r="E161" s="18">
        <v>2</v>
      </c>
      <c r="F161" s="24">
        <v>5.681818181818182E-3</v>
      </c>
    </row>
    <row r="162" spans="2:6" x14ac:dyDescent="0.2">
      <c r="B162" s="5">
        <v>45804</v>
      </c>
      <c r="C162" t="s">
        <v>84</v>
      </c>
      <c r="D162" s="11">
        <v>34</v>
      </c>
      <c r="E162" s="18">
        <v>1</v>
      </c>
      <c r="F162" s="24">
        <v>2.9411764705882353E-2</v>
      </c>
    </row>
    <row r="163" spans="2:6" x14ac:dyDescent="0.2">
      <c r="B163" s="5">
        <v>45804</v>
      </c>
      <c r="C163" t="s">
        <v>86</v>
      </c>
      <c r="D163" s="11">
        <v>26</v>
      </c>
      <c r="E163" s="18">
        <v>1</v>
      </c>
      <c r="F163" s="24">
        <v>3.8461538461538464E-2</v>
      </c>
    </row>
    <row r="164" spans="2:6" x14ac:dyDescent="0.2">
      <c r="B164" s="5">
        <v>45804</v>
      </c>
      <c r="C164" t="s">
        <v>876</v>
      </c>
      <c r="D164" s="11">
        <v>34</v>
      </c>
      <c r="E164" s="18">
        <v>0</v>
      </c>
      <c r="F164" s="24">
        <v>0</v>
      </c>
    </row>
    <row r="165" spans="2:6" x14ac:dyDescent="0.2">
      <c r="B165" s="5">
        <v>45804</v>
      </c>
      <c r="C165" t="s">
        <v>877</v>
      </c>
      <c r="D165" s="11">
        <v>49</v>
      </c>
      <c r="E165" s="18">
        <v>1</v>
      </c>
      <c r="F165" s="24">
        <v>2.0408163265306121E-2</v>
      </c>
    </row>
    <row r="166" spans="2:6" x14ac:dyDescent="0.2">
      <c r="B166" s="5">
        <v>45804</v>
      </c>
      <c r="C166" t="s">
        <v>878</v>
      </c>
      <c r="D166" s="11">
        <v>495</v>
      </c>
      <c r="E166" s="18">
        <v>5</v>
      </c>
      <c r="F166" s="24">
        <v>1.0101010101010102E-2</v>
      </c>
    </row>
    <row r="167" spans="2:6" x14ac:dyDescent="0.2">
      <c r="B167" s="5">
        <v>45805</v>
      </c>
      <c r="C167" t="s">
        <v>875</v>
      </c>
      <c r="D167" s="11">
        <v>106</v>
      </c>
      <c r="E167" s="18">
        <v>0</v>
      </c>
      <c r="F167" s="24">
        <v>0</v>
      </c>
    </row>
    <row r="168" spans="2:6" x14ac:dyDescent="0.2">
      <c r="B168" s="5">
        <v>45805</v>
      </c>
      <c r="C168" t="s">
        <v>84</v>
      </c>
      <c r="D168" s="11">
        <v>15</v>
      </c>
      <c r="E168" s="18">
        <v>1</v>
      </c>
      <c r="F168" s="24">
        <v>6.6666666666666666E-2</v>
      </c>
    </row>
    <row r="169" spans="2:6" x14ac:dyDescent="0.2">
      <c r="B169" s="5">
        <v>45805</v>
      </c>
      <c r="C169" t="s">
        <v>86</v>
      </c>
      <c r="D169" s="11">
        <v>43</v>
      </c>
      <c r="E169" s="18">
        <v>1</v>
      </c>
      <c r="F169" s="24">
        <v>2.3255813953488372E-2</v>
      </c>
    </row>
    <row r="170" spans="2:6" x14ac:dyDescent="0.2">
      <c r="B170" s="5">
        <v>45805</v>
      </c>
      <c r="C170" t="s">
        <v>876</v>
      </c>
      <c r="D170" s="11">
        <v>16</v>
      </c>
      <c r="E170" s="18">
        <v>0</v>
      </c>
      <c r="F170" s="24">
        <v>0</v>
      </c>
    </row>
    <row r="171" spans="2:6" x14ac:dyDescent="0.2">
      <c r="B171" s="5">
        <v>45805</v>
      </c>
      <c r="C171" t="s">
        <v>877</v>
      </c>
      <c r="D171" s="11">
        <v>140</v>
      </c>
      <c r="E171" s="18">
        <v>8</v>
      </c>
      <c r="F171" s="24">
        <v>5.7142857142857141E-2</v>
      </c>
    </row>
    <row r="172" spans="2:6" x14ac:dyDescent="0.2">
      <c r="B172" s="5">
        <v>45805</v>
      </c>
      <c r="C172" t="s">
        <v>878</v>
      </c>
      <c r="D172" s="11">
        <v>320</v>
      </c>
      <c r="E172" s="18">
        <v>10</v>
      </c>
      <c r="F172" s="24">
        <v>3.125E-2</v>
      </c>
    </row>
    <row r="173" spans="2:6" x14ac:dyDescent="0.2">
      <c r="B173" s="5">
        <v>45806</v>
      </c>
      <c r="C173" t="s">
        <v>875</v>
      </c>
      <c r="D173" s="11">
        <v>309</v>
      </c>
      <c r="E173" s="18">
        <v>0</v>
      </c>
      <c r="F173" s="24">
        <v>0</v>
      </c>
    </row>
    <row r="174" spans="2:6" x14ac:dyDescent="0.2">
      <c r="B174" s="5">
        <v>45806</v>
      </c>
      <c r="C174" t="s">
        <v>84</v>
      </c>
      <c r="D174" s="11">
        <v>23</v>
      </c>
      <c r="E174" s="18">
        <v>0</v>
      </c>
      <c r="F174" s="24">
        <v>0</v>
      </c>
    </row>
    <row r="175" spans="2:6" x14ac:dyDescent="0.2">
      <c r="B175" s="5">
        <v>45806</v>
      </c>
      <c r="C175" t="s">
        <v>86</v>
      </c>
      <c r="D175" s="11">
        <v>27</v>
      </c>
      <c r="E175" s="18">
        <v>0</v>
      </c>
      <c r="F175" s="24">
        <v>0</v>
      </c>
    </row>
    <row r="176" spans="2:6" x14ac:dyDescent="0.2">
      <c r="B176" s="5">
        <v>45806</v>
      </c>
      <c r="C176" t="s">
        <v>876</v>
      </c>
      <c r="D176" s="11">
        <v>56</v>
      </c>
      <c r="E176" s="18">
        <v>0</v>
      </c>
      <c r="F176" s="24">
        <v>0</v>
      </c>
    </row>
    <row r="177" spans="2:6" x14ac:dyDescent="0.2">
      <c r="B177" s="5">
        <v>45806</v>
      </c>
      <c r="C177" t="s">
        <v>877</v>
      </c>
      <c r="D177" s="11">
        <v>70</v>
      </c>
      <c r="E177" s="18">
        <v>5</v>
      </c>
      <c r="F177" s="24">
        <v>7.1428571428571425E-2</v>
      </c>
    </row>
    <row r="178" spans="2:6" x14ac:dyDescent="0.2">
      <c r="B178" s="5">
        <v>45806</v>
      </c>
      <c r="C178" t="s">
        <v>878</v>
      </c>
      <c r="D178" s="11">
        <v>485</v>
      </c>
      <c r="E178" s="18">
        <v>5</v>
      </c>
      <c r="F178" s="24">
        <v>1.0309278350515464E-2</v>
      </c>
    </row>
    <row r="179" spans="2:6" x14ac:dyDescent="0.2">
      <c r="B179" s="5">
        <v>45807</v>
      </c>
      <c r="C179" t="s">
        <v>875</v>
      </c>
      <c r="D179" s="11">
        <v>11</v>
      </c>
      <c r="E179" s="18">
        <v>0</v>
      </c>
      <c r="F179" s="24">
        <v>0</v>
      </c>
    </row>
    <row r="180" spans="2:6" x14ac:dyDescent="0.2">
      <c r="B180" s="5">
        <v>45807</v>
      </c>
      <c r="C180" t="s">
        <v>84</v>
      </c>
      <c r="D180" s="11">
        <v>37</v>
      </c>
      <c r="E180" s="18">
        <v>0</v>
      </c>
      <c r="F180" s="24">
        <v>0</v>
      </c>
    </row>
    <row r="181" spans="2:6" x14ac:dyDescent="0.2">
      <c r="B181" s="5">
        <v>45807</v>
      </c>
      <c r="C181" t="s">
        <v>86</v>
      </c>
      <c r="D181" s="11">
        <v>24</v>
      </c>
      <c r="E181" s="18">
        <v>0</v>
      </c>
      <c r="F181" s="24">
        <v>0</v>
      </c>
    </row>
    <row r="182" spans="2:6" x14ac:dyDescent="0.2">
      <c r="B182" s="5">
        <v>45807</v>
      </c>
      <c r="C182" t="s">
        <v>877</v>
      </c>
      <c r="D182" s="11">
        <v>43</v>
      </c>
      <c r="E182" s="18">
        <v>3</v>
      </c>
      <c r="F182" s="24">
        <v>6.9767441860465115E-2</v>
      </c>
    </row>
    <row r="183" spans="2:6" x14ac:dyDescent="0.2">
      <c r="B183" s="5">
        <v>45807</v>
      </c>
      <c r="C183" t="s">
        <v>878</v>
      </c>
      <c r="D183" s="11">
        <v>115</v>
      </c>
      <c r="E183" s="18">
        <v>3</v>
      </c>
      <c r="F183" s="24">
        <v>2.6086956521739129E-2</v>
      </c>
    </row>
    <row r="184" spans="2:6" x14ac:dyDescent="0.2">
      <c r="B184" s="5">
        <v>45808</v>
      </c>
      <c r="C184" t="s">
        <v>875</v>
      </c>
      <c r="D184" s="11">
        <v>243</v>
      </c>
      <c r="E184" s="18">
        <v>0</v>
      </c>
      <c r="F184" s="24">
        <v>0</v>
      </c>
    </row>
    <row r="185" spans="2:6" x14ac:dyDescent="0.2">
      <c r="B185" s="5">
        <v>45808</v>
      </c>
      <c r="C185" t="s">
        <v>84</v>
      </c>
      <c r="D185" s="11">
        <v>30</v>
      </c>
      <c r="E185" s="18">
        <v>0</v>
      </c>
      <c r="F185" s="24">
        <v>0</v>
      </c>
    </row>
    <row r="186" spans="2:6" x14ac:dyDescent="0.2">
      <c r="B186" s="5">
        <v>45808</v>
      </c>
      <c r="C186" t="s">
        <v>86</v>
      </c>
      <c r="D186" s="11">
        <v>32</v>
      </c>
      <c r="E186" s="18">
        <v>1</v>
      </c>
      <c r="F186" s="24">
        <v>3.125E-2</v>
      </c>
    </row>
    <row r="187" spans="2:6" x14ac:dyDescent="0.2">
      <c r="B187" s="5">
        <v>45808</v>
      </c>
      <c r="C187" t="s">
        <v>876</v>
      </c>
      <c r="D187" s="11">
        <v>34</v>
      </c>
      <c r="E187" s="18">
        <v>0</v>
      </c>
      <c r="F187" s="24">
        <v>0</v>
      </c>
    </row>
    <row r="188" spans="2:6" x14ac:dyDescent="0.2">
      <c r="B188" s="5">
        <v>45808</v>
      </c>
      <c r="C188" t="s">
        <v>877</v>
      </c>
      <c r="D188" s="11">
        <v>22</v>
      </c>
      <c r="E188" s="18">
        <v>0</v>
      </c>
      <c r="F188" s="24">
        <v>0</v>
      </c>
    </row>
    <row r="189" spans="2:6" x14ac:dyDescent="0.2">
      <c r="B189" s="5">
        <v>45808</v>
      </c>
      <c r="C189" t="s">
        <v>878</v>
      </c>
      <c r="D189" s="11">
        <v>361</v>
      </c>
      <c r="E189" s="18">
        <v>1</v>
      </c>
      <c r="F189" s="24">
        <v>2.7700831024930748E-3</v>
      </c>
    </row>
    <row r="190" spans="2:6" x14ac:dyDescent="0.2">
      <c r="B190" s="5">
        <v>45809</v>
      </c>
      <c r="C190" t="s">
        <v>875</v>
      </c>
      <c r="D190" s="11">
        <v>189</v>
      </c>
      <c r="E190" s="18">
        <v>0</v>
      </c>
      <c r="F190" s="24">
        <v>0</v>
      </c>
    </row>
    <row r="191" spans="2:6" x14ac:dyDescent="0.2">
      <c r="B191" s="5">
        <v>45809</v>
      </c>
      <c r="C191" t="s">
        <v>84</v>
      </c>
      <c r="D191" s="11">
        <v>35</v>
      </c>
      <c r="E191" s="18">
        <v>5</v>
      </c>
      <c r="F191" s="24">
        <v>0.14285714285714285</v>
      </c>
    </row>
    <row r="192" spans="2:6" x14ac:dyDescent="0.2">
      <c r="B192" s="5">
        <v>45809</v>
      </c>
      <c r="C192" t="s">
        <v>86</v>
      </c>
      <c r="D192" s="11">
        <v>43</v>
      </c>
      <c r="E192" s="18">
        <v>2</v>
      </c>
      <c r="F192" s="24">
        <v>4.6511627906976744E-2</v>
      </c>
    </row>
    <row r="193" spans="2:6" x14ac:dyDescent="0.2">
      <c r="B193" s="5">
        <v>45809</v>
      </c>
      <c r="C193" t="s">
        <v>876</v>
      </c>
      <c r="D193" s="11">
        <v>50</v>
      </c>
      <c r="E193" s="18">
        <v>0</v>
      </c>
      <c r="F193" s="24">
        <v>0</v>
      </c>
    </row>
    <row r="194" spans="2:6" x14ac:dyDescent="0.2">
      <c r="B194" s="5">
        <v>45809</v>
      </c>
      <c r="C194" t="s">
        <v>877</v>
      </c>
      <c r="D194" s="11">
        <v>30</v>
      </c>
      <c r="E194" s="18">
        <v>2</v>
      </c>
      <c r="F194" s="24">
        <v>6.6666666666666666E-2</v>
      </c>
    </row>
    <row r="195" spans="2:6" x14ac:dyDescent="0.2">
      <c r="B195" s="5">
        <v>45809</v>
      </c>
      <c r="C195" t="s">
        <v>878</v>
      </c>
      <c r="D195" s="11">
        <v>347</v>
      </c>
      <c r="E195" s="18">
        <v>9</v>
      </c>
      <c r="F195" s="24">
        <v>2.5936599423631124E-2</v>
      </c>
    </row>
    <row r="196" spans="2:6" x14ac:dyDescent="0.2">
      <c r="B196" s="5">
        <v>45810</v>
      </c>
      <c r="C196" t="s">
        <v>875</v>
      </c>
      <c r="D196" s="11">
        <v>231</v>
      </c>
      <c r="E196" s="18">
        <v>2</v>
      </c>
      <c r="F196" s="24">
        <v>8.658008658008658E-3</v>
      </c>
    </row>
    <row r="197" spans="2:6" x14ac:dyDescent="0.2">
      <c r="B197" s="5">
        <v>45810</v>
      </c>
      <c r="C197" t="s">
        <v>84</v>
      </c>
      <c r="D197" s="11">
        <v>43</v>
      </c>
      <c r="E197" s="18">
        <v>0</v>
      </c>
      <c r="F197" s="24">
        <v>0</v>
      </c>
    </row>
    <row r="198" spans="2:6" x14ac:dyDescent="0.2">
      <c r="B198" s="5">
        <v>45810</v>
      </c>
      <c r="C198" t="s">
        <v>86</v>
      </c>
      <c r="D198" s="11">
        <v>41</v>
      </c>
      <c r="E198" s="18">
        <v>2</v>
      </c>
      <c r="F198" s="24">
        <v>4.878048780487805E-2</v>
      </c>
    </row>
    <row r="199" spans="2:6" x14ac:dyDescent="0.2">
      <c r="B199" s="5">
        <v>45810</v>
      </c>
      <c r="C199" t="s">
        <v>876</v>
      </c>
      <c r="D199" s="11">
        <v>34</v>
      </c>
      <c r="E199" s="18">
        <v>0</v>
      </c>
      <c r="F199" s="24">
        <v>0</v>
      </c>
    </row>
    <row r="200" spans="2:6" x14ac:dyDescent="0.2">
      <c r="B200" s="5">
        <v>45810</v>
      </c>
      <c r="C200" t="s">
        <v>879</v>
      </c>
      <c r="D200" s="11">
        <v>1</v>
      </c>
      <c r="E200" s="18">
        <v>0</v>
      </c>
      <c r="F200" s="24">
        <v>0</v>
      </c>
    </row>
    <row r="201" spans="2:6" x14ac:dyDescent="0.2">
      <c r="B201" s="5">
        <v>45810</v>
      </c>
      <c r="C201" t="s">
        <v>877</v>
      </c>
      <c r="D201" s="11">
        <v>57</v>
      </c>
      <c r="E201" s="18">
        <v>2</v>
      </c>
      <c r="F201" s="24">
        <v>3.5087719298245612E-2</v>
      </c>
    </row>
    <row r="202" spans="2:6" x14ac:dyDescent="0.2">
      <c r="B202" s="5">
        <v>45810</v>
      </c>
      <c r="C202" t="s">
        <v>878</v>
      </c>
      <c r="D202" s="11">
        <v>407</v>
      </c>
      <c r="E202" s="18">
        <v>6</v>
      </c>
      <c r="F202" s="24">
        <v>1.4742014742014743E-2</v>
      </c>
    </row>
    <row r="203" spans="2:6" x14ac:dyDescent="0.2">
      <c r="B203" s="5">
        <v>45811</v>
      </c>
      <c r="C203" t="s">
        <v>875</v>
      </c>
      <c r="D203" s="11">
        <v>80</v>
      </c>
      <c r="E203" s="18">
        <v>2</v>
      </c>
      <c r="F203" s="24">
        <v>2.5000000000000001E-2</v>
      </c>
    </row>
    <row r="204" spans="2:6" x14ac:dyDescent="0.2">
      <c r="B204" s="5">
        <v>45811</v>
      </c>
      <c r="C204" t="s">
        <v>84</v>
      </c>
      <c r="D204" s="11">
        <v>36</v>
      </c>
      <c r="E204" s="18">
        <v>0</v>
      </c>
      <c r="F204" s="24">
        <v>0</v>
      </c>
    </row>
    <row r="205" spans="2:6" x14ac:dyDescent="0.2">
      <c r="B205" s="5">
        <v>45811</v>
      </c>
      <c r="C205" t="s">
        <v>86</v>
      </c>
      <c r="D205" s="11">
        <v>37</v>
      </c>
      <c r="E205" s="18">
        <v>2</v>
      </c>
      <c r="F205" s="24">
        <v>5.4054054054054057E-2</v>
      </c>
    </row>
    <row r="206" spans="2:6" x14ac:dyDescent="0.2">
      <c r="B206" s="5">
        <v>45811</v>
      </c>
      <c r="C206" t="s">
        <v>876</v>
      </c>
      <c r="D206" s="11">
        <v>46</v>
      </c>
      <c r="E206" s="18">
        <v>0</v>
      </c>
      <c r="F206" s="24">
        <v>0</v>
      </c>
    </row>
    <row r="207" spans="2:6" x14ac:dyDescent="0.2">
      <c r="B207" s="5">
        <v>45811</v>
      </c>
      <c r="C207" t="s">
        <v>877</v>
      </c>
      <c r="D207" s="11">
        <v>71</v>
      </c>
      <c r="E207" s="18">
        <v>3</v>
      </c>
      <c r="F207" s="24">
        <v>4.2253521126760563E-2</v>
      </c>
    </row>
    <row r="208" spans="2:6" x14ac:dyDescent="0.2">
      <c r="B208" s="5">
        <v>45811</v>
      </c>
      <c r="C208" t="s">
        <v>878</v>
      </c>
      <c r="D208" s="11">
        <v>270</v>
      </c>
      <c r="E208" s="18">
        <v>7</v>
      </c>
      <c r="F208" s="24">
        <v>2.5925925925925925E-2</v>
      </c>
    </row>
    <row r="209" spans="2:6" x14ac:dyDescent="0.2">
      <c r="B209" s="5">
        <v>45812</v>
      </c>
      <c r="C209" t="s">
        <v>875</v>
      </c>
      <c r="D209" s="11">
        <v>230</v>
      </c>
      <c r="E209" s="18">
        <v>0</v>
      </c>
      <c r="F209" s="24">
        <v>0</v>
      </c>
    </row>
    <row r="210" spans="2:6" x14ac:dyDescent="0.2">
      <c r="B210" s="5">
        <v>45812</v>
      </c>
      <c r="C210" t="s">
        <v>84</v>
      </c>
      <c r="D210" s="11">
        <v>30</v>
      </c>
      <c r="E210" s="18">
        <v>1</v>
      </c>
      <c r="F210" s="24">
        <v>3.3333333333333333E-2</v>
      </c>
    </row>
    <row r="211" spans="2:6" x14ac:dyDescent="0.2">
      <c r="B211" s="5">
        <v>45812</v>
      </c>
      <c r="C211" t="s">
        <v>86</v>
      </c>
      <c r="D211" s="11">
        <v>30</v>
      </c>
      <c r="E211" s="18">
        <v>0</v>
      </c>
      <c r="F211" s="24">
        <v>0</v>
      </c>
    </row>
    <row r="212" spans="2:6" x14ac:dyDescent="0.2">
      <c r="B212" s="5">
        <v>45812</v>
      </c>
      <c r="C212" t="s">
        <v>876</v>
      </c>
      <c r="D212" s="11">
        <v>103</v>
      </c>
      <c r="E212" s="18">
        <v>0</v>
      </c>
      <c r="F212" s="24">
        <v>0</v>
      </c>
    </row>
    <row r="213" spans="2:6" x14ac:dyDescent="0.2">
      <c r="B213" s="5">
        <v>45812</v>
      </c>
      <c r="C213" t="s">
        <v>877</v>
      </c>
      <c r="D213" s="11">
        <v>1395</v>
      </c>
      <c r="E213" s="18">
        <v>5</v>
      </c>
      <c r="F213" s="24">
        <v>3.5842293906810036E-3</v>
      </c>
    </row>
    <row r="214" spans="2:6" x14ac:dyDescent="0.2">
      <c r="B214" s="5">
        <v>45812</v>
      </c>
      <c r="C214" t="s">
        <v>878</v>
      </c>
      <c r="D214" s="11">
        <v>1788</v>
      </c>
      <c r="E214" s="18">
        <v>6</v>
      </c>
      <c r="F214" s="24">
        <v>3.3557046979865771E-3</v>
      </c>
    </row>
    <row r="215" spans="2:6" x14ac:dyDescent="0.2">
      <c r="B215" s="5">
        <v>45813</v>
      </c>
      <c r="C215" t="s">
        <v>875</v>
      </c>
      <c r="D215" s="11">
        <v>111</v>
      </c>
      <c r="E215" s="18">
        <v>0</v>
      </c>
      <c r="F215" s="24">
        <v>0</v>
      </c>
    </row>
    <row r="216" spans="2:6" x14ac:dyDescent="0.2">
      <c r="B216" s="5">
        <v>45813</v>
      </c>
      <c r="C216" t="s">
        <v>84</v>
      </c>
      <c r="D216" s="11">
        <v>24</v>
      </c>
      <c r="E216" s="18">
        <v>1</v>
      </c>
      <c r="F216" s="24">
        <v>4.1666666666666664E-2</v>
      </c>
    </row>
    <row r="217" spans="2:6" x14ac:dyDescent="0.2">
      <c r="B217" s="5">
        <v>45813</v>
      </c>
      <c r="C217" t="s">
        <v>86</v>
      </c>
      <c r="D217" s="11">
        <v>36</v>
      </c>
      <c r="E217" s="18">
        <v>0</v>
      </c>
      <c r="F217" s="24">
        <v>0</v>
      </c>
    </row>
    <row r="218" spans="2:6" x14ac:dyDescent="0.2">
      <c r="B218" s="5">
        <v>45813</v>
      </c>
      <c r="C218" t="s">
        <v>876</v>
      </c>
      <c r="D218" s="11">
        <v>30</v>
      </c>
      <c r="E218" s="18">
        <v>0</v>
      </c>
      <c r="F218" s="24">
        <v>0</v>
      </c>
    </row>
    <row r="219" spans="2:6" x14ac:dyDescent="0.2">
      <c r="B219" s="5">
        <v>45813</v>
      </c>
      <c r="C219" t="s">
        <v>877</v>
      </c>
      <c r="D219" s="11">
        <v>102</v>
      </c>
      <c r="E219" s="18">
        <v>7</v>
      </c>
      <c r="F219" s="24">
        <v>6.8627450980392163E-2</v>
      </c>
    </row>
    <row r="220" spans="2:6" x14ac:dyDescent="0.2">
      <c r="B220" s="5">
        <v>45813</v>
      </c>
      <c r="C220" t="s">
        <v>878</v>
      </c>
      <c r="D220" s="11">
        <v>303</v>
      </c>
      <c r="E220" s="18">
        <v>8</v>
      </c>
      <c r="F220" s="24">
        <v>2.6402640264026403E-2</v>
      </c>
    </row>
    <row r="221" spans="2:6" x14ac:dyDescent="0.2">
      <c r="B221" s="5">
        <v>45814</v>
      </c>
      <c r="C221" t="s">
        <v>875</v>
      </c>
      <c r="D221" s="11">
        <v>301</v>
      </c>
      <c r="E221" s="18">
        <v>2</v>
      </c>
      <c r="F221" s="24">
        <v>6.6445182724252493E-3</v>
      </c>
    </row>
    <row r="222" spans="2:6" x14ac:dyDescent="0.2">
      <c r="B222" s="5">
        <v>45814</v>
      </c>
      <c r="C222" t="s">
        <v>84</v>
      </c>
      <c r="D222" s="11">
        <v>26</v>
      </c>
      <c r="E222" s="18">
        <v>1</v>
      </c>
      <c r="F222" s="24">
        <v>3.8461538461538464E-2</v>
      </c>
    </row>
    <row r="223" spans="2:6" x14ac:dyDescent="0.2">
      <c r="B223" s="5">
        <v>45814</v>
      </c>
      <c r="C223" t="s">
        <v>86</v>
      </c>
      <c r="D223" s="11">
        <v>23</v>
      </c>
      <c r="E223" s="18">
        <v>1</v>
      </c>
      <c r="F223" s="24">
        <v>4.3478260869565216E-2</v>
      </c>
    </row>
    <row r="224" spans="2:6" x14ac:dyDescent="0.2">
      <c r="B224" s="5">
        <v>45814</v>
      </c>
      <c r="C224" t="s">
        <v>876</v>
      </c>
      <c r="D224" s="11">
        <v>43</v>
      </c>
      <c r="E224" s="18">
        <v>0</v>
      </c>
      <c r="F224" s="24">
        <v>0</v>
      </c>
    </row>
    <row r="225" spans="2:6" x14ac:dyDescent="0.2">
      <c r="B225" s="5">
        <v>45814</v>
      </c>
      <c r="C225" t="s">
        <v>877</v>
      </c>
      <c r="D225" s="11">
        <v>51</v>
      </c>
      <c r="E225" s="18">
        <v>3</v>
      </c>
      <c r="F225" s="24">
        <v>5.8823529411764705E-2</v>
      </c>
    </row>
    <row r="226" spans="2:6" x14ac:dyDescent="0.2">
      <c r="B226" s="5">
        <v>45814</v>
      </c>
      <c r="C226" t="s">
        <v>878</v>
      </c>
      <c r="D226" s="11">
        <v>444</v>
      </c>
      <c r="E226" s="18">
        <v>7</v>
      </c>
      <c r="F226" s="24">
        <v>1.5765765765765764E-2</v>
      </c>
    </row>
    <row r="227" spans="2:6" x14ac:dyDescent="0.2">
      <c r="B227" s="5">
        <v>45815</v>
      </c>
      <c r="C227" t="s">
        <v>875</v>
      </c>
      <c r="D227" s="11">
        <v>166</v>
      </c>
      <c r="E227" s="18">
        <v>0</v>
      </c>
      <c r="F227" s="24">
        <v>0</v>
      </c>
    </row>
    <row r="228" spans="2:6" x14ac:dyDescent="0.2">
      <c r="B228" s="5">
        <v>45815</v>
      </c>
      <c r="C228" t="s">
        <v>84</v>
      </c>
      <c r="D228" s="11">
        <v>33</v>
      </c>
      <c r="E228" s="18">
        <v>0</v>
      </c>
      <c r="F228" s="24">
        <v>0</v>
      </c>
    </row>
    <row r="229" spans="2:6" x14ac:dyDescent="0.2">
      <c r="B229" s="5">
        <v>45815</v>
      </c>
      <c r="C229" t="s">
        <v>86</v>
      </c>
      <c r="D229" s="11">
        <v>25</v>
      </c>
      <c r="E229" s="18">
        <v>1</v>
      </c>
      <c r="F229" s="24">
        <v>0.04</v>
      </c>
    </row>
    <row r="230" spans="2:6" x14ac:dyDescent="0.2">
      <c r="B230" s="5">
        <v>45815</v>
      </c>
      <c r="C230" t="s">
        <v>876</v>
      </c>
      <c r="D230" s="11">
        <v>21</v>
      </c>
      <c r="E230" s="18">
        <v>0</v>
      </c>
      <c r="F230" s="24">
        <v>0</v>
      </c>
    </row>
    <row r="231" spans="2:6" x14ac:dyDescent="0.2">
      <c r="B231" s="5">
        <v>45815</v>
      </c>
      <c r="C231" t="s">
        <v>877</v>
      </c>
      <c r="D231" s="11">
        <v>48</v>
      </c>
      <c r="E231" s="18">
        <v>0</v>
      </c>
      <c r="F231" s="24">
        <v>0</v>
      </c>
    </row>
    <row r="232" spans="2:6" x14ac:dyDescent="0.2">
      <c r="B232" s="5">
        <v>45815</v>
      </c>
      <c r="C232" t="s">
        <v>878</v>
      </c>
      <c r="D232" s="11">
        <v>293</v>
      </c>
      <c r="E232" s="18">
        <v>1</v>
      </c>
      <c r="F232" s="24">
        <v>3.4129692832764505E-3</v>
      </c>
    </row>
    <row r="233" spans="2:6" x14ac:dyDescent="0.2">
      <c r="B233" s="5">
        <v>45816</v>
      </c>
      <c r="C233" t="s">
        <v>875</v>
      </c>
      <c r="D233" s="11">
        <v>173</v>
      </c>
      <c r="E233" s="18">
        <v>1</v>
      </c>
      <c r="F233" s="24">
        <v>5.7803468208092483E-3</v>
      </c>
    </row>
    <row r="234" spans="2:6" x14ac:dyDescent="0.2">
      <c r="B234" s="5">
        <v>45816</v>
      </c>
      <c r="C234" t="s">
        <v>84</v>
      </c>
      <c r="D234" s="11">
        <v>29</v>
      </c>
      <c r="E234" s="18">
        <v>1</v>
      </c>
      <c r="F234" s="24">
        <v>3.4482758620689655E-2</v>
      </c>
    </row>
    <row r="235" spans="2:6" x14ac:dyDescent="0.2">
      <c r="B235" s="5">
        <v>45816</v>
      </c>
      <c r="C235" t="s">
        <v>86</v>
      </c>
      <c r="D235" s="11">
        <v>11</v>
      </c>
      <c r="E235" s="18">
        <v>0</v>
      </c>
      <c r="F235" s="24">
        <v>0</v>
      </c>
    </row>
    <row r="236" spans="2:6" x14ac:dyDescent="0.2">
      <c r="B236" s="5">
        <v>45816</v>
      </c>
      <c r="C236" t="s">
        <v>876</v>
      </c>
      <c r="D236" s="11">
        <v>53</v>
      </c>
      <c r="E236" s="18">
        <v>0</v>
      </c>
      <c r="F236" s="24">
        <v>0</v>
      </c>
    </row>
    <row r="237" spans="2:6" x14ac:dyDescent="0.2">
      <c r="B237" s="5">
        <v>45816</v>
      </c>
      <c r="C237" t="s">
        <v>877</v>
      </c>
      <c r="D237" s="11">
        <v>32</v>
      </c>
      <c r="E237" s="18">
        <v>1</v>
      </c>
      <c r="F237" s="24">
        <v>3.125E-2</v>
      </c>
    </row>
    <row r="238" spans="2:6" x14ac:dyDescent="0.2">
      <c r="B238" s="5">
        <v>45816</v>
      </c>
      <c r="C238" t="s">
        <v>878</v>
      </c>
      <c r="D238" s="11">
        <v>298</v>
      </c>
      <c r="E238" s="18">
        <v>3</v>
      </c>
      <c r="F238" s="24">
        <v>1.0067114093959731E-2</v>
      </c>
    </row>
    <row r="239" spans="2:6" x14ac:dyDescent="0.2">
      <c r="B239" s="5">
        <v>45817</v>
      </c>
      <c r="C239" t="s">
        <v>875</v>
      </c>
      <c r="D239" s="11">
        <v>200</v>
      </c>
      <c r="E239" s="18">
        <v>0</v>
      </c>
      <c r="F239" s="24">
        <v>0</v>
      </c>
    </row>
    <row r="240" spans="2:6" x14ac:dyDescent="0.2">
      <c r="B240" s="5">
        <v>45817</v>
      </c>
      <c r="C240" t="s">
        <v>84</v>
      </c>
      <c r="D240" s="11">
        <v>36</v>
      </c>
      <c r="E240" s="18">
        <v>1</v>
      </c>
      <c r="F240" s="24">
        <v>2.7777777777777776E-2</v>
      </c>
    </row>
    <row r="241" spans="2:6" x14ac:dyDescent="0.2">
      <c r="B241" s="5">
        <v>45817</v>
      </c>
      <c r="C241" t="s">
        <v>86</v>
      </c>
      <c r="D241" s="11">
        <v>27</v>
      </c>
      <c r="E241" s="18">
        <v>3</v>
      </c>
      <c r="F241" s="24">
        <v>0.1111111111111111</v>
      </c>
    </row>
    <row r="242" spans="2:6" x14ac:dyDescent="0.2">
      <c r="B242" s="5">
        <v>45817</v>
      </c>
      <c r="C242" t="s">
        <v>876</v>
      </c>
      <c r="D242" s="11">
        <v>45</v>
      </c>
      <c r="E242" s="18">
        <v>0</v>
      </c>
      <c r="F242" s="24">
        <v>0</v>
      </c>
    </row>
    <row r="243" spans="2:6" x14ac:dyDescent="0.2">
      <c r="B243" s="5">
        <v>45817</v>
      </c>
      <c r="C243" t="s">
        <v>877</v>
      </c>
      <c r="D243" s="11">
        <v>62</v>
      </c>
      <c r="E243" s="18">
        <v>4</v>
      </c>
      <c r="F243" s="24">
        <v>6.4516129032258063E-2</v>
      </c>
    </row>
    <row r="244" spans="2:6" x14ac:dyDescent="0.2">
      <c r="B244" s="5">
        <v>45817</v>
      </c>
      <c r="C244" t="s">
        <v>878</v>
      </c>
      <c r="D244" s="11">
        <v>370</v>
      </c>
      <c r="E244" s="18">
        <v>8</v>
      </c>
      <c r="F244" s="24">
        <v>2.1621621621621623E-2</v>
      </c>
    </row>
    <row r="245" spans="2:6" x14ac:dyDescent="0.2">
      <c r="B245" s="5">
        <v>45818</v>
      </c>
      <c r="C245" t="s">
        <v>875</v>
      </c>
      <c r="D245" s="11">
        <v>137</v>
      </c>
      <c r="E245" s="18">
        <v>0</v>
      </c>
      <c r="F245" s="24">
        <v>0</v>
      </c>
    </row>
    <row r="246" spans="2:6" x14ac:dyDescent="0.2">
      <c r="B246" s="5">
        <v>45818</v>
      </c>
      <c r="C246" t="s">
        <v>84</v>
      </c>
      <c r="D246" s="11">
        <v>31</v>
      </c>
      <c r="E246" s="18">
        <v>3</v>
      </c>
      <c r="F246" s="24">
        <v>9.6774193548387094E-2</v>
      </c>
    </row>
    <row r="247" spans="2:6" x14ac:dyDescent="0.2">
      <c r="B247" s="5">
        <v>45818</v>
      </c>
      <c r="C247" t="s">
        <v>86</v>
      </c>
      <c r="D247" s="11">
        <v>30</v>
      </c>
      <c r="E247" s="18">
        <v>0</v>
      </c>
      <c r="F247" s="24">
        <v>0</v>
      </c>
    </row>
    <row r="248" spans="2:6" x14ac:dyDescent="0.2">
      <c r="B248" s="5">
        <v>45818</v>
      </c>
      <c r="C248" t="s">
        <v>876</v>
      </c>
      <c r="D248" s="11">
        <v>29</v>
      </c>
      <c r="E248" s="18">
        <v>0</v>
      </c>
      <c r="F248" s="24">
        <v>0</v>
      </c>
    </row>
    <row r="249" spans="2:6" x14ac:dyDescent="0.2">
      <c r="B249" s="5">
        <v>45818</v>
      </c>
      <c r="C249" t="s">
        <v>877</v>
      </c>
      <c r="D249" s="11">
        <v>61</v>
      </c>
      <c r="E249" s="18">
        <v>3</v>
      </c>
      <c r="F249" s="24">
        <v>4.9180327868852458E-2</v>
      </c>
    </row>
    <row r="250" spans="2:6" x14ac:dyDescent="0.2">
      <c r="B250" s="5">
        <v>45818</v>
      </c>
      <c r="C250" t="s">
        <v>878</v>
      </c>
      <c r="D250" s="11">
        <v>288</v>
      </c>
      <c r="E250" s="18">
        <v>6</v>
      </c>
      <c r="F250" s="24">
        <v>2.0833333333333332E-2</v>
      </c>
    </row>
    <row r="251" spans="2:6" x14ac:dyDescent="0.2">
      <c r="B251" s="5">
        <v>45819</v>
      </c>
      <c r="C251" t="s">
        <v>875</v>
      </c>
      <c r="D251" s="11">
        <v>336</v>
      </c>
      <c r="E251" s="18">
        <v>0</v>
      </c>
      <c r="F251" s="24">
        <v>0</v>
      </c>
    </row>
    <row r="252" spans="2:6" x14ac:dyDescent="0.2">
      <c r="B252" s="5">
        <v>45819</v>
      </c>
      <c r="C252" t="s">
        <v>84</v>
      </c>
      <c r="D252" s="11">
        <v>22</v>
      </c>
      <c r="E252" s="18">
        <v>0</v>
      </c>
      <c r="F252" s="24">
        <v>0</v>
      </c>
    </row>
    <row r="253" spans="2:6" x14ac:dyDescent="0.2">
      <c r="B253" s="5">
        <v>45819</v>
      </c>
      <c r="C253" t="s">
        <v>86</v>
      </c>
      <c r="D253" s="11">
        <v>24</v>
      </c>
      <c r="E253" s="18">
        <v>0</v>
      </c>
      <c r="F253" s="24">
        <v>0</v>
      </c>
    </row>
    <row r="254" spans="2:6" x14ac:dyDescent="0.2">
      <c r="B254" s="5">
        <v>45819</v>
      </c>
      <c r="C254" t="s">
        <v>876</v>
      </c>
      <c r="D254" s="11">
        <v>65</v>
      </c>
      <c r="E254" s="18">
        <v>0</v>
      </c>
      <c r="F254" s="24">
        <v>0</v>
      </c>
    </row>
    <row r="255" spans="2:6" x14ac:dyDescent="0.2">
      <c r="B255" s="5">
        <v>45819</v>
      </c>
      <c r="C255" t="s">
        <v>877</v>
      </c>
      <c r="D255" s="11">
        <v>58</v>
      </c>
      <c r="E255" s="18">
        <v>2</v>
      </c>
      <c r="F255" s="24">
        <v>3.4482758620689655E-2</v>
      </c>
    </row>
    <row r="256" spans="2:6" x14ac:dyDescent="0.2">
      <c r="B256" s="5">
        <v>45819</v>
      </c>
      <c r="C256" t="s">
        <v>878</v>
      </c>
      <c r="D256" s="11">
        <v>505</v>
      </c>
      <c r="E256" s="18">
        <v>2</v>
      </c>
      <c r="F256" s="24">
        <v>3.9603960396039604E-3</v>
      </c>
    </row>
    <row r="257" spans="2:6" x14ac:dyDescent="0.2">
      <c r="B257" s="5">
        <v>45820</v>
      </c>
      <c r="C257" t="s">
        <v>875</v>
      </c>
      <c r="D257" s="11">
        <v>118</v>
      </c>
      <c r="E257" s="18">
        <v>1</v>
      </c>
      <c r="F257" s="24">
        <v>8.4745762711864406E-3</v>
      </c>
    </row>
    <row r="258" spans="2:6" x14ac:dyDescent="0.2">
      <c r="B258" s="5">
        <v>45820</v>
      </c>
      <c r="C258" t="s">
        <v>84</v>
      </c>
      <c r="D258" s="11">
        <v>27</v>
      </c>
      <c r="E258" s="18">
        <v>0</v>
      </c>
      <c r="F258" s="24">
        <v>0</v>
      </c>
    </row>
    <row r="259" spans="2:6" x14ac:dyDescent="0.2">
      <c r="B259" s="5">
        <v>45820</v>
      </c>
      <c r="C259" t="s">
        <v>86</v>
      </c>
      <c r="D259" s="11">
        <v>34</v>
      </c>
      <c r="E259" s="18">
        <v>0</v>
      </c>
      <c r="F259" s="24">
        <v>0</v>
      </c>
    </row>
    <row r="260" spans="2:6" x14ac:dyDescent="0.2">
      <c r="B260" s="5">
        <v>45820</v>
      </c>
      <c r="C260" t="s">
        <v>876</v>
      </c>
      <c r="D260" s="11">
        <v>26</v>
      </c>
      <c r="E260" s="18">
        <v>0</v>
      </c>
      <c r="F260" s="24">
        <v>0</v>
      </c>
    </row>
    <row r="261" spans="2:6" x14ac:dyDescent="0.2">
      <c r="B261" s="5">
        <v>45820</v>
      </c>
      <c r="C261" t="s">
        <v>877</v>
      </c>
      <c r="D261" s="11">
        <v>169</v>
      </c>
      <c r="E261" s="18">
        <v>3</v>
      </c>
      <c r="F261" s="24">
        <v>1.7751479289940829E-2</v>
      </c>
    </row>
    <row r="262" spans="2:6" x14ac:dyDescent="0.2">
      <c r="B262" s="5">
        <v>45820</v>
      </c>
      <c r="C262" t="s">
        <v>878</v>
      </c>
      <c r="D262" s="11">
        <v>374</v>
      </c>
      <c r="E262" s="18">
        <v>4</v>
      </c>
      <c r="F262" s="24">
        <v>1.06951871657754E-2</v>
      </c>
    </row>
    <row r="263" spans="2:6" x14ac:dyDescent="0.2">
      <c r="B263" s="5">
        <v>45821</v>
      </c>
      <c r="C263" t="s">
        <v>875</v>
      </c>
      <c r="D263" s="11">
        <v>325</v>
      </c>
      <c r="E263" s="18">
        <v>0</v>
      </c>
      <c r="F263" s="24">
        <v>0</v>
      </c>
    </row>
    <row r="264" spans="2:6" x14ac:dyDescent="0.2">
      <c r="B264" s="5">
        <v>45821</v>
      </c>
      <c r="C264" t="s">
        <v>84</v>
      </c>
      <c r="D264" s="11">
        <v>40</v>
      </c>
      <c r="E264" s="18">
        <v>1</v>
      </c>
      <c r="F264" s="24">
        <v>2.5000000000000001E-2</v>
      </c>
    </row>
    <row r="265" spans="2:6" x14ac:dyDescent="0.2">
      <c r="B265" s="5">
        <v>45821</v>
      </c>
      <c r="C265" t="s">
        <v>86</v>
      </c>
      <c r="D265" s="11">
        <v>18</v>
      </c>
      <c r="E265" s="18">
        <v>1</v>
      </c>
      <c r="F265" s="24">
        <v>5.5555555555555552E-2</v>
      </c>
    </row>
    <row r="266" spans="2:6" x14ac:dyDescent="0.2">
      <c r="B266" s="5">
        <v>45821</v>
      </c>
      <c r="C266" t="s">
        <v>876</v>
      </c>
      <c r="D266" s="11">
        <v>33</v>
      </c>
      <c r="E266" s="18">
        <v>0</v>
      </c>
      <c r="F266" s="24">
        <v>0</v>
      </c>
    </row>
    <row r="267" spans="2:6" x14ac:dyDescent="0.2">
      <c r="B267" s="5">
        <v>45821</v>
      </c>
      <c r="C267" t="s">
        <v>877</v>
      </c>
      <c r="D267" s="11">
        <v>56</v>
      </c>
      <c r="E267" s="18">
        <v>1</v>
      </c>
      <c r="F267" s="24">
        <v>1.7857142857142856E-2</v>
      </c>
    </row>
    <row r="268" spans="2:6" x14ac:dyDescent="0.2">
      <c r="B268" s="5">
        <v>45821</v>
      </c>
      <c r="C268" t="s">
        <v>878</v>
      </c>
      <c r="D268" s="11">
        <v>472</v>
      </c>
      <c r="E268" s="18">
        <v>3</v>
      </c>
      <c r="F268" s="24">
        <v>6.3559322033898309E-3</v>
      </c>
    </row>
    <row r="269" spans="2:6" x14ac:dyDescent="0.2">
      <c r="B269" s="5">
        <v>45822</v>
      </c>
      <c r="C269" t="s">
        <v>875</v>
      </c>
      <c r="D269" s="11">
        <v>230</v>
      </c>
      <c r="E269" s="18">
        <v>1</v>
      </c>
      <c r="F269" s="24">
        <v>4.3478260869565218E-3</v>
      </c>
    </row>
    <row r="270" spans="2:6" x14ac:dyDescent="0.2">
      <c r="B270" s="5">
        <v>45822</v>
      </c>
      <c r="C270" t="s">
        <v>84</v>
      </c>
      <c r="D270" s="11">
        <v>49</v>
      </c>
      <c r="E270" s="18">
        <v>1</v>
      </c>
      <c r="F270" s="24">
        <v>2.0408163265306121E-2</v>
      </c>
    </row>
    <row r="271" spans="2:6" x14ac:dyDescent="0.2">
      <c r="B271" s="5">
        <v>45822</v>
      </c>
      <c r="C271" t="s">
        <v>86</v>
      </c>
      <c r="D271" s="11">
        <v>19</v>
      </c>
      <c r="E271" s="18">
        <v>0</v>
      </c>
      <c r="F271" s="24">
        <v>0</v>
      </c>
    </row>
    <row r="272" spans="2:6" x14ac:dyDescent="0.2">
      <c r="B272" s="5">
        <v>45822</v>
      </c>
      <c r="C272" t="s">
        <v>876</v>
      </c>
      <c r="D272" s="11">
        <v>18</v>
      </c>
      <c r="E272" s="18">
        <v>0</v>
      </c>
      <c r="F272" s="24">
        <v>0</v>
      </c>
    </row>
    <row r="273" spans="2:6" x14ac:dyDescent="0.2">
      <c r="B273" s="5">
        <v>45822</v>
      </c>
      <c r="C273" t="s">
        <v>877</v>
      </c>
      <c r="D273" s="11">
        <v>61</v>
      </c>
      <c r="E273" s="18">
        <v>3</v>
      </c>
      <c r="F273" s="24">
        <v>4.9180327868852458E-2</v>
      </c>
    </row>
    <row r="274" spans="2:6" x14ac:dyDescent="0.2">
      <c r="B274" s="5">
        <v>45822</v>
      </c>
      <c r="C274" t="s">
        <v>878</v>
      </c>
      <c r="D274" s="11">
        <v>377</v>
      </c>
      <c r="E274" s="18">
        <v>5</v>
      </c>
      <c r="F274" s="24">
        <v>1.3262599469496022E-2</v>
      </c>
    </row>
    <row r="275" spans="2:6" x14ac:dyDescent="0.2">
      <c r="B275" s="5">
        <v>45823</v>
      </c>
      <c r="C275" t="s">
        <v>875</v>
      </c>
      <c r="D275" s="11">
        <v>685</v>
      </c>
      <c r="E275" s="18">
        <v>0</v>
      </c>
      <c r="F275" s="24">
        <v>0</v>
      </c>
    </row>
    <row r="276" spans="2:6" x14ac:dyDescent="0.2">
      <c r="B276" s="5">
        <v>45823</v>
      </c>
      <c r="C276" t="s">
        <v>84</v>
      </c>
      <c r="D276" s="11">
        <v>48</v>
      </c>
      <c r="E276" s="18">
        <v>2</v>
      </c>
      <c r="F276" s="24">
        <v>4.1666666666666664E-2</v>
      </c>
    </row>
    <row r="277" spans="2:6" x14ac:dyDescent="0.2">
      <c r="B277" s="5">
        <v>45823</v>
      </c>
      <c r="C277" t="s">
        <v>86</v>
      </c>
      <c r="D277" s="11">
        <v>20</v>
      </c>
      <c r="E277" s="18">
        <v>1</v>
      </c>
      <c r="F277" s="24">
        <v>0.05</v>
      </c>
    </row>
    <row r="278" spans="2:6" x14ac:dyDescent="0.2">
      <c r="B278" s="5">
        <v>45823</v>
      </c>
      <c r="C278" t="s">
        <v>876</v>
      </c>
      <c r="D278" s="11">
        <v>108</v>
      </c>
      <c r="E278" s="18">
        <v>0</v>
      </c>
      <c r="F278" s="24">
        <v>0</v>
      </c>
    </row>
    <row r="279" spans="2:6" x14ac:dyDescent="0.2">
      <c r="B279" s="5">
        <v>45823</v>
      </c>
      <c r="C279" t="s">
        <v>877</v>
      </c>
      <c r="D279" s="11">
        <v>50</v>
      </c>
      <c r="E279" s="18">
        <v>3</v>
      </c>
      <c r="F279" s="24">
        <v>0.06</v>
      </c>
    </row>
    <row r="280" spans="2:6" x14ac:dyDescent="0.2">
      <c r="B280" s="5">
        <v>45823</v>
      </c>
      <c r="C280" t="s">
        <v>878</v>
      </c>
      <c r="D280" s="11">
        <v>911</v>
      </c>
      <c r="E280" s="18">
        <v>6</v>
      </c>
      <c r="F280" s="24">
        <v>6.5861690450054883E-3</v>
      </c>
    </row>
    <row r="281" spans="2:6" x14ac:dyDescent="0.2">
      <c r="B281" s="5">
        <v>45824</v>
      </c>
      <c r="C281" t="s">
        <v>875</v>
      </c>
      <c r="D281" s="11">
        <v>460</v>
      </c>
      <c r="E281" s="18">
        <v>0</v>
      </c>
      <c r="F281" s="24">
        <v>0</v>
      </c>
    </row>
    <row r="282" spans="2:6" x14ac:dyDescent="0.2">
      <c r="B282" s="5">
        <v>45824</v>
      </c>
      <c r="C282" t="s">
        <v>84</v>
      </c>
      <c r="D282" s="11">
        <v>35</v>
      </c>
      <c r="E282" s="18">
        <v>2</v>
      </c>
      <c r="F282" s="24">
        <v>5.7142857142857141E-2</v>
      </c>
    </row>
    <row r="283" spans="2:6" x14ac:dyDescent="0.2">
      <c r="B283" s="5">
        <v>45824</v>
      </c>
      <c r="C283" t="s">
        <v>86</v>
      </c>
      <c r="D283" s="11">
        <v>22</v>
      </c>
      <c r="E283" s="18">
        <v>1</v>
      </c>
      <c r="F283" s="24">
        <v>4.5454545454545456E-2</v>
      </c>
    </row>
    <row r="284" spans="2:6" x14ac:dyDescent="0.2">
      <c r="B284" s="5">
        <v>45824</v>
      </c>
      <c r="C284" t="s">
        <v>876</v>
      </c>
      <c r="D284" s="11">
        <v>130</v>
      </c>
      <c r="E284" s="18">
        <v>0</v>
      </c>
      <c r="F284" s="24">
        <v>0</v>
      </c>
    </row>
    <row r="285" spans="2:6" x14ac:dyDescent="0.2">
      <c r="B285" s="5">
        <v>45824</v>
      </c>
      <c r="C285" t="s">
        <v>877</v>
      </c>
      <c r="D285" s="11">
        <v>84</v>
      </c>
      <c r="E285" s="18">
        <v>5</v>
      </c>
      <c r="F285" s="24">
        <v>5.9523809523809521E-2</v>
      </c>
    </row>
    <row r="286" spans="2:6" x14ac:dyDescent="0.2">
      <c r="B286" s="5">
        <v>45824</v>
      </c>
      <c r="C286" t="s">
        <v>878</v>
      </c>
      <c r="D286" s="11">
        <v>731</v>
      </c>
      <c r="E286" s="18">
        <v>8</v>
      </c>
      <c r="F286" s="24">
        <v>1.094391244870041E-2</v>
      </c>
    </row>
    <row r="287" spans="2:6" x14ac:dyDescent="0.2">
      <c r="B287" s="5">
        <v>45825</v>
      </c>
      <c r="C287" t="s">
        <v>875</v>
      </c>
      <c r="D287" s="11">
        <v>788</v>
      </c>
      <c r="E287" s="18">
        <v>1</v>
      </c>
      <c r="F287" s="24">
        <v>1.2690355329949238E-3</v>
      </c>
    </row>
    <row r="288" spans="2:6" x14ac:dyDescent="0.2">
      <c r="B288" s="5">
        <v>45825</v>
      </c>
      <c r="C288" t="s">
        <v>84</v>
      </c>
      <c r="D288" s="11">
        <v>39</v>
      </c>
      <c r="E288" s="18">
        <v>0</v>
      </c>
      <c r="F288" s="24">
        <v>0</v>
      </c>
    </row>
    <row r="289" spans="2:6" x14ac:dyDescent="0.2">
      <c r="B289" s="5">
        <v>45825</v>
      </c>
      <c r="C289" t="s">
        <v>86</v>
      </c>
      <c r="D289" s="11">
        <v>25</v>
      </c>
      <c r="E289" s="18">
        <v>1</v>
      </c>
      <c r="F289" s="24">
        <v>0.04</v>
      </c>
    </row>
    <row r="290" spans="2:6" x14ac:dyDescent="0.2">
      <c r="B290" s="5">
        <v>45825</v>
      </c>
      <c r="C290" t="s">
        <v>876</v>
      </c>
      <c r="D290" s="11">
        <v>154</v>
      </c>
      <c r="E290" s="18">
        <v>0</v>
      </c>
      <c r="F290" s="24">
        <v>0</v>
      </c>
    </row>
    <row r="291" spans="2:6" x14ac:dyDescent="0.2">
      <c r="B291" s="5">
        <v>45825</v>
      </c>
      <c r="C291" t="s">
        <v>877</v>
      </c>
      <c r="D291" s="11">
        <v>89</v>
      </c>
      <c r="E291" s="18">
        <v>2</v>
      </c>
      <c r="F291" s="24">
        <v>2.247191011235955E-2</v>
      </c>
    </row>
    <row r="292" spans="2:6" x14ac:dyDescent="0.2">
      <c r="B292" s="5">
        <v>45825</v>
      </c>
      <c r="C292" t="s">
        <v>878</v>
      </c>
      <c r="D292" s="11">
        <v>1095</v>
      </c>
      <c r="E292" s="18">
        <v>4</v>
      </c>
      <c r="F292" s="24">
        <v>3.6529680365296802E-3</v>
      </c>
    </row>
    <row r="293" spans="2:6" x14ac:dyDescent="0.2">
      <c r="B293" s="5">
        <v>45826</v>
      </c>
      <c r="C293" t="s">
        <v>875</v>
      </c>
      <c r="D293" s="11">
        <v>775</v>
      </c>
      <c r="E293" s="18">
        <v>1</v>
      </c>
      <c r="F293" s="24">
        <v>1.2903225806451613E-3</v>
      </c>
    </row>
    <row r="294" spans="2:6" x14ac:dyDescent="0.2">
      <c r="B294" s="5">
        <v>45826</v>
      </c>
      <c r="C294" t="s">
        <v>84</v>
      </c>
      <c r="D294" s="11">
        <v>37</v>
      </c>
      <c r="E294" s="18">
        <v>2</v>
      </c>
      <c r="F294" s="24">
        <v>5.4054054054054057E-2</v>
      </c>
    </row>
    <row r="295" spans="2:6" x14ac:dyDescent="0.2">
      <c r="B295" s="5">
        <v>45826</v>
      </c>
      <c r="C295" t="s">
        <v>86</v>
      </c>
      <c r="D295" s="11">
        <v>24</v>
      </c>
      <c r="E295" s="18">
        <v>0</v>
      </c>
      <c r="F295" s="24">
        <v>0</v>
      </c>
    </row>
    <row r="296" spans="2:6" x14ac:dyDescent="0.2">
      <c r="B296" s="5">
        <v>45826</v>
      </c>
      <c r="C296" t="s">
        <v>876</v>
      </c>
      <c r="D296" s="11">
        <v>152</v>
      </c>
      <c r="E296" s="18">
        <v>0</v>
      </c>
      <c r="F296" s="24">
        <v>0</v>
      </c>
    </row>
    <row r="297" spans="2:6" x14ac:dyDescent="0.2">
      <c r="B297" s="5">
        <v>45826</v>
      </c>
      <c r="C297" t="s">
        <v>877</v>
      </c>
      <c r="D297" s="11">
        <v>43</v>
      </c>
      <c r="E297" s="18">
        <v>3</v>
      </c>
      <c r="F297" s="24">
        <v>6.9767441860465115E-2</v>
      </c>
    </row>
    <row r="298" spans="2:6" x14ac:dyDescent="0.2">
      <c r="B298" s="5">
        <v>45826</v>
      </c>
      <c r="C298" t="s">
        <v>878</v>
      </c>
      <c r="D298" s="11">
        <v>1031</v>
      </c>
      <c r="E298" s="18">
        <v>6</v>
      </c>
      <c r="F298" s="24">
        <v>5.8195926285160042E-3</v>
      </c>
    </row>
    <row r="299" spans="2:6" x14ac:dyDescent="0.2">
      <c r="B299" s="5">
        <v>45827</v>
      </c>
      <c r="C299" t="s">
        <v>875</v>
      </c>
      <c r="D299" s="11">
        <v>952</v>
      </c>
      <c r="E299" s="18">
        <v>0</v>
      </c>
      <c r="F299" s="24">
        <v>0</v>
      </c>
    </row>
    <row r="300" spans="2:6" x14ac:dyDescent="0.2">
      <c r="B300" s="5">
        <v>45827</v>
      </c>
      <c r="C300" t="s">
        <v>84</v>
      </c>
      <c r="D300" s="11">
        <v>29</v>
      </c>
      <c r="E300" s="18">
        <v>0</v>
      </c>
      <c r="F300" s="24">
        <v>0</v>
      </c>
    </row>
    <row r="301" spans="2:6" x14ac:dyDescent="0.2">
      <c r="B301" s="5">
        <v>45827</v>
      </c>
      <c r="C301" t="s">
        <v>86</v>
      </c>
      <c r="D301" s="11">
        <v>40</v>
      </c>
      <c r="E301" s="18">
        <v>0</v>
      </c>
      <c r="F301" s="24">
        <v>0</v>
      </c>
    </row>
    <row r="302" spans="2:6" x14ac:dyDescent="0.2">
      <c r="B302" s="5">
        <v>45827</v>
      </c>
      <c r="C302" t="s">
        <v>876</v>
      </c>
      <c r="D302" s="11">
        <v>83</v>
      </c>
      <c r="E302" s="18">
        <v>0</v>
      </c>
      <c r="F302" s="24">
        <v>0</v>
      </c>
    </row>
    <row r="303" spans="2:6" x14ac:dyDescent="0.2">
      <c r="B303" s="5">
        <v>45827</v>
      </c>
      <c r="C303" t="s">
        <v>877</v>
      </c>
      <c r="D303" s="11">
        <v>73</v>
      </c>
      <c r="E303" s="18">
        <v>2</v>
      </c>
      <c r="F303" s="24">
        <v>2.7397260273972601E-2</v>
      </c>
    </row>
    <row r="304" spans="2:6" x14ac:dyDescent="0.2">
      <c r="B304" s="5">
        <v>45827</v>
      </c>
      <c r="C304" t="s">
        <v>878</v>
      </c>
      <c r="D304" s="11">
        <v>1177</v>
      </c>
      <c r="E304" s="18">
        <v>2</v>
      </c>
      <c r="F304" s="24">
        <v>1.6992353440951572E-3</v>
      </c>
    </row>
    <row r="305" spans="2:6" x14ac:dyDescent="0.2">
      <c r="B305" s="5">
        <v>45828</v>
      </c>
      <c r="C305" t="s">
        <v>875</v>
      </c>
      <c r="D305" s="11">
        <v>903</v>
      </c>
      <c r="E305" s="18">
        <v>1</v>
      </c>
      <c r="F305" s="24">
        <v>1.1074197120708748E-3</v>
      </c>
    </row>
    <row r="306" spans="2:6" x14ac:dyDescent="0.2">
      <c r="B306" s="5">
        <v>45828</v>
      </c>
      <c r="C306" t="s">
        <v>84</v>
      </c>
      <c r="D306" s="11">
        <v>34</v>
      </c>
      <c r="E306" s="18">
        <v>0</v>
      </c>
      <c r="F306" s="24">
        <v>0</v>
      </c>
    </row>
    <row r="307" spans="2:6" x14ac:dyDescent="0.2">
      <c r="B307" s="5">
        <v>45828</v>
      </c>
      <c r="C307" t="s">
        <v>86</v>
      </c>
      <c r="D307" s="11">
        <v>14</v>
      </c>
      <c r="E307" s="18">
        <v>0</v>
      </c>
      <c r="F307" s="24">
        <v>0</v>
      </c>
    </row>
    <row r="308" spans="2:6" x14ac:dyDescent="0.2">
      <c r="B308" s="5">
        <v>45828</v>
      </c>
      <c r="C308" t="s">
        <v>876</v>
      </c>
      <c r="D308" s="11">
        <v>117</v>
      </c>
      <c r="E308" s="18">
        <v>0</v>
      </c>
      <c r="F308" s="24">
        <v>0</v>
      </c>
    </row>
    <row r="309" spans="2:6" x14ac:dyDescent="0.2">
      <c r="B309" s="5">
        <v>45828</v>
      </c>
      <c r="C309" t="s">
        <v>877</v>
      </c>
      <c r="D309" s="11">
        <v>36</v>
      </c>
      <c r="E309" s="18">
        <v>3</v>
      </c>
      <c r="F309" s="24">
        <v>8.3333333333333329E-2</v>
      </c>
    </row>
    <row r="310" spans="2:6" x14ac:dyDescent="0.2">
      <c r="B310" s="5">
        <v>45828</v>
      </c>
      <c r="C310" t="s">
        <v>878</v>
      </c>
      <c r="D310" s="11">
        <v>1104</v>
      </c>
      <c r="E310" s="18">
        <v>4</v>
      </c>
      <c r="F310" s="24">
        <v>3.6231884057971015E-3</v>
      </c>
    </row>
    <row r="311" spans="2:6" x14ac:dyDescent="0.2">
      <c r="B311" s="5">
        <v>45829</v>
      </c>
      <c r="C311" t="s">
        <v>875</v>
      </c>
      <c r="D311" s="11">
        <v>1000</v>
      </c>
      <c r="E311" s="18">
        <v>1</v>
      </c>
      <c r="F311" s="24">
        <v>1E-3</v>
      </c>
    </row>
    <row r="312" spans="2:6" x14ac:dyDescent="0.2">
      <c r="B312" s="5">
        <v>45829</v>
      </c>
      <c r="C312" t="s">
        <v>84</v>
      </c>
      <c r="D312" s="11">
        <v>56</v>
      </c>
      <c r="E312" s="18">
        <v>1</v>
      </c>
      <c r="F312" s="24">
        <v>1.7857142857142856E-2</v>
      </c>
    </row>
    <row r="313" spans="2:6" x14ac:dyDescent="0.2">
      <c r="B313" s="5">
        <v>45829</v>
      </c>
      <c r="C313" t="s">
        <v>86</v>
      </c>
      <c r="D313" s="11">
        <v>21</v>
      </c>
      <c r="E313" s="18">
        <v>1</v>
      </c>
      <c r="F313" s="24">
        <v>4.7619047619047616E-2</v>
      </c>
    </row>
    <row r="314" spans="2:6" x14ac:dyDescent="0.2">
      <c r="B314" s="5">
        <v>45829</v>
      </c>
      <c r="C314" t="s">
        <v>876</v>
      </c>
      <c r="D314" s="11">
        <v>102</v>
      </c>
      <c r="E314" s="18">
        <v>0</v>
      </c>
      <c r="F314" s="24">
        <v>0</v>
      </c>
    </row>
    <row r="315" spans="2:6" x14ac:dyDescent="0.2">
      <c r="B315" s="5">
        <v>45829</v>
      </c>
      <c r="C315" t="s">
        <v>877</v>
      </c>
      <c r="D315" s="11">
        <v>41</v>
      </c>
      <c r="E315" s="18">
        <v>0</v>
      </c>
      <c r="F315" s="24">
        <v>0</v>
      </c>
    </row>
    <row r="316" spans="2:6" x14ac:dyDescent="0.2">
      <c r="B316" s="5">
        <v>45829</v>
      </c>
      <c r="C316" t="s">
        <v>878</v>
      </c>
      <c r="D316" s="11">
        <v>1220</v>
      </c>
      <c r="E316" s="18">
        <v>3</v>
      </c>
      <c r="F316" s="24">
        <v>2.4590163934426232E-3</v>
      </c>
    </row>
    <row r="317" spans="2:6" x14ac:dyDescent="0.2">
      <c r="B317" s="5">
        <v>45830</v>
      </c>
      <c r="C317" t="s">
        <v>875</v>
      </c>
      <c r="D317" s="11">
        <v>1060</v>
      </c>
      <c r="E317" s="18">
        <v>3</v>
      </c>
      <c r="F317" s="24">
        <v>2.8301886792452828E-3</v>
      </c>
    </row>
    <row r="318" spans="2:6" x14ac:dyDescent="0.2">
      <c r="B318" s="5">
        <v>45830</v>
      </c>
      <c r="C318" t="s">
        <v>84</v>
      </c>
      <c r="D318" s="11">
        <v>41</v>
      </c>
      <c r="E318" s="18">
        <v>0</v>
      </c>
      <c r="F318" s="24">
        <v>0</v>
      </c>
    </row>
    <row r="319" spans="2:6" x14ac:dyDescent="0.2">
      <c r="B319" s="5">
        <v>45830</v>
      </c>
      <c r="C319" t="s">
        <v>86</v>
      </c>
      <c r="D319" s="11">
        <v>12</v>
      </c>
      <c r="E319" s="18">
        <v>1</v>
      </c>
      <c r="F319" s="24">
        <v>8.3333333333333329E-2</v>
      </c>
    </row>
    <row r="320" spans="2:6" x14ac:dyDescent="0.2">
      <c r="B320" s="5">
        <v>45830</v>
      </c>
      <c r="C320" t="s">
        <v>876</v>
      </c>
      <c r="D320" s="11">
        <v>101</v>
      </c>
      <c r="E320" s="18">
        <v>0</v>
      </c>
      <c r="F320" s="24">
        <v>0</v>
      </c>
    </row>
    <row r="321" spans="2:6" x14ac:dyDescent="0.2">
      <c r="B321" s="5">
        <v>45830</v>
      </c>
      <c r="C321" t="s">
        <v>877</v>
      </c>
      <c r="D321" s="11">
        <v>85</v>
      </c>
      <c r="E321" s="18">
        <v>2</v>
      </c>
      <c r="F321" s="24">
        <v>2.3529411764705882E-2</v>
      </c>
    </row>
    <row r="322" spans="2:6" x14ac:dyDescent="0.2">
      <c r="B322" s="5">
        <v>45830</v>
      </c>
      <c r="C322" t="s">
        <v>878</v>
      </c>
      <c r="D322" s="11">
        <v>1299</v>
      </c>
      <c r="E322" s="18">
        <v>6</v>
      </c>
      <c r="F322" s="24">
        <v>4.6189376443418013E-3</v>
      </c>
    </row>
    <row r="323" spans="2:6" x14ac:dyDescent="0.2">
      <c r="B323" s="5">
        <v>45831</v>
      </c>
      <c r="C323" t="s">
        <v>875</v>
      </c>
      <c r="D323" s="11">
        <v>826</v>
      </c>
      <c r="E323" s="18">
        <v>0</v>
      </c>
      <c r="F323" s="24">
        <v>0</v>
      </c>
    </row>
    <row r="324" spans="2:6" x14ac:dyDescent="0.2">
      <c r="B324" s="5">
        <v>45831</v>
      </c>
      <c r="C324" t="s">
        <v>84</v>
      </c>
      <c r="D324" s="11">
        <v>44</v>
      </c>
      <c r="E324" s="18">
        <v>1</v>
      </c>
      <c r="F324" s="24">
        <v>2.2727272727272728E-2</v>
      </c>
    </row>
    <row r="325" spans="2:6" x14ac:dyDescent="0.2">
      <c r="B325" s="5">
        <v>45831</v>
      </c>
      <c r="C325" t="s">
        <v>86</v>
      </c>
      <c r="D325" s="11">
        <v>17</v>
      </c>
      <c r="E325" s="18">
        <v>2</v>
      </c>
      <c r="F325" s="24">
        <v>0.11764705882352941</v>
      </c>
    </row>
    <row r="326" spans="2:6" x14ac:dyDescent="0.2">
      <c r="B326" s="5">
        <v>45831</v>
      </c>
      <c r="C326" t="s">
        <v>876</v>
      </c>
      <c r="D326" s="11">
        <v>98</v>
      </c>
      <c r="E326" s="18">
        <v>0</v>
      </c>
      <c r="F326" s="24">
        <v>0</v>
      </c>
    </row>
    <row r="327" spans="2:6" x14ac:dyDescent="0.2">
      <c r="B327" s="5">
        <v>45831</v>
      </c>
      <c r="C327" t="s">
        <v>877</v>
      </c>
      <c r="D327" s="11">
        <v>84</v>
      </c>
      <c r="E327" s="18">
        <v>1</v>
      </c>
      <c r="F327" s="24">
        <v>1.1904761904761904E-2</v>
      </c>
    </row>
    <row r="328" spans="2:6" x14ac:dyDescent="0.2">
      <c r="B328" s="5">
        <v>45831</v>
      </c>
      <c r="C328" t="s">
        <v>878</v>
      </c>
      <c r="D328" s="11">
        <v>1069</v>
      </c>
      <c r="E328" s="18">
        <v>4</v>
      </c>
      <c r="F328" s="24">
        <v>3.7418147801683817E-3</v>
      </c>
    </row>
    <row r="329" spans="2:6" x14ac:dyDescent="0.2">
      <c r="B329" s="5">
        <v>45832</v>
      </c>
      <c r="C329" t="s">
        <v>875</v>
      </c>
      <c r="D329" s="11">
        <v>925</v>
      </c>
      <c r="E329" s="18">
        <v>0</v>
      </c>
      <c r="F329" s="24">
        <v>0</v>
      </c>
    </row>
    <row r="330" spans="2:6" x14ac:dyDescent="0.2">
      <c r="B330" s="5">
        <v>45832</v>
      </c>
      <c r="C330" t="s">
        <v>84</v>
      </c>
      <c r="D330" s="11">
        <v>44</v>
      </c>
      <c r="E330" s="18">
        <v>0</v>
      </c>
      <c r="F330" s="24">
        <v>0</v>
      </c>
    </row>
    <row r="331" spans="2:6" x14ac:dyDescent="0.2">
      <c r="B331" s="5">
        <v>45832</v>
      </c>
      <c r="C331" t="s">
        <v>86</v>
      </c>
      <c r="D331" s="11">
        <v>23</v>
      </c>
      <c r="E331" s="18">
        <v>0</v>
      </c>
      <c r="F331" s="24">
        <v>0</v>
      </c>
    </row>
    <row r="332" spans="2:6" x14ac:dyDescent="0.2">
      <c r="B332" s="5">
        <v>45832</v>
      </c>
      <c r="C332" t="s">
        <v>876</v>
      </c>
      <c r="D332" s="11">
        <v>108</v>
      </c>
      <c r="E332" s="18">
        <v>0</v>
      </c>
      <c r="F332" s="24">
        <v>0</v>
      </c>
    </row>
    <row r="333" spans="2:6" x14ac:dyDescent="0.2">
      <c r="B333" s="5">
        <v>45832</v>
      </c>
      <c r="C333" t="s">
        <v>877</v>
      </c>
      <c r="D333" s="11">
        <v>97</v>
      </c>
      <c r="E333" s="18">
        <v>7</v>
      </c>
      <c r="F333" s="24">
        <v>7.2164948453608241E-2</v>
      </c>
    </row>
    <row r="334" spans="2:6" x14ac:dyDescent="0.2">
      <c r="B334" s="5">
        <v>45832</v>
      </c>
      <c r="C334" t="s">
        <v>878</v>
      </c>
      <c r="D334" s="11">
        <v>1197</v>
      </c>
      <c r="E334" s="18">
        <v>7</v>
      </c>
      <c r="F334" s="24">
        <v>5.8479532163742687E-3</v>
      </c>
    </row>
    <row r="335" spans="2:6" x14ac:dyDescent="0.2">
      <c r="B335" s="5">
        <v>45833</v>
      </c>
      <c r="C335" t="s">
        <v>875</v>
      </c>
      <c r="D335" s="11">
        <v>860</v>
      </c>
      <c r="E335" s="18">
        <v>0</v>
      </c>
      <c r="F335" s="24">
        <v>0</v>
      </c>
    </row>
    <row r="336" spans="2:6" x14ac:dyDescent="0.2">
      <c r="B336" s="5">
        <v>45833</v>
      </c>
      <c r="C336" t="s">
        <v>84</v>
      </c>
      <c r="D336" s="11">
        <v>43</v>
      </c>
      <c r="E336" s="18">
        <v>0</v>
      </c>
      <c r="F336" s="24">
        <v>0</v>
      </c>
    </row>
    <row r="337" spans="2:6" x14ac:dyDescent="0.2">
      <c r="B337" s="5">
        <v>45833</v>
      </c>
      <c r="C337" t="s">
        <v>86</v>
      </c>
      <c r="D337" s="11">
        <v>35</v>
      </c>
      <c r="E337" s="18">
        <v>3</v>
      </c>
      <c r="F337" s="24">
        <v>8.5714285714285715E-2</v>
      </c>
    </row>
    <row r="338" spans="2:6" x14ac:dyDescent="0.2">
      <c r="B338" s="5">
        <v>45833</v>
      </c>
      <c r="C338" t="s">
        <v>876</v>
      </c>
      <c r="D338" s="11">
        <v>112</v>
      </c>
      <c r="E338" s="18">
        <v>0</v>
      </c>
      <c r="F338" s="24">
        <v>0</v>
      </c>
    </row>
    <row r="339" spans="2:6" x14ac:dyDescent="0.2">
      <c r="B339" s="5">
        <v>45833</v>
      </c>
      <c r="C339" t="s">
        <v>877</v>
      </c>
      <c r="D339" s="11">
        <v>148</v>
      </c>
      <c r="E339" s="18">
        <v>5</v>
      </c>
      <c r="F339" s="24">
        <v>3.3783783783783786E-2</v>
      </c>
    </row>
    <row r="340" spans="2:6" x14ac:dyDescent="0.2">
      <c r="B340" s="5">
        <v>45833</v>
      </c>
      <c r="C340" t="s">
        <v>878</v>
      </c>
      <c r="D340" s="11">
        <v>1198</v>
      </c>
      <c r="E340" s="18">
        <v>8</v>
      </c>
      <c r="F340" s="24">
        <v>6.6777963272120202E-3</v>
      </c>
    </row>
    <row r="341" spans="2:6" x14ac:dyDescent="0.2">
      <c r="B341" s="5">
        <v>45834</v>
      </c>
      <c r="C341" t="s">
        <v>875</v>
      </c>
      <c r="D341" s="11">
        <v>915</v>
      </c>
      <c r="E341" s="18">
        <v>2</v>
      </c>
      <c r="F341" s="24">
        <v>2.185792349726776E-3</v>
      </c>
    </row>
    <row r="342" spans="2:6" x14ac:dyDescent="0.2">
      <c r="B342" s="5">
        <v>45834</v>
      </c>
      <c r="C342" t="s">
        <v>84</v>
      </c>
      <c r="D342" s="11">
        <v>26</v>
      </c>
      <c r="E342" s="18">
        <v>0</v>
      </c>
      <c r="F342" s="24">
        <v>0</v>
      </c>
    </row>
    <row r="343" spans="2:6" x14ac:dyDescent="0.2">
      <c r="B343" s="5">
        <v>45834</v>
      </c>
      <c r="C343" t="s">
        <v>86</v>
      </c>
      <c r="D343" s="11">
        <v>21</v>
      </c>
      <c r="E343" s="18">
        <v>1</v>
      </c>
      <c r="F343" s="24">
        <v>4.7619047619047616E-2</v>
      </c>
    </row>
    <row r="344" spans="2:6" x14ac:dyDescent="0.2">
      <c r="B344" s="5">
        <v>45834</v>
      </c>
      <c r="C344" t="s">
        <v>876</v>
      </c>
      <c r="D344" s="11">
        <v>165</v>
      </c>
      <c r="E344" s="18">
        <v>0</v>
      </c>
      <c r="F344" s="24">
        <v>0</v>
      </c>
    </row>
    <row r="345" spans="2:6" x14ac:dyDescent="0.2">
      <c r="B345" s="5">
        <v>45834</v>
      </c>
      <c r="C345" t="s">
        <v>877</v>
      </c>
      <c r="D345" s="11">
        <v>174</v>
      </c>
      <c r="E345" s="18">
        <v>4</v>
      </c>
      <c r="F345" s="24">
        <v>2.2988505747126436E-2</v>
      </c>
    </row>
    <row r="346" spans="2:6" x14ac:dyDescent="0.2">
      <c r="B346" s="5">
        <v>45834</v>
      </c>
      <c r="C346" t="s">
        <v>878</v>
      </c>
      <c r="D346" s="11">
        <v>1301</v>
      </c>
      <c r="E346" s="18">
        <v>7</v>
      </c>
      <c r="F346" s="24">
        <v>5.3804765564950041E-3</v>
      </c>
    </row>
    <row r="347" spans="2:6" x14ac:dyDescent="0.2">
      <c r="B347" s="5">
        <v>45835</v>
      </c>
      <c r="C347" t="s">
        <v>875</v>
      </c>
      <c r="D347" s="11">
        <v>790</v>
      </c>
      <c r="E347" s="18">
        <v>0</v>
      </c>
      <c r="F347" s="24">
        <v>0</v>
      </c>
    </row>
    <row r="348" spans="2:6" x14ac:dyDescent="0.2">
      <c r="B348" s="5">
        <v>45835</v>
      </c>
      <c r="C348" t="s">
        <v>84</v>
      </c>
      <c r="D348" s="11">
        <v>37</v>
      </c>
      <c r="E348" s="18">
        <v>1</v>
      </c>
      <c r="F348" s="24">
        <v>2.7027027027027029E-2</v>
      </c>
    </row>
    <row r="349" spans="2:6" x14ac:dyDescent="0.2">
      <c r="B349" s="5">
        <v>45835</v>
      </c>
      <c r="C349" t="s">
        <v>86</v>
      </c>
      <c r="D349" s="11">
        <v>20</v>
      </c>
      <c r="E349" s="18">
        <v>0</v>
      </c>
      <c r="F349" s="24">
        <v>0</v>
      </c>
    </row>
    <row r="350" spans="2:6" x14ac:dyDescent="0.2">
      <c r="B350" s="5">
        <v>45835</v>
      </c>
      <c r="C350" t="s">
        <v>876</v>
      </c>
      <c r="D350" s="11">
        <v>125</v>
      </c>
      <c r="E350" s="18">
        <v>0</v>
      </c>
      <c r="F350" s="24">
        <v>0</v>
      </c>
    </row>
    <row r="351" spans="2:6" x14ac:dyDescent="0.2">
      <c r="B351" s="5">
        <v>45835</v>
      </c>
      <c r="C351" t="s">
        <v>877</v>
      </c>
      <c r="D351" s="11">
        <v>95</v>
      </c>
      <c r="E351" s="18">
        <v>3</v>
      </c>
      <c r="F351" s="24">
        <v>3.1578947368421054E-2</v>
      </c>
    </row>
    <row r="352" spans="2:6" x14ac:dyDescent="0.2">
      <c r="B352" s="5">
        <v>45835</v>
      </c>
      <c r="C352" t="s">
        <v>878</v>
      </c>
      <c r="D352" s="11">
        <v>1067</v>
      </c>
      <c r="E352" s="18">
        <v>4</v>
      </c>
      <c r="F352" s="24">
        <v>3.7488284910965324E-3</v>
      </c>
    </row>
    <row r="353" spans="2:6" x14ac:dyDescent="0.2">
      <c r="B353" s="5">
        <v>45836</v>
      </c>
      <c r="C353" t="s">
        <v>875</v>
      </c>
      <c r="D353" s="11">
        <v>957</v>
      </c>
      <c r="E353" s="18">
        <v>2</v>
      </c>
      <c r="F353" s="24">
        <v>2.0898641588296763E-3</v>
      </c>
    </row>
    <row r="354" spans="2:6" x14ac:dyDescent="0.2">
      <c r="B354" s="5">
        <v>45836</v>
      </c>
      <c r="C354" t="s">
        <v>84</v>
      </c>
      <c r="D354" s="11">
        <v>41</v>
      </c>
      <c r="E354" s="18">
        <v>0</v>
      </c>
      <c r="F354" s="24">
        <v>0</v>
      </c>
    </row>
    <row r="355" spans="2:6" x14ac:dyDescent="0.2">
      <c r="B355" s="5">
        <v>45836</v>
      </c>
      <c r="C355" t="s">
        <v>86</v>
      </c>
      <c r="D355" s="11">
        <v>13</v>
      </c>
      <c r="E355" s="18">
        <v>0</v>
      </c>
      <c r="F355" s="24">
        <v>0</v>
      </c>
    </row>
    <row r="356" spans="2:6" x14ac:dyDescent="0.2">
      <c r="B356" s="5">
        <v>45836</v>
      </c>
      <c r="C356" t="s">
        <v>876</v>
      </c>
      <c r="D356" s="11">
        <v>176</v>
      </c>
      <c r="E356" s="18">
        <v>0</v>
      </c>
      <c r="F356" s="24">
        <v>0</v>
      </c>
    </row>
    <row r="357" spans="2:6" x14ac:dyDescent="0.2">
      <c r="B357" s="5">
        <v>45836</v>
      </c>
      <c r="C357" t="s">
        <v>877</v>
      </c>
      <c r="D357" s="11">
        <v>67</v>
      </c>
      <c r="E357" s="18">
        <v>1</v>
      </c>
      <c r="F357" s="24">
        <v>1.4925373134328358E-2</v>
      </c>
    </row>
    <row r="358" spans="2:6" x14ac:dyDescent="0.2">
      <c r="B358" s="5">
        <v>45836</v>
      </c>
      <c r="C358" t="s">
        <v>878</v>
      </c>
      <c r="D358" s="11">
        <v>1254</v>
      </c>
      <c r="E358" s="18">
        <v>3</v>
      </c>
      <c r="F358" s="24">
        <v>2.3923444976076554E-3</v>
      </c>
    </row>
    <row r="359" spans="2:6" x14ac:dyDescent="0.2">
      <c r="B359" s="5">
        <v>45837</v>
      </c>
      <c r="C359" t="s">
        <v>875</v>
      </c>
      <c r="D359" s="11">
        <v>812</v>
      </c>
      <c r="E359" s="18">
        <v>0</v>
      </c>
      <c r="F359" s="24">
        <v>0</v>
      </c>
    </row>
    <row r="360" spans="2:6" x14ac:dyDescent="0.2">
      <c r="B360" s="5">
        <v>45837</v>
      </c>
      <c r="C360" t="s">
        <v>84</v>
      </c>
      <c r="D360" s="11">
        <v>35</v>
      </c>
      <c r="E360" s="18">
        <v>1</v>
      </c>
      <c r="F360" s="24">
        <v>2.8571428571428571E-2</v>
      </c>
    </row>
    <row r="361" spans="2:6" x14ac:dyDescent="0.2">
      <c r="B361" s="5">
        <v>45837</v>
      </c>
      <c r="C361" t="s">
        <v>86</v>
      </c>
      <c r="D361" s="11">
        <v>10</v>
      </c>
      <c r="E361" s="18">
        <v>0</v>
      </c>
      <c r="F361" s="24">
        <v>0</v>
      </c>
    </row>
    <row r="362" spans="2:6" x14ac:dyDescent="0.2">
      <c r="B362" s="5">
        <v>45837</v>
      </c>
      <c r="C362" t="s">
        <v>876</v>
      </c>
      <c r="D362" s="11">
        <v>125</v>
      </c>
      <c r="E362" s="18">
        <v>0</v>
      </c>
      <c r="F362" s="24">
        <v>0</v>
      </c>
    </row>
    <row r="363" spans="2:6" x14ac:dyDescent="0.2">
      <c r="B363" s="5">
        <v>45837</v>
      </c>
      <c r="C363" t="s">
        <v>877</v>
      </c>
      <c r="D363" s="11">
        <v>67</v>
      </c>
      <c r="E363" s="18">
        <v>1</v>
      </c>
      <c r="F363" s="24">
        <v>1.4925373134328358E-2</v>
      </c>
    </row>
    <row r="364" spans="2:6" x14ac:dyDescent="0.2">
      <c r="B364" s="5">
        <v>45837</v>
      </c>
      <c r="C364" t="s">
        <v>878</v>
      </c>
      <c r="D364" s="11">
        <v>1049</v>
      </c>
      <c r="E364" s="18">
        <v>2</v>
      </c>
      <c r="F364" s="24">
        <v>1.9065776930409914E-3</v>
      </c>
    </row>
    <row r="365" spans="2:6" x14ac:dyDescent="0.2">
      <c r="B365" s="5">
        <v>45838</v>
      </c>
      <c r="C365" t="s">
        <v>875</v>
      </c>
      <c r="D365" s="11">
        <v>870</v>
      </c>
      <c r="E365" s="18">
        <v>1</v>
      </c>
      <c r="F365" s="24">
        <v>1.1494252873563218E-3</v>
      </c>
    </row>
    <row r="366" spans="2:6" x14ac:dyDescent="0.2">
      <c r="B366" s="5">
        <v>45838</v>
      </c>
      <c r="C366" t="s">
        <v>84</v>
      </c>
      <c r="D366" s="11">
        <v>47</v>
      </c>
      <c r="E366" s="18">
        <v>1</v>
      </c>
      <c r="F366" s="24">
        <v>2.1276595744680851E-2</v>
      </c>
    </row>
    <row r="367" spans="2:6" x14ac:dyDescent="0.2">
      <c r="B367" s="5">
        <v>45838</v>
      </c>
      <c r="C367" t="s">
        <v>86</v>
      </c>
      <c r="D367" s="11">
        <v>14</v>
      </c>
      <c r="E367" s="18">
        <v>1</v>
      </c>
      <c r="F367" s="24">
        <v>7.1428571428571425E-2</v>
      </c>
    </row>
    <row r="368" spans="2:6" x14ac:dyDescent="0.2">
      <c r="B368" s="5">
        <v>45838</v>
      </c>
      <c r="C368" t="s">
        <v>876</v>
      </c>
      <c r="D368" s="11">
        <v>400</v>
      </c>
      <c r="E368" s="18">
        <v>0</v>
      </c>
      <c r="F368" s="24">
        <v>0</v>
      </c>
    </row>
    <row r="369" spans="2:6" x14ac:dyDescent="0.2">
      <c r="B369" s="5">
        <v>45838</v>
      </c>
      <c r="C369" t="s">
        <v>877</v>
      </c>
      <c r="D369" s="11">
        <v>131</v>
      </c>
      <c r="E369" s="18">
        <v>1</v>
      </c>
      <c r="F369" s="24">
        <v>7.6335877862595417E-3</v>
      </c>
    </row>
    <row r="370" spans="2:6" x14ac:dyDescent="0.2">
      <c r="B370" s="5">
        <v>45838</v>
      </c>
      <c r="C370" t="s">
        <v>878</v>
      </c>
      <c r="D370" s="11">
        <v>1462</v>
      </c>
      <c r="E370" s="18">
        <v>4</v>
      </c>
      <c r="F370" s="24">
        <v>2.7359781121751026E-3</v>
      </c>
    </row>
    <row r="371" spans="2:6" x14ac:dyDescent="0.2">
      <c r="B371" s="5">
        <v>45839</v>
      </c>
      <c r="C371" t="s">
        <v>875</v>
      </c>
      <c r="D371" s="11">
        <v>652</v>
      </c>
      <c r="E371" s="18">
        <v>1</v>
      </c>
      <c r="F371" s="24">
        <v>1.5337423312883436E-3</v>
      </c>
    </row>
    <row r="372" spans="2:6" x14ac:dyDescent="0.2">
      <c r="B372" s="5">
        <v>45839</v>
      </c>
      <c r="C372" t="s">
        <v>84</v>
      </c>
      <c r="D372" s="11">
        <v>67</v>
      </c>
      <c r="E372" s="18">
        <v>0</v>
      </c>
      <c r="F372" s="24">
        <v>0</v>
      </c>
    </row>
    <row r="373" spans="2:6" x14ac:dyDescent="0.2">
      <c r="B373" s="5">
        <v>45839</v>
      </c>
      <c r="C373" t="s">
        <v>86</v>
      </c>
      <c r="D373" s="11">
        <v>25</v>
      </c>
      <c r="E373" s="18">
        <v>0</v>
      </c>
      <c r="F373" s="24">
        <v>0</v>
      </c>
    </row>
    <row r="374" spans="2:6" x14ac:dyDescent="0.2">
      <c r="B374" s="5">
        <v>45839</v>
      </c>
      <c r="C374" t="s">
        <v>876</v>
      </c>
      <c r="D374" s="11">
        <v>268</v>
      </c>
      <c r="E374" s="18">
        <v>0</v>
      </c>
      <c r="F374" s="24">
        <v>0</v>
      </c>
    </row>
    <row r="375" spans="2:6" x14ac:dyDescent="0.2">
      <c r="B375" s="5">
        <v>45839</v>
      </c>
      <c r="C375" t="s">
        <v>877</v>
      </c>
      <c r="D375" s="11">
        <v>107</v>
      </c>
      <c r="E375" s="18">
        <v>2</v>
      </c>
      <c r="F375" s="24">
        <v>1.8691588785046728E-2</v>
      </c>
    </row>
    <row r="376" spans="2:6" x14ac:dyDescent="0.2">
      <c r="B376" s="5">
        <v>45839</v>
      </c>
      <c r="C376" t="s">
        <v>878</v>
      </c>
      <c r="D376" s="11">
        <v>1119</v>
      </c>
      <c r="E376" s="18">
        <v>3</v>
      </c>
      <c r="F376" s="24">
        <v>2.6809651474530832E-3</v>
      </c>
    </row>
    <row r="377" spans="2:6" x14ac:dyDescent="0.2">
      <c r="B377" s="5">
        <v>45840</v>
      </c>
      <c r="C377" t="s">
        <v>875</v>
      </c>
      <c r="D377" s="11">
        <v>683</v>
      </c>
      <c r="E377" s="18">
        <v>2</v>
      </c>
      <c r="F377" s="24">
        <v>2.9282576866764276E-3</v>
      </c>
    </row>
    <row r="378" spans="2:6" x14ac:dyDescent="0.2">
      <c r="B378" s="5">
        <v>45840</v>
      </c>
      <c r="C378" t="s">
        <v>84</v>
      </c>
      <c r="D378" s="11">
        <v>47</v>
      </c>
      <c r="E378" s="18">
        <v>0</v>
      </c>
      <c r="F378" s="24">
        <v>0</v>
      </c>
    </row>
    <row r="379" spans="2:6" x14ac:dyDescent="0.2">
      <c r="B379" s="5">
        <v>45840</v>
      </c>
      <c r="C379" t="s">
        <v>86</v>
      </c>
      <c r="D379" s="11">
        <v>23</v>
      </c>
      <c r="E379" s="18">
        <v>1</v>
      </c>
      <c r="F379" s="24">
        <v>4.3478260869565216E-2</v>
      </c>
    </row>
    <row r="380" spans="2:6" x14ac:dyDescent="0.2">
      <c r="B380" s="5">
        <v>45840</v>
      </c>
      <c r="C380" t="s">
        <v>876</v>
      </c>
      <c r="D380" s="11">
        <v>281</v>
      </c>
      <c r="E380" s="18">
        <v>0</v>
      </c>
      <c r="F380" s="24">
        <v>0</v>
      </c>
    </row>
    <row r="381" spans="2:6" x14ac:dyDescent="0.2">
      <c r="B381" s="5">
        <v>45840</v>
      </c>
      <c r="C381" t="s">
        <v>877</v>
      </c>
      <c r="D381" s="11">
        <v>123</v>
      </c>
      <c r="E381" s="18">
        <v>2</v>
      </c>
      <c r="F381" s="24">
        <v>1.6260162601626018E-2</v>
      </c>
    </row>
    <row r="382" spans="2:6" x14ac:dyDescent="0.2">
      <c r="B382" s="5">
        <v>45840</v>
      </c>
      <c r="C382" t="s">
        <v>878</v>
      </c>
      <c r="D382" s="11">
        <v>1157</v>
      </c>
      <c r="E382" s="18">
        <v>5</v>
      </c>
      <c r="F382" s="24">
        <v>4.3215211754537601E-3</v>
      </c>
    </row>
    <row r="383" spans="2:6" x14ac:dyDescent="0.2">
      <c r="B383" s="5">
        <v>45841</v>
      </c>
      <c r="C383" t="s">
        <v>875</v>
      </c>
      <c r="D383" s="11">
        <v>766</v>
      </c>
      <c r="E383" s="18">
        <v>1</v>
      </c>
      <c r="F383" s="24">
        <v>1.3054830287206266E-3</v>
      </c>
    </row>
    <row r="384" spans="2:6" x14ac:dyDescent="0.2">
      <c r="B384" s="5">
        <v>45841</v>
      </c>
      <c r="C384" t="s">
        <v>84</v>
      </c>
      <c r="D384" s="11">
        <v>53</v>
      </c>
      <c r="E384" s="18">
        <v>0</v>
      </c>
      <c r="F384" s="24">
        <v>0</v>
      </c>
    </row>
    <row r="385" spans="2:6" x14ac:dyDescent="0.2">
      <c r="B385" s="5">
        <v>45841</v>
      </c>
      <c r="C385" t="s">
        <v>86</v>
      </c>
      <c r="D385" s="11">
        <v>16</v>
      </c>
      <c r="E385" s="18">
        <v>1</v>
      </c>
      <c r="F385" s="24">
        <v>6.25E-2</v>
      </c>
    </row>
    <row r="386" spans="2:6" x14ac:dyDescent="0.2">
      <c r="B386" s="5">
        <v>45841</v>
      </c>
      <c r="C386" t="s">
        <v>876</v>
      </c>
      <c r="D386" s="11">
        <v>234</v>
      </c>
      <c r="E386" s="18">
        <v>0</v>
      </c>
      <c r="F386" s="24">
        <v>0</v>
      </c>
    </row>
    <row r="387" spans="2:6" x14ac:dyDescent="0.2">
      <c r="B387" s="5">
        <v>45841</v>
      </c>
      <c r="C387" t="s">
        <v>877</v>
      </c>
      <c r="D387" s="11">
        <v>77</v>
      </c>
      <c r="E387" s="18">
        <v>3</v>
      </c>
      <c r="F387" s="24">
        <v>3.896103896103896E-2</v>
      </c>
    </row>
    <row r="388" spans="2:6" x14ac:dyDescent="0.2">
      <c r="B388" s="5">
        <v>45841</v>
      </c>
      <c r="C388" t="s">
        <v>878</v>
      </c>
      <c r="D388" s="11">
        <v>1146</v>
      </c>
      <c r="E388" s="18">
        <v>5</v>
      </c>
      <c r="F388" s="24">
        <v>4.3630017452006981E-3</v>
      </c>
    </row>
    <row r="389" spans="2:6" x14ac:dyDescent="0.2">
      <c r="B389" s="5">
        <v>45842</v>
      </c>
      <c r="C389" t="s">
        <v>875</v>
      </c>
      <c r="D389" s="11">
        <v>677</v>
      </c>
      <c r="E389" s="18">
        <v>0</v>
      </c>
      <c r="F389" s="24">
        <v>0</v>
      </c>
    </row>
    <row r="390" spans="2:6" x14ac:dyDescent="0.2">
      <c r="B390" s="5">
        <v>45842</v>
      </c>
      <c r="C390" t="s">
        <v>84</v>
      </c>
      <c r="D390" s="11">
        <v>44</v>
      </c>
      <c r="E390" s="18">
        <v>0</v>
      </c>
      <c r="F390" s="24">
        <v>0</v>
      </c>
    </row>
    <row r="391" spans="2:6" x14ac:dyDescent="0.2">
      <c r="B391" s="5">
        <v>45842</v>
      </c>
      <c r="C391" t="s">
        <v>86</v>
      </c>
      <c r="D391" s="11">
        <v>26</v>
      </c>
      <c r="E391" s="18">
        <v>0</v>
      </c>
      <c r="F391" s="24">
        <v>0</v>
      </c>
    </row>
    <row r="392" spans="2:6" x14ac:dyDescent="0.2">
      <c r="B392" s="5">
        <v>45842</v>
      </c>
      <c r="C392" t="s">
        <v>876</v>
      </c>
      <c r="D392" s="11">
        <v>273</v>
      </c>
      <c r="E392" s="18">
        <v>0</v>
      </c>
      <c r="F392" s="24">
        <v>0</v>
      </c>
    </row>
    <row r="393" spans="2:6" x14ac:dyDescent="0.2">
      <c r="B393" s="5">
        <v>45842</v>
      </c>
      <c r="C393" t="s">
        <v>877</v>
      </c>
      <c r="D393" s="11">
        <v>69</v>
      </c>
      <c r="E393" s="18">
        <v>2</v>
      </c>
      <c r="F393" s="24">
        <v>2.8985507246376812E-2</v>
      </c>
    </row>
    <row r="394" spans="2:6" x14ac:dyDescent="0.2">
      <c r="B394" s="5">
        <v>45842</v>
      </c>
      <c r="C394" t="s">
        <v>878</v>
      </c>
      <c r="D394" s="11">
        <v>1089</v>
      </c>
      <c r="E394" s="18">
        <v>2</v>
      </c>
      <c r="F394" s="24">
        <v>1.8365472910927456E-3</v>
      </c>
    </row>
    <row r="395" spans="2:6" x14ac:dyDescent="0.2">
      <c r="B395" s="5">
        <v>45843</v>
      </c>
      <c r="C395" t="s">
        <v>875</v>
      </c>
      <c r="D395" s="11">
        <v>828</v>
      </c>
      <c r="E395" s="18">
        <v>0</v>
      </c>
      <c r="F395" s="24">
        <v>0</v>
      </c>
    </row>
    <row r="396" spans="2:6" x14ac:dyDescent="0.2">
      <c r="B396" s="5">
        <v>45843</v>
      </c>
      <c r="C396" t="s">
        <v>84</v>
      </c>
      <c r="D396" s="11">
        <v>39</v>
      </c>
      <c r="E396" s="18">
        <v>1</v>
      </c>
      <c r="F396" s="24">
        <v>2.564102564102564E-2</v>
      </c>
    </row>
    <row r="397" spans="2:6" x14ac:dyDescent="0.2">
      <c r="B397" s="5">
        <v>45843</v>
      </c>
      <c r="C397" t="s">
        <v>86</v>
      </c>
      <c r="D397" s="11">
        <v>21</v>
      </c>
      <c r="E397" s="18">
        <v>2</v>
      </c>
      <c r="F397" s="24">
        <v>9.5238095238095233E-2</v>
      </c>
    </row>
    <row r="398" spans="2:6" x14ac:dyDescent="0.2">
      <c r="B398" s="5">
        <v>45843</v>
      </c>
      <c r="C398" t="s">
        <v>876</v>
      </c>
      <c r="D398" s="11">
        <v>365</v>
      </c>
      <c r="E398" s="18">
        <v>0</v>
      </c>
      <c r="F398" s="24">
        <v>0</v>
      </c>
    </row>
    <row r="399" spans="2:6" x14ac:dyDescent="0.2">
      <c r="B399" s="5">
        <v>45843</v>
      </c>
      <c r="C399" t="s">
        <v>877</v>
      </c>
      <c r="D399" s="11">
        <v>64</v>
      </c>
      <c r="E399" s="18">
        <v>0</v>
      </c>
      <c r="F399" s="24">
        <v>0</v>
      </c>
    </row>
    <row r="400" spans="2:6" x14ac:dyDescent="0.2">
      <c r="B400" s="5">
        <v>45843</v>
      </c>
      <c r="C400" t="s">
        <v>878</v>
      </c>
      <c r="D400" s="11">
        <v>1317</v>
      </c>
      <c r="E400" s="18">
        <v>3</v>
      </c>
      <c r="F400" s="24">
        <v>2.2779043280182231E-3</v>
      </c>
    </row>
    <row r="401" spans="2:6" x14ac:dyDescent="0.2">
      <c r="B401" s="5">
        <v>45844</v>
      </c>
      <c r="C401" t="s">
        <v>875</v>
      </c>
      <c r="D401" s="11">
        <v>691</v>
      </c>
      <c r="E401" s="18">
        <v>0</v>
      </c>
      <c r="F401" s="24">
        <v>0</v>
      </c>
    </row>
    <row r="402" spans="2:6" x14ac:dyDescent="0.2">
      <c r="B402" s="5">
        <v>45844</v>
      </c>
      <c r="C402" t="s">
        <v>84</v>
      </c>
      <c r="D402" s="11">
        <v>54</v>
      </c>
      <c r="E402" s="18">
        <v>0</v>
      </c>
      <c r="F402" s="24">
        <v>0</v>
      </c>
    </row>
    <row r="403" spans="2:6" x14ac:dyDescent="0.2">
      <c r="B403" s="5">
        <v>45844</v>
      </c>
      <c r="C403" t="s">
        <v>86</v>
      </c>
      <c r="D403" s="11">
        <v>20</v>
      </c>
      <c r="E403" s="18">
        <v>1</v>
      </c>
      <c r="F403" s="24">
        <v>0.05</v>
      </c>
    </row>
    <row r="404" spans="2:6" x14ac:dyDescent="0.2">
      <c r="B404" s="5">
        <v>45844</v>
      </c>
      <c r="C404" t="s">
        <v>876</v>
      </c>
      <c r="D404" s="11">
        <v>199</v>
      </c>
      <c r="E404" s="18">
        <v>0</v>
      </c>
      <c r="F404" s="24">
        <v>0</v>
      </c>
    </row>
    <row r="405" spans="2:6" x14ac:dyDescent="0.2">
      <c r="B405" s="5">
        <v>45844</v>
      </c>
      <c r="C405" t="s">
        <v>877</v>
      </c>
      <c r="D405" s="11">
        <v>45</v>
      </c>
      <c r="E405" s="18">
        <v>0</v>
      </c>
      <c r="F405" s="24">
        <v>0</v>
      </c>
    </row>
    <row r="406" spans="2:6" x14ac:dyDescent="0.2">
      <c r="B406" s="5">
        <v>45844</v>
      </c>
      <c r="C406" t="s">
        <v>878</v>
      </c>
      <c r="D406" s="11">
        <v>1009</v>
      </c>
      <c r="E406" s="18">
        <v>1</v>
      </c>
      <c r="F406" s="24">
        <v>9.9108027750247768E-4</v>
      </c>
    </row>
    <row r="407" spans="2:6" x14ac:dyDescent="0.2">
      <c r="B407" s="5">
        <v>45845</v>
      </c>
      <c r="C407" t="s">
        <v>875</v>
      </c>
      <c r="D407" s="11">
        <v>776</v>
      </c>
      <c r="E407" s="18">
        <v>1</v>
      </c>
      <c r="F407" s="24">
        <v>1.288659793814433E-3</v>
      </c>
    </row>
    <row r="408" spans="2:6" x14ac:dyDescent="0.2">
      <c r="B408" s="5">
        <v>45845</v>
      </c>
      <c r="C408" t="s">
        <v>84</v>
      </c>
      <c r="D408" s="11">
        <v>37</v>
      </c>
      <c r="E408" s="18">
        <v>2</v>
      </c>
      <c r="F408" s="24">
        <v>5.4054054054054057E-2</v>
      </c>
    </row>
    <row r="409" spans="2:6" x14ac:dyDescent="0.2">
      <c r="B409" s="5">
        <v>45845</v>
      </c>
      <c r="C409" t="s">
        <v>86</v>
      </c>
      <c r="D409" s="11">
        <v>23</v>
      </c>
      <c r="E409" s="18">
        <v>2</v>
      </c>
      <c r="F409" s="24">
        <v>8.6956521739130432E-2</v>
      </c>
    </row>
    <row r="410" spans="2:6" x14ac:dyDescent="0.2">
      <c r="B410" s="5">
        <v>45845</v>
      </c>
      <c r="C410" t="s">
        <v>876</v>
      </c>
      <c r="D410" s="11">
        <v>116</v>
      </c>
      <c r="E410" s="18">
        <v>0</v>
      </c>
      <c r="F410" s="24">
        <v>0</v>
      </c>
    </row>
    <row r="411" spans="2:6" x14ac:dyDescent="0.2">
      <c r="B411" s="5">
        <v>45845</v>
      </c>
      <c r="C411" t="s">
        <v>877</v>
      </c>
      <c r="D411" s="11">
        <v>79</v>
      </c>
      <c r="E411" s="18">
        <v>2</v>
      </c>
      <c r="F411" s="24">
        <v>2.5316455696202531E-2</v>
      </c>
    </row>
    <row r="412" spans="2:6" x14ac:dyDescent="0.2">
      <c r="B412" s="5">
        <v>45845</v>
      </c>
      <c r="C412" t="s">
        <v>878</v>
      </c>
      <c r="D412" s="11">
        <v>1031</v>
      </c>
      <c r="E412" s="18">
        <v>7</v>
      </c>
      <c r="F412" s="24">
        <v>6.7895247332686714E-3</v>
      </c>
    </row>
    <row r="413" spans="2:6" x14ac:dyDescent="0.2">
      <c r="B413" s="5">
        <v>45846</v>
      </c>
      <c r="C413" t="s">
        <v>875</v>
      </c>
      <c r="D413" s="11">
        <v>545</v>
      </c>
      <c r="E413" s="18">
        <v>1</v>
      </c>
      <c r="F413" s="24">
        <v>1.834862385321101E-3</v>
      </c>
    </row>
    <row r="414" spans="2:6" x14ac:dyDescent="0.2">
      <c r="B414" s="5">
        <v>45846</v>
      </c>
      <c r="C414" t="s">
        <v>84</v>
      </c>
      <c r="D414" s="11">
        <v>34</v>
      </c>
      <c r="E414" s="18">
        <v>0</v>
      </c>
      <c r="F414" s="24">
        <v>0</v>
      </c>
    </row>
    <row r="415" spans="2:6" x14ac:dyDescent="0.2">
      <c r="B415" s="5">
        <v>45846</v>
      </c>
      <c r="C415" t="s">
        <v>86</v>
      </c>
      <c r="D415" s="11">
        <v>23</v>
      </c>
      <c r="E415" s="18">
        <v>0</v>
      </c>
      <c r="F415" s="24">
        <v>0</v>
      </c>
    </row>
    <row r="416" spans="2:6" x14ac:dyDescent="0.2">
      <c r="B416" s="5">
        <v>45846</v>
      </c>
      <c r="C416" t="s">
        <v>876</v>
      </c>
      <c r="D416" s="11">
        <v>99</v>
      </c>
      <c r="E416" s="18">
        <v>0</v>
      </c>
      <c r="F416" s="24">
        <v>0</v>
      </c>
    </row>
    <row r="417" spans="2:6" x14ac:dyDescent="0.2">
      <c r="B417" s="5">
        <v>45846</v>
      </c>
      <c r="C417" t="s">
        <v>877</v>
      </c>
      <c r="D417" s="11">
        <v>66</v>
      </c>
      <c r="E417" s="18">
        <v>0</v>
      </c>
      <c r="F417" s="24">
        <v>0</v>
      </c>
    </row>
    <row r="418" spans="2:6" x14ac:dyDescent="0.2">
      <c r="B418" s="5">
        <v>45846</v>
      </c>
      <c r="C418" t="s">
        <v>878</v>
      </c>
      <c r="D418" s="11">
        <v>767</v>
      </c>
      <c r="E418" s="18">
        <v>1</v>
      </c>
      <c r="F418" s="24">
        <v>1.3037809647979139E-3</v>
      </c>
    </row>
    <row r="419" spans="2:6" x14ac:dyDescent="0.2">
      <c r="B419" s="5">
        <v>45847</v>
      </c>
      <c r="C419" t="s">
        <v>875</v>
      </c>
      <c r="D419" s="11">
        <v>226</v>
      </c>
      <c r="E419" s="18">
        <v>0</v>
      </c>
      <c r="F419" s="24">
        <v>0</v>
      </c>
    </row>
    <row r="420" spans="2:6" x14ac:dyDescent="0.2">
      <c r="B420" s="5">
        <v>45847</v>
      </c>
      <c r="C420" t="s">
        <v>84</v>
      </c>
      <c r="D420" s="11">
        <v>43</v>
      </c>
      <c r="E420" s="18">
        <v>0</v>
      </c>
      <c r="F420" s="24">
        <v>0</v>
      </c>
    </row>
    <row r="421" spans="2:6" x14ac:dyDescent="0.2">
      <c r="B421" s="5">
        <v>45847</v>
      </c>
      <c r="C421" t="s">
        <v>86</v>
      </c>
      <c r="D421" s="11">
        <v>28</v>
      </c>
      <c r="E421" s="18">
        <v>0</v>
      </c>
      <c r="F421" s="24">
        <v>0</v>
      </c>
    </row>
    <row r="422" spans="2:6" x14ac:dyDescent="0.2">
      <c r="B422" s="5">
        <v>45847</v>
      </c>
      <c r="C422" t="s">
        <v>876</v>
      </c>
      <c r="D422" s="11">
        <v>16</v>
      </c>
      <c r="E422" s="18">
        <v>0</v>
      </c>
      <c r="F422" s="24">
        <v>0</v>
      </c>
    </row>
    <row r="423" spans="2:6" x14ac:dyDescent="0.2">
      <c r="B423" s="5">
        <v>45847</v>
      </c>
      <c r="C423" t="s">
        <v>877</v>
      </c>
      <c r="D423" s="11">
        <v>161</v>
      </c>
      <c r="E423" s="18">
        <v>7</v>
      </c>
      <c r="F423" s="24">
        <v>4.3478260869565216E-2</v>
      </c>
    </row>
    <row r="424" spans="2:6" x14ac:dyDescent="0.2">
      <c r="B424" s="5">
        <v>45847</v>
      </c>
      <c r="C424" t="s">
        <v>878</v>
      </c>
      <c r="D424" s="11">
        <v>474</v>
      </c>
      <c r="E424" s="18">
        <v>7</v>
      </c>
      <c r="F424" s="24">
        <v>1.4767932489451477E-2</v>
      </c>
    </row>
    <row r="425" spans="2:6" x14ac:dyDescent="0.2">
      <c r="B425" s="5">
        <v>45848</v>
      </c>
      <c r="C425" t="s">
        <v>875</v>
      </c>
      <c r="D425" s="11">
        <v>183</v>
      </c>
      <c r="E425" s="18">
        <v>0</v>
      </c>
      <c r="F425" s="24">
        <v>0</v>
      </c>
    </row>
    <row r="426" spans="2:6" x14ac:dyDescent="0.2">
      <c r="B426" s="5">
        <v>45848</v>
      </c>
      <c r="C426" t="s">
        <v>84</v>
      </c>
      <c r="D426" s="11">
        <v>35</v>
      </c>
      <c r="E426" s="18">
        <v>1</v>
      </c>
      <c r="F426" s="24">
        <v>2.8571428571428571E-2</v>
      </c>
    </row>
    <row r="427" spans="2:6" x14ac:dyDescent="0.2">
      <c r="B427" s="5">
        <v>45848</v>
      </c>
      <c r="C427" t="s">
        <v>86</v>
      </c>
      <c r="D427" s="11">
        <v>23</v>
      </c>
      <c r="E427" s="18">
        <v>1</v>
      </c>
      <c r="F427" s="24">
        <v>4.3478260869565216E-2</v>
      </c>
    </row>
    <row r="428" spans="2:6" x14ac:dyDescent="0.2">
      <c r="B428" s="5">
        <v>45848</v>
      </c>
      <c r="C428" t="s">
        <v>876</v>
      </c>
      <c r="D428" s="11">
        <v>13</v>
      </c>
      <c r="E428" s="18">
        <v>0</v>
      </c>
      <c r="F428" s="24">
        <v>0</v>
      </c>
    </row>
    <row r="429" spans="2:6" x14ac:dyDescent="0.2">
      <c r="B429" s="5">
        <v>45848</v>
      </c>
      <c r="C429" t="s">
        <v>877</v>
      </c>
      <c r="D429" s="11">
        <v>78</v>
      </c>
      <c r="E429" s="18">
        <v>8</v>
      </c>
      <c r="F429" s="24">
        <v>0.10256410256410256</v>
      </c>
    </row>
    <row r="430" spans="2:6" x14ac:dyDescent="0.2">
      <c r="B430" s="5">
        <v>45848</v>
      </c>
      <c r="C430" t="s">
        <v>878</v>
      </c>
      <c r="D430" s="11">
        <v>332</v>
      </c>
      <c r="E430" s="18">
        <v>10</v>
      </c>
      <c r="F430" s="24">
        <v>3.0120481927710843E-2</v>
      </c>
    </row>
    <row r="431" spans="2:6" x14ac:dyDescent="0.2">
      <c r="B431" s="5">
        <v>45849</v>
      </c>
      <c r="C431" t="s">
        <v>875</v>
      </c>
      <c r="D431" s="11">
        <v>411</v>
      </c>
      <c r="E431" s="18">
        <v>0</v>
      </c>
      <c r="F431" s="24">
        <v>0</v>
      </c>
    </row>
    <row r="432" spans="2:6" x14ac:dyDescent="0.2">
      <c r="B432" s="5">
        <v>45849</v>
      </c>
      <c r="C432" t="s">
        <v>84</v>
      </c>
      <c r="D432" s="11">
        <v>40</v>
      </c>
      <c r="E432" s="18">
        <v>1</v>
      </c>
      <c r="F432" s="24">
        <v>2.5000000000000001E-2</v>
      </c>
    </row>
    <row r="433" spans="2:6" x14ac:dyDescent="0.2">
      <c r="B433" s="5">
        <v>45849</v>
      </c>
      <c r="C433" t="s">
        <v>86</v>
      </c>
      <c r="D433" s="11">
        <v>21</v>
      </c>
      <c r="E433" s="18">
        <v>1</v>
      </c>
      <c r="F433" s="24">
        <v>4.7619047619047616E-2</v>
      </c>
    </row>
    <row r="434" spans="2:6" x14ac:dyDescent="0.2">
      <c r="B434" s="5">
        <v>45849</v>
      </c>
      <c r="C434" t="s">
        <v>876</v>
      </c>
      <c r="D434" s="11">
        <v>23</v>
      </c>
      <c r="E434" s="18">
        <v>0</v>
      </c>
      <c r="F434" s="24">
        <v>0</v>
      </c>
    </row>
    <row r="435" spans="2:6" x14ac:dyDescent="0.2">
      <c r="B435" s="5">
        <v>45849</v>
      </c>
      <c r="C435" t="s">
        <v>877</v>
      </c>
      <c r="D435" s="11">
        <v>50</v>
      </c>
      <c r="E435" s="18">
        <v>2</v>
      </c>
      <c r="F435" s="24">
        <v>0.04</v>
      </c>
    </row>
    <row r="436" spans="2:6" x14ac:dyDescent="0.2">
      <c r="B436" s="5">
        <v>45849</v>
      </c>
      <c r="C436" t="s">
        <v>878</v>
      </c>
      <c r="D436" s="11">
        <v>545</v>
      </c>
      <c r="E436" s="18">
        <v>4</v>
      </c>
      <c r="F436" s="24">
        <v>7.3394495412844041E-3</v>
      </c>
    </row>
    <row r="437" spans="2:6" x14ac:dyDescent="0.2">
      <c r="B437" s="5">
        <v>45850</v>
      </c>
      <c r="C437" t="s">
        <v>875</v>
      </c>
      <c r="D437" s="11">
        <v>399</v>
      </c>
      <c r="E437" s="18">
        <v>0</v>
      </c>
      <c r="F437" s="24">
        <v>0</v>
      </c>
    </row>
    <row r="438" spans="2:6" x14ac:dyDescent="0.2">
      <c r="B438" s="5">
        <v>45850</v>
      </c>
      <c r="C438" t="s">
        <v>84</v>
      </c>
      <c r="D438" s="11">
        <v>30</v>
      </c>
      <c r="E438" s="18">
        <v>1</v>
      </c>
      <c r="F438" s="24">
        <v>3.3333333333333333E-2</v>
      </c>
    </row>
    <row r="439" spans="2:6" x14ac:dyDescent="0.2">
      <c r="B439" s="5">
        <v>45850</v>
      </c>
      <c r="C439" t="s">
        <v>86</v>
      </c>
      <c r="D439" s="11">
        <v>21</v>
      </c>
      <c r="E439" s="18">
        <v>0</v>
      </c>
      <c r="F439" s="24">
        <v>0</v>
      </c>
    </row>
    <row r="440" spans="2:6" x14ac:dyDescent="0.2">
      <c r="B440" s="5">
        <v>45850</v>
      </c>
      <c r="C440" t="s">
        <v>876</v>
      </c>
      <c r="D440" s="11">
        <v>15</v>
      </c>
      <c r="E440" s="18">
        <v>0</v>
      </c>
      <c r="F440" s="24">
        <v>0</v>
      </c>
    </row>
    <row r="441" spans="2:6" x14ac:dyDescent="0.2">
      <c r="B441" s="5">
        <v>45850</v>
      </c>
      <c r="C441" t="s">
        <v>877</v>
      </c>
      <c r="D441" s="11">
        <v>49</v>
      </c>
      <c r="E441" s="18">
        <v>2</v>
      </c>
      <c r="F441" s="24">
        <v>4.0816326530612242E-2</v>
      </c>
    </row>
    <row r="442" spans="2:6" x14ac:dyDescent="0.2">
      <c r="B442" s="5">
        <v>45850</v>
      </c>
      <c r="C442" t="s">
        <v>878</v>
      </c>
      <c r="D442" s="11">
        <v>514</v>
      </c>
      <c r="E442" s="18">
        <v>3</v>
      </c>
      <c r="F442" s="24">
        <v>5.8365758754863814E-3</v>
      </c>
    </row>
    <row r="443" spans="2:6" x14ac:dyDescent="0.2">
      <c r="B443" s="5">
        <v>45851</v>
      </c>
      <c r="C443" t="s">
        <v>875</v>
      </c>
      <c r="D443" s="11">
        <v>426</v>
      </c>
      <c r="E443" s="18">
        <v>0</v>
      </c>
      <c r="F443" s="24">
        <v>0</v>
      </c>
    </row>
    <row r="444" spans="2:6" x14ac:dyDescent="0.2">
      <c r="B444" s="5">
        <v>45851</v>
      </c>
      <c r="C444" t="s">
        <v>84</v>
      </c>
      <c r="D444" s="11">
        <v>39</v>
      </c>
      <c r="E444" s="18">
        <v>0</v>
      </c>
      <c r="F444" s="24">
        <v>0</v>
      </c>
    </row>
    <row r="445" spans="2:6" x14ac:dyDescent="0.2">
      <c r="B445" s="5">
        <v>45851</v>
      </c>
      <c r="C445" t="s">
        <v>86</v>
      </c>
      <c r="D445" s="11">
        <v>13</v>
      </c>
      <c r="E445" s="18">
        <v>0</v>
      </c>
      <c r="F445" s="24">
        <v>0</v>
      </c>
    </row>
    <row r="446" spans="2:6" x14ac:dyDescent="0.2">
      <c r="B446" s="5">
        <v>45851</v>
      </c>
      <c r="C446" t="s">
        <v>876</v>
      </c>
      <c r="D446" s="11">
        <v>22</v>
      </c>
      <c r="E446" s="18">
        <v>0</v>
      </c>
      <c r="F446" s="24">
        <v>0</v>
      </c>
    </row>
    <row r="447" spans="2:6" x14ac:dyDescent="0.2">
      <c r="B447" s="5">
        <v>45851</v>
      </c>
      <c r="C447" t="s">
        <v>877</v>
      </c>
      <c r="D447" s="11">
        <v>67</v>
      </c>
      <c r="E447" s="18">
        <v>2</v>
      </c>
      <c r="F447" s="24">
        <v>2.9850746268656716E-2</v>
      </c>
    </row>
    <row r="448" spans="2:6" x14ac:dyDescent="0.2">
      <c r="B448" s="5">
        <v>45851</v>
      </c>
      <c r="C448" t="s">
        <v>878</v>
      </c>
      <c r="D448" s="11">
        <v>567</v>
      </c>
      <c r="E448" s="18">
        <v>2</v>
      </c>
      <c r="F448" s="24">
        <v>3.5273368606701938E-3</v>
      </c>
    </row>
    <row r="449" spans="2:6" x14ac:dyDescent="0.2">
      <c r="B449" s="5">
        <v>45852</v>
      </c>
      <c r="C449" t="s">
        <v>875</v>
      </c>
      <c r="D449" s="11">
        <v>430</v>
      </c>
      <c r="E449" s="18">
        <v>1</v>
      </c>
      <c r="F449" s="24">
        <v>2.3255813953488372E-3</v>
      </c>
    </row>
    <row r="450" spans="2:6" x14ac:dyDescent="0.2">
      <c r="B450" s="5">
        <v>45852</v>
      </c>
      <c r="C450" t="s">
        <v>84</v>
      </c>
      <c r="D450" s="11">
        <v>40</v>
      </c>
      <c r="E450" s="18">
        <v>0</v>
      </c>
      <c r="F450" s="24">
        <v>0</v>
      </c>
    </row>
    <row r="451" spans="2:6" x14ac:dyDescent="0.2">
      <c r="B451" s="5">
        <v>45852</v>
      </c>
      <c r="C451" t="s">
        <v>86</v>
      </c>
      <c r="D451" s="11">
        <v>30</v>
      </c>
      <c r="E451" s="18">
        <v>1</v>
      </c>
      <c r="F451" s="24">
        <v>3.3333333333333333E-2</v>
      </c>
    </row>
    <row r="452" spans="2:6" x14ac:dyDescent="0.2">
      <c r="B452" s="5">
        <v>45852</v>
      </c>
      <c r="C452" t="s">
        <v>876</v>
      </c>
      <c r="D452" s="11">
        <v>27</v>
      </c>
      <c r="E452" s="18">
        <v>0</v>
      </c>
      <c r="F452" s="24">
        <v>0</v>
      </c>
    </row>
    <row r="453" spans="2:6" x14ac:dyDescent="0.2">
      <c r="B453" s="5">
        <v>45852</v>
      </c>
      <c r="C453" t="s">
        <v>877</v>
      </c>
      <c r="D453" s="11">
        <v>62</v>
      </c>
      <c r="E453" s="18">
        <v>0</v>
      </c>
      <c r="F453" s="24">
        <v>0</v>
      </c>
    </row>
    <row r="454" spans="2:6" x14ac:dyDescent="0.2">
      <c r="B454" s="5">
        <v>45852</v>
      </c>
      <c r="C454" t="s">
        <v>878</v>
      </c>
      <c r="D454" s="11">
        <v>589</v>
      </c>
      <c r="E454" s="18">
        <v>2</v>
      </c>
      <c r="F454" s="24">
        <v>3.3955857385398981E-3</v>
      </c>
    </row>
    <row r="455" spans="2:6" x14ac:dyDescent="0.2">
      <c r="B455" s="5">
        <v>45853</v>
      </c>
      <c r="C455" t="s">
        <v>875</v>
      </c>
      <c r="D455" s="11">
        <v>418</v>
      </c>
      <c r="E455" s="18">
        <v>0</v>
      </c>
      <c r="F455" s="24">
        <v>0</v>
      </c>
    </row>
    <row r="456" spans="2:6" x14ac:dyDescent="0.2">
      <c r="B456" s="5">
        <v>45853</v>
      </c>
      <c r="C456" t="s">
        <v>84</v>
      </c>
      <c r="D456" s="11">
        <v>45</v>
      </c>
      <c r="E456" s="18">
        <v>0</v>
      </c>
      <c r="F456" s="24">
        <v>0</v>
      </c>
    </row>
    <row r="457" spans="2:6" x14ac:dyDescent="0.2">
      <c r="B457" s="5">
        <v>45853</v>
      </c>
      <c r="C457" t="s">
        <v>86</v>
      </c>
      <c r="D457" s="11">
        <v>27</v>
      </c>
      <c r="E457" s="18">
        <v>0</v>
      </c>
      <c r="F457" s="24">
        <v>0</v>
      </c>
    </row>
    <row r="458" spans="2:6" x14ac:dyDescent="0.2">
      <c r="B458" s="5">
        <v>45853</v>
      </c>
      <c r="C458" t="s">
        <v>876</v>
      </c>
      <c r="D458" s="11">
        <v>74</v>
      </c>
      <c r="E458" s="18">
        <v>0</v>
      </c>
      <c r="F458" s="24">
        <v>0</v>
      </c>
    </row>
    <row r="459" spans="2:6" x14ac:dyDescent="0.2">
      <c r="B459" s="5">
        <v>45853</v>
      </c>
      <c r="C459" t="s">
        <v>877</v>
      </c>
      <c r="D459" s="11">
        <v>57</v>
      </c>
      <c r="E459" s="18">
        <v>4</v>
      </c>
      <c r="F459" s="24">
        <v>7.0175438596491224E-2</v>
      </c>
    </row>
    <row r="460" spans="2:6" x14ac:dyDescent="0.2">
      <c r="B460" s="5">
        <v>45853</v>
      </c>
      <c r="C460" t="s">
        <v>878</v>
      </c>
      <c r="D460" s="11">
        <v>621</v>
      </c>
      <c r="E460" s="18">
        <v>4</v>
      </c>
      <c r="F460" s="24">
        <v>6.4412238325281803E-3</v>
      </c>
    </row>
    <row r="461" spans="2:6" x14ac:dyDescent="0.2">
      <c r="B461" s="5">
        <v>45854</v>
      </c>
      <c r="C461" t="s">
        <v>875</v>
      </c>
      <c r="D461" s="11">
        <v>474</v>
      </c>
      <c r="E461" s="18">
        <v>0</v>
      </c>
      <c r="F461" s="24">
        <v>0</v>
      </c>
    </row>
    <row r="462" spans="2:6" x14ac:dyDescent="0.2">
      <c r="B462" s="5">
        <v>45854</v>
      </c>
      <c r="C462" t="s">
        <v>84</v>
      </c>
      <c r="D462" s="11">
        <v>106</v>
      </c>
      <c r="E462" s="18">
        <v>0</v>
      </c>
      <c r="F462" s="24">
        <v>0</v>
      </c>
    </row>
    <row r="463" spans="2:6" x14ac:dyDescent="0.2">
      <c r="B463" s="5">
        <v>45854</v>
      </c>
      <c r="C463" t="s">
        <v>86</v>
      </c>
      <c r="D463" s="11">
        <v>40</v>
      </c>
      <c r="E463" s="18">
        <v>1</v>
      </c>
      <c r="F463" s="24">
        <v>2.5000000000000001E-2</v>
      </c>
    </row>
    <row r="464" spans="2:6" x14ac:dyDescent="0.2">
      <c r="B464" s="5">
        <v>45854</v>
      </c>
      <c r="C464" t="s">
        <v>876</v>
      </c>
      <c r="D464" s="11">
        <v>88</v>
      </c>
      <c r="E464" s="18">
        <v>0</v>
      </c>
      <c r="F464" s="24">
        <v>0</v>
      </c>
    </row>
    <row r="465" spans="2:6" x14ac:dyDescent="0.2">
      <c r="B465" s="5">
        <v>45854</v>
      </c>
      <c r="C465" t="s">
        <v>877</v>
      </c>
      <c r="D465" s="11">
        <v>183</v>
      </c>
      <c r="E465" s="18">
        <v>4</v>
      </c>
      <c r="F465" s="24">
        <v>2.185792349726776E-2</v>
      </c>
    </row>
    <row r="466" spans="2:6" x14ac:dyDescent="0.2">
      <c r="B466" s="5">
        <v>45854</v>
      </c>
      <c r="C466" t="s">
        <v>878</v>
      </c>
      <c r="D466" s="11">
        <v>891</v>
      </c>
      <c r="E466" s="18">
        <v>5</v>
      </c>
      <c r="F466" s="24">
        <v>5.6116722783389446E-3</v>
      </c>
    </row>
    <row r="467" spans="2:6" x14ac:dyDescent="0.2">
      <c r="B467" s="5">
        <v>45855</v>
      </c>
      <c r="C467" t="s">
        <v>875</v>
      </c>
      <c r="D467" s="11">
        <v>387</v>
      </c>
      <c r="E467" s="18">
        <v>3</v>
      </c>
      <c r="F467" s="24">
        <v>7.7519379844961239E-3</v>
      </c>
    </row>
    <row r="468" spans="2:6" x14ac:dyDescent="0.2">
      <c r="B468" s="5">
        <v>45855</v>
      </c>
      <c r="C468" t="s">
        <v>84</v>
      </c>
      <c r="D468" s="11">
        <v>72</v>
      </c>
      <c r="E468" s="18">
        <v>2</v>
      </c>
      <c r="F468" s="24">
        <v>2.7777777777777776E-2</v>
      </c>
    </row>
    <row r="469" spans="2:6" x14ac:dyDescent="0.2">
      <c r="B469" s="5">
        <v>45855</v>
      </c>
      <c r="C469" t="s">
        <v>86</v>
      </c>
      <c r="D469" s="11">
        <v>31</v>
      </c>
      <c r="E469" s="18">
        <v>2</v>
      </c>
      <c r="F469" s="24">
        <v>6.4516129032258063E-2</v>
      </c>
    </row>
    <row r="470" spans="2:6" x14ac:dyDescent="0.2">
      <c r="B470" s="5">
        <v>45855</v>
      </c>
      <c r="C470" t="s">
        <v>876</v>
      </c>
      <c r="D470" s="11">
        <v>82</v>
      </c>
      <c r="E470" s="18">
        <v>0</v>
      </c>
      <c r="F470" s="24">
        <v>0</v>
      </c>
    </row>
    <row r="471" spans="2:6" x14ac:dyDescent="0.2">
      <c r="B471" s="5">
        <v>45855</v>
      </c>
      <c r="C471" t="s">
        <v>877</v>
      </c>
      <c r="D471" s="11">
        <v>85</v>
      </c>
      <c r="E471" s="18">
        <v>4</v>
      </c>
      <c r="F471" s="24">
        <v>4.7058823529411764E-2</v>
      </c>
    </row>
    <row r="472" spans="2:6" x14ac:dyDescent="0.2">
      <c r="B472" s="5">
        <v>45855</v>
      </c>
      <c r="C472" t="s">
        <v>878</v>
      </c>
      <c r="D472" s="11">
        <v>657</v>
      </c>
      <c r="E472" s="18">
        <v>11</v>
      </c>
      <c r="F472" s="24">
        <v>1.6742770167427701E-2</v>
      </c>
    </row>
    <row r="473" spans="2:6" x14ac:dyDescent="0.2">
      <c r="B473" s="5">
        <v>45856</v>
      </c>
      <c r="C473" t="s">
        <v>875</v>
      </c>
      <c r="D473" s="11">
        <v>451</v>
      </c>
      <c r="E473" s="18">
        <v>0</v>
      </c>
      <c r="F473" s="24">
        <v>0</v>
      </c>
    </row>
    <row r="474" spans="2:6" x14ac:dyDescent="0.2">
      <c r="B474" s="5">
        <v>45856</v>
      </c>
      <c r="C474" t="s">
        <v>84</v>
      </c>
      <c r="D474" s="11">
        <v>75</v>
      </c>
      <c r="E474" s="18">
        <v>0</v>
      </c>
      <c r="F474" s="24">
        <v>0</v>
      </c>
    </row>
    <row r="475" spans="2:6" x14ac:dyDescent="0.2">
      <c r="B475" s="5">
        <v>45856</v>
      </c>
      <c r="C475" t="s">
        <v>86</v>
      </c>
      <c r="D475" s="11">
        <v>32</v>
      </c>
      <c r="E475" s="18">
        <v>0</v>
      </c>
      <c r="F475" s="24">
        <v>0</v>
      </c>
    </row>
    <row r="476" spans="2:6" x14ac:dyDescent="0.2">
      <c r="B476" s="5">
        <v>45856</v>
      </c>
      <c r="C476" t="s">
        <v>876</v>
      </c>
      <c r="D476" s="11">
        <v>67</v>
      </c>
      <c r="E476" s="18">
        <v>0</v>
      </c>
      <c r="F476" s="24">
        <v>0</v>
      </c>
    </row>
    <row r="477" spans="2:6" x14ac:dyDescent="0.2">
      <c r="B477" s="5">
        <v>45856</v>
      </c>
      <c r="C477" t="s">
        <v>877</v>
      </c>
      <c r="D477" s="11">
        <v>104</v>
      </c>
      <c r="E477" s="18">
        <v>2</v>
      </c>
      <c r="F477" s="24">
        <v>1.9230769230769232E-2</v>
      </c>
    </row>
    <row r="478" spans="2:6" x14ac:dyDescent="0.2">
      <c r="B478" s="5">
        <v>45856</v>
      </c>
      <c r="C478" t="s">
        <v>878</v>
      </c>
      <c r="D478" s="11">
        <v>729</v>
      </c>
      <c r="E478" s="18">
        <v>2</v>
      </c>
      <c r="F478" s="24">
        <v>2.7434842249657062E-3</v>
      </c>
    </row>
    <row r="479" spans="2:6" x14ac:dyDescent="0.2">
      <c r="B479" s="5">
        <v>45857</v>
      </c>
      <c r="C479" t="s">
        <v>875</v>
      </c>
      <c r="D479" s="11">
        <v>376</v>
      </c>
      <c r="E479" s="18">
        <v>0</v>
      </c>
      <c r="F479" s="24">
        <v>0</v>
      </c>
    </row>
    <row r="480" spans="2:6" x14ac:dyDescent="0.2">
      <c r="B480" s="5">
        <v>45857</v>
      </c>
      <c r="C480" t="s">
        <v>84</v>
      </c>
      <c r="D480" s="11">
        <v>84</v>
      </c>
      <c r="E480" s="18">
        <v>2</v>
      </c>
      <c r="F480" s="24">
        <v>2.3809523809523808E-2</v>
      </c>
    </row>
    <row r="481" spans="2:6" x14ac:dyDescent="0.2">
      <c r="B481" s="5">
        <v>45857</v>
      </c>
      <c r="C481" t="s">
        <v>86</v>
      </c>
      <c r="D481" s="11">
        <v>24</v>
      </c>
      <c r="E481" s="18">
        <v>1</v>
      </c>
      <c r="F481" s="24">
        <v>4.1666666666666664E-2</v>
      </c>
    </row>
    <row r="482" spans="2:6" x14ac:dyDescent="0.2">
      <c r="B482" s="5">
        <v>45857</v>
      </c>
      <c r="C482" t="s">
        <v>876</v>
      </c>
      <c r="D482" s="11">
        <v>69</v>
      </c>
      <c r="E482" s="18">
        <v>0</v>
      </c>
      <c r="F482" s="24">
        <v>0</v>
      </c>
    </row>
    <row r="483" spans="2:6" x14ac:dyDescent="0.2">
      <c r="B483" s="5">
        <v>45857</v>
      </c>
      <c r="C483" t="s">
        <v>877</v>
      </c>
      <c r="D483" s="11">
        <v>75</v>
      </c>
      <c r="E483" s="18">
        <v>1</v>
      </c>
      <c r="F483" s="24">
        <v>1.3333333333333334E-2</v>
      </c>
    </row>
    <row r="484" spans="2:6" x14ac:dyDescent="0.2">
      <c r="B484" s="5">
        <v>45857</v>
      </c>
      <c r="C484" t="s">
        <v>878</v>
      </c>
      <c r="D484" s="11">
        <v>628</v>
      </c>
      <c r="E484" s="18">
        <v>4</v>
      </c>
      <c r="F484" s="24">
        <v>6.369426751592357E-3</v>
      </c>
    </row>
    <row r="485" spans="2:6" x14ac:dyDescent="0.2">
      <c r="B485" s="5">
        <v>45858</v>
      </c>
      <c r="C485" t="s">
        <v>875</v>
      </c>
      <c r="D485" s="11">
        <v>370</v>
      </c>
      <c r="E485" s="18">
        <v>0</v>
      </c>
      <c r="F485" s="24">
        <v>0</v>
      </c>
    </row>
    <row r="486" spans="2:6" x14ac:dyDescent="0.2">
      <c r="B486" s="5">
        <v>45858</v>
      </c>
      <c r="C486" t="s">
        <v>84</v>
      </c>
      <c r="D486" s="11">
        <v>99</v>
      </c>
      <c r="E486" s="18">
        <v>1</v>
      </c>
      <c r="F486" s="24">
        <v>1.0101010101010102E-2</v>
      </c>
    </row>
    <row r="487" spans="2:6" x14ac:dyDescent="0.2">
      <c r="B487" s="5">
        <v>45858</v>
      </c>
      <c r="C487" t="s">
        <v>86</v>
      </c>
      <c r="D487" s="11">
        <v>25</v>
      </c>
      <c r="E487" s="18">
        <v>2</v>
      </c>
      <c r="F487" s="24">
        <v>0.08</v>
      </c>
    </row>
    <row r="488" spans="2:6" x14ac:dyDescent="0.2">
      <c r="B488" s="5">
        <v>45858</v>
      </c>
      <c r="C488" t="s">
        <v>876</v>
      </c>
      <c r="D488" s="11">
        <v>109</v>
      </c>
      <c r="E488" s="18">
        <v>0</v>
      </c>
      <c r="F488" s="24">
        <v>0</v>
      </c>
    </row>
    <row r="489" spans="2:6" x14ac:dyDescent="0.2">
      <c r="B489" s="5">
        <v>45858</v>
      </c>
      <c r="C489" t="s">
        <v>877</v>
      </c>
      <c r="D489" s="11">
        <v>88</v>
      </c>
      <c r="E489" s="18">
        <v>4</v>
      </c>
      <c r="F489" s="24">
        <v>4.5454545454545456E-2</v>
      </c>
    </row>
    <row r="490" spans="2:6" x14ac:dyDescent="0.2">
      <c r="B490" s="5">
        <v>45858</v>
      </c>
      <c r="C490" t="s">
        <v>878</v>
      </c>
      <c r="D490" s="11">
        <v>691</v>
      </c>
      <c r="E490" s="18">
        <v>7</v>
      </c>
      <c r="F490" s="24">
        <v>1.0130246020260492E-2</v>
      </c>
    </row>
    <row r="491" spans="2:6" x14ac:dyDescent="0.2">
      <c r="B491" s="5">
        <v>45859</v>
      </c>
      <c r="C491" t="s">
        <v>875</v>
      </c>
      <c r="D491" s="11">
        <v>342</v>
      </c>
      <c r="E491" s="18">
        <v>1</v>
      </c>
      <c r="F491" s="24">
        <v>2.9239766081871343E-3</v>
      </c>
    </row>
    <row r="492" spans="2:6" x14ac:dyDescent="0.2">
      <c r="B492" s="5">
        <v>45859</v>
      </c>
      <c r="C492" t="s">
        <v>84</v>
      </c>
      <c r="D492" s="11">
        <v>110</v>
      </c>
      <c r="E492" s="18">
        <v>2</v>
      </c>
      <c r="F492" s="24">
        <v>1.8181818181818181E-2</v>
      </c>
    </row>
    <row r="493" spans="2:6" x14ac:dyDescent="0.2">
      <c r="B493" s="5">
        <v>45859</v>
      </c>
      <c r="C493" t="s">
        <v>86</v>
      </c>
      <c r="D493" s="11">
        <v>35</v>
      </c>
      <c r="E493" s="18">
        <v>3</v>
      </c>
      <c r="F493" s="24">
        <v>8.5714285714285715E-2</v>
      </c>
    </row>
    <row r="494" spans="2:6" x14ac:dyDescent="0.2">
      <c r="B494" s="5">
        <v>45859</v>
      </c>
      <c r="C494" t="s">
        <v>876</v>
      </c>
      <c r="D494" s="11">
        <v>128</v>
      </c>
      <c r="E494" s="18">
        <v>0</v>
      </c>
      <c r="F494" s="24">
        <v>0</v>
      </c>
    </row>
    <row r="495" spans="2:6" x14ac:dyDescent="0.2">
      <c r="B495" s="5">
        <v>45859</v>
      </c>
      <c r="C495" t="s">
        <v>877</v>
      </c>
      <c r="D495" s="11">
        <v>109</v>
      </c>
      <c r="E495" s="18">
        <v>6</v>
      </c>
      <c r="F495" s="24">
        <v>5.5045871559633031E-2</v>
      </c>
    </row>
    <row r="496" spans="2:6" x14ac:dyDescent="0.2">
      <c r="B496" s="5">
        <v>45859</v>
      </c>
      <c r="C496" t="s">
        <v>878</v>
      </c>
      <c r="D496" s="11">
        <v>724</v>
      </c>
      <c r="E496" s="18">
        <v>12</v>
      </c>
      <c r="F496" s="24">
        <v>1.6574585635359115E-2</v>
      </c>
    </row>
    <row r="497" spans="2:6" x14ac:dyDescent="0.2">
      <c r="B497" s="5">
        <v>45860</v>
      </c>
      <c r="C497" t="s">
        <v>875</v>
      </c>
      <c r="D497" s="11">
        <v>322</v>
      </c>
      <c r="E497" s="18">
        <v>1</v>
      </c>
      <c r="F497" s="24">
        <v>3.105590062111801E-3</v>
      </c>
    </row>
    <row r="498" spans="2:6" x14ac:dyDescent="0.2">
      <c r="B498" s="5">
        <v>45860</v>
      </c>
      <c r="C498" t="s">
        <v>84</v>
      </c>
      <c r="D498" s="11">
        <v>103</v>
      </c>
      <c r="E498" s="18">
        <v>3</v>
      </c>
      <c r="F498" s="24">
        <v>2.9126213592233011E-2</v>
      </c>
    </row>
    <row r="499" spans="2:6" x14ac:dyDescent="0.2">
      <c r="B499" s="5">
        <v>45860</v>
      </c>
      <c r="C499" t="s">
        <v>86</v>
      </c>
      <c r="D499" s="11">
        <v>49</v>
      </c>
      <c r="E499" s="18">
        <v>2</v>
      </c>
      <c r="F499" s="24">
        <v>4.0816326530612242E-2</v>
      </c>
    </row>
    <row r="500" spans="2:6" x14ac:dyDescent="0.2">
      <c r="B500" s="5">
        <v>45860</v>
      </c>
      <c r="C500" t="s">
        <v>876</v>
      </c>
      <c r="D500" s="11">
        <v>110</v>
      </c>
      <c r="E500" s="18">
        <v>0</v>
      </c>
      <c r="F500" s="24">
        <v>0</v>
      </c>
    </row>
    <row r="501" spans="2:6" x14ac:dyDescent="0.2">
      <c r="B501" s="5">
        <v>45860</v>
      </c>
      <c r="C501" t="s">
        <v>877</v>
      </c>
      <c r="D501" s="11">
        <v>155</v>
      </c>
      <c r="E501" s="18">
        <v>5</v>
      </c>
      <c r="F501" s="24">
        <v>3.2258064516129031E-2</v>
      </c>
    </row>
    <row r="502" spans="2:6" x14ac:dyDescent="0.2">
      <c r="B502" s="5">
        <v>45860</v>
      </c>
      <c r="C502" t="s">
        <v>878</v>
      </c>
      <c r="D502" s="11">
        <v>739</v>
      </c>
      <c r="E502" s="18">
        <v>11</v>
      </c>
      <c r="F502" s="24">
        <v>1.4884979702300407E-2</v>
      </c>
    </row>
    <row r="503" spans="2:6" x14ac:dyDescent="0.2">
      <c r="B503" s="5">
        <v>45861</v>
      </c>
      <c r="C503" t="s">
        <v>875</v>
      </c>
      <c r="D503" s="11">
        <v>380</v>
      </c>
      <c r="E503" s="18">
        <v>1</v>
      </c>
      <c r="F503" s="24">
        <v>2.631578947368421E-3</v>
      </c>
    </row>
    <row r="504" spans="2:6" x14ac:dyDescent="0.2">
      <c r="B504" s="5">
        <v>45861</v>
      </c>
      <c r="C504" t="s">
        <v>84</v>
      </c>
      <c r="D504" s="11">
        <v>78</v>
      </c>
      <c r="E504" s="18">
        <v>0</v>
      </c>
      <c r="F504" s="24">
        <v>0</v>
      </c>
    </row>
    <row r="505" spans="2:6" x14ac:dyDescent="0.2">
      <c r="B505" s="5">
        <v>45861</v>
      </c>
      <c r="C505" t="s">
        <v>86</v>
      </c>
      <c r="D505" s="11">
        <v>30</v>
      </c>
      <c r="E505" s="18">
        <v>2</v>
      </c>
      <c r="F505" s="24">
        <v>6.6666666666666666E-2</v>
      </c>
    </row>
    <row r="506" spans="2:6" x14ac:dyDescent="0.2">
      <c r="B506" s="5">
        <v>45861</v>
      </c>
      <c r="C506" t="s">
        <v>876</v>
      </c>
      <c r="D506" s="11">
        <v>143</v>
      </c>
      <c r="E506" s="18">
        <v>0</v>
      </c>
      <c r="F506" s="24">
        <v>0</v>
      </c>
    </row>
    <row r="507" spans="2:6" x14ac:dyDescent="0.2">
      <c r="B507" s="5">
        <v>45861</v>
      </c>
      <c r="C507" t="s">
        <v>877</v>
      </c>
      <c r="D507" s="11">
        <v>164</v>
      </c>
      <c r="E507" s="18">
        <v>7</v>
      </c>
      <c r="F507" s="24">
        <v>4.2682926829268296E-2</v>
      </c>
    </row>
    <row r="508" spans="2:6" x14ac:dyDescent="0.2">
      <c r="B508" s="5">
        <v>45861</v>
      </c>
      <c r="C508" t="s">
        <v>878</v>
      </c>
      <c r="D508" s="11">
        <v>795</v>
      </c>
      <c r="E508" s="18">
        <v>10</v>
      </c>
      <c r="F508" s="24">
        <v>1.2578616352201259E-2</v>
      </c>
    </row>
    <row r="509" spans="2:6" x14ac:dyDescent="0.2">
      <c r="B509" s="5">
        <v>45862</v>
      </c>
      <c r="C509" t="s">
        <v>875</v>
      </c>
      <c r="D509" s="11">
        <v>388</v>
      </c>
      <c r="E509" s="18">
        <v>3</v>
      </c>
      <c r="F509" s="24">
        <v>7.7319587628865982E-3</v>
      </c>
    </row>
    <row r="510" spans="2:6" x14ac:dyDescent="0.2">
      <c r="B510" s="5">
        <v>45862</v>
      </c>
      <c r="C510" t="s">
        <v>84</v>
      </c>
      <c r="D510" s="11">
        <v>105</v>
      </c>
      <c r="E510" s="18">
        <v>1</v>
      </c>
      <c r="F510" s="24">
        <v>9.5238095238095247E-3</v>
      </c>
    </row>
    <row r="511" spans="2:6" x14ac:dyDescent="0.2">
      <c r="B511" s="5">
        <v>45862</v>
      </c>
      <c r="C511" t="s">
        <v>86</v>
      </c>
      <c r="D511" s="11">
        <v>30</v>
      </c>
      <c r="E511" s="18">
        <v>0</v>
      </c>
      <c r="F511" s="24">
        <v>0</v>
      </c>
    </row>
    <row r="512" spans="2:6" x14ac:dyDescent="0.2">
      <c r="B512" s="5">
        <v>45862</v>
      </c>
      <c r="C512" t="s">
        <v>876</v>
      </c>
      <c r="D512" s="11">
        <v>117</v>
      </c>
      <c r="E512" s="18">
        <v>0</v>
      </c>
      <c r="F512" s="24">
        <v>0</v>
      </c>
    </row>
    <row r="513" spans="2:6" x14ac:dyDescent="0.2">
      <c r="B513" s="5">
        <v>45862</v>
      </c>
      <c r="C513" t="s">
        <v>877</v>
      </c>
      <c r="D513" s="11">
        <v>93</v>
      </c>
      <c r="E513" s="18">
        <v>6</v>
      </c>
      <c r="F513" s="24">
        <v>6.4516129032258063E-2</v>
      </c>
    </row>
    <row r="514" spans="2:6" x14ac:dyDescent="0.2">
      <c r="B514" s="5">
        <v>45862</v>
      </c>
      <c r="C514" t="s">
        <v>878</v>
      </c>
      <c r="D514" s="11">
        <v>733</v>
      </c>
      <c r="E514" s="18">
        <v>10</v>
      </c>
      <c r="F514" s="24">
        <v>1.3642564802182811E-2</v>
      </c>
    </row>
    <row r="515" spans="2:6" x14ac:dyDescent="0.2">
      <c r="B515" s="5">
        <v>45863</v>
      </c>
      <c r="C515" t="s">
        <v>875</v>
      </c>
      <c r="D515" s="11">
        <v>349</v>
      </c>
      <c r="E515" s="18">
        <v>0</v>
      </c>
      <c r="F515" s="24">
        <v>0</v>
      </c>
    </row>
    <row r="516" spans="2:6" x14ac:dyDescent="0.2">
      <c r="B516" s="5">
        <v>45863</v>
      </c>
      <c r="C516" t="s">
        <v>84</v>
      </c>
      <c r="D516" s="11">
        <v>87</v>
      </c>
      <c r="E516" s="18">
        <v>0</v>
      </c>
      <c r="F516" s="24">
        <v>0</v>
      </c>
    </row>
    <row r="517" spans="2:6" x14ac:dyDescent="0.2">
      <c r="B517" s="5">
        <v>45863</v>
      </c>
      <c r="C517" t="s">
        <v>86</v>
      </c>
      <c r="D517" s="11">
        <v>32</v>
      </c>
      <c r="E517" s="18">
        <v>2</v>
      </c>
      <c r="F517" s="24">
        <v>6.25E-2</v>
      </c>
    </row>
    <row r="518" spans="2:6" x14ac:dyDescent="0.2">
      <c r="B518" s="5">
        <v>45863</v>
      </c>
      <c r="C518" t="s">
        <v>876</v>
      </c>
      <c r="D518" s="11">
        <v>91</v>
      </c>
      <c r="E518" s="18">
        <v>0</v>
      </c>
      <c r="F518" s="24">
        <v>0</v>
      </c>
    </row>
    <row r="519" spans="2:6" x14ac:dyDescent="0.2">
      <c r="B519" s="5">
        <v>45863</v>
      </c>
      <c r="C519" t="s">
        <v>877</v>
      </c>
      <c r="D519" s="11">
        <v>96</v>
      </c>
      <c r="E519" s="18">
        <v>6</v>
      </c>
      <c r="F519" s="24">
        <v>6.25E-2</v>
      </c>
    </row>
    <row r="520" spans="2:6" x14ac:dyDescent="0.2">
      <c r="B520" s="5">
        <v>45863</v>
      </c>
      <c r="C520" t="s">
        <v>878</v>
      </c>
      <c r="D520" s="11">
        <v>655</v>
      </c>
      <c r="E520" s="18">
        <v>8</v>
      </c>
      <c r="F520" s="24">
        <v>1.2213740458015267E-2</v>
      </c>
    </row>
    <row r="521" spans="2:6" x14ac:dyDescent="0.2">
      <c r="B521" s="5">
        <v>45864</v>
      </c>
      <c r="C521" t="s">
        <v>875</v>
      </c>
      <c r="D521" s="11">
        <v>365</v>
      </c>
      <c r="E521" s="18">
        <v>1</v>
      </c>
      <c r="F521" s="24">
        <v>2.7397260273972603E-3</v>
      </c>
    </row>
    <row r="522" spans="2:6" x14ac:dyDescent="0.2">
      <c r="B522" s="5">
        <v>45864</v>
      </c>
      <c r="C522" t="s">
        <v>84</v>
      </c>
      <c r="D522" s="11">
        <v>78</v>
      </c>
      <c r="E522" s="18">
        <v>1</v>
      </c>
      <c r="F522" s="24">
        <v>1.282051282051282E-2</v>
      </c>
    </row>
    <row r="523" spans="2:6" x14ac:dyDescent="0.2">
      <c r="B523" s="5">
        <v>45864</v>
      </c>
      <c r="C523" t="s">
        <v>86</v>
      </c>
      <c r="D523" s="11">
        <v>27</v>
      </c>
      <c r="E523" s="18">
        <v>1</v>
      </c>
      <c r="F523" s="24">
        <v>3.7037037037037035E-2</v>
      </c>
    </row>
    <row r="524" spans="2:6" x14ac:dyDescent="0.2">
      <c r="B524" s="5">
        <v>45864</v>
      </c>
      <c r="C524" t="s">
        <v>876</v>
      </c>
      <c r="D524" s="11">
        <v>87</v>
      </c>
      <c r="E524" s="18">
        <v>0</v>
      </c>
      <c r="F524" s="24">
        <v>0</v>
      </c>
    </row>
    <row r="525" spans="2:6" x14ac:dyDescent="0.2">
      <c r="B525" s="5">
        <v>45864</v>
      </c>
      <c r="C525" t="s">
        <v>877</v>
      </c>
      <c r="D525" s="11">
        <v>81</v>
      </c>
      <c r="E525" s="18">
        <v>1</v>
      </c>
      <c r="F525" s="24">
        <v>1.2345679012345678E-2</v>
      </c>
    </row>
    <row r="526" spans="2:6" x14ac:dyDescent="0.2">
      <c r="B526" s="5">
        <v>45864</v>
      </c>
      <c r="C526" t="s">
        <v>878</v>
      </c>
      <c r="D526" s="11">
        <v>638</v>
      </c>
      <c r="E526" s="18">
        <v>4</v>
      </c>
      <c r="F526" s="24">
        <v>6.269592476489028E-3</v>
      </c>
    </row>
    <row r="527" spans="2:6" x14ac:dyDescent="0.2">
      <c r="B527" s="5">
        <v>45865</v>
      </c>
      <c r="C527" t="s">
        <v>875</v>
      </c>
      <c r="D527" s="11">
        <v>397</v>
      </c>
      <c r="E527" s="18">
        <v>1</v>
      </c>
      <c r="F527" s="24">
        <v>2.5188916876574307E-3</v>
      </c>
    </row>
    <row r="528" spans="2:6" x14ac:dyDescent="0.2">
      <c r="B528" s="5">
        <v>45865</v>
      </c>
      <c r="C528" t="s">
        <v>84</v>
      </c>
      <c r="D528" s="11">
        <v>95</v>
      </c>
      <c r="E528" s="18">
        <v>5</v>
      </c>
      <c r="F528" s="24">
        <v>5.2631578947368418E-2</v>
      </c>
    </row>
    <row r="529" spans="2:6" x14ac:dyDescent="0.2">
      <c r="B529" s="5">
        <v>45865</v>
      </c>
      <c r="C529" t="s">
        <v>86</v>
      </c>
      <c r="D529" s="11">
        <v>21</v>
      </c>
      <c r="E529" s="18">
        <v>1</v>
      </c>
      <c r="F529" s="24">
        <v>4.7619047619047616E-2</v>
      </c>
    </row>
    <row r="530" spans="2:6" x14ac:dyDescent="0.2">
      <c r="B530" s="5">
        <v>45865</v>
      </c>
      <c r="C530" t="s">
        <v>876</v>
      </c>
      <c r="D530" s="11">
        <v>94</v>
      </c>
      <c r="E530" s="18">
        <v>0</v>
      </c>
      <c r="F530" s="24">
        <v>0</v>
      </c>
    </row>
    <row r="531" spans="2:6" x14ac:dyDescent="0.2">
      <c r="B531" s="5">
        <v>45865</v>
      </c>
      <c r="C531" t="s">
        <v>877</v>
      </c>
      <c r="D531" s="11">
        <v>89</v>
      </c>
      <c r="E531" s="18">
        <v>2</v>
      </c>
      <c r="F531" s="24">
        <v>2.247191011235955E-2</v>
      </c>
    </row>
    <row r="532" spans="2:6" x14ac:dyDescent="0.2">
      <c r="B532" s="5">
        <v>45865</v>
      </c>
      <c r="C532" t="s">
        <v>878</v>
      </c>
      <c r="D532" s="11">
        <v>696</v>
      </c>
      <c r="E532" s="18">
        <v>9</v>
      </c>
      <c r="F532" s="24">
        <v>1.2931034482758621E-2</v>
      </c>
    </row>
    <row r="533" spans="2:6" x14ac:dyDescent="0.2">
      <c r="B533" s="5">
        <v>45866</v>
      </c>
      <c r="C533" t="s">
        <v>875</v>
      </c>
      <c r="D533" s="11">
        <v>375</v>
      </c>
      <c r="E533" s="18">
        <v>0</v>
      </c>
      <c r="F533" s="24">
        <v>0</v>
      </c>
    </row>
    <row r="534" spans="2:6" x14ac:dyDescent="0.2">
      <c r="B534" s="5">
        <v>45866</v>
      </c>
      <c r="C534" t="s">
        <v>84</v>
      </c>
      <c r="D534" s="11">
        <v>57</v>
      </c>
      <c r="E534" s="18">
        <v>0</v>
      </c>
      <c r="F534" s="24">
        <v>0</v>
      </c>
    </row>
    <row r="535" spans="2:6" x14ac:dyDescent="0.2">
      <c r="B535" s="5">
        <v>45866</v>
      </c>
      <c r="C535" t="s">
        <v>86</v>
      </c>
      <c r="D535" s="11">
        <v>39</v>
      </c>
      <c r="E535" s="18">
        <v>2</v>
      </c>
      <c r="F535" s="24">
        <v>5.128205128205128E-2</v>
      </c>
    </row>
    <row r="536" spans="2:6" x14ac:dyDescent="0.2">
      <c r="B536" s="5">
        <v>45866</v>
      </c>
      <c r="C536" t="s">
        <v>876</v>
      </c>
      <c r="D536" s="11">
        <v>62</v>
      </c>
      <c r="E536" s="18">
        <v>0</v>
      </c>
      <c r="F536" s="24">
        <v>0</v>
      </c>
    </row>
    <row r="537" spans="2:6" x14ac:dyDescent="0.2">
      <c r="B537" s="5">
        <v>45866</v>
      </c>
      <c r="C537" t="s">
        <v>877</v>
      </c>
      <c r="D537" s="11">
        <v>128</v>
      </c>
      <c r="E537" s="18">
        <v>6</v>
      </c>
      <c r="F537" s="24">
        <v>4.6875E-2</v>
      </c>
    </row>
    <row r="538" spans="2:6" x14ac:dyDescent="0.2">
      <c r="B538" s="5">
        <v>45866</v>
      </c>
      <c r="C538" t="s">
        <v>878</v>
      </c>
      <c r="D538" s="11">
        <v>661</v>
      </c>
      <c r="E538" s="18">
        <v>8</v>
      </c>
      <c r="F538" s="24">
        <v>1.2102874432677761E-2</v>
      </c>
    </row>
    <row r="539" spans="2:6" x14ac:dyDescent="0.2">
      <c r="B539" s="5">
        <v>45867</v>
      </c>
      <c r="C539" t="s">
        <v>875</v>
      </c>
      <c r="D539" s="11">
        <v>382</v>
      </c>
      <c r="E539" s="18">
        <v>0</v>
      </c>
      <c r="F539" s="24">
        <v>0</v>
      </c>
    </row>
    <row r="540" spans="2:6" x14ac:dyDescent="0.2">
      <c r="B540" s="5">
        <v>45867</v>
      </c>
      <c r="C540" t="s">
        <v>84</v>
      </c>
      <c r="D540" s="11">
        <v>40</v>
      </c>
      <c r="E540" s="18">
        <v>0</v>
      </c>
      <c r="F540" s="24">
        <v>0</v>
      </c>
    </row>
    <row r="541" spans="2:6" x14ac:dyDescent="0.2">
      <c r="B541" s="5">
        <v>45867</v>
      </c>
      <c r="C541" t="s">
        <v>86</v>
      </c>
      <c r="D541" s="11">
        <v>24</v>
      </c>
      <c r="E541" s="18">
        <v>1</v>
      </c>
      <c r="F541" s="24">
        <v>4.1666666666666664E-2</v>
      </c>
    </row>
    <row r="542" spans="2:6" x14ac:dyDescent="0.2">
      <c r="B542" s="5">
        <v>45867</v>
      </c>
      <c r="C542" t="s">
        <v>876</v>
      </c>
      <c r="D542" s="11">
        <v>53</v>
      </c>
      <c r="E542" s="18">
        <v>0</v>
      </c>
      <c r="F542" s="24">
        <v>0</v>
      </c>
    </row>
    <row r="543" spans="2:6" x14ac:dyDescent="0.2">
      <c r="B543" s="5">
        <v>45867</v>
      </c>
      <c r="C543" t="s">
        <v>877</v>
      </c>
      <c r="D543" s="11">
        <v>87</v>
      </c>
      <c r="E543" s="18">
        <v>3</v>
      </c>
      <c r="F543" s="24">
        <v>3.4482758620689655E-2</v>
      </c>
    </row>
    <row r="544" spans="2:6" x14ac:dyDescent="0.2">
      <c r="B544" s="5">
        <v>45867</v>
      </c>
      <c r="C544" t="s">
        <v>878</v>
      </c>
      <c r="D544" s="11">
        <v>586</v>
      </c>
      <c r="E544" s="18">
        <v>4</v>
      </c>
      <c r="F544" s="24">
        <v>6.8259385665529011E-3</v>
      </c>
    </row>
    <row r="545" spans="2:6" x14ac:dyDescent="0.2">
      <c r="B545" s="5">
        <v>45868</v>
      </c>
      <c r="C545" t="s">
        <v>875</v>
      </c>
      <c r="D545" s="11">
        <v>319</v>
      </c>
      <c r="E545" s="18">
        <v>3</v>
      </c>
      <c r="F545" s="24">
        <v>9.4043887147335428E-3</v>
      </c>
    </row>
    <row r="546" spans="2:6" x14ac:dyDescent="0.2">
      <c r="B546" s="5">
        <v>45868</v>
      </c>
      <c r="C546" t="s">
        <v>84</v>
      </c>
      <c r="D546" s="11">
        <v>73</v>
      </c>
      <c r="E546" s="18">
        <v>0</v>
      </c>
      <c r="F546" s="24">
        <v>0</v>
      </c>
    </row>
    <row r="547" spans="2:6" x14ac:dyDescent="0.2">
      <c r="B547" s="5">
        <v>45868</v>
      </c>
      <c r="C547" t="s">
        <v>86</v>
      </c>
      <c r="D547" s="11">
        <v>33</v>
      </c>
      <c r="E547" s="18">
        <v>4</v>
      </c>
      <c r="F547" s="24">
        <v>0.12121212121212122</v>
      </c>
    </row>
    <row r="548" spans="2:6" x14ac:dyDescent="0.2">
      <c r="B548" s="5">
        <v>45868</v>
      </c>
      <c r="C548" t="s">
        <v>876</v>
      </c>
      <c r="D548" s="11">
        <v>74</v>
      </c>
      <c r="E548" s="18">
        <v>0</v>
      </c>
      <c r="F548" s="24">
        <v>0</v>
      </c>
    </row>
    <row r="549" spans="2:6" x14ac:dyDescent="0.2">
      <c r="B549" s="5">
        <v>45868</v>
      </c>
      <c r="C549" t="s">
        <v>877</v>
      </c>
      <c r="D549" s="11">
        <v>203</v>
      </c>
      <c r="E549" s="18">
        <v>2</v>
      </c>
      <c r="F549" s="24">
        <v>9.852216748768473E-3</v>
      </c>
    </row>
    <row r="550" spans="2:6" x14ac:dyDescent="0.2">
      <c r="B550" s="5">
        <v>45868</v>
      </c>
      <c r="C550" t="s">
        <v>878</v>
      </c>
      <c r="D550" s="11">
        <v>702</v>
      </c>
      <c r="E550" s="18">
        <v>9</v>
      </c>
      <c r="F550" s="24">
        <v>1.282051282051282E-2</v>
      </c>
    </row>
    <row r="551" spans="2:6" x14ac:dyDescent="0.2">
      <c r="B551" s="5">
        <v>45869</v>
      </c>
      <c r="C551" t="s">
        <v>875</v>
      </c>
      <c r="D551" s="11">
        <v>369</v>
      </c>
      <c r="E551" s="18">
        <v>0</v>
      </c>
      <c r="F551" s="24">
        <v>0</v>
      </c>
    </row>
    <row r="552" spans="2:6" x14ac:dyDescent="0.2">
      <c r="B552" s="5">
        <v>45869</v>
      </c>
      <c r="C552" t="s">
        <v>84</v>
      </c>
      <c r="D552" s="11">
        <v>57</v>
      </c>
      <c r="E552" s="18">
        <v>0</v>
      </c>
      <c r="F552" s="24">
        <v>0</v>
      </c>
    </row>
    <row r="553" spans="2:6" x14ac:dyDescent="0.2">
      <c r="B553" s="5">
        <v>45869</v>
      </c>
      <c r="C553" t="s">
        <v>86</v>
      </c>
      <c r="D553" s="11">
        <v>26</v>
      </c>
      <c r="E553" s="18">
        <v>0</v>
      </c>
      <c r="F553" s="24">
        <v>0</v>
      </c>
    </row>
    <row r="554" spans="2:6" x14ac:dyDescent="0.2">
      <c r="B554" s="5">
        <v>45869</v>
      </c>
      <c r="C554" t="s">
        <v>876</v>
      </c>
      <c r="D554" s="11">
        <v>49</v>
      </c>
      <c r="E554" s="18">
        <v>0</v>
      </c>
      <c r="F554" s="24">
        <v>0</v>
      </c>
    </row>
    <row r="555" spans="2:6" x14ac:dyDescent="0.2">
      <c r="B555" s="5">
        <v>45869</v>
      </c>
      <c r="C555" t="s">
        <v>877</v>
      </c>
      <c r="D555" s="11">
        <v>105</v>
      </c>
      <c r="E555" s="18">
        <v>0</v>
      </c>
      <c r="F555" s="24">
        <v>0</v>
      </c>
    </row>
    <row r="556" spans="2:6" x14ac:dyDescent="0.2">
      <c r="B556" s="5">
        <v>45869</v>
      </c>
      <c r="C556" t="s">
        <v>878</v>
      </c>
      <c r="D556" s="11">
        <v>606</v>
      </c>
      <c r="E556" s="18">
        <v>0</v>
      </c>
      <c r="F556" s="24">
        <v>0</v>
      </c>
    </row>
    <row r="557" spans="2:6" x14ac:dyDescent="0.2">
      <c r="B557" s="5">
        <v>45870</v>
      </c>
      <c r="C557" t="s">
        <v>875</v>
      </c>
      <c r="D557" s="11">
        <v>356</v>
      </c>
      <c r="E557" s="18">
        <v>0</v>
      </c>
      <c r="F557" s="24">
        <v>0</v>
      </c>
    </row>
    <row r="558" spans="2:6" x14ac:dyDescent="0.2">
      <c r="B558" s="5">
        <v>45870</v>
      </c>
      <c r="C558" t="s">
        <v>84</v>
      </c>
      <c r="D558" s="11">
        <v>40</v>
      </c>
      <c r="E558" s="18">
        <v>0</v>
      </c>
      <c r="F558" s="24">
        <v>0</v>
      </c>
    </row>
    <row r="559" spans="2:6" x14ac:dyDescent="0.2">
      <c r="B559" s="5">
        <v>45870</v>
      </c>
      <c r="C559" t="s">
        <v>86</v>
      </c>
      <c r="D559" s="11">
        <v>26</v>
      </c>
      <c r="E559" s="18">
        <v>1</v>
      </c>
      <c r="F559" s="24">
        <v>3.8461538461538464E-2</v>
      </c>
    </row>
    <row r="560" spans="2:6" x14ac:dyDescent="0.2">
      <c r="B560" s="5">
        <v>45870</v>
      </c>
      <c r="C560" t="s">
        <v>876</v>
      </c>
      <c r="D560" s="11">
        <v>50</v>
      </c>
      <c r="E560" s="18">
        <v>0</v>
      </c>
      <c r="F560" s="24">
        <v>0</v>
      </c>
    </row>
    <row r="561" spans="2:6" x14ac:dyDescent="0.2">
      <c r="B561" s="5">
        <v>45870</v>
      </c>
      <c r="C561" t="s">
        <v>877</v>
      </c>
      <c r="D561" s="11">
        <v>88</v>
      </c>
      <c r="E561" s="18">
        <v>2</v>
      </c>
      <c r="F561" s="24">
        <v>2.2727272727272728E-2</v>
      </c>
    </row>
    <row r="562" spans="2:6" x14ac:dyDescent="0.2">
      <c r="B562" s="5">
        <v>45870</v>
      </c>
      <c r="C562" t="s">
        <v>878</v>
      </c>
      <c r="D562" s="11">
        <v>560</v>
      </c>
      <c r="E562" s="18">
        <v>3</v>
      </c>
      <c r="F562" s="24">
        <v>5.3571428571428572E-3</v>
      </c>
    </row>
    <row r="563" spans="2:6" x14ac:dyDescent="0.2">
      <c r="B563" s="5">
        <v>45871</v>
      </c>
      <c r="C563" t="s">
        <v>875</v>
      </c>
      <c r="D563" s="11">
        <v>402</v>
      </c>
      <c r="E563" s="18">
        <v>2</v>
      </c>
      <c r="F563" s="24">
        <v>4.9751243781094526E-3</v>
      </c>
    </row>
    <row r="564" spans="2:6" x14ac:dyDescent="0.2">
      <c r="B564" s="5">
        <v>45871</v>
      </c>
      <c r="C564" t="s">
        <v>84</v>
      </c>
      <c r="D564" s="11">
        <v>55</v>
      </c>
      <c r="E564" s="18">
        <v>0</v>
      </c>
      <c r="F564" s="24">
        <v>0</v>
      </c>
    </row>
    <row r="565" spans="2:6" x14ac:dyDescent="0.2">
      <c r="B565" s="5">
        <v>45871</v>
      </c>
      <c r="C565" t="s">
        <v>86</v>
      </c>
      <c r="D565" s="11">
        <v>27</v>
      </c>
      <c r="E565" s="18">
        <v>1</v>
      </c>
      <c r="F565" s="24">
        <v>3.7037037037037035E-2</v>
      </c>
    </row>
    <row r="566" spans="2:6" x14ac:dyDescent="0.2">
      <c r="B566" s="5">
        <v>45871</v>
      </c>
      <c r="C566" t="s">
        <v>876</v>
      </c>
      <c r="D566" s="11">
        <v>62</v>
      </c>
      <c r="E566" s="18">
        <v>0</v>
      </c>
      <c r="F566" s="24">
        <v>0</v>
      </c>
    </row>
    <row r="567" spans="2:6" x14ac:dyDescent="0.2">
      <c r="B567" s="5">
        <v>45871</v>
      </c>
      <c r="C567" t="s">
        <v>877</v>
      </c>
      <c r="D567" s="11">
        <v>74</v>
      </c>
      <c r="E567" s="18">
        <v>3</v>
      </c>
      <c r="F567" s="24">
        <v>4.0540540540540543E-2</v>
      </c>
    </row>
    <row r="568" spans="2:6" x14ac:dyDescent="0.2">
      <c r="B568" s="5">
        <v>45871</v>
      </c>
      <c r="C568" t="s">
        <v>878</v>
      </c>
      <c r="D568" s="11">
        <v>620</v>
      </c>
      <c r="E568" s="18">
        <v>6</v>
      </c>
      <c r="F568" s="24">
        <v>9.6774193548387101E-3</v>
      </c>
    </row>
    <row r="569" spans="2:6" x14ac:dyDescent="0.2">
      <c r="B569" s="5">
        <v>45872</v>
      </c>
      <c r="C569" t="s">
        <v>875</v>
      </c>
      <c r="D569" s="11">
        <v>367</v>
      </c>
      <c r="E569" s="18">
        <v>1</v>
      </c>
      <c r="F569" s="24">
        <v>2.7247956403269754E-3</v>
      </c>
    </row>
    <row r="570" spans="2:6" x14ac:dyDescent="0.2">
      <c r="B570" s="5">
        <v>45872</v>
      </c>
      <c r="C570" t="s">
        <v>84</v>
      </c>
      <c r="D570" s="11">
        <v>53</v>
      </c>
      <c r="E570" s="18">
        <v>0</v>
      </c>
      <c r="F570" s="24">
        <v>0</v>
      </c>
    </row>
    <row r="571" spans="2:6" x14ac:dyDescent="0.2">
      <c r="B571" s="5">
        <v>45872</v>
      </c>
      <c r="C571" t="s">
        <v>86</v>
      </c>
      <c r="D571" s="11">
        <v>30</v>
      </c>
      <c r="E571" s="18">
        <v>0</v>
      </c>
      <c r="F571" s="24">
        <v>0</v>
      </c>
    </row>
    <row r="572" spans="2:6" x14ac:dyDescent="0.2">
      <c r="B572" s="5">
        <v>45872</v>
      </c>
      <c r="C572" t="s">
        <v>876</v>
      </c>
      <c r="D572" s="11">
        <v>33</v>
      </c>
      <c r="E572" s="18">
        <v>0</v>
      </c>
      <c r="F572" s="24">
        <v>0</v>
      </c>
    </row>
    <row r="573" spans="2:6" x14ac:dyDescent="0.2">
      <c r="B573" s="5">
        <v>45872</v>
      </c>
      <c r="C573" t="s">
        <v>877</v>
      </c>
      <c r="D573" s="11">
        <v>63</v>
      </c>
      <c r="E573" s="18">
        <v>0</v>
      </c>
      <c r="F573" s="24">
        <v>0</v>
      </c>
    </row>
    <row r="574" spans="2:6" x14ac:dyDescent="0.2">
      <c r="B574" s="5">
        <v>45872</v>
      </c>
      <c r="C574" t="s">
        <v>878</v>
      </c>
      <c r="D574" s="11">
        <v>546</v>
      </c>
      <c r="E574" s="18">
        <v>1</v>
      </c>
      <c r="F574" s="24">
        <v>1.8315018315018315E-3</v>
      </c>
    </row>
    <row r="575" spans="2:6" x14ac:dyDescent="0.2">
      <c r="B575" s="5">
        <v>45873</v>
      </c>
      <c r="C575" t="s">
        <v>875</v>
      </c>
      <c r="D575" s="11">
        <v>386</v>
      </c>
      <c r="E575" s="18">
        <v>0</v>
      </c>
      <c r="F575" s="24">
        <v>0</v>
      </c>
    </row>
    <row r="576" spans="2:6" x14ac:dyDescent="0.2">
      <c r="B576" s="5">
        <v>45873</v>
      </c>
      <c r="C576" t="s">
        <v>84</v>
      </c>
      <c r="D576" s="11">
        <v>32</v>
      </c>
      <c r="E576" s="18">
        <v>1</v>
      </c>
      <c r="F576" s="24">
        <v>3.125E-2</v>
      </c>
    </row>
    <row r="577" spans="2:6" x14ac:dyDescent="0.2">
      <c r="B577" s="5">
        <v>45873</v>
      </c>
      <c r="C577" t="s">
        <v>86</v>
      </c>
      <c r="D577" s="11">
        <v>23</v>
      </c>
      <c r="E577" s="18">
        <v>0</v>
      </c>
      <c r="F577" s="24">
        <v>0</v>
      </c>
    </row>
    <row r="578" spans="2:6" x14ac:dyDescent="0.2">
      <c r="B578" s="5">
        <v>45873</v>
      </c>
      <c r="C578" t="s">
        <v>876</v>
      </c>
      <c r="D578" s="11">
        <v>49</v>
      </c>
      <c r="E578" s="18">
        <v>0</v>
      </c>
      <c r="F578" s="24">
        <v>0</v>
      </c>
    </row>
    <row r="579" spans="2:6" x14ac:dyDescent="0.2">
      <c r="B579" s="5">
        <v>45873</v>
      </c>
      <c r="C579" t="s">
        <v>877</v>
      </c>
      <c r="D579" s="11">
        <v>82</v>
      </c>
      <c r="E579" s="18">
        <v>4</v>
      </c>
      <c r="F579" s="24">
        <v>4.878048780487805E-2</v>
      </c>
    </row>
    <row r="580" spans="2:6" x14ac:dyDescent="0.2">
      <c r="B580" s="5">
        <v>45873</v>
      </c>
      <c r="C580" t="s">
        <v>878</v>
      </c>
      <c r="D580" s="11">
        <v>572</v>
      </c>
      <c r="E580" s="18">
        <v>5</v>
      </c>
      <c r="F580" s="24">
        <v>8.7412587412587419E-3</v>
      </c>
    </row>
    <row r="581" spans="2:6" x14ac:dyDescent="0.2">
      <c r="B581" s="5">
        <v>45874</v>
      </c>
      <c r="C581" t="s">
        <v>875</v>
      </c>
      <c r="D581" s="11">
        <v>349</v>
      </c>
      <c r="E581" s="18">
        <v>1</v>
      </c>
      <c r="F581" s="24">
        <v>2.8653295128939827E-3</v>
      </c>
    </row>
    <row r="582" spans="2:6" x14ac:dyDescent="0.2">
      <c r="B582" s="5">
        <v>45874</v>
      </c>
      <c r="C582" t="s">
        <v>84</v>
      </c>
      <c r="D582" s="11">
        <v>42</v>
      </c>
      <c r="E582" s="18">
        <v>1</v>
      </c>
      <c r="F582" s="24">
        <v>2.3809523809523808E-2</v>
      </c>
    </row>
    <row r="583" spans="2:6" x14ac:dyDescent="0.2">
      <c r="B583" s="5">
        <v>45874</v>
      </c>
      <c r="C583" t="s">
        <v>86</v>
      </c>
      <c r="D583" s="11">
        <v>22</v>
      </c>
      <c r="E583" s="18">
        <v>2</v>
      </c>
      <c r="F583" s="24">
        <v>9.0909090909090912E-2</v>
      </c>
    </row>
    <row r="584" spans="2:6" x14ac:dyDescent="0.2">
      <c r="B584" s="5">
        <v>45874</v>
      </c>
      <c r="C584" t="s">
        <v>876</v>
      </c>
      <c r="D584" s="11">
        <v>41</v>
      </c>
      <c r="E584" s="18">
        <v>0</v>
      </c>
      <c r="F584" s="24">
        <v>0</v>
      </c>
    </row>
    <row r="585" spans="2:6" x14ac:dyDescent="0.2">
      <c r="B585" s="5">
        <v>45874</v>
      </c>
      <c r="C585" t="s">
        <v>877</v>
      </c>
      <c r="D585" s="11">
        <v>100</v>
      </c>
      <c r="E585" s="18">
        <v>3</v>
      </c>
      <c r="F585" s="24">
        <v>0.03</v>
      </c>
    </row>
    <row r="586" spans="2:6" x14ac:dyDescent="0.2">
      <c r="B586" s="5">
        <v>45874</v>
      </c>
      <c r="C586" t="s">
        <v>878</v>
      </c>
      <c r="D586" s="11">
        <v>554</v>
      </c>
      <c r="E586" s="18">
        <v>7</v>
      </c>
      <c r="F586" s="24">
        <v>1.263537906137184E-2</v>
      </c>
    </row>
    <row r="587" spans="2:6" x14ac:dyDescent="0.2">
      <c r="B587" s="5">
        <v>45875</v>
      </c>
      <c r="C587" t="s">
        <v>875</v>
      </c>
      <c r="D587" s="11">
        <v>410</v>
      </c>
      <c r="E587" s="18">
        <v>0</v>
      </c>
      <c r="F587" s="24">
        <v>0</v>
      </c>
    </row>
    <row r="588" spans="2:6" x14ac:dyDescent="0.2">
      <c r="B588" s="5">
        <v>45875</v>
      </c>
      <c r="C588" t="s">
        <v>84</v>
      </c>
      <c r="D588" s="11">
        <v>34</v>
      </c>
      <c r="E588" s="18">
        <v>0</v>
      </c>
      <c r="F588" s="24">
        <v>0</v>
      </c>
    </row>
    <row r="589" spans="2:6" x14ac:dyDescent="0.2">
      <c r="B589" s="5">
        <v>45875</v>
      </c>
      <c r="C589" t="s">
        <v>86</v>
      </c>
      <c r="D589" s="11">
        <v>32</v>
      </c>
      <c r="E589" s="18">
        <v>0</v>
      </c>
      <c r="F589" s="24">
        <v>0</v>
      </c>
    </row>
    <row r="590" spans="2:6" x14ac:dyDescent="0.2">
      <c r="B590" s="5">
        <v>45875</v>
      </c>
      <c r="C590" t="s">
        <v>876</v>
      </c>
      <c r="D590" s="11">
        <v>34</v>
      </c>
      <c r="E590" s="18">
        <v>0</v>
      </c>
      <c r="F590" s="24">
        <v>0</v>
      </c>
    </row>
    <row r="591" spans="2:6" x14ac:dyDescent="0.2">
      <c r="B591" s="5">
        <v>45875</v>
      </c>
      <c r="C591" t="s">
        <v>877</v>
      </c>
      <c r="D591" s="11">
        <v>132</v>
      </c>
      <c r="E591" s="18">
        <v>4</v>
      </c>
      <c r="F591" s="24">
        <v>3.0303030303030304E-2</v>
      </c>
    </row>
    <row r="592" spans="2:6" x14ac:dyDescent="0.2">
      <c r="B592" s="5">
        <v>45875</v>
      </c>
      <c r="C592" t="s">
        <v>878</v>
      </c>
      <c r="D592" s="11">
        <v>642</v>
      </c>
      <c r="E592" s="18">
        <v>4</v>
      </c>
      <c r="F592" s="24">
        <v>6.2305295950155761E-3</v>
      </c>
    </row>
    <row r="593" spans="2:6" x14ac:dyDescent="0.2">
      <c r="B593" s="5">
        <v>45876</v>
      </c>
      <c r="C593" t="s">
        <v>875</v>
      </c>
      <c r="D593" s="11">
        <v>448</v>
      </c>
      <c r="E593" s="18">
        <v>2</v>
      </c>
      <c r="F593" s="24">
        <v>4.464285714285714E-3</v>
      </c>
    </row>
    <row r="594" spans="2:6" x14ac:dyDescent="0.2">
      <c r="B594" s="5">
        <v>45876</v>
      </c>
      <c r="C594" t="s">
        <v>84</v>
      </c>
      <c r="D594" s="11">
        <v>46</v>
      </c>
      <c r="E594" s="18">
        <v>2</v>
      </c>
      <c r="F594" s="24">
        <v>4.3478260869565216E-2</v>
      </c>
    </row>
    <row r="595" spans="2:6" x14ac:dyDescent="0.2">
      <c r="B595" s="5">
        <v>45876</v>
      </c>
      <c r="C595" t="s">
        <v>86</v>
      </c>
      <c r="D595" s="11">
        <v>16</v>
      </c>
      <c r="E595" s="18">
        <v>0</v>
      </c>
      <c r="F595" s="24">
        <v>0</v>
      </c>
    </row>
    <row r="596" spans="2:6" x14ac:dyDescent="0.2">
      <c r="B596" s="5">
        <v>45876</v>
      </c>
      <c r="C596" t="s">
        <v>876</v>
      </c>
      <c r="D596" s="11">
        <v>58</v>
      </c>
      <c r="E596" s="18">
        <v>0</v>
      </c>
      <c r="F596" s="24">
        <v>0</v>
      </c>
    </row>
    <row r="597" spans="2:6" x14ac:dyDescent="0.2">
      <c r="B597" s="5">
        <v>45876</v>
      </c>
      <c r="C597" t="s">
        <v>877</v>
      </c>
      <c r="D597" s="11">
        <v>62</v>
      </c>
      <c r="E597" s="18">
        <v>0</v>
      </c>
      <c r="F597" s="24">
        <v>0</v>
      </c>
    </row>
    <row r="598" spans="2:6" x14ac:dyDescent="0.2">
      <c r="B598" s="5">
        <v>45876</v>
      </c>
      <c r="C598" t="s">
        <v>878</v>
      </c>
      <c r="D598" s="11">
        <v>630</v>
      </c>
      <c r="E598" s="18">
        <v>4</v>
      </c>
      <c r="F598" s="24">
        <v>6.3492063492063492E-3</v>
      </c>
    </row>
    <row r="599" spans="2:6" x14ac:dyDescent="0.2">
      <c r="B599" s="5">
        <v>45877</v>
      </c>
      <c r="C599" t="s">
        <v>875</v>
      </c>
      <c r="D599" s="11">
        <v>378</v>
      </c>
      <c r="E599" s="18">
        <v>0</v>
      </c>
      <c r="F599" s="24">
        <v>0</v>
      </c>
    </row>
    <row r="600" spans="2:6" x14ac:dyDescent="0.2">
      <c r="B600" s="5">
        <v>45877</v>
      </c>
      <c r="C600" t="s">
        <v>84</v>
      </c>
      <c r="D600" s="11">
        <v>52</v>
      </c>
      <c r="E600" s="18">
        <v>1</v>
      </c>
      <c r="F600" s="24">
        <v>1.9230769230769232E-2</v>
      </c>
    </row>
    <row r="601" spans="2:6" x14ac:dyDescent="0.2">
      <c r="B601" s="5">
        <v>45877</v>
      </c>
      <c r="C601" t="s">
        <v>86</v>
      </c>
      <c r="D601" s="11">
        <v>22</v>
      </c>
      <c r="E601" s="18">
        <v>1</v>
      </c>
      <c r="F601" s="24">
        <v>4.5454545454545456E-2</v>
      </c>
    </row>
    <row r="602" spans="2:6" x14ac:dyDescent="0.2">
      <c r="B602" s="5">
        <v>45877</v>
      </c>
      <c r="C602" t="s">
        <v>876</v>
      </c>
      <c r="D602" s="11">
        <v>56</v>
      </c>
      <c r="E602" s="18">
        <v>0</v>
      </c>
      <c r="F602" s="24">
        <v>0</v>
      </c>
    </row>
    <row r="603" spans="2:6" x14ac:dyDescent="0.2">
      <c r="B603" s="5">
        <v>45877</v>
      </c>
      <c r="C603" t="s">
        <v>877</v>
      </c>
      <c r="D603" s="11">
        <v>58</v>
      </c>
      <c r="E603" s="18">
        <v>1</v>
      </c>
      <c r="F603" s="24">
        <v>1.7241379310344827E-2</v>
      </c>
    </row>
    <row r="604" spans="2:6" x14ac:dyDescent="0.2">
      <c r="B604" s="5">
        <v>45877</v>
      </c>
      <c r="C604" t="s">
        <v>878</v>
      </c>
      <c r="D604" s="11">
        <v>566</v>
      </c>
      <c r="E604" s="18">
        <v>3</v>
      </c>
      <c r="F604" s="24">
        <v>5.3003533568904597E-3</v>
      </c>
    </row>
    <row r="605" spans="2:6" x14ac:dyDescent="0.2">
      <c r="B605" s="5">
        <v>45878</v>
      </c>
      <c r="C605" t="s">
        <v>875</v>
      </c>
      <c r="D605" s="11">
        <v>465</v>
      </c>
      <c r="E605" s="18">
        <v>1</v>
      </c>
      <c r="F605" s="24">
        <v>2.1505376344086021E-3</v>
      </c>
    </row>
    <row r="606" spans="2:6" x14ac:dyDescent="0.2">
      <c r="B606" s="5">
        <v>45878</v>
      </c>
      <c r="C606" t="s">
        <v>84</v>
      </c>
      <c r="D606" s="11">
        <v>62</v>
      </c>
      <c r="E606" s="18">
        <v>0</v>
      </c>
      <c r="F606" s="24">
        <v>0</v>
      </c>
    </row>
    <row r="607" spans="2:6" x14ac:dyDescent="0.2">
      <c r="B607" s="5">
        <v>45878</v>
      </c>
      <c r="C607" t="s">
        <v>86</v>
      </c>
      <c r="D607" s="11">
        <v>23</v>
      </c>
      <c r="E607" s="18">
        <v>1</v>
      </c>
      <c r="F607" s="24">
        <v>4.3478260869565216E-2</v>
      </c>
    </row>
    <row r="608" spans="2:6" x14ac:dyDescent="0.2">
      <c r="B608" s="5">
        <v>45878</v>
      </c>
      <c r="C608" t="s">
        <v>876</v>
      </c>
      <c r="D608" s="11">
        <v>52</v>
      </c>
      <c r="E608" s="18">
        <v>0</v>
      </c>
      <c r="F608" s="24">
        <v>0</v>
      </c>
    </row>
    <row r="609" spans="2:6" x14ac:dyDescent="0.2">
      <c r="B609" s="5">
        <v>45878</v>
      </c>
      <c r="C609" t="s">
        <v>877</v>
      </c>
      <c r="D609" s="11">
        <v>94</v>
      </c>
      <c r="E609" s="18">
        <v>2</v>
      </c>
      <c r="F609" s="24">
        <v>2.1276595744680851E-2</v>
      </c>
    </row>
    <row r="610" spans="2:6" x14ac:dyDescent="0.2">
      <c r="B610" s="5">
        <v>45878</v>
      </c>
      <c r="C610" t="s">
        <v>878</v>
      </c>
      <c r="D610" s="11">
        <v>696</v>
      </c>
      <c r="E610" s="18">
        <v>4</v>
      </c>
      <c r="F610" s="24">
        <v>5.7471264367816091E-3</v>
      </c>
    </row>
    <row r="611" spans="2:6" x14ac:dyDescent="0.2">
      <c r="B611" s="5">
        <v>45879</v>
      </c>
      <c r="C611" t="s">
        <v>875</v>
      </c>
      <c r="D611" s="11">
        <v>514</v>
      </c>
      <c r="E611" s="18">
        <v>0</v>
      </c>
      <c r="F611" s="24">
        <v>0</v>
      </c>
    </row>
    <row r="612" spans="2:6" x14ac:dyDescent="0.2">
      <c r="B612" s="5">
        <v>45879</v>
      </c>
      <c r="C612" t="s">
        <v>84</v>
      </c>
      <c r="D612" s="11">
        <v>52</v>
      </c>
      <c r="E612" s="18">
        <v>0</v>
      </c>
      <c r="F612" s="24">
        <v>0</v>
      </c>
    </row>
    <row r="613" spans="2:6" x14ac:dyDescent="0.2">
      <c r="B613" s="5">
        <v>45879</v>
      </c>
      <c r="C613" t="s">
        <v>86</v>
      </c>
      <c r="D613" s="11">
        <v>17</v>
      </c>
      <c r="E613" s="18">
        <v>2</v>
      </c>
      <c r="F613" s="24">
        <v>0.11764705882352941</v>
      </c>
    </row>
    <row r="614" spans="2:6" x14ac:dyDescent="0.2">
      <c r="B614" s="5">
        <v>45879</v>
      </c>
      <c r="C614" t="s">
        <v>876</v>
      </c>
      <c r="D614" s="11">
        <v>54</v>
      </c>
      <c r="E614" s="18">
        <v>0</v>
      </c>
      <c r="F614" s="24">
        <v>0</v>
      </c>
    </row>
    <row r="615" spans="2:6" x14ac:dyDescent="0.2">
      <c r="B615" s="5">
        <v>45879</v>
      </c>
      <c r="C615" t="s">
        <v>877</v>
      </c>
      <c r="D615" s="11">
        <v>93</v>
      </c>
      <c r="E615" s="18">
        <v>3</v>
      </c>
      <c r="F615" s="24">
        <v>3.2258064516129031E-2</v>
      </c>
    </row>
    <row r="616" spans="2:6" x14ac:dyDescent="0.2">
      <c r="B616" s="5">
        <v>45879</v>
      </c>
      <c r="C616" t="s">
        <v>878</v>
      </c>
      <c r="D616" s="11">
        <v>730</v>
      </c>
      <c r="E616" s="18">
        <v>5</v>
      </c>
      <c r="F616" s="24">
        <v>6.8493150684931503E-3</v>
      </c>
    </row>
    <row r="617" spans="2:6" x14ac:dyDescent="0.2">
      <c r="B617" s="5">
        <v>45880</v>
      </c>
      <c r="C617" t="s">
        <v>875</v>
      </c>
      <c r="D617" s="11">
        <v>500</v>
      </c>
      <c r="E617" s="18">
        <v>2</v>
      </c>
      <c r="F617" s="24">
        <v>4.0000000000000001E-3</v>
      </c>
    </row>
    <row r="618" spans="2:6" x14ac:dyDescent="0.2">
      <c r="B618" s="5">
        <v>45880</v>
      </c>
      <c r="C618" t="s">
        <v>84</v>
      </c>
      <c r="D618" s="11">
        <v>33</v>
      </c>
      <c r="E618" s="18">
        <v>0</v>
      </c>
      <c r="F618" s="24">
        <v>0</v>
      </c>
    </row>
    <row r="619" spans="2:6" x14ac:dyDescent="0.2">
      <c r="B619" s="5">
        <v>45880</v>
      </c>
      <c r="C619" t="s">
        <v>86</v>
      </c>
      <c r="D619" s="11">
        <v>37</v>
      </c>
      <c r="E619" s="18">
        <v>1</v>
      </c>
      <c r="F619" s="24">
        <v>2.7027027027027029E-2</v>
      </c>
    </row>
    <row r="620" spans="2:6" x14ac:dyDescent="0.2">
      <c r="B620" s="5">
        <v>45880</v>
      </c>
      <c r="C620" t="s">
        <v>876</v>
      </c>
      <c r="D620" s="11">
        <v>55</v>
      </c>
      <c r="E620" s="18">
        <v>0</v>
      </c>
      <c r="F620" s="24">
        <v>0</v>
      </c>
    </row>
    <row r="621" spans="2:6" x14ac:dyDescent="0.2">
      <c r="B621" s="5">
        <v>45880</v>
      </c>
      <c r="C621" t="s">
        <v>877</v>
      </c>
      <c r="D621" s="11">
        <v>90</v>
      </c>
      <c r="E621" s="18">
        <v>3</v>
      </c>
      <c r="F621" s="24">
        <v>3.3333333333333333E-2</v>
      </c>
    </row>
    <row r="622" spans="2:6" x14ac:dyDescent="0.2">
      <c r="B622" s="5">
        <v>45880</v>
      </c>
      <c r="C622" t="s">
        <v>878</v>
      </c>
      <c r="D622" s="11">
        <v>715</v>
      </c>
      <c r="E622" s="18">
        <v>6</v>
      </c>
      <c r="F622" s="24">
        <v>8.3916083916083916E-3</v>
      </c>
    </row>
    <row r="623" spans="2:6" x14ac:dyDescent="0.2">
      <c r="B623" s="5">
        <v>45881</v>
      </c>
      <c r="C623" t="s">
        <v>875</v>
      </c>
      <c r="D623" s="11">
        <v>537</v>
      </c>
      <c r="E623" s="18">
        <v>0</v>
      </c>
      <c r="F623" s="24">
        <v>0</v>
      </c>
    </row>
    <row r="624" spans="2:6" x14ac:dyDescent="0.2">
      <c r="B624" s="5">
        <v>45881</v>
      </c>
      <c r="C624" t="s">
        <v>84</v>
      </c>
      <c r="D624" s="11">
        <v>42</v>
      </c>
      <c r="E624" s="18">
        <v>0</v>
      </c>
      <c r="F624" s="24">
        <v>0</v>
      </c>
    </row>
    <row r="625" spans="2:6" x14ac:dyDescent="0.2">
      <c r="B625" s="5">
        <v>45881</v>
      </c>
      <c r="C625" t="s">
        <v>86</v>
      </c>
      <c r="D625" s="11">
        <v>26</v>
      </c>
      <c r="E625" s="18">
        <v>0</v>
      </c>
      <c r="F625" s="24">
        <v>0</v>
      </c>
    </row>
    <row r="626" spans="2:6" x14ac:dyDescent="0.2">
      <c r="B626" s="5">
        <v>45881</v>
      </c>
      <c r="C626" t="s">
        <v>876</v>
      </c>
      <c r="D626" s="11">
        <v>59</v>
      </c>
      <c r="E626" s="18">
        <v>0</v>
      </c>
      <c r="F626" s="24">
        <v>0</v>
      </c>
    </row>
    <row r="627" spans="2:6" x14ac:dyDescent="0.2">
      <c r="B627" s="5">
        <v>45881</v>
      </c>
      <c r="C627" t="s">
        <v>877</v>
      </c>
      <c r="D627" s="11">
        <v>100</v>
      </c>
      <c r="E627" s="18">
        <v>3</v>
      </c>
      <c r="F627" s="24">
        <v>0.03</v>
      </c>
    </row>
    <row r="628" spans="2:6" x14ac:dyDescent="0.2">
      <c r="B628" s="5">
        <v>45881</v>
      </c>
      <c r="C628" t="s">
        <v>878</v>
      </c>
      <c r="D628" s="11">
        <v>764</v>
      </c>
      <c r="E628" s="18">
        <v>3</v>
      </c>
      <c r="F628" s="24">
        <v>3.9267015706806281E-3</v>
      </c>
    </row>
    <row r="629" spans="2:6" x14ac:dyDescent="0.2">
      <c r="B629" s="5">
        <v>45882</v>
      </c>
      <c r="C629" t="s">
        <v>875</v>
      </c>
      <c r="D629" s="11">
        <v>515</v>
      </c>
      <c r="E629" s="18">
        <v>0</v>
      </c>
      <c r="F629" s="24">
        <v>0</v>
      </c>
    </row>
    <row r="630" spans="2:6" x14ac:dyDescent="0.2">
      <c r="B630" s="5">
        <v>45882</v>
      </c>
      <c r="C630" t="s">
        <v>84</v>
      </c>
      <c r="D630" s="11">
        <v>26</v>
      </c>
      <c r="E630" s="18">
        <v>0</v>
      </c>
      <c r="F630" s="24">
        <v>0</v>
      </c>
    </row>
    <row r="631" spans="2:6" x14ac:dyDescent="0.2">
      <c r="B631" s="5">
        <v>45882</v>
      </c>
      <c r="C631" t="s">
        <v>86</v>
      </c>
      <c r="D631" s="11">
        <v>23</v>
      </c>
      <c r="E631" s="18">
        <v>3</v>
      </c>
      <c r="F631" s="24">
        <v>0.13043478260869565</v>
      </c>
    </row>
    <row r="632" spans="2:6" x14ac:dyDescent="0.2">
      <c r="B632" s="5">
        <v>45882</v>
      </c>
      <c r="C632" t="s">
        <v>876</v>
      </c>
      <c r="D632" s="11">
        <v>100</v>
      </c>
      <c r="E632" s="18">
        <v>0</v>
      </c>
      <c r="F632" s="24">
        <v>0</v>
      </c>
    </row>
    <row r="633" spans="2:6" x14ac:dyDescent="0.2">
      <c r="B633" s="5">
        <v>45882</v>
      </c>
      <c r="C633" t="s">
        <v>877</v>
      </c>
      <c r="D633" s="11">
        <v>118</v>
      </c>
      <c r="E633" s="18">
        <v>3</v>
      </c>
      <c r="F633" s="24">
        <v>2.5423728813559324E-2</v>
      </c>
    </row>
    <row r="634" spans="2:6" x14ac:dyDescent="0.2">
      <c r="B634" s="5">
        <v>45882</v>
      </c>
      <c r="C634" t="s">
        <v>878</v>
      </c>
      <c r="D634" s="11">
        <v>782</v>
      </c>
      <c r="E634" s="18">
        <v>6</v>
      </c>
      <c r="F634" s="24">
        <v>7.6726342710997444E-3</v>
      </c>
    </row>
    <row r="635" spans="2:6" x14ac:dyDescent="0.2">
      <c r="B635" s="5">
        <v>45883</v>
      </c>
      <c r="C635" t="s">
        <v>875</v>
      </c>
      <c r="D635" s="11">
        <v>403</v>
      </c>
      <c r="E635" s="18">
        <v>0</v>
      </c>
      <c r="F635" s="24">
        <v>0</v>
      </c>
    </row>
    <row r="636" spans="2:6" x14ac:dyDescent="0.2">
      <c r="B636" s="5">
        <v>45883</v>
      </c>
      <c r="C636" t="s">
        <v>84</v>
      </c>
      <c r="D636" s="11">
        <v>42</v>
      </c>
      <c r="E636" s="18">
        <v>0</v>
      </c>
      <c r="F636" s="24">
        <v>0</v>
      </c>
    </row>
    <row r="637" spans="2:6" x14ac:dyDescent="0.2">
      <c r="B637" s="5">
        <v>45883</v>
      </c>
      <c r="C637" t="s">
        <v>86</v>
      </c>
      <c r="D637" s="11">
        <v>25</v>
      </c>
      <c r="E637" s="18">
        <v>1</v>
      </c>
      <c r="F637" s="24">
        <v>0.04</v>
      </c>
    </row>
    <row r="638" spans="2:6" x14ac:dyDescent="0.2">
      <c r="B638" s="5">
        <v>45883</v>
      </c>
      <c r="C638" t="s">
        <v>876</v>
      </c>
      <c r="D638" s="11">
        <v>56</v>
      </c>
      <c r="E638" s="18">
        <v>0</v>
      </c>
      <c r="F638" s="24">
        <v>0</v>
      </c>
    </row>
    <row r="639" spans="2:6" x14ac:dyDescent="0.2">
      <c r="B639" s="5">
        <v>45883</v>
      </c>
      <c r="C639" t="s">
        <v>877</v>
      </c>
      <c r="D639" s="11">
        <v>115</v>
      </c>
      <c r="E639" s="18">
        <v>2</v>
      </c>
      <c r="F639" s="24">
        <v>1.7391304347826087E-2</v>
      </c>
    </row>
    <row r="640" spans="2:6" x14ac:dyDescent="0.2">
      <c r="B640" s="5">
        <v>45883</v>
      </c>
      <c r="C640" t="s">
        <v>878</v>
      </c>
      <c r="D640" s="11">
        <v>641</v>
      </c>
      <c r="E640" s="18">
        <v>3</v>
      </c>
      <c r="F640" s="24">
        <v>4.6801872074882997E-3</v>
      </c>
    </row>
    <row r="641" spans="2:6" x14ac:dyDescent="0.2">
      <c r="B641" s="5">
        <v>45884</v>
      </c>
      <c r="C641" t="s">
        <v>875</v>
      </c>
      <c r="D641" s="11">
        <v>387</v>
      </c>
      <c r="E641" s="18">
        <v>1</v>
      </c>
      <c r="F641" s="24">
        <v>2.5839793281653748E-3</v>
      </c>
    </row>
    <row r="642" spans="2:6" x14ac:dyDescent="0.2">
      <c r="B642" s="5">
        <v>45884</v>
      </c>
      <c r="C642" t="s">
        <v>84</v>
      </c>
      <c r="D642" s="11">
        <v>46</v>
      </c>
      <c r="E642" s="18">
        <v>0</v>
      </c>
      <c r="F642" s="24">
        <v>0</v>
      </c>
    </row>
    <row r="643" spans="2:6" x14ac:dyDescent="0.2">
      <c r="B643" s="5">
        <v>45884</v>
      </c>
      <c r="C643" t="s">
        <v>86</v>
      </c>
      <c r="D643" s="11">
        <v>29</v>
      </c>
      <c r="E643" s="18">
        <v>1</v>
      </c>
      <c r="F643" s="24">
        <v>3.4482758620689655E-2</v>
      </c>
    </row>
    <row r="644" spans="2:6" x14ac:dyDescent="0.2">
      <c r="B644" s="5">
        <v>45884</v>
      </c>
      <c r="C644" t="s">
        <v>876</v>
      </c>
      <c r="D644" s="11">
        <v>39</v>
      </c>
      <c r="E644" s="18">
        <v>0</v>
      </c>
      <c r="F644" s="24">
        <v>0</v>
      </c>
    </row>
    <row r="645" spans="2:6" x14ac:dyDescent="0.2">
      <c r="B645" s="5">
        <v>45884</v>
      </c>
      <c r="C645" t="s">
        <v>877</v>
      </c>
      <c r="D645" s="11">
        <v>94</v>
      </c>
      <c r="E645" s="18">
        <v>4</v>
      </c>
      <c r="F645" s="24">
        <v>4.2553191489361701E-2</v>
      </c>
    </row>
    <row r="646" spans="2:6" x14ac:dyDescent="0.2">
      <c r="B646" s="5">
        <v>45884</v>
      </c>
      <c r="C646" t="s">
        <v>878</v>
      </c>
      <c r="D646" s="11">
        <v>595</v>
      </c>
      <c r="E646" s="18">
        <v>6</v>
      </c>
      <c r="F646" s="24">
        <v>1.0084033613445379E-2</v>
      </c>
    </row>
    <row r="647" spans="2:6" x14ac:dyDescent="0.2">
      <c r="B647" s="5">
        <v>45885</v>
      </c>
      <c r="C647" t="s">
        <v>875</v>
      </c>
      <c r="D647" s="11">
        <v>445</v>
      </c>
      <c r="E647" s="18">
        <v>2</v>
      </c>
      <c r="F647" s="24">
        <v>4.4943820224719105E-3</v>
      </c>
    </row>
    <row r="648" spans="2:6" x14ac:dyDescent="0.2">
      <c r="B648" s="5">
        <v>45885</v>
      </c>
      <c r="C648" t="s">
        <v>84</v>
      </c>
      <c r="D648" s="11">
        <v>52</v>
      </c>
      <c r="E648" s="18">
        <v>1</v>
      </c>
      <c r="F648" s="24">
        <v>1.9230769230769232E-2</v>
      </c>
    </row>
    <row r="649" spans="2:6" x14ac:dyDescent="0.2">
      <c r="B649" s="5">
        <v>45885</v>
      </c>
      <c r="C649" t="s">
        <v>86</v>
      </c>
      <c r="D649" s="11">
        <v>23</v>
      </c>
      <c r="E649" s="18">
        <v>0</v>
      </c>
      <c r="F649" s="24">
        <v>0</v>
      </c>
    </row>
    <row r="650" spans="2:6" x14ac:dyDescent="0.2">
      <c r="B650" s="5">
        <v>45885</v>
      </c>
      <c r="C650" t="s">
        <v>876</v>
      </c>
      <c r="D650" s="11">
        <v>41</v>
      </c>
      <c r="E650" s="18">
        <v>0</v>
      </c>
      <c r="F650" s="24">
        <v>0</v>
      </c>
    </row>
    <row r="651" spans="2:6" x14ac:dyDescent="0.2">
      <c r="B651" s="5">
        <v>45885</v>
      </c>
      <c r="C651" t="s">
        <v>877</v>
      </c>
      <c r="D651" s="11">
        <v>82</v>
      </c>
      <c r="E651" s="18">
        <v>2</v>
      </c>
      <c r="F651" s="24">
        <v>2.4390243902439025E-2</v>
      </c>
    </row>
    <row r="652" spans="2:6" x14ac:dyDescent="0.2">
      <c r="B652" s="5">
        <v>45885</v>
      </c>
      <c r="C652" t="s">
        <v>878</v>
      </c>
      <c r="D652" s="11">
        <v>643</v>
      </c>
      <c r="E652" s="18">
        <v>5</v>
      </c>
      <c r="F652" s="24">
        <v>7.7760497667185074E-3</v>
      </c>
    </row>
    <row r="653" spans="2:6" x14ac:dyDescent="0.2">
      <c r="B653" s="5">
        <v>45886</v>
      </c>
      <c r="C653" t="s">
        <v>875</v>
      </c>
      <c r="D653" s="11">
        <v>348</v>
      </c>
      <c r="E653" s="18">
        <v>0</v>
      </c>
      <c r="F653" s="24">
        <v>0</v>
      </c>
    </row>
    <row r="654" spans="2:6" x14ac:dyDescent="0.2">
      <c r="B654" s="5">
        <v>45886</v>
      </c>
      <c r="C654" t="s">
        <v>84</v>
      </c>
      <c r="D654" s="11">
        <v>40</v>
      </c>
      <c r="E654" s="18">
        <v>0</v>
      </c>
      <c r="F654" s="24">
        <v>0</v>
      </c>
    </row>
    <row r="655" spans="2:6" x14ac:dyDescent="0.2">
      <c r="B655" s="5">
        <v>45886</v>
      </c>
      <c r="C655" t="s">
        <v>86</v>
      </c>
      <c r="D655" s="11">
        <v>20</v>
      </c>
      <c r="E655" s="18">
        <v>0</v>
      </c>
      <c r="F655" s="24">
        <v>0</v>
      </c>
    </row>
    <row r="656" spans="2:6" x14ac:dyDescent="0.2">
      <c r="B656" s="5">
        <v>45886</v>
      </c>
      <c r="C656" t="s">
        <v>876</v>
      </c>
      <c r="D656" s="11">
        <v>29</v>
      </c>
      <c r="E656" s="18">
        <v>0</v>
      </c>
      <c r="F656" s="24">
        <v>0</v>
      </c>
    </row>
    <row r="657" spans="2:6" x14ac:dyDescent="0.2">
      <c r="B657" s="5">
        <v>45886</v>
      </c>
      <c r="C657" t="s">
        <v>877</v>
      </c>
      <c r="D657" s="11">
        <v>58</v>
      </c>
      <c r="E657" s="18">
        <v>1</v>
      </c>
      <c r="F657" s="24">
        <v>1.7241379310344827E-2</v>
      </c>
    </row>
    <row r="658" spans="2:6" x14ac:dyDescent="0.2">
      <c r="B658" s="5">
        <v>45886</v>
      </c>
      <c r="C658" t="s">
        <v>878</v>
      </c>
      <c r="D658" s="11">
        <v>495</v>
      </c>
      <c r="E658" s="18">
        <v>1</v>
      </c>
      <c r="F658" s="24">
        <v>2.0202020202020202E-3</v>
      </c>
    </row>
    <row r="659" spans="2:6" x14ac:dyDescent="0.2">
      <c r="B659" s="5">
        <v>45887</v>
      </c>
      <c r="C659" t="s">
        <v>875</v>
      </c>
      <c r="D659" s="11">
        <v>646</v>
      </c>
      <c r="E659" s="18">
        <v>0</v>
      </c>
      <c r="F659" s="24">
        <v>0</v>
      </c>
    </row>
    <row r="660" spans="2:6" x14ac:dyDescent="0.2">
      <c r="B660" s="5">
        <v>45887</v>
      </c>
      <c r="C660" t="s">
        <v>84</v>
      </c>
      <c r="D660" s="11">
        <v>62</v>
      </c>
      <c r="E660" s="18">
        <v>0</v>
      </c>
      <c r="F660" s="24">
        <v>0</v>
      </c>
    </row>
    <row r="661" spans="2:6" x14ac:dyDescent="0.2">
      <c r="B661" s="5">
        <v>45887</v>
      </c>
      <c r="C661" t="s">
        <v>86</v>
      </c>
      <c r="D661" s="11">
        <v>16</v>
      </c>
      <c r="E661" s="18">
        <v>0</v>
      </c>
      <c r="F661" s="24">
        <v>0</v>
      </c>
    </row>
    <row r="662" spans="2:6" x14ac:dyDescent="0.2">
      <c r="B662" s="5">
        <v>45887</v>
      </c>
      <c r="C662" t="s">
        <v>876</v>
      </c>
      <c r="D662" s="11">
        <v>76</v>
      </c>
      <c r="E662" s="18">
        <v>0</v>
      </c>
      <c r="F662" s="24">
        <v>0</v>
      </c>
    </row>
    <row r="663" spans="2:6" x14ac:dyDescent="0.2">
      <c r="B663" s="5">
        <v>45887</v>
      </c>
      <c r="C663" t="s">
        <v>877</v>
      </c>
      <c r="D663" s="11">
        <v>102</v>
      </c>
      <c r="E663" s="18">
        <v>2</v>
      </c>
      <c r="F663" s="24">
        <v>1.9607843137254902E-2</v>
      </c>
    </row>
    <row r="664" spans="2:6" x14ac:dyDescent="0.2">
      <c r="B664" s="5">
        <v>45887</v>
      </c>
      <c r="C664" t="s">
        <v>878</v>
      </c>
      <c r="D664" s="11">
        <v>902</v>
      </c>
      <c r="E664" s="18">
        <v>2</v>
      </c>
      <c r="F664" s="24">
        <v>2.2172949002217295E-3</v>
      </c>
    </row>
    <row r="665" spans="2:6" x14ac:dyDescent="0.2">
      <c r="B665" s="5">
        <v>45888</v>
      </c>
      <c r="C665" t="s">
        <v>875</v>
      </c>
      <c r="D665" s="11">
        <v>345</v>
      </c>
      <c r="E665" s="18">
        <v>0</v>
      </c>
      <c r="F665" s="24">
        <v>0</v>
      </c>
    </row>
    <row r="666" spans="2:6" x14ac:dyDescent="0.2">
      <c r="B666" s="5">
        <v>45888</v>
      </c>
      <c r="C666" t="s">
        <v>84</v>
      </c>
      <c r="D666" s="11">
        <v>29</v>
      </c>
      <c r="E666" s="18">
        <v>0</v>
      </c>
      <c r="F666" s="24">
        <v>0</v>
      </c>
    </row>
    <row r="667" spans="2:6" x14ac:dyDescent="0.2">
      <c r="B667" s="5">
        <v>45888</v>
      </c>
      <c r="C667" t="s">
        <v>86</v>
      </c>
      <c r="D667" s="11">
        <v>40</v>
      </c>
      <c r="E667" s="18">
        <v>3</v>
      </c>
      <c r="F667" s="24">
        <v>7.4999999999999997E-2</v>
      </c>
    </row>
    <row r="668" spans="2:6" x14ac:dyDescent="0.2">
      <c r="B668" s="5">
        <v>45888</v>
      </c>
      <c r="C668" t="s">
        <v>876</v>
      </c>
      <c r="D668" s="11">
        <v>23</v>
      </c>
      <c r="E668" s="18">
        <v>0</v>
      </c>
      <c r="F668" s="24">
        <v>0</v>
      </c>
    </row>
    <row r="669" spans="2:6" x14ac:dyDescent="0.2">
      <c r="B669" s="5">
        <v>45888</v>
      </c>
      <c r="C669" t="s">
        <v>877</v>
      </c>
      <c r="D669" s="11">
        <v>94</v>
      </c>
      <c r="E669" s="18">
        <v>4</v>
      </c>
      <c r="F669" s="24">
        <v>4.2553191489361701E-2</v>
      </c>
    </row>
    <row r="670" spans="2:6" x14ac:dyDescent="0.2">
      <c r="B670" s="5">
        <v>45888</v>
      </c>
      <c r="C670" t="s">
        <v>878</v>
      </c>
      <c r="D670" s="11">
        <v>531</v>
      </c>
      <c r="E670" s="18">
        <v>7</v>
      </c>
      <c r="F670" s="24">
        <v>1.3182674199623353E-2</v>
      </c>
    </row>
    <row r="671" spans="2:6" x14ac:dyDescent="0.2">
      <c r="B671" s="5">
        <v>45889</v>
      </c>
      <c r="C671" t="s">
        <v>875</v>
      </c>
      <c r="D671" s="11">
        <v>508</v>
      </c>
      <c r="E671" s="18">
        <v>1</v>
      </c>
      <c r="F671" s="24">
        <v>1.968503937007874E-3</v>
      </c>
    </row>
    <row r="672" spans="2:6" x14ac:dyDescent="0.2">
      <c r="B672" s="5">
        <v>45889</v>
      </c>
      <c r="C672" t="s">
        <v>84</v>
      </c>
      <c r="D672" s="11">
        <v>24</v>
      </c>
      <c r="E672" s="18">
        <v>1</v>
      </c>
      <c r="F672" s="24">
        <v>4.1666666666666664E-2</v>
      </c>
    </row>
    <row r="673" spans="2:6" x14ac:dyDescent="0.2">
      <c r="B673" s="5">
        <v>45889</v>
      </c>
      <c r="C673" t="s">
        <v>86</v>
      </c>
      <c r="D673" s="11">
        <v>36</v>
      </c>
      <c r="E673" s="18">
        <v>1</v>
      </c>
      <c r="F673" s="24">
        <v>2.7777777777777776E-2</v>
      </c>
    </row>
    <row r="674" spans="2:6" x14ac:dyDescent="0.2">
      <c r="B674" s="5">
        <v>45889</v>
      </c>
      <c r="C674" t="s">
        <v>876</v>
      </c>
      <c r="D674" s="11">
        <v>62</v>
      </c>
      <c r="E674" s="18">
        <v>0</v>
      </c>
      <c r="F674" s="24">
        <v>0</v>
      </c>
    </row>
    <row r="675" spans="2:6" x14ac:dyDescent="0.2">
      <c r="B675" s="5">
        <v>45889</v>
      </c>
      <c r="C675" t="s">
        <v>877</v>
      </c>
      <c r="D675" s="11">
        <v>109</v>
      </c>
      <c r="E675" s="18">
        <v>6</v>
      </c>
      <c r="F675" s="24">
        <v>5.5045871559633031E-2</v>
      </c>
    </row>
    <row r="676" spans="2:6" x14ac:dyDescent="0.2">
      <c r="B676" s="5">
        <v>45889</v>
      </c>
      <c r="C676" t="s">
        <v>878</v>
      </c>
      <c r="D676" s="11">
        <v>739</v>
      </c>
      <c r="E676" s="18">
        <v>9</v>
      </c>
      <c r="F676" s="24">
        <v>1.2178619756427604E-2</v>
      </c>
    </row>
    <row r="677" spans="2:6" x14ac:dyDescent="0.2">
      <c r="B677" s="5">
        <v>45890</v>
      </c>
      <c r="C677" t="s">
        <v>875</v>
      </c>
      <c r="D677" s="11">
        <v>404</v>
      </c>
      <c r="E677" s="18">
        <v>1</v>
      </c>
      <c r="F677" s="24">
        <v>2.4752475247524753E-3</v>
      </c>
    </row>
    <row r="678" spans="2:6" x14ac:dyDescent="0.2">
      <c r="B678" s="5">
        <v>45890</v>
      </c>
      <c r="C678" t="s">
        <v>84</v>
      </c>
      <c r="D678" s="11">
        <v>30</v>
      </c>
      <c r="E678" s="18">
        <v>1</v>
      </c>
      <c r="F678" s="24">
        <v>3.3333333333333333E-2</v>
      </c>
    </row>
    <row r="679" spans="2:6" x14ac:dyDescent="0.2">
      <c r="B679" s="5">
        <v>45890</v>
      </c>
      <c r="C679" t="s">
        <v>86</v>
      </c>
      <c r="D679" s="11">
        <v>32</v>
      </c>
      <c r="E679" s="18">
        <v>0</v>
      </c>
      <c r="F679" s="24">
        <v>0</v>
      </c>
    </row>
    <row r="680" spans="2:6" x14ac:dyDescent="0.2">
      <c r="B680" s="5">
        <v>45890</v>
      </c>
      <c r="C680" t="s">
        <v>876</v>
      </c>
      <c r="D680" s="11">
        <v>57</v>
      </c>
      <c r="E680" s="18">
        <v>0</v>
      </c>
      <c r="F680" s="24">
        <v>0</v>
      </c>
    </row>
    <row r="681" spans="2:6" x14ac:dyDescent="0.2">
      <c r="B681" s="5">
        <v>45890</v>
      </c>
      <c r="C681" t="s">
        <v>877</v>
      </c>
      <c r="D681" s="11">
        <v>107</v>
      </c>
      <c r="E681" s="18">
        <v>2</v>
      </c>
      <c r="F681" s="24">
        <v>1.8691588785046728E-2</v>
      </c>
    </row>
    <row r="682" spans="2:6" x14ac:dyDescent="0.2">
      <c r="B682" s="5">
        <v>45890</v>
      </c>
      <c r="C682" t="s">
        <v>878</v>
      </c>
      <c r="D682" s="11">
        <v>630</v>
      </c>
      <c r="E682" s="18">
        <v>4</v>
      </c>
      <c r="F682" s="24">
        <v>6.3492063492063492E-3</v>
      </c>
    </row>
    <row r="683" spans="2:6" x14ac:dyDescent="0.2">
      <c r="B683" s="5">
        <v>45891</v>
      </c>
      <c r="C683" t="s">
        <v>875</v>
      </c>
      <c r="D683" s="11">
        <v>16</v>
      </c>
      <c r="E683" s="18">
        <v>0</v>
      </c>
      <c r="F683" s="24">
        <v>0</v>
      </c>
    </row>
    <row r="684" spans="2:6" x14ac:dyDescent="0.2">
      <c r="B684" s="5">
        <v>45891</v>
      </c>
      <c r="C684" t="s">
        <v>84</v>
      </c>
      <c r="D684" s="11">
        <v>17</v>
      </c>
      <c r="E684" s="18">
        <v>0</v>
      </c>
      <c r="F684" s="24">
        <v>0</v>
      </c>
    </row>
    <row r="685" spans="2:6" x14ac:dyDescent="0.2">
      <c r="B685" s="5">
        <v>45891</v>
      </c>
      <c r="C685" t="s">
        <v>86</v>
      </c>
      <c r="D685" s="11">
        <v>14</v>
      </c>
      <c r="E685" s="18">
        <v>0</v>
      </c>
      <c r="F685" s="24">
        <v>0</v>
      </c>
    </row>
    <row r="686" spans="2:6" x14ac:dyDescent="0.2">
      <c r="B686" s="5">
        <v>45891</v>
      </c>
      <c r="C686" t="s">
        <v>876</v>
      </c>
      <c r="D686" s="11">
        <v>1</v>
      </c>
      <c r="E686" s="18">
        <v>0</v>
      </c>
      <c r="F686" s="24">
        <v>0</v>
      </c>
    </row>
    <row r="687" spans="2:6" x14ac:dyDescent="0.2">
      <c r="B687" s="5">
        <v>45891</v>
      </c>
      <c r="C687" t="s">
        <v>877</v>
      </c>
      <c r="D687" s="11">
        <v>61</v>
      </c>
      <c r="E687" s="18">
        <v>1</v>
      </c>
      <c r="F687" s="24">
        <v>1.6393442622950821E-2</v>
      </c>
    </row>
    <row r="688" spans="2:6" x14ac:dyDescent="0.2">
      <c r="B688" s="5">
        <v>45891</v>
      </c>
      <c r="C688" t="s">
        <v>878</v>
      </c>
      <c r="D688" s="11">
        <v>109</v>
      </c>
      <c r="E688" s="18">
        <v>1</v>
      </c>
      <c r="F688" s="24">
        <v>9.1743119266055051E-3</v>
      </c>
    </row>
    <row r="689" spans="2:6" x14ac:dyDescent="0.2">
      <c r="B689" s="5">
        <v>45892</v>
      </c>
      <c r="C689" t="s">
        <v>875</v>
      </c>
      <c r="D689" s="11">
        <v>10</v>
      </c>
      <c r="E689" s="18">
        <v>0</v>
      </c>
      <c r="F689" s="24">
        <v>0</v>
      </c>
    </row>
    <row r="690" spans="2:6" x14ac:dyDescent="0.2">
      <c r="B690" s="5">
        <v>45892</v>
      </c>
      <c r="C690" t="s">
        <v>84</v>
      </c>
      <c r="D690" s="11">
        <v>17</v>
      </c>
      <c r="E690" s="18">
        <v>1</v>
      </c>
      <c r="F690" s="24">
        <v>5.8823529411764705E-2</v>
      </c>
    </row>
    <row r="691" spans="2:6" x14ac:dyDescent="0.2">
      <c r="B691" s="5">
        <v>45892</v>
      </c>
      <c r="C691" t="s">
        <v>86</v>
      </c>
      <c r="D691" s="11">
        <v>20</v>
      </c>
      <c r="E691" s="18">
        <v>0</v>
      </c>
      <c r="F691" s="24">
        <v>0</v>
      </c>
    </row>
    <row r="692" spans="2:6" x14ac:dyDescent="0.2">
      <c r="B692" s="5">
        <v>45892</v>
      </c>
      <c r="C692" t="s">
        <v>877</v>
      </c>
      <c r="D692" s="11">
        <v>37</v>
      </c>
      <c r="E692" s="18">
        <v>1</v>
      </c>
      <c r="F692" s="24">
        <v>2.7027027027027029E-2</v>
      </c>
    </row>
    <row r="693" spans="2:6" x14ac:dyDescent="0.2">
      <c r="B693" s="5">
        <v>45892</v>
      </c>
      <c r="C693" t="s">
        <v>878</v>
      </c>
      <c r="D693" s="11">
        <v>84</v>
      </c>
      <c r="E693" s="18">
        <v>2</v>
      </c>
      <c r="F693" s="24">
        <v>2.3809523809523808E-2</v>
      </c>
    </row>
    <row r="694" spans="2:6" x14ac:dyDescent="0.2">
      <c r="B694" s="5">
        <v>45893</v>
      </c>
      <c r="C694" t="s">
        <v>875</v>
      </c>
      <c r="D694" s="11">
        <v>30</v>
      </c>
      <c r="E694" s="18">
        <v>0</v>
      </c>
      <c r="F694" s="24">
        <v>0</v>
      </c>
    </row>
    <row r="695" spans="2:6" x14ac:dyDescent="0.2">
      <c r="B695" s="5">
        <v>45893</v>
      </c>
      <c r="C695" t="s">
        <v>84</v>
      </c>
      <c r="D695" s="11">
        <v>15</v>
      </c>
      <c r="E695" s="18">
        <v>1</v>
      </c>
      <c r="F695" s="24">
        <v>6.6666666666666666E-2</v>
      </c>
    </row>
    <row r="696" spans="2:6" x14ac:dyDescent="0.2">
      <c r="B696" s="5">
        <v>45893</v>
      </c>
      <c r="C696" t="s">
        <v>86</v>
      </c>
      <c r="D696" s="11">
        <v>19</v>
      </c>
      <c r="E696" s="18">
        <v>0</v>
      </c>
      <c r="F696" s="24">
        <v>0</v>
      </c>
    </row>
    <row r="697" spans="2:6" x14ac:dyDescent="0.2">
      <c r="B697" s="5">
        <v>45893</v>
      </c>
      <c r="C697" t="s">
        <v>876</v>
      </c>
      <c r="D697" s="11">
        <v>1</v>
      </c>
      <c r="E697" s="18">
        <v>0</v>
      </c>
      <c r="F697" s="24">
        <v>0</v>
      </c>
    </row>
    <row r="698" spans="2:6" x14ac:dyDescent="0.2">
      <c r="B698" s="5">
        <v>45893</v>
      </c>
      <c r="C698" t="s">
        <v>877</v>
      </c>
      <c r="D698" s="11">
        <v>75</v>
      </c>
      <c r="E698" s="18">
        <v>3</v>
      </c>
      <c r="F698" s="24">
        <v>0.04</v>
      </c>
    </row>
    <row r="699" spans="2:6" x14ac:dyDescent="0.2">
      <c r="B699" s="5">
        <v>45893</v>
      </c>
      <c r="C699" t="s">
        <v>878</v>
      </c>
      <c r="D699" s="11">
        <v>140</v>
      </c>
      <c r="E699" s="18">
        <v>4</v>
      </c>
      <c r="F699" s="24">
        <v>2.8571428571428571E-2</v>
      </c>
    </row>
    <row r="700" spans="2:6" x14ac:dyDescent="0.2">
      <c r="B700" s="5">
        <v>45894</v>
      </c>
      <c r="C700" t="s">
        <v>875</v>
      </c>
      <c r="D700" s="11">
        <v>13</v>
      </c>
      <c r="E700" s="18">
        <v>0</v>
      </c>
      <c r="F700" s="24">
        <v>0</v>
      </c>
    </row>
    <row r="701" spans="2:6" x14ac:dyDescent="0.2">
      <c r="B701" s="5">
        <v>45894</v>
      </c>
      <c r="C701" t="s">
        <v>84</v>
      </c>
      <c r="D701" s="11">
        <v>22</v>
      </c>
      <c r="E701" s="18">
        <v>0</v>
      </c>
      <c r="F701" s="24">
        <v>0</v>
      </c>
    </row>
    <row r="702" spans="2:6" x14ac:dyDescent="0.2">
      <c r="B702" s="5">
        <v>45894</v>
      </c>
      <c r="C702" t="s">
        <v>86</v>
      </c>
      <c r="D702" s="11">
        <v>24</v>
      </c>
      <c r="E702" s="18">
        <v>1</v>
      </c>
      <c r="F702" s="24">
        <v>4.1666666666666664E-2</v>
      </c>
    </row>
    <row r="703" spans="2:6" x14ac:dyDescent="0.2">
      <c r="B703" s="5">
        <v>45894</v>
      </c>
      <c r="C703" t="s">
        <v>877</v>
      </c>
      <c r="D703" s="11">
        <v>74</v>
      </c>
      <c r="E703" s="18">
        <v>3</v>
      </c>
      <c r="F703" s="24">
        <v>4.0540540540540543E-2</v>
      </c>
    </row>
    <row r="704" spans="2:6" x14ac:dyDescent="0.2">
      <c r="B704" s="5">
        <v>45894</v>
      </c>
      <c r="C704" t="s">
        <v>878</v>
      </c>
      <c r="D704" s="11">
        <v>133</v>
      </c>
      <c r="E704" s="18">
        <v>4</v>
      </c>
      <c r="F704" s="24">
        <v>3.007518796992481E-2</v>
      </c>
    </row>
    <row r="705" spans="2:6" x14ac:dyDescent="0.2">
      <c r="B705" s="5">
        <v>45895</v>
      </c>
      <c r="C705" t="s">
        <v>875</v>
      </c>
      <c r="D705" s="11">
        <v>11</v>
      </c>
      <c r="E705" s="18">
        <v>0</v>
      </c>
      <c r="F705" s="24">
        <v>0</v>
      </c>
    </row>
    <row r="706" spans="2:6" x14ac:dyDescent="0.2">
      <c r="B706" s="5">
        <v>45895</v>
      </c>
      <c r="C706" t="s">
        <v>84</v>
      </c>
      <c r="D706" s="11">
        <v>19</v>
      </c>
      <c r="E706" s="18">
        <v>1</v>
      </c>
      <c r="F706" s="24">
        <v>5.2631578947368418E-2</v>
      </c>
    </row>
    <row r="707" spans="2:6" x14ac:dyDescent="0.2">
      <c r="B707" s="5">
        <v>45895</v>
      </c>
      <c r="C707" t="s">
        <v>86</v>
      </c>
      <c r="D707" s="11">
        <v>40</v>
      </c>
      <c r="E707" s="18">
        <v>0</v>
      </c>
      <c r="F707" s="24">
        <v>0</v>
      </c>
    </row>
    <row r="708" spans="2:6" x14ac:dyDescent="0.2">
      <c r="B708" s="5">
        <v>45895</v>
      </c>
      <c r="C708" t="s">
        <v>877</v>
      </c>
      <c r="D708" s="11">
        <v>133</v>
      </c>
      <c r="E708" s="18">
        <v>4</v>
      </c>
      <c r="F708" s="24">
        <v>3.007518796992481E-2</v>
      </c>
    </row>
    <row r="709" spans="2:6" x14ac:dyDescent="0.2">
      <c r="B709" s="5">
        <v>45895</v>
      </c>
      <c r="C709" t="s">
        <v>878</v>
      </c>
      <c r="D709" s="11">
        <v>203</v>
      </c>
      <c r="E709" s="18">
        <v>5</v>
      </c>
      <c r="F709" s="24">
        <v>2.4630541871921183E-2</v>
      </c>
    </row>
    <row r="710" spans="2:6" x14ac:dyDescent="0.2">
      <c r="B710" s="5">
        <v>45896</v>
      </c>
      <c r="C710" t="s">
        <v>875</v>
      </c>
      <c r="D710" s="11">
        <v>22</v>
      </c>
      <c r="E710" s="18">
        <v>0</v>
      </c>
      <c r="F710" s="24">
        <v>0</v>
      </c>
    </row>
    <row r="711" spans="2:6" x14ac:dyDescent="0.2">
      <c r="B711" s="5">
        <v>45896</v>
      </c>
      <c r="C711" t="s">
        <v>84</v>
      </c>
      <c r="D711" s="11">
        <v>50</v>
      </c>
      <c r="E711" s="18">
        <v>0</v>
      </c>
      <c r="F711" s="24">
        <v>0</v>
      </c>
    </row>
    <row r="712" spans="2:6" x14ac:dyDescent="0.2">
      <c r="B712" s="5">
        <v>45896</v>
      </c>
      <c r="C712" t="s">
        <v>86</v>
      </c>
      <c r="D712" s="11">
        <v>24</v>
      </c>
      <c r="E712" s="18">
        <v>1</v>
      </c>
      <c r="F712" s="24">
        <v>4.1666666666666664E-2</v>
      </c>
    </row>
    <row r="713" spans="2:6" x14ac:dyDescent="0.2">
      <c r="B713" s="5">
        <v>45896</v>
      </c>
      <c r="C713" t="s">
        <v>877</v>
      </c>
      <c r="D713" s="11">
        <v>91</v>
      </c>
      <c r="E713" s="18">
        <v>3</v>
      </c>
      <c r="F713" s="24">
        <v>3.2967032967032968E-2</v>
      </c>
    </row>
    <row r="714" spans="2:6" x14ac:dyDescent="0.2">
      <c r="B714" s="5">
        <v>45896</v>
      </c>
      <c r="C714" t="s">
        <v>878</v>
      </c>
      <c r="D714" s="11">
        <v>187</v>
      </c>
      <c r="E714" s="18">
        <v>4</v>
      </c>
      <c r="F714" s="24">
        <v>2.1390374331550801E-2</v>
      </c>
    </row>
    <row r="715" spans="2:6" x14ac:dyDescent="0.2">
      <c r="B715" s="5">
        <v>45897</v>
      </c>
      <c r="C715" t="s">
        <v>875</v>
      </c>
      <c r="D715" s="11">
        <v>16</v>
      </c>
      <c r="E715" s="18">
        <v>1</v>
      </c>
      <c r="F715" s="24">
        <v>6.25E-2</v>
      </c>
    </row>
    <row r="716" spans="2:6" x14ac:dyDescent="0.2">
      <c r="B716" s="5">
        <v>45897</v>
      </c>
      <c r="C716" t="s">
        <v>84</v>
      </c>
      <c r="D716" s="11">
        <v>34</v>
      </c>
      <c r="E716" s="18">
        <v>0</v>
      </c>
      <c r="F716" s="24">
        <v>0</v>
      </c>
    </row>
    <row r="717" spans="2:6" x14ac:dyDescent="0.2">
      <c r="B717" s="5">
        <v>45897</v>
      </c>
      <c r="C717" t="s">
        <v>86</v>
      </c>
      <c r="D717" s="11">
        <v>34</v>
      </c>
      <c r="E717" s="18">
        <v>0</v>
      </c>
      <c r="F717" s="24">
        <v>0</v>
      </c>
    </row>
    <row r="718" spans="2:6" x14ac:dyDescent="0.2">
      <c r="B718" s="5">
        <v>45897</v>
      </c>
      <c r="C718" t="s">
        <v>877</v>
      </c>
      <c r="D718" s="11">
        <v>78</v>
      </c>
      <c r="E718" s="18">
        <v>4</v>
      </c>
      <c r="F718" s="24">
        <v>5.128205128205128E-2</v>
      </c>
    </row>
    <row r="719" spans="2:6" x14ac:dyDescent="0.2">
      <c r="B719" s="5">
        <v>45897</v>
      </c>
      <c r="C719" t="s">
        <v>878</v>
      </c>
      <c r="D719" s="11">
        <v>162</v>
      </c>
      <c r="E719" s="18">
        <v>5</v>
      </c>
      <c r="F719" s="24">
        <v>3.0864197530864196E-2</v>
      </c>
    </row>
    <row r="720" spans="2:6" x14ac:dyDescent="0.2">
      <c r="B720" s="5">
        <v>45898</v>
      </c>
      <c r="C720" t="s">
        <v>875</v>
      </c>
      <c r="D720" s="11">
        <v>21</v>
      </c>
      <c r="E720" s="18">
        <v>2</v>
      </c>
      <c r="F720" s="24">
        <v>9.5238095238095233E-2</v>
      </c>
    </row>
    <row r="721" spans="2:6" x14ac:dyDescent="0.2">
      <c r="B721" s="5">
        <v>45898</v>
      </c>
      <c r="C721" t="s">
        <v>84</v>
      </c>
      <c r="D721" s="11">
        <v>35</v>
      </c>
      <c r="E721" s="18">
        <v>1</v>
      </c>
      <c r="F721" s="24">
        <v>2.8571428571428571E-2</v>
      </c>
    </row>
    <row r="722" spans="2:6" x14ac:dyDescent="0.2">
      <c r="B722" s="5">
        <v>45898</v>
      </c>
      <c r="C722" t="s">
        <v>86</v>
      </c>
      <c r="D722" s="11">
        <v>21</v>
      </c>
      <c r="E722" s="18">
        <v>0</v>
      </c>
      <c r="F722" s="24">
        <v>0</v>
      </c>
    </row>
    <row r="723" spans="2:6" x14ac:dyDescent="0.2">
      <c r="B723" s="5">
        <v>45898</v>
      </c>
      <c r="C723" t="s">
        <v>876</v>
      </c>
      <c r="D723" s="11">
        <v>2</v>
      </c>
      <c r="E723" s="18">
        <v>0</v>
      </c>
      <c r="F723" s="24">
        <v>0</v>
      </c>
    </row>
    <row r="724" spans="2:6" x14ac:dyDescent="0.2">
      <c r="B724" s="5">
        <v>45898</v>
      </c>
      <c r="C724" t="s">
        <v>877</v>
      </c>
      <c r="D724" s="11">
        <v>88</v>
      </c>
      <c r="E724" s="18">
        <v>1</v>
      </c>
      <c r="F724" s="24">
        <v>1.1363636363636364E-2</v>
      </c>
    </row>
    <row r="725" spans="2:6" x14ac:dyDescent="0.2">
      <c r="B725" s="5">
        <v>45898</v>
      </c>
      <c r="C725" t="s">
        <v>878</v>
      </c>
      <c r="D725" s="11">
        <v>167</v>
      </c>
      <c r="E725" s="18">
        <v>4</v>
      </c>
      <c r="F725" s="24">
        <v>2.3952095808383235E-2</v>
      </c>
    </row>
    <row r="726" spans="2:6" x14ac:dyDescent="0.2">
      <c r="B726" s="5">
        <v>45899</v>
      </c>
      <c r="C726" t="s">
        <v>875</v>
      </c>
      <c r="D726" s="11">
        <v>19</v>
      </c>
      <c r="E726" s="18">
        <v>0</v>
      </c>
      <c r="F726" s="24">
        <v>0</v>
      </c>
    </row>
    <row r="727" spans="2:6" x14ac:dyDescent="0.2">
      <c r="B727" s="5">
        <v>45899</v>
      </c>
      <c r="C727" t="s">
        <v>84</v>
      </c>
      <c r="D727" s="11">
        <v>34</v>
      </c>
      <c r="E727" s="18">
        <v>0</v>
      </c>
      <c r="F727" s="24">
        <v>0</v>
      </c>
    </row>
    <row r="728" spans="2:6" x14ac:dyDescent="0.2">
      <c r="B728" s="5">
        <v>45899</v>
      </c>
      <c r="C728" t="s">
        <v>86</v>
      </c>
      <c r="D728" s="11">
        <v>23</v>
      </c>
      <c r="E728" s="18">
        <v>0</v>
      </c>
      <c r="F728" s="24">
        <v>0</v>
      </c>
    </row>
    <row r="729" spans="2:6" x14ac:dyDescent="0.2">
      <c r="B729" s="5">
        <v>45899</v>
      </c>
      <c r="C729" t="s">
        <v>877</v>
      </c>
      <c r="D729" s="11">
        <v>47</v>
      </c>
      <c r="E729" s="18">
        <v>0</v>
      </c>
      <c r="F729" s="24">
        <v>0</v>
      </c>
    </row>
    <row r="730" spans="2:6" x14ac:dyDescent="0.2">
      <c r="B730" s="5">
        <v>45899</v>
      </c>
      <c r="C730" t="s">
        <v>878</v>
      </c>
      <c r="D730" s="11">
        <v>123</v>
      </c>
      <c r="E730" s="18">
        <v>0</v>
      </c>
      <c r="F730" s="24">
        <v>0</v>
      </c>
    </row>
    <row r="731" spans="2:6" x14ac:dyDescent="0.2">
      <c r="B731" s="5">
        <v>45900</v>
      </c>
      <c r="C731" t="s">
        <v>875</v>
      </c>
      <c r="D731" s="11">
        <v>25</v>
      </c>
      <c r="E731" s="18">
        <v>1</v>
      </c>
      <c r="F731" s="24">
        <v>0.04</v>
      </c>
    </row>
    <row r="732" spans="2:6" x14ac:dyDescent="0.2">
      <c r="B732" s="5">
        <v>45900</v>
      </c>
      <c r="C732" t="s">
        <v>84</v>
      </c>
      <c r="D732" s="11">
        <v>36</v>
      </c>
      <c r="E732" s="18">
        <v>0</v>
      </c>
      <c r="F732" s="24">
        <v>0</v>
      </c>
    </row>
    <row r="733" spans="2:6" x14ac:dyDescent="0.2">
      <c r="B733" s="5">
        <v>45900</v>
      </c>
      <c r="C733" t="s">
        <v>86</v>
      </c>
      <c r="D733" s="11">
        <v>27</v>
      </c>
      <c r="E733" s="18">
        <v>1</v>
      </c>
      <c r="F733" s="24">
        <v>3.7037037037037035E-2</v>
      </c>
    </row>
    <row r="734" spans="2:6" x14ac:dyDescent="0.2">
      <c r="B734" s="5">
        <v>45900</v>
      </c>
      <c r="C734" t="s">
        <v>876</v>
      </c>
      <c r="D734" s="11">
        <v>1</v>
      </c>
      <c r="E734" s="18">
        <v>0</v>
      </c>
      <c r="F734" s="24">
        <v>0</v>
      </c>
    </row>
    <row r="735" spans="2:6" x14ac:dyDescent="0.2">
      <c r="B735" s="5">
        <v>45900</v>
      </c>
      <c r="C735" t="s">
        <v>877</v>
      </c>
      <c r="D735" s="11">
        <v>52</v>
      </c>
      <c r="E735" s="18">
        <v>5</v>
      </c>
      <c r="F735" s="24">
        <v>9.6153846153846159E-2</v>
      </c>
    </row>
    <row r="736" spans="2:6" x14ac:dyDescent="0.2">
      <c r="B736" s="5">
        <v>45900</v>
      </c>
      <c r="C736" t="s">
        <v>878</v>
      </c>
      <c r="D736" s="11">
        <v>141</v>
      </c>
      <c r="E736" s="18">
        <v>7</v>
      </c>
      <c r="F736" s="24">
        <v>4.9645390070921988E-2</v>
      </c>
    </row>
    <row r="737" spans="2:6" x14ac:dyDescent="0.2">
      <c r="B737" s="5">
        <v>45901</v>
      </c>
      <c r="C737" t="s">
        <v>875</v>
      </c>
      <c r="D737" s="11">
        <v>75</v>
      </c>
      <c r="E737" s="18">
        <v>0</v>
      </c>
      <c r="F737" s="24">
        <v>0</v>
      </c>
    </row>
    <row r="738" spans="2:6" x14ac:dyDescent="0.2">
      <c r="B738" s="5">
        <v>45901</v>
      </c>
      <c r="C738" t="s">
        <v>84</v>
      </c>
      <c r="D738" s="11">
        <v>63</v>
      </c>
      <c r="E738" s="18">
        <v>0</v>
      </c>
      <c r="F738" s="24">
        <v>0</v>
      </c>
    </row>
    <row r="739" spans="2:6" x14ac:dyDescent="0.2">
      <c r="B739" s="5">
        <v>45901</v>
      </c>
      <c r="C739" t="s">
        <v>86</v>
      </c>
      <c r="D739" s="11">
        <v>45</v>
      </c>
      <c r="E739" s="18">
        <v>1</v>
      </c>
      <c r="F739" s="24">
        <v>2.2222222222222223E-2</v>
      </c>
    </row>
    <row r="740" spans="2:6" x14ac:dyDescent="0.2">
      <c r="B740" s="5">
        <v>45901</v>
      </c>
      <c r="C740" t="s">
        <v>876</v>
      </c>
      <c r="D740" s="11">
        <v>5</v>
      </c>
      <c r="E740" s="18">
        <v>0</v>
      </c>
      <c r="F740" s="24">
        <v>0</v>
      </c>
    </row>
    <row r="741" spans="2:6" x14ac:dyDescent="0.2">
      <c r="B741" s="5">
        <v>45901</v>
      </c>
      <c r="C741" t="s">
        <v>877</v>
      </c>
      <c r="D741" s="11">
        <v>95</v>
      </c>
      <c r="E741" s="18">
        <v>5</v>
      </c>
      <c r="F741" s="24">
        <v>5.2631578947368418E-2</v>
      </c>
    </row>
    <row r="742" spans="2:6" x14ac:dyDescent="0.2">
      <c r="B742" s="5">
        <v>45901</v>
      </c>
      <c r="C742" t="s">
        <v>878</v>
      </c>
      <c r="D742" s="11">
        <v>283</v>
      </c>
      <c r="E742" s="18">
        <v>6</v>
      </c>
      <c r="F742" s="24">
        <v>2.1201413427561839E-2</v>
      </c>
    </row>
    <row r="743" spans="2:6" x14ac:dyDescent="0.2">
      <c r="B743" s="5">
        <v>45902</v>
      </c>
      <c r="C743" t="s">
        <v>875</v>
      </c>
      <c r="D743" s="11">
        <v>24</v>
      </c>
      <c r="E743" s="18">
        <v>0</v>
      </c>
      <c r="F743" s="24">
        <v>0</v>
      </c>
    </row>
    <row r="744" spans="2:6" x14ac:dyDescent="0.2">
      <c r="B744" s="5">
        <v>45902</v>
      </c>
      <c r="C744" t="s">
        <v>84</v>
      </c>
      <c r="D744" s="11">
        <v>40</v>
      </c>
      <c r="E744" s="18">
        <v>0</v>
      </c>
      <c r="F744" s="24">
        <v>0</v>
      </c>
    </row>
    <row r="745" spans="2:6" x14ac:dyDescent="0.2">
      <c r="B745" s="5">
        <v>45902</v>
      </c>
      <c r="C745" t="s">
        <v>86</v>
      </c>
      <c r="D745" s="11">
        <v>32</v>
      </c>
      <c r="E745" s="18">
        <v>2</v>
      </c>
      <c r="F745" s="24">
        <v>6.25E-2</v>
      </c>
    </row>
    <row r="746" spans="2:6" x14ac:dyDescent="0.2">
      <c r="B746" s="5">
        <v>45902</v>
      </c>
      <c r="C746" t="s">
        <v>876</v>
      </c>
      <c r="D746" s="11">
        <v>3</v>
      </c>
      <c r="E746" s="18">
        <v>0</v>
      </c>
      <c r="F746" s="24">
        <v>0</v>
      </c>
    </row>
    <row r="747" spans="2:6" x14ac:dyDescent="0.2">
      <c r="B747" s="5">
        <v>45902</v>
      </c>
      <c r="C747" t="s">
        <v>877</v>
      </c>
      <c r="D747" s="11">
        <v>56</v>
      </c>
      <c r="E747" s="18">
        <v>1</v>
      </c>
      <c r="F747" s="24">
        <v>1.7857142857142856E-2</v>
      </c>
    </row>
    <row r="748" spans="2:6" x14ac:dyDescent="0.2">
      <c r="B748" s="5">
        <v>45902</v>
      </c>
      <c r="C748" t="s">
        <v>878</v>
      </c>
      <c r="D748" s="11">
        <v>155</v>
      </c>
      <c r="E748" s="18">
        <v>3</v>
      </c>
      <c r="F748" s="24">
        <v>1.935483870967742E-2</v>
      </c>
    </row>
    <row r="749" spans="2:6" x14ac:dyDescent="0.2">
      <c r="B749" s="5">
        <v>45903</v>
      </c>
      <c r="C749" t="s">
        <v>875</v>
      </c>
      <c r="D749" s="11">
        <v>189</v>
      </c>
      <c r="E749" s="18">
        <v>0</v>
      </c>
      <c r="F749" s="24">
        <v>0</v>
      </c>
    </row>
    <row r="750" spans="2:6" x14ac:dyDescent="0.2">
      <c r="B750" s="5">
        <v>45903</v>
      </c>
      <c r="C750" t="s">
        <v>84</v>
      </c>
      <c r="D750" s="11">
        <v>43</v>
      </c>
      <c r="E750" s="18">
        <v>0</v>
      </c>
      <c r="F750" s="24">
        <v>0</v>
      </c>
    </row>
    <row r="751" spans="2:6" x14ac:dyDescent="0.2">
      <c r="B751" s="5">
        <v>45903</v>
      </c>
      <c r="C751" t="s">
        <v>86</v>
      </c>
      <c r="D751" s="11">
        <v>33</v>
      </c>
      <c r="E751" s="18">
        <v>1</v>
      </c>
      <c r="F751" s="24">
        <v>3.0303030303030304E-2</v>
      </c>
    </row>
    <row r="752" spans="2:6" x14ac:dyDescent="0.2">
      <c r="B752" s="5">
        <v>45903</v>
      </c>
      <c r="C752" t="s">
        <v>876</v>
      </c>
      <c r="D752" s="11">
        <v>16</v>
      </c>
      <c r="E752" s="18">
        <v>0</v>
      </c>
      <c r="F752" s="24">
        <v>0</v>
      </c>
    </row>
    <row r="753" spans="2:6" x14ac:dyDescent="0.2">
      <c r="B753" s="5">
        <v>45903</v>
      </c>
      <c r="C753" t="s">
        <v>877</v>
      </c>
      <c r="D753" s="11">
        <v>86</v>
      </c>
      <c r="E753" s="18">
        <v>6</v>
      </c>
      <c r="F753" s="24">
        <v>6.9767441860465115E-2</v>
      </c>
    </row>
    <row r="754" spans="2:6" x14ac:dyDescent="0.2">
      <c r="B754" s="5">
        <v>45903</v>
      </c>
      <c r="C754" t="s">
        <v>878</v>
      </c>
      <c r="D754" s="11">
        <v>367</v>
      </c>
      <c r="E754" s="18">
        <v>7</v>
      </c>
      <c r="F754" s="24">
        <v>1.9073569482288829E-2</v>
      </c>
    </row>
    <row r="755" spans="2:6" x14ac:dyDescent="0.2">
      <c r="B755" s="5">
        <v>45904</v>
      </c>
      <c r="C755" t="s">
        <v>875</v>
      </c>
      <c r="D755" s="11">
        <v>220</v>
      </c>
      <c r="E755" s="18">
        <v>1</v>
      </c>
      <c r="F755" s="24">
        <v>4.5454545454545452E-3</v>
      </c>
    </row>
    <row r="756" spans="2:6" x14ac:dyDescent="0.2">
      <c r="B756" s="5">
        <v>45904</v>
      </c>
      <c r="C756" t="s">
        <v>84</v>
      </c>
      <c r="D756" s="11">
        <v>50</v>
      </c>
      <c r="E756" s="18">
        <v>1</v>
      </c>
      <c r="F756" s="24">
        <v>0.02</v>
      </c>
    </row>
    <row r="757" spans="2:6" x14ac:dyDescent="0.2">
      <c r="B757" s="5">
        <v>45904</v>
      </c>
      <c r="C757" t="s">
        <v>86</v>
      </c>
      <c r="D757" s="11">
        <v>33</v>
      </c>
      <c r="E757" s="18">
        <v>1</v>
      </c>
      <c r="F757" s="24">
        <v>3.0303030303030304E-2</v>
      </c>
    </row>
    <row r="758" spans="2:6" x14ac:dyDescent="0.2">
      <c r="B758" s="5">
        <v>45904</v>
      </c>
      <c r="C758" t="s">
        <v>876</v>
      </c>
      <c r="D758" s="11">
        <v>6</v>
      </c>
      <c r="E758" s="18">
        <v>0</v>
      </c>
      <c r="F758" s="24">
        <v>0</v>
      </c>
    </row>
    <row r="759" spans="2:6" x14ac:dyDescent="0.2">
      <c r="B759" s="5">
        <v>45904</v>
      </c>
      <c r="C759" t="s">
        <v>877</v>
      </c>
      <c r="D759" s="11">
        <v>73</v>
      </c>
      <c r="E759" s="18">
        <v>5</v>
      </c>
      <c r="F759" s="24">
        <v>6.8493150684931503E-2</v>
      </c>
    </row>
    <row r="760" spans="2:6" x14ac:dyDescent="0.2">
      <c r="B760" s="5">
        <v>45904</v>
      </c>
      <c r="C760" t="s">
        <v>878</v>
      </c>
      <c r="D760" s="11">
        <v>382</v>
      </c>
      <c r="E760" s="18">
        <v>8</v>
      </c>
      <c r="F760" s="24">
        <v>2.0942408376963352E-2</v>
      </c>
    </row>
    <row r="761" spans="2:6" x14ac:dyDescent="0.2">
      <c r="B761" s="5">
        <v>45905</v>
      </c>
      <c r="C761" t="s">
        <v>875</v>
      </c>
      <c r="D761" s="11">
        <v>220</v>
      </c>
      <c r="E761" s="18">
        <v>0</v>
      </c>
      <c r="F761" s="24">
        <v>0</v>
      </c>
    </row>
    <row r="762" spans="2:6" x14ac:dyDescent="0.2">
      <c r="B762" s="5">
        <v>45905</v>
      </c>
      <c r="C762" t="s">
        <v>84</v>
      </c>
      <c r="D762" s="11">
        <v>35</v>
      </c>
      <c r="E762" s="18">
        <v>0</v>
      </c>
      <c r="F762" s="24">
        <v>0</v>
      </c>
    </row>
    <row r="763" spans="2:6" x14ac:dyDescent="0.2">
      <c r="B763" s="5">
        <v>45905</v>
      </c>
      <c r="C763" t="s">
        <v>86</v>
      </c>
      <c r="D763" s="11">
        <v>28</v>
      </c>
      <c r="E763" s="18">
        <v>3</v>
      </c>
      <c r="F763" s="24">
        <v>0.10714285714285714</v>
      </c>
    </row>
    <row r="764" spans="2:6" x14ac:dyDescent="0.2">
      <c r="B764" s="5">
        <v>45905</v>
      </c>
      <c r="C764" t="s">
        <v>876</v>
      </c>
      <c r="D764" s="11">
        <v>3</v>
      </c>
      <c r="E764" s="18">
        <v>0</v>
      </c>
      <c r="F764" s="24">
        <v>0</v>
      </c>
    </row>
    <row r="765" spans="2:6" x14ac:dyDescent="0.2">
      <c r="B765" s="5">
        <v>45905</v>
      </c>
      <c r="C765" t="s">
        <v>877</v>
      </c>
      <c r="D765" s="11">
        <v>67</v>
      </c>
      <c r="E765" s="18">
        <v>2</v>
      </c>
      <c r="F765" s="24">
        <v>2.9850746268656716E-2</v>
      </c>
    </row>
    <row r="766" spans="2:6" x14ac:dyDescent="0.2">
      <c r="B766" s="5">
        <v>45905</v>
      </c>
      <c r="C766" t="s">
        <v>878</v>
      </c>
      <c r="D766" s="11">
        <v>353</v>
      </c>
      <c r="E766" s="18">
        <v>5</v>
      </c>
      <c r="F766" s="24">
        <v>1.4164305949008499E-2</v>
      </c>
    </row>
    <row r="767" spans="2:6" x14ac:dyDescent="0.2">
      <c r="B767" s="5">
        <v>45906</v>
      </c>
      <c r="C767" t="s">
        <v>875</v>
      </c>
      <c r="D767" s="11">
        <v>344</v>
      </c>
      <c r="E767" s="18">
        <v>0</v>
      </c>
      <c r="F767" s="24">
        <v>0</v>
      </c>
    </row>
    <row r="768" spans="2:6" x14ac:dyDescent="0.2">
      <c r="B768" s="5">
        <v>45906</v>
      </c>
      <c r="C768" t="s">
        <v>84</v>
      </c>
      <c r="D768" s="11">
        <v>39</v>
      </c>
      <c r="E768" s="18">
        <v>0</v>
      </c>
      <c r="F768" s="24">
        <v>0</v>
      </c>
    </row>
    <row r="769" spans="2:6" x14ac:dyDescent="0.2">
      <c r="B769" s="5">
        <v>45906</v>
      </c>
      <c r="C769" t="s">
        <v>86</v>
      </c>
      <c r="D769" s="11">
        <v>20</v>
      </c>
      <c r="E769" s="18">
        <v>2</v>
      </c>
      <c r="F769" s="24">
        <v>0.1</v>
      </c>
    </row>
    <row r="770" spans="2:6" x14ac:dyDescent="0.2">
      <c r="B770" s="5">
        <v>45906</v>
      </c>
      <c r="C770" t="s">
        <v>876</v>
      </c>
      <c r="D770" s="11">
        <v>8</v>
      </c>
      <c r="E770" s="18">
        <v>0</v>
      </c>
      <c r="F770" s="24">
        <v>0</v>
      </c>
    </row>
    <row r="771" spans="2:6" x14ac:dyDescent="0.2">
      <c r="B771" s="5">
        <v>45906</v>
      </c>
      <c r="C771" t="s">
        <v>877</v>
      </c>
      <c r="D771" s="11">
        <v>62</v>
      </c>
      <c r="E771" s="18">
        <v>2</v>
      </c>
      <c r="F771" s="24">
        <v>3.2258064516129031E-2</v>
      </c>
    </row>
    <row r="772" spans="2:6" x14ac:dyDescent="0.2">
      <c r="B772" s="5">
        <v>45906</v>
      </c>
      <c r="C772" t="s">
        <v>878</v>
      </c>
      <c r="D772" s="11">
        <v>473</v>
      </c>
      <c r="E772" s="18">
        <v>4</v>
      </c>
      <c r="F772" s="24">
        <v>8.4566596194503175E-3</v>
      </c>
    </row>
    <row r="773" spans="2:6" x14ac:dyDescent="0.2">
      <c r="B773" s="5">
        <v>45907</v>
      </c>
      <c r="C773" t="s">
        <v>875</v>
      </c>
      <c r="D773" s="11">
        <v>320</v>
      </c>
      <c r="E773" s="18">
        <v>1</v>
      </c>
      <c r="F773" s="24">
        <v>3.1250000000000002E-3</v>
      </c>
    </row>
    <row r="774" spans="2:6" x14ac:dyDescent="0.2">
      <c r="B774" s="5">
        <v>45907</v>
      </c>
      <c r="C774" t="s">
        <v>84</v>
      </c>
      <c r="D774" s="11">
        <v>53</v>
      </c>
      <c r="E774" s="18">
        <v>0</v>
      </c>
      <c r="F774" s="24">
        <v>0</v>
      </c>
    </row>
    <row r="775" spans="2:6" x14ac:dyDescent="0.2">
      <c r="B775" s="5">
        <v>45907</v>
      </c>
      <c r="C775" t="s">
        <v>86</v>
      </c>
      <c r="D775" s="11">
        <v>25</v>
      </c>
      <c r="E775" s="18">
        <v>1</v>
      </c>
      <c r="F775" s="24">
        <v>0.04</v>
      </c>
    </row>
    <row r="776" spans="2:6" x14ac:dyDescent="0.2">
      <c r="B776" s="5">
        <v>45907</v>
      </c>
      <c r="C776" t="s">
        <v>876</v>
      </c>
      <c r="D776" s="11">
        <v>7</v>
      </c>
      <c r="E776" s="18">
        <v>0</v>
      </c>
      <c r="F776" s="24">
        <v>0</v>
      </c>
    </row>
    <row r="777" spans="2:6" x14ac:dyDescent="0.2">
      <c r="B777" s="5">
        <v>45907</v>
      </c>
      <c r="C777" t="s">
        <v>877</v>
      </c>
      <c r="D777" s="11">
        <v>37</v>
      </c>
      <c r="E777" s="18">
        <v>1</v>
      </c>
      <c r="F777" s="24">
        <v>2.7027027027027029E-2</v>
      </c>
    </row>
    <row r="778" spans="2:6" x14ac:dyDescent="0.2">
      <c r="B778" s="5">
        <v>45907</v>
      </c>
      <c r="C778" t="s">
        <v>878</v>
      </c>
      <c r="D778" s="11">
        <v>442</v>
      </c>
      <c r="E778" s="18">
        <v>3</v>
      </c>
      <c r="F778" s="24">
        <v>6.7873303167420816E-3</v>
      </c>
    </row>
    <row r="779" spans="2:6" x14ac:dyDescent="0.2">
      <c r="B779" s="5">
        <v>45908</v>
      </c>
      <c r="C779" t="s">
        <v>875</v>
      </c>
      <c r="D779" s="11">
        <v>405</v>
      </c>
      <c r="E779" s="18">
        <v>0</v>
      </c>
      <c r="F779" s="24">
        <v>0</v>
      </c>
    </row>
    <row r="780" spans="2:6" x14ac:dyDescent="0.2">
      <c r="B780" s="5">
        <v>45908</v>
      </c>
      <c r="C780" t="s">
        <v>84</v>
      </c>
      <c r="D780" s="11">
        <v>36</v>
      </c>
      <c r="E780" s="18">
        <v>0</v>
      </c>
      <c r="F780" s="24">
        <v>0</v>
      </c>
    </row>
    <row r="781" spans="2:6" x14ac:dyDescent="0.2">
      <c r="B781" s="5">
        <v>45908</v>
      </c>
      <c r="C781" t="s">
        <v>86</v>
      </c>
      <c r="D781" s="11">
        <v>38</v>
      </c>
      <c r="E781" s="18">
        <v>2</v>
      </c>
      <c r="F781" s="24">
        <v>5.2631578947368418E-2</v>
      </c>
    </row>
    <row r="782" spans="2:6" x14ac:dyDescent="0.2">
      <c r="B782" s="5">
        <v>45908</v>
      </c>
      <c r="C782" t="s">
        <v>876</v>
      </c>
      <c r="D782" s="11">
        <v>10</v>
      </c>
      <c r="E782" s="18">
        <v>0</v>
      </c>
      <c r="F782" s="24">
        <v>0</v>
      </c>
    </row>
    <row r="783" spans="2:6" x14ac:dyDescent="0.2">
      <c r="B783" s="5">
        <v>45908</v>
      </c>
      <c r="C783" t="s">
        <v>877</v>
      </c>
      <c r="D783" s="11">
        <v>89</v>
      </c>
      <c r="E783" s="18">
        <v>4</v>
      </c>
      <c r="F783" s="24">
        <v>4.49438202247191E-2</v>
      </c>
    </row>
    <row r="784" spans="2:6" x14ac:dyDescent="0.2">
      <c r="B784" s="5">
        <v>45908</v>
      </c>
      <c r="C784" t="s">
        <v>878</v>
      </c>
      <c r="D784" s="11">
        <v>578</v>
      </c>
      <c r="E784" s="18">
        <v>6</v>
      </c>
      <c r="F784" s="24">
        <v>1.0380622837370242E-2</v>
      </c>
    </row>
    <row r="785" spans="2:6" x14ac:dyDescent="0.2">
      <c r="B785" s="5">
        <v>45909</v>
      </c>
      <c r="C785" t="s">
        <v>875</v>
      </c>
      <c r="D785" s="11">
        <v>404</v>
      </c>
      <c r="E785" s="18">
        <v>1</v>
      </c>
      <c r="F785" s="24">
        <v>2.4752475247524753E-3</v>
      </c>
    </row>
    <row r="786" spans="2:6" x14ac:dyDescent="0.2">
      <c r="B786" s="5">
        <v>45909</v>
      </c>
      <c r="C786" t="s">
        <v>84</v>
      </c>
      <c r="D786" s="11">
        <v>45</v>
      </c>
      <c r="E786" s="18">
        <v>1</v>
      </c>
      <c r="F786" s="24">
        <v>2.2222222222222223E-2</v>
      </c>
    </row>
    <row r="787" spans="2:6" x14ac:dyDescent="0.2">
      <c r="B787" s="5">
        <v>45909</v>
      </c>
      <c r="C787" t="s">
        <v>86</v>
      </c>
      <c r="D787" s="11">
        <v>34</v>
      </c>
      <c r="E787" s="18">
        <v>0</v>
      </c>
      <c r="F787" s="24">
        <v>0</v>
      </c>
    </row>
    <row r="788" spans="2:6" x14ac:dyDescent="0.2">
      <c r="B788" s="5">
        <v>45909</v>
      </c>
      <c r="C788" t="s">
        <v>876</v>
      </c>
      <c r="D788" s="11">
        <v>13</v>
      </c>
      <c r="E788" s="18">
        <v>0</v>
      </c>
      <c r="F788" s="24">
        <v>0</v>
      </c>
    </row>
    <row r="789" spans="2:6" x14ac:dyDescent="0.2">
      <c r="B789" s="5">
        <v>45909</v>
      </c>
      <c r="C789" t="s">
        <v>877</v>
      </c>
      <c r="D789" s="11">
        <v>148</v>
      </c>
      <c r="E789" s="18">
        <v>6</v>
      </c>
      <c r="F789" s="24">
        <v>4.0540540540540543E-2</v>
      </c>
    </row>
    <row r="790" spans="2:6" x14ac:dyDescent="0.2">
      <c r="B790" s="5">
        <v>45909</v>
      </c>
      <c r="C790" t="s">
        <v>878</v>
      </c>
      <c r="D790" s="11">
        <v>644</v>
      </c>
      <c r="E790" s="18">
        <v>8</v>
      </c>
      <c r="F790" s="24">
        <v>1.2422360248447204E-2</v>
      </c>
    </row>
    <row r="791" spans="2:6" x14ac:dyDescent="0.2">
      <c r="B791" s="5">
        <v>45910</v>
      </c>
      <c r="C791" t="s">
        <v>875</v>
      </c>
      <c r="D791" s="11">
        <v>383</v>
      </c>
      <c r="E791" s="18">
        <v>1</v>
      </c>
      <c r="F791" s="24">
        <v>2.6109660574412533E-3</v>
      </c>
    </row>
    <row r="792" spans="2:6" x14ac:dyDescent="0.2">
      <c r="B792" s="5">
        <v>45910</v>
      </c>
      <c r="C792" t="s">
        <v>84</v>
      </c>
      <c r="D792" s="11">
        <v>52</v>
      </c>
      <c r="E792" s="18">
        <v>0</v>
      </c>
      <c r="F792" s="24">
        <v>0</v>
      </c>
    </row>
    <row r="793" spans="2:6" x14ac:dyDescent="0.2">
      <c r="B793" s="5">
        <v>45910</v>
      </c>
      <c r="C793" t="s">
        <v>86</v>
      </c>
      <c r="D793" s="11">
        <v>22</v>
      </c>
      <c r="E793" s="18">
        <v>1</v>
      </c>
      <c r="F793" s="24">
        <v>4.5454545454545456E-2</v>
      </c>
    </row>
    <row r="794" spans="2:6" x14ac:dyDescent="0.2">
      <c r="B794" s="5">
        <v>45910</v>
      </c>
      <c r="C794" t="s">
        <v>876</v>
      </c>
      <c r="D794" s="11">
        <v>12</v>
      </c>
      <c r="E794" s="18">
        <v>0</v>
      </c>
      <c r="F794" s="24">
        <v>0</v>
      </c>
    </row>
    <row r="795" spans="2:6" x14ac:dyDescent="0.2">
      <c r="B795" s="5">
        <v>45910</v>
      </c>
      <c r="C795" t="s">
        <v>877</v>
      </c>
      <c r="D795" s="11">
        <v>105</v>
      </c>
      <c r="E795" s="18">
        <v>2</v>
      </c>
      <c r="F795" s="24">
        <v>1.9047619047619049E-2</v>
      </c>
    </row>
    <row r="796" spans="2:6" x14ac:dyDescent="0.2">
      <c r="B796" s="5">
        <v>45910</v>
      </c>
      <c r="C796" t="s">
        <v>878</v>
      </c>
      <c r="D796" s="11">
        <v>574</v>
      </c>
      <c r="E796" s="18">
        <v>4</v>
      </c>
      <c r="F796" s="24">
        <v>6.9686411149825784E-3</v>
      </c>
    </row>
    <row r="797" spans="2:6" x14ac:dyDescent="0.2">
      <c r="B797" s="5">
        <v>45911</v>
      </c>
      <c r="C797" t="s">
        <v>875</v>
      </c>
      <c r="D797" s="11">
        <v>306</v>
      </c>
      <c r="E797" s="18">
        <v>0</v>
      </c>
      <c r="F797" s="24">
        <v>0</v>
      </c>
    </row>
    <row r="798" spans="2:6" x14ac:dyDescent="0.2">
      <c r="B798" s="5">
        <v>45911</v>
      </c>
      <c r="C798" t="s">
        <v>84</v>
      </c>
      <c r="D798" s="11">
        <v>43</v>
      </c>
      <c r="E798" s="18">
        <v>0</v>
      </c>
      <c r="F798" s="24">
        <v>0</v>
      </c>
    </row>
    <row r="799" spans="2:6" x14ac:dyDescent="0.2">
      <c r="B799" s="5">
        <v>45911</v>
      </c>
      <c r="C799" t="s">
        <v>86</v>
      </c>
      <c r="D799" s="11">
        <v>40</v>
      </c>
      <c r="E799" s="18">
        <v>3</v>
      </c>
      <c r="F799" s="24">
        <v>7.4999999999999997E-2</v>
      </c>
    </row>
    <row r="800" spans="2:6" x14ac:dyDescent="0.2">
      <c r="B800" s="5">
        <v>45911</v>
      </c>
      <c r="C800" t="s">
        <v>876</v>
      </c>
      <c r="D800" s="11">
        <v>15</v>
      </c>
      <c r="E800" s="18">
        <v>0</v>
      </c>
      <c r="F800" s="24">
        <v>0</v>
      </c>
    </row>
    <row r="801" spans="2:6" x14ac:dyDescent="0.2">
      <c r="B801" s="5">
        <v>45911</v>
      </c>
      <c r="C801" t="s">
        <v>877</v>
      </c>
      <c r="D801" s="11">
        <v>88</v>
      </c>
      <c r="E801" s="18">
        <v>3</v>
      </c>
      <c r="F801" s="24">
        <v>3.4090909090909088E-2</v>
      </c>
    </row>
    <row r="802" spans="2:6" x14ac:dyDescent="0.2">
      <c r="B802" s="5">
        <v>45911</v>
      </c>
      <c r="C802" t="s">
        <v>878</v>
      </c>
      <c r="D802" s="11">
        <v>492</v>
      </c>
      <c r="E802" s="18">
        <v>6</v>
      </c>
      <c r="F802" s="24">
        <v>1.2195121951219513E-2</v>
      </c>
    </row>
    <row r="803" spans="2:6" x14ac:dyDescent="0.2">
      <c r="B803" s="5">
        <v>45912</v>
      </c>
      <c r="C803" t="s">
        <v>875</v>
      </c>
      <c r="D803" s="11">
        <v>389</v>
      </c>
      <c r="E803" s="18">
        <v>1</v>
      </c>
      <c r="F803" s="24">
        <v>2.5706940874035988E-3</v>
      </c>
    </row>
    <row r="804" spans="2:6" x14ac:dyDescent="0.2">
      <c r="B804" s="5">
        <v>45912</v>
      </c>
      <c r="C804" t="s">
        <v>84</v>
      </c>
      <c r="D804" s="11">
        <v>45</v>
      </c>
      <c r="E804" s="18">
        <v>0</v>
      </c>
      <c r="F804" s="24">
        <v>0</v>
      </c>
    </row>
    <row r="805" spans="2:6" x14ac:dyDescent="0.2">
      <c r="B805" s="5">
        <v>45912</v>
      </c>
      <c r="C805" t="s">
        <v>86</v>
      </c>
      <c r="D805" s="11">
        <v>26</v>
      </c>
      <c r="E805" s="18">
        <v>0</v>
      </c>
      <c r="F805" s="24">
        <v>0</v>
      </c>
    </row>
    <row r="806" spans="2:6" x14ac:dyDescent="0.2">
      <c r="B806" s="5">
        <v>45912</v>
      </c>
      <c r="C806" t="s">
        <v>876</v>
      </c>
      <c r="D806" s="11">
        <v>24</v>
      </c>
      <c r="E806" s="18">
        <v>0</v>
      </c>
      <c r="F806" s="24">
        <v>0</v>
      </c>
    </row>
    <row r="807" spans="2:6" x14ac:dyDescent="0.2">
      <c r="B807" s="5">
        <v>45912</v>
      </c>
      <c r="C807" t="s">
        <v>877</v>
      </c>
      <c r="D807" s="11">
        <v>65</v>
      </c>
      <c r="E807" s="18">
        <v>4</v>
      </c>
      <c r="F807" s="24">
        <v>6.1538461538461542E-2</v>
      </c>
    </row>
    <row r="808" spans="2:6" x14ac:dyDescent="0.2">
      <c r="B808" s="5">
        <v>45912</v>
      </c>
      <c r="C808" t="s">
        <v>878</v>
      </c>
      <c r="D808" s="11">
        <v>549</v>
      </c>
      <c r="E808" s="18">
        <v>5</v>
      </c>
      <c r="F808" s="24">
        <v>9.1074681238615673E-3</v>
      </c>
    </row>
    <row r="809" spans="2:6" x14ac:dyDescent="0.2">
      <c r="B809" s="5">
        <v>45913</v>
      </c>
      <c r="C809" t="s">
        <v>875</v>
      </c>
      <c r="D809" s="11">
        <v>433</v>
      </c>
      <c r="E809" s="18">
        <v>0</v>
      </c>
      <c r="F809" s="24">
        <v>0</v>
      </c>
    </row>
    <row r="810" spans="2:6" x14ac:dyDescent="0.2">
      <c r="B810" s="5">
        <v>45913</v>
      </c>
      <c r="C810" t="s">
        <v>84</v>
      </c>
      <c r="D810" s="11">
        <v>40</v>
      </c>
      <c r="E810" s="18">
        <v>0</v>
      </c>
      <c r="F810" s="24">
        <v>0</v>
      </c>
    </row>
    <row r="811" spans="2:6" x14ac:dyDescent="0.2">
      <c r="B811" s="5">
        <v>45913</v>
      </c>
      <c r="C811" t="s">
        <v>86</v>
      </c>
      <c r="D811" s="11">
        <v>24</v>
      </c>
      <c r="E811" s="18">
        <v>0</v>
      </c>
      <c r="F811" s="24">
        <v>0</v>
      </c>
    </row>
    <row r="812" spans="2:6" x14ac:dyDescent="0.2">
      <c r="B812" s="5">
        <v>45913</v>
      </c>
      <c r="C812" t="s">
        <v>876</v>
      </c>
      <c r="D812" s="11">
        <v>17</v>
      </c>
      <c r="E812" s="18">
        <v>0</v>
      </c>
      <c r="F812" s="24">
        <v>0</v>
      </c>
    </row>
    <row r="813" spans="2:6" x14ac:dyDescent="0.2">
      <c r="B813" s="5">
        <v>45913</v>
      </c>
      <c r="C813" t="s">
        <v>877</v>
      </c>
      <c r="D813" s="11">
        <v>66</v>
      </c>
      <c r="E813" s="18">
        <v>1</v>
      </c>
      <c r="F813" s="24">
        <v>1.5151515151515152E-2</v>
      </c>
    </row>
    <row r="814" spans="2:6" x14ac:dyDescent="0.2">
      <c r="B814" s="5">
        <v>45913</v>
      </c>
      <c r="C814" t="s">
        <v>878</v>
      </c>
      <c r="D814" s="11">
        <v>580</v>
      </c>
      <c r="E814" s="18">
        <v>1</v>
      </c>
      <c r="F814" s="24">
        <v>1.7241379310344827E-3</v>
      </c>
    </row>
    <row r="815" spans="2:6" x14ac:dyDescent="0.2">
      <c r="B815" s="5">
        <v>45914</v>
      </c>
      <c r="C815" t="s">
        <v>875</v>
      </c>
      <c r="D815" s="11">
        <v>584</v>
      </c>
      <c r="E815" s="18">
        <v>3</v>
      </c>
      <c r="F815" s="24">
        <v>5.1369863013698627E-3</v>
      </c>
    </row>
    <row r="816" spans="2:6" x14ac:dyDescent="0.2">
      <c r="B816" s="5">
        <v>45914</v>
      </c>
      <c r="C816" t="s">
        <v>84</v>
      </c>
      <c r="D816" s="11">
        <v>60</v>
      </c>
      <c r="E816" s="18">
        <v>0</v>
      </c>
      <c r="F816" s="24">
        <v>0</v>
      </c>
    </row>
    <row r="817" spans="2:6" x14ac:dyDescent="0.2">
      <c r="B817" s="5">
        <v>45914</v>
      </c>
      <c r="C817" t="s">
        <v>86</v>
      </c>
      <c r="D817" s="11">
        <v>30</v>
      </c>
      <c r="E817" s="18">
        <v>1</v>
      </c>
      <c r="F817" s="24">
        <v>3.3333333333333333E-2</v>
      </c>
    </row>
    <row r="818" spans="2:6" x14ac:dyDescent="0.2">
      <c r="B818" s="5">
        <v>45914</v>
      </c>
      <c r="C818" t="s">
        <v>876</v>
      </c>
      <c r="D818" s="11">
        <v>40</v>
      </c>
      <c r="E818" s="18">
        <v>0</v>
      </c>
      <c r="F818" s="24">
        <v>0</v>
      </c>
    </row>
    <row r="819" spans="2:6" x14ac:dyDescent="0.2">
      <c r="B819" s="5">
        <v>45914</v>
      </c>
      <c r="C819" t="s">
        <v>877</v>
      </c>
      <c r="D819" s="11">
        <v>52</v>
      </c>
      <c r="E819" s="18">
        <v>2</v>
      </c>
      <c r="F819" s="24">
        <v>3.8461538461538464E-2</v>
      </c>
    </row>
    <row r="820" spans="2:6" x14ac:dyDescent="0.2">
      <c r="B820" s="5">
        <v>45914</v>
      </c>
      <c r="C820" t="s">
        <v>878</v>
      </c>
      <c r="D820" s="11">
        <v>766</v>
      </c>
      <c r="E820" s="18">
        <v>6</v>
      </c>
      <c r="F820" s="24">
        <v>7.832898172323759E-3</v>
      </c>
    </row>
    <row r="821" spans="2:6" x14ac:dyDescent="0.2">
      <c r="B821" s="5">
        <v>45915</v>
      </c>
      <c r="C821" t="s">
        <v>875</v>
      </c>
      <c r="D821" s="11">
        <v>459</v>
      </c>
      <c r="E821" s="18">
        <v>0</v>
      </c>
      <c r="F821" s="24">
        <v>0</v>
      </c>
    </row>
    <row r="822" spans="2:6" x14ac:dyDescent="0.2">
      <c r="B822" s="5">
        <v>45915</v>
      </c>
      <c r="C822" t="s">
        <v>84</v>
      </c>
      <c r="D822" s="11">
        <v>58</v>
      </c>
      <c r="E822" s="18">
        <v>1</v>
      </c>
      <c r="F822" s="24">
        <v>1.7241379310344827E-2</v>
      </c>
    </row>
    <row r="823" spans="2:6" x14ac:dyDescent="0.2">
      <c r="B823" s="5">
        <v>45915</v>
      </c>
      <c r="C823" t="s">
        <v>86</v>
      </c>
      <c r="D823" s="11">
        <v>29</v>
      </c>
      <c r="E823" s="18">
        <v>0</v>
      </c>
      <c r="F823" s="24">
        <v>0</v>
      </c>
    </row>
    <row r="824" spans="2:6" x14ac:dyDescent="0.2">
      <c r="B824" s="5">
        <v>45915</v>
      </c>
      <c r="C824" t="s">
        <v>876</v>
      </c>
      <c r="D824" s="11">
        <v>26</v>
      </c>
      <c r="E824" s="18">
        <v>0</v>
      </c>
      <c r="F824" s="24">
        <v>0</v>
      </c>
    </row>
    <row r="825" spans="2:6" x14ac:dyDescent="0.2">
      <c r="B825" s="5">
        <v>45915</v>
      </c>
      <c r="C825" t="s">
        <v>877</v>
      </c>
      <c r="D825" s="11">
        <v>118</v>
      </c>
      <c r="E825" s="18">
        <v>1</v>
      </c>
      <c r="F825" s="24">
        <v>8.4745762711864406E-3</v>
      </c>
    </row>
    <row r="826" spans="2:6" x14ac:dyDescent="0.2">
      <c r="B826" s="5">
        <v>45915</v>
      </c>
      <c r="C826" t="s">
        <v>878</v>
      </c>
      <c r="D826" s="11">
        <v>690</v>
      </c>
      <c r="E826" s="18">
        <v>2</v>
      </c>
      <c r="F826" s="24">
        <v>2.8985507246376812E-3</v>
      </c>
    </row>
    <row r="827" spans="2:6" x14ac:dyDescent="0.2">
      <c r="B827" s="5">
        <v>45916</v>
      </c>
      <c r="C827" t="s">
        <v>875</v>
      </c>
      <c r="D827" s="11">
        <v>362</v>
      </c>
      <c r="E827" s="18">
        <v>1</v>
      </c>
      <c r="F827" s="24">
        <v>2.7624309392265192E-3</v>
      </c>
    </row>
    <row r="828" spans="2:6" x14ac:dyDescent="0.2">
      <c r="B828" s="5">
        <v>45916</v>
      </c>
      <c r="C828" t="s">
        <v>84</v>
      </c>
      <c r="D828" s="11">
        <v>34</v>
      </c>
      <c r="E828" s="18">
        <v>0</v>
      </c>
      <c r="F828" s="24">
        <v>0</v>
      </c>
    </row>
    <row r="829" spans="2:6" x14ac:dyDescent="0.2">
      <c r="B829" s="5">
        <v>45916</v>
      </c>
      <c r="C829" t="s">
        <v>86</v>
      </c>
      <c r="D829" s="11">
        <v>51</v>
      </c>
      <c r="E829" s="18">
        <v>4</v>
      </c>
      <c r="F829" s="24">
        <v>7.8431372549019607E-2</v>
      </c>
    </row>
    <row r="830" spans="2:6" x14ac:dyDescent="0.2">
      <c r="B830" s="5">
        <v>45916</v>
      </c>
      <c r="C830" t="s">
        <v>876</v>
      </c>
      <c r="D830" s="11">
        <v>9</v>
      </c>
      <c r="E830" s="18">
        <v>0</v>
      </c>
      <c r="F830" s="24">
        <v>0</v>
      </c>
    </row>
    <row r="831" spans="2:6" x14ac:dyDescent="0.2">
      <c r="B831" s="5">
        <v>45916</v>
      </c>
      <c r="C831" t="s">
        <v>877</v>
      </c>
      <c r="D831" s="11">
        <v>93</v>
      </c>
      <c r="E831" s="18">
        <v>3</v>
      </c>
      <c r="F831" s="24">
        <v>3.2258064516129031E-2</v>
      </c>
    </row>
    <row r="832" spans="2:6" x14ac:dyDescent="0.2">
      <c r="B832" s="5">
        <v>45916</v>
      </c>
      <c r="C832" t="s">
        <v>878</v>
      </c>
      <c r="D832" s="11">
        <v>549</v>
      </c>
      <c r="E832" s="18">
        <v>8</v>
      </c>
      <c r="F832" s="24">
        <v>1.4571948998178506E-2</v>
      </c>
    </row>
    <row r="833" spans="2:6" x14ac:dyDescent="0.2">
      <c r="B833" s="5">
        <v>45917</v>
      </c>
      <c r="C833" t="s">
        <v>875</v>
      </c>
      <c r="D833" s="11">
        <v>311</v>
      </c>
      <c r="E833" s="18">
        <v>1</v>
      </c>
      <c r="F833" s="24">
        <v>3.2154340836012861E-3</v>
      </c>
    </row>
    <row r="834" spans="2:6" x14ac:dyDescent="0.2">
      <c r="B834" s="5">
        <v>45917</v>
      </c>
      <c r="C834" t="s">
        <v>84</v>
      </c>
      <c r="D834" s="11">
        <v>36</v>
      </c>
      <c r="E834" s="18">
        <v>0</v>
      </c>
      <c r="F834" s="24">
        <v>0</v>
      </c>
    </row>
    <row r="835" spans="2:6" x14ac:dyDescent="0.2">
      <c r="B835" s="5">
        <v>45917</v>
      </c>
      <c r="C835" t="s">
        <v>86</v>
      </c>
      <c r="D835" s="11">
        <v>32</v>
      </c>
      <c r="E835" s="18">
        <v>0</v>
      </c>
      <c r="F835" s="24">
        <v>0</v>
      </c>
    </row>
    <row r="836" spans="2:6" x14ac:dyDescent="0.2">
      <c r="B836" s="5">
        <v>45917</v>
      </c>
      <c r="C836" t="s">
        <v>876</v>
      </c>
      <c r="D836" s="11">
        <v>13</v>
      </c>
      <c r="E836" s="18">
        <v>0</v>
      </c>
      <c r="F836" s="24">
        <v>0</v>
      </c>
    </row>
    <row r="837" spans="2:6" x14ac:dyDescent="0.2">
      <c r="B837" s="5">
        <v>45917</v>
      </c>
      <c r="C837" t="s">
        <v>877</v>
      </c>
      <c r="D837" s="11">
        <v>82</v>
      </c>
      <c r="E837" s="18">
        <v>1</v>
      </c>
      <c r="F837" s="24">
        <v>1.2195121951219513E-2</v>
      </c>
    </row>
    <row r="838" spans="2:6" x14ac:dyDescent="0.2">
      <c r="B838" s="5">
        <v>45917</v>
      </c>
      <c r="C838" t="s">
        <v>878</v>
      </c>
      <c r="D838" s="11">
        <v>474</v>
      </c>
      <c r="E838" s="18">
        <v>2</v>
      </c>
      <c r="F838" s="24">
        <v>4.2194092827004216E-3</v>
      </c>
    </row>
    <row r="839" spans="2:6" x14ac:dyDescent="0.2">
      <c r="B839" s="5">
        <v>45918</v>
      </c>
      <c r="C839" t="s">
        <v>875</v>
      </c>
      <c r="D839" s="11">
        <v>420</v>
      </c>
      <c r="E839" s="18">
        <v>1</v>
      </c>
      <c r="F839" s="24">
        <v>2.3809523809523812E-3</v>
      </c>
    </row>
    <row r="840" spans="2:6" x14ac:dyDescent="0.2">
      <c r="B840" s="5">
        <v>45918</v>
      </c>
      <c r="C840" t="s">
        <v>84</v>
      </c>
      <c r="D840" s="11">
        <v>40</v>
      </c>
      <c r="E840" s="18">
        <v>0</v>
      </c>
      <c r="F840" s="24">
        <v>0</v>
      </c>
    </row>
    <row r="841" spans="2:6" x14ac:dyDescent="0.2">
      <c r="B841" s="5">
        <v>45918</v>
      </c>
      <c r="C841" t="s">
        <v>86</v>
      </c>
      <c r="D841" s="11">
        <v>36</v>
      </c>
      <c r="E841" s="18">
        <v>0</v>
      </c>
      <c r="F841" s="24">
        <v>0</v>
      </c>
    </row>
    <row r="842" spans="2:6" x14ac:dyDescent="0.2">
      <c r="B842" s="5">
        <v>45918</v>
      </c>
      <c r="C842" t="s">
        <v>876</v>
      </c>
      <c r="D842" s="11">
        <v>11</v>
      </c>
      <c r="E842" s="18">
        <v>0</v>
      </c>
      <c r="F842" s="24">
        <v>0</v>
      </c>
    </row>
    <row r="843" spans="2:6" x14ac:dyDescent="0.2">
      <c r="B843" s="5">
        <v>45918</v>
      </c>
      <c r="C843" t="s">
        <v>877</v>
      </c>
      <c r="D843" s="11">
        <v>188</v>
      </c>
      <c r="E843" s="18">
        <v>4</v>
      </c>
      <c r="F843" s="24">
        <v>2.1276595744680851E-2</v>
      </c>
    </row>
    <row r="844" spans="2:6" x14ac:dyDescent="0.2">
      <c r="B844" s="5">
        <v>45918</v>
      </c>
      <c r="C844" t="s">
        <v>878</v>
      </c>
      <c r="D844" s="11">
        <v>695</v>
      </c>
      <c r="E844" s="18">
        <v>5</v>
      </c>
      <c r="F844" s="24">
        <v>7.1942446043165471E-3</v>
      </c>
    </row>
    <row r="845" spans="2:6" x14ac:dyDescent="0.2">
      <c r="B845" s="5">
        <v>45919</v>
      </c>
      <c r="C845" t="s">
        <v>875</v>
      </c>
      <c r="D845" s="11">
        <v>265</v>
      </c>
      <c r="E845" s="18">
        <v>1</v>
      </c>
      <c r="F845" s="24">
        <v>3.7735849056603774E-3</v>
      </c>
    </row>
    <row r="846" spans="2:6" x14ac:dyDescent="0.2">
      <c r="B846" s="5">
        <v>45919</v>
      </c>
      <c r="C846" t="s">
        <v>84</v>
      </c>
      <c r="D846" s="11">
        <v>40</v>
      </c>
      <c r="E846" s="18">
        <v>0</v>
      </c>
      <c r="F846" s="24">
        <v>0</v>
      </c>
    </row>
    <row r="847" spans="2:6" x14ac:dyDescent="0.2">
      <c r="B847" s="5">
        <v>45919</v>
      </c>
      <c r="C847" t="s">
        <v>86</v>
      </c>
      <c r="D847" s="11">
        <v>30</v>
      </c>
      <c r="E847" s="18">
        <v>2</v>
      </c>
      <c r="F847" s="24">
        <v>6.6666666666666666E-2</v>
      </c>
    </row>
    <row r="848" spans="2:6" x14ac:dyDescent="0.2">
      <c r="B848" s="5">
        <v>45919</v>
      </c>
      <c r="C848" t="s">
        <v>876</v>
      </c>
      <c r="D848" s="11">
        <v>9</v>
      </c>
      <c r="E848" s="18">
        <v>0</v>
      </c>
      <c r="F848" s="24">
        <v>0</v>
      </c>
    </row>
    <row r="849" spans="2:6" x14ac:dyDescent="0.2">
      <c r="B849" s="5">
        <v>45919</v>
      </c>
      <c r="C849" t="s">
        <v>877</v>
      </c>
      <c r="D849" s="11">
        <v>97</v>
      </c>
      <c r="E849" s="18">
        <v>5</v>
      </c>
      <c r="F849" s="24">
        <v>5.1546391752577317E-2</v>
      </c>
    </row>
    <row r="850" spans="2:6" x14ac:dyDescent="0.2">
      <c r="B850" s="5">
        <v>45919</v>
      </c>
      <c r="C850" t="s">
        <v>878</v>
      </c>
      <c r="D850" s="11">
        <v>441</v>
      </c>
      <c r="E850" s="18">
        <v>8</v>
      </c>
      <c r="F850" s="24">
        <v>1.8140589569160998E-2</v>
      </c>
    </row>
    <row r="851" spans="2:6" x14ac:dyDescent="0.2">
      <c r="B851" s="5">
        <v>45920</v>
      </c>
      <c r="C851" t="s">
        <v>875</v>
      </c>
      <c r="D851" s="11">
        <v>329</v>
      </c>
      <c r="E851" s="18">
        <v>1</v>
      </c>
      <c r="F851" s="24">
        <v>3.0395136778115501E-3</v>
      </c>
    </row>
    <row r="852" spans="2:6" x14ac:dyDescent="0.2">
      <c r="B852" s="5">
        <v>45920</v>
      </c>
      <c r="C852" t="s">
        <v>84</v>
      </c>
      <c r="D852" s="11">
        <v>40</v>
      </c>
      <c r="E852" s="18">
        <v>1</v>
      </c>
      <c r="F852" s="24">
        <v>2.5000000000000001E-2</v>
      </c>
    </row>
    <row r="853" spans="2:6" x14ac:dyDescent="0.2">
      <c r="B853" s="5">
        <v>45920</v>
      </c>
      <c r="C853" t="s">
        <v>86</v>
      </c>
      <c r="D853" s="11">
        <v>19</v>
      </c>
      <c r="E853" s="18">
        <v>0</v>
      </c>
      <c r="F853" s="24">
        <v>0</v>
      </c>
    </row>
    <row r="854" spans="2:6" x14ac:dyDescent="0.2">
      <c r="B854" s="5">
        <v>45920</v>
      </c>
      <c r="C854" t="s">
        <v>876</v>
      </c>
      <c r="D854" s="11">
        <v>19</v>
      </c>
      <c r="E854" s="18">
        <v>0</v>
      </c>
      <c r="F854" s="24">
        <v>0</v>
      </c>
    </row>
    <row r="855" spans="2:6" x14ac:dyDescent="0.2">
      <c r="B855" s="5">
        <v>45920</v>
      </c>
      <c r="C855" t="s">
        <v>877</v>
      </c>
      <c r="D855" s="11">
        <v>62</v>
      </c>
      <c r="E855" s="18">
        <v>3</v>
      </c>
      <c r="F855" s="24">
        <v>4.8387096774193547E-2</v>
      </c>
    </row>
    <row r="856" spans="2:6" x14ac:dyDescent="0.2">
      <c r="B856" s="5">
        <v>45920</v>
      </c>
      <c r="C856" t="s">
        <v>878</v>
      </c>
      <c r="D856" s="11">
        <v>469</v>
      </c>
      <c r="E856" s="18">
        <v>5</v>
      </c>
      <c r="F856" s="24">
        <v>1.0660980810234541E-2</v>
      </c>
    </row>
    <row r="857" spans="2:6" x14ac:dyDescent="0.2">
      <c r="B857" s="5">
        <v>45921</v>
      </c>
      <c r="C857" t="s">
        <v>875</v>
      </c>
      <c r="D857" s="11">
        <v>276</v>
      </c>
      <c r="E857" s="18">
        <v>0</v>
      </c>
      <c r="F857" s="24">
        <v>0</v>
      </c>
    </row>
    <row r="858" spans="2:6" x14ac:dyDescent="0.2">
      <c r="B858" s="5">
        <v>45921</v>
      </c>
      <c r="C858" t="s">
        <v>84</v>
      </c>
      <c r="D858" s="11">
        <v>50</v>
      </c>
      <c r="E858" s="18">
        <v>0</v>
      </c>
      <c r="F858" s="24">
        <v>0</v>
      </c>
    </row>
    <row r="859" spans="2:6" x14ac:dyDescent="0.2">
      <c r="B859" s="5">
        <v>45921</v>
      </c>
      <c r="C859" t="s">
        <v>86</v>
      </c>
      <c r="D859" s="11">
        <v>27</v>
      </c>
      <c r="E859" s="18">
        <v>0</v>
      </c>
      <c r="F859" s="24">
        <v>0</v>
      </c>
    </row>
    <row r="860" spans="2:6" x14ac:dyDescent="0.2">
      <c r="B860" s="5">
        <v>45921</v>
      </c>
      <c r="C860" t="s">
        <v>876</v>
      </c>
      <c r="D860" s="11">
        <v>10</v>
      </c>
      <c r="E860" s="18">
        <v>0</v>
      </c>
      <c r="F860" s="24">
        <v>0</v>
      </c>
    </row>
    <row r="861" spans="2:6" x14ac:dyDescent="0.2">
      <c r="B861" s="5">
        <v>45921</v>
      </c>
      <c r="C861" t="s">
        <v>877</v>
      </c>
      <c r="D861" s="11">
        <v>69</v>
      </c>
      <c r="E861" s="18">
        <v>4</v>
      </c>
      <c r="F861" s="24">
        <v>5.7971014492753624E-2</v>
      </c>
    </row>
    <row r="862" spans="2:6" x14ac:dyDescent="0.2">
      <c r="B862" s="5">
        <v>45921</v>
      </c>
      <c r="C862" t="s">
        <v>878</v>
      </c>
      <c r="D862" s="11">
        <v>432</v>
      </c>
      <c r="E862" s="18">
        <v>4</v>
      </c>
      <c r="F862" s="24">
        <v>9.2592592592592587E-3</v>
      </c>
    </row>
    <row r="863" spans="2:6" x14ac:dyDescent="0.2">
      <c r="B863" s="5">
        <v>45922</v>
      </c>
      <c r="C863" t="s">
        <v>875</v>
      </c>
      <c r="D863" s="11">
        <v>416</v>
      </c>
      <c r="E863" s="18">
        <v>0</v>
      </c>
      <c r="F863" s="24">
        <v>0</v>
      </c>
    </row>
    <row r="864" spans="2:6" x14ac:dyDescent="0.2">
      <c r="B864" s="5">
        <v>45922</v>
      </c>
      <c r="C864" t="s">
        <v>84</v>
      </c>
      <c r="D864" s="11">
        <v>35</v>
      </c>
      <c r="E864" s="18">
        <v>0</v>
      </c>
      <c r="F864" s="24">
        <v>0</v>
      </c>
    </row>
    <row r="865" spans="2:6" x14ac:dyDescent="0.2">
      <c r="B865" s="5">
        <v>45922</v>
      </c>
      <c r="C865" t="s">
        <v>86</v>
      </c>
      <c r="D865" s="11">
        <v>41</v>
      </c>
      <c r="E865" s="18">
        <v>1</v>
      </c>
      <c r="F865" s="24">
        <v>2.4390243902439025E-2</v>
      </c>
    </row>
    <row r="866" spans="2:6" x14ac:dyDescent="0.2">
      <c r="B866" s="5">
        <v>45922</v>
      </c>
      <c r="C866" t="s">
        <v>876</v>
      </c>
      <c r="D866" s="11">
        <v>28</v>
      </c>
      <c r="E866" s="18">
        <v>0</v>
      </c>
      <c r="F866" s="24">
        <v>0</v>
      </c>
    </row>
    <row r="867" spans="2:6" x14ac:dyDescent="0.2">
      <c r="B867" s="5">
        <v>45922</v>
      </c>
      <c r="C867" t="s">
        <v>877</v>
      </c>
      <c r="D867" s="11">
        <v>83</v>
      </c>
      <c r="E867" s="18">
        <v>4</v>
      </c>
      <c r="F867" s="24">
        <v>4.8192771084337352E-2</v>
      </c>
    </row>
    <row r="868" spans="2:6" x14ac:dyDescent="0.2">
      <c r="B868" s="5">
        <v>45922</v>
      </c>
      <c r="C868" t="s">
        <v>878</v>
      </c>
      <c r="D868" s="11">
        <v>603</v>
      </c>
      <c r="E868" s="18">
        <v>5</v>
      </c>
      <c r="F868" s="24">
        <v>8.291873963515755E-3</v>
      </c>
    </row>
    <row r="869" spans="2:6" x14ac:dyDescent="0.2">
      <c r="B869" s="5">
        <v>45923</v>
      </c>
      <c r="C869" t="s">
        <v>875</v>
      </c>
      <c r="D869" s="11">
        <v>198</v>
      </c>
      <c r="E869" s="18">
        <v>1</v>
      </c>
      <c r="F869" s="24">
        <v>5.0505050505050509E-3</v>
      </c>
    </row>
    <row r="870" spans="2:6" x14ac:dyDescent="0.2">
      <c r="B870" s="5">
        <v>45923</v>
      </c>
      <c r="C870" t="s">
        <v>84</v>
      </c>
      <c r="D870" s="11">
        <v>35</v>
      </c>
      <c r="E870" s="18">
        <v>0</v>
      </c>
      <c r="F870" s="24">
        <v>0</v>
      </c>
    </row>
    <row r="871" spans="2:6" x14ac:dyDescent="0.2">
      <c r="B871" s="5">
        <v>45923</v>
      </c>
      <c r="C871" t="s">
        <v>86</v>
      </c>
      <c r="D871" s="11">
        <v>43</v>
      </c>
      <c r="E871" s="18">
        <v>0</v>
      </c>
      <c r="F871" s="24">
        <v>0</v>
      </c>
    </row>
    <row r="872" spans="2:6" x14ac:dyDescent="0.2">
      <c r="B872" s="5">
        <v>45923</v>
      </c>
      <c r="C872" t="s">
        <v>876</v>
      </c>
      <c r="D872" s="11">
        <v>12</v>
      </c>
      <c r="E872" s="18">
        <v>0</v>
      </c>
      <c r="F872" s="24">
        <v>0</v>
      </c>
    </row>
    <row r="873" spans="2:6" x14ac:dyDescent="0.2">
      <c r="B873" s="5">
        <v>45923</v>
      </c>
      <c r="C873" t="s">
        <v>877</v>
      </c>
      <c r="D873" s="11">
        <v>121</v>
      </c>
      <c r="E873" s="18">
        <v>3</v>
      </c>
      <c r="F873" s="24">
        <v>2.4793388429752067E-2</v>
      </c>
    </row>
    <row r="874" spans="2:6" x14ac:dyDescent="0.2">
      <c r="B874" s="5">
        <v>45923</v>
      </c>
      <c r="C874" t="s">
        <v>878</v>
      </c>
      <c r="D874" s="11">
        <v>409</v>
      </c>
      <c r="E874" s="18">
        <v>4</v>
      </c>
      <c r="F874" s="24">
        <v>9.7799511002444987E-3</v>
      </c>
    </row>
    <row r="875" spans="2:6" x14ac:dyDescent="0.2">
      <c r="B875" s="5">
        <v>45924</v>
      </c>
      <c r="C875" t="s">
        <v>875</v>
      </c>
      <c r="D875" s="11">
        <v>321</v>
      </c>
      <c r="E875" s="18">
        <v>1</v>
      </c>
      <c r="F875" s="24">
        <v>3.1152647975077881E-3</v>
      </c>
    </row>
    <row r="876" spans="2:6" x14ac:dyDescent="0.2">
      <c r="B876" s="5">
        <v>45924</v>
      </c>
      <c r="C876" t="s">
        <v>84</v>
      </c>
      <c r="D876" s="11">
        <v>29</v>
      </c>
      <c r="E876" s="18">
        <v>0</v>
      </c>
      <c r="F876" s="24">
        <v>0</v>
      </c>
    </row>
    <row r="877" spans="2:6" x14ac:dyDescent="0.2">
      <c r="B877" s="5">
        <v>45924</v>
      </c>
      <c r="C877" t="s">
        <v>86</v>
      </c>
      <c r="D877" s="11">
        <v>27</v>
      </c>
      <c r="E877" s="18">
        <v>0</v>
      </c>
      <c r="F877" s="24">
        <v>0</v>
      </c>
    </row>
    <row r="878" spans="2:6" x14ac:dyDescent="0.2">
      <c r="B878" s="5">
        <v>45924</v>
      </c>
      <c r="C878" t="s">
        <v>876</v>
      </c>
      <c r="D878" s="11">
        <v>16</v>
      </c>
      <c r="E878" s="18">
        <v>0</v>
      </c>
      <c r="F878" s="24">
        <v>0</v>
      </c>
    </row>
    <row r="879" spans="2:6" x14ac:dyDescent="0.2">
      <c r="B879" s="5">
        <v>45924</v>
      </c>
      <c r="C879" t="s">
        <v>877</v>
      </c>
      <c r="D879" s="11">
        <v>70</v>
      </c>
      <c r="E879" s="18">
        <v>1</v>
      </c>
      <c r="F879" s="24">
        <v>1.4285714285714285E-2</v>
      </c>
    </row>
    <row r="880" spans="2:6" x14ac:dyDescent="0.2">
      <c r="B880" s="5">
        <v>45924</v>
      </c>
      <c r="C880" t="s">
        <v>878</v>
      </c>
      <c r="D880" s="11">
        <v>463</v>
      </c>
      <c r="E880" s="18">
        <v>2</v>
      </c>
      <c r="F880" s="24">
        <v>4.3196544276457886E-3</v>
      </c>
    </row>
    <row r="881" spans="2:6" x14ac:dyDescent="0.2">
      <c r="B881" s="5">
        <v>45925</v>
      </c>
      <c r="C881" t="s">
        <v>875</v>
      </c>
      <c r="D881" s="11">
        <v>150</v>
      </c>
      <c r="E881" s="18">
        <v>0</v>
      </c>
      <c r="F881" s="24">
        <v>0</v>
      </c>
    </row>
    <row r="882" spans="2:6" x14ac:dyDescent="0.2">
      <c r="B882" s="5">
        <v>45925</v>
      </c>
      <c r="C882" t="s">
        <v>84</v>
      </c>
      <c r="D882" s="11">
        <v>38</v>
      </c>
      <c r="E882" s="18">
        <v>0</v>
      </c>
      <c r="F882" s="24">
        <v>0</v>
      </c>
    </row>
    <row r="883" spans="2:6" x14ac:dyDescent="0.2">
      <c r="B883" s="5">
        <v>45925</v>
      </c>
      <c r="C883" t="s">
        <v>86</v>
      </c>
      <c r="D883" s="11">
        <v>37</v>
      </c>
      <c r="E883" s="18">
        <v>2</v>
      </c>
      <c r="F883" s="24">
        <v>5.4054054054054057E-2</v>
      </c>
    </row>
    <row r="884" spans="2:6" x14ac:dyDescent="0.2">
      <c r="B884" s="5">
        <v>45925</v>
      </c>
      <c r="C884" t="s">
        <v>876</v>
      </c>
      <c r="D884" s="11">
        <v>1</v>
      </c>
      <c r="E884" s="18">
        <v>0</v>
      </c>
      <c r="F884" s="24">
        <v>0</v>
      </c>
    </row>
    <row r="885" spans="2:6" x14ac:dyDescent="0.2">
      <c r="B885" s="5">
        <v>45925</v>
      </c>
      <c r="C885" t="s">
        <v>877</v>
      </c>
      <c r="D885" s="11">
        <v>70</v>
      </c>
      <c r="E885" s="18">
        <v>1</v>
      </c>
      <c r="F885" s="24">
        <v>1.4285714285714285E-2</v>
      </c>
    </row>
    <row r="886" spans="2:6" x14ac:dyDescent="0.2">
      <c r="B886" s="5">
        <v>45925</v>
      </c>
      <c r="C886" t="s">
        <v>878</v>
      </c>
      <c r="D886" s="11">
        <v>296</v>
      </c>
      <c r="E886" s="18">
        <v>3</v>
      </c>
      <c r="F886" s="24">
        <v>1.0135135135135136E-2</v>
      </c>
    </row>
    <row r="887" spans="2:6" x14ac:dyDescent="0.2">
      <c r="B887" s="5">
        <v>45926</v>
      </c>
      <c r="C887" t="s">
        <v>875</v>
      </c>
      <c r="D887" s="11">
        <v>437</v>
      </c>
      <c r="E887" s="18">
        <v>3</v>
      </c>
      <c r="F887" s="24">
        <v>6.8649885583524023E-3</v>
      </c>
    </row>
    <row r="888" spans="2:6" x14ac:dyDescent="0.2">
      <c r="B888" s="5">
        <v>45926</v>
      </c>
      <c r="C888" t="s">
        <v>84</v>
      </c>
      <c r="D888" s="11">
        <v>54</v>
      </c>
      <c r="E888" s="18">
        <v>0</v>
      </c>
      <c r="F888" s="24">
        <v>0</v>
      </c>
    </row>
    <row r="889" spans="2:6" x14ac:dyDescent="0.2">
      <c r="B889" s="5">
        <v>45926</v>
      </c>
      <c r="C889" t="s">
        <v>86</v>
      </c>
      <c r="D889" s="11">
        <v>34</v>
      </c>
      <c r="E889" s="18">
        <v>0</v>
      </c>
      <c r="F889" s="24">
        <v>0</v>
      </c>
    </row>
    <row r="890" spans="2:6" x14ac:dyDescent="0.2">
      <c r="B890" s="5">
        <v>45926</v>
      </c>
      <c r="C890" t="s">
        <v>876</v>
      </c>
      <c r="D890" s="11">
        <v>15</v>
      </c>
      <c r="E890" s="18">
        <v>0</v>
      </c>
      <c r="F890" s="24">
        <v>0</v>
      </c>
    </row>
    <row r="891" spans="2:6" x14ac:dyDescent="0.2">
      <c r="B891" s="5">
        <v>45926</v>
      </c>
      <c r="C891" t="s">
        <v>877</v>
      </c>
      <c r="D891" s="11">
        <v>91</v>
      </c>
      <c r="E891" s="18">
        <v>4</v>
      </c>
      <c r="F891" s="24">
        <v>4.3956043956043959E-2</v>
      </c>
    </row>
    <row r="892" spans="2:6" x14ac:dyDescent="0.2">
      <c r="B892" s="5">
        <v>45926</v>
      </c>
      <c r="C892" t="s">
        <v>878</v>
      </c>
      <c r="D892" s="11">
        <v>631</v>
      </c>
      <c r="E892" s="18">
        <v>7</v>
      </c>
      <c r="F892" s="24">
        <v>1.1093502377179081E-2</v>
      </c>
    </row>
    <row r="893" spans="2:6" x14ac:dyDescent="0.2">
      <c r="B893" s="5">
        <v>45927</v>
      </c>
      <c r="C893" t="s">
        <v>875</v>
      </c>
      <c r="D893" s="11">
        <v>282</v>
      </c>
      <c r="E893" s="18">
        <v>0</v>
      </c>
      <c r="F893" s="24">
        <v>0</v>
      </c>
    </row>
    <row r="894" spans="2:6" x14ac:dyDescent="0.2">
      <c r="B894" s="5">
        <v>45927</v>
      </c>
      <c r="C894" t="s">
        <v>84</v>
      </c>
      <c r="D894" s="11">
        <v>60</v>
      </c>
      <c r="E894" s="18">
        <v>1</v>
      </c>
      <c r="F894" s="24">
        <v>1.6666666666666666E-2</v>
      </c>
    </row>
    <row r="895" spans="2:6" x14ac:dyDescent="0.2">
      <c r="B895" s="5">
        <v>45927</v>
      </c>
      <c r="C895" t="s">
        <v>86</v>
      </c>
      <c r="D895" s="11">
        <v>25</v>
      </c>
      <c r="E895" s="18">
        <v>1</v>
      </c>
      <c r="F895" s="24">
        <v>0.04</v>
      </c>
    </row>
    <row r="896" spans="2:6" x14ac:dyDescent="0.2">
      <c r="B896" s="5">
        <v>45927</v>
      </c>
      <c r="C896" t="s">
        <v>876</v>
      </c>
      <c r="D896" s="11">
        <v>13</v>
      </c>
      <c r="E896" s="18">
        <v>0</v>
      </c>
      <c r="F896" s="24">
        <v>0</v>
      </c>
    </row>
    <row r="897" spans="2:6" x14ac:dyDescent="0.2">
      <c r="B897" s="5">
        <v>45927</v>
      </c>
      <c r="C897" t="s">
        <v>877</v>
      </c>
      <c r="D897" s="11">
        <v>57</v>
      </c>
      <c r="E897" s="18">
        <v>3</v>
      </c>
      <c r="F897" s="24">
        <v>5.2631578947368418E-2</v>
      </c>
    </row>
    <row r="898" spans="2:6" x14ac:dyDescent="0.2">
      <c r="B898" s="5">
        <v>45927</v>
      </c>
      <c r="C898" t="s">
        <v>878</v>
      </c>
      <c r="D898" s="11">
        <v>437</v>
      </c>
      <c r="E898" s="18">
        <v>5</v>
      </c>
      <c r="F898" s="24">
        <v>1.1441647597254004E-2</v>
      </c>
    </row>
    <row r="899" spans="2:6" x14ac:dyDescent="0.2">
      <c r="B899" s="5">
        <v>45928</v>
      </c>
      <c r="C899" t="s">
        <v>875</v>
      </c>
      <c r="D899" s="11">
        <v>227</v>
      </c>
      <c r="E899" s="18">
        <v>2</v>
      </c>
      <c r="F899" s="24">
        <v>8.8105726872246704E-3</v>
      </c>
    </row>
    <row r="900" spans="2:6" x14ac:dyDescent="0.2">
      <c r="B900" s="5">
        <v>45928</v>
      </c>
      <c r="C900" t="s">
        <v>84</v>
      </c>
      <c r="D900" s="11">
        <v>65</v>
      </c>
      <c r="E900" s="18">
        <v>0</v>
      </c>
      <c r="F900" s="24">
        <v>0</v>
      </c>
    </row>
    <row r="901" spans="2:6" x14ac:dyDescent="0.2">
      <c r="B901" s="5">
        <v>45928</v>
      </c>
      <c r="C901" t="s">
        <v>86</v>
      </c>
      <c r="D901" s="11">
        <v>29</v>
      </c>
      <c r="E901" s="18">
        <v>1</v>
      </c>
      <c r="F901" s="24">
        <v>3.4482758620689655E-2</v>
      </c>
    </row>
    <row r="902" spans="2:6" x14ac:dyDescent="0.2">
      <c r="B902" s="5">
        <v>45928</v>
      </c>
      <c r="C902" t="s">
        <v>876</v>
      </c>
      <c r="D902" s="11">
        <v>6</v>
      </c>
      <c r="E902" s="18">
        <v>0</v>
      </c>
      <c r="F902" s="24">
        <v>0</v>
      </c>
    </row>
    <row r="903" spans="2:6" x14ac:dyDescent="0.2">
      <c r="B903" s="5">
        <v>45928</v>
      </c>
      <c r="C903" t="s">
        <v>877</v>
      </c>
      <c r="D903" s="11">
        <v>79</v>
      </c>
      <c r="E903" s="18">
        <v>2</v>
      </c>
      <c r="F903" s="24">
        <v>2.5316455696202531E-2</v>
      </c>
    </row>
    <row r="904" spans="2:6" x14ac:dyDescent="0.2">
      <c r="B904" s="5">
        <v>45928</v>
      </c>
      <c r="C904" t="s">
        <v>878</v>
      </c>
      <c r="D904" s="11">
        <v>406</v>
      </c>
      <c r="E904" s="18">
        <v>5</v>
      </c>
      <c r="F904" s="24">
        <v>1.2315270935960592E-2</v>
      </c>
    </row>
    <row r="905" spans="2:6" x14ac:dyDescent="0.2">
      <c r="B905" s="5">
        <v>45929</v>
      </c>
      <c r="C905" t="s">
        <v>875</v>
      </c>
      <c r="D905" s="11">
        <v>377</v>
      </c>
      <c r="E905" s="18">
        <v>0</v>
      </c>
      <c r="F905" s="24">
        <v>0</v>
      </c>
    </row>
    <row r="906" spans="2:6" x14ac:dyDescent="0.2">
      <c r="B906" s="5">
        <v>45929</v>
      </c>
      <c r="C906" t="s">
        <v>84</v>
      </c>
      <c r="D906" s="11">
        <v>53</v>
      </c>
      <c r="E906" s="18">
        <v>3</v>
      </c>
      <c r="F906" s="24">
        <v>5.6603773584905662E-2</v>
      </c>
    </row>
    <row r="907" spans="2:6" x14ac:dyDescent="0.2">
      <c r="B907" s="5">
        <v>45929</v>
      </c>
      <c r="C907" t="s">
        <v>86</v>
      </c>
      <c r="D907" s="11">
        <v>39</v>
      </c>
      <c r="E907" s="18">
        <v>1</v>
      </c>
      <c r="F907" s="24">
        <v>2.564102564102564E-2</v>
      </c>
    </row>
    <row r="908" spans="2:6" x14ac:dyDescent="0.2">
      <c r="B908" s="5">
        <v>45929</v>
      </c>
      <c r="C908" t="s">
        <v>876</v>
      </c>
      <c r="D908" s="11">
        <v>12</v>
      </c>
      <c r="E908" s="18">
        <v>0</v>
      </c>
      <c r="F908" s="24">
        <v>0</v>
      </c>
    </row>
    <row r="909" spans="2:6" x14ac:dyDescent="0.2">
      <c r="B909" s="5">
        <v>45929</v>
      </c>
      <c r="C909" t="s">
        <v>877</v>
      </c>
      <c r="D909" s="11">
        <v>96</v>
      </c>
      <c r="E909" s="18">
        <v>3</v>
      </c>
      <c r="F909" s="24">
        <v>3.125E-2</v>
      </c>
    </row>
    <row r="910" spans="2:6" x14ac:dyDescent="0.2">
      <c r="B910" s="5">
        <v>45929</v>
      </c>
      <c r="C910" t="s">
        <v>878</v>
      </c>
      <c r="D910" s="11">
        <v>577</v>
      </c>
      <c r="E910" s="18">
        <v>7</v>
      </c>
      <c r="F910" s="24">
        <v>1.2131715771230503E-2</v>
      </c>
    </row>
    <row r="911" spans="2:6" x14ac:dyDescent="0.2">
      <c r="B911" s="5">
        <v>45930</v>
      </c>
      <c r="C911" t="s">
        <v>875</v>
      </c>
      <c r="D911" s="11">
        <v>241</v>
      </c>
      <c r="E911" s="18">
        <v>0</v>
      </c>
      <c r="F911" s="24">
        <v>0</v>
      </c>
    </row>
    <row r="912" spans="2:6" x14ac:dyDescent="0.2">
      <c r="B912" s="5">
        <v>45930</v>
      </c>
      <c r="C912" t="s">
        <v>84</v>
      </c>
      <c r="D912" s="11">
        <v>51</v>
      </c>
      <c r="E912" s="18">
        <v>0</v>
      </c>
      <c r="F912" s="24">
        <v>0</v>
      </c>
    </row>
    <row r="913" spans="2:6" x14ac:dyDescent="0.2">
      <c r="B913" s="5">
        <v>45930</v>
      </c>
      <c r="C913" t="s">
        <v>86</v>
      </c>
      <c r="D913" s="11">
        <v>40</v>
      </c>
      <c r="E913" s="18">
        <v>0</v>
      </c>
      <c r="F913" s="24">
        <v>0</v>
      </c>
    </row>
    <row r="914" spans="2:6" x14ac:dyDescent="0.2">
      <c r="B914" s="5">
        <v>45930</v>
      </c>
      <c r="C914" t="s">
        <v>876</v>
      </c>
      <c r="D914" s="11">
        <v>4</v>
      </c>
      <c r="E914" s="18">
        <v>0</v>
      </c>
      <c r="F914" s="24">
        <v>0</v>
      </c>
    </row>
    <row r="915" spans="2:6" x14ac:dyDescent="0.2">
      <c r="B915" s="5">
        <v>45930</v>
      </c>
      <c r="C915" t="s">
        <v>877</v>
      </c>
      <c r="D915" s="11">
        <v>163</v>
      </c>
      <c r="E915" s="18">
        <v>2</v>
      </c>
      <c r="F915" s="24">
        <v>1.2269938650306749E-2</v>
      </c>
    </row>
    <row r="916" spans="2:6" x14ac:dyDescent="0.2">
      <c r="B916" s="5">
        <v>45930</v>
      </c>
      <c r="C916" t="s">
        <v>878</v>
      </c>
      <c r="D916" s="11">
        <v>499</v>
      </c>
      <c r="E916" s="18">
        <v>2</v>
      </c>
      <c r="F916" s="24">
        <v>4.0080160320641279E-3</v>
      </c>
    </row>
    <row r="917" spans="2:6" x14ac:dyDescent="0.2">
      <c r="B917" s="5">
        <v>45931</v>
      </c>
      <c r="C917" t="s">
        <v>875</v>
      </c>
      <c r="D917" s="11">
        <v>302</v>
      </c>
      <c r="E917" s="18">
        <v>0</v>
      </c>
      <c r="F917" s="24">
        <v>0</v>
      </c>
    </row>
    <row r="918" spans="2:6" x14ac:dyDescent="0.2">
      <c r="B918" s="5">
        <v>45931</v>
      </c>
      <c r="C918" t="s">
        <v>84</v>
      </c>
      <c r="D918" s="11">
        <v>51</v>
      </c>
      <c r="E918" s="18">
        <v>0</v>
      </c>
      <c r="F918" s="24">
        <v>0</v>
      </c>
    </row>
    <row r="919" spans="2:6" x14ac:dyDescent="0.2">
      <c r="B919" s="5">
        <v>45931</v>
      </c>
      <c r="C919" t="s">
        <v>86</v>
      </c>
      <c r="D919" s="11">
        <v>28</v>
      </c>
      <c r="E919" s="18">
        <v>0</v>
      </c>
      <c r="F919" s="24">
        <v>0</v>
      </c>
    </row>
    <row r="920" spans="2:6" x14ac:dyDescent="0.2">
      <c r="B920" s="5">
        <v>45931</v>
      </c>
      <c r="C920" t="s">
        <v>876</v>
      </c>
      <c r="D920" s="11">
        <v>10</v>
      </c>
      <c r="E920" s="18">
        <v>0</v>
      </c>
      <c r="F920" s="24">
        <v>0</v>
      </c>
    </row>
    <row r="921" spans="2:6" x14ac:dyDescent="0.2">
      <c r="B921" s="5">
        <v>45931</v>
      </c>
      <c r="C921" t="s">
        <v>877</v>
      </c>
      <c r="D921" s="11">
        <v>97</v>
      </c>
      <c r="E921" s="18">
        <v>0</v>
      </c>
      <c r="F921" s="24">
        <v>0</v>
      </c>
    </row>
    <row r="922" spans="2:6" x14ac:dyDescent="0.2">
      <c r="B922" s="5">
        <v>45931</v>
      </c>
      <c r="C922" t="s">
        <v>878</v>
      </c>
      <c r="D922" s="11">
        <v>488</v>
      </c>
      <c r="E922" s="18">
        <v>0</v>
      </c>
      <c r="F922" s="24">
        <v>0</v>
      </c>
    </row>
    <row r="923" spans="2:6" x14ac:dyDescent="0.2">
      <c r="B923" s="5">
        <v>45932</v>
      </c>
      <c r="C923" t="s">
        <v>875</v>
      </c>
      <c r="D923" s="11">
        <v>230</v>
      </c>
      <c r="E923" s="18">
        <v>0</v>
      </c>
      <c r="F923" s="24">
        <v>0</v>
      </c>
    </row>
    <row r="924" spans="2:6" x14ac:dyDescent="0.2">
      <c r="B924" s="5">
        <v>45932</v>
      </c>
      <c r="C924" t="s">
        <v>84</v>
      </c>
      <c r="D924" s="11">
        <v>48</v>
      </c>
      <c r="E924" s="18">
        <v>0</v>
      </c>
      <c r="F924" s="24">
        <v>0</v>
      </c>
    </row>
    <row r="925" spans="2:6" x14ac:dyDescent="0.2">
      <c r="B925" s="5">
        <v>45932</v>
      </c>
      <c r="C925" t="s">
        <v>86</v>
      </c>
      <c r="D925" s="11">
        <v>34</v>
      </c>
      <c r="E925" s="18">
        <v>0</v>
      </c>
      <c r="F925" s="24">
        <v>0</v>
      </c>
    </row>
    <row r="926" spans="2:6" x14ac:dyDescent="0.2">
      <c r="B926" s="5">
        <v>45932</v>
      </c>
      <c r="C926" t="s">
        <v>876</v>
      </c>
      <c r="D926" s="11">
        <v>5</v>
      </c>
      <c r="E926" s="18">
        <v>0</v>
      </c>
      <c r="F926" s="24">
        <v>0</v>
      </c>
    </row>
    <row r="927" spans="2:6" x14ac:dyDescent="0.2">
      <c r="B927" s="5">
        <v>45932</v>
      </c>
      <c r="C927" t="s">
        <v>877</v>
      </c>
      <c r="D927" s="11">
        <v>81</v>
      </c>
      <c r="E927" s="18">
        <v>0</v>
      </c>
      <c r="F927" s="24">
        <v>0</v>
      </c>
    </row>
    <row r="928" spans="2:6" x14ac:dyDescent="0.2">
      <c r="B928" s="5">
        <v>45932</v>
      </c>
      <c r="C928" t="s">
        <v>878</v>
      </c>
      <c r="D928" s="11">
        <v>398</v>
      </c>
      <c r="E928" s="18">
        <v>0</v>
      </c>
      <c r="F928" s="24">
        <v>0</v>
      </c>
    </row>
    <row r="929" spans="2:6" x14ac:dyDescent="0.2">
      <c r="B929" s="5">
        <v>45933</v>
      </c>
      <c r="C929" t="s">
        <v>875</v>
      </c>
      <c r="D929" s="11">
        <v>489</v>
      </c>
      <c r="E929" s="18">
        <v>0</v>
      </c>
      <c r="F929" s="24">
        <v>0</v>
      </c>
    </row>
    <row r="930" spans="2:6" x14ac:dyDescent="0.2">
      <c r="B930" s="5">
        <v>45933</v>
      </c>
      <c r="C930" t="s">
        <v>84</v>
      </c>
      <c r="D930" s="11">
        <v>29</v>
      </c>
      <c r="E930" s="18">
        <v>1</v>
      </c>
      <c r="F930" s="24">
        <v>3.4482758620689655E-2</v>
      </c>
    </row>
    <row r="931" spans="2:6" x14ac:dyDescent="0.2">
      <c r="B931" s="5">
        <v>45933</v>
      </c>
      <c r="C931" t="s">
        <v>86</v>
      </c>
      <c r="D931" s="11">
        <v>42</v>
      </c>
      <c r="E931" s="18">
        <v>0</v>
      </c>
      <c r="F931" s="24">
        <v>0</v>
      </c>
    </row>
    <row r="932" spans="2:6" x14ac:dyDescent="0.2">
      <c r="B932" s="5">
        <v>45933</v>
      </c>
      <c r="C932" t="s">
        <v>876</v>
      </c>
      <c r="D932" s="11">
        <v>6</v>
      </c>
      <c r="E932" s="18">
        <v>0</v>
      </c>
      <c r="F932" s="24">
        <v>0</v>
      </c>
    </row>
    <row r="933" spans="2:6" x14ac:dyDescent="0.2">
      <c r="B933" s="5">
        <v>45933</v>
      </c>
      <c r="C933" t="s">
        <v>877</v>
      </c>
      <c r="D933" s="11">
        <v>70</v>
      </c>
      <c r="E933" s="18">
        <v>4</v>
      </c>
      <c r="F933" s="24">
        <v>5.7142857142857141E-2</v>
      </c>
    </row>
    <row r="934" spans="2:6" x14ac:dyDescent="0.2">
      <c r="B934" s="5">
        <v>45933</v>
      </c>
      <c r="C934" t="s">
        <v>878</v>
      </c>
      <c r="D934" s="11">
        <v>636</v>
      </c>
      <c r="E934" s="18">
        <v>5</v>
      </c>
      <c r="F934" s="24">
        <v>7.8616352201257862E-3</v>
      </c>
    </row>
    <row r="935" spans="2:6" x14ac:dyDescent="0.2">
      <c r="B935" s="5">
        <v>45934</v>
      </c>
      <c r="C935" t="s">
        <v>875</v>
      </c>
      <c r="D935" s="11">
        <v>383</v>
      </c>
      <c r="E935" s="18">
        <v>0</v>
      </c>
      <c r="F935" s="24">
        <v>0</v>
      </c>
    </row>
    <row r="936" spans="2:6" x14ac:dyDescent="0.2">
      <c r="B936" s="5">
        <v>45934</v>
      </c>
      <c r="C936" t="s">
        <v>84</v>
      </c>
      <c r="D936" s="11">
        <v>75</v>
      </c>
      <c r="E936" s="18">
        <v>0</v>
      </c>
      <c r="F936" s="24">
        <v>0</v>
      </c>
    </row>
    <row r="937" spans="2:6" x14ac:dyDescent="0.2">
      <c r="B937" s="5">
        <v>45934</v>
      </c>
      <c r="C937" t="s">
        <v>86</v>
      </c>
      <c r="D937" s="11">
        <v>27</v>
      </c>
      <c r="E937" s="18">
        <v>0</v>
      </c>
      <c r="F937" s="24">
        <v>0</v>
      </c>
    </row>
    <row r="938" spans="2:6" x14ac:dyDescent="0.2">
      <c r="B938" s="5">
        <v>45934</v>
      </c>
      <c r="C938" t="s">
        <v>876</v>
      </c>
      <c r="D938" s="11">
        <v>8</v>
      </c>
      <c r="E938" s="18">
        <v>0</v>
      </c>
      <c r="F938" s="24">
        <v>0</v>
      </c>
    </row>
    <row r="939" spans="2:6" x14ac:dyDescent="0.2">
      <c r="B939" s="5">
        <v>45934</v>
      </c>
      <c r="C939" t="s">
        <v>877</v>
      </c>
      <c r="D939" s="11">
        <v>68</v>
      </c>
      <c r="E939" s="18">
        <v>1</v>
      </c>
      <c r="F939" s="24">
        <v>1.4705882352941176E-2</v>
      </c>
    </row>
    <row r="940" spans="2:6" x14ac:dyDescent="0.2">
      <c r="B940" s="5">
        <v>45934</v>
      </c>
      <c r="C940" t="s">
        <v>878</v>
      </c>
      <c r="D940" s="11">
        <v>561</v>
      </c>
      <c r="E940" s="18">
        <v>1</v>
      </c>
      <c r="F940" s="24">
        <v>1.7825311942959001E-3</v>
      </c>
    </row>
    <row r="941" spans="2:6" x14ac:dyDescent="0.2">
      <c r="B941" s="5">
        <v>45935</v>
      </c>
      <c r="C941" t="s">
        <v>875</v>
      </c>
      <c r="D941" s="11">
        <v>327</v>
      </c>
      <c r="E941" s="18">
        <v>0</v>
      </c>
      <c r="F941" s="24">
        <v>0</v>
      </c>
    </row>
    <row r="942" spans="2:6" x14ac:dyDescent="0.2">
      <c r="B942" s="5">
        <v>45935</v>
      </c>
      <c r="C942" t="s">
        <v>84</v>
      </c>
      <c r="D942" s="11">
        <v>110</v>
      </c>
      <c r="E942" s="18">
        <v>2</v>
      </c>
      <c r="F942" s="24">
        <v>1.8181818181818181E-2</v>
      </c>
    </row>
    <row r="943" spans="2:6" x14ac:dyDescent="0.2">
      <c r="B943" s="5">
        <v>45935</v>
      </c>
      <c r="C943" t="s">
        <v>86</v>
      </c>
      <c r="D943" s="11">
        <v>22</v>
      </c>
      <c r="E943" s="18">
        <v>0</v>
      </c>
      <c r="F943" s="24">
        <v>0</v>
      </c>
    </row>
    <row r="944" spans="2:6" x14ac:dyDescent="0.2">
      <c r="B944" s="5">
        <v>45935</v>
      </c>
      <c r="C944" t="s">
        <v>876</v>
      </c>
      <c r="D944" s="11">
        <v>3</v>
      </c>
      <c r="E944" s="18">
        <v>0</v>
      </c>
      <c r="F944" s="24">
        <v>0</v>
      </c>
    </row>
    <row r="945" spans="2:6" x14ac:dyDescent="0.2">
      <c r="B945" s="5">
        <v>45935</v>
      </c>
      <c r="C945" t="s">
        <v>877</v>
      </c>
      <c r="D945" s="11">
        <v>114</v>
      </c>
      <c r="E945" s="18">
        <v>3</v>
      </c>
      <c r="F945" s="24">
        <v>2.6315789473684209E-2</v>
      </c>
    </row>
    <row r="946" spans="2:6" x14ac:dyDescent="0.2">
      <c r="B946" s="5">
        <v>45935</v>
      </c>
      <c r="C946" t="s">
        <v>878</v>
      </c>
      <c r="D946" s="11">
        <v>576</v>
      </c>
      <c r="E946" s="18">
        <v>5</v>
      </c>
      <c r="F946" s="24">
        <v>8.6805555555555559E-3</v>
      </c>
    </row>
    <row r="947" spans="2:6" x14ac:dyDescent="0.2">
      <c r="B947" s="5">
        <v>45936</v>
      </c>
      <c r="C947" t="s">
        <v>875</v>
      </c>
      <c r="D947" s="11">
        <v>332</v>
      </c>
      <c r="E947" s="18">
        <v>0</v>
      </c>
      <c r="F947" s="24">
        <v>0</v>
      </c>
    </row>
    <row r="948" spans="2:6" x14ac:dyDescent="0.2">
      <c r="B948" s="5">
        <v>45936</v>
      </c>
      <c r="C948" t="s">
        <v>84</v>
      </c>
      <c r="D948" s="11">
        <v>121</v>
      </c>
      <c r="E948" s="18">
        <v>2</v>
      </c>
      <c r="F948" s="24">
        <v>1.6528925619834711E-2</v>
      </c>
    </row>
    <row r="949" spans="2:6" x14ac:dyDescent="0.2">
      <c r="B949" s="5">
        <v>45936</v>
      </c>
      <c r="C949" t="s">
        <v>86</v>
      </c>
      <c r="D949" s="11">
        <v>36</v>
      </c>
      <c r="E949" s="18">
        <v>0</v>
      </c>
      <c r="F949" s="24">
        <v>0</v>
      </c>
    </row>
    <row r="950" spans="2:6" x14ac:dyDescent="0.2">
      <c r="B950" s="5">
        <v>45936</v>
      </c>
      <c r="C950" t="s">
        <v>876</v>
      </c>
      <c r="D950" s="11">
        <v>8</v>
      </c>
      <c r="E950" s="18">
        <v>0</v>
      </c>
      <c r="F950" s="24">
        <v>0</v>
      </c>
    </row>
    <row r="951" spans="2:6" x14ac:dyDescent="0.2">
      <c r="B951" s="5">
        <v>45936</v>
      </c>
      <c r="C951" t="s">
        <v>877</v>
      </c>
      <c r="D951" s="11">
        <v>86</v>
      </c>
      <c r="E951" s="18">
        <v>3</v>
      </c>
      <c r="F951" s="24">
        <v>3.4883720930232558E-2</v>
      </c>
    </row>
    <row r="952" spans="2:6" x14ac:dyDescent="0.2">
      <c r="B952" s="5">
        <v>45936</v>
      </c>
      <c r="C952" t="s">
        <v>878</v>
      </c>
      <c r="D952" s="11">
        <v>583</v>
      </c>
      <c r="E952" s="18">
        <v>5</v>
      </c>
      <c r="F952" s="24">
        <v>8.5763293310463125E-3</v>
      </c>
    </row>
    <row r="953" spans="2:6" x14ac:dyDescent="0.2">
      <c r="B953" s="5">
        <v>45937</v>
      </c>
      <c r="C953" t="s">
        <v>875</v>
      </c>
      <c r="D953" s="11">
        <v>374</v>
      </c>
      <c r="E953" s="18">
        <v>0</v>
      </c>
      <c r="F953" s="24">
        <v>0</v>
      </c>
    </row>
    <row r="954" spans="2:6" x14ac:dyDescent="0.2">
      <c r="B954" s="5">
        <v>45937</v>
      </c>
      <c r="C954" t="s">
        <v>84</v>
      </c>
      <c r="D954" s="11">
        <v>89</v>
      </c>
      <c r="E954" s="18">
        <v>1</v>
      </c>
      <c r="F954" s="24">
        <v>1.1235955056179775E-2</v>
      </c>
    </row>
    <row r="955" spans="2:6" x14ac:dyDescent="0.2">
      <c r="B955" s="5">
        <v>45937</v>
      </c>
      <c r="C955" t="s">
        <v>86</v>
      </c>
      <c r="D955" s="11">
        <v>38</v>
      </c>
      <c r="E955" s="18">
        <v>1</v>
      </c>
      <c r="F955" s="24">
        <v>2.6315789473684209E-2</v>
      </c>
    </row>
    <row r="956" spans="2:6" x14ac:dyDescent="0.2">
      <c r="B956" s="5">
        <v>45937</v>
      </c>
      <c r="C956" t="s">
        <v>876</v>
      </c>
      <c r="D956" s="11">
        <v>10</v>
      </c>
      <c r="E956" s="18">
        <v>0</v>
      </c>
      <c r="F956" s="24">
        <v>0</v>
      </c>
    </row>
    <row r="957" spans="2:6" x14ac:dyDescent="0.2">
      <c r="B957" s="5">
        <v>45937</v>
      </c>
      <c r="C957" t="s">
        <v>877</v>
      </c>
      <c r="D957" s="11">
        <v>76</v>
      </c>
      <c r="E957" s="18">
        <v>1</v>
      </c>
      <c r="F957" s="24">
        <v>1.3157894736842105E-2</v>
      </c>
    </row>
    <row r="958" spans="2:6" x14ac:dyDescent="0.2">
      <c r="B958" s="5">
        <v>45937</v>
      </c>
      <c r="C958" t="s">
        <v>878</v>
      </c>
      <c r="D958" s="11">
        <v>587</v>
      </c>
      <c r="E958" s="18">
        <v>3</v>
      </c>
      <c r="F958" s="24">
        <v>5.1107325383304937E-3</v>
      </c>
    </row>
    <row r="959" spans="2:6" x14ac:dyDescent="0.2">
      <c r="B959" s="5">
        <v>45938</v>
      </c>
      <c r="C959" t="s">
        <v>875</v>
      </c>
      <c r="D959" s="11">
        <v>317</v>
      </c>
      <c r="E959" s="18">
        <v>0</v>
      </c>
      <c r="F959" s="24">
        <v>0</v>
      </c>
    </row>
    <row r="960" spans="2:6" x14ac:dyDescent="0.2">
      <c r="B960" s="5">
        <v>45938</v>
      </c>
      <c r="C960" t="s">
        <v>84</v>
      </c>
      <c r="D960" s="11">
        <v>63</v>
      </c>
      <c r="E960" s="18">
        <v>0</v>
      </c>
      <c r="F960" s="24">
        <v>0</v>
      </c>
    </row>
    <row r="961" spans="2:6" x14ac:dyDescent="0.2">
      <c r="B961" s="5">
        <v>45938</v>
      </c>
      <c r="C961" t="s">
        <v>86</v>
      </c>
      <c r="D961" s="11">
        <v>33</v>
      </c>
      <c r="E961" s="18">
        <v>2</v>
      </c>
      <c r="F961" s="24">
        <v>6.0606060606060608E-2</v>
      </c>
    </row>
    <row r="962" spans="2:6" x14ac:dyDescent="0.2">
      <c r="B962" s="5">
        <v>45938</v>
      </c>
      <c r="C962" t="s">
        <v>876</v>
      </c>
      <c r="D962" s="11">
        <v>6</v>
      </c>
      <c r="E962" s="18">
        <v>0</v>
      </c>
      <c r="F962" s="24">
        <v>0</v>
      </c>
    </row>
    <row r="963" spans="2:6" x14ac:dyDescent="0.2">
      <c r="B963" s="5">
        <v>45938</v>
      </c>
      <c r="C963" t="s">
        <v>877</v>
      </c>
      <c r="D963" s="11">
        <v>193</v>
      </c>
      <c r="E963" s="18">
        <v>4</v>
      </c>
      <c r="F963" s="24">
        <v>2.072538860103627E-2</v>
      </c>
    </row>
    <row r="964" spans="2:6" x14ac:dyDescent="0.2">
      <c r="B964" s="5">
        <v>45938</v>
      </c>
      <c r="C964" t="s">
        <v>878</v>
      </c>
      <c r="D964" s="11">
        <v>612</v>
      </c>
      <c r="E964" s="18">
        <v>6</v>
      </c>
      <c r="F964" s="24">
        <v>9.8039215686274508E-3</v>
      </c>
    </row>
    <row r="965" spans="2:6" x14ac:dyDescent="0.2">
      <c r="B965" s="5">
        <v>45939</v>
      </c>
      <c r="C965" t="s">
        <v>875</v>
      </c>
      <c r="D965" s="11">
        <v>386</v>
      </c>
      <c r="E965" s="18">
        <v>0</v>
      </c>
      <c r="F965" s="24">
        <v>0</v>
      </c>
    </row>
    <row r="966" spans="2:6" x14ac:dyDescent="0.2">
      <c r="B966" s="5">
        <v>45939</v>
      </c>
      <c r="C966" t="s">
        <v>84</v>
      </c>
      <c r="D966" s="11">
        <v>71</v>
      </c>
      <c r="E966" s="18">
        <v>1</v>
      </c>
      <c r="F966" s="24">
        <v>1.4084507042253521E-2</v>
      </c>
    </row>
    <row r="967" spans="2:6" x14ac:dyDescent="0.2">
      <c r="B967" s="5">
        <v>45939</v>
      </c>
      <c r="C967" t="s">
        <v>86</v>
      </c>
      <c r="D967" s="11">
        <v>39</v>
      </c>
      <c r="E967" s="18">
        <v>0</v>
      </c>
      <c r="F967" s="24">
        <v>0</v>
      </c>
    </row>
    <row r="968" spans="2:6" x14ac:dyDescent="0.2">
      <c r="B968" s="5">
        <v>45939</v>
      </c>
      <c r="C968" t="s">
        <v>876</v>
      </c>
      <c r="D968" s="11">
        <v>11</v>
      </c>
      <c r="E968" s="18">
        <v>0</v>
      </c>
      <c r="F968" s="24">
        <v>0</v>
      </c>
    </row>
    <row r="969" spans="2:6" x14ac:dyDescent="0.2">
      <c r="B969" s="5">
        <v>45939</v>
      </c>
      <c r="C969" t="s">
        <v>877</v>
      </c>
      <c r="D969" s="11">
        <v>146</v>
      </c>
      <c r="E969" s="18">
        <v>1</v>
      </c>
      <c r="F969" s="24">
        <v>6.8493150684931503E-3</v>
      </c>
    </row>
    <row r="970" spans="2:6" x14ac:dyDescent="0.2">
      <c r="B970" s="5">
        <v>45939</v>
      </c>
      <c r="C970" t="s">
        <v>878</v>
      </c>
      <c r="D970" s="11">
        <v>653</v>
      </c>
      <c r="E970" s="18">
        <v>2</v>
      </c>
      <c r="F970" s="24">
        <v>3.0627871362940277E-3</v>
      </c>
    </row>
    <row r="971" spans="2:6" x14ac:dyDescent="0.2">
      <c r="B971" s="5">
        <v>45940</v>
      </c>
      <c r="C971" t="s">
        <v>875</v>
      </c>
      <c r="D971" s="11">
        <v>426</v>
      </c>
      <c r="E971" s="18">
        <v>0</v>
      </c>
      <c r="F971" s="24">
        <v>0</v>
      </c>
    </row>
    <row r="972" spans="2:6" x14ac:dyDescent="0.2">
      <c r="B972" s="5">
        <v>45940</v>
      </c>
      <c r="C972" t="s">
        <v>84</v>
      </c>
      <c r="D972" s="11">
        <v>109</v>
      </c>
      <c r="E972" s="18">
        <v>0</v>
      </c>
      <c r="F972" s="24">
        <v>0</v>
      </c>
    </row>
    <row r="973" spans="2:6" x14ac:dyDescent="0.2">
      <c r="B973" s="5">
        <v>45940</v>
      </c>
      <c r="C973" t="s">
        <v>86</v>
      </c>
      <c r="D973" s="11">
        <v>30</v>
      </c>
      <c r="E973" s="18">
        <v>1</v>
      </c>
      <c r="F973" s="24">
        <v>3.3333333333333333E-2</v>
      </c>
    </row>
    <row r="974" spans="2:6" x14ac:dyDescent="0.2">
      <c r="B974" s="5">
        <v>45940</v>
      </c>
      <c r="C974" t="s">
        <v>876</v>
      </c>
      <c r="D974" s="11">
        <v>10</v>
      </c>
      <c r="E974" s="18">
        <v>0</v>
      </c>
      <c r="F974" s="24">
        <v>0</v>
      </c>
    </row>
    <row r="975" spans="2:6" x14ac:dyDescent="0.2">
      <c r="B975" s="5">
        <v>45940</v>
      </c>
      <c r="C975" t="s">
        <v>879</v>
      </c>
      <c r="D975" s="11">
        <v>1</v>
      </c>
      <c r="E975" s="18">
        <v>0</v>
      </c>
      <c r="F975" s="24">
        <v>0</v>
      </c>
    </row>
    <row r="976" spans="2:6" x14ac:dyDescent="0.2">
      <c r="B976" s="5">
        <v>45940</v>
      </c>
      <c r="C976" t="s">
        <v>877</v>
      </c>
      <c r="D976" s="11">
        <v>94</v>
      </c>
      <c r="E976" s="18">
        <v>2</v>
      </c>
      <c r="F976" s="24">
        <v>2.1276595744680851E-2</v>
      </c>
    </row>
    <row r="977" spans="2:6" x14ac:dyDescent="0.2">
      <c r="B977" s="5">
        <v>45940</v>
      </c>
      <c r="C977" t="s">
        <v>878</v>
      </c>
      <c r="D977" s="11">
        <v>670</v>
      </c>
      <c r="E977" s="18">
        <v>3</v>
      </c>
      <c r="F977" s="24">
        <v>4.4776119402985077E-3</v>
      </c>
    </row>
    <row r="978" spans="2:6" x14ac:dyDescent="0.2">
      <c r="B978" s="5">
        <v>45941</v>
      </c>
      <c r="C978" t="s">
        <v>875</v>
      </c>
      <c r="D978" s="11">
        <v>294</v>
      </c>
      <c r="E978" s="18">
        <v>0</v>
      </c>
      <c r="F978" s="24">
        <v>0</v>
      </c>
    </row>
    <row r="979" spans="2:6" x14ac:dyDescent="0.2">
      <c r="B979" s="5">
        <v>45941</v>
      </c>
      <c r="C979" t="s">
        <v>84</v>
      </c>
      <c r="D979" s="11">
        <v>65</v>
      </c>
      <c r="E979" s="18">
        <v>0</v>
      </c>
      <c r="F979" s="24">
        <v>0</v>
      </c>
    </row>
    <row r="980" spans="2:6" x14ac:dyDescent="0.2">
      <c r="B980" s="5">
        <v>45941</v>
      </c>
      <c r="C980" t="s">
        <v>86</v>
      </c>
      <c r="D980" s="11">
        <v>25</v>
      </c>
      <c r="E980" s="18">
        <v>0</v>
      </c>
      <c r="F980" s="24">
        <v>0</v>
      </c>
    </row>
    <row r="981" spans="2:6" x14ac:dyDescent="0.2">
      <c r="B981" s="5">
        <v>45941</v>
      </c>
      <c r="C981" t="s">
        <v>876</v>
      </c>
      <c r="D981" s="11">
        <v>6</v>
      </c>
      <c r="E981" s="18">
        <v>0</v>
      </c>
      <c r="F981" s="24">
        <v>0</v>
      </c>
    </row>
    <row r="982" spans="2:6" x14ac:dyDescent="0.2">
      <c r="B982" s="5">
        <v>45941</v>
      </c>
      <c r="C982" t="s">
        <v>877</v>
      </c>
      <c r="D982" s="11">
        <v>81</v>
      </c>
      <c r="E982" s="18">
        <v>0</v>
      </c>
      <c r="F982" s="24">
        <v>0</v>
      </c>
    </row>
    <row r="983" spans="2:6" x14ac:dyDescent="0.2">
      <c r="B983" s="5">
        <v>45941</v>
      </c>
      <c r="C983" t="s">
        <v>878</v>
      </c>
      <c r="D983" s="11">
        <v>471</v>
      </c>
      <c r="E983" s="18">
        <v>0</v>
      </c>
      <c r="F983" s="24">
        <v>0</v>
      </c>
    </row>
    <row r="984" spans="2:6" x14ac:dyDescent="0.2">
      <c r="B984" s="5">
        <v>45942</v>
      </c>
      <c r="C984" t="s">
        <v>875</v>
      </c>
      <c r="D984" s="11">
        <v>415</v>
      </c>
      <c r="E984" s="18">
        <v>0</v>
      </c>
      <c r="F984" s="24">
        <v>0</v>
      </c>
    </row>
    <row r="985" spans="2:6" x14ac:dyDescent="0.2">
      <c r="B985" s="5">
        <v>45942</v>
      </c>
      <c r="C985" t="s">
        <v>84</v>
      </c>
      <c r="D985" s="11">
        <v>85</v>
      </c>
      <c r="E985" s="18">
        <v>3</v>
      </c>
      <c r="F985" s="24">
        <v>3.5294117647058823E-2</v>
      </c>
    </row>
    <row r="986" spans="2:6" x14ac:dyDescent="0.2">
      <c r="B986" s="5">
        <v>45942</v>
      </c>
      <c r="C986" t="s">
        <v>86</v>
      </c>
      <c r="D986" s="11">
        <v>17</v>
      </c>
      <c r="E986" s="18">
        <v>1</v>
      </c>
      <c r="F986" s="24">
        <v>5.8823529411764705E-2</v>
      </c>
    </row>
    <row r="987" spans="2:6" x14ac:dyDescent="0.2">
      <c r="B987" s="5">
        <v>45942</v>
      </c>
      <c r="C987" t="s">
        <v>876</v>
      </c>
      <c r="D987" s="11">
        <v>8</v>
      </c>
      <c r="E987" s="18">
        <v>0</v>
      </c>
      <c r="F987" s="24">
        <v>0</v>
      </c>
    </row>
    <row r="988" spans="2:6" x14ac:dyDescent="0.2">
      <c r="B988" s="5">
        <v>45942</v>
      </c>
      <c r="C988" t="s">
        <v>877</v>
      </c>
      <c r="D988" s="11">
        <v>83</v>
      </c>
      <c r="E988" s="18">
        <v>3</v>
      </c>
      <c r="F988" s="24">
        <v>3.614457831325301E-2</v>
      </c>
    </row>
    <row r="989" spans="2:6" x14ac:dyDescent="0.2">
      <c r="B989" s="5">
        <v>45942</v>
      </c>
      <c r="C989" t="s">
        <v>878</v>
      </c>
      <c r="D989" s="11">
        <v>608</v>
      </c>
      <c r="E989" s="18">
        <v>7</v>
      </c>
      <c r="F989" s="24">
        <v>1.1513157894736841E-2</v>
      </c>
    </row>
    <row r="990" spans="2:6" x14ac:dyDescent="0.2">
      <c r="B990" s="5">
        <v>45943</v>
      </c>
      <c r="C990" t="s">
        <v>875</v>
      </c>
      <c r="D990" s="11">
        <v>344</v>
      </c>
      <c r="E990" s="18">
        <v>0</v>
      </c>
      <c r="F990" s="24">
        <v>0</v>
      </c>
    </row>
    <row r="991" spans="2:6" x14ac:dyDescent="0.2">
      <c r="B991" s="5">
        <v>45943</v>
      </c>
      <c r="C991" t="s">
        <v>84</v>
      </c>
      <c r="D991" s="11">
        <v>94</v>
      </c>
      <c r="E991" s="18">
        <v>0</v>
      </c>
      <c r="F991" s="24">
        <v>0</v>
      </c>
    </row>
    <row r="992" spans="2:6" x14ac:dyDescent="0.2">
      <c r="B992" s="5">
        <v>45943</v>
      </c>
      <c r="C992" t="s">
        <v>86</v>
      </c>
      <c r="D992" s="11">
        <v>23</v>
      </c>
      <c r="E992" s="18">
        <v>1</v>
      </c>
      <c r="F992" s="24">
        <v>4.3478260869565216E-2</v>
      </c>
    </row>
    <row r="993" spans="2:6" x14ac:dyDescent="0.2">
      <c r="B993" s="5">
        <v>45943</v>
      </c>
      <c r="C993" t="s">
        <v>876</v>
      </c>
      <c r="D993" s="11">
        <v>5</v>
      </c>
      <c r="E993" s="18">
        <v>0</v>
      </c>
      <c r="F993" s="24">
        <v>0</v>
      </c>
    </row>
    <row r="994" spans="2:6" x14ac:dyDescent="0.2">
      <c r="B994" s="5">
        <v>45943</v>
      </c>
      <c r="C994" t="s">
        <v>877</v>
      </c>
      <c r="D994" s="11">
        <v>50</v>
      </c>
      <c r="E994" s="18">
        <v>0</v>
      </c>
      <c r="F994" s="24">
        <v>0</v>
      </c>
    </row>
    <row r="995" spans="2:6" x14ac:dyDescent="0.2">
      <c r="B995" s="5">
        <v>45943</v>
      </c>
      <c r="C995" t="s">
        <v>878</v>
      </c>
      <c r="D995" s="11">
        <v>516</v>
      </c>
      <c r="E995" s="18">
        <v>1</v>
      </c>
      <c r="F995" s="24">
        <v>1.937984496124031E-3</v>
      </c>
    </row>
    <row r="996" spans="2:6" x14ac:dyDescent="0.2">
      <c r="B996" s="5">
        <v>45944</v>
      </c>
      <c r="C996" t="s">
        <v>875</v>
      </c>
      <c r="D996" s="11">
        <v>451</v>
      </c>
      <c r="E996" s="18">
        <v>0</v>
      </c>
      <c r="F996" s="24">
        <v>0</v>
      </c>
    </row>
    <row r="997" spans="2:6" x14ac:dyDescent="0.2">
      <c r="B997" s="5">
        <v>45944</v>
      </c>
      <c r="C997" t="s">
        <v>84</v>
      </c>
      <c r="D997" s="11">
        <v>58</v>
      </c>
      <c r="E997" s="18">
        <v>0</v>
      </c>
      <c r="F997" s="24">
        <v>0</v>
      </c>
    </row>
    <row r="998" spans="2:6" x14ac:dyDescent="0.2">
      <c r="B998" s="5">
        <v>45944</v>
      </c>
      <c r="C998" t="s">
        <v>86</v>
      </c>
      <c r="D998" s="11">
        <v>28</v>
      </c>
      <c r="E998" s="18">
        <v>0</v>
      </c>
      <c r="F998" s="24">
        <v>0</v>
      </c>
    </row>
    <row r="999" spans="2:6" x14ac:dyDescent="0.2">
      <c r="B999" s="5">
        <v>45944</v>
      </c>
      <c r="C999" t="s">
        <v>876</v>
      </c>
      <c r="D999" s="11">
        <v>5</v>
      </c>
      <c r="E999" s="18">
        <v>0</v>
      </c>
      <c r="F999" s="24">
        <v>0</v>
      </c>
    </row>
    <row r="1000" spans="2:6" x14ac:dyDescent="0.2">
      <c r="B1000" s="5">
        <v>45944</v>
      </c>
      <c r="C1000" t="s">
        <v>877</v>
      </c>
      <c r="D1000" s="11">
        <v>92</v>
      </c>
      <c r="E1000" s="18">
        <v>4</v>
      </c>
      <c r="F1000" s="24">
        <v>4.3478260869565216E-2</v>
      </c>
    </row>
    <row r="1001" spans="2:6" x14ac:dyDescent="0.2">
      <c r="B1001" s="5">
        <v>45944</v>
      </c>
      <c r="C1001" t="s">
        <v>878</v>
      </c>
      <c r="D1001" s="11">
        <v>634</v>
      </c>
      <c r="E1001" s="18">
        <v>4</v>
      </c>
      <c r="F1001" s="24">
        <v>6.3091482649842269E-3</v>
      </c>
    </row>
    <row r="1002" spans="2:6" x14ac:dyDescent="0.2">
      <c r="B1002" s="5">
        <v>45945</v>
      </c>
      <c r="C1002" t="s">
        <v>875</v>
      </c>
      <c r="D1002" s="11">
        <v>270</v>
      </c>
      <c r="E1002" s="18">
        <v>0</v>
      </c>
      <c r="F1002" s="24">
        <v>0</v>
      </c>
    </row>
    <row r="1003" spans="2:6" x14ac:dyDescent="0.2">
      <c r="B1003" s="5">
        <v>45945</v>
      </c>
      <c r="C1003" t="s">
        <v>84</v>
      </c>
      <c r="D1003" s="11">
        <v>64</v>
      </c>
      <c r="E1003" s="18">
        <v>1</v>
      </c>
      <c r="F1003" s="24">
        <v>1.5625E-2</v>
      </c>
    </row>
    <row r="1004" spans="2:6" x14ac:dyDescent="0.2">
      <c r="B1004" s="5">
        <v>45945</v>
      </c>
      <c r="C1004" t="s">
        <v>86</v>
      </c>
      <c r="D1004" s="11">
        <v>34</v>
      </c>
      <c r="E1004" s="18">
        <v>0</v>
      </c>
      <c r="F1004" s="24">
        <v>0</v>
      </c>
    </row>
    <row r="1005" spans="2:6" x14ac:dyDescent="0.2">
      <c r="B1005" s="5">
        <v>45945</v>
      </c>
      <c r="C1005" t="s">
        <v>876</v>
      </c>
      <c r="D1005" s="11">
        <v>4</v>
      </c>
      <c r="E1005" s="18">
        <v>0</v>
      </c>
      <c r="F1005" s="24">
        <v>0</v>
      </c>
    </row>
    <row r="1006" spans="2:6" x14ac:dyDescent="0.2">
      <c r="B1006" s="5">
        <v>45945</v>
      </c>
      <c r="C1006" t="s">
        <v>877</v>
      </c>
      <c r="D1006" s="11">
        <v>94</v>
      </c>
      <c r="E1006" s="18">
        <v>7</v>
      </c>
      <c r="F1006" s="24">
        <v>7.4468085106382975E-2</v>
      </c>
    </row>
    <row r="1007" spans="2:6" x14ac:dyDescent="0.2">
      <c r="B1007" s="5">
        <v>45945</v>
      </c>
      <c r="C1007" t="s">
        <v>878</v>
      </c>
      <c r="D1007" s="11">
        <v>466</v>
      </c>
      <c r="E1007" s="18">
        <v>8</v>
      </c>
      <c r="F1007" s="24">
        <v>1.7167381974248927E-2</v>
      </c>
    </row>
    <row r="1008" spans="2:6" x14ac:dyDescent="0.2">
      <c r="B1008" s="5">
        <v>45946</v>
      </c>
      <c r="C1008" t="s">
        <v>875</v>
      </c>
      <c r="D1008" s="11">
        <v>344</v>
      </c>
      <c r="E1008" s="18">
        <v>0</v>
      </c>
      <c r="F1008" s="24">
        <v>0</v>
      </c>
    </row>
    <row r="1009" spans="2:6" x14ac:dyDescent="0.2">
      <c r="B1009" s="5">
        <v>45946</v>
      </c>
      <c r="C1009" t="s">
        <v>84</v>
      </c>
      <c r="D1009" s="11">
        <v>50</v>
      </c>
      <c r="E1009" s="18">
        <v>1</v>
      </c>
      <c r="F1009" s="24">
        <v>0.02</v>
      </c>
    </row>
    <row r="1010" spans="2:6" x14ac:dyDescent="0.2">
      <c r="B1010" s="5">
        <v>45946</v>
      </c>
      <c r="C1010" t="s">
        <v>86</v>
      </c>
      <c r="D1010" s="11">
        <v>48</v>
      </c>
      <c r="E1010" s="18">
        <v>2</v>
      </c>
      <c r="F1010" s="24">
        <v>4.1666666666666664E-2</v>
      </c>
    </row>
    <row r="1011" spans="2:6" x14ac:dyDescent="0.2">
      <c r="B1011" s="5">
        <v>45946</v>
      </c>
      <c r="C1011" t="s">
        <v>876</v>
      </c>
      <c r="D1011" s="11">
        <v>6</v>
      </c>
      <c r="E1011" s="18">
        <v>0</v>
      </c>
      <c r="F1011" s="24">
        <v>0</v>
      </c>
    </row>
    <row r="1012" spans="2:6" x14ac:dyDescent="0.2">
      <c r="B1012" s="5">
        <v>45946</v>
      </c>
      <c r="C1012" t="s">
        <v>877</v>
      </c>
      <c r="D1012" s="11">
        <v>77</v>
      </c>
      <c r="E1012" s="18">
        <v>3</v>
      </c>
      <c r="F1012" s="24">
        <v>3.896103896103896E-2</v>
      </c>
    </row>
    <row r="1013" spans="2:6" x14ac:dyDescent="0.2">
      <c r="B1013" s="5">
        <v>45946</v>
      </c>
      <c r="C1013" t="s">
        <v>878</v>
      </c>
      <c r="D1013" s="11">
        <v>525</v>
      </c>
      <c r="E1013" s="18">
        <v>6</v>
      </c>
      <c r="F1013" s="24">
        <v>1.1428571428571429E-2</v>
      </c>
    </row>
    <row r="1014" spans="2:6" x14ac:dyDescent="0.2">
      <c r="B1014" s="5">
        <v>45947</v>
      </c>
      <c r="C1014" t="s">
        <v>875</v>
      </c>
      <c r="D1014" s="11">
        <v>289</v>
      </c>
      <c r="E1014" s="18">
        <v>0</v>
      </c>
      <c r="F1014" s="24">
        <v>0</v>
      </c>
    </row>
    <row r="1015" spans="2:6" x14ac:dyDescent="0.2">
      <c r="B1015" s="5">
        <v>45947</v>
      </c>
      <c r="C1015" t="s">
        <v>84</v>
      </c>
      <c r="D1015" s="11">
        <v>59</v>
      </c>
      <c r="E1015" s="18">
        <v>0</v>
      </c>
      <c r="F1015" s="24">
        <v>0</v>
      </c>
    </row>
    <row r="1016" spans="2:6" x14ac:dyDescent="0.2">
      <c r="B1016" s="5">
        <v>45947</v>
      </c>
      <c r="C1016" t="s">
        <v>86</v>
      </c>
      <c r="D1016" s="11">
        <v>43</v>
      </c>
      <c r="E1016" s="18">
        <v>3</v>
      </c>
      <c r="F1016" s="24">
        <v>6.9767441860465115E-2</v>
      </c>
    </row>
    <row r="1017" spans="2:6" x14ac:dyDescent="0.2">
      <c r="B1017" s="5">
        <v>45947</v>
      </c>
      <c r="C1017" t="s">
        <v>876</v>
      </c>
      <c r="D1017" s="11">
        <v>1</v>
      </c>
      <c r="E1017" s="18">
        <v>0</v>
      </c>
      <c r="F1017" s="24">
        <v>0</v>
      </c>
    </row>
    <row r="1018" spans="2:6" x14ac:dyDescent="0.2">
      <c r="B1018" s="5">
        <v>45947</v>
      </c>
      <c r="C1018" t="s">
        <v>877</v>
      </c>
      <c r="D1018" s="11">
        <v>73</v>
      </c>
      <c r="E1018" s="18">
        <v>3</v>
      </c>
      <c r="F1018" s="24">
        <v>4.1095890410958902E-2</v>
      </c>
    </row>
    <row r="1019" spans="2:6" x14ac:dyDescent="0.2">
      <c r="B1019" s="5">
        <v>45947</v>
      </c>
      <c r="C1019" t="s">
        <v>878</v>
      </c>
      <c r="D1019" s="11">
        <v>465</v>
      </c>
      <c r="E1019" s="18">
        <v>6</v>
      </c>
      <c r="F1019" s="24">
        <v>1.2903225806451613E-2</v>
      </c>
    </row>
    <row r="1020" spans="2:6" x14ac:dyDescent="0.2">
      <c r="B1020" s="5">
        <v>45948</v>
      </c>
      <c r="C1020" t="s">
        <v>875</v>
      </c>
      <c r="D1020" s="11">
        <v>386</v>
      </c>
      <c r="E1020" s="18">
        <v>0</v>
      </c>
      <c r="F1020" s="24">
        <v>0</v>
      </c>
    </row>
    <row r="1021" spans="2:6" x14ac:dyDescent="0.2">
      <c r="B1021" s="5">
        <v>45948</v>
      </c>
      <c r="C1021" t="s">
        <v>84</v>
      </c>
      <c r="D1021" s="11">
        <v>62</v>
      </c>
      <c r="E1021" s="18">
        <v>0</v>
      </c>
      <c r="F1021" s="24">
        <v>0</v>
      </c>
    </row>
    <row r="1022" spans="2:6" x14ac:dyDescent="0.2">
      <c r="B1022" s="5">
        <v>45948</v>
      </c>
      <c r="C1022" t="s">
        <v>86</v>
      </c>
      <c r="D1022" s="11">
        <v>28</v>
      </c>
      <c r="E1022" s="18">
        <v>0</v>
      </c>
      <c r="F1022" s="24">
        <v>0</v>
      </c>
    </row>
    <row r="1023" spans="2:6" x14ac:dyDescent="0.2">
      <c r="B1023" s="5">
        <v>45948</v>
      </c>
      <c r="C1023" t="s">
        <v>876</v>
      </c>
      <c r="D1023" s="11">
        <v>16</v>
      </c>
      <c r="E1023" s="18">
        <v>0</v>
      </c>
      <c r="F1023" s="24">
        <v>0</v>
      </c>
    </row>
    <row r="1024" spans="2:6" x14ac:dyDescent="0.2">
      <c r="B1024" s="5">
        <v>45948</v>
      </c>
      <c r="C1024" t="s">
        <v>877</v>
      </c>
      <c r="D1024" s="11">
        <v>60</v>
      </c>
      <c r="E1024" s="18">
        <v>1</v>
      </c>
      <c r="F1024" s="24">
        <v>1.6666666666666666E-2</v>
      </c>
    </row>
    <row r="1025" spans="2:6" x14ac:dyDescent="0.2">
      <c r="B1025" s="5">
        <v>45948</v>
      </c>
      <c r="C1025" t="s">
        <v>878</v>
      </c>
      <c r="D1025" s="11">
        <v>552</v>
      </c>
      <c r="E1025" s="18">
        <v>1</v>
      </c>
      <c r="F1025" s="24">
        <v>1.8115942028985507E-3</v>
      </c>
    </row>
    <row r="1026" spans="2:6" x14ac:dyDescent="0.2">
      <c r="B1026" s="5">
        <v>45949</v>
      </c>
      <c r="C1026" t="s">
        <v>875</v>
      </c>
      <c r="D1026" s="11">
        <v>249</v>
      </c>
      <c r="E1026" s="18">
        <v>0</v>
      </c>
      <c r="F1026" s="24">
        <v>0</v>
      </c>
    </row>
    <row r="1027" spans="2:6" x14ac:dyDescent="0.2">
      <c r="B1027" s="5">
        <v>45949</v>
      </c>
      <c r="C1027" t="s">
        <v>84</v>
      </c>
      <c r="D1027" s="11">
        <v>73</v>
      </c>
      <c r="E1027" s="18">
        <v>0</v>
      </c>
      <c r="F1027" s="24">
        <v>0</v>
      </c>
    </row>
    <row r="1028" spans="2:6" x14ac:dyDescent="0.2">
      <c r="B1028" s="5">
        <v>45949</v>
      </c>
      <c r="C1028" t="s">
        <v>86</v>
      </c>
      <c r="D1028" s="11">
        <v>27</v>
      </c>
      <c r="E1028" s="18">
        <v>2</v>
      </c>
      <c r="F1028" s="24">
        <v>7.407407407407407E-2</v>
      </c>
    </row>
    <row r="1029" spans="2:6" x14ac:dyDescent="0.2">
      <c r="B1029" s="5">
        <v>45949</v>
      </c>
      <c r="C1029" t="s">
        <v>876</v>
      </c>
      <c r="D1029" s="11">
        <v>4</v>
      </c>
      <c r="E1029" s="18">
        <v>0</v>
      </c>
      <c r="F1029" s="24">
        <v>0</v>
      </c>
    </row>
    <row r="1030" spans="2:6" x14ac:dyDescent="0.2">
      <c r="B1030" s="5">
        <v>45949</v>
      </c>
      <c r="C1030" t="s">
        <v>879</v>
      </c>
      <c r="D1030" s="11">
        <v>1</v>
      </c>
      <c r="E1030" s="18">
        <v>0</v>
      </c>
      <c r="F1030" s="24">
        <v>0</v>
      </c>
    </row>
    <row r="1031" spans="2:6" x14ac:dyDescent="0.2">
      <c r="B1031" s="5">
        <v>45949</v>
      </c>
      <c r="C1031" t="s">
        <v>877</v>
      </c>
      <c r="D1031" s="11">
        <v>59</v>
      </c>
      <c r="E1031" s="18">
        <v>1</v>
      </c>
      <c r="F1031" s="24">
        <v>1.6949152542372881E-2</v>
      </c>
    </row>
    <row r="1032" spans="2:6" x14ac:dyDescent="0.2">
      <c r="B1032" s="5">
        <v>45949</v>
      </c>
      <c r="C1032" t="s">
        <v>878</v>
      </c>
      <c r="D1032" s="11">
        <v>413</v>
      </c>
      <c r="E1032" s="18">
        <v>3</v>
      </c>
      <c r="F1032" s="24">
        <v>7.2639225181598066E-3</v>
      </c>
    </row>
    <row r="1033" spans="2:6" x14ac:dyDescent="0.2">
      <c r="B1033" s="5">
        <v>45950</v>
      </c>
      <c r="C1033" t="s">
        <v>875</v>
      </c>
      <c r="D1033" s="11">
        <v>370</v>
      </c>
      <c r="E1033" s="18">
        <v>0</v>
      </c>
      <c r="F1033" s="24">
        <v>0</v>
      </c>
    </row>
    <row r="1034" spans="2:6" x14ac:dyDescent="0.2">
      <c r="B1034" s="5">
        <v>45950</v>
      </c>
      <c r="C1034" t="s">
        <v>84</v>
      </c>
      <c r="D1034" s="11">
        <v>75</v>
      </c>
      <c r="E1034" s="18">
        <v>0</v>
      </c>
      <c r="F1034" s="24">
        <v>0</v>
      </c>
    </row>
    <row r="1035" spans="2:6" x14ac:dyDescent="0.2">
      <c r="B1035" s="5">
        <v>45950</v>
      </c>
      <c r="C1035" t="s">
        <v>86</v>
      </c>
      <c r="D1035" s="11">
        <v>42</v>
      </c>
      <c r="E1035" s="18">
        <v>1</v>
      </c>
      <c r="F1035" s="24">
        <v>2.3809523809523808E-2</v>
      </c>
    </row>
    <row r="1036" spans="2:6" x14ac:dyDescent="0.2">
      <c r="B1036" s="5">
        <v>45950</v>
      </c>
      <c r="C1036" t="s">
        <v>876</v>
      </c>
      <c r="D1036" s="11">
        <v>3</v>
      </c>
      <c r="E1036" s="18">
        <v>0</v>
      </c>
      <c r="F1036" s="24">
        <v>0</v>
      </c>
    </row>
    <row r="1037" spans="2:6" x14ac:dyDescent="0.2">
      <c r="B1037" s="5">
        <v>45950</v>
      </c>
      <c r="C1037" t="s">
        <v>877</v>
      </c>
      <c r="D1037" s="11">
        <v>94</v>
      </c>
      <c r="E1037" s="18">
        <v>6</v>
      </c>
      <c r="F1037" s="24">
        <v>6.3829787234042548E-2</v>
      </c>
    </row>
    <row r="1038" spans="2:6" x14ac:dyDescent="0.2">
      <c r="B1038" s="5">
        <v>45950</v>
      </c>
      <c r="C1038" t="s">
        <v>878</v>
      </c>
      <c r="D1038" s="11">
        <v>584</v>
      </c>
      <c r="E1038" s="18">
        <v>7</v>
      </c>
      <c r="F1038" s="24">
        <v>1.1986301369863013E-2</v>
      </c>
    </row>
    <row r="1039" spans="2:6" x14ac:dyDescent="0.2">
      <c r="B1039" s="5">
        <v>45951</v>
      </c>
      <c r="C1039" t="s">
        <v>875</v>
      </c>
      <c r="D1039" s="11">
        <v>331</v>
      </c>
      <c r="E1039" s="18">
        <v>0</v>
      </c>
      <c r="F1039" s="24">
        <v>0</v>
      </c>
    </row>
    <row r="1040" spans="2:6" x14ac:dyDescent="0.2">
      <c r="B1040" s="5">
        <v>45951</v>
      </c>
      <c r="C1040" t="s">
        <v>84</v>
      </c>
      <c r="D1040" s="11">
        <v>83</v>
      </c>
      <c r="E1040" s="18">
        <v>1</v>
      </c>
      <c r="F1040" s="24">
        <v>1.2048192771084338E-2</v>
      </c>
    </row>
    <row r="1041" spans="2:6" x14ac:dyDescent="0.2">
      <c r="B1041" s="5">
        <v>45951</v>
      </c>
      <c r="C1041" t="s">
        <v>86</v>
      </c>
      <c r="D1041" s="11">
        <v>37</v>
      </c>
      <c r="E1041" s="18">
        <v>1</v>
      </c>
      <c r="F1041" s="24">
        <v>2.7027027027027029E-2</v>
      </c>
    </row>
    <row r="1042" spans="2:6" x14ac:dyDescent="0.2">
      <c r="B1042" s="5">
        <v>45951</v>
      </c>
      <c r="C1042" t="s">
        <v>876</v>
      </c>
      <c r="D1042" s="11">
        <v>9</v>
      </c>
      <c r="E1042" s="18">
        <v>0</v>
      </c>
      <c r="F1042" s="24">
        <v>0</v>
      </c>
    </row>
    <row r="1043" spans="2:6" x14ac:dyDescent="0.2">
      <c r="B1043" s="5">
        <v>45951</v>
      </c>
      <c r="C1043" t="s">
        <v>877</v>
      </c>
      <c r="D1043" s="11">
        <v>188</v>
      </c>
      <c r="E1043" s="18">
        <v>7</v>
      </c>
      <c r="F1043" s="24">
        <v>3.7234042553191488E-2</v>
      </c>
    </row>
    <row r="1044" spans="2:6" x14ac:dyDescent="0.2">
      <c r="B1044" s="5">
        <v>45951</v>
      </c>
      <c r="C1044" t="s">
        <v>878</v>
      </c>
      <c r="D1044" s="11">
        <v>648</v>
      </c>
      <c r="E1044" s="18">
        <v>9</v>
      </c>
      <c r="F1044" s="24">
        <v>1.3888888888888888E-2</v>
      </c>
    </row>
    <row r="1045" spans="2:6" x14ac:dyDescent="0.2">
      <c r="B1045" s="5">
        <v>45952</v>
      </c>
      <c r="C1045" t="s">
        <v>875</v>
      </c>
      <c r="D1045" s="11">
        <v>427</v>
      </c>
      <c r="E1045" s="18">
        <v>0</v>
      </c>
      <c r="F1045" s="24">
        <v>0</v>
      </c>
    </row>
    <row r="1046" spans="2:6" x14ac:dyDescent="0.2">
      <c r="B1046" s="5">
        <v>45952</v>
      </c>
      <c r="C1046" t="s">
        <v>84</v>
      </c>
      <c r="D1046" s="11">
        <v>181</v>
      </c>
      <c r="E1046" s="18">
        <v>2</v>
      </c>
      <c r="F1046" s="24">
        <v>1.1049723756906077E-2</v>
      </c>
    </row>
    <row r="1047" spans="2:6" x14ac:dyDescent="0.2">
      <c r="B1047" s="5">
        <v>45952</v>
      </c>
      <c r="C1047" t="s">
        <v>86</v>
      </c>
      <c r="D1047" s="11">
        <v>49</v>
      </c>
      <c r="E1047" s="18">
        <v>2</v>
      </c>
      <c r="F1047" s="24">
        <v>4.0816326530612242E-2</v>
      </c>
    </row>
    <row r="1048" spans="2:6" x14ac:dyDescent="0.2">
      <c r="B1048" s="5">
        <v>45952</v>
      </c>
      <c r="C1048" t="s">
        <v>876</v>
      </c>
      <c r="D1048" s="11">
        <v>5</v>
      </c>
      <c r="E1048" s="18">
        <v>0</v>
      </c>
      <c r="F1048" s="24">
        <v>0</v>
      </c>
    </row>
    <row r="1049" spans="2:6" x14ac:dyDescent="0.2">
      <c r="B1049" s="5">
        <v>45952</v>
      </c>
      <c r="C1049" t="s">
        <v>877</v>
      </c>
      <c r="D1049" s="11">
        <v>101</v>
      </c>
      <c r="E1049" s="18">
        <v>2</v>
      </c>
      <c r="F1049" s="24">
        <v>1.9801980198019802E-2</v>
      </c>
    </row>
    <row r="1050" spans="2:6" x14ac:dyDescent="0.2">
      <c r="B1050" s="5">
        <v>45952</v>
      </c>
      <c r="C1050" t="s">
        <v>878</v>
      </c>
      <c r="D1050" s="11">
        <v>763</v>
      </c>
      <c r="E1050" s="18">
        <v>6</v>
      </c>
      <c r="F1050" s="24">
        <v>7.8636959370904317E-3</v>
      </c>
    </row>
    <row r="1051" spans="2:6" x14ac:dyDescent="0.2">
      <c r="B1051" s="5">
        <v>45953</v>
      </c>
      <c r="C1051" t="s">
        <v>875</v>
      </c>
      <c r="D1051" s="11">
        <v>441</v>
      </c>
      <c r="E1051" s="18">
        <v>0</v>
      </c>
      <c r="F1051" s="24">
        <v>0</v>
      </c>
    </row>
    <row r="1052" spans="2:6" x14ac:dyDescent="0.2">
      <c r="B1052" s="5">
        <v>45953</v>
      </c>
      <c r="C1052" t="s">
        <v>84</v>
      </c>
      <c r="D1052" s="11">
        <v>66</v>
      </c>
      <c r="E1052" s="18">
        <v>3</v>
      </c>
      <c r="F1052" s="24">
        <v>4.5454545454545456E-2</v>
      </c>
    </row>
    <row r="1053" spans="2:6" x14ac:dyDescent="0.2">
      <c r="B1053" s="5">
        <v>45953</v>
      </c>
      <c r="C1053" t="s">
        <v>86</v>
      </c>
      <c r="D1053" s="11">
        <v>46</v>
      </c>
      <c r="E1053" s="18">
        <v>0</v>
      </c>
      <c r="F1053" s="24">
        <v>0</v>
      </c>
    </row>
    <row r="1054" spans="2:6" x14ac:dyDescent="0.2">
      <c r="B1054" s="5">
        <v>45953</v>
      </c>
      <c r="C1054" t="s">
        <v>876</v>
      </c>
      <c r="D1054" s="11">
        <v>12</v>
      </c>
      <c r="E1054" s="18">
        <v>0</v>
      </c>
      <c r="F1054" s="24">
        <v>0</v>
      </c>
    </row>
    <row r="1055" spans="2:6" x14ac:dyDescent="0.2">
      <c r="B1055" s="5">
        <v>45953</v>
      </c>
      <c r="C1055" t="s">
        <v>877</v>
      </c>
      <c r="D1055" s="11">
        <v>125</v>
      </c>
      <c r="E1055" s="18">
        <v>2</v>
      </c>
      <c r="F1055" s="24">
        <v>1.6E-2</v>
      </c>
    </row>
    <row r="1056" spans="2:6" x14ac:dyDescent="0.2">
      <c r="B1056" s="5">
        <v>45953</v>
      </c>
      <c r="C1056" t="s">
        <v>878</v>
      </c>
      <c r="D1056" s="11">
        <v>690</v>
      </c>
      <c r="E1056" s="18">
        <v>5</v>
      </c>
      <c r="F1056" s="24">
        <v>7.246376811594203E-3</v>
      </c>
    </row>
    <row r="1057" spans="2:6" x14ac:dyDescent="0.2">
      <c r="B1057" s="5">
        <v>45954</v>
      </c>
      <c r="C1057" t="s">
        <v>875</v>
      </c>
      <c r="D1057" s="11">
        <v>317</v>
      </c>
      <c r="E1057" s="18">
        <v>0</v>
      </c>
      <c r="F1057" s="24">
        <v>0</v>
      </c>
    </row>
    <row r="1058" spans="2:6" x14ac:dyDescent="0.2">
      <c r="B1058" s="5">
        <v>45954</v>
      </c>
      <c r="C1058" t="s">
        <v>84</v>
      </c>
      <c r="D1058" s="11">
        <v>70</v>
      </c>
      <c r="E1058" s="18">
        <v>0</v>
      </c>
      <c r="F1058" s="24">
        <v>0</v>
      </c>
    </row>
    <row r="1059" spans="2:6" x14ac:dyDescent="0.2">
      <c r="B1059" s="5">
        <v>45954</v>
      </c>
      <c r="C1059" t="s">
        <v>86</v>
      </c>
      <c r="D1059" s="11">
        <v>23</v>
      </c>
      <c r="E1059" s="18">
        <v>0</v>
      </c>
      <c r="F1059" s="24">
        <v>0</v>
      </c>
    </row>
    <row r="1060" spans="2:6" x14ac:dyDescent="0.2">
      <c r="B1060" s="5">
        <v>45954</v>
      </c>
      <c r="C1060" t="s">
        <v>876</v>
      </c>
      <c r="D1060" s="11">
        <v>6</v>
      </c>
      <c r="E1060" s="18">
        <v>0</v>
      </c>
      <c r="F1060" s="24">
        <v>0</v>
      </c>
    </row>
    <row r="1061" spans="2:6" x14ac:dyDescent="0.2">
      <c r="B1061" s="5">
        <v>45954</v>
      </c>
      <c r="C1061" t="s">
        <v>877</v>
      </c>
      <c r="D1061" s="11">
        <v>103</v>
      </c>
      <c r="E1061" s="18">
        <v>2</v>
      </c>
      <c r="F1061" s="24">
        <v>1.9417475728155338E-2</v>
      </c>
    </row>
    <row r="1062" spans="2:6" x14ac:dyDescent="0.2">
      <c r="B1062" s="5">
        <v>45954</v>
      </c>
      <c r="C1062" t="s">
        <v>878</v>
      </c>
      <c r="D1062" s="11">
        <v>519</v>
      </c>
      <c r="E1062" s="18">
        <v>2</v>
      </c>
      <c r="F1062" s="24">
        <v>3.8535645472061657E-3</v>
      </c>
    </row>
    <row r="1063" spans="2:6" x14ac:dyDescent="0.2">
      <c r="B1063" s="5">
        <v>45955</v>
      </c>
      <c r="C1063" t="s">
        <v>875</v>
      </c>
      <c r="D1063" s="11">
        <v>335</v>
      </c>
      <c r="E1063" s="18">
        <v>0</v>
      </c>
      <c r="F1063" s="24">
        <v>0</v>
      </c>
    </row>
    <row r="1064" spans="2:6" x14ac:dyDescent="0.2">
      <c r="B1064" s="5">
        <v>45955</v>
      </c>
      <c r="C1064" t="s">
        <v>84</v>
      </c>
      <c r="D1064" s="11">
        <v>68</v>
      </c>
      <c r="E1064" s="18">
        <v>1</v>
      </c>
      <c r="F1064" s="24">
        <v>1.4705882352941176E-2</v>
      </c>
    </row>
    <row r="1065" spans="2:6" x14ac:dyDescent="0.2">
      <c r="B1065" s="5">
        <v>45955</v>
      </c>
      <c r="C1065" t="s">
        <v>86</v>
      </c>
      <c r="D1065" s="11">
        <v>35</v>
      </c>
      <c r="E1065" s="18">
        <v>2</v>
      </c>
      <c r="F1065" s="24">
        <v>5.7142857142857141E-2</v>
      </c>
    </row>
    <row r="1066" spans="2:6" x14ac:dyDescent="0.2">
      <c r="B1066" s="5">
        <v>45955</v>
      </c>
      <c r="C1066" t="s">
        <v>876</v>
      </c>
      <c r="D1066" s="11">
        <v>9</v>
      </c>
      <c r="E1066" s="18">
        <v>0</v>
      </c>
      <c r="F1066" s="24">
        <v>0</v>
      </c>
    </row>
    <row r="1067" spans="2:6" x14ac:dyDescent="0.2">
      <c r="B1067" s="5">
        <v>45955</v>
      </c>
      <c r="C1067" t="s">
        <v>877</v>
      </c>
      <c r="D1067" s="11">
        <v>114</v>
      </c>
      <c r="E1067" s="18">
        <v>2</v>
      </c>
      <c r="F1067" s="24">
        <v>1.7543859649122806E-2</v>
      </c>
    </row>
    <row r="1068" spans="2:6" x14ac:dyDescent="0.2">
      <c r="B1068" s="5">
        <v>45955</v>
      </c>
      <c r="C1068" t="s">
        <v>878</v>
      </c>
      <c r="D1068" s="11">
        <v>561</v>
      </c>
      <c r="E1068" s="18">
        <v>5</v>
      </c>
      <c r="F1068" s="24">
        <v>8.9126559714795012E-3</v>
      </c>
    </row>
    <row r="1069" spans="2:6" x14ac:dyDescent="0.2">
      <c r="B1069" s="5">
        <v>45956</v>
      </c>
      <c r="C1069" t="s">
        <v>875</v>
      </c>
      <c r="D1069" s="11">
        <v>415</v>
      </c>
      <c r="E1069" s="18">
        <v>0</v>
      </c>
      <c r="F1069" s="24">
        <v>0</v>
      </c>
    </row>
    <row r="1070" spans="2:6" x14ac:dyDescent="0.2">
      <c r="B1070" s="5">
        <v>45956</v>
      </c>
      <c r="C1070" t="s">
        <v>84</v>
      </c>
      <c r="D1070" s="11">
        <v>117</v>
      </c>
      <c r="E1070" s="18">
        <v>1</v>
      </c>
      <c r="F1070" s="24">
        <v>8.5470085470085479E-3</v>
      </c>
    </row>
    <row r="1071" spans="2:6" x14ac:dyDescent="0.2">
      <c r="B1071" s="5">
        <v>45956</v>
      </c>
      <c r="C1071" t="s">
        <v>86</v>
      </c>
      <c r="D1071" s="11">
        <v>35</v>
      </c>
      <c r="E1071" s="18">
        <v>3</v>
      </c>
      <c r="F1071" s="24">
        <v>8.5714285714285715E-2</v>
      </c>
    </row>
    <row r="1072" spans="2:6" x14ac:dyDescent="0.2">
      <c r="B1072" s="5">
        <v>45956</v>
      </c>
      <c r="C1072" t="s">
        <v>876</v>
      </c>
      <c r="D1072" s="11">
        <v>24</v>
      </c>
      <c r="E1072" s="18">
        <v>0</v>
      </c>
      <c r="F1072" s="24">
        <v>0</v>
      </c>
    </row>
    <row r="1073" spans="2:6" x14ac:dyDescent="0.2">
      <c r="B1073" s="5">
        <v>45956</v>
      </c>
      <c r="C1073" t="s">
        <v>877</v>
      </c>
      <c r="D1073" s="11">
        <v>83</v>
      </c>
      <c r="E1073" s="18">
        <v>0</v>
      </c>
      <c r="F1073" s="24">
        <v>0</v>
      </c>
    </row>
    <row r="1074" spans="2:6" x14ac:dyDescent="0.2">
      <c r="B1074" s="5">
        <v>45956</v>
      </c>
      <c r="C1074" t="s">
        <v>878</v>
      </c>
      <c r="D1074" s="11">
        <v>674</v>
      </c>
      <c r="E1074" s="18">
        <v>4</v>
      </c>
      <c r="F1074" s="24">
        <v>5.9347181008902079E-3</v>
      </c>
    </row>
    <row r="1075" spans="2:6" x14ac:dyDescent="0.2">
      <c r="B1075" s="5">
        <v>45957</v>
      </c>
      <c r="C1075" t="s">
        <v>875</v>
      </c>
      <c r="D1075" s="11">
        <v>389</v>
      </c>
      <c r="E1075" s="18">
        <v>0</v>
      </c>
      <c r="F1075" s="24">
        <v>0</v>
      </c>
    </row>
    <row r="1076" spans="2:6" x14ac:dyDescent="0.2">
      <c r="B1076" s="5">
        <v>45957</v>
      </c>
      <c r="C1076" t="s">
        <v>84</v>
      </c>
      <c r="D1076" s="11">
        <v>79</v>
      </c>
      <c r="E1076" s="18">
        <v>2</v>
      </c>
      <c r="F1076" s="24">
        <v>2.5316455696202531E-2</v>
      </c>
    </row>
    <row r="1077" spans="2:6" x14ac:dyDescent="0.2">
      <c r="B1077" s="5">
        <v>45957</v>
      </c>
      <c r="C1077" t="s">
        <v>86</v>
      </c>
      <c r="D1077" s="11">
        <v>44</v>
      </c>
      <c r="E1077" s="18">
        <v>0</v>
      </c>
      <c r="F1077" s="24">
        <v>0</v>
      </c>
    </row>
    <row r="1078" spans="2:6" x14ac:dyDescent="0.2">
      <c r="B1078" s="5">
        <v>45957</v>
      </c>
      <c r="C1078" t="s">
        <v>876</v>
      </c>
      <c r="D1078" s="11">
        <v>46</v>
      </c>
      <c r="E1078" s="18">
        <v>0</v>
      </c>
      <c r="F1078" s="24">
        <v>0</v>
      </c>
    </row>
    <row r="1079" spans="2:6" x14ac:dyDescent="0.2">
      <c r="B1079" s="5">
        <v>45957</v>
      </c>
      <c r="C1079" t="s">
        <v>877</v>
      </c>
      <c r="D1079" s="11">
        <v>111</v>
      </c>
      <c r="E1079" s="18">
        <v>5</v>
      </c>
      <c r="F1079" s="24">
        <v>4.5045045045045043E-2</v>
      </c>
    </row>
    <row r="1080" spans="2:6" x14ac:dyDescent="0.2">
      <c r="B1080" s="5">
        <v>45957</v>
      </c>
      <c r="C1080" t="s">
        <v>878</v>
      </c>
      <c r="D1080" s="11">
        <v>669</v>
      </c>
      <c r="E1080" s="18">
        <v>7</v>
      </c>
      <c r="F1080" s="24">
        <v>1.0463378176382661E-2</v>
      </c>
    </row>
    <row r="1081" spans="2:6" x14ac:dyDescent="0.2">
      <c r="B1081" s="5">
        <v>45958</v>
      </c>
      <c r="C1081" t="s">
        <v>875</v>
      </c>
      <c r="D1081" s="11">
        <v>342</v>
      </c>
      <c r="E1081" s="18">
        <v>1</v>
      </c>
      <c r="F1081" s="24">
        <v>2.9239766081871343E-3</v>
      </c>
    </row>
    <row r="1082" spans="2:6" x14ac:dyDescent="0.2">
      <c r="B1082" s="5">
        <v>45958</v>
      </c>
      <c r="C1082" t="s">
        <v>84</v>
      </c>
      <c r="D1082" s="11">
        <v>72</v>
      </c>
      <c r="E1082" s="18">
        <v>2</v>
      </c>
      <c r="F1082" s="24">
        <v>2.7777777777777776E-2</v>
      </c>
    </row>
    <row r="1083" spans="2:6" x14ac:dyDescent="0.2">
      <c r="B1083" s="5">
        <v>45958</v>
      </c>
      <c r="C1083" t="s">
        <v>86</v>
      </c>
      <c r="D1083" s="11">
        <v>40</v>
      </c>
      <c r="E1083" s="18">
        <v>1</v>
      </c>
      <c r="F1083" s="24">
        <v>2.5000000000000001E-2</v>
      </c>
    </row>
    <row r="1084" spans="2:6" x14ac:dyDescent="0.2">
      <c r="B1084" s="5">
        <v>45958</v>
      </c>
      <c r="C1084" t="s">
        <v>876</v>
      </c>
      <c r="D1084" s="11">
        <v>35</v>
      </c>
      <c r="E1084" s="18">
        <v>0</v>
      </c>
      <c r="F1084" s="24">
        <v>0</v>
      </c>
    </row>
    <row r="1085" spans="2:6" x14ac:dyDescent="0.2">
      <c r="B1085" s="5">
        <v>45958</v>
      </c>
      <c r="C1085" t="s">
        <v>877</v>
      </c>
      <c r="D1085" s="11">
        <v>112</v>
      </c>
      <c r="E1085" s="18">
        <v>2</v>
      </c>
      <c r="F1085" s="24">
        <v>1.7857142857142856E-2</v>
      </c>
    </row>
    <row r="1086" spans="2:6" x14ac:dyDescent="0.2">
      <c r="B1086" s="5">
        <v>45958</v>
      </c>
      <c r="C1086" t="s">
        <v>878</v>
      </c>
      <c r="D1086" s="11">
        <v>601</v>
      </c>
      <c r="E1086" s="18">
        <v>6</v>
      </c>
      <c r="F1086" s="24">
        <v>9.9833610648918467E-3</v>
      </c>
    </row>
    <row r="1087" spans="2:6" x14ac:dyDescent="0.2">
      <c r="B1087" s="5">
        <v>45959</v>
      </c>
      <c r="C1087" t="s">
        <v>875</v>
      </c>
      <c r="D1087" s="11">
        <v>351</v>
      </c>
      <c r="E1087" s="18">
        <v>0</v>
      </c>
      <c r="F1087" s="24">
        <v>0</v>
      </c>
    </row>
    <row r="1088" spans="2:6" x14ac:dyDescent="0.2">
      <c r="B1088" s="5">
        <v>45959</v>
      </c>
      <c r="C1088" t="s">
        <v>84</v>
      </c>
      <c r="D1088" s="11">
        <v>70</v>
      </c>
      <c r="E1088" s="18">
        <v>0</v>
      </c>
      <c r="F1088" s="24">
        <v>0</v>
      </c>
    </row>
    <row r="1089" spans="2:6" x14ac:dyDescent="0.2">
      <c r="B1089" s="5">
        <v>45959</v>
      </c>
      <c r="C1089" t="s">
        <v>86</v>
      </c>
      <c r="D1089" s="11">
        <v>28</v>
      </c>
      <c r="E1089" s="18">
        <v>2</v>
      </c>
      <c r="F1089" s="24">
        <v>7.1428571428571425E-2</v>
      </c>
    </row>
    <row r="1090" spans="2:6" x14ac:dyDescent="0.2">
      <c r="B1090" s="5">
        <v>45959</v>
      </c>
      <c r="C1090" t="s">
        <v>876</v>
      </c>
      <c r="D1090" s="11">
        <v>23</v>
      </c>
      <c r="E1090" s="18">
        <v>0</v>
      </c>
      <c r="F1090" s="24">
        <v>0</v>
      </c>
    </row>
    <row r="1091" spans="2:6" x14ac:dyDescent="0.2">
      <c r="B1091" s="5">
        <v>45959</v>
      </c>
      <c r="C1091" t="s">
        <v>877</v>
      </c>
      <c r="D1091" s="11">
        <v>305</v>
      </c>
      <c r="E1091" s="18">
        <v>5</v>
      </c>
      <c r="F1091" s="24">
        <v>1.6393442622950821E-2</v>
      </c>
    </row>
    <row r="1092" spans="2:6" x14ac:dyDescent="0.2">
      <c r="B1092" s="5">
        <v>45959</v>
      </c>
      <c r="C1092" t="s">
        <v>878</v>
      </c>
      <c r="D1092" s="11">
        <v>777</v>
      </c>
      <c r="E1092" s="18">
        <v>7</v>
      </c>
      <c r="F1092" s="24">
        <v>9.0090090090090089E-3</v>
      </c>
    </row>
    <row r="1093" spans="2:6" x14ac:dyDescent="0.2">
      <c r="B1093" s="5">
        <v>45960</v>
      </c>
      <c r="C1093" t="s">
        <v>875</v>
      </c>
      <c r="D1093" s="11">
        <v>278</v>
      </c>
      <c r="E1093" s="18">
        <v>0</v>
      </c>
      <c r="F1093" s="24">
        <v>0</v>
      </c>
    </row>
    <row r="1094" spans="2:6" x14ac:dyDescent="0.2">
      <c r="B1094" s="5">
        <v>45960</v>
      </c>
      <c r="C1094" t="s">
        <v>84</v>
      </c>
      <c r="D1094" s="11">
        <v>62</v>
      </c>
      <c r="E1094" s="18">
        <v>0</v>
      </c>
      <c r="F1094" s="24">
        <v>0</v>
      </c>
    </row>
    <row r="1095" spans="2:6" x14ac:dyDescent="0.2">
      <c r="B1095" s="5">
        <v>45960</v>
      </c>
      <c r="C1095" t="s">
        <v>86</v>
      </c>
      <c r="D1095" s="11">
        <v>35</v>
      </c>
      <c r="E1095" s="18">
        <v>2</v>
      </c>
      <c r="F1095" s="24">
        <v>5.7142857142857141E-2</v>
      </c>
    </row>
    <row r="1096" spans="2:6" x14ac:dyDescent="0.2">
      <c r="B1096" s="5">
        <v>45960</v>
      </c>
      <c r="C1096" t="s">
        <v>876</v>
      </c>
      <c r="D1096" s="11">
        <v>17</v>
      </c>
      <c r="E1096" s="18">
        <v>0</v>
      </c>
      <c r="F1096" s="24">
        <v>0</v>
      </c>
    </row>
    <row r="1097" spans="2:6" x14ac:dyDescent="0.2">
      <c r="B1097" s="5">
        <v>45960</v>
      </c>
      <c r="C1097" t="s">
        <v>877</v>
      </c>
      <c r="D1097" s="11">
        <v>159</v>
      </c>
      <c r="E1097" s="18">
        <v>4</v>
      </c>
      <c r="F1097" s="24">
        <v>2.5157232704402517E-2</v>
      </c>
    </row>
    <row r="1098" spans="2:6" x14ac:dyDescent="0.2">
      <c r="B1098" s="5">
        <v>45960</v>
      </c>
      <c r="C1098" t="s">
        <v>878</v>
      </c>
      <c r="D1098" s="11">
        <v>551</v>
      </c>
      <c r="E1098" s="18">
        <v>6</v>
      </c>
      <c r="F1098" s="24">
        <v>1.0889292196007259E-2</v>
      </c>
    </row>
    <row r="1099" spans="2:6" x14ac:dyDescent="0.2">
      <c r="B1099" s="5">
        <v>45961</v>
      </c>
      <c r="C1099" t="s">
        <v>875</v>
      </c>
      <c r="D1099" s="11">
        <v>486</v>
      </c>
      <c r="E1099" s="18">
        <v>1</v>
      </c>
      <c r="F1099" s="24">
        <v>2.05761316872428E-3</v>
      </c>
    </row>
    <row r="1100" spans="2:6" x14ac:dyDescent="0.2">
      <c r="B1100" s="5">
        <v>45961</v>
      </c>
      <c r="C1100" t="s">
        <v>84</v>
      </c>
      <c r="D1100" s="11">
        <v>55</v>
      </c>
      <c r="E1100" s="18">
        <v>1</v>
      </c>
      <c r="F1100" s="24">
        <v>1.8181818181818181E-2</v>
      </c>
    </row>
    <row r="1101" spans="2:6" x14ac:dyDescent="0.2">
      <c r="B1101" s="5">
        <v>45961</v>
      </c>
      <c r="C1101" t="s">
        <v>86</v>
      </c>
      <c r="D1101" s="11">
        <v>32</v>
      </c>
      <c r="E1101" s="18">
        <v>2</v>
      </c>
      <c r="F1101" s="24">
        <v>6.25E-2</v>
      </c>
    </row>
    <row r="1102" spans="2:6" x14ac:dyDescent="0.2">
      <c r="B1102" s="5">
        <v>45961</v>
      </c>
      <c r="C1102" t="s">
        <v>876</v>
      </c>
      <c r="D1102" s="11">
        <v>22</v>
      </c>
      <c r="E1102" s="18">
        <v>0</v>
      </c>
      <c r="F1102" s="24">
        <v>0</v>
      </c>
    </row>
    <row r="1103" spans="2:6" x14ac:dyDescent="0.2">
      <c r="B1103" s="5">
        <v>45961</v>
      </c>
      <c r="C1103" t="s">
        <v>877</v>
      </c>
      <c r="D1103" s="11">
        <v>203</v>
      </c>
      <c r="E1103" s="18">
        <v>1</v>
      </c>
      <c r="F1103" s="24">
        <v>4.9261083743842365E-3</v>
      </c>
    </row>
    <row r="1104" spans="2:6" x14ac:dyDescent="0.2">
      <c r="B1104" s="5">
        <v>45961</v>
      </c>
      <c r="C1104" t="s">
        <v>878</v>
      </c>
      <c r="D1104" s="11">
        <v>798</v>
      </c>
      <c r="E1104" s="18">
        <v>5</v>
      </c>
      <c r="F1104" s="24">
        <v>6.2656641604010022E-3</v>
      </c>
    </row>
    <row r="1105" spans="2:6" x14ac:dyDescent="0.2">
      <c r="B1105" s="5">
        <v>45962</v>
      </c>
      <c r="C1105" t="s">
        <v>875</v>
      </c>
      <c r="D1105" s="11">
        <v>410</v>
      </c>
      <c r="E1105" s="18">
        <v>1</v>
      </c>
      <c r="F1105" s="24">
        <v>2.4390243902439024E-3</v>
      </c>
    </row>
    <row r="1106" spans="2:6" x14ac:dyDescent="0.2">
      <c r="B1106" s="5">
        <v>45962</v>
      </c>
      <c r="C1106" t="s">
        <v>84</v>
      </c>
      <c r="D1106" s="11">
        <v>67</v>
      </c>
      <c r="E1106" s="18">
        <v>0</v>
      </c>
      <c r="F1106" s="24">
        <v>0</v>
      </c>
    </row>
    <row r="1107" spans="2:6" x14ac:dyDescent="0.2">
      <c r="B1107" s="5">
        <v>45962</v>
      </c>
      <c r="C1107" t="s">
        <v>86</v>
      </c>
      <c r="D1107" s="11">
        <v>30</v>
      </c>
      <c r="E1107" s="18">
        <v>0</v>
      </c>
      <c r="F1107" s="24">
        <v>0</v>
      </c>
    </row>
    <row r="1108" spans="2:6" x14ac:dyDescent="0.2">
      <c r="B1108" s="5">
        <v>45962</v>
      </c>
      <c r="C1108" t="s">
        <v>876</v>
      </c>
      <c r="D1108" s="11">
        <v>18</v>
      </c>
      <c r="E1108" s="18">
        <v>0</v>
      </c>
      <c r="F1108" s="24">
        <v>0</v>
      </c>
    </row>
    <row r="1109" spans="2:6" x14ac:dyDescent="0.2">
      <c r="B1109" s="5">
        <v>45962</v>
      </c>
      <c r="C1109" t="s">
        <v>877</v>
      </c>
      <c r="D1109" s="11">
        <v>177</v>
      </c>
      <c r="E1109" s="18">
        <v>2</v>
      </c>
      <c r="F1109" s="24">
        <v>1.1299435028248588E-2</v>
      </c>
    </row>
    <row r="1110" spans="2:6" x14ac:dyDescent="0.2">
      <c r="B1110" s="5">
        <v>45962</v>
      </c>
      <c r="C1110" t="s">
        <v>878</v>
      </c>
      <c r="D1110" s="11">
        <v>702</v>
      </c>
      <c r="E1110" s="18">
        <v>3</v>
      </c>
      <c r="F1110" s="24">
        <v>4.2735042735042739E-3</v>
      </c>
    </row>
    <row r="1111" spans="2:6" x14ac:dyDescent="0.2">
      <c r="B1111" s="5">
        <v>45963</v>
      </c>
      <c r="C1111" t="s">
        <v>875</v>
      </c>
      <c r="D1111" s="11">
        <v>411</v>
      </c>
      <c r="E1111" s="18">
        <v>0</v>
      </c>
      <c r="F1111" s="24">
        <v>0</v>
      </c>
    </row>
    <row r="1112" spans="2:6" x14ac:dyDescent="0.2">
      <c r="B1112" s="5">
        <v>45963</v>
      </c>
      <c r="C1112" t="s">
        <v>84</v>
      </c>
      <c r="D1112" s="11">
        <v>91</v>
      </c>
      <c r="E1112" s="18">
        <v>3</v>
      </c>
      <c r="F1112" s="24">
        <v>3.2967032967032968E-2</v>
      </c>
    </row>
    <row r="1113" spans="2:6" x14ac:dyDescent="0.2">
      <c r="B1113" s="5">
        <v>45963</v>
      </c>
      <c r="C1113" t="s">
        <v>86</v>
      </c>
      <c r="D1113" s="11">
        <v>20</v>
      </c>
      <c r="E1113" s="18">
        <v>1</v>
      </c>
      <c r="F1113" s="24">
        <v>0.05</v>
      </c>
    </row>
    <row r="1114" spans="2:6" x14ac:dyDescent="0.2">
      <c r="B1114" s="5">
        <v>45963</v>
      </c>
      <c r="C1114" t="s">
        <v>876</v>
      </c>
      <c r="D1114" s="11">
        <v>26</v>
      </c>
      <c r="E1114" s="18">
        <v>0</v>
      </c>
      <c r="F1114" s="24">
        <v>0</v>
      </c>
    </row>
    <row r="1115" spans="2:6" x14ac:dyDescent="0.2">
      <c r="B1115" s="5">
        <v>45963</v>
      </c>
      <c r="C1115" t="s">
        <v>877</v>
      </c>
      <c r="D1115" s="11">
        <v>223</v>
      </c>
      <c r="E1115" s="18">
        <v>1</v>
      </c>
      <c r="F1115" s="24">
        <v>4.4843049327354259E-3</v>
      </c>
    </row>
    <row r="1116" spans="2:6" x14ac:dyDescent="0.2">
      <c r="B1116" s="5">
        <v>45963</v>
      </c>
      <c r="C1116" t="s">
        <v>878</v>
      </c>
      <c r="D1116" s="11">
        <v>771</v>
      </c>
      <c r="E1116" s="18">
        <v>5</v>
      </c>
      <c r="F1116" s="24">
        <v>6.4850843060959796E-3</v>
      </c>
    </row>
    <row r="1117" spans="2:6" x14ac:dyDescent="0.2">
      <c r="B1117" s="5">
        <v>45964</v>
      </c>
      <c r="C1117" t="s">
        <v>875</v>
      </c>
      <c r="D1117" s="11">
        <v>515</v>
      </c>
      <c r="E1117" s="18">
        <v>0</v>
      </c>
      <c r="F1117" s="24">
        <v>0</v>
      </c>
    </row>
    <row r="1118" spans="2:6" x14ac:dyDescent="0.2">
      <c r="B1118" s="5">
        <v>45964</v>
      </c>
      <c r="C1118" t="s">
        <v>84</v>
      </c>
      <c r="D1118" s="11">
        <v>93</v>
      </c>
      <c r="E1118" s="18">
        <v>4</v>
      </c>
      <c r="F1118" s="24">
        <v>4.3010752688172046E-2</v>
      </c>
    </row>
    <row r="1119" spans="2:6" x14ac:dyDescent="0.2">
      <c r="B1119" s="5">
        <v>45964</v>
      </c>
      <c r="C1119" t="s">
        <v>86</v>
      </c>
      <c r="D1119" s="11">
        <v>36</v>
      </c>
      <c r="E1119" s="18">
        <v>2</v>
      </c>
      <c r="F1119" s="24">
        <v>5.5555555555555552E-2</v>
      </c>
    </row>
    <row r="1120" spans="2:6" x14ac:dyDescent="0.2">
      <c r="B1120" s="5">
        <v>45964</v>
      </c>
      <c r="C1120" t="s">
        <v>876</v>
      </c>
      <c r="D1120" s="11">
        <v>12</v>
      </c>
      <c r="E1120" s="18">
        <v>0</v>
      </c>
      <c r="F1120" s="24">
        <v>0</v>
      </c>
    </row>
    <row r="1121" spans="2:6" x14ac:dyDescent="0.2">
      <c r="B1121" s="5">
        <v>45964</v>
      </c>
      <c r="C1121" t="s">
        <v>877</v>
      </c>
      <c r="D1121" s="11">
        <v>129</v>
      </c>
      <c r="E1121" s="18">
        <v>1</v>
      </c>
      <c r="F1121" s="24">
        <v>7.7519379844961239E-3</v>
      </c>
    </row>
    <row r="1122" spans="2:6" x14ac:dyDescent="0.2">
      <c r="B1122" s="5">
        <v>45964</v>
      </c>
      <c r="C1122" t="s">
        <v>878</v>
      </c>
      <c r="D1122" s="11">
        <v>785</v>
      </c>
      <c r="E1122" s="18">
        <v>7</v>
      </c>
      <c r="F1122" s="24">
        <v>8.9171974522292991E-3</v>
      </c>
    </row>
    <row r="1123" spans="2:6" x14ac:dyDescent="0.2">
      <c r="B1123" s="5">
        <v>45965</v>
      </c>
      <c r="C1123" t="s">
        <v>875</v>
      </c>
      <c r="D1123" s="11">
        <v>242</v>
      </c>
      <c r="E1123" s="18">
        <v>0</v>
      </c>
      <c r="F1123" s="24">
        <v>0</v>
      </c>
    </row>
    <row r="1124" spans="2:6" x14ac:dyDescent="0.2">
      <c r="B1124" s="5">
        <v>45965</v>
      </c>
      <c r="C1124" t="s">
        <v>84</v>
      </c>
      <c r="D1124" s="11">
        <v>73</v>
      </c>
      <c r="E1124" s="18">
        <v>2</v>
      </c>
      <c r="F1124" s="24">
        <v>2.7397260273972601E-2</v>
      </c>
    </row>
    <row r="1125" spans="2:6" x14ac:dyDescent="0.2">
      <c r="B1125" s="5">
        <v>45965</v>
      </c>
      <c r="C1125" t="s">
        <v>86</v>
      </c>
      <c r="D1125" s="11">
        <v>52</v>
      </c>
      <c r="E1125" s="18">
        <v>2</v>
      </c>
      <c r="F1125" s="24">
        <v>3.8461538461538464E-2</v>
      </c>
    </row>
    <row r="1126" spans="2:6" x14ac:dyDescent="0.2">
      <c r="B1126" s="5">
        <v>45965</v>
      </c>
      <c r="C1126" t="s">
        <v>876</v>
      </c>
      <c r="D1126" s="11">
        <v>11</v>
      </c>
      <c r="E1126" s="18">
        <v>0</v>
      </c>
      <c r="F1126" s="24">
        <v>0</v>
      </c>
    </row>
    <row r="1127" spans="2:6" x14ac:dyDescent="0.2">
      <c r="B1127" s="5">
        <v>45965</v>
      </c>
      <c r="C1127" t="s">
        <v>877</v>
      </c>
      <c r="D1127" s="11">
        <v>105</v>
      </c>
      <c r="E1127" s="18">
        <v>3</v>
      </c>
      <c r="F1127" s="24">
        <v>2.8571428571428571E-2</v>
      </c>
    </row>
    <row r="1128" spans="2:6" x14ac:dyDescent="0.2">
      <c r="B1128" s="5">
        <v>45965</v>
      </c>
      <c r="C1128" t="s">
        <v>878</v>
      </c>
      <c r="D1128" s="11">
        <v>483</v>
      </c>
      <c r="E1128" s="18">
        <v>7</v>
      </c>
      <c r="F1128" s="24">
        <v>1.4492753623188406E-2</v>
      </c>
    </row>
    <row r="1129" spans="2:6" x14ac:dyDescent="0.2">
      <c r="B1129" s="5">
        <v>45966</v>
      </c>
      <c r="C1129" t="s">
        <v>875</v>
      </c>
      <c r="D1129" s="11">
        <v>409</v>
      </c>
      <c r="E1129" s="18">
        <v>1</v>
      </c>
      <c r="F1129" s="24">
        <v>2.4449877750611247E-3</v>
      </c>
    </row>
    <row r="1130" spans="2:6" x14ac:dyDescent="0.2">
      <c r="B1130" s="5">
        <v>45966</v>
      </c>
      <c r="C1130" t="s">
        <v>84</v>
      </c>
      <c r="D1130" s="11">
        <v>85</v>
      </c>
      <c r="E1130" s="18">
        <v>0</v>
      </c>
      <c r="F1130" s="24">
        <v>0</v>
      </c>
    </row>
    <row r="1131" spans="2:6" x14ac:dyDescent="0.2">
      <c r="B1131" s="5">
        <v>45966</v>
      </c>
      <c r="C1131" t="s">
        <v>86</v>
      </c>
      <c r="D1131" s="11">
        <v>53</v>
      </c>
      <c r="E1131" s="18">
        <v>0</v>
      </c>
      <c r="F1131" s="24">
        <v>0</v>
      </c>
    </row>
    <row r="1132" spans="2:6" x14ac:dyDescent="0.2">
      <c r="B1132" s="5">
        <v>45966</v>
      </c>
      <c r="C1132" t="s">
        <v>876</v>
      </c>
      <c r="D1132" s="11">
        <v>12</v>
      </c>
      <c r="E1132" s="18">
        <v>0</v>
      </c>
      <c r="F1132" s="24">
        <v>0</v>
      </c>
    </row>
    <row r="1133" spans="2:6" x14ac:dyDescent="0.2">
      <c r="B1133" s="5">
        <v>45966</v>
      </c>
      <c r="C1133" t="s">
        <v>877</v>
      </c>
      <c r="D1133" s="11">
        <v>300</v>
      </c>
      <c r="E1133" s="18">
        <v>9</v>
      </c>
      <c r="F1133" s="24">
        <v>0.03</v>
      </c>
    </row>
    <row r="1134" spans="2:6" x14ac:dyDescent="0.2">
      <c r="B1134" s="5">
        <v>45966</v>
      </c>
      <c r="C1134" t="s">
        <v>878</v>
      </c>
      <c r="D1134" s="11">
        <v>859</v>
      </c>
      <c r="E1134" s="18">
        <v>10</v>
      </c>
      <c r="F1134" s="24">
        <v>1.1641443538998836E-2</v>
      </c>
    </row>
    <row r="1135" spans="2:6" x14ac:dyDescent="0.2">
      <c r="B1135" s="5">
        <v>45967</v>
      </c>
      <c r="C1135" t="s">
        <v>875</v>
      </c>
      <c r="D1135" s="11">
        <v>209</v>
      </c>
      <c r="E1135" s="18">
        <v>0</v>
      </c>
      <c r="F1135" s="24">
        <v>0</v>
      </c>
    </row>
    <row r="1136" spans="2:6" x14ac:dyDescent="0.2">
      <c r="B1136" s="5">
        <v>45967</v>
      </c>
      <c r="C1136" t="s">
        <v>84</v>
      </c>
      <c r="D1136" s="11">
        <v>98</v>
      </c>
      <c r="E1136" s="18">
        <v>2</v>
      </c>
      <c r="F1136" s="24">
        <v>2.0408163265306121E-2</v>
      </c>
    </row>
    <row r="1137" spans="2:6" x14ac:dyDescent="0.2">
      <c r="B1137" s="5">
        <v>45967</v>
      </c>
      <c r="C1137" t="s">
        <v>86</v>
      </c>
      <c r="D1137" s="11">
        <v>48</v>
      </c>
      <c r="E1137" s="18">
        <v>0</v>
      </c>
      <c r="F1137" s="24">
        <v>0</v>
      </c>
    </row>
    <row r="1138" spans="2:6" x14ac:dyDescent="0.2">
      <c r="B1138" s="5">
        <v>45967</v>
      </c>
      <c r="C1138" t="s">
        <v>876</v>
      </c>
      <c r="D1138" s="11">
        <v>2</v>
      </c>
      <c r="E1138" s="18">
        <v>0</v>
      </c>
      <c r="F1138" s="24">
        <v>0</v>
      </c>
    </row>
    <row r="1139" spans="2:6" x14ac:dyDescent="0.2">
      <c r="B1139" s="5">
        <v>45967</v>
      </c>
      <c r="C1139" t="s">
        <v>877</v>
      </c>
      <c r="D1139" s="11">
        <v>209</v>
      </c>
      <c r="E1139" s="18">
        <v>2</v>
      </c>
      <c r="F1139" s="24">
        <v>9.5693779904306216E-3</v>
      </c>
    </row>
    <row r="1140" spans="2:6" x14ac:dyDescent="0.2">
      <c r="B1140" s="5">
        <v>45967</v>
      </c>
      <c r="C1140" t="s">
        <v>878</v>
      </c>
      <c r="D1140" s="11">
        <v>566</v>
      </c>
      <c r="E1140" s="18">
        <v>4</v>
      </c>
      <c r="F1140" s="24">
        <v>7.0671378091872791E-3</v>
      </c>
    </row>
    <row r="1141" spans="2:6" x14ac:dyDescent="0.2">
      <c r="B1141" s="5">
        <v>45968</v>
      </c>
      <c r="C1141" t="s">
        <v>875</v>
      </c>
      <c r="D1141" s="11">
        <v>440</v>
      </c>
      <c r="E1141" s="18">
        <v>0</v>
      </c>
      <c r="F1141" s="24">
        <v>0</v>
      </c>
    </row>
    <row r="1142" spans="2:6" x14ac:dyDescent="0.2">
      <c r="B1142" s="5">
        <v>45968</v>
      </c>
      <c r="C1142" t="s">
        <v>84</v>
      </c>
      <c r="D1142" s="11">
        <v>71</v>
      </c>
      <c r="E1142" s="18">
        <v>1</v>
      </c>
      <c r="F1142" s="24">
        <v>1.4084507042253521E-2</v>
      </c>
    </row>
    <row r="1143" spans="2:6" x14ac:dyDescent="0.2">
      <c r="B1143" s="5">
        <v>45968</v>
      </c>
      <c r="C1143" t="s">
        <v>86</v>
      </c>
      <c r="D1143" s="11">
        <v>40</v>
      </c>
      <c r="E1143" s="18">
        <v>1</v>
      </c>
      <c r="F1143" s="24">
        <v>2.5000000000000001E-2</v>
      </c>
    </row>
    <row r="1144" spans="2:6" x14ac:dyDescent="0.2">
      <c r="B1144" s="5">
        <v>45968</v>
      </c>
      <c r="C1144" t="s">
        <v>876</v>
      </c>
      <c r="D1144" s="11">
        <v>7</v>
      </c>
      <c r="E1144" s="18">
        <v>0</v>
      </c>
      <c r="F1144" s="24">
        <v>0</v>
      </c>
    </row>
    <row r="1145" spans="2:6" x14ac:dyDescent="0.2">
      <c r="B1145" s="5">
        <v>45968</v>
      </c>
      <c r="C1145" t="s">
        <v>877</v>
      </c>
      <c r="D1145" s="11">
        <v>100</v>
      </c>
      <c r="E1145" s="18">
        <v>6</v>
      </c>
      <c r="F1145" s="24">
        <v>0.06</v>
      </c>
    </row>
    <row r="1146" spans="2:6" x14ac:dyDescent="0.2">
      <c r="B1146" s="5">
        <v>45968</v>
      </c>
      <c r="C1146" t="s">
        <v>878</v>
      </c>
      <c r="D1146" s="11">
        <v>658</v>
      </c>
      <c r="E1146" s="18">
        <v>8</v>
      </c>
      <c r="F1146" s="24">
        <v>1.2158054711246201E-2</v>
      </c>
    </row>
    <row r="1147" spans="2:6" x14ac:dyDescent="0.2">
      <c r="B1147" s="5">
        <v>45969</v>
      </c>
      <c r="C1147" t="s">
        <v>875</v>
      </c>
      <c r="D1147" s="11">
        <v>237</v>
      </c>
      <c r="E1147" s="18">
        <v>0</v>
      </c>
      <c r="F1147" s="24">
        <v>0</v>
      </c>
    </row>
    <row r="1148" spans="2:6" x14ac:dyDescent="0.2">
      <c r="B1148" s="5">
        <v>45969</v>
      </c>
      <c r="C1148" t="s">
        <v>84</v>
      </c>
      <c r="D1148" s="11">
        <v>81</v>
      </c>
      <c r="E1148" s="18">
        <v>1</v>
      </c>
      <c r="F1148" s="24">
        <v>1.2345679012345678E-2</v>
      </c>
    </row>
    <row r="1149" spans="2:6" x14ac:dyDescent="0.2">
      <c r="B1149" s="5">
        <v>45969</v>
      </c>
      <c r="C1149" t="s">
        <v>86</v>
      </c>
      <c r="D1149" s="11">
        <v>38</v>
      </c>
      <c r="E1149" s="18">
        <v>1</v>
      </c>
      <c r="F1149" s="24">
        <v>2.6315789473684209E-2</v>
      </c>
    </row>
    <row r="1150" spans="2:6" x14ac:dyDescent="0.2">
      <c r="B1150" s="5">
        <v>45969</v>
      </c>
      <c r="C1150" t="s">
        <v>876</v>
      </c>
      <c r="D1150" s="11">
        <v>11</v>
      </c>
      <c r="E1150" s="18">
        <v>0</v>
      </c>
      <c r="F1150" s="24">
        <v>0</v>
      </c>
    </row>
    <row r="1151" spans="2:6" x14ac:dyDescent="0.2">
      <c r="B1151" s="5">
        <v>45969</v>
      </c>
      <c r="C1151" t="s">
        <v>877</v>
      </c>
      <c r="D1151" s="11">
        <v>88</v>
      </c>
      <c r="E1151" s="18">
        <v>2</v>
      </c>
      <c r="F1151" s="24">
        <v>2.2727272727272728E-2</v>
      </c>
    </row>
    <row r="1152" spans="2:6" x14ac:dyDescent="0.2">
      <c r="B1152" s="5">
        <v>45969</v>
      </c>
      <c r="C1152" t="s">
        <v>878</v>
      </c>
      <c r="D1152" s="11">
        <v>455</v>
      </c>
      <c r="E1152" s="18">
        <v>4</v>
      </c>
      <c r="F1152" s="24">
        <v>8.7912087912087912E-3</v>
      </c>
    </row>
    <row r="1153" spans="2:6" x14ac:dyDescent="0.2">
      <c r="B1153" s="5">
        <v>45970</v>
      </c>
      <c r="C1153" t="s">
        <v>875</v>
      </c>
      <c r="D1153" s="11">
        <v>286</v>
      </c>
      <c r="E1153" s="18">
        <v>0</v>
      </c>
      <c r="F1153" s="24">
        <v>0</v>
      </c>
    </row>
    <row r="1154" spans="2:6" x14ac:dyDescent="0.2">
      <c r="B1154" s="5">
        <v>45970</v>
      </c>
      <c r="C1154" t="s">
        <v>84</v>
      </c>
      <c r="D1154" s="11">
        <v>95</v>
      </c>
      <c r="E1154" s="18">
        <v>1</v>
      </c>
      <c r="F1154" s="24">
        <v>1.0526315789473684E-2</v>
      </c>
    </row>
    <row r="1155" spans="2:6" x14ac:dyDescent="0.2">
      <c r="B1155" s="5">
        <v>45970</v>
      </c>
      <c r="C1155" t="s">
        <v>86</v>
      </c>
      <c r="D1155" s="11">
        <v>31</v>
      </c>
      <c r="E1155" s="18">
        <v>0</v>
      </c>
      <c r="F1155" s="24">
        <v>0</v>
      </c>
    </row>
    <row r="1156" spans="2:6" x14ac:dyDescent="0.2">
      <c r="B1156" s="5">
        <v>45970</v>
      </c>
      <c r="C1156" t="s">
        <v>876</v>
      </c>
      <c r="D1156" s="11">
        <v>11</v>
      </c>
      <c r="E1156" s="18">
        <v>0</v>
      </c>
      <c r="F1156" s="24">
        <v>0</v>
      </c>
    </row>
    <row r="1157" spans="2:6" x14ac:dyDescent="0.2">
      <c r="B1157" s="5">
        <v>45970</v>
      </c>
      <c r="C1157" t="s">
        <v>877</v>
      </c>
      <c r="D1157" s="11">
        <v>77</v>
      </c>
      <c r="E1157" s="18">
        <v>1</v>
      </c>
      <c r="F1157" s="24">
        <v>1.2987012987012988E-2</v>
      </c>
    </row>
    <row r="1158" spans="2:6" x14ac:dyDescent="0.2">
      <c r="B1158" s="5">
        <v>45970</v>
      </c>
      <c r="C1158" t="s">
        <v>878</v>
      </c>
      <c r="D1158" s="11">
        <v>500</v>
      </c>
      <c r="E1158" s="18">
        <v>2</v>
      </c>
      <c r="F1158" s="24">
        <v>4.0000000000000001E-3</v>
      </c>
    </row>
    <row r="1159" spans="2:6" x14ac:dyDescent="0.2">
      <c r="B1159" s="5">
        <v>45971</v>
      </c>
      <c r="C1159" t="s">
        <v>875</v>
      </c>
      <c r="D1159" s="11">
        <v>388</v>
      </c>
      <c r="E1159" s="18">
        <v>0</v>
      </c>
      <c r="F1159" s="24">
        <v>0</v>
      </c>
    </row>
    <row r="1160" spans="2:6" x14ac:dyDescent="0.2">
      <c r="B1160" s="5">
        <v>45971</v>
      </c>
      <c r="C1160" t="s">
        <v>84</v>
      </c>
      <c r="D1160" s="11">
        <v>78</v>
      </c>
      <c r="E1160" s="18">
        <v>0</v>
      </c>
      <c r="F1160" s="24">
        <v>0</v>
      </c>
    </row>
    <row r="1161" spans="2:6" x14ac:dyDescent="0.2">
      <c r="B1161" s="5">
        <v>45971</v>
      </c>
      <c r="C1161" t="s">
        <v>86</v>
      </c>
      <c r="D1161" s="11">
        <v>39</v>
      </c>
      <c r="E1161" s="18">
        <v>2</v>
      </c>
      <c r="F1161" s="24">
        <v>5.128205128205128E-2</v>
      </c>
    </row>
    <row r="1162" spans="2:6" x14ac:dyDescent="0.2">
      <c r="B1162" s="5">
        <v>45971</v>
      </c>
      <c r="C1162" t="s">
        <v>876</v>
      </c>
      <c r="D1162" s="11">
        <v>15</v>
      </c>
      <c r="E1162" s="18">
        <v>0</v>
      </c>
      <c r="F1162" s="24">
        <v>0</v>
      </c>
    </row>
    <row r="1163" spans="2:6" x14ac:dyDescent="0.2">
      <c r="B1163" s="5">
        <v>45971</v>
      </c>
      <c r="C1163" t="s">
        <v>877</v>
      </c>
      <c r="D1163" s="11">
        <v>101</v>
      </c>
      <c r="E1163" s="18">
        <v>5</v>
      </c>
      <c r="F1163" s="24">
        <v>4.9504950495049507E-2</v>
      </c>
    </row>
    <row r="1164" spans="2:6" x14ac:dyDescent="0.2">
      <c r="B1164" s="5">
        <v>45971</v>
      </c>
      <c r="C1164" t="s">
        <v>878</v>
      </c>
      <c r="D1164" s="11">
        <v>621</v>
      </c>
      <c r="E1164" s="18">
        <v>7</v>
      </c>
      <c r="F1164" s="24">
        <v>1.1272141706924315E-2</v>
      </c>
    </row>
    <row r="1165" spans="2:6" x14ac:dyDescent="0.2">
      <c r="B1165" s="5">
        <v>45972</v>
      </c>
      <c r="C1165" t="s">
        <v>875</v>
      </c>
      <c r="D1165" s="11">
        <v>294</v>
      </c>
      <c r="E1165" s="18">
        <v>1</v>
      </c>
      <c r="F1165" s="24">
        <v>3.4013605442176869E-3</v>
      </c>
    </row>
    <row r="1166" spans="2:6" x14ac:dyDescent="0.2">
      <c r="B1166" s="5">
        <v>45972</v>
      </c>
      <c r="C1166" t="s">
        <v>84</v>
      </c>
      <c r="D1166" s="11">
        <v>80</v>
      </c>
      <c r="E1166" s="18">
        <v>1</v>
      </c>
      <c r="F1166" s="24">
        <v>1.2500000000000001E-2</v>
      </c>
    </row>
    <row r="1167" spans="2:6" x14ac:dyDescent="0.2">
      <c r="B1167" s="5">
        <v>45972</v>
      </c>
      <c r="C1167" t="s">
        <v>86</v>
      </c>
      <c r="D1167" s="11">
        <v>48</v>
      </c>
      <c r="E1167" s="18">
        <v>1</v>
      </c>
      <c r="F1167" s="24">
        <v>2.0833333333333332E-2</v>
      </c>
    </row>
    <row r="1168" spans="2:6" x14ac:dyDescent="0.2">
      <c r="B1168" s="5">
        <v>45972</v>
      </c>
      <c r="C1168" t="s">
        <v>876</v>
      </c>
      <c r="D1168" s="11">
        <v>14</v>
      </c>
      <c r="E1168" s="18">
        <v>0</v>
      </c>
      <c r="F1168" s="24">
        <v>0</v>
      </c>
    </row>
    <row r="1169" spans="2:6" x14ac:dyDescent="0.2">
      <c r="B1169" s="5">
        <v>45972</v>
      </c>
      <c r="C1169" t="s">
        <v>877</v>
      </c>
      <c r="D1169" s="11">
        <v>110</v>
      </c>
      <c r="E1169" s="18">
        <v>5</v>
      </c>
      <c r="F1169" s="24">
        <v>4.5454545454545456E-2</v>
      </c>
    </row>
    <row r="1170" spans="2:6" x14ac:dyDescent="0.2">
      <c r="B1170" s="5">
        <v>45972</v>
      </c>
      <c r="C1170" t="s">
        <v>878</v>
      </c>
      <c r="D1170" s="11">
        <v>546</v>
      </c>
      <c r="E1170" s="18">
        <v>8</v>
      </c>
      <c r="F1170" s="24">
        <v>1.4652014652014652E-2</v>
      </c>
    </row>
    <row r="1171" spans="2:6" x14ac:dyDescent="0.2">
      <c r="B1171" s="5">
        <v>45973</v>
      </c>
      <c r="C1171" t="s">
        <v>875</v>
      </c>
      <c r="D1171" s="11">
        <v>338</v>
      </c>
      <c r="E1171" s="18">
        <v>0</v>
      </c>
      <c r="F1171" s="24">
        <v>0</v>
      </c>
    </row>
    <row r="1172" spans="2:6" x14ac:dyDescent="0.2">
      <c r="B1172" s="5">
        <v>45973</v>
      </c>
      <c r="C1172" t="s">
        <v>84</v>
      </c>
      <c r="D1172" s="11">
        <v>81</v>
      </c>
      <c r="E1172" s="18">
        <v>0</v>
      </c>
      <c r="F1172" s="24">
        <v>0</v>
      </c>
    </row>
    <row r="1173" spans="2:6" x14ac:dyDescent="0.2">
      <c r="B1173" s="5">
        <v>45973</v>
      </c>
      <c r="C1173" t="s">
        <v>86</v>
      </c>
      <c r="D1173" s="11">
        <v>68</v>
      </c>
      <c r="E1173" s="18">
        <v>2</v>
      </c>
      <c r="F1173" s="24">
        <v>2.9411764705882353E-2</v>
      </c>
    </row>
    <row r="1174" spans="2:6" x14ac:dyDescent="0.2">
      <c r="B1174" s="5">
        <v>45973</v>
      </c>
      <c r="C1174" t="s">
        <v>876</v>
      </c>
      <c r="D1174" s="11">
        <v>15</v>
      </c>
      <c r="E1174" s="18">
        <v>0</v>
      </c>
      <c r="F1174" s="24">
        <v>0</v>
      </c>
    </row>
    <row r="1175" spans="2:6" x14ac:dyDescent="0.2">
      <c r="B1175" s="5">
        <v>45973</v>
      </c>
      <c r="C1175" t="s">
        <v>877</v>
      </c>
      <c r="D1175" s="11">
        <v>104</v>
      </c>
      <c r="E1175" s="18">
        <v>5</v>
      </c>
      <c r="F1175" s="24">
        <v>4.807692307692308E-2</v>
      </c>
    </row>
    <row r="1176" spans="2:6" x14ac:dyDescent="0.2">
      <c r="B1176" s="5">
        <v>45973</v>
      </c>
      <c r="C1176" t="s">
        <v>878</v>
      </c>
      <c r="D1176" s="11">
        <v>606</v>
      </c>
      <c r="E1176" s="18">
        <v>7</v>
      </c>
      <c r="F1176" s="24">
        <v>1.155115511551155E-2</v>
      </c>
    </row>
    <row r="1177" spans="2:6" x14ac:dyDescent="0.2">
      <c r="B1177" s="5">
        <v>45974</v>
      </c>
      <c r="C1177" t="s">
        <v>875</v>
      </c>
      <c r="D1177" s="11">
        <v>264</v>
      </c>
      <c r="E1177" s="18">
        <v>0</v>
      </c>
      <c r="F1177" s="24">
        <v>0</v>
      </c>
    </row>
    <row r="1178" spans="2:6" x14ac:dyDescent="0.2">
      <c r="B1178" s="5">
        <v>45974</v>
      </c>
      <c r="C1178" t="s">
        <v>84</v>
      </c>
      <c r="D1178" s="11">
        <v>48</v>
      </c>
      <c r="E1178" s="18">
        <v>1</v>
      </c>
      <c r="F1178" s="24">
        <v>2.0833333333333332E-2</v>
      </c>
    </row>
    <row r="1179" spans="2:6" x14ac:dyDescent="0.2">
      <c r="B1179" s="5">
        <v>45974</v>
      </c>
      <c r="C1179" t="s">
        <v>86</v>
      </c>
      <c r="D1179" s="11">
        <v>51</v>
      </c>
      <c r="E1179" s="18">
        <v>0</v>
      </c>
      <c r="F1179" s="24">
        <v>0</v>
      </c>
    </row>
    <row r="1180" spans="2:6" x14ac:dyDescent="0.2">
      <c r="B1180" s="5">
        <v>45974</v>
      </c>
      <c r="C1180" t="s">
        <v>876</v>
      </c>
      <c r="D1180" s="11">
        <v>12</v>
      </c>
      <c r="E1180" s="18">
        <v>0</v>
      </c>
      <c r="F1180" s="24">
        <v>0</v>
      </c>
    </row>
    <row r="1181" spans="2:6" x14ac:dyDescent="0.2">
      <c r="B1181" s="5">
        <v>45974</v>
      </c>
      <c r="C1181" t="s">
        <v>877</v>
      </c>
      <c r="D1181" s="11">
        <v>229</v>
      </c>
      <c r="E1181" s="18">
        <v>9</v>
      </c>
      <c r="F1181" s="24">
        <v>3.9301310043668124E-2</v>
      </c>
    </row>
    <row r="1182" spans="2:6" x14ac:dyDescent="0.2">
      <c r="B1182" s="5">
        <v>45974</v>
      </c>
      <c r="C1182" t="s">
        <v>878</v>
      </c>
      <c r="D1182" s="11">
        <v>604</v>
      </c>
      <c r="E1182" s="18">
        <v>10</v>
      </c>
      <c r="F1182" s="24">
        <v>1.6556291390728478E-2</v>
      </c>
    </row>
    <row r="1183" spans="2:6" x14ac:dyDescent="0.2">
      <c r="B1183" s="5">
        <v>45975</v>
      </c>
      <c r="C1183" t="s">
        <v>875</v>
      </c>
      <c r="D1183" s="11">
        <v>405</v>
      </c>
      <c r="E1183" s="18">
        <v>0</v>
      </c>
      <c r="F1183" s="24">
        <v>0</v>
      </c>
    </row>
    <row r="1184" spans="2:6" x14ac:dyDescent="0.2">
      <c r="B1184" s="5">
        <v>45975</v>
      </c>
      <c r="C1184" t="s">
        <v>84</v>
      </c>
      <c r="D1184" s="11">
        <v>56</v>
      </c>
      <c r="E1184" s="18">
        <v>0</v>
      </c>
      <c r="F1184" s="24">
        <v>0</v>
      </c>
    </row>
    <row r="1185" spans="2:6" x14ac:dyDescent="0.2">
      <c r="B1185" s="5">
        <v>45975</v>
      </c>
      <c r="C1185" t="s">
        <v>86</v>
      </c>
      <c r="D1185" s="11">
        <v>49</v>
      </c>
      <c r="E1185" s="18">
        <v>2</v>
      </c>
      <c r="F1185" s="24">
        <v>4.0816326530612242E-2</v>
      </c>
    </row>
    <row r="1186" spans="2:6" x14ac:dyDescent="0.2">
      <c r="B1186" s="5">
        <v>45975</v>
      </c>
      <c r="C1186" t="s">
        <v>876</v>
      </c>
      <c r="D1186" s="11">
        <v>14</v>
      </c>
      <c r="E1186" s="18">
        <v>0</v>
      </c>
      <c r="F1186" s="24">
        <v>0</v>
      </c>
    </row>
    <row r="1187" spans="2:6" x14ac:dyDescent="0.2">
      <c r="B1187" s="5">
        <v>45975</v>
      </c>
      <c r="C1187" t="s">
        <v>877</v>
      </c>
      <c r="D1187" s="11">
        <v>182</v>
      </c>
      <c r="E1187" s="18">
        <v>3</v>
      </c>
      <c r="F1187" s="24">
        <v>1.6483516483516484E-2</v>
      </c>
    </row>
    <row r="1188" spans="2:6" x14ac:dyDescent="0.2">
      <c r="B1188" s="5">
        <v>45975</v>
      </c>
      <c r="C1188" t="s">
        <v>878</v>
      </c>
      <c r="D1188" s="11">
        <v>706</v>
      </c>
      <c r="E1188" s="18">
        <v>5</v>
      </c>
      <c r="F1188" s="24">
        <v>7.0821529745042494E-3</v>
      </c>
    </row>
    <row r="1189" spans="2:6" x14ac:dyDescent="0.2">
      <c r="B1189" s="5">
        <v>45976</v>
      </c>
      <c r="C1189" t="s">
        <v>875</v>
      </c>
      <c r="D1189" s="11">
        <v>338</v>
      </c>
      <c r="E1189" s="18">
        <v>0</v>
      </c>
      <c r="F1189" s="24">
        <v>0</v>
      </c>
    </row>
    <row r="1190" spans="2:6" x14ac:dyDescent="0.2">
      <c r="B1190" s="5">
        <v>45976</v>
      </c>
      <c r="C1190" t="s">
        <v>84</v>
      </c>
      <c r="D1190" s="11">
        <v>66</v>
      </c>
      <c r="E1190" s="18">
        <v>0</v>
      </c>
      <c r="F1190" s="24">
        <v>0</v>
      </c>
    </row>
    <row r="1191" spans="2:6" x14ac:dyDescent="0.2">
      <c r="B1191" s="5">
        <v>45976</v>
      </c>
      <c r="C1191" t="s">
        <v>86</v>
      </c>
      <c r="D1191" s="11">
        <v>30</v>
      </c>
      <c r="E1191" s="18">
        <v>2</v>
      </c>
      <c r="F1191" s="24">
        <v>6.6666666666666666E-2</v>
      </c>
    </row>
    <row r="1192" spans="2:6" x14ac:dyDescent="0.2">
      <c r="B1192" s="5">
        <v>45976</v>
      </c>
      <c r="C1192" t="s">
        <v>876</v>
      </c>
      <c r="D1192" s="11">
        <v>17</v>
      </c>
      <c r="E1192" s="18">
        <v>0</v>
      </c>
      <c r="F1192" s="24">
        <v>0</v>
      </c>
    </row>
    <row r="1193" spans="2:6" x14ac:dyDescent="0.2">
      <c r="B1193" s="5">
        <v>45976</v>
      </c>
      <c r="C1193" t="s">
        <v>877</v>
      </c>
      <c r="D1193" s="11">
        <v>77</v>
      </c>
      <c r="E1193" s="18">
        <v>3</v>
      </c>
      <c r="F1193" s="24">
        <v>3.896103896103896E-2</v>
      </c>
    </row>
    <row r="1194" spans="2:6" x14ac:dyDescent="0.2">
      <c r="B1194" s="5">
        <v>45976</v>
      </c>
      <c r="C1194" t="s">
        <v>878</v>
      </c>
      <c r="D1194" s="11">
        <v>528</v>
      </c>
      <c r="E1194" s="18">
        <v>5</v>
      </c>
      <c r="F1194" s="24">
        <v>9.46969696969697E-3</v>
      </c>
    </row>
    <row r="1195" spans="2:6" x14ac:dyDescent="0.2">
      <c r="B1195" s="5">
        <v>45977</v>
      </c>
      <c r="C1195" t="s">
        <v>875</v>
      </c>
      <c r="D1195" s="11">
        <v>177</v>
      </c>
      <c r="E1195" s="18">
        <v>0</v>
      </c>
      <c r="F1195" s="24">
        <v>0</v>
      </c>
    </row>
    <row r="1196" spans="2:6" x14ac:dyDescent="0.2">
      <c r="B1196" s="5">
        <v>45977</v>
      </c>
      <c r="C1196" t="s">
        <v>84</v>
      </c>
      <c r="D1196" s="11">
        <v>70</v>
      </c>
      <c r="E1196" s="18">
        <v>0</v>
      </c>
      <c r="F1196" s="24">
        <v>0</v>
      </c>
    </row>
    <row r="1197" spans="2:6" x14ac:dyDescent="0.2">
      <c r="B1197" s="5">
        <v>45977</v>
      </c>
      <c r="C1197" t="s">
        <v>86</v>
      </c>
      <c r="D1197" s="11">
        <v>38</v>
      </c>
      <c r="E1197" s="18">
        <v>2</v>
      </c>
      <c r="F1197" s="24">
        <v>5.2631578947368418E-2</v>
      </c>
    </row>
    <row r="1198" spans="2:6" x14ac:dyDescent="0.2">
      <c r="B1198" s="5">
        <v>45977</v>
      </c>
      <c r="C1198" t="s">
        <v>876</v>
      </c>
      <c r="D1198" s="11">
        <v>16</v>
      </c>
      <c r="E1198" s="18">
        <v>0</v>
      </c>
      <c r="F1198" s="24">
        <v>0</v>
      </c>
    </row>
    <row r="1199" spans="2:6" x14ac:dyDescent="0.2">
      <c r="B1199" s="5">
        <v>45977</v>
      </c>
      <c r="C1199" t="s">
        <v>877</v>
      </c>
      <c r="D1199" s="11">
        <v>68</v>
      </c>
      <c r="E1199" s="18">
        <v>2</v>
      </c>
      <c r="F1199" s="24">
        <v>2.9411764705882353E-2</v>
      </c>
    </row>
    <row r="1200" spans="2:6" x14ac:dyDescent="0.2">
      <c r="B1200" s="5">
        <v>45977</v>
      </c>
      <c r="C1200" t="s">
        <v>878</v>
      </c>
      <c r="D1200" s="11">
        <v>369</v>
      </c>
      <c r="E1200" s="18">
        <v>4</v>
      </c>
      <c r="F1200" s="24">
        <v>1.0840108401084011E-2</v>
      </c>
    </row>
    <row r="1201" spans="2:6" x14ac:dyDescent="0.2">
      <c r="B1201" s="5">
        <v>45978</v>
      </c>
      <c r="C1201" t="s">
        <v>875</v>
      </c>
      <c r="D1201" s="11">
        <v>407</v>
      </c>
      <c r="E1201" s="18">
        <v>0</v>
      </c>
      <c r="F1201" s="24">
        <v>0</v>
      </c>
    </row>
    <row r="1202" spans="2:6" x14ac:dyDescent="0.2">
      <c r="B1202" s="5">
        <v>45978</v>
      </c>
      <c r="C1202" t="s">
        <v>84</v>
      </c>
      <c r="D1202" s="11">
        <v>97</v>
      </c>
      <c r="E1202" s="18">
        <v>1</v>
      </c>
      <c r="F1202" s="24">
        <v>1.0309278350515464E-2</v>
      </c>
    </row>
    <row r="1203" spans="2:6" x14ac:dyDescent="0.2">
      <c r="B1203" s="5">
        <v>45978</v>
      </c>
      <c r="C1203" t="s">
        <v>86</v>
      </c>
      <c r="D1203" s="11">
        <v>38</v>
      </c>
      <c r="E1203" s="18">
        <v>1</v>
      </c>
      <c r="F1203" s="24">
        <v>2.6315789473684209E-2</v>
      </c>
    </row>
    <row r="1204" spans="2:6" x14ac:dyDescent="0.2">
      <c r="B1204" s="5">
        <v>45978</v>
      </c>
      <c r="C1204" t="s">
        <v>876</v>
      </c>
      <c r="D1204" s="11">
        <v>26</v>
      </c>
      <c r="E1204" s="18">
        <v>0</v>
      </c>
      <c r="F1204" s="24">
        <v>0</v>
      </c>
    </row>
    <row r="1205" spans="2:6" x14ac:dyDescent="0.2">
      <c r="B1205" s="5">
        <v>45978</v>
      </c>
      <c r="C1205" t="s">
        <v>877</v>
      </c>
      <c r="D1205" s="11">
        <v>84</v>
      </c>
      <c r="E1205" s="18">
        <v>2</v>
      </c>
      <c r="F1205" s="24">
        <v>2.3809523809523808E-2</v>
      </c>
    </row>
    <row r="1206" spans="2:6" x14ac:dyDescent="0.2">
      <c r="B1206" s="5">
        <v>45978</v>
      </c>
      <c r="C1206" t="s">
        <v>878</v>
      </c>
      <c r="D1206" s="11">
        <v>652</v>
      </c>
      <c r="E1206" s="18">
        <v>4</v>
      </c>
      <c r="F1206" s="24">
        <v>6.1349693251533744E-3</v>
      </c>
    </row>
    <row r="1207" spans="2:6" x14ac:dyDescent="0.2">
      <c r="B1207" s="5">
        <v>45979</v>
      </c>
      <c r="C1207" t="s">
        <v>875</v>
      </c>
      <c r="D1207" s="11">
        <v>316</v>
      </c>
      <c r="E1207" s="18">
        <v>0</v>
      </c>
      <c r="F1207" s="24">
        <v>0</v>
      </c>
    </row>
    <row r="1208" spans="2:6" x14ac:dyDescent="0.2">
      <c r="B1208" s="5">
        <v>45979</v>
      </c>
      <c r="C1208" t="s">
        <v>84</v>
      </c>
      <c r="D1208" s="11">
        <v>76</v>
      </c>
      <c r="E1208" s="18">
        <v>2</v>
      </c>
      <c r="F1208" s="24">
        <v>2.6315789473684209E-2</v>
      </c>
    </row>
    <row r="1209" spans="2:6" x14ac:dyDescent="0.2">
      <c r="B1209" s="5">
        <v>45979</v>
      </c>
      <c r="C1209" t="s">
        <v>86</v>
      </c>
      <c r="D1209" s="11">
        <v>48</v>
      </c>
      <c r="E1209" s="18">
        <v>2</v>
      </c>
      <c r="F1209" s="24">
        <v>4.1666666666666664E-2</v>
      </c>
    </row>
    <row r="1210" spans="2:6" x14ac:dyDescent="0.2">
      <c r="B1210" s="5">
        <v>45979</v>
      </c>
      <c r="C1210" t="s">
        <v>876</v>
      </c>
      <c r="D1210" s="11">
        <v>11</v>
      </c>
      <c r="E1210" s="18">
        <v>0</v>
      </c>
      <c r="F1210" s="24">
        <v>0</v>
      </c>
    </row>
    <row r="1211" spans="2:6" x14ac:dyDescent="0.2">
      <c r="B1211" s="5">
        <v>45979</v>
      </c>
      <c r="C1211" t="s">
        <v>877</v>
      </c>
      <c r="D1211" s="11">
        <v>107</v>
      </c>
      <c r="E1211" s="18">
        <v>3</v>
      </c>
      <c r="F1211" s="24">
        <v>2.8037383177570093E-2</v>
      </c>
    </row>
    <row r="1212" spans="2:6" x14ac:dyDescent="0.2">
      <c r="B1212" s="5">
        <v>45979</v>
      </c>
      <c r="C1212" t="s">
        <v>878</v>
      </c>
      <c r="D1212" s="11">
        <v>558</v>
      </c>
      <c r="E1212" s="18">
        <v>7</v>
      </c>
      <c r="F1212" s="24">
        <v>1.2544802867383513E-2</v>
      </c>
    </row>
    <row r="1213" spans="2:6" x14ac:dyDescent="0.2">
      <c r="B1213" s="5">
        <v>45980</v>
      </c>
      <c r="C1213" t="s">
        <v>875</v>
      </c>
      <c r="D1213" s="11">
        <v>267</v>
      </c>
      <c r="E1213" s="18">
        <v>0</v>
      </c>
      <c r="F1213" s="24">
        <v>0</v>
      </c>
    </row>
    <row r="1214" spans="2:6" x14ac:dyDescent="0.2">
      <c r="B1214" s="5">
        <v>45980</v>
      </c>
      <c r="C1214" t="s">
        <v>84</v>
      </c>
      <c r="D1214" s="11">
        <v>52</v>
      </c>
      <c r="E1214" s="18">
        <v>2</v>
      </c>
      <c r="F1214" s="24">
        <v>3.8461538461538464E-2</v>
      </c>
    </row>
    <row r="1215" spans="2:6" x14ac:dyDescent="0.2">
      <c r="B1215" s="5">
        <v>45980</v>
      </c>
      <c r="C1215" t="s">
        <v>86</v>
      </c>
      <c r="D1215" s="11">
        <v>62</v>
      </c>
      <c r="E1215" s="18">
        <v>1</v>
      </c>
      <c r="F1215" s="24">
        <v>1.6129032258064516E-2</v>
      </c>
    </row>
    <row r="1216" spans="2:6" x14ac:dyDescent="0.2">
      <c r="B1216" s="5">
        <v>45980</v>
      </c>
      <c r="C1216" t="s">
        <v>876</v>
      </c>
      <c r="D1216" s="11">
        <v>9</v>
      </c>
      <c r="E1216" s="18">
        <v>0</v>
      </c>
      <c r="F1216" s="24">
        <v>0</v>
      </c>
    </row>
    <row r="1217" spans="2:6" x14ac:dyDescent="0.2">
      <c r="B1217" s="5">
        <v>45980</v>
      </c>
      <c r="C1217" t="s">
        <v>877</v>
      </c>
      <c r="D1217" s="11">
        <v>98</v>
      </c>
      <c r="E1217" s="18">
        <v>6</v>
      </c>
      <c r="F1217" s="24">
        <v>6.1224489795918366E-2</v>
      </c>
    </row>
    <row r="1218" spans="2:6" x14ac:dyDescent="0.2">
      <c r="B1218" s="5">
        <v>45980</v>
      </c>
      <c r="C1218" t="s">
        <v>878</v>
      </c>
      <c r="D1218" s="11">
        <v>488</v>
      </c>
      <c r="E1218" s="18">
        <v>9</v>
      </c>
      <c r="F1218" s="24">
        <v>1.8442622950819672E-2</v>
      </c>
    </row>
    <row r="1219" spans="2:6" x14ac:dyDescent="0.2">
      <c r="B1219" s="5">
        <v>45981</v>
      </c>
      <c r="C1219" t="s">
        <v>875</v>
      </c>
      <c r="D1219" s="11">
        <v>252</v>
      </c>
      <c r="E1219" s="18">
        <v>0</v>
      </c>
      <c r="F1219" s="24">
        <v>0</v>
      </c>
    </row>
    <row r="1220" spans="2:6" x14ac:dyDescent="0.2">
      <c r="B1220" s="5">
        <v>45981</v>
      </c>
      <c r="C1220" t="s">
        <v>84</v>
      </c>
      <c r="D1220" s="11">
        <v>74</v>
      </c>
      <c r="E1220" s="18">
        <v>1</v>
      </c>
      <c r="F1220" s="24">
        <v>1.3513513513513514E-2</v>
      </c>
    </row>
    <row r="1221" spans="2:6" x14ac:dyDescent="0.2">
      <c r="B1221" s="5">
        <v>45981</v>
      </c>
      <c r="C1221" t="s">
        <v>86</v>
      </c>
      <c r="D1221" s="11">
        <v>51</v>
      </c>
      <c r="E1221" s="18">
        <v>2</v>
      </c>
      <c r="F1221" s="24">
        <v>3.9215686274509803E-2</v>
      </c>
    </row>
    <row r="1222" spans="2:6" x14ac:dyDescent="0.2">
      <c r="B1222" s="5">
        <v>45981</v>
      </c>
      <c r="C1222" t="s">
        <v>876</v>
      </c>
      <c r="D1222" s="11">
        <v>10</v>
      </c>
      <c r="E1222" s="18">
        <v>0</v>
      </c>
      <c r="F1222" s="24">
        <v>0</v>
      </c>
    </row>
    <row r="1223" spans="2:6" x14ac:dyDescent="0.2">
      <c r="B1223" s="5">
        <v>45981</v>
      </c>
      <c r="C1223" t="s">
        <v>877</v>
      </c>
      <c r="D1223" s="11">
        <v>177</v>
      </c>
      <c r="E1223" s="18">
        <v>13</v>
      </c>
      <c r="F1223" s="24">
        <v>7.3446327683615822E-2</v>
      </c>
    </row>
    <row r="1224" spans="2:6" x14ac:dyDescent="0.2">
      <c r="B1224" s="5">
        <v>45981</v>
      </c>
      <c r="C1224" t="s">
        <v>878</v>
      </c>
      <c r="D1224" s="11">
        <v>564</v>
      </c>
      <c r="E1224" s="18">
        <v>16</v>
      </c>
      <c r="F1224" s="24">
        <v>2.8368794326241134E-2</v>
      </c>
    </row>
    <row r="1225" spans="2:6" x14ac:dyDescent="0.2">
      <c r="B1225" s="5">
        <v>45982</v>
      </c>
      <c r="C1225" t="s">
        <v>875</v>
      </c>
      <c r="D1225" s="11">
        <v>429</v>
      </c>
      <c r="E1225" s="18">
        <v>0</v>
      </c>
      <c r="F1225" s="24">
        <v>0</v>
      </c>
    </row>
    <row r="1226" spans="2:6" x14ac:dyDescent="0.2">
      <c r="B1226" s="5">
        <v>45982</v>
      </c>
      <c r="C1226" t="s">
        <v>84</v>
      </c>
      <c r="D1226" s="11">
        <v>70</v>
      </c>
      <c r="E1226" s="18">
        <v>3</v>
      </c>
      <c r="F1226" s="24">
        <v>4.2857142857142858E-2</v>
      </c>
    </row>
    <row r="1227" spans="2:6" x14ac:dyDescent="0.2">
      <c r="B1227" s="5">
        <v>45982</v>
      </c>
      <c r="C1227" t="s">
        <v>86</v>
      </c>
      <c r="D1227" s="11">
        <v>38</v>
      </c>
      <c r="E1227" s="18">
        <v>0</v>
      </c>
      <c r="F1227" s="24">
        <v>0</v>
      </c>
    </row>
    <row r="1228" spans="2:6" x14ac:dyDescent="0.2">
      <c r="B1228" s="5">
        <v>45982</v>
      </c>
      <c r="C1228" t="s">
        <v>876</v>
      </c>
      <c r="D1228" s="11">
        <v>42</v>
      </c>
      <c r="E1228" s="18">
        <v>0</v>
      </c>
      <c r="F1228" s="24">
        <v>0</v>
      </c>
    </row>
    <row r="1229" spans="2:6" x14ac:dyDescent="0.2">
      <c r="B1229" s="5">
        <v>45982</v>
      </c>
      <c r="C1229" t="s">
        <v>877</v>
      </c>
      <c r="D1229" s="11">
        <v>122</v>
      </c>
      <c r="E1229" s="18">
        <v>1</v>
      </c>
      <c r="F1229" s="24">
        <v>8.1967213114754103E-3</v>
      </c>
    </row>
    <row r="1230" spans="2:6" x14ac:dyDescent="0.2">
      <c r="B1230" s="5">
        <v>45982</v>
      </c>
      <c r="C1230" t="s">
        <v>878</v>
      </c>
      <c r="D1230" s="11">
        <v>701</v>
      </c>
      <c r="E1230" s="18">
        <v>4</v>
      </c>
      <c r="F1230" s="24">
        <v>5.7061340941512127E-3</v>
      </c>
    </row>
    <row r="1231" spans="2:6" x14ac:dyDescent="0.2">
      <c r="B1231" s="5">
        <v>45983</v>
      </c>
      <c r="C1231" t="s">
        <v>875</v>
      </c>
      <c r="D1231" s="11">
        <v>251</v>
      </c>
      <c r="E1231" s="18">
        <v>1</v>
      </c>
      <c r="F1231" s="24">
        <v>3.9840637450199202E-3</v>
      </c>
    </row>
    <row r="1232" spans="2:6" x14ac:dyDescent="0.2">
      <c r="B1232" s="5">
        <v>45983</v>
      </c>
      <c r="C1232" t="s">
        <v>84</v>
      </c>
      <c r="D1232" s="11">
        <v>68</v>
      </c>
      <c r="E1232" s="18">
        <v>2</v>
      </c>
      <c r="F1232" s="24">
        <v>2.9411764705882353E-2</v>
      </c>
    </row>
    <row r="1233" spans="2:6" x14ac:dyDescent="0.2">
      <c r="B1233" s="5">
        <v>45983</v>
      </c>
      <c r="C1233" t="s">
        <v>86</v>
      </c>
      <c r="D1233" s="11">
        <v>41</v>
      </c>
      <c r="E1233" s="18">
        <v>0</v>
      </c>
      <c r="F1233" s="24">
        <v>0</v>
      </c>
    </row>
    <row r="1234" spans="2:6" x14ac:dyDescent="0.2">
      <c r="B1234" s="5">
        <v>45983</v>
      </c>
      <c r="C1234" t="s">
        <v>876</v>
      </c>
      <c r="D1234" s="11">
        <v>14</v>
      </c>
      <c r="E1234" s="18">
        <v>0</v>
      </c>
      <c r="F1234" s="24">
        <v>0</v>
      </c>
    </row>
    <row r="1235" spans="2:6" x14ac:dyDescent="0.2">
      <c r="B1235" s="5">
        <v>45983</v>
      </c>
      <c r="C1235" t="s">
        <v>877</v>
      </c>
      <c r="D1235" s="11">
        <v>92</v>
      </c>
      <c r="E1235" s="18">
        <v>1</v>
      </c>
      <c r="F1235" s="24">
        <v>1.0869565217391304E-2</v>
      </c>
    </row>
    <row r="1236" spans="2:6" x14ac:dyDescent="0.2">
      <c r="B1236" s="5">
        <v>45983</v>
      </c>
      <c r="C1236" t="s">
        <v>878</v>
      </c>
      <c r="D1236" s="11">
        <v>466</v>
      </c>
      <c r="E1236" s="18">
        <v>4</v>
      </c>
      <c r="F1236" s="24">
        <v>8.5836909871244635E-3</v>
      </c>
    </row>
    <row r="1237" spans="2:6" x14ac:dyDescent="0.2">
      <c r="B1237" s="5">
        <v>45984</v>
      </c>
      <c r="C1237" t="s">
        <v>875</v>
      </c>
      <c r="D1237" s="11">
        <v>290</v>
      </c>
      <c r="E1237" s="18">
        <v>0</v>
      </c>
      <c r="F1237" s="24">
        <v>0</v>
      </c>
    </row>
    <row r="1238" spans="2:6" x14ac:dyDescent="0.2">
      <c r="B1238" s="5">
        <v>45984</v>
      </c>
      <c r="C1238" t="s">
        <v>84</v>
      </c>
      <c r="D1238" s="11">
        <v>93</v>
      </c>
      <c r="E1238" s="18">
        <v>0</v>
      </c>
      <c r="F1238" s="24">
        <v>0</v>
      </c>
    </row>
    <row r="1239" spans="2:6" x14ac:dyDescent="0.2">
      <c r="B1239" s="5">
        <v>45984</v>
      </c>
      <c r="C1239" t="s">
        <v>86</v>
      </c>
      <c r="D1239" s="11">
        <v>36</v>
      </c>
      <c r="E1239" s="18">
        <v>2</v>
      </c>
      <c r="F1239" s="24">
        <v>5.5555555555555552E-2</v>
      </c>
    </row>
    <row r="1240" spans="2:6" x14ac:dyDescent="0.2">
      <c r="B1240" s="5">
        <v>45984</v>
      </c>
      <c r="C1240" t="s">
        <v>876</v>
      </c>
      <c r="D1240" s="11">
        <v>18</v>
      </c>
      <c r="E1240" s="18">
        <v>0</v>
      </c>
      <c r="F1240" s="24">
        <v>0</v>
      </c>
    </row>
    <row r="1241" spans="2:6" x14ac:dyDescent="0.2">
      <c r="B1241" s="5">
        <v>45984</v>
      </c>
      <c r="C1241" t="s">
        <v>877</v>
      </c>
      <c r="D1241" s="11">
        <v>79</v>
      </c>
      <c r="E1241" s="18">
        <v>1</v>
      </c>
      <c r="F1241" s="24">
        <v>1.2658227848101266E-2</v>
      </c>
    </row>
    <row r="1242" spans="2:6" x14ac:dyDescent="0.2">
      <c r="B1242" s="5">
        <v>45984</v>
      </c>
      <c r="C1242" t="s">
        <v>878</v>
      </c>
      <c r="D1242" s="11">
        <v>516</v>
      </c>
      <c r="E1242" s="18">
        <v>3</v>
      </c>
      <c r="F1242" s="24">
        <v>5.8139534883720929E-3</v>
      </c>
    </row>
    <row r="1243" spans="2:6" x14ac:dyDescent="0.2">
      <c r="B1243" s="5">
        <v>45985</v>
      </c>
      <c r="C1243" t="s">
        <v>875</v>
      </c>
      <c r="D1243" s="11">
        <v>303</v>
      </c>
      <c r="E1243" s="18">
        <v>1</v>
      </c>
      <c r="F1243" s="24">
        <v>3.3003300330033004E-3</v>
      </c>
    </row>
    <row r="1244" spans="2:6" x14ac:dyDescent="0.2">
      <c r="B1244" s="5">
        <v>45985</v>
      </c>
      <c r="C1244" t="s">
        <v>84</v>
      </c>
      <c r="D1244" s="11">
        <v>86</v>
      </c>
      <c r="E1244" s="18">
        <v>2</v>
      </c>
      <c r="F1244" s="24">
        <v>2.3255813953488372E-2</v>
      </c>
    </row>
    <row r="1245" spans="2:6" x14ac:dyDescent="0.2">
      <c r="B1245" s="5">
        <v>45985</v>
      </c>
      <c r="C1245" t="s">
        <v>86</v>
      </c>
      <c r="D1245" s="11">
        <v>75</v>
      </c>
      <c r="E1245" s="18">
        <v>4</v>
      </c>
      <c r="F1245" s="24">
        <v>5.3333333333333337E-2</v>
      </c>
    </row>
    <row r="1246" spans="2:6" x14ac:dyDescent="0.2">
      <c r="B1246" s="5">
        <v>45985</v>
      </c>
      <c r="C1246" t="s">
        <v>876</v>
      </c>
      <c r="D1246" s="11">
        <v>20</v>
      </c>
      <c r="E1246" s="18">
        <v>0</v>
      </c>
      <c r="F1246" s="24">
        <v>0</v>
      </c>
    </row>
    <row r="1247" spans="2:6" x14ac:dyDescent="0.2">
      <c r="B1247" s="5">
        <v>45985</v>
      </c>
      <c r="C1247" t="s">
        <v>877</v>
      </c>
      <c r="D1247" s="11">
        <v>135</v>
      </c>
      <c r="E1247" s="18">
        <v>9</v>
      </c>
      <c r="F1247" s="24">
        <v>6.6666666666666666E-2</v>
      </c>
    </row>
    <row r="1248" spans="2:6" x14ac:dyDescent="0.2">
      <c r="B1248" s="5">
        <v>45985</v>
      </c>
      <c r="C1248" t="s">
        <v>878</v>
      </c>
      <c r="D1248" s="11">
        <v>619</v>
      </c>
      <c r="E1248" s="18">
        <v>16</v>
      </c>
      <c r="F1248" s="24">
        <v>2.5848142164781908E-2</v>
      </c>
    </row>
    <row r="1249" spans="2:6" x14ac:dyDescent="0.2">
      <c r="B1249" s="5">
        <v>45986</v>
      </c>
      <c r="C1249" t="s">
        <v>875</v>
      </c>
      <c r="D1249" s="11">
        <v>247</v>
      </c>
      <c r="E1249" s="18">
        <v>0</v>
      </c>
      <c r="F1249" s="24">
        <v>0</v>
      </c>
    </row>
    <row r="1250" spans="2:6" x14ac:dyDescent="0.2">
      <c r="B1250" s="5">
        <v>45986</v>
      </c>
      <c r="C1250" t="s">
        <v>84</v>
      </c>
      <c r="D1250" s="11">
        <v>73</v>
      </c>
      <c r="E1250" s="18">
        <v>3</v>
      </c>
      <c r="F1250" s="24">
        <v>4.1095890410958902E-2</v>
      </c>
    </row>
    <row r="1251" spans="2:6" x14ac:dyDescent="0.2">
      <c r="B1251" s="5">
        <v>45986</v>
      </c>
      <c r="C1251" t="s">
        <v>86</v>
      </c>
      <c r="D1251" s="11">
        <v>69</v>
      </c>
      <c r="E1251" s="18">
        <v>2</v>
      </c>
      <c r="F1251" s="24">
        <v>2.8985507246376812E-2</v>
      </c>
    </row>
    <row r="1252" spans="2:6" x14ac:dyDescent="0.2">
      <c r="B1252" s="5">
        <v>45986</v>
      </c>
      <c r="C1252" t="s">
        <v>876</v>
      </c>
      <c r="D1252" s="11">
        <v>15</v>
      </c>
      <c r="E1252" s="18">
        <v>0</v>
      </c>
      <c r="F1252" s="24">
        <v>0</v>
      </c>
    </row>
    <row r="1253" spans="2:6" x14ac:dyDescent="0.2">
      <c r="B1253" s="5">
        <v>45986</v>
      </c>
      <c r="C1253" t="s">
        <v>877</v>
      </c>
      <c r="D1253" s="11">
        <v>81</v>
      </c>
      <c r="E1253" s="18">
        <v>4</v>
      </c>
      <c r="F1253" s="24">
        <v>4.9382716049382713E-2</v>
      </c>
    </row>
    <row r="1254" spans="2:6" x14ac:dyDescent="0.2">
      <c r="B1254" s="5">
        <v>45986</v>
      </c>
      <c r="C1254" t="s">
        <v>878</v>
      </c>
      <c r="D1254" s="11">
        <v>485</v>
      </c>
      <c r="E1254" s="18">
        <v>9</v>
      </c>
      <c r="F1254" s="24">
        <v>1.8556701030927835E-2</v>
      </c>
    </row>
    <row r="1255" spans="2:6" x14ac:dyDescent="0.2">
      <c r="B1255" s="5">
        <v>45987</v>
      </c>
      <c r="C1255" t="s">
        <v>875</v>
      </c>
      <c r="D1255" s="11">
        <v>342</v>
      </c>
      <c r="E1255" s="18">
        <v>1</v>
      </c>
      <c r="F1255" s="24">
        <v>2.9239766081871343E-3</v>
      </c>
    </row>
    <row r="1256" spans="2:6" x14ac:dyDescent="0.2">
      <c r="B1256" s="5">
        <v>45987</v>
      </c>
      <c r="C1256" t="s">
        <v>84</v>
      </c>
      <c r="D1256" s="11">
        <v>67</v>
      </c>
      <c r="E1256" s="18">
        <v>0</v>
      </c>
      <c r="F1256" s="24">
        <v>0</v>
      </c>
    </row>
    <row r="1257" spans="2:6" x14ac:dyDescent="0.2">
      <c r="B1257" s="5">
        <v>45987</v>
      </c>
      <c r="C1257" t="s">
        <v>86</v>
      </c>
      <c r="D1257" s="11">
        <v>65</v>
      </c>
      <c r="E1257" s="18">
        <v>2</v>
      </c>
      <c r="F1257" s="24">
        <v>3.0769230769230771E-2</v>
      </c>
    </row>
    <row r="1258" spans="2:6" x14ac:dyDescent="0.2">
      <c r="B1258" s="5">
        <v>45987</v>
      </c>
      <c r="C1258" t="s">
        <v>876</v>
      </c>
      <c r="D1258" s="11">
        <v>15</v>
      </c>
      <c r="E1258" s="18">
        <v>0</v>
      </c>
      <c r="F1258" s="24">
        <v>0</v>
      </c>
    </row>
    <row r="1259" spans="2:6" x14ac:dyDescent="0.2">
      <c r="B1259" s="5">
        <v>45987</v>
      </c>
      <c r="C1259" t="s">
        <v>877</v>
      </c>
      <c r="D1259" s="11">
        <v>238</v>
      </c>
      <c r="E1259" s="18">
        <v>8</v>
      </c>
      <c r="F1259" s="24">
        <v>3.3613445378151259E-2</v>
      </c>
    </row>
    <row r="1260" spans="2:6" x14ac:dyDescent="0.2">
      <c r="B1260" s="5">
        <v>45987</v>
      </c>
      <c r="C1260" t="s">
        <v>878</v>
      </c>
      <c r="D1260" s="11">
        <v>727</v>
      </c>
      <c r="E1260" s="18">
        <v>11</v>
      </c>
      <c r="F1260" s="24">
        <v>1.5130674002751032E-2</v>
      </c>
    </row>
    <row r="1261" spans="2:6" x14ac:dyDescent="0.2">
      <c r="B1261" s="5">
        <v>45988</v>
      </c>
      <c r="C1261" t="s">
        <v>875</v>
      </c>
      <c r="D1261" s="11">
        <v>169</v>
      </c>
      <c r="E1261" s="18">
        <v>0</v>
      </c>
      <c r="F1261" s="24">
        <v>0</v>
      </c>
    </row>
    <row r="1262" spans="2:6" x14ac:dyDescent="0.2">
      <c r="B1262" s="5">
        <v>45988</v>
      </c>
      <c r="C1262" t="s">
        <v>84</v>
      </c>
      <c r="D1262" s="11">
        <v>58</v>
      </c>
      <c r="E1262" s="18">
        <v>0</v>
      </c>
      <c r="F1262" s="24">
        <v>0</v>
      </c>
    </row>
    <row r="1263" spans="2:6" x14ac:dyDescent="0.2">
      <c r="B1263" s="5">
        <v>45988</v>
      </c>
      <c r="C1263" t="s">
        <v>86</v>
      </c>
      <c r="D1263" s="11">
        <v>55</v>
      </c>
      <c r="E1263" s="18">
        <v>2</v>
      </c>
      <c r="F1263" s="24">
        <v>3.6363636363636362E-2</v>
      </c>
    </row>
    <row r="1264" spans="2:6" x14ac:dyDescent="0.2">
      <c r="B1264" s="5">
        <v>45988</v>
      </c>
      <c r="C1264" t="s">
        <v>876</v>
      </c>
      <c r="D1264" s="11">
        <v>3</v>
      </c>
      <c r="E1264" s="18">
        <v>0</v>
      </c>
      <c r="F1264" s="24">
        <v>0</v>
      </c>
    </row>
    <row r="1265" spans="2:6" x14ac:dyDescent="0.2">
      <c r="B1265" s="5">
        <v>45988</v>
      </c>
      <c r="C1265" t="s">
        <v>877</v>
      </c>
      <c r="D1265" s="11">
        <v>111</v>
      </c>
      <c r="E1265" s="18">
        <v>4</v>
      </c>
      <c r="F1265" s="24">
        <v>3.6036036036036036E-2</v>
      </c>
    </row>
    <row r="1266" spans="2:6" x14ac:dyDescent="0.2">
      <c r="B1266" s="5">
        <v>45988</v>
      </c>
      <c r="C1266" t="s">
        <v>878</v>
      </c>
      <c r="D1266" s="11">
        <v>396</v>
      </c>
      <c r="E1266" s="18">
        <v>6</v>
      </c>
      <c r="F1266" s="24">
        <v>1.5151515151515152E-2</v>
      </c>
    </row>
    <row r="1267" spans="2:6" x14ac:dyDescent="0.2">
      <c r="B1267" s="5">
        <v>45989</v>
      </c>
      <c r="C1267" t="s">
        <v>875</v>
      </c>
      <c r="D1267" s="11">
        <v>277</v>
      </c>
      <c r="E1267" s="18">
        <v>0</v>
      </c>
      <c r="F1267" s="24">
        <v>0</v>
      </c>
    </row>
    <row r="1268" spans="2:6" x14ac:dyDescent="0.2">
      <c r="B1268" s="5">
        <v>45989</v>
      </c>
      <c r="C1268" t="s">
        <v>84</v>
      </c>
      <c r="D1268" s="11">
        <v>60</v>
      </c>
      <c r="E1268" s="18">
        <v>4</v>
      </c>
      <c r="F1268" s="24">
        <v>6.6666666666666666E-2</v>
      </c>
    </row>
    <row r="1269" spans="2:6" x14ac:dyDescent="0.2">
      <c r="B1269" s="5">
        <v>45989</v>
      </c>
      <c r="C1269" t="s">
        <v>86</v>
      </c>
      <c r="D1269" s="11">
        <v>52</v>
      </c>
      <c r="E1269" s="18">
        <v>2</v>
      </c>
      <c r="F1269" s="24">
        <v>3.8461538461538464E-2</v>
      </c>
    </row>
    <row r="1270" spans="2:6" x14ac:dyDescent="0.2">
      <c r="B1270" s="5">
        <v>45989</v>
      </c>
      <c r="C1270" t="s">
        <v>876</v>
      </c>
      <c r="D1270" s="11">
        <v>17</v>
      </c>
      <c r="E1270" s="18">
        <v>0</v>
      </c>
      <c r="F1270" s="24">
        <v>0</v>
      </c>
    </row>
    <row r="1271" spans="2:6" x14ac:dyDescent="0.2">
      <c r="B1271" s="5">
        <v>45989</v>
      </c>
      <c r="C1271" t="s">
        <v>877</v>
      </c>
      <c r="D1271" s="11">
        <v>107</v>
      </c>
      <c r="E1271" s="18">
        <v>5</v>
      </c>
      <c r="F1271" s="24">
        <v>4.6728971962616821E-2</v>
      </c>
    </row>
    <row r="1272" spans="2:6" x14ac:dyDescent="0.2">
      <c r="B1272" s="5">
        <v>45989</v>
      </c>
      <c r="C1272" t="s">
        <v>878</v>
      </c>
      <c r="D1272" s="11">
        <v>513</v>
      </c>
      <c r="E1272" s="18">
        <v>11</v>
      </c>
      <c r="F1272" s="24">
        <v>2.1442495126705652E-2</v>
      </c>
    </row>
    <row r="1273" spans="2:6" x14ac:dyDescent="0.2">
      <c r="B1273" s="5">
        <v>45990</v>
      </c>
      <c r="C1273" t="s">
        <v>875</v>
      </c>
      <c r="D1273" s="11">
        <v>231</v>
      </c>
      <c r="E1273" s="18">
        <v>0</v>
      </c>
      <c r="F1273" s="24">
        <v>0</v>
      </c>
    </row>
    <row r="1274" spans="2:6" x14ac:dyDescent="0.2">
      <c r="B1274" s="5">
        <v>45990</v>
      </c>
      <c r="C1274" t="s">
        <v>84</v>
      </c>
      <c r="D1274" s="11">
        <v>83</v>
      </c>
      <c r="E1274" s="18">
        <v>3</v>
      </c>
      <c r="F1274" s="24">
        <v>3.614457831325301E-2</v>
      </c>
    </row>
    <row r="1275" spans="2:6" x14ac:dyDescent="0.2">
      <c r="B1275" s="5">
        <v>45990</v>
      </c>
      <c r="C1275" t="s">
        <v>86</v>
      </c>
      <c r="D1275" s="11">
        <v>45</v>
      </c>
      <c r="E1275" s="18">
        <v>2</v>
      </c>
      <c r="F1275" s="24">
        <v>4.4444444444444446E-2</v>
      </c>
    </row>
    <row r="1276" spans="2:6" x14ac:dyDescent="0.2">
      <c r="B1276" s="5">
        <v>45990</v>
      </c>
      <c r="C1276" t="s">
        <v>876</v>
      </c>
      <c r="D1276" s="11">
        <v>17</v>
      </c>
      <c r="E1276" s="18">
        <v>0</v>
      </c>
      <c r="F1276" s="24">
        <v>0</v>
      </c>
    </row>
    <row r="1277" spans="2:6" x14ac:dyDescent="0.2">
      <c r="B1277" s="5">
        <v>45990</v>
      </c>
      <c r="C1277" t="s">
        <v>877</v>
      </c>
      <c r="D1277" s="11">
        <v>95</v>
      </c>
      <c r="E1277" s="18">
        <v>4</v>
      </c>
      <c r="F1277" s="24">
        <v>4.2105263157894736E-2</v>
      </c>
    </row>
    <row r="1278" spans="2:6" x14ac:dyDescent="0.2">
      <c r="B1278" s="5">
        <v>45990</v>
      </c>
      <c r="C1278" t="s">
        <v>878</v>
      </c>
      <c r="D1278" s="11">
        <v>471</v>
      </c>
      <c r="E1278" s="18">
        <v>9</v>
      </c>
      <c r="F1278" s="24">
        <v>1.9108280254777069E-2</v>
      </c>
    </row>
    <row r="1279" spans="2:6" x14ac:dyDescent="0.2">
      <c r="B1279" s="5">
        <v>45991</v>
      </c>
      <c r="C1279" t="s">
        <v>875</v>
      </c>
      <c r="D1279" s="11">
        <v>291</v>
      </c>
      <c r="E1279" s="18">
        <v>1</v>
      </c>
      <c r="F1279" s="24">
        <v>3.4364261168384879E-3</v>
      </c>
    </row>
    <row r="1280" spans="2:6" x14ac:dyDescent="0.2">
      <c r="B1280" s="5">
        <v>45991</v>
      </c>
      <c r="C1280" t="s">
        <v>84</v>
      </c>
      <c r="D1280" s="11">
        <v>88</v>
      </c>
      <c r="E1280" s="18">
        <v>2</v>
      </c>
      <c r="F1280" s="24">
        <v>2.2727272727272728E-2</v>
      </c>
    </row>
    <row r="1281" spans="2:6" x14ac:dyDescent="0.2">
      <c r="B1281" s="5">
        <v>45991</v>
      </c>
      <c r="C1281" t="s">
        <v>86</v>
      </c>
      <c r="D1281" s="11">
        <v>47</v>
      </c>
      <c r="E1281" s="18">
        <v>4</v>
      </c>
      <c r="F1281" s="24">
        <v>8.5106382978723402E-2</v>
      </c>
    </row>
    <row r="1282" spans="2:6" x14ac:dyDescent="0.2">
      <c r="B1282" s="5">
        <v>45991</v>
      </c>
      <c r="C1282" t="s">
        <v>876</v>
      </c>
      <c r="D1282" s="11">
        <v>13</v>
      </c>
      <c r="E1282" s="18">
        <v>0</v>
      </c>
      <c r="F1282" s="24">
        <v>0</v>
      </c>
    </row>
    <row r="1283" spans="2:6" x14ac:dyDescent="0.2">
      <c r="B1283" s="5">
        <v>45991</v>
      </c>
      <c r="C1283" t="s">
        <v>877</v>
      </c>
      <c r="D1283" s="11">
        <v>97</v>
      </c>
      <c r="E1283" s="18">
        <v>6</v>
      </c>
      <c r="F1283" s="24">
        <v>6.1855670103092786E-2</v>
      </c>
    </row>
    <row r="1284" spans="2:6" x14ac:dyDescent="0.2">
      <c r="B1284" s="5">
        <v>45991</v>
      </c>
      <c r="C1284" t="s">
        <v>878</v>
      </c>
      <c r="D1284" s="11">
        <v>536</v>
      </c>
      <c r="E1284" s="18">
        <v>13</v>
      </c>
      <c r="F1284" s="24">
        <v>2.4253731343283583E-2</v>
      </c>
    </row>
    <row r="1285" spans="2:6" x14ac:dyDescent="0.2">
      <c r="B1285" s="5">
        <v>45992</v>
      </c>
      <c r="C1285" t="s">
        <v>875</v>
      </c>
      <c r="D1285" s="11">
        <v>251</v>
      </c>
      <c r="E1285" s="18">
        <v>1</v>
      </c>
      <c r="F1285" s="24">
        <v>3.9840637450199202E-3</v>
      </c>
    </row>
    <row r="1286" spans="2:6" x14ac:dyDescent="0.2">
      <c r="B1286" s="5">
        <v>45992</v>
      </c>
      <c r="C1286" t="s">
        <v>84</v>
      </c>
      <c r="D1286" s="11">
        <v>90</v>
      </c>
      <c r="E1286" s="18">
        <v>3</v>
      </c>
      <c r="F1286" s="24">
        <v>3.3333333333333333E-2</v>
      </c>
    </row>
    <row r="1287" spans="2:6" x14ac:dyDescent="0.2">
      <c r="B1287" s="5">
        <v>45992</v>
      </c>
      <c r="C1287" t="s">
        <v>86</v>
      </c>
      <c r="D1287" s="11">
        <v>72</v>
      </c>
      <c r="E1287" s="18">
        <v>3</v>
      </c>
      <c r="F1287" s="24">
        <v>4.1666666666666664E-2</v>
      </c>
    </row>
    <row r="1288" spans="2:6" x14ac:dyDescent="0.2">
      <c r="B1288" s="5">
        <v>45992</v>
      </c>
      <c r="C1288" t="s">
        <v>876</v>
      </c>
      <c r="D1288" s="11">
        <v>21</v>
      </c>
      <c r="E1288" s="18">
        <v>0</v>
      </c>
      <c r="F1288" s="24">
        <v>0</v>
      </c>
    </row>
    <row r="1289" spans="2:6" x14ac:dyDescent="0.2">
      <c r="B1289" s="5">
        <v>45992</v>
      </c>
      <c r="C1289" t="s">
        <v>877</v>
      </c>
      <c r="D1289" s="11">
        <v>137</v>
      </c>
      <c r="E1289" s="18">
        <v>7</v>
      </c>
      <c r="F1289" s="24">
        <v>5.1094890510948905E-2</v>
      </c>
    </row>
    <row r="1290" spans="2:6" x14ac:dyDescent="0.2">
      <c r="B1290" s="5">
        <v>45992</v>
      </c>
      <c r="C1290" t="s">
        <v>878</v>
      </c>
      <c r="D1290" s="11">
        <v>571</v>
      </c>
      <c r="E1290" s="18">
        <v>14</v>
      </c>
      <c r="F1290" s="24">
        <v>2.4518388791593695E-2</v>
      </c>
    </row>
    <row r="1291" spans="2:6" x14ac:dyDescent="0.2">
      <c r="B1291" s="5">
        <v>45993</v>
      </c>
      <c r="C1291" t="s">
        <v>875</v>
      </c>
      <c r="D1291" s="11">
        <v>277</v>
      </c>
      <c r="E1291" s="18">
        <v>0</v>
      </c>
      <c r="F1291" s="24">
        <v>0</v>
      </c>
    </row>
    <row r="1292" spans="2:6" x14ac:dyDescent="0.2">
      <c r="B1292" s="5">
        <v>45993</v>
      </c>
      <c r="C1292" t="s">
        <v>84</v>
      </c>
      <c r="D1292" s="11">
        <v>86</v>
      </c>
      <c r="E1292" s="18">
        <v>1</v>
      </c>
      <c r="F1292" s="24">
        <v>1.1627906976744186E-2</v>
      </c>
    </row>
    <row r="1293" spans="2:6" x14ac:dyDescent="0.2">
      <c r="B1293" s="5">
        <v>45993</v>
      </c>
      <c r="C1293" t="s">
        <v>86</v>
      </c>
      <c r="D1293" s="11">
        <v>78</v>
      </c>
      <c r="E1293" s="18">
        <v>6</v>
      </c>
      <c r="F1293" s="24">
        <v>7.6923076923076927E-2</v>
      </c>
    </row>
    <row r="1294" spans="2:6" x14ac:dyDescent="0.2">
      <c r="B1294" s="5">
        <v>45993</v>
      </c>
      <c r="C1294" t="s">
        <v>876</v>
      </c>
      <c r="D1294" s="11">
        <v>15</v>
      </c>
      <c r="E1294" s="18">
        <v>0</v>
      </c>
      <c r="F1294" s="24">
        <v>0</v>
      </c>
    </row>
    <row r="1295" spans="2:6" x14ac:dyDescent="0.2">
      <c r="B1295" s="5">
        <v>45993</v>
      </c>
      <c r="C1295" t="s">
        <v>877</v>
      </c>
      <c r="D1295" s="11">
        <v>119</v>
      </c>
      <c r="E1295" s="18">
        <v>7</v>
      </c>
      <c r="F1295" s="24">
        <v>5.8823529411764705E-2</v>
      </c>
    </row>
    <row r="1296" spans="2:6" x14ac:dyDescent="0.2">
      <c r="B1296" s="5">
        <v>45993</v>
      </c>
      <c r="C1296" t="s">
        <v>878</v>
      </c>
      <c r="D1296" s="11">
        <v>575</v>
      </c>
      <c r="E1296" s="18">
        <v>14</v>
      </c>
      <c r="F1296" s="24">
        <v>2.4347826086956521E-2</v>
      </c>
    </row>
    <row r="1297" spans="2:6" x14ac:dyDescent="0.2">
      <c r="B1297" s="5">
        <v>45994</v>
      </c>
      <c r="C1297" t="s">
        <v>875</v>
      </c>
      <c r="D1297" s="11">
        <v>408</v>
      </c>
      <c r="E1297" s="18">
        <v>0</v>
      </c>
      <c r="F1297" s="24">
        <v>0</v>
      </c>
    </row>
    <row r="1298" spans="2:6" x14ac:dyDescent="0.2">
      <c r="B1298" s="5">
        <v>45994</v>
      </c>
      <c r="C1298" t="s">
        <v>84</v>
      </c>
      <c r="D1298" s="11">
        <v>69</v>
      </c>
      <c r="E1298" s="18">
        <v>0</v>
      </c>
      <c r="F1298" s="24">
        <v>0</v>
      </c>
    </row>
    <row r="1299" spans="2:6" x14ac:dyDescent="0.2">
      <c r="B1299" s="5">
        <v>45994</v>
      </c>
      <c r="C1299" t="s">
        <v>86</v>
      </c>
      <c r="D1299" s="11">
        <v>85</v>
      </c>
      <c r="E1299" s="18">
        <v>5</v>
      </c>
      <c r="F1299" s="24">
        <v>5.8823529411764705E-2</v>
      </c>
    </row>
    <row r="1300" spans="2:6" x14ac:dyDescent="0.2">
      <c r="B1300" s="5">
        <v>45994</v>
      </c>
      <c r="C1300" t="s">
        <v>876</v>
      </c>
      <c r="D1300" s="11">
        <v>34</v>
      </c>
      <c r="E1300" s="18">
        <v>0</v>
      </c>
      <c r="F1300" s="24">
        <v>0</v>
      </c>
    </row>
    <row r="1301" spans="2:6" x14ac:dyDescent="0.2">
      <c r="B1301" s="5">
        <v>45994</v>
      </c>
      <c r="C1301" t="s">
        <v>877</v>
      </c>
      <c r="D1301" s="11">
        <v>256</v>
      </c>
      <c r="E1301" s="18">
        <v>13</v>
      </c>
      <c r="F1301" s="24">
        <v>5.078125E-2</v>
      </c>
    </row>
    <row r="1302" spans="2:6" x14ac:dyDescent="0.2">
      <c r="B1302" s="5">
        <v>45994</v>
      </c>
      <c r="C1302" t="s">
        <v>878</v>
      </c>
      <c r="D1302" s="11">
        <v>852</v>
      </c>
      <c r="E1302" s="18">
        <v>18</v>
      </c>
      <c r="F1302" s="24">
        <v>2.1126760563380281E-2</v>
      </c>
    </row>
    <row r="1303" spans="2:6" x14ac:dyDescent="0.2">
      <c r="B1303" s="5">
        <v>45995</v>
      </c>
      <c r="C1303" t="s">
        <v>875</v>
      </c>
      <c r="D1303" s="11">
        <v>278</v>
      </c>
      <c r="E1303" s="18">
        <v>1</v>
      </c>
      <c r="F1303" s="24">
        <v>3.5971223021582736E-3</v>
      </c>
    </row>
    <row r="1304" spans="2:6" x14ac:dyDescent="0.2">
      <c r="B1304" s="5">
        <v>45995</v>
      </c>
      <c r="C1304" t="s">
        <v>84</v>
      </c>
      <c r="D1304" s="11">
        <v>94</v>
      </c>
      <c r="E1304" s="18">
        <v>0</v>
      </c>
      <c r="F1304" s="24">
        <v>0</v>
      </c>
    </row>
    <row r="1305" spans="2:6" x14ac:dyDescent="0.2">
      <c r="B1305" s="5">
        <v>45995</v>
      </c>
      <c r="C1305" t="s">
        <v>86</v>
      </c>
      <c r="D1305" s="11">
        <v>59</v>
      </c>
      <c r="E1305" s="18">
        <v>1</v>
      </c>
      <c r="F1305" s="24">
        <v>1.6949152542372881E-2</v>
      </c>
    </row>
    <row r="1306" spans="2:6" x14ac:dyDescent="0.2">
      <c r="B1306" s="5">
        <v>45995</v>
      </c>
      <c r="C1306" t="s">
        <v>876</v>
      </c>
      <c r="D1306" s="11">
        <v>28</v>
      </c>
      <c r="E1306" s="18">
        <v>0</v>
      </c>
      <c r="F1306" s="24">
        <v>0</v>
      </c>
    </row>
    <row r="1307" spans="2:6" x14ac:dyDescent="0.2">
      <c r="B1307" s="5">
        <v>45995</v>
      </c>
      <c r="C1307" t="s">
        <v>877</v>
      </c>
      <c r="D1307" s="11">
        <v>187</v>
      </c>
      <c r="E1307" s="18">
        <v>13</v>
      </c>
      <c r="F1307" s="24">
        <v>6.9518716577540107E-2</v>
      </c>
    </row>
    <row r="1308" spans="2:6" x14ac:dyDescent="0.2">
      <c r="B1308" s="5">
        <v>45995</v>
      </c>
      <c r="C1308" t="s">
        <v>878</v>
      </c>
      <c r="D1308" s="11">
        <v>646</v>
      </c>
      <c r="E1308" s="18">
        <v>15</v>
      </c>
      <c r="F1308" s="24">
        <v>2.3219814241486069E-2</v>
      </c>
    </row>
    <row r="1309" spans="2:6" x14ac:dyDescent="0.2">
      <c r="B1309" s="5">
        <v>45996</v>
      </c>
      <c r="C1309" t="s">
        <v>875</v>
      </c>
      <c r="D1309" s="11">
        <v>397</v>
      </c>
      <c r="E1309" s="18">
        <v>0</v>
      </c>
      <c r="F1309" s="24">
        <v>0</v>
      </c>
    </row>
    <row r="1310" spans="2:6" x14ac:dyDescent="0.2">
      <c r="B1310" s="5">
        <v>45996</v>
      </c>
      <c r="C1310" t="s">
        <v>84</v>
      </c>
      <c r="D1310" s="11">
        <v>95</v>
      </c>
      <c r="E1310" s="18">
        <v>0</v>
      </c>
      <c r="F1310" s="24">
        <v>0</v>
      </c>
    </row>
    <row r="1311" spans="2:6" x14ac:dyDescent="0.2">
      <c r="B1311" s="5">
        <v>45996</v>
      </c>
      <c r="C1311" t="s">
        <v>86</v>
      </c>
      <c r="D1311" s="11">
        <v>48</v>
      </c>
      <c r="E1311" s="18">
        <v>2</v>
      </c>
      <c r="F1311" s="24">
        <v>4.1666666666666664E-2</v>
      </c>
    </row>
    <row r="1312" spans="2:6" x14ac:dyDescent="0.2">
      <c r="B1312" s="5">
        <v>45996</v>
      </c>
      <c r="C1312" t="s">
        <v>876</v>
      </c>
      <c r="D1312" s="11">
        <v>65</v>
      </c>
      <c r="E1312" s="18">
        <v>0</v>
      </c>
      <c r="F1312" s="24">
        <v>0</v>
      </c>
    </row>
    <row r="1313" spans="2:6" x14ac:dyDescent="0.2">
      <c r="B1313" s="5">
        <v>45996</v>
      </c>
      <c r="C1313" t="s">
        <v>877</v>
      </c>
      <c r="D1313" s="11">
        <v>143</v>
      </c>
      <c r="E1313" s="18">
        <v>9</v>
      </c>
      <c r="F1313" s="24">
        <v>6.2937062937062943E-2</v>
      </c>
    </row>
    <row r="1314" spans="2:6" x14ac:dyDescent="0.2">
      <c r="B1314" s="5">
        <v>45996</v>
      </c>
      <c r="C1314" t="s">
        <v>878</v>
      </c>
      <c r="D1314" s="11">
        <v>748</v>
      </c>
      <c r="E1314" s="18">
        <v>11</v>
      </c>
      <c r="F1314" s="24">
        <v>1.4705882352941176E-2</v>
      </c>
    </row>
    <row r="1315" spans="2:6" x14ac:dyDescent="0.2">
      <c r="B1315" s="5">
        <v>45997</v>
      </c>
      <c r="C1315" t="s">
        <v>875</v>
      </c>
      <c r="D1315" s="11">
        <v>166</v>
      </c>
      <c r="E1315" s="18">
        <v>1</v>
      </c>
      <c r="F1315" s="24">
        <v>6.024096385542169E-3</v>
      </c>
    </row>
    <row r="1316" spans="2:6" x14ac:dyDescent="0.2">
      <c r="B1316" s="5">
        <v>45997</v>
      </c>
      <c r="C1316" t="s">
        <v>84</v>
      </c>
      <c r="D1316" s="11">
        <v>109</v>
      </c>
      <c r="E1316" s="18">
        <v>3</v>
      </c>
      <c r="F1316" s="24">
        <v>2.7522935779816515E-2</v>
      </c>
    </row>
    <row r="1317" spans="2:6" x14ac:dyDescent="0.2">
      <c r="B1317" s="5">
        <v>45997</v>
      </c>
      <c r="C1317" t="s">
        <v>86</v>
      </c>
      <c r="D1317" s="11">
        <v>60</v>
      </c>
      <c r="E1317" s="18">
        <v>2</v>
      </c>
      <c r="F1317" s="24">
        <v>3.3333333333333333E-2</v>
      </c>
    </row>
    <row r="1318" spans="2:6" x14ac:dyDescent="0.2">
      <c r="B1318" s="5">
        <v>45997</v>
      </c>
      <c r="C1318" t="s">
        <v>876</v>
      </c>
      <c r="D1318" s="11">
        <v>48</v>
      </c>
      <c r="E1318" s="18">
        <v>0</v>
      </c>
      <c r="F1318" s="24">
        <v>0</v>
      </c>
    </row>
    <row r="1319" spans="2:6" x14ac:dyDescent="0.2">
      <c r="B1319" s="5">
        <v>45997</v>
      </c>
      <c r="C1319" t="s">
        <v>877</v>
      </c>
      <c r="D1319" s="11">
        <v>109</v>
      </c>
      <c r="E1319" s="18">
        <v>3</v>
      </c>
      <c r="F1319" s="24">
        <v>2.7522935779816515E-2</v>
      </c>
    </row>
    <row r="1320" spans="2:6" x14ac:dyDescent="0.2">
      <c r="B1320" s="5">
        <v>45997</v>
      </c>
      <c r="C1320" t="s">
        <v>878</v>
      </c>
      <c r="D1320" s="11">
        <v>492</v>
      </c>
      <c r="E1320" s="18">
        <v>9</v>
      </c>
      <c r="F1320" s="24">
        <v>1.8292682926829267E-2</v>
      </c>
    </row>
    <row r="1321" spans="2:6" x14ac:dyDescent="0.2">
      <c r="B1321" s="5">
        <v>45998</v>
      </c>
      <c r="C1321" t="s">
        <v>875</v>
      </c>
      <c r="D1321" s="11">
        <v>289</v>
      </c>
      <c r="E1321" s="18">
        <v>1</v>
      </c>
      <c r="F1321" s="24">
        <v>3.4602076124567475E-3</v>
      </c>
    </row>
    <row r="1322" spans="2:6" x14ac:dyDescent="0.2">
      <c r="B1322" s="5">
        <v>45998</v>
      </c>
      <c r="C1322" t="s">
        <v>84</v>
      </c>
      <c r="D1322" s="11">
        <v>97</v>
      </c>
      <c r="E1322" s="18">
        <v>3</v>
      </c>
      <c r="F1322" s="24">
        <v>3.0927835051546393E-2</v>
      </c>
    </row>
    <row r="1323" spans="2:6" x14ac:dyDescent="0.2">
      <c r="B1323" s="5">
        <v>45998</v>
      </c>
      <c r="C1323" t="s">
        <v>86</v>
      </c>
      <c r="D1323" s="11">
        <v>47</v>
      </c>
      <c r="E1323" s="18">
        <v>3</v>
      </c>
      <c r="F1323" s="24">
        <v>6.3829787234042548E-2</v>
      </c>
    </row>
    <row r="1324" spans="2:6" x14ac:dyDescent="0.2">
      <c r="B1324" s="5">
        <v>45998</v>
      </c>
      <c r="C1324" t="s">
        <v>876</v>
      </c>
      <c r="D1324" s="11">
        <v>55</v>
      </c>
      <c r="E1324" s="18">
        <v>0</v>
      </c>
      <c r="F1324" s="24">
        <v>0</v>
      </c>
    </row>
    <row r="1325" spans="2:6" x14ac:dyDescent="0.2">
      <c r="B1325" s="5">
        <v>45998</v>
      </c>
      <c r="C1325" t="s">
        <v>877</v>
      </c>
      <c r="D1325" s="11">
        <v>91</v>
      </c>
      <c r="E1325" s="18">
        <v>3</v>
      </c>
      <c r="F1325" s="24">
        <v>3.2967032967032968E-2</v>
      </c>
    </row>
    <row r="1326" spans="2:6" x14ac:dyDescent="0.2">
      <c r="B1326" s="5">
        <v>45998</v>
      </c>
      <c r="C1326" t="s">
        <v>878</v>
      </c>
      <c r="D1326" s="11">
        <v>579</v>
      </c>
      <c r="E1326" s="18">
        <v>10</v>
      </c>
      <c r="F1326" s="24">
        <v>1.7271157167530225E-2</v>
      </c>
    </row>
    <row r="1327" spans="2:6" x14ac:dyDescent="0.2">
      <c r="B1327" s="5">
        <v>45999</v>
      </c>
      <c r="C1327" t="s">
        <v>875</v>
      </c>
      <c r="D1327" s="11">
        <v>148</v>
      </c>
      <c r="E1327" s="18">
        <v>0</v>
      </c>
      <c r="F1327" s="24">
        <v>0</v>
      </c>
    </row>
    <row r="1328" spans="2:6" x14ac:dyDescent="0.2">
      <c r="B1328" s="5">
        <v>45999</v>
      </c>
      <c r="C1328" t="s">
        <v>84</v>
      </c>
      <c r="D1328" s="11">
        <v>105</v>
      </c>
      <c r="E1328" s="18">
        <v>2</v>
      </c>
      <c r="F1328" s="24">
        <v>1.9047619047619049E-2</v>
      </c>
    </row>
    <row r="1329" spans="2:6" x14ac:dyDescent="0.2">
      <c r="B1329" s="5">
        <v>45999</v>
      </c>
      <c r="C1329" t="s">
        <v>86</v>
      </c>
      <c r="D1329" s="11">
        <v>64</v>
      </c>
      <c r="E1329" s="18">
        <v>4</v>
      </c>
      <c r="F1329" s="24">
        <v>6.25E-2</v>
      </c>
    </row>
    <row r="1330" spans="2:6" x14ac:dyDescent="0.2">
      <c r="B1330" s="5">
        <v>45999</v>
      </c>
      <c r="C1330" t="s">
        <v>876</v>
      </c>
      <c r="D1330" s="11">
        <v>28</v>
      </c>
      <c r="E1330" s="18">
        <v>0</v>
      </c>
      <c r="F1330" s="24">
        <v>0</v>
      </c>
    </row>
    <row r="1331" spans="2:6" x14ac:dyDescent="0.2">
      <c r="B1331" s="5">
        <v>45999</v>
      </c>
      <c r="C1331" t="s">
        <v>877</v>
      </c>
      <c r="D1331" s="11">
        <v>155</v>
      </c>
      <c r="E1331" s="18">
        <v>5</v>
      </c>
      <c r="F1331" s="24">
        <v>3.2258064516129031E-2</v>
      </c>
    </row>
    <row r="1332" spans="2:6" x14ac:dyDescent="0.2">
      <c r="B1332" s="5">
        <v>45999</v>
      </c>
      <c r="C1332" t="s">
        <v>878</v>
      </c>
      <c r="D1332" s="11">
        <v>500</v>
      </c>
      <c r="E1332" s="18">
        <v>11</v>
      </c>
      <c r="F1332" s="24">
        <v>2.1999999999999999E-2</v>
      </c>
    </row>
    <row r="1333" spans="2:6" x14ac:dyDescent="0.2">
      <c r="B1333" s="5">
        <v>46000</v>
      </c>
      <c r="C1333" t="s">
        <v>875</v>
      </c>
      <c r="D1333" s="11">
        <v>260</v>
      </c>
      <c r="E1333" s="18">
        <v>0</v>
      </c>
      <c r="F1333" s="24">
        <v>0</v>
      </c>
    </row>
    <row r="1334" spans="2:6" x14ac:dyDescent="0.2">
      <c r="B1334" s="5">
        <v>46000</v>
      </c>
      <c r="C1334" t="s">
        <v>84</v>
      </c>
      <c r="D1334" s="11">
        <v>128</v>
      </c>
      <c r="E1334" s="18">
        <v>1</v>
      </c>
      <c r="F1334" s="24">
        <v>7.8125E-3</v>
      </c>
    </row>
    <row r="1335" spans="2:6" x14ac:dyDescent="0.2">
      <c r="B1335" s="5">
        <v>46000</v>
      </c>
      <c r="C1335" t="s">
        <v>86</v>
      </c>
      <c r="D1335" s="11">
        <v>101</v>
      </c>
      <c r="E1335" s="18">
        <v>7</v>
      </c>
      <c r="F1335" s="24">
        <v>6.9306930693069313E-2</v>
      </c>
    </row>
    <row r="1336" spans="2:6" x14ac:dyDescent="0.2">
      <c r="B1336" s="5">
        <v>46000</v>
      </c>
      <c r="C1336" t="s">
        <v>876</v>
      </c>
      <c r="D1336" s="11">
        <v>43</v>
      </c>
      <c r="E1336" s="18">
        <v>0</v>
      </c>
      <c r="F1336" s="24">
        <v>0</v>
      </c>
    </row>
    <row r="1337" spans="2:6" x14ac:dyDescent="0.2">
      <c r="B1337" s="5">
        <v>46000</v>
      </c>
      <c r="C1337" t="s">
        <v>877</v>
      </c>
      <c r="D1337" s="11">
        <v>144</v>
      </c>
      <c r="E1337" s="18">
        <v>10</v>
      </c>
      <c r="F1337" s="24">
        <v>6.9444444444444448E-2</v>
      </c>
    </row>
    <row r="1338" spans="2:6" x14ac:dyDescent="0.2">
      <c r="B1338" s="5">
        <v>46000</v>
      </c>
      <c r="C1338" t="s">
        <v>878</v>
      </c>
      <c r="D1338" s="11">
        <v>676</v>
      </c>
      <c r="E1338" s="18">
        <v>18</v>
      </c>
      <c r="F1338" s="24">
        <v>2.6627218934911243E-2</v>
      </c>
    </row>
    <row r="1339" spans="2:6" x14ac:dyDescent="0.2">
      <c r="B1339" s="5">
        <v>46001</v>
      </c>
      <c r="C1339" t="s">
        <v>875</v>
      </c>
      <c r="D1339" s="11">
        <v>141</v>
      </c>
      <c r="E1339" s="18">
        <v>0</v>
      </c>
      <c r="F1339" s="24">
        <v>0</v>
      </c>
    </row>
    <row r="1340" spans="2:6" x14ac:dyDescent="0.2">
      <c r="B1340" s="5">
        <v>46001</v>
      </c>
      <c r="C1340" t="s">
        <v>84</v>
      </c>
      <c r="D1340" s="11">
        <v>100</v>
      </c>
      <c r="E1340" s="18">
        <v>3</v>
      </c>
      <c r="F1340" s="24">
        <v>0.03</v>
      </c>
    </row>
    <row r="1341" spans="2:6" x14ac:dyDescent="0.2">
      <c r="B1341" s="5">
        <v>46001</v>
      </c>
      <c r="C1341" t="s">
        <v>86</v>
      </c>
      <c r="D1341" s="11">
        <v>106</v>
      </c>
      <c r="E1341" s="18">
        <v>4</v>
      </c>
      <c r="F1341" s="24">
        <v>3.7735849056603772E-2</v>
      </c>
    </row>
    <row r="1342" spans="2:6" x14ac:dyDescent="0.2">
      <c r="B1342" s="5">
        <v>46001</v>
      </c>
      <c r="C1342" t="s">
        <v>876</v>
      </c>
      <c r="D1342" s="11">
        <v>11</v>
      </c>
      <c r="E1342" s="18">
        <v>0</v>
      </c>
      <c r="F1342" s="24">
        <v>0</v>
      </c>
    </row>
    <row r="1343" spans="2:6" x14ac:dyDescent="0.2">
      <c r="B1343" s="5">
        <v>46001</v>
      </c>
      <c r="C1343" t="s">
        <v>877</v>
      </c>
      <c r="D1343" s="11">
        <v>168</v>
      </c>
      <c r="E1343" s="18">
        <v>7</v>
      </c>
      <c r="F1343" s="24">
        <v>4.1666666666666664E-2</v>
      </c>
    </row>
    <row r="1344" spans="2:6" x14ac:dyDescent="0.2">
      <c r="B1344" s="5">
        <v>46001</v>
      </c>
      <c r="C1344" t="s">
        <v>878</v>
      </c>
      <c r="D1344" s="11">
        <v>526</v>
      </c>
      <c r="E1344" s="18">
        <v>14</v>
      </c>
      <c r="F1344" s="24">
        <v>2.6615969581749048E-2</v>
      </c>
    </row>
    <row r="1345" spans="2:6" x14ac:dyDescent="0.2">
      <c r="B1345" s="5">
        <v>46002</v>
      </c>
      <c r="C1345" t="s">
        <v>875</v>
      </c>
      <c r="D1345" s="11">
        <v>303</v>
      </c>
      <c r="E1345" s="18">
        <v>0</v>
      </c>
      <c r="F1345" s="24">
        <v>0</v>
      </c>
    </row>
    <row r="1346" spans="2:6" x14ac:dyDescent="0.2">
      <c r="B1346" s="5">
        <v>46002</v>
      </c>
      <c r="C1346" t="s">
        <v>84</v>
      </c>
      <c r="D1346" s="11">
        <v>147</v>
      </c>
      <c r="E1346" s="18">
        <v>1</v>
      </c>
      <c r="F1346" s="24">
        <v>6.8027210884353739E-3</v>
      </c>
    </row>
    <row r="1347" spans="2:6" x14ac:dyDescent="0.2">
      <c r="B1347" s="5">
        <v>46002</v>
      </c>
      <c r="C1347" t="s">
        <v>86</v>
      </c>
      <c r="D1347" s="11">
        <v>102</v>
      </c>
      <c r="E1347" s="18">
        <v>10</v>
      </c>
      <c r="F1347" s="24">
        <v>9.8039215686274508E-2</v>
      </c>
    </row>
    <row r="1348" spans="2:6" x14ac:dyDescent="0.2">
      <c r="B1348" s="5">
        <v>46002</v>
      </c>
      <c r="C1348" t="s">
        <v>876</v>
      </c>
      <c r="D1348" s="11">
        <v>27</v>
      </c>
      <c r="E1348" s="18">
        <v>0</v>
      </c>
      <c r="F1348" s="24">
        <v>0</v>
      </c>
    </row>
    <row r="1349" spans="2:6" x14ac:dyDescent="0.2">
      <c r="B1349" s="5">
        <v>46002</v>
      </c>
      <c r="C1349" t="s">
        <v>877</v>
      </c>
      <c r="D1349" s="11">
        <v>137</v>
      </c>
      <c r="E1349" s="18">
        <v>7</v>
      </c>
      <c r="F1349" s="24">
        <v>5.1094890510948905E-2</v>
      </c>
    </row>
    <row r="1350" spans="2:6" x14ac:dyDescent="0.2">
      <c r="B1350" s="5">
        <v>46002</v>
      </c>
      <c r="C1350" t="s">
        <v>878</v>
      </c>
      <c r="D1350" s="11">
        <v>716</v>
      </c>
      <c r="E1350" s="18">
        <v>18</v>
      </c>
      <c r="F1350" s="24">
        <v>2.5139664804469275E-2</v>
      </c>
    </row>
    <row r="1351" spans="2:6" x14ac:dyDescent="0.2">
      <c r="B1351" s="5">
        <v>46003</v>
      </c>
      <c r="C1351" t="s">
        <v>875</v>
      </c>
      <c r="D1351" s="11">
        <v>91</v>
      </c>
      <c r="E1351" s="18">
        <v>0</v>
      </c>
      <c r="F1351" s="24">
        <v>0</v>
      </c>
    </row>
    <row r="1352" spans="2:6" x14ac:dyDescent="0.2">
      <c r="B1352" s="5">
        <v>46003</v>
      </c>
      <c r="C1352" t="s">
        <v>84</v>
      </c>
      <c r="D1352" s="11">
        <v>79</v>
      </c>
      <c r="E1352" s="18">
        <v>4</v>
      </c>
      <c r="F1352" s="24">
        <v>5.0632911392405063E-2</v>
      </c>
    </row>
    <row r="1353" spans="2:6" x14ac:dyDescent="0.2">
      <c r="B1353" s="5">
        <v>46003</v>
      </c>
      <c r="C1353" t="s">
        <v>86</v>
      </c>
      <c r="D1353" s="11">
        <v>83</v>
      </c>
      <c r="E1353" s="18">
        <v>2</v>
      </c>
      <c r="F1353" s="24">
        <v>2.4096385542168676E-2</v>
      </c>
    </row>
    <row r="1354" spans="2:6" x14ac:dyDescent="0.2">
      <c r="B1354" s="5">
        <v>46003</v>
      </c>
      <c r="C1354" t="s">
        <v>876</v>
      </c>
      <c r="D1354" s="11">
        <v>27</v>
      </c>
      <c r="E1354" s="18">
        <v>0</v>
      </c>
      <c r="F1354" s="24">
        <v>0</v>
      </c>
    </row>
    <row r="1355" spans="2:6" x14ac:dyDescent="0.2">
      <c r="B1355" s="5">
        <v>46003</v>
      </c>
      <c r="C1355" t="s">
        <v>877</v>
      </c>
      <c r="D1355" s="11">
        <v>88</v>
      </c>
      <c r="E1355" s="18">
        <v>3</v>
      </c>
      <c r="F1355" s="24">
        <v>3.4090909090909088E-2</v>
      </c>
    </row>
    <row r="1356" spans="2:6" x14ac:dyDescent="0.2">
      <c r="B1356" s="5">
        <v>46003</v>
      </c>
      <c r="C1356" t="s">
        <v>878</v>
      </c>
      <c r="D1356" s="11">
        <v>368</v>
      </c>
      <c r="E1356" s="18">
        <v>9</v>
      </c>
      <c r="F1356" s="24">
        <v>2.4456521739130436E-2</v>
      </c>
    </row>
    <row r="1357" spans="2:6" x14ac:dyDescent="0.2">
      <c r="B1357" s="5">
        <v>46004</v>
      </c>
      <c r="C1357" t="s">
        <v>875</v>
      </c>
      <c r="D1357" s="11">
        <v>224</v>
      </c>
      <c r="E1357" s="18">
        <v>0</v>
      </c>
      <c r="F1357" s="24">
        <v>0</v>
      </c>
    </row>
    <row r="1358" spans="2:6" x14ac:dyDescent="0.2">
      <c r="B1358" s="5">
        <v>46004</v>
      </c>
      <c r="C1358" t="s">
        <v>84</v>
      </c>
      <c r="D1358" s="11">
        <v>121</v>
      </c>
      <c r="E1358" s="18">
        <v>5</v>
      </c>
      <c r="F1358" s="24">
        <v>4.1322314049586778E-2</v>
      </c>
    </row>
    <row r="1359" spans="2:6" x14ac:dyDescent="0.2">
      <c r="B1359" s="5">
        <v>46004</v>
      </c>
      <c r="C1359" t="s">
        <v>86</v>
      </c>
      <c r="D1359" s="11">
        <v>81</v>
      </c>
      <c r="E1359" s="18">
        <v>7</v>
      </c>
      <c r="F1359" s="24">
        <v>8.6419753086419748E-2</v>
      </c>
    </row>
    <row r="1360" spans="2:6" x14ac:dyDescent="0.2">
      <c r="B1360" s="5">
        <v>46004</v>
      </c>
      <c r="C1360" t="s">
        <v>876</v>
      </c>
      <c r="D1360" s="11">
        <v>25</v>
      </c>
      <c r="E1360" s="18">
        <v>0</v>
      </c>
      <c r="F1360" s="24">
        <v>0</v>
      </c>
    </row>
    <row r="1361" spans="2:6" x14ac:dyDescent="0.2">
      <c r="B1361" s="5">
        <v>46004</v>
      </c>
      <c r="C1361" t="s">
        <v>877</v>
      </c>
      <c r="D1361" s="11">
        <v>98</v>
      </c>
      <c r="E1361" s="18">
        <v>7</v>
      </c>
      <c r="F1361" s="24">
        <v>7.1428571428571425E-2</v>
      </c>
    </row>
    <row r="1362" spans="2:6" x14ac:dyDescent="0.2">
      <c r="B1362" s="5">
        <v>46004</v>
      </c>
      <c r="C1362" t="s">
        <v>878</v>
      </c>
      <c r="D1362" s="11">
        <v>549</v>
      </c>
      <c r="E1362" s="18">
        <v>19</v>
      </c>
      <c r="F1362" s="24">
        <v>3.4608378870673952E-2</v>
      </c>
    </row>
    <row r="1363" spans="2:6" x14ac:dyDescent="0.2">
      <c r="B1363" s="5">
        <v>46005</v>
      </c>
      <c r="C1363" t="s">
        <v>875</v>
      </c>
      <c r="D1363" s="11">
        <v>281</v>
      </c>
      <c r="E1363" s="18">
        <v>0</v>
      </c>
      <c r="F1363" s="24">
        <v>0</v>
      </c>
    </row>
    <row r="1364" spans="2:6" x14ac:dyDescent="0.2">
      <c r="B1364" s="5">
        <v>46005</v>
      </c>
      <c r="C1364" t="s">
        <v>84</v>
      </c>
      <c r="D1364" s="11">
        <v>116</v>
      </c>
      <c r="E1364" s="18">
        <v>5</v>
      </c>
      <c r="F1364" s="24">
        <v>4.3103448275862072E-2</v>
      </c>
    </row>
    <row r="1365" spans="2:6" x14ac:dyDescent="0.2">
      <c r="B1365" s="5">
        <v>46005</v>
      </c>
      <c r="C1365" t="s">
        <v>86</v>
      </c>
      <c r="D1365" s="11">
        <v>53</v>
      </c>
      <c r="E1365" s="18">
        <v>3</v>
      </c>
      <c r="F1365" s="24">
        <v>5.6603773584905662E-2</v>
      </c>
    </row>
    <row r="1366" spans="2:6" x14ac:dyDescent="0.2">
      <c r="B1366" s="5">
        <v>46005</v>
      </c>
      <c r="C1366" t="s">
        <v>876</v>
      </c>
      <c r="D1366" s="11">
        <v>75</v>
      </c>
      <c r="E1366" s="18">
        <v>0</v>
      </c>
      <c r="F1366" s="24">
        <v>0</v>
      </c>
    </row>
    <row r="1367" spans="2:6" x14ac:dyDescent="0.2">
      <c r="B1367" s="5">
        <v>46005</v>
      </c>
      <c r="C1367" t="s">
        <v>877</v>
      </c>
      <c r="D1367" s="11">
        <v>124</v>
      </c>
      <c r="E1367" s="18">
        <v>7</v>
      </c>
      <c r="F1367" s="24">
        <v>5.6451612903225805E-2</v>
      </c>
    </row>
    <row r="1368" spans="2:6" x14ac:dyDescent="0.2">
      <c r="B1368" s="5">
        <v>46005</v>
      </c>
      <c r="C1368" t="s">
        <v>878</v>
      </c>
      <c r="D1368" s="11">
        <v>649</v>
      </c>
      <c r="E1368" s="18">
        <v>15</v>
      </c>
      <c r="F1368" s="24">
        <v>2.3112480739599383E-2</v>
      </c>
    </row>
    <row r="1369" spans="2:6" x14ac:dyDescent="0.2">
      <c r="B1369" s="5">
        <v>46006</v>
      </c>
      <c r="C1369" t="s">
        <v>875</v>
      </c>
      <c r="D1369" s="11">
        <v>278</v>
      </c>
      <c r="E1369" s="18">
        <v>1</v>
      </c>
      <c r="F1369" s="24">
        <v>3.5971223021582736E-3</v>
      </c>
    </row>
    <row r="1370" spans="2:6" x14ac:dyDescent="0.2">
      <c r="B1370" s="5">
        <v>46006</v>
      </c>
      <c r="C1370" t="s">
        <v>84</v>
      </c>
      <c r="D1370" s="11">
        <v>96</v>
      </c>
      <c r="E1370" s="18">
        <v>0</v>
      </c>
      <c r="F1370" s="24">
        <v>0</v>
      </c>
    </row>
    <row r="1371" spans="2:6" x14ac:dyDescent="0.2">
      <c r="B1371" s="5">
        <v>46006</v>
      </c>
      <c r="C1371" t="s">
        <v>86</v>
      </c>
      <c r="D1371" s="11">
        <v>104</v>
      </c>
      <c r="E1371" s="18">
        <v>4</v>
      </c>
      <c r="F1371" s="24">
        <v>3.8461538461538464E-2</v>
      </c>
    </row>
    <row r="1372" spans="2:6" x14ac:dyDescent="0.2">
      <c r="B1372" s="5">
        <v>46006</v>
      </c>
      <c r="C1372" t="s">
        <v>876</v>
      </c>
      <c r="D1372" s="11">
        <v>44</v>
      </c>
      <c r="E1372" s="18">
        <v>0</v>
      </c>
      <c r="F1372" s="24">
        <v>0</v>
      </c>
    </row>
    <row r="1373" spans="2:6" x14ac:dyDescent="0.2">
      <c r="B1373" s="5">
        <v>46006</v>
      </c>
      <c r="C1373" t="s">
        <v>877</v>
      </c>
      <c r="D1373" s="11">
        <v>232</v>
      </c>
      <c r="E1373" s="18">
        <v>3</v>
      </c>
      <c r="F1373" s="24">
        <v>1.2931034482758621E-2</v>
      </c>
    </row>
    <row r="1374" spans="2:6" x14ac:dyDescent="0.2">
      <c r="B1374" s="5">
        <v>46006</v>
      </c>
      <c r="C1374" t="s">
        <v>878</v>
      </c>
      <c r="D1374" s="11">
        <v>754</v>
      </c>
      <c r="E1374" s="18">
        <v>8</v>
      </c>
      <c r="F1374" s="24">
        <v>1.0610079575596816E-2</v>
      </c>
    </row>
    <row r="1375" spans="2:6" x14ac:dyDescent="0.2">
      <c r="B1375" s="5">
        <v>46007</v>
      </c>
      <c r="C1375" t="s">
        <v>875</v>
      </c>
      <c r="D1375" s="11">
        <v>161</v>
      </c>
      <c r="E1375" s="18">
        <v>0</v>
      </c>
      <c r="F1375" s="24">
        <v>0</v>
      </c>
    </row>
    <row r="1376" spans="2:6" x14ac:dyDescent="0.2">
      <c r="B1376" s="5">
        <v>46007</v>
      </c>
      <c r="C1376" t="s">
        <v>84</v>
      </c>
      <c r="D1376" s="11">
        <v>86</v>
      </c>
      <c r="E1376" s="18">
        <v>0</v>
      </c>
      <c r="F1376" s="24">
        <v>0</v>
      </c>
    </row>
    <row r="1377" spans="2:6" x14ac:dyDescent="0.2">
      <c r="B1377" s="5">
        <v>46007</v>
      </c>
      <c r="C1377" t="s">
        <v>86</v>
      </c>
      <c r="D1377" s="11">
        <v>88</v>
      </c>
      <c r="E1377" s="18">
        <v>5</v>
      </c>
      <c r="F1377" s="24">
        <v>5.6818181818181816E-2</v>
      </c>
    </row>
    <row r="1378" spans="2:6" x14ac:dyDescent="0.2">
      <c r="B1378" s="5">
        <v>46007</v>
      </c>
      <c r="C1378" t="s">
        <v>876</v>
      </c>
      <c r="D1378" s="11">
        <v>17</v>
      </c>
      <c r="E1378" s="18">
        <v>0</v>
      </c>
      <c r="F1378" s="24">
        <v>0</v>
      </c>
    </row>
    <row r="1379" spans="2:6" x14ac:dyDescent="0.2">
      <c r="B1379" s="5">
        <v>46007</v>
      </c>
      <c r="C1379" t="s">
        <v>877</v>
      </c>
      <c r="D1379" s="11">
        <v>94</v>
      </c>
      <c r="E1379" s="18">
        <v>3</v>
      </c>
      <c r="F1379" s="24">
        <v>3.1914893617021274E-2</v>
      </c>
    </row>
    <row r="1380" spans="2:6" x14ac:dyDescent="0.2">
      <c r="B1380" s="5">
        <v>46007</v>
      </c>
      <c r="C1380" t="s">
        <v>878</v>
      </c>
      <c r="D1380" s="11">
        <v>446</v>
      </c>
      <c r="E1380" s="18">
        <v>8</v>
      </c>
      <c r="F1380" s="24">
        <v>1.7937219730941704E-2</v>
      </c>
    </row>
    <row r="1381" spans="2:6" x14ac:dyDescent="0.2">
      <c r="B1381" s="5">
        <v>46008</v>
      </c>
      <c r="C1381" t="s">
        <v>875</v>
      </c>
      <c r="D1381" s="11">
        <v>333</v>
      </c>
      <c r="E1381" s="18">
        <v>0</v>
      </c>
      <c r="F1381" s="24">
        <v>0</v>
      </c>
    </row>
    <row r="1382" spans="2:6" x14ac:dyDescent="0.2">
      <c r="B1382" s="5">
        <v>46008</v>
      </c>
      <c r="C1382" t="s">
        <v>84</v>
      </c>
      <c r="D1382" s="11">
        <v>103</v>
      </c>
      <c r="E1382" s="18">
        <v>0</v>
      </c>
      <c r="F1382" s="24">
        <v>0</v>
      </c>
    </row>
    <row r="1383" spans="2:6" x14ac:dyDescent="0.2">
      <c r="B1383" s="5">
        <v>46008</v>
      </c>
      <c r="C1383" t="s">
        <v>86</v>
      </c>
      <c r="D1383" s="11">
        <v>73</v>
      </c>
      <c r="E1383" s="18">
        <v>3</v>
      </c>
      <c r="F1383" s="24">
        <v>4.1095890410958902E-2</v>
      </c>
    </row>
    <row r="1384" spans="2:6" x14ac:dyDescent="0.2">
      <c r="B1384" s="5">
        <v>46008</v>
      </c>
      <c r="C1384" t="s">
        <v>876</v>
      </c>
      <c r="D1384" s="11">
        <v>21</v>
      </c>
      <c r="E1384" s="18">
        <v>0</v>
      </c>
      <c r="F1384" s="24">
        <v>0</v>
      </c>
    </row>
    <row r="1385" spans="2:6" x14ac:dyDescent="0.2">
      <c r="B1385" s="5">
        <v>46008</v>
      </c>
      <c r="C1385" t="s">
        <v>879</v>
      </c>
      <c r="D1385" s="11">
        <v>1</v>
      </c>
      <c r="E1385" s="18">
        <v>0</v>
      </c>
      <c r="F1385" s="24">
        <v>0</v>
      </c>
    </row>
    <row r="1386" spans="2:6" x14ac:dyDescent="0.2">
      <c r="B1386" s="5">
        <v>46008</v>
      </c>
      <c r="C1386" t="s">
        <v>877</v>
      </c>
      <c r="D1386" s="11">
        <v>138</v>
      </c>
      <c r="E1386" s="18">
        <v>3</v>
      </c>
      <c r="F1386" s="24">
        <v>2.1739130434782608E-2</v>
      </c>
    </row>
    <row r="1387" spans="2:6" x14ac:dyDescent="0.2">
      <c r="B1387" s="5">
        <v>46008</v>
      </c>
      <c r="C1387" t="s">
        <v>878</v>
      </c>
      <c r="D1387" s="11">
        <v>669</v>
      </c>
      <c r="E1387" s="18">
        <v>6</v>
      </c>
      <c r="F1387" s="24">
        <v>8.9686098654708519E-3</v>
      </c>
    </row>
    <row r="1388" spans="2:6" x14ac:dyDescent="0.2">
      <c r="B1388" s="5">
        <v>46009</v>
      </c>
      <c r="C1388" t="s">
        <v>875</v>
      </c>
      <c r="D1388" s="11">
        <v>139</v>
      </c>
      <c r="E1388" s="18">
        <v>0</v>
      </c>
      <c r="F1388" s="24">
        <v>0</v>
      </c>
    </row>
    <row r="1389" spans="2:6" x14ac:dyDescent="0.2">
      <c r="B1389" s="5">
        <v>46009</v>
      </c>
      <c r="C1389" t="s">
        <v>84</v>
      </c>
      <c r="D1389" s="11">
        <v>103</v>
      </c>
      <c r="E1389" s="18">
        <v>2</v>
      </c>
      <c r="F1389" s="24">
        <v>1.9417475728155338E-2</v>
      </c>
    </row>
    <row r="1390" spans="2:6" x14ac:dyDescent="0.2">
      <c r="B1390" s="5">
        <v>46009</v>
      </c>
      <c r="C1390" t="s">
        <v>86</v>
      </c>
      <c r="D1390" s="11">
        <v>93</v>
      </c>
      <c r="E1390" s="18">
        <v>1</v>
      </c>
      <c r="F1390" s="24">
        <v>1.0752688172043012E-2</v>
      </c>
    </row>
    <row r="1391" spans="2:6" x14ac:dyDescent="0.2">
      <c r="B1391" s="5">
        <v>46009</v>
      </c>
      <c r="C1391" t="s">
        <v>876</v>
      </c>
      <c r="D1391" s="11">
        <v>10</v>
      </c>
      <c r="E1391" s="18">
        <v>0</v>
      </c>
      <c r="F1391" s="24">
        <v>0</v>
      </c>
    </row>
    <row r="1392" spans="2:6" x14ac:dyDescent="0.2">
      <c r="B1392" s="5">
        <v>46009</v>
      </c>
      <c r="C1392" t="s">
        <v>877</v>
      </c>
      <c r="D1392" s="11">
        <v>156</v>
      </c>
      <c r="E1392" s="18">
        <v>3</v>
      </c>
      <c r="F1392" s="24">
        <v>1.9230769230769232E-2</v>
      </c>
    </row>
    <row r="1393" spans="2:6" x14ac:dyDescent="0.2">
      <c r="B1393" s="5">
        <v>46009</v>
      </c>
      <c r="C1393" t="s">
        <v>878</v>
      </c>
      <c r="D1393" s="11">
        <v>501</v>
      </c>
      <c r="E1393" s="18">
        <v>6</v>
      </c>
      <c r="F1393" s="24">
        <v>1.1976047904191617E-2</v>
      </c>
    </row>
    <row r="1394" spans="2:6" x14ac:dyDescent="0.2">
      <c r="B1394" s="5">
        <v>46010</v>
      </c>
      <c r="C1394" t="s">
        <v>875</v>
      </c>
      <c r="D1394" s="11">
        <v>331</v>
      </c>
      <c r="E1394" s="18">
        <v>0</v>
      </c>
      <c r="F1394" s="24">
        <v>0</v>
      </c>
    </row>
    <row r="1395" spans="2:6" x14ac:dyDescent="0.2">
      <c r="B1395" s="5">
        <v>46010</v>
      </c>
      <c r="C1395" t="s">
        <v>84</v>
      </c>
      <c r="D1395" s="11">
        <v>79</v>
      </c>
      <c r="E1395" s="18">
        <v>2</v>
      </c>
      <c r="F1395" s="24">
        <v>2.5316455696202531E-2</v>
      </c>
    </row>
    <row r="1396" spans="2:6" x14ac:dyDescent="0.2">
      <c r="B1396" s="5">
        <v>46010</v>
      </c>
      <c r="C1396" t="s">
        <v>86</v>
      </c>
      <c r="D1396" s="11">
        <v>60</v>
      </c>
      <c r="E1396" s="18">
        <v>0</v>
      </c>
      <c r="F1396" s="24">
        <v>0</v>
      </c>
    </row>
    <row r="1397" spans="2:6" x14ac:dyDescent="0.2">
      <c r="B1397" s="5">
        <v>46010</v>
      </c>
      <c r="C1397" t="s">
        <v>876</v>
      </c>
      <c r="D1397" s="11">
        <v>31</v>
      </c>
      <c r="E1397" s="18">
        <v>0</v>
      </c>
      <c r="F1397" s="24">
        <v>0</v>
      </c>
    </row>
    <row r="1398" spans="2:6" x14ac:dyDescent="0.2">
      <c r="B1398" s="5">
        <v>46010</v>
      </c>
      <c r="C1398" t="s">
        <v>877</v>
      </c>
      <c r="D1398" s="11">
        <v>85</v>
      </c>
      <c r="E1398" s="18">
        <v>1</v>
      </c>
      <c r="F1398" s="24">
        <v>1.1764705882352941E-2</v>
      </c>
    </row>
    <row r="1399" spans="2:6" x14ac:dyDescent="0.2">
      <c r="B1399" s="5">
        <v>46010</v>
      </c>
      <c r="C1399" t="s">
        <v>878</v>
      </c>
      <c r="D1399" s="11">
        <v>586</v>
      </c>
      <c r="E1399" s="18">
        <v>3</v>
      </c>
      <c r="F1399" s="24">
        <v>5.1194539249146756E-3</v>
      </c>
    </row>
    <row r="1400" spans="2:6" x14ac:dyDescent="0.2">
      <c r="B1400" s="5">
        <v>46011</v>
      </c>
      <c r="C1400" t="s">
        <v>875</v>
      </c>
      <c r="D1400" s="11">
        <v>196</v>
      </c>
      <c r="E1400" s="18">
        <v>0</v>
      </c>
      <c r="F1400" s="24">
        <v>0</v>
      </c>
    </row>
    <row r="1401" spans="2:6" x14ac:dyDescent="0.2">
      <c r="B1401" s="5">
        <v>46011</v>
      </c>
      <c r="C1401" t="s">
        <v>84</v>
      </c>
      <c r="D1401" s="11">
        <v>118</v>
      </c>
      <c r="E1401" s="18">
        <v>0</v>
      </c>
      <c r="F1401" s="24">
        <v>0</v>
      </c>
    </row>
    <row r="1402" spans="2:6" x14ac:dyDescent="0.2">
      <c r="B1402" s="5">
        <v>46011</v>
      </c>
      <c r="C1402" t="s">
        <v>86</v>
      </c>
      <c r="D1402" s="11">
        <v>45</v>
      </c>
      <c r="E1402" s="18">
        <v>1</v>
      </c>
      <c r="F1402" s="24">
        <v>2.2222222222222223E-2</v>
      </c>
    </row>
    <row r="1403" spans="2:6" x14ac:dyDescent="0.2">
      <c r="B1403" s="5">
        <v>46011</v>
      </c>
      <c r="C1403" t="s">
        <v>876</v>
      </c>
      <c r="D1403" s="11">
        <v>13</v>
      </c>
      <c r="E1403" s="18">
        <v>0</v>
      </c>
      <c r="F1403" s="24">
        <v>0</v>
      </c>
    </row>
    <row r="1404" spans="2:6" x14ac:dyDescent="0.2">
      <c r="B1404" s="5">
        <v>46011</v>
      </c>
      <c r="C1404" t="s">
        <v>877</v>
      </c>
      <c r="D1404" s="11">
        <v>79</v>
      </c>
      <c r="E1404" s="18">
        <v>1</v>
      </c>
      <c r="F1404" s="24">
        <v>1.2658227848101266E-2</v>
      </c>
    </row>
    <row r="1405" spans="2:6" x14ac:dyDescent="0.2">
      <c r="B1405" s="5">
        <v>46011</v>
      </c>
      <c r="C1405" t="s">
        <v>878</v>
      </c>
      <c r="D1405" s="11">
        <v>451</v>
      </c>
      <c r="E1405" s="18">
        <v>2</v>
      </c>
      <c r="F1405" s="24">
        <v>4.434589800443459E-3</v>
      </c>
    </row>
    <row r="1406" spans="2:6" x14ac:dyDescent="0.2">
      <c r="B1406" s="5">
        <v>46012</v>
      </c>
      <c r="C1406" t="s">
        <v>875</v>
      </c>
      <c r="D1406" s="11">
        <v>267</v>
      </c>
      <c r="E1406" s="18">
        <v>0</v>
      </c>
      <c r="F1406" s="24">
        <v>0</v>
      </c>
    </row>
    <row r="1407" spans="2:6" x14ac:dyDescent="0.2">
      <c r="B1407" s="5">
        <v>46012</v>
      </c>
      <c r="C1407" t="s">
        <v>84</v>
      </c>
      <c r="D1407" s="11">
        <v>113</v>
      </c>
      <c r="E1407" s="18">
        <v>0</v>
      </c>
      <c r="F1407" s="24">
        <v>0</v>
      </c>
    </row>
    <row r="1408" spans="2:6" x14ac:dyDescent="0.2">
      <c r="B1408" s="5">
        <v>46012</v>
      </c>
      <c r="C1408" t="s">
        <v>86</v>
      </c>
      <c r="D1408" s="11">
        <v>32</v>
      </c>
      <c r="E1408" s="18">
        <v>1</v>
      </c>
      <c r="F1408" s="24">
        <v>3.125E-2</v>
      </c>
    </row>
    <row r="1409" spans="2:6" x14ac:dyDescent="0.2">
      <c r="B1409" s="5">
        <v>46012</v>
      </c>
      <c r="C1409" t="s">
        <v>876</v>
      </c>
      <c r="D1409" s="11">
        <v>9</v>
      </c>
      <c r="E1409" s="18">
        <v>0</v>
      </c>
      <c r="F1409" s="24">
        <v>0</v>
      </c>
    </row>
    <row r="1410" spans="2:6" x14ac:dyDescent="0.2">
      <c r="B1410" s="5">
        <v>46012</v>
      </c>
      <c r="C1410" t="s">
        <v>877</v>
      </c>
      <c r="D1410" s="11">
        <v>75</v>
      </c>
      <c r="E1410" s="18">
        <v>2</v>
      </c>
      <c r="F1410" s="24">
        <v>2.6666666666666668E-2</v>
      </c>
    </row>
    <row r="1411" spans="2:6" x14ac:dyDescent="0.2">
      <c r="B1411" s="5">
        <v>46012</v>
      </c>
      <c r="C1411" t="s">
        <v>878</v>
      </c>
      <c r="D1411" s="11">
        <v>496</v>
      </c>
      <c r="E1411" s="18">
        <v>3</v>
      </c>
      <c r="F1411" s="24">
        <v>6.0483870967741934E-3</v>
      </c>
    </row>
    <row r="1412" spans="2:6" x14ac:dyDescent="0.2">
      <c r="B1412" s="5">
        <v>46013</v>
      </c>
      <c r="C1412" t="s">
        <v>875</v>
      </c>
      <c r="D1412" s="11">
        <v>289</v>
      </c>
      <c r="E1412" s="18">
        <v>1</v>
      </c>
      <c r="F1412" s="24">
        <v>3.4602076124567475E-3</v>
      </c>
    </row>
    <row r="1413" spans="2:6" x14ac:dyDescent="0.2">
      <c r="B1413" s="5">
        <v>46013</v>
      </c>
      <c r="C1413" t="s">
        <v>84</v>
      </c>
      <c r="D1413" s="11">
        <v>115</v>
      </c>
      <c r="E1413" s="18">
        <v>0</v>
      </c>
      <c r="F1413" s="24">
        <v>0</v>
      </c>
    </row>
    <row r="1414" spans="2:6" x14ac:dyDescent="0.2">
      <c r="B1414" s="5">
        <v>46013</v>
      </c>
      <c r="C1414" t="s">
        <v>86</v>
      </c>
      <c r="D1414" s="11">
        <v>104</v>
      </c>
      <c r="E1414" s="18">
        <v>2</v>
      </c>
      <c r="F1414" s="24">
        <v>1.9230769230769232E-2</v>
      </c>
    </row>
    <row r="1415" spans="2:6" x14ac:dyDescent="0.2">
      <c r="B1415" s="5">
        <v>46013</v>
      </c>
      <c r="C1415" t="s">
        <v>876</v>
      </c>
      <c r="D1415" s="11">
        <v>3</v>
      </c>
      <c r="E1415" s="18">
        <v>0</v>
      </c>
      <c r="F1415" s="24">
        <v>0</v>
      </c>
    </row>
    <row r="1416" spans="2:6" x14ac:dyDescent="0.2">
      <c r="B1416" s="5">
        <v>46013</v>
      </c>
      <c r="C1416" t="s">
        <v>877</v>
      </c>
      <c r="D1416" s="11">
        <v>85</v>
      </c>
      <c r="E1416" s="18">
        <v>2</v>
      </c>
      <c r="F1416" s="24">
        <v>2.3529411764705882E-2</v>
      </c>
    </row>
    <row r="1417" spans="2:6" x14ac:dyDescent="0.2">
      <c r="B1417" s="5">
        <v>46013</v>
      </c>
      <c r="C1417" t="s">
        <v>878</v>
      </c>
      <c r="D1417" s="11">
        <v>596</v>
      </c>
      <c r="E1417" s="18">
        <v>5</v>
      </c>
      <c r="F1417" s="24">
        <v>8.389261744966443E-3</v>
      </c>
    </row>
    <row r="1418" spans="2:6" x14ac:dyDescent="0.2">
      <c r="B1418" s="5">
        <v>46014</v>
      </c>
      <c r="C1418" t="s">
        <v>875</v>
      </c>
      <c r="D1418" s="11">
        <v>170</v>
      </c>
      <c r="E1418" s="18">
        <v>0</v>
      </c>
      <c r="F1418" s="24">
        <v>0</v>
      </c>
    </row>
    <row r="1419" spans="2:6" x14ac:dyDescent="0.2">
      <c r="B1419" s="5">
        <v>46014</v>
      </c>
      <c r="C1419" t="s">
        <v>84</v>
      </c>
      <c r="D1419" s="11">
        <v>89</v>
      </c>
      <c r="E1419" s="18">
        <v>0</v>
      </c>
      <c r="F1419" s="24">
        <v>0</v>
      </c>
    </row>
    <row r="1420" spans="2:6" x14ac:dyDescent="0.2">
      <c r="B1420" s="5">
        <v>46014</v>
      </c>
      <c r="C1420" t="s">
        <v>86</v>
      </c>
      <c r="D1420" s="11">
        <v>73</v>
      </c>
      <c r="E1420" s="18">
        <v>3</v>
      </c>
      <c r="F1420" s="24">
        <v>4.1095890410958902E-2</v>
      </c>
    </row>
    <row r="1421" spans="2:6" x14ac:dyDescent="0.2">
      <c r="B1421" s="5">
        <v>46014</v>
      </c>
      <c r="C1421" t="s">
        <v>876</v>
      </c>
      <c r="D1421" s="11">
        <v>1</v>
      </c>
      <c r="E1421" s="18">
        <v>0</v>
      </c>
      <c r="F1421" s="24">
        <v>0</v>
      </c>
    </row>
    <row r="1422" spans="2:6" x14ac:dyDescent="0.2">
      <c r="B1422" s="5">
        <v>46014</v>
      </c>
      <c r="C1422" t="s">
        <v>877</v>
      </c>
      <c r="D1422" s="11">
        <v>61</v>
      </c>
      <c r="E1422" s="18">
        <v>1</v>
      </c>
      <c r="F1422" s="24">
        <v>1.6393442622950821E-2</v>
      </c>
    </row>
    <row r="1423" spans="2:6" x14ac:dyDescent="0.2">
      <c r="B1423" s="5">
        <v>46014</v>
      </c>
      <c r="C1423" t="s">
        <v>878</v>
      </c>
      <c r="D1423" s="11">
        <v>394</v>
      </c>
      <c r="E1423" s="18">
        <v>4</v>
      </c>
      <c r="F1423" s="24">
        <v>1.015228426395939E-2</v>
      </c>
    </row>
    <row r="1424" spans="2:6" x14ac:dyDescent="0.2">
      <c r="B1424" s="5">
        <v>46015</v>
      </c>
      <c r="C1424" t="s">
        <v>875</v>
      </c>
      <c r="D1424" s="11">
        <v>377</v>
      </c>
      <c r="E1424" s="18">
        <v>0</v>
      </c>
      <c r="F1424" s="24">
        <v>0</v>
      </c>
    </row>
    <row r="1425" spans="2:6" x14ac:dyDescent="0.2">
      <c r="B1425" s="5">
        <v>46015</v>
      </c>
      <c r="C1425" t="s">
        <v>84</v>
      </c>
      <c r="D1425" s="11">
        <v>83</v>
      </c>
      <c r="E1425" s="18">
        <v>1</v>
      </c>
      <c r="F1425" s="24">
        <v>1.2048192771084338E-2</v>
      </c>
    </row>
    <row r="1426" spans="2:6" x14ac:dyDescent="0.2">
      <c r="B1426" s="5">
        <v>46015</v>
      </c>
      <c r="C1426" t="s">
        <v>86</v>
      </c>
      <c r="D1426" s="11">
        <v>101</v>
      </c>
      <c r="E1426" s="18">
        <v>0</v>
      </c>
      <c r="F1426" s="24">
        <v>0</v>
      </c>
    </row>
    <row r="1427" spans="2:6" x14ac:dyDescent="0.2">
      <c r="B1427" s="5">
        <v>46015</v>
      </c>
      <c r="C1427" t="s">
        <v>876</v>
      </c>
      <c r="D1427" s="11">
        <v>2</v>
      </c>
      <c r="E1427" s="18">
        <v>0</v>
      </c>
      <c r="F1427" s="24">
        <v>0</v>
      </c>
    </row>
    <row r="1428" spans="2:6" x14ac:dyDescent="0.2">
      <c r="B1428" s="5">
        <v>46015</v>
      </c>
      <c r="C1428" t="s">
        <v>877</v>
      </c>
      <c r="D1428" s="11">
        <v>61</v>
      </c>
      <c r="E1428" s="18">
        <v>1</v>
      </c>
      <c r="F1428" s="24">
        <v>1.6393442622950821E-2</v>
      </c>
    </row>
    <row r="1429" spans="2:6" x14ac:dyDescent="0.2">
      <c r="B1429" s="5">
        <v>46015</v>
      </c>
      <c r="C1429" t="s">
        <v>878</v>
      </c>
      <c r="D1429" s="11">
        <v>624</v>
      </c>
      <c r="E1429" s="18">
        <v>2</v>
      </c>
      <c r="F1429" s="24">
        <v>3.205128205128205E-3</v>
      </c>
    </row>
    <row r="1430" spans="2:6" x14ac:dyDescent="0.2">
      <c r="B1430" s="5">
        <v>46016</v>
      </c>
      <c r="C1430" t="s">
        <v>875</v>
      </c>
      <c r="D1430" s="11">
        <v>183</v>
      </c>
      <c r="E1430" s="18">
        <v>0</v>
      </c>
      <c r="F1430" s="24">
        <v>0</v>
      </c>
    </row>
    <row r="1431" spans="2:6" x14ac:dyDescent="0.2">
      <c r="B1431" s="5">
        <v>46016</v>
      </c>
      <c r="C1431" t="s">
        <v>84</v>
      </c>
      <c r="D1431" s="11">
        <v>139</v>
      </c>
      <c r="E1431" s="18">
        <v>0</v>
      </c>
      <c r="F1431" s="24">
        <v>0</v>
      </c>
    </row>
    <row r="1432" spans="2:6" x14ac:dyDescent="0.2">
      <c r="B1432" s="5">
        <v>46016</v>
      </c>
      <c r="C1432" t="s">
        <v>86</v>
      </c>
      <c r="D1432" s="11">
        <v>38</v>
      </c>
      <c r="E1432" s="18">
        <v>2</v>
      </c>
      <c r="F1432" s="24">
        <v>5.2631578947368418E-2</v>
      </c>
    </row>
    <row r="1433" spans="2:6" x14ac:dyDescent="0.2">
      <c r="B1433" s="5">
        <v>46016</v>
      </c>
      <c r="C1433" t="s">
        <v>876</v>
      </c>
      <c r="D1433" s="11">
        <v>2</v>
      </c>
      <c r="E1433" s="18">
        <v>0</v>
      </c>
      <c r="F1433" s="24">
        <v>0</v>
      </c>
    </row>
    <row r="1434" spans="2:6" x14ac:dyDescent="0.2">
      <c r="B1434" s="5">
        <v>46016</v>
      </c>
      <c r="C1434" t="s">
        <v>877</v>
      </c>
      <c r="D1434" s="11">
        <v>49</v>
      </c>
      <c r="E1434" s="18">
        <v>1</v>
      </c>
      <c r="F1434" s="24">
        <v>2.0408163265306121E-2</v>
      </c>
    </row>
    <row r="1435" spans="2:6" x14ac:dyDescent="0.2">
      <c r="B1435" s="5">
        <v>46016</v>
      </c>
      <c r="C1435" t="s">
        <v>878</v>
      </c>
      <c r="D1435" s="11">
        <v>411</v>
      </c>
      <c r="E1435" s="18">
        <v>3</v>
      </c>
      <c r="F1435" s="24">
        <v>7.2992700729927005E-3</v>
      </c>
    </row>
    <row r="1436" spans="2:6" x14ac:dyDescent="0.2">
      <c r="B1436" s="5">
        <v>46017</v>
      </c>
      <c r="C1436" t="s">
        <v>875</v>
      </c>
      <c r="D1436" s="11">
        <v>282</v>
      </c>
      <c r="E1436" s="18">
        <v>0</v>
      </c>
      <c r="F1436" s="24">
        <v>0</v>
      </c>
    </row>
    <row r="1437" spans="2:6" x14ac:dyDescent="0.2">
      <c r="B1437" s="5">
        <v>46017</v>
      </c>
      <c r="C1437" t="s">
        <v>84</v>
      </c>
      <c r="D1437" s="11">
        <v>128</v>
      </c>
      <c r="E1437" s="18">
        <v>3</v>
      </c>
      <c r="F1437" s="24">
        <v>2.34375E-2</v>
      </c>
    </row>
    <row r="1438" spans="2:6" x14ac:dyDescent="0.2">
      <c r="B1438" s="5">
        <v>46017</v>
      </c>
      <c r="C1438" t="s">
        <v>86</v>
      </c>
      <c r="D1438" s="11">
        <v>35</v>
      </c>
      <c r="E1438" s="18">
        <v>1</v>
      </c>
      <c r="F1438" s="24">
        <v>2.8571428571428571E-2</v>
      </c>
    </row>
    <row r="1439" spans="2:6" x14ac:dyDescent="0.2">
      <c r="B1439" s="5">
        <v>46017</v>
      </c>
      <c r="C1439" t="s">
        <v>876</v>
      </c>
      <c r="D1439" s="11">
        <v>6</v>
      </c>
      <c r="E1439" s="18">
        <v>0</v>
      </c>
      <c r="F1439" s="24">
        <v>0</v>
      </c>
    </row>
    <row r="1440" spans="2:6" x14ac:dyDescent="0.2">
      <c r="B1440" s="5">
        <v>46017</v>
      </c>
      <c r="C1440" t="s">
        <v>877</v>
      </c>
      <c r="D1440" s="11">
        <v>92</v>
      </c>
      <c r="E1440" s="18">
        <v>0</v>
      </c>
      <c r="F1440" s="24">
        <v>0</v>
      </c>
    </row>
    <row r="1441" spans="2:6" x14ac:dyDescent="0.2">
      <c r="B1441" s="5">
        <v>46017</v>
      </c>
      <c r="C1441" t="s">
        <v>878</v>
      </c>
      <c r="D1441" s="11">
        <v>543</v>
      </c>
      <c r="E1441" s="18">
        <v>4</v>
      </c>
      <c r="F1441" s="24">
        <v>7.3664825046040518E-3</v>
      </c>
    </row>
    <row r="1442" spans="2:6" x14ac:dyDescent="0.2">
      <c r="B1442" s="5">
        <v>46018</v>
      </c>
      <c r="C1442" t="s">
        <v>875</v>
      </c>
      <c r="D1442" s="11">
        <v>224</v>
      </c>
      <c r="E1442" s="18">
        <v>0</v>
      </c>
      <c r="F1442" s="24">
        <v>0</v>
      </c>
    </row>
    <row r="1443" spans="2:6" x14ac:dyDescent="0.2">
      <c r="B1443" s="5">
        <v>46018</v>
      </c>
      <c r="C1443" t="s">
        <v>84</v>
      </c>
      <c r="D1443" s="11">
        <v>112</v>
      </c>
      <c r="E1443" s="18">
        <v>0</v>
      </c>
      <c r="F1443" s="24">
        <v>0</v>
      </c>
    </row>
    <row r="1444" spans="2:6" x14ac:dyDescent="0.2">
      <c r="B1444" s="5">
        <v>46018</v>
      </c>
      <c r="C1444" t="s">
        <v>86</v>
      </c>
      <c r="D1444" s="11">
        <v>26</v>
      </c>
      <c r="E1444" s="18">
        <v>0</v>
      </c>
      <c r="F1444" s="24">
        <v>0</v>
      </c>
    </row>
    <row r="1445" spans="2:6" x14ac:dyDescent="0.2">
      <c r="B1445" s="5">
        <v>46018</v>
      </c>
      <c r="C1445" t="s">
        <v>876</v>
      </c>
      <c r="D1445" s="11">
        <v>2</v>
      </c>
      <c r="E1445" s="18">
        <v>0</v>
      </c>
      <c r="F1445" s="24">
        <v>0</v>
      </c>
    </row>
    <row r="1446" spans="2:6" x14ac:dyDescent="0.2">
      <c r="B1446" s="5">
        <v>46018</v>
      </c>
      <c r="C1446" t="s">
        <v>877</v>
      </c>
      <c r="D1446" s="11">
        <v>44</v>
      </c>
      <c r="E1446" s="18">
        <v>1</v>
      </c>
      <c r="F1446" s="24">
        <v>2.2727272727272728E-2</v>
      </c>
    </row>
    <row r="1447" spans="2:6" x14ac:dyDescent="0.2">
      <c r="B1447" s="5">
        <v>46018</v>
      </c>
      <c r="C1447" t="s">
        <v>878</v>
      </c>
      <c r="D1447" s="11">
        <v>408</v>
      </c>
      <c r="E1447" s="18">
        <v>1</v>
      </c>
      <c r="F1447" s="24">
        <v>2.4509803921568627E-3</v>
      </c>
    </row>
    <row r="1448" spans="2:6" x14ac:dyDescent="0.2">
      <c r="B1448" s="5">
        <v>46019</v>
      </c>
      <c r="C1448" t="s">
        <v>875</v>
      </c>
      <c r="D1448" s="11">
        <v>429</v>
      </c>
      <c r="E1448" s="18">
        <v>0</v>
      </c>
      <c r="F1448" s="24">
        <v>0</v>
      </c>
    </row>
    <row r="1449" spans="2:6" x14ac:dyDescent="0.2">
      <c r="B1449" s="5">
        <v>46019</v>
      </c>
      <c r="C1449" t="s">
        <v>84</v>
      </c>
      <c r="D1449" s="11">
        <v>130</v>
      </c>
      <c r="E1449" s="18">
        <v>3</v>
      </c>
      <c r="F1449" s="24">
        <v>2.3076923076923078E-2</v>
      </c>
    </row>
    <row r="1450" spans="2:6" x14ac:dyDescent="0.2">
      <c r="B1450" s="5">
        <v>46019</v>
      </c>
      <c r="C1450" t="s">
        <v>86</v>
      </c>
      <c r="D1450" s="11">
        <v>21</v>
      </c>
      <c r="E1450" s="18">
        <v>1</v>
      </c>
      <c r="F1450" s="24">
        <v>4.7619047619047616E-2</v>
      </c>
    </row>
    <row r="1451" spans="2:6" x14ac:dyDescent="0.2">
      <c r="B1451" s="5">
        <v>46019</v>
      </c>
      <c r="C1451" t="s">
        <v>876</v>
      </c>
      <c r="D1451" s="11">
        <v>5</v>
      </c>
      <c r="E1451" s="18">
        <v>0</v>
      </c>
      <c r="F1451" s="24">
        <v>0</v>
      </c>
    </row>
    <row r="1452" spans="2:6" x14ac:dyDescent="0.2">
      <c r="B1452" s="5">
        <v>46019</v>
      </c>
      <c r="C1452" t="s">
        <v>877</v>
      </c>
      <c r="D1452" s="11">
        <v>43</v>
      </c>
      <c r="E1452" s="18">
        <v>1</v>
      </c>
      <c r="F1452" s="24">
        <v>2.3255813953488372E-2</v>
      </c>
    </row>
    <row r="1453" spans="2:6" x14ac:dyDescent="0.2">
      <c r="B1453" s="5">
        <v>46019</v>
      </c>
      <c r="C1453" t="s">
        <v>878</v>
      </c>
      <c r="D1453" s="11">
        <v>628</v>
      </c>
      <c r="E1453" s="18">
        <v>5</v>
      </c>
      <c r="F1453" s="24">
        <v>7.9617834394904458E-3</v>
      </c>
    </row>
    <row r="1454" spans="2:6" x14ac:dyDescent="0.2">
      <c r="B1454" s="5">
        <v>46020</v>
      </c>
      <c r="C1454" t="s">
        <v>875</v>
      </c>
      <c r="D1454" s="11">
        <v>374</v>
      </c>
      <c r="E1454" s="18">
        <v>0</v>
      </c>
      <c r="F1454" s="24">
        <v>0</v>
      </c>
    </row>
    <row r="1455" spans="2:6" x14ac:dyDescent="0.2">
      <c r="B1455" s="5">
        <v>46020</v>
      </c>
      <c r="C1455" t="s">
        <v>84</v>
      </c>
      <c r="D1455" s="11">
        <v>111</v>
      </c>
      <c r="E1455" s="18">
        <v>2</v>
      </c>
      <c r="F1455" s="24">
        <v>1.8018018018018018E-2</v>
      </c>
    </row>
    <row r="1456" spans="2:6" x14ac:dyDescent="0.2">
      <c r="B1456" s="5">
        <v>46020</v>
      </c>
      <c r="C1456" t="s">
        <v>86</v>
      </c>
      <c r="D1456" s="11">
        <v>32</v>
      </c>
      <c r="E1456" s="18">
        <v>0</v>
      </c>
      <c r="F1456" s="24">
        <v>0</v>
      </c>
    </row>
    <row r="1457" spans="2:6" x14ac:dyDescent="0.2">
      <c r="B1457" s="5">
        <v>46020</v>
      </c>
      <c r="C1457" t="s">
        <v>876</v>
      </c>
      <c r="D1457" s="11">
        <v>4</v>
      </c>
      <c r="E1457" s="18">
        <v>0</v>
      </c>
      <c r="F1457" s="24">
        <v>0</v>
      </c>
    </row>
    <row r="1458" spans="2:6" x14ac:dyDescent="0.2">
      <c r="B1458" s="5">
        <v>46020</v>
      </c>
      <c r="C1458" t="s">
        <v>877</v>
      </c>
      <c r="D1458" s="11">
        <v>42</v>
      </c>
      <c r="E1458" s="18">
        <v>2</v>
      </c>
      <c r="F1458" s="24">
        <v>4.7619047619047616E-2</v>
      </c>
    </row>
    <row r="1459" spans="2:6" x14ac:dyDescent="0.2">
      <c r="B1459" s="5">
        <v>46020</v>
      </c>
      <c r="C1459" t="s">
        <v>878</v>
      </c>
      <c r="D1459" s="11">
        <v>563</v>
      </c>
      <c r="E1459" s="18">
        <v>4</v>
      </c>
      <c r="F1459" s="24">
        <v>7.104795737122558E-3</v>
      </c>
    </row>
    <row r="1460" spans="2:6" x14ac:dyDescent="0.2">
      <c r="B1460" s="5">
        <v>46021</v>
      </c>
      <c r="C1460" t="s">
        <v>875</v>
      </c>
      <c r="D1460" s="11">
        <v>305</v>
      </c>
      <c r="E1460" s="18">
        <v>0</v>
      </c>
      <c r="F1460" s="24">
        <v>0</v>
      </c>
    </row>
    <row r="1461" spans="2:6" x14ac:dyDescent="0.2">
      <c r="B1461" s="5">
        <v>46021</v>
      </c>
      <c r="C1461" t="s">
        <v>84</v>
      </c>
      <c r="D1461" s="11">
        <v>93</v>
      </c>
      <c r="E1461" s="18">
        <v>0</v>
      </c>
      <c r="F1461" s="24">
        <v>0</v>
      </c>
    </row>
    <row r="1462" spans="2:6" x14ac:dyDescent="0.2">
      <c r="B1462" s="5">
        <v>46021</v>
      </c>
      <c r="C1462" t="s">
        <v>86</v>
      </c>
      <c r="D1462" s="11">
        <v>27</v>
      </c>
      <c r="E1462" s="18">
        <v>1</v>
      </c>
      <c r="F1462" s="24">
        <v>3.7037037037037035E-2</v>
      </c>
    </row>
    <row r="1463" spans="2:6" x14ac:dyDescent="0.2">
      <c r="B1463" s="5">
        <v>46021</v>
      </c>
      <c r="C1463" t="s">
        <v>876</v>
      </c>
      <c r="D1463" s="11">
        <v>4</v>
      </c>
      <c r="E1463" s="18">
        <v>0</v>
      </c>
      <c r="F1463" s="24">
        <v>0</v>
      </c>
    </row>
    <row r="1464" spans="2:6" x14ac:dyDescent="0.2">
      <c r="B1464" s="5">
        <v>46021</v>
      </c>
      <c r="C1464" t="s">
        <v>877</v>
      </c>
      <c r="D1464" s="11">
        <v>50</v>
      </c>
      <c r="E1464" s="18">
        <v>4</v>
      </c>
      <c r="F1464" s="24">
        <v>0.08</v>
      </c>
    </row>
    <row r="1465" spans="2:6" x14ac:dyDescent="0.2">
      <c r="B1465" s="5">
        <v>46021</v>
      </c>
      <c r="C1465" t="s">
        <v>878</v>
      </c>
      <c r="D1465" s="11">
        <v>479</v>
      </c>
      <c r="E1465" s="18">
        <v>5</v>
      </c>
      <c r="F1465" s="24">
        <v>1.0438413361169102E-2</v>
      </c>
    </row>
    <row r="1466" spans="2:6" x14ac:dyDescent="0.2">
      <c r="B1466" s="5">
        <v>46022</v>
      </c>
      <c r="C1466" t="s">
        <v>875</v>
      </c>
      <c r="D1466" s="11">
        <v>420</v>
      </c>
      <c r="E1466" s="18">
        <v>0</v>
      </c>
      <c r="F1466" s="24">
        <v>0</v>
      </c>
    </row>
    <row r="1467" spans="2:6" x14ac:dyDescent="0.2">
      <c r="B1467" s="5">
        <v>46022</v>
      </c>
      <c r="C1467" t="s">
        <v>84</v>
      </c>
      <c r="D1467" s="11">
        <v>78</v>
      </c>
      <c r="E1467" s="18">
        <v>0</v>
      </c>
      <c r="F1467" s="24">
        <v>0</v>
      </c>
    </row>
    <row r="1468" spans="2:6" x14ac:dyDescent="0.2">
      <c r="B1468" s="5">
        <v>46022</v>
      </c>
      <c r="C1468" t="s">
        <v>86</v>
      </c>
      <c r="D1468" s="11">
        <v>21</v>
      </c>
      <c r="E1468" s="18">
        <v>0</v>
      </c>
      <c r="F1468" s="24">
        <v>0</v>
      </c>
    </row>
    <row r="1469" spans="2:6" x14ac:dyDescent="0.2">
      <c r="B1469" s="5">
        <v>46022</v>
      </c>
      <c r="C1469" t="s">
        <v>876</v>
      </c>
      <c r="D1469" s="11">
        <v>1</v>
      </c>
      <c r="E1469" s="18">
        <v>0</v>
      </c>
      <c r="F1469" s="24">
        <v>0</v>
      </c>
    </row>
    <row r="1470" spans="2:6" x14ac:dyDescent="0.2">
      <c r="B1470" s="5">
        <v>46022</v>
      </c>
      <c r="C1470" t="s">
        <v>877</v>
      </c>
      <c r="D1470" s="11">
        <v>39</v>
      </c>
      <c r="E1470" s="18">
        <v>3</v>
      </c>
      <c r="F1470" s="24">
        <v>7.6923076923076927E-2</v>
      </c>
    </row>
    <row r="1471" spans="2:6" x14ac:dyDescent="0.2">
      <c r="B1471" s="5">
        <v>46022</v>
      </c>
      <c r="C1471" t="s">
        <v>878</v>
      </c>
      <c r="D1471" s="11">
        <v>559</v>
      </c>
      <c r="E1471" s="18">
        <v>3</v>
      </c>
      <c r="F1471" s="24">
        <v>5.3667262969588547E-3</v>
      </c>
    </row>
    <row r="1472" spans="2:6" x14ac:dyDescent="0.2">
      <c r="B1472" s="5">
        <v>46023</v>
      </c>
      <c r="C1472" t="s">
        <v>875</v>
      </c>
      <c r="D1472" s="11">
        <v>558</v>
      </c>
      <c r="E1472" s="18">
        <v>0</v>
      </c>
      <c r="F1472" s="24">
        <v>0</v>
      </c>
    </row>
    <row r="1473" spans="2:6" x14ac:dyDescent="0.2">
      <c r="B1473" s="5">
        <v>46023</v>
      </c>
      <c r="C1473" t="s">
        <v>84</v>
      </c>
      <c r="D1473" s="11">
        <v>162</v>
      </c>
      <c r="E1473" s="18">
        <v>1</v>
      </c>
      <c r="F1473" s="24">
        <v>6.1728395061728392E-3</v>
      </c>
    </row>
    <row r="1474" spans="2:6" x14ac:dyDescent="0.2">
      <c r="B1474" s="5">
        <v>46023</v>
      </c>
      <c r="C1474" t="s">
        <v>86</v>
      </c>
      <c r="D1474" s="11">
        <v>12</v>
      </c>
      <c r="E1474" s="18">
        <v>0</v>
      </c>
      <c r="F1474" s="24">
        <v>0</v>
      </c>
    </row>
    <row r="1475" spans="2:6" x14ac:dyDescent="0.2">
      <c r="B1475" s="5">
        <v>46023</v>
      </c>
      <c r="C1475" t="s">
        <v>876</v>
      </c>
      <c r="D1475" s="11">
        <v>3</v>
      </c>
      <c r="E1475" s="18">
        <v>0</v>
      </c>
      <c r="F1475" s="24">
        <v>0</v>
      </c>
    </row>
    <row r="1476" spans="2:6" x14ac:dyDescent="0.2">
      <c r="B1476" s="5">
        <v>46023</v>
      </c>
      <c r="C1476" t="s">
        <v>877</v>
      </c>
      <c r="D1476" s="11">
        <v>70</v>
      </c>
      <c r="E1476" s="18">
        <v>0</v>
      </c>
      <c r="F1476" s="24">
        <v>0</v>
      </c>
    </row>
    <row r="1477" spans="2:6" x14ac:dyDescent="0.2">
      <c r="B1477" s="5">
        <v>46023</v>
      </c>
      <c r="C1477" t="s">
        <v>878</v>
      </c>
      <c r="D1477" s="11">
        <v>805</v>
      </c>
      <c r="E1477" s="18">
        <v>1</v>
      </c>
      <c r="F1477" s="24">
        <v>1.2422360248447205E-3</v>
      </c>
    </row>
    <row r="1478" spans="2:6" x14ac:dyDescent="0.2">
      <c r="B1478" s="5">
        <v>46024</v>
      </c>
      <c r="C1478" t="s">
        <v>875</v>
      </c>
      <c r="D1478" s="11">
        <v>366</v>
      </c>
      <c r="E1478" s="18">
        <v>0</v>
      </c>
      <c r="F1478" s="24">
        <v>0</v>
      </c>
    </row>
    <row r="1479" spans="2:6" x14ac:dyDescent="0.2">
      <c r="B1479" s="5">
        <v>46024</v>
      </c>
      <c r="C1479" t="s">
        <v>84</v>
      </c>
      <c r="D1479" s="11">
        <v>143</v>
      </c>
      <c r="E1479" s="18">
        <v>1</v>
      </c>
      <c r="F1479" s="24">
        <v>6.993006993006993E-3</v>
      </c>
    </row>
    <row r="1480" spans="2:6" x14ac:dyDescent="0.2">
      <c r="B1480" s="5">
        <v>46024</v>
      </c>
      <c r="C1480" t="s">
        <v>86</v>
      </c>
      <c r="D1480" s="11">
        <v>26</v>
      </c>
      <c r="E1480" s="18">
        <v>0</v>
      </c>
      <c r="F1480" s="24">
        <v>0</v>
      </c>
    </row>
    <row r="1481" spans="2:6" x14ac:dyDescent="0.2">
      <c r="B1481" s="5">
        <v>46024</v>
      </c>
      <c r="C1481" t="s">
        <v>876</v>
      </c>
      <c r="D1481" s="11">
        <v>7</v>
      </c>
      <c r="E1481" s="18">
        <v>0</v>
      </c>
      <c r="F1481" s="24">
        <v>0</v>
      </c>
    </row>
    <row r="1482" spans="2:6" x14ac:dyDescent="0.2">
      <c r="B1482" s="5">
        <v>46024</v>
      </c>
      <c r="C1482" t="s">
        <v>877</v>
      </c>
      <c r="D1482" s="11">
        <v>75</v>
      </c>
      <c r="E1482" s="18">
        <v>2</v>
      </c>
      <c r="F1482" s="24">
        <v>2.6666666666666668E-2</v>
      </c>
    </row>
    <row r="1483" spans="2:6" x14ac:dyDescent="0.2">
      <c r="B1483" s="5">
        <v>46024</v>
      </c>
      <c r="C1483" t="s">
        <v>878</v>
      </c>
      <c r="D1483" s="11">
        <v>617</v>
      </c>
      <c r="E1483" s="18">
        <v>3</v>
      </c>
      <c r="F1483" s="24">
        <v>4.8622366288492711E-3</v>
      </c>
    </row>
    <row r="1484" spans="2:6" x14ac:dyDescent="0.2">
      <c r="B1484" s="5">
        <v>46025</v>
      </c>
      <c r="C1484" t="s">
        <v>875</v>
      </c>
      <c r="D1484" s="11">
        <v>386</v>
      </c>
      <c r="E1484" s="18">
        <v>0</v>
      </c>
      <c r="F1484" s="24">
        <v>0</v>
      </c>
    </row>
    <row r="1485" spans="2:6" x14ac:dyDescent="0.2">
      <c r="B1485" s="5">
        <v>46025</v>
      </c>
      <c r="C1485" t="s">
        <v>84</v>
      </c>
      <c r="D1485" s="11">
        <v>131</v>
      </c>
      <c r="E1485" s="18">
        <v>3</v>
      </c>
      <c r="F1485" s="24">
        <v>2.2900763358778626E-2</v>
      </c>
    </row>
    <row r="1486" spans="2:6" x14ac:dyDescent="0.2">
      <c r="B1486" s="5">
        <v>46025</v>
      </c>
      <c r="C1486" t="s">
        <v>86</v>
      </c>
      <c r="D1486" s="11">
        <v>21</v>
      </c>
      <c r="E1486" s="18">
        <v>1</v>
      </c>
      <c r="F1486" s="24">
        <v>4.7619047619047616E-2</v>
      </c>
    </row>
    <row r="1487" spans="2:6" x14ac:dyDescent="0.2">
      <c r="B1487" s="5">
        <v>46025</v>
      </c>
      <c r="C1487" t="s">
        <v>876</v>
      </c>
      <c r="D1487" s="11">
        <v>2</v>
      </c>
      <c r="E1487" s="18">
        <v>0</v>
      </c>
      <c r="F1487" s="24">
        <v>0</v>
      </c>
    </row>
    <row r="1488" spans="2:6" x14ac:dyDescent="0.2">
      <c r="B1488" s="5">
        <v>46025</v>
      </c>
      <c r="C1488" t="s">
        <v>877</v>
      </c>
      <c r="D1488" s="11">
        <v>46</v>
      </c>
      <c r="E1488" s="18">
        <v>1</v>
      </c>
      <c r="F1488" s="24">
        <v>2.1739130434782608E-2</v>
      </c>
    </row>
    <row r="1489" spans="2:6" x14ac:dyDescent="0.2">
      <c r="B1489" s="5">
        <v>46025</v>
      </c>
      <c r="C1489" t="s">
        <v>878</v>
      </c>
      <c r="D1489" s="11">
        <v>586</v>
      </c>
      <c r="E1489" s="18">
        <v>5</v>
      </c>
      <c r="F1489" s="24">
        <v>8.5324232081911266E-3</v>
      </c>
    </row>
    <row r="1490" spans="2:6" x14ac:dyDescent="0.2">
      <c r="B1490" s="5">
        <v>46026</v>
      </c>
      <c r="C1490" t="s">
        <v>875</v>
      </c>
      <c r="D1490" s="11">
        <v>295</v>
      </c>
      <c r="E1490" s="18">
        <v>0</v>
      </c>
      <c r="F1490" s="24">
        <v>0</v>
      </c>
    </row>
    <row r="1491" spans="2:6" x14ac:dyDescent="0.2">
      <c r="B1491" s="5">
        <v>46026</v>
      </c>
      <c r="C1491" t="s">
        <v>84</v>
      </c>
      <c r="D1491" s="11">
        <v>131</v>
      </c>
      <c r="E1491" s="18">
        <v>1</v>
      </c>
      <c r="F1491" s="24">
        <v>7.6335877862595417E-3</v>
      </c>
    </row>
    <row r="1492" spans="2:6" x14ac:dyDescent="0.2">
      <c r="B1492" s="5">
        <v>46026</v>
      </c>
      <c r="C1492" t="s">
        <v>86</v>
      </c>
      <c r="D1492" s="11">
        <v>28</v>
      </c>
      <c r="E1492" s="18">
        <v>2</v>
      </c>
      <c r="F1492" s="24">
        <v>7.1428571428571425E-2</v>
      </c>
    </row>
    <row r="1493" spans="2:6" x14ac:dyDescent="0.2">
      <c r="B1493" s="5">
        <v>46026</v>
      </c>
      <c r="C1493" t="s">
        <v>877</v>
      </c>
      <c r="D1493" s="11">
        <v>91</v>
      </c>
      <c r="E1493" s="18">
        <v>0</v>
      </c>
      <c r="F1493" s="24">
        <v>0</v>
      </c>
    </row>
    <row r="1494" spans="2:6" x14ac:dyDescent="0.2">
      <c r="B1494" s="5">
        <v>46026</v>
      </c>
      <c r="C1494" t="s">
        <v>878</v>
      </c>
      <c r="D1494" s="11">
        <v>545</v>
      </c>
      <c r="E1494" s="18">
        <v>3</v>
      </c>
      <c r="F1494" s="24">
        <v>5.5045871559633031E-3</v>
      </c>
    </row>
    <row r="1495" spans="2:6" x14ac:dyDescent="0.2">
      <c r="B1495" s="5">
        <v>46027</v>
      </c>
      <c r="C1495" t="s">
        <v>875</v>
      </c>
      <c r="D1495" s="11">
        <v>376</v>
      </c>
      <c r="E1495" s="18">
        <v>0</v>
      </c>
      <c r="F1495" s="24">
        <v>0</v>
      </c>
    </row>
    <row r="1496" spans="2:6" x14ac:dyDescent="0.2">
      <c r="B1496" s="5">
        <v>46027</v>
      </c>
      <c r="C1496" t="s">
        <v>84</v>
      </c>
      <c r="D1496" s="11">
        <v>99</v>
      </c>
      <c r="E1496" s="18">
        <v>1</v>
      </c>
      <c r="F1496" s="24">
        <v>1.0101010101010102E-2</v>
      </c>
    </row>
    <row r="1497" spans="2:6" x14ac:dyDescent="0.2">
      <c r="B1497" s="5">
        <v>46027</v>
      </c>
      <c r="C1497" t="s">
        <v>86</v>
      </c>
      <c r="D1497" s="11">
        <v>66</v>
      </c>
      <c r="E1497" s="18">
        <v>1</v>
      </c>
      <c r="F1497" s="24">
        <v>1.5151515151515152E-2</v>
      </c>
    </row>
    <row r="1498" spans="2:6" x14ac:dyDescent="0.2">
      <c r="B1498" s="5">
        <v>46027</v>
      </c>
      <c r="C1498" t="s">
        <v>876</v>
      </c>
      <c r="D1498" s="11">
        <v>3</v>
      </c>
      <c r="E1498" s="18">
        <v>0</v>
      </c>
      <c r="F1498" s="24">
        <v>0</v>
      </c>
    </row>
    <row r="1499" spans="2:6" x14ac:dyDescent="0.2">
      <c r="B1499" s="5">
        <v>46027</v>
      </c>
      <c r="C1499" t="s">
        <v>877</v>
      </c>
      <c r="D1499" s="11">
        <v>122</v>
      </c>
      <c r="E1499" s="18">
        <v>3</v>
      </c>
      <c r="F1499" s="24">
        <v>2.4590163934426229E-2</v>
      </c>
    </row>
    <row r="1500" spans="2:6" x14ac:dyDescent="0.2">
      <c r="B1500" s="5">
        <v>46027</v>
      </c>
      <c r="C1500" t="s">
        <v>878</v>
      </c>
      <c r="D1500" s="11">
        <v>666</v>
      </c>
      <c r="E1500" s="18">
        <v>5</v>
      </c>
      <c r="F1500" s="24">
        <v>7.5075075075075074E-3</v>
      </c>
    </row>
    <row r="1501" spans="2:6" x14ac:dyDescent="0.2">
      <c r="B1501" s="5">
        <v>46028</v>
      </c>
      <c r="C1501" t="s">
        <v>875</v>
      </c>
      <c r="D1501" s="11">
        <v>433</v>
      </c>
      <c r="E1501" s="18">
        <v>0</v>
      </c>
      <c r="F1501" s="24">
        <v>0</v>
      </c>
    </row>
    <row r="1502" spans="2:6" x14ac:dyDescent="0.2">
      <c r="B1502" s="5">
        <v>46028</v>
      </c>
      <c r="C1502" t="s">
        <v>84</v>
      </c>
      <c r="D1502" s="11">
        <v>124</v>
      </c>
      <c r="E1502" s="18">
        <v>1</v>
      </c>
      <c r="F1502" s="24">
        <v>8.0645161290322578E-3</v>
      </c>
    </row>
    <row r="1503" spans="2:6" x14ac:dyDescent="0.2">
      <c r="B1503" s="5">
        <v>46028</v>
      </c>
      <c r="C1503" t="s">
        <v>86</v>
      </c>
      <c r="D1503" s="11">
        <v>35</v>
      </c>
      <c r="E1503" s="18">
        <v>2</v>
      </c>
      <c r="F1503" s="24">
        <v>5.7142857142857141E-2</v>
      </c>
    </row>
    <row r="1504" spans="2:6" x14ac:dyDescent="0.2">
      <c r="B1504" s="5">
        <v>46028</v>
      </c>
      <c r="C1504" t="s">
        <v>876</v>
      </c>
      <c r="D1504" s="11">
        <v>4</v>
      </c>
      <c r="E1504" s="18">
        <v>0</v>
      </c>
      <c r="F1504" s="24">
        <v>0</v>
      </c>
    </row>
    <row r="1505" spans="2:6" x14ac:dyDescent="0.2">
      <c r="B1505" s="5">
        <v>46028</v>
      </c>
      <c r="C1505" t="s">
        <v>877</v>
      </c>
      <c r="D1505" s="11">
        <v>72</v>
      </c>
      <c r="E1505" s="18">
        <v>0</v>
      </c>
      <c r="F1505" s="24">
        <v>0</v>
      </c>
    </row>
    <row r="1506" spans="2:6" x14ac:dyDescent="0.2">
      <c r="B1506" s="5">
        <v>46028</v>
      </c>
      <c r="C1506" t="s">
        <v>878</v>
      </c>
      <c r="D1506" s="11">
        <v>668</v>
      </c>
      <c r="E1506" s="18">
        <v>3</v>
      </c>
      <c r="F1506" s="24">
        <v>4.4910179640718561E-3</v>
      </c>
    </row>
    <row r="1507" spans="2:6" x14ac:dyDescent="0.2">
      <c r="B1507" s="5">
        <v>46029</v>
      </c>
      <c r="C1507" t="s">
        <v>875</v>
      </c>
      <c r="D1507" s="11">
        <v>251</v>
      </c>
      <c r="E1507" s="18">
        <v>1</v>
      </c>
      <c r="F1507" s="24">
        <v>3.9840637450199202E-3</v>
      </c>
    </row>
    <row r="1508" spans="2:6" x14ac:dyDescent="0.2">
      <c r="B1508" s="5">
        <v>46029</v>
      </c>
      <c r="C1508" t="s">
        <v>84</v>
      </c>
      <c r="D1508" s="11">
        <v>142</v>
      </c>
      <c r="E1508" s="18">
        <v>1</v>
      </c>
      <c r="F1508" s="24">
        <v>7.0422535211267607E-3</v>
      </c>
    </row>
    <row r="1509" spans="2:6" x14ac:dyDescent="0.2">
      <c r="B1509" s="5">
        <v>46029</v>
      </c>
      <c r="C1509" t="s">
        <v>86</v>
      </c>
      <c r="D1509" s="11">
        <v>49</v>
      </c>
      <c r="E1509" s="18">
        <v>3</v>
      </c>
      <c r="F1509" s="24">
        <v>6.1224489795918366E-2</v>
      </c>
    </row>
    <row r="1510" spans="2:6" x14ac:dyDescent="0.2">
      <c r="B1510" s="5">
        <v>46029</v>
      </c>
      <c r="C1510" t="s">
        <v>876</v>
      </c>
      <c r="D1510" s="11">
        <v>1</v>
      </c>
      <c r="E1510" s="18">
        <v>0</v>
      </c>
      <c r="F1510" s="24">
        <v>0</v>
      </c>
    </row>
    <row r="1511" spans="2:6" x14ac:dyDescent="0.2">
      <c r="B1511" s="5">
        <v>46029</v>
      </c>
      <c r="C1511" t="s">
        <v>877</v>
      </c>
      <c r="D1511" s="11">
        <v>112</v>
      </c>
      <c r="E1511" s="18">
        <v>1</v>
      </c>
      <c r="F1511" s="24">
        <v>8.9285714285714281E-3</v>
      </c>
    </row>
    <row r="1512" spans="2:6" x14ac:dyDescent="0.2">
      <c r="B1512" s="5">
        <v>46029</v>
      </c>
      <c r="C1512" t="s">
        <v>878</v>
      </c>
      <c r="D1512" s="11">
        <v>555</v>
      </c>
      <c r="E1512" s="18">
        <v>6</v>
      </c>
      <c r="F1512" s="24">
        <v>1.0810810810810811E-2</v>
      </c>
    </row>
    <row r="1513" spans="2:6" x14ac:dyDescent="0.2">
      <c r="B1513" s="5">
        <v>46030</v>
      </c>
      <c r="C1513" t="s">
        <v>875</v>
      </c>
      <c r="D1513" s="11">
        <v>506</v>
      </c>
      <c r="E1513" s="18">
        <v>0</v>
      </c>
      <c r="F1513" s="24">
        <v>0</v>
      </c>
    </row>
    <row r="1514" spans="2:6" x14ac:dyDescent="0.2">
      <c r="B1514" s="5">
        <v>46030</v>
      </c>
      <c r="C1514" t="s">
        <v>84</v>
      </c>
      <c r="D1514" s="11">
        <v>113</v>
      </c>
      <c r="E1514" s="18">
        <v>4</v>
      </c>
      <c r="F1514" s="24">
        <v>3.5398230088495575E-2</v>
      </c>
    </row>
    <row r="1515" spans="2:6" x14ac:dyDescent="0.2">
      <c r="B1515" s="5">
        <v>46030</v>
      </c>
      <c r="C1515" t="s">
        <v>86</v>
      </c>
      <c r="D1515" s="11">
        <v>34</v>
      </c>
      <c r="E1515" s="18">
        <v>0</v>
      </c>
      <c r="F1515" s="24">
        <v>0</v>
      </c>
    </row>
    <row r="1516" spans="2:6" x14ac:dyDescent="0.2">
      <c r="B1516" s="5">
        <v>46030</v>
      </c>
      <c r="C1516" t="s">
        <v>876</v>
      </c>
      <c r="D1516" s="11">
        <v>6</v>
      </c>
      <c r="E1516" s="18">
        <v>0</v>
      </c>
      <c r="F1516" s="24">
        <v>0</v>
      </c>
    </row>
    <row r="1517" spans="2:6" x14ac:dyDescent="0.2">
      <c r="B1517" s="5">
        <v>46030</v>
      </c>
      <c r="C1517" t="s">
        <v>877</v>
      </c>
      <c r="D1517" s="11">
        <v>83</v>
      </c>
      <c r="E1517" s="18">
        <v>4</v>
      </c>
      <c r="F1517" s="24">
        <v>4.8192771084337352E-2</v>
      </c>
    </row>
    <row r="1518" spans="2:6" x14ac:dyDescent="0.2">
      <c r="B1518" s="5">
        <v>46030</v>
      </c>
      <c r="C1518" t="s">
        <v>878</v>
      </c>
      <c r="D1518" s="11">
        <v>742</v>
      </c>
      <c r="E1518" s="18">
        <v>8</v>
      </c>
      <c r="F1518" s="24">
        <v>1.078167115902965E-2</v>
      </c>
    </row>
    <row r="1519" spans="2:6" x14ac:dyDescent="0.2">
      <c r="B1519" s="5">
        <v>46031</v>
      </c>
      <c r="C1519" t="s">
        <v>875</v>
      </c>
      <c r="D1519" s="11">
        <v>286</v>
      </c>
      <c r="E1519" s="18">
        <v>0</v>
      </c>
      <c r="F1519" s="24">
        <v>0</v>
      </c>
    </row>
    <row r="1520" spans="2:6" x14ac:dyDescent="0.2">
      <c r="B1520" s="5">
        <v>46031</v>
      </c>
      <c r="C1520" t="s">
        <v>84</v>
      </c>
      <c r="D1520" s="11">
        <v>92</v>
      </c>
      <c r="E1520" s="18">
        <v>2</v>
      </c>
      <c r="F1520" s="24">
        <v>2.1739130434782608E-2</v>
      </c>
    </row>
    <row r="1521" spans="2:6" x14ac:dyDescent="0.2">
      <c r="B1521" s="5">
        <v>46031</v>
      </c>
      <c r="C1521" t="s">
        <v>86</v>
      </c>
      <c r="D1521" s="11">
        <v>34</v>
      </c>
      <c r="E1521" s="18">
        <v>0</v>
      </c>
      <c r="F1521" s="24">
        <v>0</v>
      </c>
    </row>
    <row r="1522" spans="2:6" x14ac:dyDescent="0.2">
      <c r="B1522" s="5">
        <v>46031</v>
      </c>
      <c r="C1522" t="s">
        <v>876</v>
      </c>
      <c r="D1522" s="11">
        <v>2</v>
      </c>
      <c r="E1522" s="18">
        <v>0</v>
      </c>
      <c r="F1522" s="24">
        <v>0</v>
      </c>
    </row>
    <row r="1523" spans="2:6" x14ac:dyDescent="0.2">
      <c r="B1523" s="5">
        <v>46031</v>
      </c>
      <c r="C1523" t="s">
        <v>877</v>
      </c>
      <c r="D1523" s="11">
        <v>49</v>
      </c>
      <c r="E1523" s="18">
        <v>2</v>
      </c>
      <c r="F1523" s="24">
        <v>4.0816326530612242E-2</v>
      </c>
    </row>
    <row r="1524" spans="2:6" x14ac:dyDescent="0.2">
      <c r="B1524" s="5">
        <v>46031</v>
      </c>
      <c r="C1524" t="s">
        <v>878</v>
      </c>
      <c r="D1524" s="11">
        <v>463</v>
      </c>
      <c r="E1524" s="18">
        <v>4</v>
      </c>
      <c r="F1524" s="24">
        <v>8.6393088552915772E-3</v>
      </c>
    </row>
    <row r="1525" spans="2:6" x14ac:dyDescent="0.2">
      <c r="B1525" s="5">
        <v>46032</v>
      </c>
      <c r="C1525" t="s">
        <v>875</v>
      </c>
      <c r="D1525" s="11">
        <v>538</v>
      </c>
      <c r="E1525" s="18">
        <v>0</v>
      </c>
      <c r="F1525" s="24">
        <v>0</v>
      </c>
    </row>
    <row r="1526" spans="2:6" x14ac:dyDescent="0.2">
      <c r="B1526" s="5">
        <v>46032</v>
      </c>
      <c r="C1526" t="s">
        <v>84</v>
      </c>
      <c r="D1526" s="11">
        <v>94</v>
      </c>
      <c r="E1526" s="18">
        <v>2</v>
      </c>
      <c r="F1526" s="24">
        <v>2.1276595744680851E-2</v>
      </c>
    </row>
    <row r="1527" spans="2:6" x14ac:dyDescent="0.2">
      <c r="B1527" s="5">
        <v>46032</v>
      </c>
      <c r="C1527" t="s">
        <v>86</v>
      </c>
      <c r="D1527" s="11">
        <v>29</v>
      </c>
      <c r="E1527" s="18">
        <v>1</v>
      </c>
      <c r="F1527" s="24">
        <v>3.4482758620689655E-2</v>
      </c>
    </row>
    <row r="1528" spans="2:6" x14ac:dyDescent="0.2">
      <c r="B1528" s="5">
        <v>46032</v>
      </c>
      <c r="C1528" t="s">
        <v>876</v>
      </c>
      <c r="D1528" s="11">
        <v>8</v>
      </c>
      <c r="E1528" s="18">
        <v>0</v>
      </c>
      <c r="F1528" s="24">
        <v>0</v>
      </c>
    </row>
    <row r="1529" spans="2:6" x14ac:dyDescent="0.2">
      <c r="B1529" s="5">
        <v>46032</v>
      </c>
      <c r="C1529" t="s">
        <v>877</v>
      </c>
      <c r="D1529" s="11">
        <v>54</v>
      </c>
      <c r="E1529" s="18">
        <v>0</v>
      </c>
      <c r="F1529" s="24">
        <v>0</v>
      </c>
    </row>
    <row r="1530" spans="2:6" x14ac:dyDescent="0.2">
      <c r="B1530" s="5">
        <v>46032</v>
      </c>
      <c r="C1530" t="s">
        <v>878</v>
      </c>
      <c r="D1530" s="11">
        <v>723</v>
      </c>
      <c r="E1530" s="18">
        <v>3</v>
      </c>
      <c r="F1530" s="24">
        <v>4.1493775933609959E-3</v>
      </c>
    </row>
    <row r="1531" spans="2:6" x14ac:dyDescent="0.2">
      <c r="B1531" s="5">
        <v>46033</v>
      </c>
      <c r="C1531" t="s">
        <v>875</v>
      </c>
      <c r="D1531" s="11">
        <v>341</v>
      </c>
      <c r="E1531" s="18">
        <v>0</v>
      </c>
      <c r="F1531" s="24">
        <v>0</v>
      </c>
    </row>
    <row r="1532" spans="2:6" x14ac:dyDescent="0.2">
      <c r="B1532" s="5">
        <v>46033</v>
      </c>
      <c r="C1532" t="s">
        <v>84</v>
      </c>
      <c r="D1532" s="11">
        <v>103</v>
      </c>
      <c r="E1532" s="18">
        <v>1</v>
      </c>
      <c r="F1532" s="24">
        <v>9.7087378640776691E-3</v>
      </c>
    </row>
    <row r="1533" spans="2:6" x14ac:dyDescent="0.2">
      <c r="B1533" s="5">
        <v>46033</v>
      </c>
      <c r="C1533" t="s">
        <v>86</v>
      </c>
      <c r="D1533" s="11">
        <v>16</v>
      </c>
      <c r="E1533" s="18">
        <v>0</v>
      </c>
      <c r="F1533" s="24">
        <v>0</v>
      </c>
    </row>
    <row r="1534" spans="2:6" x14ac:dyDescent="0.2">
      <c r="B1534" s="5">
        <v>46033</v>
      </c>
      <c r="C1534" t="s">
        <v>876</v>
      </c>
      <c r="D1534" s="11">
        <v>9</v>
      </c>
      <c r="E1534" s="18">
        <v>0</v>
      </c>
      <c r="F1534" s="24">
        <v>0</v>
      </c>
    </row>
    <row r="1535" spans="2:6" x14ac:dyDescent="0.2">
      <c r="B1535" s="5">
        <v>46033</v>
      </c>
      <c r="C1535" t="s">
        <v>877</v>
      </c>
      <c r="D1535" s="11">
        <v>39</v>
      </c>
      <c r="E1535" s="18">
        <v>0</v>
      </c>
      <c r="F1535" s="24">
        <v>0</v>
      </c>
    </row>
    <row r="1536" spans="2:6" x14ac:dyDescent="0.2">
      <c r="B1536" s="5">
        <v>46033</v>
      </c>
      <c r="C1536" t="s">
        <v>878</v>
      </c>
      <c r="D1536" s="11">
        <v>508</v>
      </c>
      <c r="E1536" s="18">
        <v>1</v>
      </c>
      <c r="F1536" s="24">
        <v>1.968503937007874E-3</v>
      </c>
    </row>
    <row r="1537" spans="2:6" x14ac:dyDescent="0.2">
      <c r="B1537" s="5">
        <v>46034</v>
      </c>
      <c r="C1537" t="s">
        <v>875</v>
      </c>
      <c r="D1537" s="11">
        <v>384</v>
      </c>
      <c r="E1537" s="18">
        <v>0</v>
      </c>
      <c r="F1537" s="24">
        <v>0</v>
      </c>
    </row>
    <row r="1538" spans="2:6" x14ac:dyDescent="0.2">
      <c r="B1538" s="5">
        <v>46034</v>
      </c>
      <c r="C1538" t="s">
        <v>84</v>
      </c>
      <c r="D1538" s="11">
        <v>104</v>
      </c>
      <c r="E1538" s="18">
        <v>1</v>
      </c>
      <c r="F1538" s="24">
        <v>9.6153846153846159E-3</v>
      </c>
    </row>
    <row r="1539" spans="2:6" x14ac:dyDescent="0.2">
      <c r="B1539" s="5">
        <v>46034</v>
      </c>
      <c r="C1539" t="s">
        <v>86</v>
      </c>
      <c r="D1539" s="11">
        <v>32</v>
      </c>
      <c r="E1539" s="18">
        <v>0</v>
      </c>
      <c r="F1539" s="24">
        <v>0</v>
      </c>
    </row>
    <row r="1540" spans="2:6" x14ac:dyDescent="0.2">
      <c r="B1540" s="5">
        <v>46034</v>
      </c>
      <c r="C1540" t="s">
        <v>876</v>
      </c>
      <c r="D1540" s="11">
        <v>9</v>
      </c>
      <c r="E1540" s="18">
        <v>0</v>
      </c>
      <c r="F1540" s="24">
        <v>0</v>
      </c>
    </row>
    <row r="1541" spans="2:6" x14ac:dyDescent="0.2">
      <c r="B1541" s="5">
        <v>46034</v>
      </c>
      <c r="C1541" t="s">
        <v>877</v>
      </c>
      <c r="D1541" s="11">
        <v>98</v>
      </c>
      <c r="E1541" s="18">
        <v>1</v>
      </c>
      <c r="F1541" s="24">
        <v>1.020408163265306E-2</v>
      </c>
    </row>
    <row r="1542" spans="2:6" x14ac:dyDescent="0.2">
      <c r="B1542" s="5">
        <v>46034</v>
      </c>
      <c r="C1542" t="s">
        <v>878</v>
      </c>
      <c r="D1542" s="11">
        <v>627</v>
      </c>
      <c r="E1542" s="18">
        <v>2</v>
      </c>
      <c r="F1542" s="24">
        <v>3.189792663476874E-3</v>
      </c>
    </row>
    <row r="1543" spans="2:6" x14ac:dyDescent="0.2">
      <c r="B1543" s="5">
        <v>46035</v>
      </c>
      <c r="C1543" t="s">
        <v>875</v>
      </c>
      <c r="D1543" s="11">
        <v>345</v>
      </c>
      <c r="E1543" s="18">
        <v>0</v>
      </c>
      <c r="F1543" s="24">
        <v>0</v>
      </c>
    </row>
    <row r="1544" spans="2:6" x14ac:dyDescent="0.2">
      <c r="B1544" s="5">
        <v>46035</v>
      </c>
      <c r="C1544" t="s">
        <v>84</v>
      </c>
      <c r="D1544" s="11">
        <v>93</v>
      </c>
      <c r="E1544" s="18">
        <v>1</v>
      </c>
      <c r="F1544" s="24">
        <v>1.0752688172043012E-2</v>
      </c>
    </row>
    <row r="1545" spans="2:6" x14ac:dyDescent="0.2">
      <c r="B1545" s="5">
        <v>46035</v>
      </c>
      <c r="C1545" t="s">
        <v>86</v>
      </c>
      <c r="D1545" s="11">
        <v>34</v>
      </c>
      <c r="E1545" s="18">
        <v>1</v>
      </c>
      <c r="F1545" s="24">
        <v>2.9411764705882353E-2</v>
      </c>
    </row>
    <row r="1546" spans="2:6" x14ac:dyDescent="0.2">
      <c r="B1546" s="5">
        <v>46035</v>
      </c>
      <c r="C1546" t="s">
        <v>876</v>
      </c>
      <c r="D1546" s="11">
        <v>12</v>
      </c>
      <c r="E1546" s="18">
        <v>0</v>
      </c>
      <c r="F1546" s="24">
        <v>0</v>
      </c>
    </row>
    <row r="1547" spans="2:6" x14ac:dyDescent="0.2">
      <c r="B1547" s="5">
        <v>46035</v>
      </c>
      <c r="C1547" t="s">
        <v>877</v>
      </c>
      <c r="D1547" s="11">
        <v>54</v>
      </c>
      <c r="E1547" s="18">
        <v>1</v>
      </c>
      <c r="F1547" s="24">
        <v>1.8518518518518517E-2</v>
      </c>
    </row>
    <row r="1548" spans="2:6" x14ac:dyDescent="0.2">
      <c r="B1548" s="5">
        <v>46035</v>
      </c>
      <c r="C1548" t="s">
        <v>878</v>
      </c>
      <c r="D1548" s="11">
        <v>538</v>
      </c>
      <c r="E1548" s="18">
        <v>3</v>
      </c>
      <c r="F1548" s="24">
        <v>5.5762081784386614E-3</v>
      </c>
    </row>
    <row r="1549" spans="2:6" x14ac:dyDescent="0.2">
      <c r="B1549" s="5">
        <v>46036</v>
      </c>
      <c r="C1549" t="s">
        <v>875</v>
      </c>
      <c r="D1549" s="11">
        <v>365</v>
      </c>
      <c r="E1549" s="18">
        <v>0</v>
      </c>
      <c r="F1549" s="24">
        <v>0</v>
      </c>
    </row>
    <row r="1550" spans="2:6" x14ac:dyDescent="0.2">
      <c r="B1550" s="5">
        <v>46036</v>
      </c>
      <c r="C1550" t="s">
        <v>84</v>
      </c>
      <c r="D1550" s="11">
        <v>96</v>
      </c>
      <c r="E1550" s="18">
        <v>1</v>
      </c>
      <c r="F1550" s="24">
        <v>1.0416666666666666E-2</v>
      </c>
    </row>
    <row r="1551" spans="2:6" x14ac:dyDescent="0.2">
      <c r="B1551" s="5">
        <v>46036</v>
      </c>
      <c r="C1551" t="s">
        <v>86</v>
      </c>
      <c r="D1551" s="11">
        <v>43</v>
      </c>
      <c r="E1551" s="18">
        <v>2</v>
      </c>
      <c r="F1551" s="24">
        <v>4.6511627906976744E-2</v>
      </c>
    </row>
    <row r="1552" spans="2:6" x14ac:dyDescent="0.2">
      <c r="B1552" s="5">
        <v>46036</v>
      </c>
      <c r="C1552" t="s">
        <v>876</v>
      </c>
      <c r="D1552" s="11">
        <v>6</v>
      </c>
      <c r="E1552" s="18">
        <v>0</v>
      </c>
      <c r="F1552" s="24">
        <v>0</v>
      </c>
    </row>
    <row r="1553" spans="2:6" x14ac:dyDescent="0.2">
      <c r="B1553" s="5">
        <v>46036</v>
      </c>
      <c r="C1553" t="s">
        <v>877</v>
      </c>
      <c r="D1553" s="11">
        <v>83</v>
      </c>
      <c r="E1553" s="18">
        <v>2</v>
      </c>
      <c r="F1553" s="24">
        <v>2.4096385542168676E-2</v>
      </c>
    </row>
    <row r="1554" spans="2:6" x14ac:dyDescent="0.2">
      <c r="B1554" s="5">
        <v>46036</v>
      </c>
      <c r="C1554" t="s">
        <v>878</v>
      </c>
      <c r="D1554" s="11">
        <v>593</v>
      </c>
      <c r="E1554" s="18">
        <v>5</v>
      </c>
      <c r="F1554" s="24">
        <v>8.4317032040472171E-3</v>
      </c>
    </row>
    <row r="1555" spans="2:6" x14ac:dyDescent="0.2">
      <c r="B1555" s="5">
        <v>46037</v>
      </c>
      <c r="C1555" t="s">
        <v>875</v>
      </c>
      <c r="D1555" s="11">
        <v>230</v>
      </c>
      <c r="E1555" s="18">
        <v>0</v>
      </c>
      <c r="F1555" s="24">
        <v>0</v>
      </c>
    </row>
    <row r="1556" spans="2:6" x14ac:dyDescent="0.2">
      <c r="B1556" s="5">
        <v>46037</v>
      </c>
      <c r="C1556" t="s">
        <v>84</v>
      </c>
      <c r="D1556" s="11">
        <v>93</v>
      </c>
      <c r="E1556" s="18">
        <v>0</v>
      </c>
      <c r="F1556" s="24">
        <v>0</v>
      </c>
    </row>
    <row r="1557" spans="2:6" x14ac:dyDescent="0.2">
      <c r="B1557" s="5">
        <v>46037</v>
      </c>
      <c r="C1557" t="s">
        <v>86</v>
      </c>
      <c r="D1557" s="11">
        <v>40</v>
      </c>
      <c r="E1557" s="18">
        <v>1</v>
      </c>
      <c r="F1557" s="24">
        <v>2.5000000000000001E-2</v>
      </c>
    </row>
    <row r="1558" spans="2:6" x14ac:dyDescent="0.2">
      <c r="B1558" s="5">
        <v>46037</v>
      </c>
      <c r="C1558" t="s">
        <v>876</v>
      </c>
      <c r="D1558" s="11">
        <v>4</v>
      </c>
      <c r="E1558" s="18">
        <v>0</v>
      </c>
      <c r="F1558" s="24">
        <v>0</v>
      </c>
    </row>
    <row r="1559" spans="2:6" x14ac:dyDescent="0.2">
      <c r="B1559" s="5">
        <v>46037</v>
      </c>
      <c r="C1559" t="s">
        <v>877</v>
      </c>
      <c r="D1559" s="11">
        <v>67</v>
      </c>
      <c r="E1559" s="18">
        <v>0</v>
      </c>
      <c r="F1559" s="24">
        <v>0</v>
      </c>
    </row>
    <row r="1560" spans="2:6" x14ac:dyDescent="0.2">
      <c r="B1560" s="5">
        <v>46037</v>
      </c>
      <c r="C1560" t="s">
        <v>878</v>
      </c>
      <c r="D1560" s="11">
        <v>434</v>
      </c>
      <c r="E1560" s="18">
        <v>1</v>
      </c>
      <c r="F1560" s="24">
        <v>2.304147465437788E-3</v>
      </c>
    </row>
    <row r="1561" spans="2:6" x14ac:dyDescent="0.2">
      <c r="B1561" s="5">
        <v>46038</v>
      </c>
      <c r="C1561" t="s">
        <v>875</v>
      </c>
      <c r="D1561" s="11">
        <v>385</v>
      </c>
      <c r="E1561" s="18">
        <v>0</v>
      </c>
      <c r="F1561" s="24">
        <v>0</v>
      </c>
    </row>
    <row r="1562" spans="2:6" x14ac:dyDescent="0.2">
      <c r="B1562" s="5">
        <v>46038</v>
      </c>
      <c r="C1562" t="s">
        <v>84</v>
      </c>
      <c r="D1562" s="11">
        <v>86</v>
      </c>
      <c r="E1562" s="18">
        <v>2</v>
      </c>
      <c r="F1562" s="24">
        <v>2.3255813953488372E-2</v>
      </c>
    </row>
    <row r="1563" spans="2:6" x14ac:dyDescent="0.2">
      <c r="B1563" s="5">
        <v>46038</v>
      </c>
      <c r="C1563" t="s">
        <v>86</v>
      </c>
      <c r="D1563" s="11">
        <v>30</v>
      </c>
      <c r="E1563" s="18">
        <v>1</v>
      </c>
      <c r="F1563" s="24">
        <v>3.3333333333333333E-2</v>
      </c>
    </row>
    <row r="1564" spans="2:6" x14ac:dyDescent="0.2">
      <c r="B1564" s="5">
        <v>46038</v>
      </c>
      <c r="C1564" t="s">
        <v>876</v>
      </c>
      <c r="D1564" s="11">
        <v>3</v>
      </c>
      <c r="E1564" s="18">
        <v>0</v>
      </c>
      <c r="F1564" s="24">
        <v>0</v>
      </c>
    </row>
    <row r="1565" spans="2:6" x14ac:dyDescent="0.2">
      <c r="B1565" s="5">
        <v>46038</v>
      </c>
      <c r="C1565" t="s">
        <v>877</v>
      </c>
      <c r="D1565" s="11">
        <v>64</v>
      </c>
      <c r="E1565" s="18">
        <v>2</v>
      </c>
      <c r="F1565" s="24">
        <v>3.125E-2</v>
      </c>
    </row>
    <row r="1566" spans="2:6" x14ac:dyDescent="0.2">
      <c r="B1566" s="5">
        <v>46038</v>
      </c>
      <c r="C1566" t="s">
        <v>878</v>
      </c>
      <c r="D1566" s="11">
        <v>568</v>
      </c>
      <c r="E1566" s="18">
        <v>5</v>
      </c>
      <c r="F1566" s="24">
        <v>8.8028169014084511E-3</v>
      </c>
    </row>
    <row r="1567" spans="2:6" x14ac:dyDescent="0.2">
      <c r="B1567" s="5">
        <v>46039</v>
      </c>
      <c r="C1567" t="s">
        <v>875</v>
      </c>
      <c r="D1567" s="11">
        <v>128</v>
      </c>
      <c r="E1567" s="18">
        <v>0</v>
      </c>
      <c r="F1567" s="24">
        <v>0</v>
      </c>
    </row>
    <row r="1568" spans="2:6" x14ac:dyDescent="0.2">
      <c r="B1568" s="5">
        <v>46039</v>
      </c>
      <c r="C1568" t="s">
        <v>84</v>
      </c>
      <c r="D1568" s="11">
        <v>101</v>
      </c>
      <c r="E1568" s="18">
        <v>2</v>
      </c>
      <c r="F1568" s="24">
        <v>1.9801980198019802E-2</v>
      </c>
    </row>
    <row r="1569" spans="2:6" x14ac:dyDescent="0.2">
      <c r="B1569" s="5">
        <v>46039</v>
      </c>
      <c r="C1569" t="s">
        <v>86</v>
      </c>
      <c r="D1569" s="11">
        <v>35</v>
      </c>
      <c r="E1569" s="18">
        <v>0</v>
      </c>
      <c r="F1569" s="24">
        <v>0</v>
      </c>
    </row>
    <row r="1570" spans="2:6" x14ac:dyDescent="0.2">
      <c r="B1570" s="5">
        <v>46039</v>
      </c>
      <c r="C1570" t="s">
        <v>876</v>
      </c>
      <c r="D1570" s="11">
        <v>2</v>
      </c>
      <c r="E1570" s="18">
        <v>0</v>
      </c>
      <c r="F1570" s="24">
        <v>0</v>
      </c>
    </row>
    <row r="1571" spans="2:6" x14ac:dyDescent="0.2">
      <c r="B1571" s="5">
        <v>46039</v>
      </c>
      <c r="C1571" t="s">
        <v>877</v>
      </c>
      <c r="D1571" s="11">
        <v>30</v>
      </c>
      <c r="E1571" s="18">
        <v>1</v>
      </c>
      <c r="F1571" s="24">
        <v>3.3333333333333333E-2</v>
      </c>
    </row>
    <row r="1572" spans="2:6" x14ac:dyDescent="0.2">
      <c r="B1572" s="5">
        <v>46039</v>
      </c>
      <c r="C1572" t="s">
        <v>878</v>
      </c>
      <c r="D1572" s="11">
        <v>296</v>
      </c>
      <c r="E1572" s="18">
        <v>3</v>
      </c>
      <c r="F1572" s="24">
        <v>1.0135135135135136E-2</v>
      </c>
    </row>
    <row r="1573" spans="2:6" x14ac:dyDescent="0.2">
      <c r="B1573" s="5">
        <v>46040</v>
      </c>
      <c r="C1573" t="s">
        <v>875</v>
      </c>
      <c r="D1573" s="11">
        <v>398</v>
      </c>
      <c r="E1573" s="18">
        <v>1</v>
      </c>
      <c r="F1573" s="24">
        <v>2.5125628140703518E-3</v>
      </c>
    </row>
    <row r="1574" spans="2:6" x14ac:dyDescent="0.2">
      <c r="B1574" s="5">
        <v>46040</v>
      </c>
      <c r="C1574" t="s">
        <v>84</v>
      </c>
      <c r="D1574" s="11">
        <v>101</v>
      </c>
      <c r="E1574" s="18">
        <v>0</v>
      </c>
      <c r="F1574" s="24">
        <v>0</v>
      </c>
    </row>
    <row r="1575" spans="2:6" x14ac:dyDescent="0.2">
      <c r="B1575" s="5">
        <v>46040</v>
      </c>
      <c r="C1575" t="s">
        <v>86</v>
      </c>
      <c r="D1575" s="11">
        <v>43</v>
      </c>
      <c r="E1575" s="18">
        <v>1</v>
      </c>
      <c r="F1575" s="24">
        <v>2.3255813953488372E-2</v>
      </c>
    </row>
    <row r="1576" spans="2:6" x14ac:dyDescent="0.2">
      <c r="B1576" s="5">
        <v>46040</v>
      </c>
      <c r="C1576" t="s">
        <v>876</v>
      </c>
      <c r="D1576" s="11">
        <v>3</v>
      </c>
      <c r="E1576" s="18">
        <v>0</v>
      </c>
      <c r="F1576" s="24">
        <v>0</v>
      </c>
    </row>
    <row r="1577" spans="2:6" x14ac:dyDescent="0.2">
      <c r="B1577" s="5">
        <v>46040</v>
      </c>
      <c r="C1577" t="s">
        <v>877</v>
      </c>
      <c r="D1577" s="11">
        <v>53</v>
      </c>
      <c r="E1577" s="18">
        <v>1</v>
      </c>
      <c r="F1577" s="24">
        <v>1.8867924528301886E-2</v>
      </c>
    </row>
    <row r="1578" spans="2:6" x14ac:dyDescent="0.2">
      <c r="B1578" s="5">
        <v>46040</v>
      </c>
      <c r="C1578" t="s">
        <v>878</v>
      </c>
      <c r="D1578" s="11">
        <v>598</v>
      </c>
      <c r="E1578" s="18">
        <v>3</v>
      </c>
      <c r="F1578" s="24">
        <v>5.016722408026756E-3</v>
      </c>
    </row>
    <row r="1579" spans="2:6" x14ac:dyDescent="0.2">
      <c r="B1579" s="5">
        <v>46041</v>
      </c>
      <c r="C1579" t="s">
        <v>875</v>
      </c>
      <c r="D1579" s="11">
        <v>223</v>
      </c>
      <c r="E1579" s="18">
        <v>0</v>
      </c>
      <c r="F1579" s="24">
        <v>0</v>
      </c>
    </row>
    <row r="1580" spans="2:6" x14ac:dyDescent="0.2">
      <c r="B1580" s="5">
        <v>46041</v>
      </c>
      <c r="C1580" t="s">
        <v>84</v>
      </c>
      <c r="D1580" s="11">
        <v>80</v>
      </c>
      <c r="E1580" s="18">
        <v>0</v>
      </c>
      <c r="F1580" s="24">
        <v>0</v>
      </c>
    </row>
    <row r="1581" spans="2:6" x14ac:dyDescent="0.2">
      <c r="B1581" s="5">
        <v>46041</v>
      </c>
      <c r="C1581" t="s">
        <v>86</v>
      </c>
      <c r="D1581" s="11">
        <v>52</v>
      </c>
      <c r="E1581" s="18">
        <v>2</v>
      </c>
      <c r="F1581" s="24">
        <v>3.8461538461538464E-2</v>
      </c>
    </row>
    <row r="1582" spans="2:6" x14ac:dyDescent="0.2">
      <c r="B1582" s="5">
        <v>46041</v>
      </c>
      <c r="C1582" t="s">
        <v>876</v>
      </c>
      <c r="D1582" s="11">
        <v>2</v>
      </c>
      <c r="E1582" s="18">
        <v>0</v>
      </c>
      <c r="F1582" s="24">
        <v>0</v>
      </c>
    </row>
    <row r="1583" spans="2:6" x14ac:dyDescent="0.2">
      <c r="B1583" s="5">
        <v>46041</v>
      </c>
      <c r="C1583" t="s">
        <v>877</v>
      </c>
      <c r="D1583" s="11">
        <v>76</v>
      </c>
      <c r="E1583" s="18">
        <v>2</v>
      </c>
      <c r="F1583" s="24">
        <v>2.6315789473684209E-2</v>
      </c>
    </row>
    <row r="1584" spans="2:6" x14ac:dyDescent="0.2">
      <c r="B1584" s="5">
        <v>46041</v>
      </c>
      <c r="C1584" t="s">
        <v>878</v>
      </c>
      <c r="D1584" s="11">
        <v>433</v>
      </c>
      <c r="E1584" s="18">
        <v>4</v>
      </c>
      <c r="F1584" s="24">
        <v>9.2378752886836026E-3</v>
      </c>
    </row>
    <row r="1585" spans="2:6" x14ac:dyDescent="0.2">
      <c r="B1585" s="5">
        <v>46042</v>
      </c>
      <c r="C1585" t="s">
        <v>875</v>
      </c>
      <c r="D1585" s="11">
        <v>409</v>
      </c>
      <c r="E1585" s="18">
        <v>0</v>
      </c>
      <c r="F1585" s="24">
        <v>0</v>
      </c>
    </row>
    <row r="1586" spans="2:6" x14ac:dyDescent="0.2">
      <c r="B1586" s="5">
        <v>46042</v>
      </c>
      <c r="C1586" t="s">
        <v>84</v>
      </c>
      <c r="D1586" s="11">
        <v>69</v>
      </c>
      <c r="E1586" s="18">
        <v>1</v>
      </c>
      <c r="F1586" s="24">
        <v>1.4492753623188406E-2</v>
      </c>
    </row>
    <row r="1587" spans="2:6" x14ac:dyDescent="0.2">
      <c r="B1587" s="5">
        <v>46042</v>
      </c>
      <c r="C1587" t="s">
        <v>86</v>
      </c>
      <c r="D1587" s="11">
        <v>48</v>
      </c>
      <c r="E1587" s="18">
        <v>1</v>
      </c>
      <c r="F1587" s="24">
        <v>2.0833333333333332E-2</v>
      </c>
    </row>
    <row r="1588" spans="2:6" x14ac:dyDescent="0.2">
      <c r="B1588" s="5">
        <v>46042</v>
      </c>
      <c r="C1588" t="s">
        <v>876</v>
      </c>
      <c r="D1588" s="11">
        <v>4</v>
      </c>
      <c r="E1588" s="18">
        <v>0</v>
      </c>
      <c r="F1588" s="24">
        <v>0</v>
      </c>
    </row>
    <row r="1589" spans="2:6" x14ac:dyDescent="0.2">
      <c r="B1589" s="5">
        <v>46042</v>
      </c>
      <c r="C1589" t="s">
        <v>877</v>
      </c>
      <c r="D1589" s="11">
        <v>53</v>
      </c>
      <c r="E1589" s="18">
        <v>0</v>
      </c>
      <c r="F1589" s="24">
        <v>0</v>
      </c>
    </row>
    <row r="1590" spans="2:6" x14ac:dyDescent="0.2">
      <c r="B1590" s="5">
        <v>46042</v>
      </c>
      <c r="C1590" t="s">
        <v>878</v>
      </c>
      <c r="D1590" s="11">
        <v>583</v>
      </c>
      <c r="E1590" s="18">
        <v>2</v>
      </c>
      <c r="F1590" s="24">
        <v>3.4305317324185248E-3</v>
      </c>
    </row>
    <row r="1591" spans="2:6" x14ac:dyDescent="0.2">
      <c r="B1591" s="5">
        <v>46043</v>
      </c>
      <c r="C1591" t="s">
        <v>875</v>
      </c>
      <c r="D1591" s="11">
        <v>190</v>
      </c>
      <c r="E1591" s="18">
        <v>0</v>
      </c>
      <c r="F1591" s="24">
        <v>0</v>
      </c>
    </row>
    <row r="1592" spans="2:6" x14ac:dyDescent="0.2">
      <c r="B1592" s="5">
        <v>46043</v>
      </c>
      <c r="C1592" t="s">
        <v>84</v>
      </c>
      <c r="D1592" s="11">
        <v>82</v>
      </c>
      <c r="E1592" s="18">
        <v>1</v>
      </c>
      <c r="F1592" s="24">
        <v>1.2195121951219513E-2</v>
      </c>
    </row>
    <row r="1593" spans="2:6" x14ac:dyDescent="0.2">
      <c r="B1593" s="5">
        <v>46043</v>
      </c>
      <c r="C1593" t="s">
        <v>86</v>
      </c>
      <c r="D1593" s="11">
        <v>51</v>
      </c>
      <c r="E1593" s="18">
        <v>1</v>
      </c>
      <c r="F1593" s="24">
        <v>1.9607843137254902E-2</v>
      </c>
    </row>
    <row r="1594" spans="2:6" x14ac:dyDescent="0.2">
      <c r="B1594" s="5">
        <v>46043</v>
      </c>
      <c r="C1594" t="s">
        <v>876</v>
      </c>
      <c r="D1594" s="11">
        <v>4</v>
      </c>
      <c r="E1594" s="18">
        <v>0</v>
      </c>
      <c r="F1594" s="24">
        <v>0</v>
      </c>
    </row>
    <row r="1595" spans="2:6" x14ac:dyDescent="0.2">
      <c r="B1595" s="5">
        <v>46043</v>
      </c>
      <c r="C1595" t="s">
        <v>877</v>
      </c>
      <c r="D1595" s="11">
        <v>65</v>
      </c>
      <c r="E1595" s="18">
        <v>5</v>
      </c>
      <c r="F1595" s="24">
        <v>7.6923076923076927E-2</v>
      </c>
    </row>
    <row r="1596" spans="2:6" x14ac:dyDescent="0.2">
      <c r="B1596" s="5">
        <v>46043</v>
      </c>
      <c r="C1596" t="s">
        <v>878</v>
      </c>
      <c r="D1596" s="11">
        <v>392</v>
      </c>
      <c r="E1596" s="18">
        <v>7</v>
      </c>
      <c r="F1596" s="24">
        <v>1.7857142857142856E-2</v>
      </c>
    </row>
    <row r="1597" spans="2:6" x14ac:dyDescent="0.2">
      <c r="B1597" s="5">
        <v>46044</v>
      </c>
      <c r="C1597" t="s">
        <v>875</v>
      </c>
      <c r="D1597" s="11">
        <v>379</v>
      </c>
      <c r="E1597" s="18">
        <v>0</v>
      </c>
      <c r="F1597" s="24">
        <v>0</v>
      </c>
    </row>
    <row r="1598" spans="2:6" x14ac:dyDescent="0.2">
      <c r="B1598" s="5">
        <v>46044</v>
      </c>
      <c r="C1598" t="s">
        <v>84</v>
      </c>
      <c r="D1598" s="11">
        <v>115</v>
      </c>
      <c r="E1598" s="18">
        <v>3</v>
      </c>
      <c r="F1598" s="24">
        <v>2.6086956521739129E-2</v>
      </c>
    </row>
    <row r="1599" spans="2:6" x14ac:dyDescent="0.2">
      <c r="B1599" s="5">
        <v>46044</v>
      </c>
      <c r="C1599" t="s">
        <v>86</v>
      </c>
      <c r="D1599" s="11">
        <v>31</v>
      </c>
      <c r="E1599" s="18">
        <v>0</v>
      </c>
      <c r="F1599" s="24">
        <v>0</v>
      </c>
    </row>
    <row r="1600" spans="2:6" x14ac:dyDescent="0.2">
      <c r="B1600" s="5">
        <v>46044</v>
      </c>
      <c r="C1600" t="s">
        <v>876</v>
      </c>
      <c r="D1600" s="11">
        <v>1</v>
      </c>
      <c r="E1600" s="18">
        <v>0</v>
      </c>
      <c r="F1600" s="24">
        <v>0</v>
      </c>
    </row>
    <row r="1601" spans="2:6" x14ac:dyDescent="0.2">
      <c r="B1601" s="5">
        <v>46044</v>
      </c>
      <c r="C1601" t="s">
        <v>877</v>
      </c>
      <c r="D1601" s="11">
        <v>67</v>
      </c>
      <c r="E1601" s="18">
        <v>3</v>
      </c>
      <c r="F1601" s="24">
        <v>4.4776119402985072E-2</v>
      </c>
    </row>
    <row r="1602" spans="2:6" x14ac:dyDescent="0.2">
      <c r="B1602" s="5">
        <v>46044</v>
      </c>
      <c r="C1602" t="s">
        <v>878</v>
      </c>
      <c r="D1602" s="11">
        <v>593</v>
      </c>
      <c r="E1602" s="18">
        <v>6</v>
      </c>
      <c r="F1602" s="24">
        <v>1.0118043844856661E-2</v>
      </c>
    </row>
    <row r="1603" spans="2:6" x14ac:dyDescent="0.2">
      <c r="B1603" s="5">
        <v>46045</v>
      </c>
      <c r="C1603" t="s">
        <v>875</v>
      </c>
      <c r="D1603" s="11">
        <v>275</v>
      </c>
      <c r="E1603" s="18">
        <v>0</v>
      </c>
      <c r="F1603" s="24">
        <v>0</v>
      </c>
    </row>
    <row r="1604" spans="2:6" x14ac:dyDescent="0.2">
      <c r="B1604" s="5">
        <v>46045</v>
      </c>
      <c r="C1604" t="s">
        <v>84</v>
      </c>
      <c r="D1604" s="11">
        <v>81</v>
      </c>
      <c r="E1604" s="18">
        <v>0</v>
      </c>
      <c r="F1604" s="24">
        <v>0</v>
      </c>
    </row>
    <row r="1605" spans="2:6" x14ac:dyDescent="0.2">
      <c r="B1605" s="5">
        <v>46045</v>
      </c>
      <c r="C1605" t="s">
        <v>86</v>
      </c>
      <c r="D1605" s="11">
        <v>31</v>
      </c>
      <c r="E1605" s="18">
        <v>0</v>
      </c>
      <c r="F1605" s="24">
        <v>0</v>
      </c>
    </row>
    <row r="1606" spans="2:6" x14ac:dyDescent="0.2">
      <c r="B1606" s="5">
        <v>46045</v>
      </c>
      <c r="C1606" t="s">
        <v>876</v>
      </c>
      <c r="D1606" s="11">
        <v>3</v>
      </c>
      <c r="E1606" s="18">
        <v>0</v>
      </c>
      <c r="F1606" s="24">
        <v>0</v>
      </c>
    </row>
    <row r="1607" spans="2:6" x14ac:dyDescent="0.2">
      <c r="B1607" s="5">
        <v>46045</v>
      </c>
      <c r="C1607" t="s">
        <v>877</v>
      </c>
      <c r="D1607" s="11">
        <v>54</v>
      </c>
      <c r="E1607" s="18">
        <v>1</v>
      </c>
      <c r="F1607" s="24">
        <v>1.8518518518518517E-2</v>
      </c>
    </row>
    <row r="1608" spans="2:6" x14ac:dyDescent="0.2">
      <c r="B1608" s="5">
        <v>46045</v>
      </c>
      <c r="C1608" t="s">
        <v>878</v>
      </c>
      <c r="D1608" s="11">
        <v>444</v>
      </c>
      <c r="E1608" s="18">
        <v>1</v>
      </c>
      <c r="F1608" s="24">
        <v>2.2522522522522522E-3</v>
      </c>
    </row>
    <row r="1609" spans="2:6" x14ac:dyDescent="0.2">
      <c r="B1609" s="5">
        <v>46046</v>
      </c>
      <c r="C1609" t="s">
        <v>875</v>
      </c>
      <c r="D1609" s="11">
        <v>241</v>
      </c>
      <c r="E1609" s="18">
        <v>0</v>
      </c>
      <c r="F1609" s="24">
        <v>0</v>
      </c>
    </row>
    <row r="1610" spans="2:6" x14ac:dyDescent="0.2">
      <c r="B1610" s="5">
        <v>46046</v>
      </c>
      <c r="C1610" t="s">
        <v>84</v>
      </c>
      <c r="D1610" s="11">
        <v>80</v>
      </c>
      <c r="E1610" s="18">
        <v>0</v>
      </c>
      <c r="F1610" s="24">
        <v>0</v>
      </c>
    </row>
    <row r="1611" spans="2:6" x14ac:dyDescent="0.2">
      <c r="B1611" s="5">
        <v>46046</v>
      </c>
      <c r="C1611" t="s">
        <v>86</v>
      </c>
      <c r="D1611" s="11">
        <v>26</v>
      </c>
      <c r="E1611" s="18">
        <v>0</v>
      </c>
      <c r="F1611" s="24">
        <v>0</v>
      </c>
    </row>
    <row r="1612" spans="2:6" x14ac:dyDescent="0.2">
      <c r="B1612" s="5">
        <v>46046</v>
      </c>
      <c r="C1612" t="s">
        <v>877</v>
      </c>
      <c r="D1612" s="11">
        <v>45</v>
      </c>
      <c r="E1612" s="18">
        <v>0</v>
      </c>
      <c r="F1612" s="24">
        <v>0</v>
      </c>
    </row>
    <row r="1613" spans="2:6" x14ac:dyDescent="0.2">
      <c r="B1613" s="5">
        <v>46046</v>
      </c>
      <c r="C1613" t="s">
        <v>878</v>
      </c>
      <c r="D1613" s="11">
        <v>392</v>
      </c>
      <c r="E1613" s="18">
        <v>0</v>
      </c>
      <c r="F1613" s="24">
        <v>0</v>
      </c>
    </row>
    <row r="1614" spans="2:6" x14ac:dyDescent="0.2">
      <c r="B1614" s="5">
        <v>46047</v>
      </c>
      <c r="C1614" t="s">
        <v>875</v>
      </c>
      <c r="D1614" s="11">
        <v>347</v>
      </c>
      <c r="E1614" s="18">
        <v>0</v>
      </c>
      <c r="F1614" s="24">
        <v>0</v>
      </c>
    </row>
    <row r="1615" spans="2:6" x14ac:dyDescent="0.2">
      <c r="B1615" s="5">
        <v>46047</v>
      </c>
      <c r="C1615" t="s">
        <v>84</v>
      </c>
      <c r="D1615" s="11">
        <v>123</v>
      </c>
      <c r="E1615" s="18">
        <v>0</v>
      </c>
      <c r="F1615" s="24">
        <v>0</v>
      </c>
    </row>
    <row r="1616" spans="2:6" x14ac:dyDescent="0.2">
      <c r="B1616" s="5">
        <v>46047</v>
      </c>
      <c r="C1616" t="s">
        <v>86</v>
      </c>
      <c r="D1616" s="11">
        <v>29</v>
      </c>
      <c r="E1616" s="18">
        <v>1</v>
      </c>
      <c r="F1616" s="24">
        <v>3.4482758620689655E-2</v>
      </c>
    </row>
    <row r="1617" spans="2:6" x14ac:dyDescent="0.2">
      <c r="B1617" s="5">
        <v>46047</v>
      </c>
      <c r="C1617" t="s">
        <v>876</v>
      </c>
      <c r="D1617" s="11">
        <v>6</v>
      </c>
      <c r="E1617" s="18">
        <v>0</v>
      </c>
      <c r="F1617" s="24">
        <v>0</v>
      </c>
    </row>
    <row r="1618" spans="2:6" x14ac:dyDescent="0.2">
      <c r="B1618" s="5">
        <v>46047</v>
      </c>
      <c r="C1618" t="s">
        <v>877</v>
      </c>
      <c r="D1618" s="11">
        <v>46</v>
      </c>
      <c r="E1618" s="18">
        <v>2</v>
      </c>
      <c r="F1618" s="24">
        <v>4.3478260869565216E-2</v>
      </c>
    </row>
    <row r="1619" spans="2:6" x14ac:dyDescent="0.2">
      <c r="B1619" s="5">
        <v>46047</v>
      </c>
      <c r="C1619" t="s">
        <v>878</v>
      </c>
      <c r="D1619" s="11">
        <v>551</v>
      </c>
      <c r="E1619" s="18">
        <v>3</v>
      </c>
      <c r="F1619" s="24">
        <v>5.4446460980036296E-3</v>
      </c>
    </row>
    <row r="1620" spans="2:6" x14ac:dyDescent="0.2">
      <c r="B1620" s="5">
        <v>46048</v>
      </c>
      <c r="C1620" t="s">
        <v>875</v>
      </c>
      <c r="D1620" s="11">
        <v>302</v>
      </c>
      <c r="E1620" s="18">
        <v>0</v>
      </c>
      <c r="F1620" s="24">
        <v>0</v>
      </c>
    </row>
    <row r="1621" spans="2:6" x14ac:dyDescent="0.2">
      <c r="B1621" s="5">
        <v>46048</v>
      </c>
      <c r="C1621" t="s">
        <v>84</v>
      </c>
      <c r="D1621" s="11">
        <v>91</v>
      </c>
      <c r="E1621" s="18">
        <v>0</v>
      </c>
      <c r="F1621" s="24">
        <v>0</v>
      </c>
    </row>
    <row r="1622" spans="2:6" x14ac:dyDescent="0.2">
      <c r="B1622" s="5">
        <v>46048</v>
      </c>
      <c r="C1622" t="s">
        <v>86</v>
      </c>
      <c r="D1622" s="11">
        <v>38</v>
      </c>
      <c r="E1622" s="18">
        <v>3</v>
      </c>
      <c r="F1622" s="24">
        <v>7.8947368421052627E-2</v>
      </c>
    </row>
    <row r="1623" spans="2:6" x14ac:dyDescent="0.2">
      <c r="B1623" s="5">
        <v>46048</v>
      </c>
      <c r="C1623" t="s">
        <v>876</v>
      </c>
      <c r="D1623" s="11">
        <v>2</v>
      </c>
      <c r="E1623" s="18">
        <v>0</v>
      </c>
      <c r="F1623" s="24">
        <v>0</v>
      </c>
    </row>
    <row r="1624" spans="2:6" x14ac:dyDescent="0.2">
      <c r="B1624" s="5">
        <v>46048</v>
      </c>
      <c r="C1624" t="s">
        <v>877</v>
      </c>
      <c r="D1624" s="11">
        <v>59</v>
      </c>
      <c r="E1624" s="18">
        <v>3</v>
      </c>
      <c r="F1624" s="24">
        <v>5.0847457627118647E-2</v>
      </c>
    </row>
    <row r="1625" spans="2:6" x14ac:dyDescent="0.2">
      <c r="B1625" s="5">
        <v>46048</v>
      </c>
      <c r="C1625" t="s">
        <v>878</v>
      </c>
      <c r="D1625" s="11">
        <v>492</v>
      </c>
      <c r="E1625" s="18">
        <v>6</v>
      </c>
      <c r="F1625" s="24">
        <v>1.2195121951219513E-2</v>
      </c>
    </row>
    <row r="1626" spans="2:6" x14ac:dyDescent="0.2">
      <c r="B1626" s="5">
        <v>46049</v>
      </c>
      <c r="C1626" t="s">
        <v>875</v>
      </c>
      <c r="D1626" s="11">
        <v>214</v>
      </c>
      <c r="E1626" s="18">
        <v>0</v>
      </c>
      <c r="F1626" s="24">
        <v>0</v>
      </c>
    </row>
    <row r="1627" spans="2:6" x14ac:dyDescent="0.2">
      <c r="B1627" s="5">
        <v>46049</v>
      </c>
      <c r="C1627" t="s">
        <v>84</v>
      </c>
      <c r="D1627" s="11">
        <v>79</v>
      </c>
      <c r="E1627" s="18">
        <v>2</v>
      </c>
      <c r="F1627" s="24">
        <v>2.5316455696202531E-2</v>
      </c>
    </row>
    <row r="1628" spans="2:6" x14ac:dyDescent="0.2">
      <c r="B1628" s="5">
        <v>46049</v>
      </c>
      <c r="C1628" t="s">
        <v>86</v>
      </c>
      <c r="D1628" s="11">
        <v>53</v>
      </c>
      <c r="E1628" s="18">
        <v>2</v>
      </c>
      <c r="F1628" s="24">
        <v>3.7735849056603772E-2</v>
      </c>
    </row>
    <row r="1629" spans="2:6" x14ac:dyDescent="0.2">
      <c r="B1629" s="5">
        <v>46049</v>
      </c>
      <c r="C1629" t="s">
        <v>877</v>
      </c>
      <c r="D1629" s="11">
        <v>86</v>
      </c>
      <c r="E1629" s="18">
        <v>4</v>
      </c>
      <c r="F1629" s="24">
        <v>4.6511627906976744E-2</v>
      </c>
    </row>
    <row r="1630" spans="2:6" x14ac:dyDescent="0.2">
      <c r="B1630" s="5">
        <v>46049</v>
      </c>
      <c r="C1630" t="s">
        <v>878</v>
      </c>
      <c r="D1630" s="11">
        <v>432</v>
      </c>
      <c r="E1630" s="18">
        <v>8</v>
      </c>
      <c r="F1630" s="24">
        <v>1.8518518518518517E-2</v>
      </c>
    </row>
    <row r="1631" spans="2:6" x14ac:dyDescent="0.2">
      <c r="B1631" s="5">
        <v>46050</v>
      </c>
      <c r="C1631" t="s">
        <v>875</v>
      </c>
      <c r="D1631" s="11">
        <v>294</v>
      </c>
      <c r="E1631" s="18">
        <v>0</v>
      </c>
      <c r="F1631" s="24">
        <v>0</v>
      </c>
    </row>
    <row r="1632" spans="2:6" x14ac:dyDescent="0.2">
      <c r="B1632" s="5">
        <v>46050</v>
      </c>
      <c r="C1632" t="s">
        <v>84</v>
      </c>
      <c r="D1632" s="11">
        <v>80</v>
      </c>
      <c r="E1632" s="18">
        <v>1</v>
      </c>
      <c r="F1632" s="24">
        <v>1.2500000000000001E-2</v>
      </c>
    </row>
    <row r="1633" spans="2:6" x14ac:dyDescent="0.2">
      <c r="B1633" s="5">
        <v>46050</v>
      </c>
      <c r="C1633" t="s">
        <v>86</v>
      </c>
      <c r="D1633" s="11">
        <v>36</v>
      </c>
      <c r="E1633" s="18">
        <v>2</v>
      </c>
      <c r="F1633" s="24">
        <v>5.5555555555555552E-2</v>
      </c>
    </row>
    <row r="1634" spans="2:6" x14ac:dyDescent="0.2">
      <c r="B1634" s="5">
        <v>46050</v>
      </c>
      <c r="C1634" t="s">
        <v>876</v>
      </c>
      <c r="D1634" s="11">
        <v>2</v>
      </c>
      <c r="E1634" s="18">
        <v>0</v>
      </c>
      <c r="F1634" s="24">
        <v>0</v>
      </c>
    </row>
    <row r="1635" spans="2:6" x14ac:dyDescent="0.2">
      <c r="B1635" s="5">
        <v>46050</v>
      </c>
      <c r="C1635" t="s">
        <v>877</v>
      </c>
      <c r="D1635" s="11">
        <v>67</v>
      </c>
      <c r="E1635" s="18">
        <v>1</v>
      </c>
      <c r="F1635" s="24">
        <v>1.4925373134328358E-2</v>
      </c>
    </row>
    <row r="1636" spans="2:6" x14ac:dyDescent="0.2">
      <c r="B1636" s="5">
        <v>46050</v>
      </c>
      <c r="C1636" t="s">
        <v>878</v>
      </c>
      <c r="D1636" s="11">
        <v>479</v>
      </c>
      <c r="E1636" s="18">
        <v>4</v>
      </c>
      <c r="F1636" s="24">
        <v>8.350730688935281E-3</v>
      </c>
    </row>
    <row r="1637" spans="2:6" x14ac:dyDescent="0.2">
      <c r="B1637" s="5">
        <v>46051</v>
      </c>
      <c r="C1637" t="s">
        <v>875</v>
      </c>
      <c r="D1637" s="11">
        <v>255</v>
      </c>
      <c r="E1637" s="18">
        <v>0</v>
      </c>
      <c r="F1637" s="24">
        <v>0</v>
      </c>
    </row>
    <row r="1638" spans="2:6" x14ac:dyDescent="0.2">
      <c r="B1638" s="5">
        <v>46051</v>
      </c>
      <c r="C1638" t="s">
        <v>84</v>
      </c>
      <c r="D1638" s="11">
        <v>66</v>
      </c>
      <c r="E1638" s="18">
        <v>1</v>
      </c>
      <c r="F1638" s="24">
        <v>1.5151515151515152E-2</v>
      </c>
    </row>
    <row r="1639" spans="2:6" x14ac:dyDescent="0.2">
      <c r="B1639" s="5">
        <v>46051</v>
      </c>
      <c r="C1639" t="s">
        <v>86</v>
      </c>
      <c r="D1639" s="11">
        <v>29</v>
      </c>
      <c r="E1639" s="18">
        <v>0</v>
      </c>
      <c r="F1639" s="24">
        <v>0</v>
      </c>
    </row>
    <row r="1640" spans="2:6" x14ac:dyDescent="0.2">
      <c r="B1640" s="5">
        <v>46051</v>
      </c>
      <c r="C1640" t="s">
        <v>876</v>
      </c>
      <c r="D1640" s="11">
        <v>1</v>
      </c>
      <c r="E1640" s="18">
        <v>0</v>
      </c>
      <c r="F1640" s="24">
        <v>0</v>
      </c>
    </row>
    <row r="1641" spans="2:6" x14ac:dyDescent="0.2">
      <c r="B1641" s="5">
        <v>46051</v>
      </c>
      <c r="C1641" t="s">
        <v>879</v>
      </c>
      <c r="D1641" s="11">
        <v>1</v>
      </c>
      <c r="E1641" s="18">
        <v>1</v>
      </c>
      <c r="F1641" s="24">
        <v>1</v>
      </c>
    </row>
    <row r="1642" spans="2:6" x14ac:dyDescent="0.2">
      <c r="B1642" s="5">
        <v>46051</v>
      </c>
      <c r="C1642" t="s">
        <v>877</v>
      </c>
      <c r="D1642" s="11">
        <v>53</v>
      </c>
      <c r="E1642" s="18">
        <v>2</v>
      </c>
      <c r="F1642" s="24">
        <v>3.7735849056603772E-2</v>
      </c>
    </row>
    <row r="1643" spans="2:6" x14ac:dyDescent="0.2">
      <c r="B1643" s="5">
        <v>46051</v>
      </c>
      <c r="C1643" t="s">
        <v>878</v>
      </c>
      <c r="D1643" s="11">
        <v>405</v>
      </c>
      <c r="E1643" s="18">
        <v>4</v>
      </c>
      <c r="F1643" s="24">
        <v>9.876543209876543E-3</v>
      </c>
    </row>
    <row r="1644" spans="2:6" x14ac:dyDescent="0.2">
      <c r="B1644" s="5">
        <v>46052</v>
      </c>
      <c r="C1644" t="s">
        <v>875</v>
      </c>
      <c r="D1644" s="11">
        <v>346</v>
      </c>
      <c r="E1644" s="18">
        <v>0</v>
      </c>
      <c r="F1644" s="24">
        <v>0</v>
      </c>
    </row>
    <row r="1645" spans="2:6" x14ac:dyDescent="0.2">
      <c r="B1645" s="5">
        <v>46052</v>
      </c>
      <c r="C1645" t="s">
        <v>84</v>
      </c>
      <c r="D1645" s="11">
        <v>68</v>
      </c>
      <c r="E1645" s="18">
        <v>1</v>
      </c>
      <c r="F1645" s="24">
        <v>1.4705882352941176E-2</v>
      </c>
    </row>
    <row r="1646" spans="2:6" x14ac:dyDescent="0.2">
      <c r="B1646" s="5">
        <v>46052</v>
      </c>
      <c r="C1646" t="s">
        <v>86</v>
      </c>
      <c r="D1646" s="11">
        <v>30</v>
      </c>
      <c r="E1646" s="18">
        <v>0</v>
      </c>
      <c r="F1646" s="24">
        <v>0</v>
      </c>
    </row>
    <row r="1647" spans="2:6" x14ac:dyDescent="0.2">
      <c r="B1647" s="5">
        <v>46052</v>
      </c>
      <c r="C1647" t="s">
        <v>876</v>
      </c>
      <c r="D1647" s="11">
        <v>1</v>
      </c>
      <c r="E1647" s="18">
        <v>0</v>
      </c>
      <c r="F1647" s="24">
        <v>0</v>
      </c>
    </row>
    <row r="1648" spans="2:6" x14ac:dyDescent="0.2">
      <c r="B1648" s="5">
        <v>46052</v>
      </c>
      <c r="C1648" t="s">
        <v>877</v>
      </c>
      <c r="D1648" s="11">
        <v>136</v>
      </c>
      <c r="E1648" s="18">
        <v>1</v>
      </c>
      <c r="F1648" s="24">
        <v>7.3529411764705881E-3</v>
      </c>
    </row>
    <row r="1649" spans="2:6" x14ac:dyDescent="0.2">
      <c r="B1649" s="5">
        <v>46052</v>
      </c>
      <c r="C1649" t="s">
        <v>878</v>
      </c>
      <c r="D1649" s="11">
        <v>581</v>
      </c>
      <c r="E1649" s="18">
        <v>2</v>
      </c>
      <c r="F1649" s="24">
        <v>3.4423407917383822E-3</v>
      </c>
    </row>
    <row r="1650" spans="2:6" x14ac:dyDescent="0.2">
      <c r="B1650" s="5">
        <v>46053</v>
      </c>
      <c r="C1650" t="s">
        <v>875</v>
      </c>
      <c r="D1650" s="11">
        <v>286</v>
      </c>
      <c r="E1650" s="18">
        <v>0</v>
      </c>
      <c r="F1650" s="24">
        <v>0</v>
      </c>
    </row>
    <row r="1651" spans="2:6" x14ac:dyDescent="0.2">
      <c r="B1651" s="5">
        <v>46053</v>
      </c>
      <c r="C1651" t="s">
        <v>84</v>
      </c>
      <c r="D1651" s="11">
        <v>79</v>
      </c>
      <c r="E1651" s="18">
        <v>0</v>
      </c>
      <c r="F1651" s="24">
        <v>0</v>
      </c>
    </row>
    <row r="1652" spans="2:6" x14ac:dyDescent="0.2">
      <c r="B1652" s="5">
        <v>46053</v>
      </c>
      <c r="C1652" t="s">
        <v>86</v>
      </c>
      <c r="D1652" s="11">
        <v>29</v>
      </c>
      <c r="E1652" s="18">
        <v>0</v>
      </c>
      <c r="F1652" s="24">
        <v>0</v>
      </c>
    </row>
    <row r="1653" spans="2:6" x14ac:dyDescent="0.2">
      <c r="B1653" s="5">
        <v>46053</v>
      </c>
      <c r="C1653" t="s">
        <v>876</v>
      </c>
      <c r="D1653" s="11">
        <v>1</v>
      </c>
      <c r="E1653" s="18">
        <v>0</v>
      </c>
      <c r="F1653" s="24">
        <v>0</v>
      </c>
    </row>
    <row r="1654" spans="2:6" x14ac:dyDescent="0.2">
      <c r="B1654" s="5">
        <v>46053</v>
      </c>
      <c r="C1654" t="s">
        <v>877</v>
      </c>
      <c r="D1654" s="11">
        <v>82</v>
      </c>
      <c r="E1654" s="18">
        <v>1</v>
      </c>
      <c r="F1654" s="24">
        <v>1.2195121951219513E-2</v>
      </c>
    </row>
    <row r="1655" spans="2:6" x14ac:dyDescent="0.2">
      <c r="B1655" s="5">
        <v>46053</v>
      </c>
      <c r="C1655" t="s">
        <v>878</v>
      </c>
      <c r="D1655" s="11">
        <v>477</v>
      </c>
      <c r="E1655" s="18">
        <v>1</v>
      </c>
      <c r="F1655" s="24">
        <v>2.0964360587002098E-3</v>
      </c>
    </row>
    <row r="1656" spans="2:6" x14ac:dyDescent="0.2">
      <c r="B1656" s="5">
        <v>46054</v>
      </c>
      <c r="C1656" t="s">
        <v>875</v>
      </c>
      <c r="D1656" s="11">
        <v>384</v>
      </c>
      <c r="E1656" s="18">
        <v>0</v>
      </c>
      <c r="F1656" s="24">
        <v>0</v>
      </c>
    </row>
    <row r="1657" spans="2:6" x14ac:dyDescent="0.2">
      <c r="B1657" s="5">
        <v>46054</v>
      </c>
      <c r="C1657" t="s">
        <v>84</v>
      </c>
      <c r="D1657" s="11">
        <v>111</v>
      </c>
      <c r="E1657" s="18">
        <v>2</v>
      </c>
      <c r="F1657" s="24">
        <v>1.8018018018018018E-2</v>
      </c>
    </row>
    <row r="1658" spans="2:6" x14ac:dyDescent="0.2">
      <c r="B1658" s="5">
        <v>46054</v>
      </c>
      <c r="C1658" t="s">
        <v>86</v>
      </c>
      <c r="D1658" s="11">
        <v>25</v>
      </c>
      <c r="E1658" s="18">
        <v>1</v>
      </c>
      <c r="F1658" s="24">
        <v>0.04</v>
      </c>
    </row>
    <row r="1659" spans="2:6" x14ac:dyDescent="0.2">
      <c r="B1659" s="5">
        <v>46054</v>
      </c>
      <c r="C1659" t="s">
        <v>876</v>
      </c>
      <c r="D1659" s="11">
        <v>1</v>
      </c>
      <c r="E1659" s="18">
        <v>0</v>
      </c>
      <c r="F1659" s="24">
        <v>0</v>
      </c>
    </row>
    <row r="1660" spans="2:6" x14ac:dyDescent="0.2">
      <c r="B1660" s="5">
        <v>46054</v>
      </c>
      <c r="C1660" t="s">
        <v>877</v>
      </c>
      <c r="D1660" s="11">
        <v>55</v>
      </c>
      <c r="E1660" s="18">
        <v>1</v>
      </c>
      <c r="F1660" s="24">
        <v>1.8181818181818181E-2</v>
      </c>
    </row>
    <row r="1661" spans="2:6" x14ac:dyDescent="0.2">
      <c r="B1661" s="5">
        <v>46054</v>
      </c>
      <c r="C1661" t="s">
        <v>878</v>
      </c>
      <c r="D1661" s="11">
        <v>576</v>
      </c>
      <c r="E1661" s="18">
        <v>4</v>
      </c>
      <c r="F1661" s="24">
        <v>6.9444444444444441E-3</v>
      </c>
    </row>
    <row r="1662" spans="2:6" x14ac:dyDescent="0.2">
      <c r="B1662" s="5">
        <v>46055</v>
      </c>
      <c r="C1662" t="s">
        <v>875</v>
      </c>
      <c r="D1662" s="11">
        <v>370</v>
      </c>
      <c r="E1662" s="18">
        <v>0</v>
      </c>
      <c r="F1662" s="24">
        <v>0</v>
      </c>
    </row>
    <row r="1663" spans="2:6" x14ac:dyDescent="0.2">
      <c r="B1663" s="5">
        <v>46055</v>
      </c>
      <c r="C1663" t="s">
        <v>84</v>
      </c>
      <c r="D1663" s="11">
        <v>78</v>
      </c>
      <c r="E1663" s="18">
        <v>1</v>
      </c>
      <c r="F1663" s="24">
        <v>1.282051282051282E-2</v>
      </c>
    </row>
    <row r="1664" spans="2:6" x14ac:dyDescent="0.2">
      <c r="B1664" s="5">
        <v>46055</v>
      </c>
      <c r="C1664" t="s">
        <v>86</v>
      </c>
      <c r="D1664" s="11">
        <v>37</v>
      </c>
      <c r="E1664" s="18">
        <v>2</v>
      </c>
      <c r="F1664" s="24">
        <v>5.4054054054054057E-2</v>
      </c>
    </row>
    <row r="1665" spans="2:6" x14ac:dyDescent="0.2">
      <c r="B1665" s="5">
        <v>46055</v>
      </c>
      <c r="C1665" t="s">
        <v>876</v>
      </c>
      <c r="D1665" s="11">
        <v>1</v>
      </c>
      <c r="E1665" s="18">
        <v>0</v>
      </c>
      <c r="F1665" s="24">
        <v>0</v>
      </c>
    </row>
    <row r="1666" spans="2:6" x14ac:dyDescent="0.2">
      <c r="B1666" s="5">
        <v>46055</v>
      </c>
      <c r="C1666" t="s">
        <v>877</v>
      </c>
      <c r="D1666" s="11">
        <v>39</v>
      </c>
      <c r="E1666" s="18">
        <v>1</v>
      </c>
      <c r="F1666" s="24">
        <v>2.564102564102564E-2</v>
      </c>
    </row>
    <row r="1667" spans="2:6" x14ac:dyDescent="0.2">
      <c r="B1667" s="5">
        <v>46055</v>
      </c>
      <c r="C1667" t="s">
        <v>878</v>
      </c>
      <c r="D1667" s="11">
        <v>525</v>
      </c>
      <c r="E1667" s="18">
        <v>4</v>
      </c>
      <c r="F1667" s="24">
        <v>7.619047619047619E-3</v>
      </c>
    </row>
    <row r="1668" spans="2:6" x14ac:dyDescent="0.2">
      <c r="B1668" s="5">
        <v>46056</v>
      </c>
      <c r="C1668" t="s">
        <v>875</v>
      </c>
      <c r="D1668" s="11">
        <v>114</v>
      </c>
      <c r="E1668" s="18">
        <v>0</v>
      </c>
      <c r="F1668" s="24">
        <v>0</v>
      </c>
    </row>
    <row r="1669" spans="2:6" x14ac:dyDescent="0.2">
      <c r="B1669" s="5">
        <v>46056</v>
      </c>
      <c r="C1669" t="s">
        <v>84</v>
      </c>
      <c r="D1669" s="11">
        <v>73</v>
      </c>
      <c r="E1669" s="18">
        <v>1</v>
      </c>
      <c r="F1669" s="24">
        <v>1.3698630136986301E-2</v>
      </c>
    </row>
    <row r="1670" spans="2:6" x14ac:dyDescent="0.2">
      <c r="B1670" s="5">
        <v>46056</v>
      </c>
      <c r="C1670" t="s">
        <v>86</v>
      </c>
      <c r="D1670" s="11">
        <v>47</v>
      </c>
      <c r="E1670" s="18">
        <v>2</v>
      </c>
      <c r="F1670" s="24">
        <v>4.2553191489361701E-2</v>
      </c>
    </row>
    <row r="1671" spans="2:6" x14ac:dyDescent="0.2">
      <c r="B1671" s="5">
        <v>46056</v>
      </c>
      <c r="C1671" t="s">
        <v>876</v>
      </c>
      <c r="D1671" s="11">
        <v>1</v>
      </c>
      <c r="E1671" s="18">
        <v>0</v>
      </c>
      <c r="F1671" s="24">
        <v>0</v>
      </c>
    </row>
    <row r="1672" spans="2:6" x14ac:dyDescent="0.2">
      <c r="B1672" s="5">
        <v>46056</v>
      </c>
      <c r="C1672" t="s">
        <v>877</v>
      </c>
      <c r="D1672" s="11">
        <v>54</v>
      </c>
      <c r="E1672" s="18">
        <v>1</v>
      </c>
      <c r="F1672" s="24">
        <v>1.8518518518518517E-2</v>
      </c>
    </row>
    <row r="1673" spans="2:6" x14ac:dyDescent="0.2">
      <c r="B1673" s="5">
        <v>46056</v>
      </c>
      <c r="C1673" t="s">
        <v>878</v>
      </c>
      <c r="D1673" s="11">
        <v>289</v>
      </c>
      <c r="E1673" s="18">
        <v>4</v>
      </c>
      <c r="F1673" s="24">
        <v>1.384083044982699E-2</v>
      </c>
    </row>
    <row r="1674" spans="2:6" x14ac:dyDescent="0.2">
      <c r="B1674" s="5">
        <v>46057</v>
      </c>
      <c r="C1674" t="s">
        <v>84</v>
      </c>
      <c r="D1674" s="11">
        <v>83</v>
      </c>
      <c r="E1674" s="18">
        <v>2</v>
      </c>
      <c r="F1674" s="24">
        <v>2.4096385542168676E-2</v>
      </c>
    </row>
    <row r="1675" spans="2:6" x14ac:dyDescent="0.2">
      <c r="B1675" s="5">
        <v>46057</v>
      </c>
      <c r="C1675" t="s">
        <v>86</v>
      </c>
      <c r="D1675" s="11">
        <v>32</v>
      </c>
      <c r="E1675" s="18">
        <v>2</v>
      </c>
      <c r="F1675" s="24">
        <v>6.25E-2</v>
      </c>
    </row>
    <row r="1676" spans="2:6" x14ac:dyDescent="0.2">
      <c r="B1676" s="5">
        <v>46057</v>
      </c>
      <c r="C1676" t="s">
        <v>877</v>
      </c>
      <c r="D1676" s="11">
        <v>32</v>
      </c>
      <c r="E1676" s="18">
        <v>3</v>
      </c>
      <c r="F1676" s="24">
        <v>9.375E-2</v>
      </c>
    </row>
    <row r="1677" spans="2:6" x14ac:dyDescent="0.2">
      <c r="B1677" s="5">
        <v>46057</v>
      </c>
      <c r="C1677" t="s">
        <v>878</v>
      </c>
      <c r="D1677" s="11">
        <v>147</v>
      </c>
      <c r="E1677" s="18">
        <v>7</v>
      </c>
      <c r="F1677" s="24">
        <v>4.7619047619047616E-2</v>
      </c>
    </row>
    <row r="1678" spans="2:6" x14ac:dyDescent="0.2">
      <c r="B1678" s="5">
        <v>46058</v>
      </c>
      <c r="C1678" t="s">
        <v>84</v>
      </c>
      <c r="D1678" s="11">
        <v>89</v>
      </c>
      <c r="E1678" s="18">
        <v>2</v>
      </c>
      <c r="F1678" s="24">
        <v>2.247191011235955E-2</v>
      </c>
    </row>
    <row r="1679" spans="2:6" x14ac:dyDescent="0.2">
      <c r="B1679" s="5">
        <v>46058</v>
      </c>
      <c r="C1679" t="s">
        <v>86</v>
      </c>
      <c r="D1679" s="11">
        <v>32</v>
      </c>
      <c r="E1679" s="18">
        <v>0</v>
      </c>
      <c r="F1679" s="24">
        <v>0</v>
      </c>
    </row>
    <row r="1680" spans="2:6" x14ac:dyDescent="0.2">
      <c r="B1680" s="5">
        <v>46058</v>
      </c>
      <c r="C1680" t="s">
        <v>877</v>
      </c>
      <c r="D1680" s="11">
        <v>74</v>
      </c>
      <c r="E1680" s="18">
        <v>2</v>
      </c>
      <c r="F1680" s="24">
        <v>2.7027027027027029E-2</v>
      </c>
    </row>
    <row r="1681" spans="2:6" x14ac:dyDescent="0.2">
      <c r="B1681" s="5">
        <v>46058</v>
      </c>
      <c r="C1681" t="s">
        <v>878</v>
      </c>
      <c r="D1681" s="11">
        <v>195</v>
      </c>
      <c r="E1681" s="18">
        <v>4</v>
      </c>
      <c r="F1681" s="24">
        <v>2.0512820512820513E-2</v>
      </c>
    </row>
    <row r="1682" spans="2:6" x14ac:dyDescent="0.2">
      <c r="B1682" s="5">
        <v>46059</v>
      </c>
      <c r="C1682" t="s">
        <v>875</v>
      </c>
      <c r="D1682" s="11">
        <v>3</v>
      </c>
      <c r="E1682" s="18">
        <v>0</v>
      </c>
      <c r="F1682" s="24">
        <v>0</v>
      </c>
    </row>
    <row r="1683" spans="2:6" x14ac:dyDescent="0.2">
      <c r="B1683" s="5">
        <v>46059</v>
      </c>
      <c r="C1683" t="s">
        <v>84</v>
      </c>
      <c r="D1683" s="11">
        <v>81</v>
      </c>
      <c r="E1683" s="18">
        <v>0</v>
      </c>
      <c r="F1683" s="24">
        <v>0</v>
      </c>
    </row>
    <row r="1684" spans="2:6" x14ac:dyDescent="0.2">
      <c r="B1684" s="5">
        <v>46059</v>
      </c>
      <c r="C1684" t="s">
        <v>86</v>
      </c>
      <c r="D1684" s="11">
        <v>30</v>
      </c>
      <c r="E1684" s="18">
        <v>1</v>
      </c>
      <c r="F1684" s="24">
        <v>3.3333333333333333E-2</v>
      </c>
    </row>
    <row r="1685" spans="2:6" x14ac:dyDescent="0.2">
      <c r="B1685" s="5">
        <v>46059</v>
      </c>
      <c r="C1685" t="s">
        <v>877</v>
      </c>
      <c r="D1685" s="11">
        <v>171</v>
      </c>
      <c r="E1685" s="18">
        <v>4</v>
      </c>
      <c r="F1685" s="24">
        <v>2.3391812865497075E-2</v>
      </c>
    </row>
    <row r="1686" spans="2:6" x14ac:dyDescent="0.2">
      <c r="B1686" s="5">
        <v>46059</v>
      </c>
      <c r="C1686" t="s">
        <v>878</v>
      </c>
      <c r="D1686" s="11">
        <v>285</v>
      </c>
      <c r="E1686" s="18">
        <v>5</v>
      </c>
      <c r="F1686" s="24">
        <v>1.7543859649122806E-2</v>
      </c>
    </row>
    <row r="1687" spans="2:6" x14ac:dyDescent="0.2">
      <c r="B1687" s="5">
        <v>46060</v>
      </c>
      <c r="C1687" t="s">
        <v>84</v>
      </c>
      <c r="D1687" s="11">
        <v>90</v>
      </c>
      <c r="E1687" s="18">
        <v>0</v>
      </c>
      <c r="F1687" s="24">
        <v>0</v>
      </c>
    </row>
    <row r="1688" spans="2:6" x14ac:dyDescent="0.2">
      <c r="B1688" s="5">
        <v>46060</v>
      </c>
      <c r="C1688" t="s">
        <v>86</v>
      </c>
      <c r="D1688" s="11">
        <v>30</v>
      </c>
      <c r="E1688" s="18">
        <v>1</v>
      </c>
      <c r="F1688" s="24">
        <v>3.3333333333333333E-2</v>
      </c>
    </row>
    <row r="1689" spans="2:6" x14ac:dyDescent="0.2">
      <c r="B1689" s="5">
        <v>46060</v>
      </c>
      <c r="C1689" t="s">
        <v>877</v>
      </c>
      <c r="D1689" s="11">
        <v>55</v>
      </c>
      <c r="E1689" s="18">
        <v>2</v>
      </c>
      <c r="F1689" s="24">
        <v>3.6363636363636362E-2</v>
      </c>
    </row>
    <row r="1690" spans="2:6" x14ac:dyDescent="0.2">
      <c r="B1690" s="5">
        <v>46060</v>
      </c>
      <c r="C1690" t="s">
        <v>878</v>
      </c>
      <c r="D1690" s="11">
        <v>175</v>
      </c>
      <c r="E1690" s="18">
        <v>3</v>
      </c>
      <c r="F1690" s="24">
        <v>1.7142857142857144E-2</v>
      </c>
    </row>
    <row r="1691" spans="2:6" x14ac:dyDescent="0.2">
      <c r="B1691" s="5">
        <v>46061</v>
      </c>
      <c r="C1691" t="s">
        <v>875</v>
      </c>
      <c r="D1691" s="11">
        <v>2</v>
      </c>
      <c r="E1691" s="18">
        <v>0</v>
      </c>
      <c r="F1691" s="24">
        <v>0</v>
      </c>
    </row>
    <row r="1692" spans="2:6" x14ac:dyDescent="0.2">
      <c r="B1692" s="5">
        <v>46061</v>
      </c>
      <c r="C1692" t="s">
        <v>84</v>
      </c>
      <c r="D1692" s="11">
        <v>101</v>
      </c>
      <c r="E1692" s="18">
        <v>0</v>
      </c>
      <c r="F1692" s="24">
        <v>0</v>
      </c>
    </row>
    <row r="1693" spans="2:6" x14ac:dyDescent="0.2">
      <c r="B1693" s="5">
        <v>46061</v>
      </c>
      <c r="C1693" t="s">
        <v>86</v>
      </c>
      <c r="D1693" s="11">
        <v>26</v>
      </c>
      <c r="E1693" s="18">
        <v>1</v>
      </c>
      <c r="F1693" s="24">
        <v>3.8461538461538464E-2</v>
      </c>
    </row>
    <row r="1694" spans="2:6" x14ac:dyDescent="0.2">
      <c r="B1694" s="5">
        <v>46061</v>
      </c>
      <c r="C1694" t="s">
        <v>877</v>
      </c>
      <c r="D1694" s="11">
        <v>45</v>
      </c>
      <c r="E1694" s="18">
        <v>2</v>
      </c>
      <c r="F1694" s="24">
        <v>4.4444444444444446E-2</v>
      </c>
    </row>
    <row r="1695" spans="2:6" x14ac:dyDescent="0.2">
      <c r="B1695" s="5">
        <v>46061</v>
      </c>
      <c r="C1695" t="s">
        <v>878</v>
      </c>
      <c r="D1695" s="11">
        <v>174</v>
      </c>
      <c r="E1695" s="18">
        <v>3</v>
      </c>
      <c r="F1695" s="24">
        <v>1.7241379310344827E-2</v>
      </c>
    </row>
    <row r="1696" spans="2:6" x14ac:dyDescent="0.2">
      <c r="B1696" s="5">
        <v>46062</v>
      </c>
      <c r="C1696" t="s">
        <v>875</v>
      </c>
      <c r="D1696" s="11">
        <v>1</v>
      </c>
      <c r="E1696" s="18">
        <v>0</v>
      </c>
      <c r="F1696" s="24">
        <v>0</v>
      </c>
    </row>
    <row r="1697" spans="2:6" x14ac:dyDescent="0.2">
      <c r="B1697" s="5">
        <v>46062</v>
      </c>
      <c r="C1697" t="s">
        <v>84</v>
      </c>
      <c r="D1697" s="11">
        <v>94</v>
      </c>
      <c r="E1697" s="18">
        <v>1</v>
      </c>
      <c r="F1697" s="24">
        <v>1.0638297872340425E-2</v>
      </c>
    </row>
    <row r="1698" spans="2:6" x14ac:dyDescent="0.2">
      <c r="B1698" s="5">
        <v>46062</v>
      </c>
      <c r="C1698" t="s">
        <v>86</v>
      </c>
      <c r="D1698" s="11">
        <v>34</v>
      </c>
      <c r="E1698" s="18">
        <v>2</v>
      </c>
      <c r="F1698" s="24">
        <v>5.8823529411764705E-2</v>
      </c>
    </row>
    <row r="1699" spans="2:6" x14ac:dyDescent="0.2">
      <c r="B1699" s="5">
        <v>46062</v>
      </c>
      <c r="C1699" t="s">
        <v>877</v>
      </c>
      <c r="D1699" s="11">
        <v>49</v>
      </c>
      <c r="E1699" s="18">
        <v>3</v>
      </c>
      <c r="F1699" s="24">
        <v>6.1224489795918366E-2</v>
      </c>
    </row>
    <row r="1700" spans="2:6" x14ac:dyDescent="0.2">
      <c r="B1700" s="5">
        <v>46062</v>
      </c>
      <c r="C1700" t="s">
        <v>878</v>
      </c>
      <c r="D1700" s="11">
        <v>178</v>
      </c>
      <c r="E1700" s="18">
        <v>6</v>
      </c>
      <c r="F1700" s="24">
        <v>3.3707865168539325E-2</v>
      </c>
    </row>
    <row r="1701" spans="2:6" x14ac:dyDescent="0.2">
      <c r="B1701" s="5">
        <v>46063</v>
      </c>
      <c r="C1701" t="s">
        <v>875</v>
      </c>
      <c r="D1701" s="11">
        <v>3</v>
      </c>
      <c r="E1701" s="18">
        <v>1</v>
      </c>
      <c r="F1701" s="24">
        <v>0.33333333333333331</v>
      </c>
    </row>
    <row r="1702" spans="2:6" x14ac:dyDescent="0.2">
      <c r="B1702" s="5">
        <v>46063</v>
      </c>
      <c r="C1702" t="s">
        <v>84</v>
      </c>
      <c r="D1702" s="11">
        <v>77</v>
      </c>
      <c r="E1702" s="18">
        <v>0</v>
      </c>
      <c r="F1702" s="24">
        <v>0</v>
      </c>
    </row>
    <row r="1703" spans="2:6" x14ac:dyDescent="0.2">
      <c r="B1703" s="5">
        <v>46063</v>
      </c>
      <c r="C1703" t="s">
        <v>86</v>
      </c>
      <c r="D1703" s="11">
        <v>36</v>
      </c>
      <c r="E1703" s="18">
        <v>1</v>
      </c>
      <c r="F1703" s="24">
        <v>2.7777777777777776E-2</v>
      </c>
    </row>
    <row r="1704" spans="2:6" x14ac:dyDescent="0.2">
      <c r="B1704" s="5">
        <v>46063</v>
      </c>
      <c r="C1704" t="s">
        <v>877</v>
      </c>
      <c r="D1704" s="11">
        <v>45</v>
      </c>
      <c r="E1704" s="18">
        <v>2</v>
      </c>
      <c r="F1704" s="24">
        <v>4.4444444444444446E-2</v>
      </c>
    </row>
    <row r="1705" spans="2:6" x14ac:dyDescent="0.2">
      <c r="B1705" s="5">
        <v>46063</v>
      </c>
      <c r="C1705" t="s">
        <v>878</v>
      </c>
      <c r="D1705" s="11">
        <v>161</v>
      </c>
      <c r="E1705" s="18">
        <v>4</v>
      </c>
      <c r="F1705" s="24">
        <v>2.4844720496894408E-2</v>
      </c>
    </row>
    <row r="1706" spans="2:6" x14ac:dyDescent="0.2">
      <c r="B1706" s="5">
        <v>46064</v>
      </c>
      <c r="C1706" t="s">
        <v>875</v>
      </c>
      <c r="D1706" s="11">
        <v>2</v>
      </c>
      <c r="E1706" s="18">
        <v>0</v>
      </c>
      <c r="F1706" s="24">
        <v>0</v>
      </c>
    </row>
    <row r="1707" spans="2:6" x14ac:dyDescent="0.2">
      <c r="B1707" s="5">
        <v>46064</v>
      </c>
      <c r="C1707" t="s">
        <v>84</v>
      </c>
      <c r="D1707" s="11">
        <v>93</v>
      </c>
      <c r="E1707" s="18">
        <v>1</v>
      </c>
      <c r="F1707" s="24">
        <v>1.0752688172043012E-2</v>
      </c>
    </row>
    <row r="1708" spans="2:6" x14ac:dyDescent="0.2">
      <c r="B1708" s="5">
        <v>46064</v>
      </c>
      <c r="C1708" t="s">
        <v>86</v>
      </c>
      <c r="D1708" s="11">
        <v>42</v>
      </c>
      <c r="E1708" s="18">
        <v>1</v>
      </c>
      <c r="F1708" s="24">
        <v>2.3809523809523808E-2</v>
      </c>
    </row>
    <row r="1709" spans="2:6" x14ac:dyDescent="0.2">
      <c r="B1709" s="5">
        <v>46064</v>
      </c>
      <c r="C1709" t="s">
        <v>877</v>
      </c>
      <c r="D1709" s="11">
        <v>65</v>
      </c>
      <c r="E1709" s="18">
        <v>1</v>
      </c>
      <c r="F1709" s="24">
        <v>1.5384615384615385E-2</v>
      </c>
    </row>
    <row r="1710" spans="2:6" x14ac:dyDescent="0.2">
      <c r="B1710" s="5">
        <v>46064</v>
      </c>
      <c r="C1710" t="s">
        <v>878</v>
      </c>
      <c r="D1710" s="11">
        <v>202</v>
      </c>
      <c r="E1710" s="18">
        <v>3</v>
      </c>
      <c r="F1710" s="24">
        <v>1.4851485148514851E-2</v>
      </c>
    </row>
    <row r="1711" spans="2:6" x14ac:dyDescent="0.2">
      <c r="B1711" s="5">
        <v>46065</v>
      </c>
      <c r="C1711" t="s">
        <v>875</v>
      </c>
      <c r="D1711" s="11">
        <v>5</v>
      </c>
      <c r="E1711" s="18">
        <v>0</v>
      </c>
      <c r="F1711" s="24">
        <v>0</v>
      </c>
    </row>
    <row r="1712" spans="2:6" x14ac:dyDescent="0.2">
      <c r="B1712" s="5">
        <v>46065</v>
      </c>
      <c r="C1712" t="s">
        <v>84</v>
      </c>
      <c r="D1712" s="11">
        <v>79</v>
      </c>
      <c r="E1712" s="18">
        <v>0</v>
      </c>
      <c r="F1712" s="24">
        <v>0</v>
      </c>
    </row>
    <row r="1713" spans="2:6" x14ac:dyDescent="0.2">
      <c r="B1713" s="5">
        <v>46065</v>
      </c>
      <c r="C1713" t="s">
        <v>86</v>
      </c>
      <c r="D1713" s="11">
        <v>49</v>
      </c>
      <c r="E1713" s="18">
        <v>1</v>
      </c>
      <c r="F1713" s="24">
        <v>2.0408163265306121E-2</v>
      </c>
    </row>
    <row r="1714" spans="2:6" x14ac:dyDescent="0.2">
      <c r="B1714" s="5">
        <v>46065</v>
      </c>
      <c r="C1714" t="s">
        <v>877</v>
      </c>
      <c r="D1714" s="11">
        <v>93</v>
      </c>
      <c r="E1714" s="18">
        <v>2</v>
      </c>
      <c r="F1714" s="24">
        <v>2.1505376344086023E-2</v>
      </c>
    </row>
    <row r="1715" spans="2:6" x14ac:dyDescent="0.2">
      <c r="B1715" s="5">
        <v>46065</v>
      </c>
      <c r="C1715" t="s">
        <v>878</v>
      </c>
      <c r="D1715" s="11">
        <v>226</v>
      </c>
      <c r="E1715" s="18">
        <v>3</v>
      </c>
      <c r="F1715" s="24">
        <v>1.3274336283185841E-2</v>
      </c>
    </row>
    <row r="1716" spans="2:6" x14ac:dyDescent="0.2">
      <c r="B1716" s="5">
        <v>46066</v>
      </c>
      <c r="C1716" t="s">
        <v>875</v>
      </c>
      <c r="D1716" s="11">
        <v>9</v>
      </c>
      <c r="E1716" s="18">
        <v>0</v>
      </c>
      <c r="F1716" s="24">
        <v>0</v>
      </c>
    </row>
    <row r="1717" spans="2:6" x14ac:dyDescent="0.2">
      <c r="B1717" s="5">
        <v>46066</v>
      </c>
      <c r="C1717" t="s">
        <v>84</v>
      </c>
      <c r="D1717" s="11">
        <v>83</v>
      </c>
      <c r="E1717" s="18">
        <v>1</v>
      </c>
      <c r="F1717" s="24">
        <v>1.2048192771084338E-2</v>
      </c>
    </row>
    <row r="1718" spans="2:6" x14ac:dyDescent="0.2">
      <c r="B1718" s="5">
        <v>46066</v>
      </c>
      <c r="C1718" t="s">
        <v>86</v>
      </c>
      <c r="D1718" s="11">
        <v>29</v>
      </c>
      <c r="E1718" s="18">
        <v>0</v>
      </c>
      <c r="F1718" s="24">
        <v>0</v>
      </c>
    </row>
    <row r="1719" spans="2:6" x14ac:dyDescent="0.2">
      <c r="B1719" s="5">
        <v>46066</v>
      </c>
      <c r="C1719" t="s">
        <v>877</v>
      </c>
      <c r="D1719" s="11">
        <v>31</v>
      </c>
      <c r="E1719" s="18">
        <v>1</v>
      </c>
      <c r="F1719" s="24">
        <v>3.2258064516129031E-2</v>
      </c>
    </row>
    <row r="1720" spans="2:6" x14ac:dyDescent="0.2">
      <c r="B1720" s="5">
        <v>46066</v>
      </c>
      <c r="C1720" t="s">
        <v>878</v>
      </c>
      <c r="D1720" s="11">
        <v>152</v>
      </c>
      <c r="E1720" s="18">
        <v>2</v>
      </c>
      <c r="F1720" s="24">
        <v>1.3157894736842105E-2</v>
      </c>
    </row>
    <row r="1721" spans="2:6" x14ac:dyDescent="0.2">
      <c r="B1721" s="5">
        <v>46067</v>
      </c>
      <c r="C1721" t="s">
        <v>875</v>
      </c>
      <c r="D1721" s="11">
        <v>5</v>
      </c>
      <c r="E1721" s="18">
        <v>0</v>
      </c>
      <c r="F1721" s="24">
        <v>0</v>
      </c>
    </row>
    <row r="1722" spans="2:6" x14ac:dyDescent="0.2">
      <c r="B1722" s="5">
        <v>46067</v>
      </c>
      <c r="C1722" t="s">
        <v>84</v>
      </c>
      <c r="D1722" s="11">
        <v>97</v>
      </c>
      <c r="E1722" s="18">
        <v>1</v>
      </c>
      <c r="F1722" s="24">
        <v>1.0309278350515464E-2</v>
      </c>
    </row>
    <row r="1723" spans="2:6" x14ac:dyDescent="0.2">
      <c r="B1723" s="5">
        <v>46067</v>
      </c>
      <c r="C1723" t="s">
        <v>86</v>
      </c>
      <c r="D1723" s="11">
        <v>36</v>
      </c>
      <c r="E1723" s="18">
        <v>1</v>
      </c>
      <c r="F1723" s="24">
        <v>2.7777777777777776E-2</v>
      </c>
    </row>
    <row r="1724" spans="2:6" x14ac:dyDescent="0.2">
      <c r="B1724" s="5">
        <v>46067</v>
      </c>
      <c r="C1724" t="s">
        <v>877</v>
      </c>
      <c r="D1724" s="11">
        <v>52</v>
      </c>
      <c r="E1724" s="18">
        <v>2</v>
      </c>
      <c r="F1724" s="24">
        <v>3.8461538461538464E-2</v>
      </c>
    </row>
    <row r="1725" spans="2:6" x14ac:dyDescent="0.2">
      <c r="B1725" s="5">
        <v>46067</v>
      </c>
      <c r="C1725" t="s">
        <v>878</v>
      </c>
      <c r="D1725" s="11">
        <v>190</v>
      </c>
      <c r="E1725" s="18">
        <v>4</v>
      </c>
      <c r="F1725" s="24">
        <v>2.1052631578947368E-2</v>
      </c>
    </row>
    <row r="1726" spans="2:6" x14ac:dyDescent="0.2">
      <c r="B1726" s="5">
        <v>46068</v>
      </c>
      <c r="C1726" t="s">
        <v>875</v>
      </c>
      <c r="D1726" s="11">
        <v>7</v>
      </c>
      <c r="E1726" s="18">
        <v>0</v>
      </c>
      <c r="F1726" s="24">
        <v>0</v>
      </c>
    </row>
    <row r="1727" spans="2:6" x14ac:dyDescent="0.2">
      <c r="B1727" s="5">
        <v>46068</v>
      </c>
      <c r="C1727" t="s">
        <v>84</v>
      </c>
      <c r="D1727" s="11">
        <v>88</v>
      </c>
      <c r="E1727" s="18">
        <v>0</v>
      </c>
      <c r="F1727" s="24">
        <v>0</v>
      </c>
    </row>
    <row r="1728" spans="2:6" x14ac:dyDescent="0.2">
      <c r="B1728" s="5">
        <v>46068</v>
      </c>
      <c r="C1728" t="s">
        <v>86</v>
      </c>
      <c r="D1728" s="11">
        <v>20</v>
      </c>
      <c r="E1728" s="18">
        <v>1</v>
      </c>
      <c r="F1728" s="24">
        <v>0.05</v>
      </c>
    </row>
    <row r="1729" spans="2:6" x14ac:dyDescent="0.2">
      <c r="B1729" s="5">
        <v>46068</v>
      </c>
      <c r="C1729" t="s">
        <v>877</v>
      </c>
      <c r="D1729" s="11">
        <v>47</v>
      </c>
      <c r="E1729" s="18">
        <v>2</v>
      </c>
      <c r="F1729" s="24">
        <v>4.2553191489361701E-2</v>
      </c>
    </row>
    <row r="1730" spans="2:6" x14ac:dyDescent="0.2">
      <c r="B1730" s="5">
        <v>46068</v>
      </c>
      <c r="C1730" t="s">
        <v>878</v>
      </c>
      <c r="D1730" s="11">
        <v>162</v>
      </c>
      <c r="E1730" s="18">
        <v>3</v>
      </c>
      <c r="F1730" s="24">
        <v>1.8518518518518517E-2</v>
      </c>
    </row>
    <row r="1731" spans="2:6" x14ac:dyDescent="0.2">
      <c r="B1731" s="5">
        <v>46069</v>
      </c>
      <c r="C1731" t="s">
        <v>875</v>
      </c>
      <c r="D1731" s="11">
        <v>400</v>
      </c>
      <c r="E1731" s="18">
        <v>0</v>
      </c>
      <c r="F1731" s="24">
        <v>0</v>
      </c>
    </row>
    <row r="1732" spans="2:6" x14ac:dyDescent="0.2">
      <c r="B1732" s="5">
        <v>46069</v>
      </c>
      <c r="C1732" t="s">
        <v>84</v>
      </c>
      <c r="D1732" s="11">
        <v>74</v>
      </c>
      <c r="E1732" s="18">
        <v>0</v>
      </c>
      <c r="F1732" s="24">
        <v>0</v>
      </c>
    </row>
    <row r="1733" spans="2:6" x14ac:dyDescent="0.2">
      <c r="B1733" s="5">
        <v>46069</v>
      </c>
      <c r="C1733" t="s">
        <v>86</v>
      </c>
      <c r="D1733" s="11">
        <v>34</v>
      </c>
      <c r="E1733" s="18">
        <v>0</v>
      </c>
      <c r="F1733" s="24">
        <v>0</v>
      </c>
    </row>
    <row r="1734" spans="2:6" x14ac:dyDescent="0.2">
      <c r="B1734" s="5">
        <v>46069</v>
      </c>
      <c r="C1734" t="s">
        <v>876</v>
      </c>
      <c r="D1734" s="11">
        <v>5</v>
      </c>
      <c r="E1734" s="18">
        <v>0</v>
      </c>
      <c r="F1734" s="24">
        <v>0</v>
      </c>
    </row>
    <row r="1735" spans="2:6" x14ac:dyDescent="0.2">
      <c r="B1735" s="5">
        <v>46069</v>
      </c>
      <c r="C1735" t="s">
        <v>877</v>
      </c>
      <c r="D1735" s="11">
        <v>58</v>
      </c>
      <c r="E1735" s="18">
        <v>7</v>
      </c>
      <c r="F1735" s="24">
        <v>0.1206896551724138</v>
      </c>
    </row>
    <row r="1736" spans="2:6" x14ac:dyDescent="0.2">
      <c r="B1736" s="5">
        <v>46069</v>
      </c>
      <c r="C1736" t="s">
        <v>878</v>
      </c>
      <c r="D1736" s="11">
        <v>571</v>
      </c>
      <c r="E1736" s="18">
        <v>7</v>
      </c>
      <c r="F1736" s="24">
        <v>1.2259194395796848E-2</v>
      </c>
    </row>
    <row r="1737" spans="2:6" x14ac:dyDescent="0.2">
      <c r="B1737" s="5">
        <v>46070</v>
      </c>
      <c r="C1737" t="s">
        <v>875</v>
      </c>
      <c r="D1737" s="11">
        <v>1</v>
      </c>
      <c r="E1737" s="18">
        <v>0</v>
      </c>
      <c r="F1737" s="24">
        <v>0</v>
      </c>
    </row>
    <row r="1738" spans="2:6" x14ac:dyDescent="0.2">
      <c r="B1738" s="5">
        <v>46070</v>
      </c>
      <c r="C1738" t="s">
        <v>84</v>
      </c>
      <c r="D1738" s="11">
        <v>81</v>
      </c>
      <c r="E1738" s="18">
        <v>0</v>
      </c>
      <c r="F1738" s="24">
        <v>0</v>
      </c>
    </row>
    <row r="1739" spans="2:6" x14ac:dyDescent="0.2">
      <c r="B1739" s="5">
        <v>46070</v>
      </c>
      <c r="C1739" t="s">
        <v>86</v>
      </c>
      <c r="D1739" s="11">
        <v>43</v>
      </c>
      <c r="E1739" s="18">
        <v>2</v>
      </c>
      <c r="F1739" s="24">
        <v>4.6511627906976744E-2</v>
      </c>
    </row>
    <row r="1740" spans="2:6" x14ac:dyDescent="0.2">
      <c r="B1740" s="5">
        <v>46070</v>
      </c>
      <c r="C1740" t="s">
        <v>877</v>
      </c>
      <c r="D1740" s="11">
        <v>91</v>
      </c>
      <c r="E1740" s="18">
        <v>7</v>
      </c>
      <c r="F1740" s="24">
        <v>7.6923076923076927E-2</v>
      </c>
    </row>
    <row r="1741" spans="2:6" x14ac:dyDescent="0.2">
      <c r="B1741" s="5">
        <v>46070</v>
      </c>
      <c r="C1741" t="s">
        <v>878</v>
      </c>
      <c r="D1741" s="11">
        <v>216</v>
      </c>
      <c r="E1741" s="18">
        <v>9</v>
      </c>
      <c r="F1741" s="24">
        <v>4.1666666666666664E-2</v>
      </c>
    </row>
    <row r="1742" spans="2:6" x14ac:dyDescent="0.2">
      <c r="B1742" s="5">
        <v>46071</v>
      </c>
      <c r="C1742" t="s">
        <v>84</v>
      </c>
      <c r="D1742" s="11">
        <v>83</v>
      </c>
      <c r="E1742" s="18">
        <v>0</v>
      </c>
      <c r="F1742" s="24">
        <v>0</v>
      </c>
    </row>
    <row r="1743" spans="2:6" x14ac:dyDescent="0.2">
      <c r="B1743" s="5">
        <v>46071</v>
      </c>
      <c r="C1743" t="s">
        <v>86</v>
      </c>
      <c r="D1743" s="11">
        <v>36</v>
      </c>
      <c r="E1743" s="18">
        <v>1</v>
      </c>
      <c r="F1743" s="24">
        <v>2.7777777777777776E-2</v>
      </c>
    </row>
    <row r="1744" spans="2:6" x14ac:dyDescent="0.2">
      <c r="B1744" s="5">
        <v>46071</v>
      </c>
      <c r="C1744" t="s">
        <v>877</v>
      </c>
      <c r="D1744" s="11">
        <v>51</v>
      </c>
      <c r="E1744" s="18">
        <v>3</v>
      </c>
      <c r="F1744" s="24">
        <v>5.8823529411764705E-2</v>
      </c>
    </row>
    <row r="1745" spans="2:6" x14ac:dyDescent="0.2">
      <c r="B1745" s="5">
        <v>46071</v>
      </c>
      <c r="C1745" t="s">
        <v>878</v>
      </c>
      <c r="D1745" s="11">
        <v>170</v>
      </c>
      <c r="E1745" s="18">
        <v>4</v>
      </c>
      <c r="F1745" s="24">
        <v>2.3529411764705882E-2</v>
      </c>
    </row>
    <row r="1746" spans="2:6" x14ac:dyDescent="0.2">
      <c r="B1746" s="5">
        <v>46072</v>
      </c>
      <c r="C1746" t="s">
        <v>875</v>
      </c>
      <c r="D1746" s="11">
        <v>5</v>
      </c>
      <c r="E1746" s="18">
        <v>0</v>
      </c>
      <c r="F1746" s="24">
        <v>0</v>
      </c>
    </row>
    <row r="1747" spans="2:6" x14ac:dyDescent="0.2">
      <c r="B1747" s="5">
        <v>46072</v>
      </c>
      <c r="C1747" t="s">
        <v>84</v>
      </c>
      <c r="D1747" s="11">
        <v>88</v>
      </c>
      <c r="E1747" s="18">
        <v>1</v>
      </c>
      <c r="F1747" s="24">
        <v>1.1363636363636364E-2</v>
      </c>
    </row>
    <row r="1748" spans="2:6" x14ac:dyDescent="0.2">
      <c r="B1748" s="5">
        <v>46072</v>
      </c>
      <c r="C1748" t="s">
        <v>86</v>
      </c>
      <c r="D1748" s="11">
        <v>38</v>
      </c>
      <c r="E1748" s="18">
        <v>1</v>
      </c>
      <c r="F1748" s="24">
        <v>2.6315789473684209E-2</v>
      </c>
    </row>
    <row r="1749" spans="2:6" x14ac:dyDescent="0.2">
      <c r="B1749" s="5">
        <v>46072</v>
      </c>
      <c r="C1749" t="s">
        <v>877</v>
      </c>
      <c r="D1749" s="11">
        <v>44</v>
      </c>
      <c r="E1749" s="18">
        <v>2</v>
      </c>
      <c r="F1749" s="24">
        <v>4.5454545454545456E-2</v>
      </c>
    </row>
    <row r="1750" spans="2:6" x14ac:dyDescent="0.2">
      <c r="B1750" s="5">
        <v>46072</v>
      </c>
      <c r="C1750" t="s">
        <v>878</v>
      </c>
      <c r="D1750" s="11">
        <v>175</v>
      </c>
      <c r="E1750" s="18">
        <v>4</v>
      </c>
      <c r="F1750" s="24">
        <v>2.2857142857142857E-2</v>
      </c>
    </row>
    <row r="1751" spans="2:6" x14ac:dyDescent="0.2">
      <c r="B1751" s="5">
        <v>46073</v>
      </c>
      <c r="C1751" t="s">
        <v>875</v>
      </c>
      <c r="D1751" s="11">
        <v>1</v>
      </c>
      <c r="E1751" s="18">
        <v>0</v>
      </c>
      <c r="F1751" s="24">
        <v>0</v>
      </c>
    </row>
    <row r="1752" spans="2:6" x14ac:dyDescent="0.2">
      <c r="B1752" s="5">
        <v>46073</v>
      </c>
      <c r="C1752" t="s">
        <v>84</v>
      </c>
      <c r="D1752" s="11">
        <v>71</v>
      </c>
      <c r="E1752" s="18">
        <v>0</v>
      </c>
      <c r="F1752" s="24">
        <v>0</v>
      </c>
    </row>
    <row r="1753" spans="2:6" x14ac:dyDescent="0.2">
      <c r="B1753" s="5">
        <v>46073</v>
      </c>
      <c r="C1753" t="s">
        <v>86</v>
      </c>
      <c r="D1753" s="11">
        <v>40</v>
      </c>
      <c r="E1753" s="18">
        <v>0</v>
      </c>
      <c r="F1753" s="24">
        <v>0</v>
      </c>
    </row>
    <row r="1754" spans="2:6" x14ac:dyDescent="0.2">
      <c r="B1754" s="5">
        <v>46073</v>
      </c>
      <c r="C1754" t="s">
        <v>877</v>
      </c>
      <c r="D1754" s="11">
        <v>63</v>
      </c>
      <c r="E1754" s="18">
        <v>0</v>
      </c>
      <c r="F1754" s="24">
        <v>0</v>
      </c>
    </row>
    <row r="1755" spans="2:6" x14ac:dyDescent="0.2">
      <c r="B1755" s="5">
        <v>46073</v>
      </c>
      <c r="C1755" t="s">
        <v>878</v>
      </c>
      <c r="D1755" s="11">
        <v>175</v>
      </c>
      <c r="E1755" s="18">
        <v>0</v>
      </c>
      <c r="F1755" s="24">
        <v>0</v>
      </c>
    </row>
    <row r="1756" spans="2:6" x14ac:dyDescent="0.2">
      <c r="B1756" s="5">
        <v>46074</v>
      </c>
      <c r="C1756" t="s">
        <v>84</v>
      </c>
      <c r="D1756" s="11">
        <v>104</v>
      </c>
      <c r="E1756" s="18">
        <v>1</v>
      </c>
      <c r="F1756" s="24">
        <v>9.6153846153846159E-3</v>
      </c>
    </row>
    <row r="1757" spans="2:6" x14ac:dyDescent="0.2">
      <c r="B1757" s="5">
        <v>46074</v>
      </c>
      <c r="C1757" t="s">
        <v>86</v>
      </c>
      <c r="D1757" s="11">
        <v>37</v>
      </c>
      <c r="E1757" s="18">
        <v>1</v>
      </c>
      <c r="F1757" s="24">
        <v>2.7027027027027029E-2</v>
      </c>
    </row>
    <row r="1758" spans="2:6" x14ac:dyDescent="0.2">
      <c r="B1758" s="5">
        <v>46074</v>
      </c>
      <c r="C1758" t="s">
        <v>877</v>
      </c>
      <c r="D1758" s="11">
        <v>35</v>
      </c>
      <c r="E1758" s="18">
        <v>3</v>
      </c>
      <c r="F1758" s="24">
        <v>8.5714285714285715E-2</v>
      </c>
    </row>
    <row r="1759" spans="2:6" x14ac:dyDescent="0.2">
      <c r="B1759" s="5">
        <v>46074</v>
      </c>
      <c r="C1759" t="s">
        <v>878</v>
      </c>
      <c r="D1759" s="11">
        <v>176</v>
      </c>
      <c r="E1759" s="18">
        <v>5</v>
      </c>
      <c r="F1759" s="24">
        <v>2.8409090909090908E-2</v>
      </c>
    </row>
    <row r="1760" spans="2:6" x14ac:dyDescent="0.2">
      <c r="B1760" s="5">
        <v>46075</v>
      </c>
      <c r="C1760" t="s">
        <v>875</v>
      </c>
      <c r="D1760" s="11">
        <v>1</v>
      </c>
      <c r="E1760" s="18">
        <v>0</v>
      </c>
      <c r="F1760" s="24">
        <v>0</v>
      </c>
    </row>
    <row r="1761" spans="2:6" x14ac:dyDescent="0.2">
      <c r="B1761" s="5">
        <v>46075</v>
      </c>
      <c r="C1761" t="s">
        <v>84</v>
      </c>
      <c r="D1761" s="11">
        <v>83</v>
      </c>
      <c r="E1761" s="18">
        <v>1</v>
      </c>
      <c r="F1761" s="24">
        <v>1.2048192771084338E-2</v>
      </c>
    </row>
    <row r="1762" spans="2:6" x14ac:dyDescent="0.2">
      <c r="B1762" s="5">
        <v>46075</v>
      </c>
      <c r="C1762" t="s">
        <v>86</v>
      </c>
      <c r="D1762" s="11">
        <v>37</v>
      </c>
      <c r="E1762" s="18">
        <v>1</v>
      </c>
      <c r="F1762" s="24">
        <v>2.7027027027027029E-2</v>
      </c>
    </row>
    <row r="1763" spans="2:6" x14ac:dyDescent="0.2">
      <c r="B1763" s="5">
        <v>46075</v>
      </c>
      <c r="C1763" t="s">
        <v>877</v>
      </c>
      <c r="D1763" s="11">
        <v>42</v>
      </c>
      <c r="E1763" s="18">
        <v>1</v>
      </c>
      <c r="F1763" s="24">
        <v>2.3809523809523808E-2</v>
      </c>
    </row>
    <row r="1764" spans="2:6" x14ac:dyDescent="0.2">
      <c r="B1764" s="5">
        <v>46075</v>
      </c>
      <c r="C1764" t="s">
        <v>878</v>
      </c>
      <c r="D1764" s="11">
        <v>163</v>
      </c>
      <c r="E1764" s="18">
        <v>3</v>
      </c>
      <c r="F1764" s="24">
        <v>1.8404907975460124E-2</v>
      </c>
    </row>
    <row r="1765" spans="2:6" x14ac:dyDescent="0.2">
      <c r="B1765" s="5">
        <v>46076</v>
      </c>
      <c r="C1765" t="s">
        <v>84</v>
      </c>
      <c r="D1765" s="11">
        <v>90</v>
      </c>
      <c r="E1765" s="18">
        <v>0</v>
      </c>
      <c r="F1765" s="24">
        <v>0</v>
      </c>
    </row>
    <row r="1766" spans="2:6" x14ac:dyDescent="0.2">
      <c r="B1766" s="5">
        <v>46076</v>
      </c>
      <c r="C1766" t="s">
        <v>86</v>
      </c>
      <c r="D1766" s="11">
        <v>53</v>
      </c>
      <c r="E1766" s="18">
        <v>0</v>
      </c>
      <c r="F1766" s="24">
        <v>0</v>
      </c>
    </row>
    <row r="1767" spans="2:6" x14ac:dyDescent="0.2">
      <c r="B1767" s="5">
        <v>46076</v>
      </c>
      <c r="C1767" t="s">
        <v>877</v>
      </c>
      <c r="D1767" s="11">
        <v>66</v>
      </c>
      <c r="E1767" s="18">
        <v>2</v>
      </c>
      <c r="F1767" s="24">
        <v>3.0303030303030304E-2</v>
      </c>
    </row>
    <row r="1768" spans="2:6" x14ac:dyDescent="0.2">
      <c r="B1768" s="5">
        <v>46076</v>
      </c>
      <c r="C1768" t="s">
        <v>878</v>
      </c>
      <c r="D1768" s="11">
        <v>209</v>
      </c>
      <c r="E1768" s="18">
        <v>2</v>
      </c>
      <c r="F1768" s="24">
        <v>9.5693779904306216E-3</v>
      </c>
    </row>
    <row r="1769" spans="2:6" x14ac:dyDescent="0.2">
      <c r="B1769" s="5">
        <v>46077</v>
      </c>
      <c r="C1769" t="s">
        <v>875</v>
      </c>
      <c r="D1769" s="11">
        <v>1</v>
      </c>
      <c r="E1769" s="18">
        <v>0</v>
      </c>
      <c r="F1769" s="24">
        <v>0</v>
      </c>
    </row>
    <row r="1770" spans="2:6" x14ac:dyDescent="0.2">
      <c r="B1770" s="5">
        <v>46077</v>
      </c>
      <c r="C1770" t="s">
        <v>84</v>
      </c>
      <c r="D1770" s="11">
        <v>87</v>
      </c>
      <c r="E1770" s="18">
        <v>0</v>
      </c>
      <c r="F1770" s="24">
        <v>0</v>
      </c>
    </row>
    <row r="1771" spans="2:6" x14ac:dyDescent="0.2">
      <c r="B1771" s="5">
        <v>46077</v>
      </c>
      <c r="C1771" t="s">
        <v>86</v>
      </c>
      <c r="D1771" s="11">
        <v>57</v>
      </c>
      <c r="E1771" s="18">
        <v>0</v>
      </c>
      <c r="F1771" s="24">
        <v>0</v>
      </c>
    </row>
    <row r="1772" spans="2:6" x14ac:dyDescent="0.2">
      <c r="B1772" s="5">
        <v>46077</v>
      </c>
      <c r="C1772" t="s">
        <v>877</v>
      </c>
      <c r="D1772" s="11">
        <v>57</v>
      </c>
      <c r="E1772" s="18">
        <v>3</v>
      </c>
      <c r="F1772" s="24">
        <v>5.2631578947368418E-2</v>
      </c>
    </row>
    <row r="1773" spans="2:6" x14ac:dyDescent="0.2">
      <c r="B1773" s="5">
        <v>46077</v>
      </c>
      <c r="C1773" t="s">
        <v>878</v>
      </c>
      <c r="D1773" s="11">
        <v>202</v>
      </c>
      <c r="E1773" s="18">
        <v>3</v>
      </c>
      <c r="F1773" s="24">
        <v>1.4851485148514851E-2</v>
      </c>
    </row>
    <row r="1774" spans="2:6" x14ac:dyDescent="0.2">
      <c r="B1774" s="5">
        <v>46078</v>
      </c>
      <c r="C1774" t="s">
        <v>875</v>
      </c>
      <c r="D1774" s="11">
        <v>1</v>
      </c>
      <c r="E1774" s="18">
        <v>0</v>
      </c>
      <c r="F1774" s="24">
        <v>0</v>
      </c>
    </row>
    <row r="1775" spans="2:6" x14ac:dyDescent="0.2">
      <c r="B1775" s="5">
        <v>46078</v>
      </c>
      <c r="C1775" t="s">
        <v>84</v>
      </c>
      <c r="D1775" s="11">
        <v>64</v>
      </c>
      <c r="E1775" s="18">
        <v>0</v>
      </c>
      <c r="F1775" s="24">
        <v>0</v>
      </c>
    </row>
    <row r="1776" spans="2:6" x14ac:dyDescent="0.2">
      <c r="B1776" s="5">
        <v>46078</v>
      </c>
      <c r="C1776" t="s">
        <v>86</v>
      </c>
      <c r="D1776" s="11">
        <v>50</v>
      </c>
      <c r="E1776" s="18">
        <v>0</v>
      </c>
      <c r="F1776" s="24">
        <v>0</v>
      </c>
    </row>
    <row r="1777" spans="2:6" x14ac:dyDescent="0.2">
      <c r="B1777" s="5">
        <v>46078</v>
      </c>
      <c r="C1777" t="s">
        <v>877</v>
      </c>
      <c r="D1777" s="11">
        <v>51</v>
      </c>
      <c r="E1777" s="18">
        <v>3</v>
      </c>
      <c r="F1777" s="24">
        <v>5.8823529411764705E-2</v>
      </c>
    </row>
    <row r="1778" spans="2:6" x14ac:dyDescent="0.2">
      <c r="B1778" s="5">
        <v>46078</v>
      </c>
      <c r="C1778" t="s">
        <v>878</v>
      </c>
      <c r="D1778" s="11">
        <v>166</v>
      </c>
      <c r="E1778" s="18">
        <v>3</v>
      </c>
      <c r="F1778" s="24">
        <v>1.8072289156626505E-2</v>
      </c>
    </row>
    <row r="1779" spans="2:6" x14ac:dyDescent="0.2">
      <c r="B1779" s="5">
        <v>46079</v>
      </c>
      <c r="C1779" t="s">
        <v>875</v>
      </c>
      <c r="D1779" s="11">
        <v>40</v>
      </c>
      <c r="E1779" s="18">
        <v>0</v>
      </c>
      <c r="F1779" s="24">
        <v>0</v>
      </c>
    </row>
    <row r="1780" spans="2:6" x14ac:dyDescent="0.2">
      <c r="B1780" s="5">
        <v>46079</v>
      </c>
      <c r="C1780" t="s">
        <v>84</v>
      </c>
      <c r="D1780" s="11">
        <v>58</v>
      </c>
      <c r="E1780" s="18">
        <v>3</v>
      </c>
      <c r="F1780" s="24">
        <v>5.1724137931034482E-2</v>
      </c>
    </row>
    <row r="1781" spans="2:6" x14ac:dyDescent="0.2">
      <c r="B1781" s="5">
        <v>46079</v>
      </c>
      <c r="C1781" t="s">
        <v>86</v>
      </c>
      <c r="D1781" s="11">
        <v>33</v>
      </c>
      <c r="E1781" s="18">
        <v>1</v>
      </c>
      <c r="F1781" s="24">
        <v>3.0303030303030304E-2</v>
      </c>
    </row>
    <row r="1782" spans="2:6" x14ac:dyDescent="0.2">
      <c r="B1782" s="5">
        <v>46079</v>
      </c>
      <c r="C1782" t="s">
        <v>877</v>
      </c>
      <c r="D1782" s="11">
        <v>43</v>
      </c>
      <c r="E1782" s="18">
        <v>1</v>
      </c>
      <c r="F1782" s="24">
        <v>2.3255813953488372E-2</v>
      </c>
    </row>
    <row r="1783" spans="2:6" x14ac:dyDescent="0.2">
      <c r="B1783" s="5">
        <v>46079</v>
      </c>
      <c r="C1783" t="s">
        <v>878</v>
      </c>
      <c r="D1783" s="11">
        <v>174</v>
      </c>
      <c r="E1783" s="18">
        <v>5</v>
      </c>
      <c r="F1783" s="24">
        <v>2.8735632183908046E-2</v>
      </c>
    </row>
    <row r="1784" spans="2:6" x14ac:dyDescent="0.2">
      <c r="B1784" s="5">
        <v>46080</v>
      </c>
      <c r="C1784" t="s">
        <v>875</v>
      </c>
      <c r="D1784" s="11">
        <v>228</v>
      </c>
      <c r="E1784" s="18">
        <v>0</v>
      </c>
      <c r="F1784" s="24">
        <v>0</v>
      </c>
    </row>
    <row r="1785" spans="2:6" x14ac:dyDescent="0.2">
      <c r="B1785" s="5">
        <v>46080</v>
      </c>
      <c r="C1785" t="s">
        <v>84</v>
      </c>
      <c r="D1785" s="11">
        <v>73</v>
      </c>
      <c r="E1785" s="18">
        <v>1</v>
      </c>
      <c r="F1785" s="24">
        <v>1.3698630136986301E-2</v>
      </c>
    </row>
    <row r="1786" spans="2:6" x14ac:dyDescent="0.2">
      <c r="B1786" s="5">
        <v>46080</v>
      </c>
      <c r="C1786" t="s">
        <v>86</v>
      </c>
      <c r="D1786" s="11">
        <v>36</v>
      </c>
      <c r="E1786" s="18">
        <v>2</v>
      </c>
      <c r="F1786" s="24">
        <v>5.5555555555555552E-2</v>
      </c>
    </row>
    <row r="1787" spans="2:6" x14ac:dyDescent="0.2">
      <c r="B1787" s="5">
        <v>46080</v>
      </c>
      <c r="C1787" t="s">
        <v>877</v>
      </c>
      <c r="D1787" s="11">
        <v>64</v>
      </c>
      <c r="E1787" s="18">
        <v>2</v>
      </c>
      <c r="F1787" s="24">
        <v>3.125E-2</v>
      </c>
    </row>
    <row r="1788" spans="2:6" x14ac:dyDescent="0.2">
      <c r="B1788" s="5">
        <v>46080</v>
      </c>
      <c r="C1788" t="s">
        <v>878</v>
      </c>
      <c r="D1788" s="11">
        <v>401</v>
      </c>
      <c r="E1788" s="18">
        <v>5</v>
      </c>
      <c r="F1788" s="24">
        <v>1.2468827930174564E-2</v>
      </c>
    </row>
    <row r="1789" spans="2:6" x14ac:dyDescent="0.2">
      <c r="B1789" s="5">
        <v>46081</v>
      </c>
      <c r="C1789" t="s">
        <v>875</v>
      </c>
      <c r="D1789" s="11">
        <v>279</v>
      </c>
      <c r="E1789" s="18">
        <v>0</v>
      </c>
      <c r="F1789" s="24">
        <v>0</v>
      </c>
    </row>
    <row r="1790" spans="2:6" x14ac:dyDescent="0.2">
      <c r="B1790" s="5">
        <v>46081</v>
      </c>
      <c r="C1790" t="s">
        <v>84</v>
      </c>
      <c r="D1790" s="11">
        <v>53</v>
      </c>
      <c r="E1790" s="18">
        <v>1</v>
      </c>
      <c r="F1790" s="24">
        <v>1.8867924528301886E-2</v>
      </c>
    </row>
    <row r="1791" spans="2:6" x14ac:dyDescent="0.2">
      <c r="B1791" s="5">
        <v>46081</v>
      </c>
      <c r="C1791" t="s">
        <v>86</v>
      </c>
      <c r="D1791" s="11">
        <v>35</v>
      </c>
      <c r="E1791" s="18">
        <v>1</v>
      </c>
      <c r="F1791" s="24">
        <v>2.8571428571428571E-2</v>
      </c>
    </row>
    <row r="1792" spans="2:6" x14ac:dyDescent="0.2">
      <c r="B1792" s="5">
        <v>46081</v>
      </c>
      <c r="C1792" t="s">
        <v>877</v>
      </c>
      <c r="D1792" s="11">
        <v>62</v>
      </c>
      <c r="E1792" s="18">
        <v>1</v>
      </c>
      <c r="F1792" s="24">
        <v>1.6129032258064516E-2</v>
      </c>
    </row>
    <row r="1793" spans="2:6" x14ac:dyDescent="0.2">
      <c r="B1793" s="5">
        <v>46081</v>
      </c>
      <c r="C1793" t="s">
        <v>878</v>
      </c>
      <c r="D1793" s="11">
        <v>429</v>
      </c>
      <c r="E1793" s="18">
        <v>3</v>
      </c>
      <c r="F1793" s="24">
        <v>6.993006993006993E-3</v>
      </c>
    </row>
    <row r="1794" spans="2:6" x14ac:dyDescent="0.2">
      <c r="B1794" s="5">
        <v>46082</v>
      </c>
      <c r="C1794" t="s">
        <v>875</v>
      </c>
      <c r="D1794" s="11">
        <v>153</v>
      </c>
      <c r="E1794" s="18">
        <v>0</v>
      </c>
      <c r="F1794" s="24">
        <v>0</v>
      </c>
    </row>
    <row r="1795" spans="2:6" x14ac:dyDescent="0.2">
      <c r="B1795" s="5">
        <v>46082</v>
      </c>
      <c r="C1795" t="s">
        <v>84</v>
      </c>
      <c r="D1795" s="11">
        <v>115</v>
      </c>
      <c r="E1795" s="18">
        <v>0</v>
      </c>
      <c r="F1795" s="24">
        <v>0</v>
      </c>
    </row>
    <row r="1796" spans="2:6" x14ac:dyDescent="0.2">
      <c r="B1796" s="5">
        <v>46082</v>
      </c>
      <c r="C1796" t="s">
        <v>86</v>
      </c>
      <c r="D1796" s="11">
        <v>33</v>
      </c>
      <c r="E1796" s="18">
        <v>0</v>
      </c>
      <c r="F1796" s="24">
        <v>0</v>
      </c>
    </row>
    <row r="1797" spans="2:6" x14ac:dyDescent="0.2">
      <c r="B1797" s="5">
        <v>46082</v>
      </c>
      <c r="C1797" t="s">
        <v>877</v>
      </c>
      <c r="D1797" s="11">
        <v>51</v>
      </c>
      <c r="E1797" s="18">
        <v>0</v>
      </c>
      <c r="F1797" s="24">
        <v>0</v>
      </c>
    </row>
    <row r="1798" spans="2:6" x14ac:dyDescent="0.2">
      <c r="B1798" s="5">
        <v>46082</v>
      </c>
      <c r="C1798" t="s">
        <v>878</v>
      </c>
      <c r="D1798" s="11">
        <v>352</v>
      </c>
      <c r="E1798" s="18">
        <v>0</v>
      </c>
      <c r="F1798" s="24">
        <v>0</v>
      </c>
    </row>
    <row r="1799" spans="2:6" x14ac:dyDescent="0.2">
      <c r="B1799" s="5">
        <v>46083</v>
      </c>
      <c r="C1799" t="s">
        <v>875</v>
      </c>
      <c r="D1799" s="11">
        <v>197</v>
      </c>
      <c r="E1799" s="18">
        <v>0</v>
      </c>
      <c r="F1799" s="24">
        <v>0</v>
      </c>
    </row>
    <row r="1800" spans="2:6" x14ac:dyDescent="0.2">
      <c r="B1800" s="5">
        <v>46083</v>
      </c>
      <c r="C1800" t="s">
        <v>84</v>
      </c>
      <c r="D1800" s="11">
        <v>95</v>
      </c>
      <c r="E1800" s="18">
        <v>1</v>
      </c>
      <c r="F1800" s="24">
        <v>1.0526315789473684E-2</v>
      </c>
    </row>
    <row r="1801" spans="2:6" x14ac:dyDescent="0.2">
      <c r="B1801" s="5">
        <v>46083</v>
      </c>
      <c r="C1801" t="s">
        <v>86</v>
      </c>
      <c r="D1801" s="11">
        <v>39</v>
      </c>
      <c r="E1801" s="18">
        <v>1</v>
      </c>
      <c r="F1801" s="24">
        <v>2.564102564102564E-2</v>
      </c>
    </row>
    <row r="1802" spans="2:6" x14ac:dyDescent="0.2">
      <c r="B1802" s="5">
        <v>46083</v>
      </c>
      <c r="C1802" t="s">
        <v>876</v>
      </c>
      <c r="D1802" s="11">
        <v>1</v>
      </c>
      <c r="E1802" s="18">
        <v>0</v>
      </c>
      <c r="F1802" s="24">
        <v>0</v>
      </c>
    </row>
    <row r="1803" spans="2:6" x14ac:dyDescent="0.2">
      <c r="B1803" s="5">
        <v>46083</v>
      </c>
      <c r="C1803" t="s">
        <v>877</v>
      </c>
      <c r="D1803" s="11">
        <v>66</v>
      </c>
      <c r="E1803" s="18">
        <v>3</v>
      </c>
      <c r="F1803" s="24">
        <v>4.5454545454545456E-2</v>
      </c>
    </row>
    <row r="1804" spans="2:6" x14ac:dyDescent="0.2">
      <c r="B1804" s="5">
        <v>46083</v>
      </c>
      <c r="C1804" t="s">
        <v>878</v>
      </c>
      <c r="D1804" s="11">
        <v>398</v>
      </c>
      <c r="E1804" s="18">
        <v>5</v>
      </c>
      <c r="F1804" s="24">
        <v>1.2562814070351759E-2</v>
      </c>
    </row>
    <row r="1805" spans="2:6" x14ac:dyDescent="0.2">
      <c r="B1805" s="5">
        <v>46084</v>
      </c>
      <c r="C1805" t="s">
        <v>875</v>
      </c>
      <c r="D1805" s="11">
        <v>332</v>
      </c>
      <c r="E1805" s="18">
        <v>2</v>
      </c>
      <c r="F1805" s="24">
        <v>6.024096385542169E-3</v>
      </c>
    </row>
    <row r="1806" spans="2:6" x14ac:dyDescent="0.2">
      <c r="B1806" s="5">
        <v>46084</v>
      </c>
      <c r="C1806" t="s">
        <v>84</v>
      </c>
      <c r="D1806" s="11">
        <v>97</v>
      </c>
      <c r="E1806" s="18">
        <v>1</v>
      </c>
      <c r="F1806" s="24">
        <v>1.0309278350515464E-2</v>
      </c>
    </row>
    <row r="1807" spans="2:6" x14ac:dyDescent="0.2">
      <c r="B1807" s="5">
        <v>46084</v>
      </c>
      <c r="C1807" t="s">
        <v>86</v>
      </c>
      <c r="D1807" s="11">
        <v>45</v>
      </c>
      <c r="E1807" s="18">
        <v>1</v>
      </c>
      <c r="F1807" s="24">
        <v>2.2222222222222223E-2</v>
      </c>
    </row>
    <row r="1808" spans="2:6" x14ac:dyDescent="0.2">
      <c r="B1808" s="5">
        <v>46084</v>
      </c>
      <c r="C1808" t="s">
        <v>876</v>
      </c>
      <c r="D1808" s="11">
        <v>1</v>
      </c>
      <c r="E1808" s="18">
        <v>0</v>
      </c>
      <c r="F1808" s="24">
        <v>0</v>
      </c>
    </row>
    <row r="1809" spans="2:6" x14ac:dyDescent="0.2">
      <c r="B1809" s="5">
        <v>46084</v>
      </c>
      <c r="C1809" t="s">
        <v>879</v>
      </c>
      <c r="D1809" s="11">
        <v>1</v>
      </c>
      <c r="E1809" s="18">
        <v>0</v>
      </c>
      <c r="F1809" s="24">
        <v>0</v>
      </c>
    </row>
    <row r="1810" spans="2:6" x14ac:dyDescent="0.2">
      <c r="B1810" s="5">
        <v>46084</v>
      </c>
      <c r="C1810" t="s">
        <v>877</v>
      </c>
      <c r="D1810" s="11">
        <v>58</v>
      </c>
      <c r="E1810" s="18">
        <v>1</v>
      </c>
      <c r="F1810" s="24">
        <v>1.7241379310344827E-2</v>
      </c>
    </row>
    <row r="1811" spans="2:6" x14ac:dyDescent="0.2">
      <c r="B1811" s="5">
        <v>46084</v>
      </c>
      <c r="C1811" t="s">
        <v>878</v>
      </c>
      <c r="D1811" s="11">
        <v>534</v>
      </c>
      <c r="E1811" s="18">
        <v>5</v>
      </c>
      <c r="F1811" s="24">
        <v>9.3632958801498131E-3</v>
      </c>
    </row>
    <row r="1812" spans="2:6" x14ac:dyDescent="0.2">
      <c r="B1812" s="5">
        <v>46085</v>
      </c>
      <c r="C1812" t="s">
        <v>875</v>
      </c>
      <c r="D1812" s="11">
        <v>365</v>
      </c>
      <c r="E1812" s="18">
        <v>0</v>
      </c>
      <c r="F1812" s="24">
        <v>0</v>
      </c>
    </row>
    <row r="1813" spans="2:6" x14ac:dyDescent="0.2">
      <c r="B1813" s="5">
        <v>46085</v>
      </c>
      <c r="C1813" t="s">
        <v>84</v>
      </c>
      <c r="D1813" s="11">
        <v>90</v>
      </c>
      <c r="E1813" s="18">
        <v>1</v>
      </c>
      <c r="F1813" s="24">
        <v>1.1111111111111112E-2</v>
      </c>
    </row>
    <row r="1814" spans="2:6" x14ac:dyDescent="0.2">
      <c r="B1814" s="5">
        <v>46085</v>
      </c>
      <c r="C1814" t="s">
        <v>86</v>
      </c>
      <c r="D1814" s="11">
        <v>42</v>
      </c>
      <c r="E1814" s="18">
        <v>2</v>
      </c>
      <c r="F1814" s="24">
        <v>4.7619047619047616E-2</v>
      </c>
    </row>
    <row r="1815" spans="2:6" x14ac:dyDescent="0.2">
      <c r="B1815" s="5">
        <v>46085</v>
      </c>
      <c r="C1815" t="s">
        <v>876</v>
      </c>
      <c r="D1815" s="11">
        <v>1</v>
      </c>
      <c r="E1815" s="18">
        <v>0</v>
      </c>
      <c r="F1815" s="24">
        <v>0</v>
      </c>
    </row>
    <row r="1816" spans="2:6" x14ac:dyDescent="0.2">
      <c r="B1816" s="5">
        <v>46085</v>
      </c>
      <c r="C1816" t="s">
        <v>877</v>
      </c>
      <c r="D1816" s="11">
        <v>307</v>
      </c>
      <c r="E1816" s="18">
        <v>5</v>
      </c>
      <c r="F1816" s="24">
        <v>1.6286644951140065E-2</v>
      </c>
    </row>
    <row r="1817" spans="2:6" x14ac:dyDescent="0.2">
      <c r="B1817" s="5">
        <v>46085</v>
      </c>
      <c r="C1817" t="s">
        <v>878</v>
      </c>
      <c r="D1817" s="11">
        <v>805</v>
      </c>
      <c r="E1817" s="18">
        <v>8</v>
      </c>
      <c r="F1817" s="24">
        <v>9.9378881987577643E-3</v>
      </c>
    </row>
    <row r="1818" spans="2:6" x14ac:dyDescent="0.2">
      <c r="B1818" s="5">
        <v>46086</v>
      </c>
      <c r="C1818" t="s">
        <v>875</v>
      </c>
      <c r="D1818" s="11">
        <v>313</v>
      </c>
      <c r="E1818" s="18">
        <v>2</v>
      </c>
      <c r="F1818" s="24">
        <v>6.3897763578274758E-3</v>
      </c>
    </row>
    <row r="1819" spans="2:6" x14ac:dyDescent="0.2">
      <c r="B1819" s="5">
        <v>46086</v>
      </c>
      <c r="C1819" t="s">
        <v>84</v>
      </c>
      <c r="D1819" s="11">
        <v>76</v>
      </c>
      <c r="E1819" s="18">
        <v>0</v>
      </c>
      <c r="F1819" s="24">
        <v>0</v>
      </c>
    </row>
    <row r="1820" spans="2:6" x14ac:dyDescent="0.2">
      <c r="B1820" s="5">
        <v>46086</v>
      </c>
      <c r="C1820" t="s">
        <v>86</v>
      </c>
      <c r="D1820" s="11">
        <v>42</v>
      </c>
      <c r="E1820" s="18">
        <v>3</v>
      </c>
      <c r="F1820" s="24">
        <v>7.1428571428571425E-2</v>
      </c>
    </row>
    <row r="1821" spans="2:6" x14ac:dyDescent="0.2">
      <c r="B1821" s="5">
        <v>46086</v>
      </c>
      <c r="C1821" t="s">
        <v>877</v>
      </c>
      <c r="D1821" s="11">
        <v>176</v>
      </c>
      <c r="E1821" s="18">
        <v>0</v>
      </c>
      <c r="F1821" s="24">
        <v>0</v>
      </c>
    </row>
    <row r="1822" spans="2:6" x14ac:dyDescent="0.2">
      <c r="B1822" s="5">
        <v>46086</v>
      </c>
      <c r="C1822" t="s">
        <v>878</v>
      </c>
      <c r="D1822" s="11">
        <v>607</v>
      </c>
      <c r="E1822" s="18">
        <v>5</v>
      </c>
      <c r="F1822" s="24">
        <v>8.2372322899505763E-3</v>
      </c>
    </row>
    <row r="1823" spans="2:6" x14ac:dyDescent="0.2">
      <c r="B1823" s="5">
        <v>46087</v>
      </c>
      <c r="C1823" t="s">
        <v>875</v>
      </c>
      <c r="D1823" s="11">
        <v>405</v>
      </c>
      <c r="E1823" s="18">
        <v>0</v>
      </c>
      <c r="F1823" s="24">
        <v>0</v>
      </c>
    </row>
    <row r="1824" spans="2:6" x14ac:dyDescent="0.2">
      <c r="B1824" s="5">
        <v>46087</v>
      </c>
      <c r="C1824" t="s">
        <v>84</v>
      </c>
      <c r="D1824" s="11">
        <v>64</v>
      </c>
      <c r="E1824" s="18">
        <v>3</v>
      </c>
      <c r="F1824" s="24">
        <v>4.6875E-2</v>
      </c>
    </row>
    <row r="1825" spans="2:6" x14ac:dyDescent="0.2">
      <c r="B1825" s="5">
        <v>46087</v>
      </c>
      <c r="C1825" t="s">
        <v>86</v>
      </c>
      <c r="D1825" s="11">
        <v>38</v>
      </c>
      <c r="E1825" s="18">
        <v>0</v>
      </c>
      <c r="F1825" s="24">
        <v>0</v>
      </c>
    </row>
    <row r="1826" spans="2:6" x14ac:dyDescent="0.2">
      <c r="B1826" s="5">
        <v>46087</v>
      </c>
      <c r="C1826" t="s">
        <v>876</v>
      </c>
      <c r="D1826" s="11">
        <v>3</v>
      </c>
      <c r="E1826" s="18">
        <v>0</v>
      </c>
      <c r="F1826" s="24">
        <v>0</v>
      </c>
    </row>
    <row r="1827" spans="2:6" x14ac:dyDescent="0.2">
      <c r="B1827" s="5">
        <v>46087</v>
      </c>
      <c r="C1827" t="s">
        <v>877</v>
      </c>
      <c r="D1827" s="11">
        <v>172</v>
      </c>
      <c r="E1827" s="18">
        <v>1</v>
      </c>
      <c r="F1827" s="24">
        <v>5.8139534883720929E-3</v>
      </c>
    </row>
    <row r="1828" spans="2:6" x14ac:dyDescent="0.2">
      <c r="B1828" s="5">
        <v>46087</v>
      </c>
      <c r="C1828" t="s">
        <v>878</v>
      </c>
      <c r="D1828" s="11">
        <v>682</v>
      </c>
      <c r="E1828" s="18">
        <v>4</v>
      </c>
      <c r="F1828" s="24">
        <v>5.8651026392961877E-3</v>
      </c>
    </row>
    <row r="1829" spans="2:6" x14ac:dyDescent="0.2">
      <c r="B1829" s="5">
        <v>46088</v>
      </c>
      <c r="C1829" t="s">
        <v>875</v>
      </c>
      <c r="D1829" s="11">
        <v>309</v>
      </c>
      <c r="E1829" s="18">
        <v>0</v>
      </c>
      <c r="F1829" s="24">
        <v>0</v>
      </c>
    </row>
    <row r="1830" spans="2:6" x14ac:dyDescent="0.2">
      <c r="B1830" s="5">
        <v>46088</v>
      </c>
      <c r="C1830" t="s">
        <v>84</v>
      </c>
      <c r="D1830" s="11">
        <v>76</v>
      </c>
      <c r="E1830" s="18">
        <v>1</v>
      </c>
      <c r="F1830" s="24">
        <v>1.3157894736842105E-2</v>
      </c>
    </row>
    <row r="1831" spans="2:6" x14ac:dyDescent="0.2">
      <c r="B1831" s="5">
        <v>46088</v>
      </c>
      <c r="C1831" t="s">
        <v>86</v>
      </c>
      <c r="D1831" s="11">
        <v>23</v>
      </c>
      <c r="E1831" s="18">
        <v>0</v>
      </c>
      <c r="F1831" s="24">
        <v>0</v>
      </c>
    </row>
    <row r="1832" spans="2:6" x14ac:dyDescent="0.2">
      <c r="B1832" s="5">
        <v>46088</v>
      </c>
      <c r="C1832" t="s">
        <v>876</v>
      </c>
      <c r="D1832" s="11">
        <v>1</v>
      </c>
      <c r="E1832" s="18">
        <v>0</v>
      </c>
      <c r="F1832" s="24">
        <v>0</v>
      </c>
    </row>
    <row r="1833" spans="2:6" x14ac:dyDescent="0.2">
      <c r="B1833" s="5">
        <v>46088</v>
      </c>
      <c r="C1833" t="s">
        <v>877</v>
      </c>
      <c r="D1833" s="11">
        <v>108</v>
      </c>
      <c r="E1833" s="18">
        <v>0</v>
      </c>
      <c r="F1833" s="24">
        <v>0</v>
      </c>
    </row>
    <row r="1834" spans="2:6" x14ac:dyDescent="0.2">
      <c r="B1834" s="5">
        <v>46088</v>
      </c>
      <c r="C1834" t="s">
        <v>878</v>
      </c>
      <c r="D1834" s="11">
        <v>517</v>
      </c>
      <c r="E1834" s="18">
        <v>1</v>
      </c>
      <c r="F1834" s="24">
        <v>1.9342359767891683E-3</v>
      </c>
    </row>
    <row r="1835" spans="2:6" x14ac:dyDescent="0.2">
      <c r="B1835" s="5">
        <v>46089</v>
      </c>
      <c r="C1835" t="s">
        <v>875</v>
      </c>
      <c r="D1835" s="11">
        <v>292</v>
      </c>
      <c r="E1835" s="18">
        <v>0</v>
      </c>
      <c r="F1835" s="24">
        <v>0</v>
      </c>
    </row>
    <row r="1836" spans="2:6" x14ac:dyDescent="0.2">
      <c r="B1836" s="5">
        <v>46089</v>
      </c>
      <c r="C1836" t="s">
        <v>84</v>
      </c>
      <c r="D1836" s="11">
        <v>87</v>
      </c>
      <c r="E1836" s="18">
        <v>1</v>
      </c>
      <c r="F1836" s="24">
        <v>1.1494252873563218E-2</v>
      </c>
    </row>
    <row r="1837" spans="2:6" x14ac:dyDescent="0.2">
      <c r="B1837" s="5">
        <v>46089</v>
      </c>
      <c r="C1837" t="s">
        <v>86</v>
      </c>
      <c r="D1837" s="11">
        <v>22</v>
      </c>
      <c r="E1837" s="18">
        <v>0</v>
      </c>
      <c r="F1837" s="24">
        <v>0</v>
      </c>
    </row>
    <row r="1838" spans="2:6" x14ac:dyDescent="0.2">
      <c r="B1838" s="5">
        <v>46089</v>
      </c>
      <c r="C1838" t="s">
        <v>876</v>
      </c>
      <c r="D1838" s="11">
        <v>2</v>
      </c>
      <c r="E1838" s="18">
        <v>0</v>
      </c>
      <c r="F1838" s="24">
        <v>0</v>
      </c>
    </row>
    <row r="1839" spans="2:6" x14ac:dyDescent="0.2">
      <c r="B1839" s="5">
        <v>46089</v>
      </c>
      <c r="C1839" t="s">
        <v>877</v>
      </c>
      <c r="D1839" s="11">
        <v>77</v>
      </c>
      <c r="E1839" s="18">
        <v>2</v>
      </c>
      <c r="F1839" s="24">
        <v>2.5974025974025976E-2</v>
      </c>
    </row>
    <row r="1840" spans="2:6" x14ac:dyDescent="0.2">
      <c r="B1840" s="5">
        <v>46089</v>
      </c>
      <c r="C1840" t="s">
        <v>878</v>
      </c>
      <c r="D1840" s="11">
        <v>480</v>
      </c>
      <c r="E1840" s="18">
        <v>3</v>
      </c>
      <c r="F1840" s="24">
        <v>6.2500000000000003E-3</v>
      </c>
    </row>
    <row r="1841" spans="2:6" x14ac:dyDescent="0.2">
      <c r="B1841" s="5">
        <v>46090</v>
      </c>
      <c r="C1841" t="s">
        <v>875</v>
      </c>
      <c r="D1841" s="11">
        <v>430</v>
      </c>
      <c r="E1841" s="18">
        <v>0</v>
      </c>
      <c r="F1841" s="24">
        <v>0</v>
      </c>
    </row>
    <row r="1842" spans="2:6" x14ac:dyDescent="0.2">
      <c r="B1842" s="5">
        <v>46090</v>
      </c>
      <c r="C1842" t="s">
        <v>84</v>
      </c>
      <c r="D1842" s="11">
        <v>86</v>
      </c>
      <c r="E1842" s="18">
        <v>1</v>
      </c>
      <c r="F1842" s="24">
        <v>1.1627906976744186E-2</v>
      </c>
    </row>
    <row r="1843" spans="2:6" x14ac:dyDescent="0.2">
      <c r="B1843" s="5">
        <v>46090</v>
      </c>
      <c r="C1843" t="s">
        <v>86</v>
      </c>
      <c r="D1843" s="11">
        <v>39</v>
      </c>
      <c r="E1843" s="18">
        <v>1</v>
      </c>
      <c r="F1843" s="24">
        <v>2.564102564102564E-2</v>
      </c>
    </row>
    <row r="1844" spans="2:6" x14ac:dyDescent="0.2">
      <c r="B1844" s="5">
        <v>46090</v>
      </c>
      <c r="C1844" t="s">
        <v>876</v>
      </c>
      <c r="D1844" s="11">
        <v>4</v>
      </c>
      <c r="E1844" s="18">
        <v>0</v>
      </c>
      <c r="F1844" s="24">
        <v>0</v>
      </c>
    </row>
    <row r="1845" spans="2:6" x14ac:dyDescent="0.2">
      <c r="B1845" s="5">
        <v>46090</v>
      </c>
      <c r="C1845" t="s">
        <v>877</v>
      </c>
      <c r="D1845" s="11">
        <v>135</v>
      </c>
      <c r="E1845" s="18">
        <v>0</v>
      </c>
      <c r="F1845" s="24">
        <v>0</v>
      </c>
    </row>
    <row r="1846" spans="2:6" x14ac:dyDescent="0.2">
      <c r="B1846" s="5">
        <v>46090</v>
      </c>
      <c r="C1846" t="s">
        <v>878</v>
      </c>
      <c r="D1846" s="11">
        <v>694</v>
      </c>
      <c r="E1846" s="18">
        <v>2</v>
      </c>
      <c r="F1846" s="24">
        <v>2.881844380403458E-3</v>
      </c>
    </row>
    <row r="1847" spans="2:6" x14ac:dyDescent="0.2">
      <c r="B1847" s="5">
        <v>46091</v>
      </c>
      <c r="C1847" t="s">
        <v>875</v>
      </c>
      <c r="D1847" s="11">
        <v>271</v>
      </c>
      <c r="E1847" s="18">
        <v>2</v>
      </c>
      <c r="F1847" s="24">
        <v>7.3800738007380072E-3</v>
      </c>
    </row>
    <row r="1848" spans="2:6" x14ac:dyDescent="0.2">
      <c r="B1848" s="5">
        <v>46091</v>
      </c>
      <c r="C1848" t="s">
        <v>84</v>
      </c>
      <c r="D1848" s="11">
        <v>61</v>
      </c>
      <c r="E1848" s="18">
        <v>0</v>
      </c>
      <c r="F1848" s="24">
        <v>0</v>
      </c>
    </row>
    <row r="1849" spans="2:6" x14ac:dyDescent="0.2">
      <c r="B1849" s="5">
        <v>46091</v>
      </c>
      <c r="C1849" t="s">
        <v>86</v>
      </c>
      <c r="D1849" s="11">
        <v>44</v>
      </c>
      <c r="E1849" s="18">
        <v>2</v>
      </c>
      <c r="F1849" s="24">
        <v>4.5454545454545456E-2</v>
      </c>
    </row>
    <row r="1850" spans="2:6" x14ac:dyDescent="0.2">
      <c r="B1850" s="5">
        <v>46091</v>
      </c>
      <c r="C1850" t="s">
        <v>876</v>
      </c>
      <c r="D1850" s="11">
        <v>2</v>
      </c>
      <c r="E1850" s="18">
        <v>0</v>
      </c>
      <c r="F1850" s="24">
        <v>0</v>
      </c>
    </row>
    <row r="1851" spans="2:6" x14ac:dyDescent="0.2">
      <c r="B1851" s="5">
        <v>46091</v>
      </c>
      <c r="C1851" t="s">
        <v>877</v>
      </c>
      <c r="D1851" s="11">
        <v>71</v>
      </c>
      <c r="E1851" s="18">
        <v>3</v>
      </c>
      <c r="F1851" s="24">
        <v>4.2253521126760563E-2</v>
      </c>
    </row>
    <row r="1852" spans="2:6" x14ac:dyDescent="0.2">
      <c r="B1852" s="5">
        <v>46091</v>
      </c>
      <c r="C1852" t="s">
        <v>878</v>
      </c>
      <c r="D1852" s="11">
        <v>449</v>
      </c>
      <c r="E1852" s="18">
        <v>7</v>
      </c>
      <c r="F1852" s="24">
        <v>1.5590200445434299E-2</v>
      </c>
    </row>
    <row r="1853" spans="2:6" x14ac:dyDescent="0.2">
      <c r="B1853" s="5">
        <v>46092</v>
      </c>
      <c r="C1853" t="s">
        <v>875</v>
      </c>
      <c r="D1853" s="11">
        <v>335</v>
      </c>
      <c r="E1853" s="18">
        <v>0</v>
      </c>
      <c r="F1853" s="24">
        <v>0</v>
      </c>
    </row>
    <row r="1854" spans="2:6" x14ac:dyDescent="0.2">
      <c r="B1854" s="5">
        <v>46092</v>
      </c>
      <c r="C1854" t="s">
        <v>84</v>
      </c>
      <c r="D1854" s="11">
        <v>65</v>
      </c>
      <c r="E1854" s="18">
        <v>0</v>
      </c>
      <c r="F1854" s="24">
        <v>0</v>
      </c>
    </row>
    <row r="1855" spans="2:6" x14ac:dyDescent="0.2">
      <c r="B1855" s="5">
        <v>46092</v>
      </c>
      <c r="C1855" t="s">
        <v>86</v>
      </c>
      <c r="D1855" s="11">
        <v>43</v>
      </c>
      <c r="E1855" s="18">
        <v>1</v>
      </c>
      <c r="F1855" s="24">
        <v>2.3255813953488372E-2</v>
      </c>
    </row>
    <row r="1856" spans="2:6" x14ac:dyDescent="0.2">
      <c r="B1856" s="5">
        <v>46092</v>
      </c>
      <c r="C1856" t="s">
        <v>877</v>
      </c>
      <c r="D1856" s="11">
        <v>145</v>
      </c>
      <c r="E1856" s="18">
        <v>5</v>
      </c>
      <c r="F1856" s="24">
        <v>3.4482758620689655E-2</v>
      </c>
    </row>
    <row r="1857" spans="2:6" x14ac:dyDescent="0.2">
      <c r="B1857" s="5">
        <v>46092</v>
      </c>
      <c r="C1857" t="s">
        <v>878</v>
      </c>
      <c r="D1857" s="11">
        <v>588</v>
      </c>
      <c r="E1857" s="18">
        <v>6</v>
      </c>
      <c r="F1857" s="24">
        <v>1.020408163265306E-2</v>
      </c>
    </row>
    <row r="1858" spans="2:6" x14ac:dyDescent="0.2">
      <c r="B1858" s="5">
        <v>46093</v>
      </c>
      <c r="C1858" t="s">
        <v>875</v>
      </c>
      <c r="D1858" s="11">
        <v>328</v>
      </c>
      <c r="E1858" s="18">
        <v>0</v>
      </c>
      <c r="F1858" s="24">
        <v>0</v>
      </c>
    </row>
    <row r="1859" spans="2:6" x14ac:dyDescent="0.2">
      <c r="B1859" s="5">
        <v>46093</v>
      </c>
      <c r="C1859" t="s">
        <v>84</v>
      </c>
      <c r="D1859" s="11">
        <v>78</v>
      </c>
      <c r="E1859" s="18">
        <v>1</v>
      </c>
      <c r="F1859" s="24">
        <v>1.282051282051282E-2</v>
      </c>
    </row>
    <row r="1860" spans="2:6" x14ac:dyDescent="0.2">
      <c r="B1860" s="5">
        <v>46093</v>
      </c>
      <c r="C1860" t="s">
        <v>86</v>
      </c>
      <c r="D1860" s="11">
        <v>47</v>
      </c>
      <c r="E1860" s="18">
        <v>0</v>
      </c>
      <c r="F1860" s="24">
        <v>0</v>
      </c>
    </row>
    <row r="1861" spans="2:6" x14ac:dyDescent="0.2">
      <c r="B1861" s="5">
        <v>46093</v>
      </c>
      <c r="C1861" t="s">
        <v>876</v>
      </c>
      <c r="D1861" s="11">
        <v>8</v>
      </c>
      <c r="E1861" s="18">
        <v>0</v>
      </c>
      <c r="F1861" s="24">
        <v>0</v>
      </c>
    </row>
    <row r="1862" spans="2:6" x14ac:dyDescent="0.2">
      <c r="B1862" s="5">
        <v>46093</v>
      </c>
      <c r="C1862" t="s">
        <v>877</v>
      </c>
      <c r="D1862" s="11">
        <v>94</v>
      </c>
      <c r="E1862" s="18">
        <v>5</v>
      </c>
      <c r="F1862" s="24">
        <v>5.3191489361702128E-2</v>
      </c>
    </row>
    <row r="1863" spans="2:6" x14ac:dyDescent="0.2">
      <c r="B1863" s="5">
        <v>46093</v>
      </c>
      <c r="C1863" t="s">
        <v>878</v>
      </c>
      <c r="D1863" s="11">
        <v>555</v>
      </c>
      <c r="E1863" s="18">
        <v>6</v>
      </c>
      <c r="F1863" s="24">
        <v>1.0810810810810811E-2</v>
      </c>
    </row>
    <row r="1864" spans="2:6" x14ac:dyDescent="0.2">
      <c r="B1864" s="5">
        <v>46094</v>
      </c>
      <c r="C1864" t="s">
        <v>875</v>
      </c>
      <c r="D1864" s="11">
        <v>181</v>
      </c>
      <c r="E1864" s="18">
        <v>0</v>
      </c>
      <c r="F1864" s="24">
        <v>0</v>
      </c>
    </row>
    <row r="1865" spans="2:6" x14ac:dyDescent="0.2">
      <c r="B1865" s="5">
        <v>46094</v>
      </c>
      <c r="C1865" t="s">
        <v>84</v>
      </c>
      <c r="D1865" s="11">
        <v>72</v>
      </c>
      <c r="E1865" s="18">
        <v>1</v>
      </c>
      <c r="F1865" s="24">
        <v>1.3888888888888888E-2</v>
      </c>
    </row>
    <row r="1866" spans="2:6" x14ac:dyDescent="0.2">
      <c r="B1866" s="5">
        <v>46094</v>
      </c>
      <c r="C1866" t="s">
        <v>86</v>
      </c>
      <c r="D1866" s="11">
        <v>39</v>
      </c>
      <c r="E1866" s="18">
        <v>1</v>
      </c>
      <c r="F1866" s="24">
        <v>2.564102564102564E-2</v>
      </c>
    </row>
    <row r="1867" spans="2:6" x14ac:dyDescent="0.2">
      <c r="B1867" s="5">
        <v>46094</v>
      </c>
      <c r="C1867" t="s">
        <v>876</v>
      </c>
      <c r="D1867" s="11">
        <v>4</v>
      </c>
      <c r="E1867" s="18">
        <v>0</v>
      </c>
      <c r="F1867" s="24">
        <v>0</v>
      </c>
    </row>
    <row r="1868" spans="2:6" x14ac:dyDescent="0.2">
      <c r="B1868" s="5">
        <v>46094</v>
      </c>
      <c r="C1868" t="s">
        <v>877</v>
      </c>
      <c r="D1868" s="11">
        <v>57</v>
      </c>
      <c r="E1868" s="18">
        <v>1</v>
      </c>
      <c r="F1868" s="24">
        <v>1.7543859649122806E-2</v>
      </c>
    </row>
    <row r="1869" spans="2:6" x14ac:dyDescent="0.2">
      <c r="B1869" s="5">
        <v>46094</v>
      </c>
      <c r="C1869" t="s">
        <v>878</v>
      </c>
      <c r="D1869" s="11">
        <v>353</v>
      </c>
      <c r="E1869" s="18">
        <v>3</v>
      </c>
      <c r="F1869" s="24">
        <v>8.4985835694051E-3</v>
      </c>
    </row>
    <row r="1870" spans="2:6" x14ac:dyDescent="0.2">
      <c r="B1870" s="5">
        <v>46095</v>
      </c>
      <c r="C1870" t="s">
        <v>875</v>
      </c>
      <c r="D1870" s="11">
        <v>453</v>
      </c>
      <c r="E1870" s="18">
        <v>2</v>
      </c>
      <c r="F1870" s="24">
        <v>4.4150110375275938E-3</v>
      </c>
    </row>
    <row r="1871" spans="2:6" x14ac:dyDescent="0.2">
      <c r="B1871" s="5">
        <v>46095</v>
      </c>
      <c r="C1871" t="s">
        <v>84</v>
      </c>
      <c r="D1871" s="11">
        <v>86</v>
      </c>
      <c r="E1871" s="18">
        <v>0</v>
      </c>
      <c r="F1871" s="24">
        <v>0</v>
      </c>
    </row>
    <row r="1872" spans="2:6" x14ac:dyDescent="0.2">
      <c r="B1872" s="5">
        <v>46095</v>
      </c>
      <c r="C1872" t="s">
        <v>86</v>
      </c>
      <c r="D1872" s="11">
        <v>43</v>
      </c>
      <c r="E1872" s="18">
        <v>1</v>
      </c>
      <c r="F1872" s="24">
        <v>2.3255813953488372E-2</v>
      </c>
    </row>
    <row r="1873" spans="2:6" x14ac:dyDescent="0.2">
      <c r="B1873" s="5">
        <v>46095</v>
      </c>
      <c r="C1873" t="s">
        <v>876</v>
      </c>
      <c r="D1873" s="11">
        <v>4</v>
      </c>
      <c r="E1873" s="18">
        <v>0</v>
      </c>
      <c r="F1873" s="24">
        <v>0</v>
      </c>
    </row>
    <row r="1874" spans="2:6" x14ac:dyDescent="0.2">
      <c r="B1874" s="5">
        <v>46095</v>
      </c>
      <c r="C1874" t="s">
        <v>877</v>
      </c>
      <c r="D1874" s="11">
        <v>53</v>
      </c>
      <c r="E1874" s="18">
        <v>2</v>
      </c>
      <c r="F1874" s="24">
        <v>3.7735849056603772E-2</v>
      </c>
    </row>
    <row r="1875" spans="2:6" x14ac:dyDescent="0.2">
      <c r="B1875" s="5">
        <v>46095</v>
      </c>
      <c r="C1875" t="s">
        <v>878</v>
      </c>
      <c r="D1875" s="11">
        <v>639</v>
      </c>
      <c r="E1875" s="18">
        <v>5</v>
      </c>
      <c r="F1875" s="24">
        <v>7.8247261345852897E-3</v>
      </c>
    </row>
    <row r="1876" spans="2:6" x14ac:dyDescent="0.2">
      <c r="B1876" s="5">
        <v>46096</v>
      </c>
      <c r="C1876" t="s">
        <v>875</v>
      </c>
      <c r="D1876" s="11">
        <v>125</v>
      </c>
      <c r="E1876" s="18">
        <v>0</v>
      </c>
      <c r="F1876" s="24">
        <v>0</v>
      </c>
    </row>
    <row r="1877" spans="2:6" x14ac:dyDescent="0.2">
      <c r="B1877" s="5">
        <v>46096</v>
      </c>
      <c r="C1877" t="s">
        <v>84</v>
      </c>
      <c r="D1877" s="11">
        <v>123</v>
      </c>
      <c r="E1877" s="18">
        <v>0</v>
      </c>
      <c r="F1877" s="24">
        <v>0</v>
      </c>
    </row>
    <row r="1878" spans="2:6" x14ac:dyDescent="0.2">
      <c r="B1878" s="5">
        <v>46096</v>
      </c>
      <c r="C1878" t="s">
        <v>86</v>
      </c>
      <c r="D1878" s="11">
        <v>26</v>
      </c>
      <c r="E1878" s="18">
        <v>1</v>
      </c>
      <c r="F1878" s="24">
        <v>3.8461538461538464E-2</v>
      </c>
    </row>
    <row r="1879" spans="2:6" x14ac:dyDescent="0.2">
      <c r="B1879" s="5">
        <v>46096</v>
      </c>
      <c r="C1879" t="s">
        <v>876</v>
      </c>
      <c r="D1879" s="11">
        <v>2</v>
      </c>
      <c r="E1879" s="18">
        <v>0</v>
      </c>
      <c r="F1879" s="24">
        <v>0</v>
      </c>
    </row>
    <row r="1880" spans="2:6" x14ac:dyDescent="0.2">
      <c r="B1880" s="5">
        <v>46096</v>
      </c>
      <c r="C1880" t="s">
        <v>877</v>
      </c>
      <c r="D1880" s="11">
        <v>49</v>
      </c>
      <c r="E1880" s="18">
        <v>2</v>
      </c>
      <c r="F1880" s="24">
        <v>4.0816326530612242E-2</v>
      </c>
    </row>
    <row r="1881" spans="2:6" x14ac:dyDescent="0.2">
      <c r="B1881" s="5">
        <v>46096</v>
      </c>
      <c r="C1881" t="s">
        <v>878</v>
      </c>
      <c r="D1881" s="11">
        <v>325</v>
      </c>
      <c r="E1881" s="18">
        <v>3</v>
      </c>
      <c r="F1881" s="24">
        <v>9.2307692307692316E-3</v>
      </c>
    </row>
    <row r="1882" spans="2:6" x14ac:dyDescent="0.2">
      <c r="B1882" s="5">
        <v>46097</v>
      </c>
      <c r="C1882" t="s">
        <v>875</v>
      </c>
      <c r="D1882" s="11">
        <v>318</v>
      </c>
      <c r="E1882" s="18">
        <v>0</v>
      </c>
      <c r="F1882" s="24">
        <v>0</v>
      </c>
    </row>
    <row r="1883" spans="2:6" x14ac:dyDescent="0.2">
      <c r="B1883" s="5">
        <v>46097</v>
      </c>
      <c r="C1883" t="s">
        <v>84</v>
      </c>
      <c r="D1883" s="11">
        <v>90</v>
      </c>
      <c r="E1883" s="18">
        <v>1</v>
      </c>
      <c r="F1883" s="24">
        <v>1.1111111111111112E-2</v>
      </c>
    </row>
    <row r="1884" spans="2:6" x14ac:dyDescent="0.2">
      <c r="B1884" s="5">
        <v>46097</v>
      </c>
      <c r="C1884" t="s">
        <v>86</v>
      </c>
      <c r="D1884" s="11">
        <v>42</v>
      </c>
      <c r="E1884" s="18">
        <v>3</v>
      </c>
      <c r="F1884" s="24">
        <v>7.1428571428571425E-2</v>
      </c>
    </row>
    <row r="1885" spans="2:6" x14ac:dyDescent="0.2">
      <c r="B1885" s="5">
        <v>46097</v>
      </c>
      <c r="C1885" t="s">
        <v>876</v>
      </c>
      <c r="D1885" s="11">
        <v>3</v>
      </c>
      <c r="E1885" s="18">
        <v>0</v>
      </c>
      <c r="F1885" s="24">
        <v>0</v>
      </c>
    </row>
    <row r="1886" spans="2:6" x14ac:dyDescent="0.2">
      <c r="B1886" s="5">
        <v>46097</v>
      </c>
      <c r="C1886" t="s">
        <v>877</v>
      </c>
      <c r="D1886" s="11">
        <v>65</v>
      </c>
      <c r="E1886" s="18">
        <v>0</v>
      </c>
      <c r="F1886" s="24">
        <v>0</v>
      </c>
    </row>
    <row r="1887" spans="2:6" x14ac:dyDescent="0.2">
      <c r="B1887" s="5">
        <v>46097</v>
      </c>
      <c r="C1887" t="s">
        <v>878</v>
      </c>
      <c r="D1887" s="11">
        <v>518</v>
      </c>
      <c r="E1887" s="18">
        <v>4</v>
      </c>
      <c r="F1887" s="24">
        <v>7.7220077220077222E-3</v>
      </c>
    </row>
    <row r="1888" spans="2:6" x14ac:dyDescent="0.2">
      <c r="B1888" s="5">
        <v>46098</v>
      </c>
      <c r="C1888" t="s">
        <v>875</v>
      </c>
      <c r="D1888" s="11">
        <v>111</v>
      </c>
      <c r="E1888" s="18">
        <v>0</v>
      </c>
      <c r="F1888" s="24">
        <v>0</v>
      </c>
    </row>
    <row r="1889" spans="2:6" x14ac:dyDescent="0.2">
      <c r="B1889" s="5">
        <v>46098</v>
      </c>
      <c r="C1889" t="s">
        <v>84</v>
      </c>
      <c r="D1889" s="11">
        <v>80</v>
      </c>
      <c r="E1889" s="18">
        <v>0</v>
      </c>
      <c r="F1889" s="24">
        <v>0</v>
      </c>
    </row>
    <row r="1890" spans="2:6" x14ac:dyDescent="0.2">
      <c r="B1890" s="5">
        <v>46098</v>
      </c>
      <c r="C1890" t="s">
        <v>86</v>
      </c>
      <c r="D1890" s="11">
        <v>61</v>
      </c>
      <c r="E1890" s="18">
        <v>5</v>
      </c>
      <c r="F1890" s="24">
        <v>8.1967213114754092E-2</v>
      </c>
    </row>
    <row r="1891" spans="2:6" x14ac:dyDescent="0.2">
      <c r="B1891" s="5">
        <v>46098</v>
      </c>
      <c r="C1891" t="s">
        <v>876</v>
      </c>
      <c r="D1891" s="11">
        <v>7</v>
      </c>
      <c r="E1891" s="18">
        <v>0</v>
      </c>
      <c r="F1891" s="24">
        <v>0</v>
      </c>
    </row>
    <row r="1892" spans="2:6" x14ac:dyDescent="0.2">
      <c r="B1892" s="5">
        <v>46098</v>
      </c>
      <c r="C1892" t="s">
        <v>877</v>
      </c>
      <c r="D1892" s="11">
        <v>63</v>
      </c>
      <c r="E1892" s="18">
        <v>4</v>
      </c>
      <c r="F1892" s="24">
        <v>6.3492063492063489E-2</v>
      </c>
    </row>
    <row r="1893" spans="2:6" x14ac:dyDescent="0.2">
      <c r="B1893" s="5">
        <v>46098</v>
      </c>
      <c r="C1893" t="s">
        <v>878</v>
      </c>
      <c r="D1893" s="11">
        <v>322</v>
      </c>
      <c r="E1893" s="18">
        <v>9</v>
      </c>
      <c r="F1893" s="24">
        <v>2.7950310559006212E-2</v>
      </c>
    </row>
    <row r="1894" spans="2:6" x14ac:dyDescent="0.2">
      <c r="B1894" s="5">
        <v>46099</v>
      </c>
      <c r="C1894" t="s">
        <v>875</v>
      </c>
      <c r="D1894" s="11">
        <v>423</v>
      </c>
      <c r="E1894" s="18">
        <v>1</v>
      </c>
      <c r="F1894" s="24">
        <v>2.3640661938534278E-3</v>
      </c>
    </row>
    <row r="1895" spans="2:6" x14ac:dyDescent="0.2">
      <c r="B1895" s="5">
        <v>46099</v>
      </c>
      <c r="C1895" t="s">
        <v>84</v>
      </c>
      <c r="D1895" s="11">
        <v>82</v>
      </c>
      <c r="E1895" s="18">
        <v>0</v>
      </c>
      <c r="F1895" s="24">
        <v>0</v>
      </c>
    </row>
    <row r="1896" spans="2:6" x14ac:dyDescent="0.2">
      <c r="B1896" s="5">
        <v>46099</v>
      </c>
      <c r="C1896" t="s">
        <v>86</v>
      </c>
      <c r="D1896" s="11">
        <v>55</v>
      </c>
      <c r="E1896" s="18">
        <v>0</v>
      </c>
      <c r="F1896" s="24">
        <v>0</v>
      </c>
    </row>
    <row r="1897" spans="2:6" x14ac:dyDescent="0.2">
      <c r="B1897" s="5">
        <v>46099</v>
      </c>
      <c r="C1897" t="s">
        <v>876</v>
      </c>
      <c r="D1897" s="11">
        <v>4</v>
      </c>
      <c r="E1897" s="18">
        <v>0</v>
      </c>
      <c r="F1897" s="24">
        <v>0</v>
      </c>
    </row>
    <row r="1898" spans="2:6" x14ac:dyDescent="0.2">
      <c r="B1898" s="5">
        <v>46099</v>
      </c>
      <c r="C1898" t="s">
        <v>877</v>
      </c>
      <c r="D1898" s="11">
        <v>113</v>
      </c>
      <c r="E1898" s="18">
        <v>1</v>
      </c>
      <c r="F1898" s="24">
        <v>8.8495575221238937E-3</v>
      </c>
    </row>
    <row r="1899" spans="2:6" x14ac:dyDescent="0.2">
      <c r="B1899" s="5">
        <v>46099</v>
      </c>
      <c r="C1899" t="s">
        <v>878</v>
      </c>
      <c r="D1899" s="11">
        <v>677</v>
      </c>
      <c r="E1899" s="18">
        <v>2</v>
      </c>
      <c r="F1899" s="24">
        <v>2.9542097488921715E-3</v>
      </c>
    </row>
    <row r="1900" spans="2:6" x14ac:dyDescent="0.2">
      <c r="B1900" s="5">
        <v>46100</v>
      </c>
      <c r="C1900" t="s">
        <v>875</v>
      </c>
      <c r="D1900" s="11">
        <v>318</v>
      </c>
      <c r="E1900" s="18">
        <v>0</v>
      </c>
      <c r="F1900" s="24">
        <v>0</v>
      </c>
    </row>
    <row r="1901" spans="2:6" x14ac:dyDescent="0.2">
      <c r="B1901" s="5">
        <v>46100</v>
      </c>
      <c r="C1901" t="s">
        <v>84</v>
      </c>
      <c r="D1901" s="11">
        <v>70</v>
      </c>
      <c r="E1901" s="18">
        <v>0</v>
      </c>
      <c r="F1901" s="24">
        <v>0</v>
      </c>
    </row>
    <row r="1902" spans="2:6" x14ac:dyDescent="0.2">
      <c r="B1902" s="5">
        <v>46100</v>
      </c>
      <c r="C1902" t="s">
        <v>86</v>
      </c>
      <c r="D1902" s="11">
        <v>40</v>
      </c>
      <c r="E1902" s="18">
        <v>0</v>
      </c>
      <c r="F1902" s="24">
        <v>0</v>
      </c>
    </row>
    <row r="1903" spans="2:6" x14ac:dyDescent="0.2">
      <c r="B1903" s="5">
        <v>46100</v>
      </c>
      <c r="C1903" t="s">
        <v>876</v>
      </c>
      <c r="D1903" s="11">
        <v>5</v>
      </c>
      <c r="E1903" s="18">
        <v>0</v>
      </c>
      <c r="F1903" s="24">
        <v>0</v>
      </c>
    </row>
    <row r="1904" spans="2:6" x14ac:dyDescent="0.2">
      <c r="B1904" s="5">
        <v>46100</v>
      </c>
      <c r="C1904" t="s">
        <v>877</v>
      </c>
      <c r="D1904" s="11">
        <v>79</v>
      </c>
      <c r="E1904" s="18">
        <v>4</v>
      </c>
      <c r="F1904" s="24">
        <v>5.0632911392405063E-2</v>
      </c>
    </row>
    <row r="1905" spans="2:6" x14ac:dyDescent="0.2">
      <c r="B1905" s="5">
        <v>46100</v>
      </c>
      <c r="C1905" t="s">
        <v>878</v>
      </c>
      <c r="D1905" s="11">
        <v>512</v>
      </c>
      <c r="E1905" s="18">
        <v>4</v>
      </c>
      <c r="F1905" s="24">
        <v>7.8125E-3</v>
      </c>
    </row>
    <row r="1906" spans="2:6" x14ac:dyDescent="0.2">
      <c r="B1906" s="5">
        <v>46101</v>
      </c>
      <c r="C1906" t="s">
        <v>875</v>
      </c>
      <c r="D1906" s="11">
        <v>358</v>
      </c>
      <c r="E1906" s="18">
        <v>0</v>
      </c>
      <c r="F1906" s="24">
        <v>0</v>
      </c>
    </row>
    <row r="1907" spans="2:6" x14ac:dyDescent="0.2">
      <c r="B1907" s="5">
        <v>46101</v>
      </c>
      <c r="C1907" t="s">
        <v>84</v>
      </c>
      <c r="D1907" s="11">
        <v>74</v>
      </c>
      <c r="E1907" s="18">
        <v>1</v>
      </c>
      <c r="F1907" s="24">
        <v>1.3513513513513514E-2</v>
      </c>
    </row>
    <row r="1908" spans="2:6" x14ac:dyDescent="0.2">
      <c r="B1908" s="5">
        <v>46101</v>
      </c>
      <c r="C1908" t="s">
        <v>86</v>
      </c>
      <c r="D1908" s="11">
        <v>32</v>
      </c>
      <c r="E1908" s="18">
        <v>0</v>
      </c>
      <c r="F1908" s="24">
        <v>0</v>
      </c>
    </row>
    <row r="1909" spans="2:6" x14ac:dyDescent="0.2">
      <c r="B1909" s="5">
        <v>46101</v>
      </c>
      <c r="C1909" t="s">
        <v>876</v>
      </c>
      <c r="D1909" s="11">
        <v>6</v>
      </c>
      <c r="E1909" s="18">
        <v>0</v>
      </c>
      <c r="F1909" s="24">
        <v>0</v>
      </c>
    </row>
    <row r="1910" spans="2:6" x14ac:dyDescent="0.2">
      <c r="B1910" s="5">
        <v>46101</v>
      </c>
      <c r="C1910" t="s">
        <v>877</v>
      </c>
      <c r="D1910" s="11">
        <v>65</v>
      </c>
      <c r="E1910" s="18">
        <v>2</v>
      </c>
      <c r="F1910" s="24">
        <v>3.0769230769230771E-2</v>
      </c>
    </row>
    <row r="1911" spans="2:6" x14ac:dyDescent="0.2">
      <c r="B1911" s="5">
        <v>46101</v>
      </c>
      <c r="C1911" t="s">
        <v>878</v>
      </c>
      <c r="D1911" s="11">
        <v>535</v>
      </c>
      <c r="E1911" s="18">
        <v>3</v>
      </c>
      <c r="F1911" s="24">
        <v>5.6074766355140183E-3</v>
      </c>
    </row>
    <row r="1912" spans="2:6" x14ac:dyDescent="0.2">
      <c r="B1912" s="5">
        <v>46102</v>
      </c>
      <c r="C1912" t="s">
        <v>875</v>
      </c>
      <c r="D1912" s="11">
        <v>235</v>
      </c>
      <c r="E1912" s="18">
        <v>0</v>
      </c>
      <c r="F1912" s="24">
        <v>0</v>
      </c>
    </row>
    <row r="1913" spans="2:6" x14ac:dyDescent="0.2">
      <c r="B1913" s="5">
        <v>46102</v>
      </c>
      <c r="C1913" t="s">
        <v>84</v>
      </c>
      <c r="D1913" s="11">
        <v>82</v>
      </c>
      <c r="E1913" s="18">
        <v>1</v>
      </c>
      <c r="F1913" s="24">
        <v>1.2195121951219513E-2</v>
      </c>
    </row>
    <row r="1914" spans="2:6" x14ac:dyDescent="0.2">
      <c r="B1914" s="5">
        <v>46102</v>
      </c>
      <c r="C1914" t="s">
        <v>86</v>
      </c>
      <c r="D1914" s="11">
        <v>35</v>
      </c>
      <c r="E1914" s="18">
        <v>0</v>
      </c>
      <c r="F1914" s="24">
        <v>0</v>
      </c>
    </row>
    <row r="1915" spans="2:6" x14ac:dyDescent="0.2">
      <c r="B1915" s="5">
        <v>46102</v>
      </c>
      <c r="C1915" t="s">
        <v>876</v>
      </c>
      <c r="D1915" s="11">
        <v>10</v>
      </c>
      <c r="E1915" s="18">
        <v>0</v>
      </c>
      <c r="F1915" s="24">
        <v>0</v>
      </c>
    </row>
    <row r="1916" spans="2:6" x14ac:dyDescent="0.2">
      <c r="B1916" s="5">
        <v>46102</v>
      </c>
      <c r="C1916" t="s">
        <v>877</v>
      </c>
      <c r="D1916" s="11">
        <v>39</v>
      </c>
      <c r="E1916" s="18">
        <v>0</v>
      </c>
      <c r="F1916" s="24">
        <v>0</v>
      </c>
    </row>
    <row r="1917" spans="2:6" x14ac:dyDescent="0.2">
      <c r="B1917" s="5">
        <v>46102</v>
      </c>
      <c r="C1917" t="s">
        <v>878</v>
      </c>
      <c r="D1917" s="11">
        <v>401</v>
      </c>
      <c r="E1917" s="18">
        <v>1</v>
      </c>
      <c r="F1917" s="24">
        <v>2.4937655860349127E-3</v>
      </c>
    </row>
    <row r="1918" spans="2:6" x14ac:dyDescent="0.2">
      <c r="B1918" s="5">
        <v>46103</v>
      </c>
      <c r="C1918" t="s">
        <v>875</v>
      </c>
      <c r="D1918" s="11">
        <v>313</v>
      </c>
      <c r="E1918" s="18">
        <v>0</v>
      </c>
      <c r="F1918" s="24">
        <v>0</v>
      </c>
    </row>
    <row r="1919" spans="2:6" x14ac:dyDescent="0.2">
      <c r="B1919" s="5">
        <v>46103</v>
      </c>
      <c r="C1919" t="s">
        <v>84</v>
      </c>
      <c r="D1919" s="11">
        <v>122</v>
      </c>
      <c r="E1919" s="18">
        <v>0</v>
      </c>
      <c r="F1919" s="24">
        <v>0</v>
      </c>
    </row>
    <row r="1920" spans="2:6" x14ac:dyDescent="0.2">
      <c r="B1920" s="5">
        <v>46103</v>
      </c>
      <c r="C1920" t="s">
        <v>86</v>
      </c>
      <c r="D1920" s="11">
        <v>31</v>
      </c>
      <c r="E1920" s="18">
        <v>0</v>
      </c>
      <c r="F1920" s="24">
        <v>0</v>
      </c>
    </row>
    <row r="1921" spans="2:6" x14ac:dyDescent="0.2">
      <c r="B1921" s="5">
        <v>46103</v>
      </c>
      <c r="C1921" t="s">
        <v>876</v>
      </c>
      <c r="D1921" s="11">
        <v>5</v>
      </c>
      <c r="E1921" s="18">
        <v>0</v>
      </c>
      <c r="F1921" s="24">
        <v>0</v>
      </c>
    </row>
    <row r="1922" spans="2:6" x14ac:dyDescent="0.2">
      <c r="B1922" s="5">
        <v>46103</v>
      </c>
      <c r="C1922" t="s">
        <v>877</v>
      </c>
      <c r="D1922" s="11">
        <v>61</v>
      </c>
      <c r="E1922" s="18">
        <v>1</v>
      </c>
      <c r="F1922" s="24">
        <v>1.6393442622950821E-2</v>
      </c>
    </row>
    <row r="1923" spans="2:6" x14ac:dyDescent="0.2">
      <c r="B1923" s="5">
        <v>46103</v>
      </c>
      <c r="C1923" t="s">
        <v>878</v>
      </c>
      <c r="D1923" s="11">
        <v>532</v>
      </c>
      <c r="E1923" s="18">
        <v>1</v>
      </c>
      <c r="F1923" s="24">
        <v>1.8796992481203006E-3</v>
      </c>
    </row>
    <row r="1924" spans="2:6" x14ac:dyDescent="0.2">
      <c r="B1924" s="5">
        <v>46104</v>
      </c>
      <c r="C1924" t="s">
        <v>875</v>
      </c>
      <c r="D1924" s="11">
        <v>256</v>
      </c>
      <c r="E1924" s="18">
        <v>0</v>
      </c>
      <c r="F1924" s="24">
        <v>0</v>
      </c>
    </row>
    <row r="1925" spans="2:6" x14ac:dyDescent="0.2">
      <c r="B1925" s="5">
        <v>46104</v>
      </c>
      <c r="C1925" t="s">
        <v>84</v>
      </c>
      <c r="D1925" s="11">
        <v>94</v>
      </c>
      <c r="E1925" s="18">
        <v>0</v>
      </c>
      <c r="F1925" s="24">
        <v>0</v>
      </c>
    </row>
    <row r="1926" spans="2:6" x14ac:dyDescent="0.2">
      <c r="B1926" s="5">
        <v>46104</v>
      </c>
      <c r="C1926" t="s">
        <v>86</v>
      </c>
      <c r="D1926" s="11">
        <v>19</v>
      </c>
      <c r="E1926" s="18">
        <v>0</v>
      </c>
      <c r="F1926" s="24">
        <v>0</v>
      </c>
    </row>
    <row r="1927" spans="2:6" x14ac:dyDescent="0.2">
      <c r="B1927" s="5">
        <v>46104</v>
      </c>
      <c r="C1927" t="s">
        <v>876</v>
      </c>
      <c r="D1927" s="11">
        <v>2</v>
      </c>
      <c r="E1927" s="18">
        <v>0</v>
      </c>
      <c r="F1927" s="24">
        <v>0</v>
      </c>
    </row>
    <row r="1928" spans="2:6" x14ac:dyDescent="0.2">
      <c r="B1928" s="5">
        <v>46104</v>
      </c>
      <c r="C1928" t="s">
        <v>877</v>
      </c>
      <c r="D1928" s="11">
        <v>59</v>
      </c>
      <c r="E1928" s="18">
        <v>1</v>
      </c>
      <c r="F1928" s="24">
        <v>1.6949152542372881E-2</v>
      </c>
    </row>
    <row r="1929" spans="2:6" x14ac:dyDescent="0.2">
      <c r="B1929" s="5">
        <v>46104</v>
      </c>
      <c r="C1929" t="s">
        <v>878</v>
      </c>
      <c r="D1929" s="11">
        <v>430</v>
      </c>
      <c r="E1929" s="18">
        <v>1</v>
      </c>
      <c r="F1929" s="24">
        <v>2.3255813953488372E-3</v>
      </c>
    </row>
    <row r="1930" spans="2:6" x14ac:dyDescent="0.2">
      <c r="B1930" s="5">
        <v>46105</v>
      </c>
      <c r="C1930" t="s">
        <v>875</v>
      </c>
      <c r="D1930" s="11">
        <v>476</v>
      </c>
      <c r="E1930" s="18">
        <v>0</v>
      </c>
      <c r="F1930" s="24">
        <v>0</v>
      </c>
    </row>
    <row r="1931" spans="2:6" x14ac:dyDescent="0.2">
      <c r="B1931" s="5">
        <v>46105</v>
      </c>
      <c r="C1931" t="s">
        <v>84</v>
      </c>
      <c r="D1931" s="11">
        <v>72</v>
      </c>
      <c r="E1931" s="18">
        <v>0</v>
      </c>
      <c r="F1931" s="24">
        <v>0</v>
      </c>
    </row>
    <row r="1932" spans="2:6" x14ac:dyDescent="0.2">
      <c r="B1932" s="5">
        <v>46105</v>
      </c>
      <c r="C1932" t="s">
        <v>86</v>
      </c>
      <c r="D1932" s="11">
        <v>36</v>
      </c>
      <c r="E1932" s="18">
        <v>1</v>
      </c>
      <c r="F1932" s="24">
        <v>2.7777777777777776E-2</v>
      </c>
    </row>
    <row r="1933" spans="2:6" x14ac:dyDescent="0.2">
      <c r="B1933" s="5">
        <v>46105</v>
      </c>
      <c r="C1933" t="s">
        <v>876</v>
      </c>
      <c r="D1933" s="11">
        <v>9</v>
      </c>
      <c r="E1933" s="18">
        <v>0</v>
      </c>
      <c r="F1933" s="24">
        <v>0</v>
      </c>
    </row>
    <row r="1934" spans="2:6" x14ac:dyDescent="0.2">
      <c r="B1934" s="5">
        <v>46105</v>
      </c>
      <c r="C1934" t="s">
        <v>877</v>
      </c>
      <c r="D1934" s="11">
        <v>70</v>
      </c>
      <c r="E1934" s="18">
        <v>2</v>
      </c>
      <c r="F1934" s="24">
        <v>2.8571428571428571E-2</v>
      </c>
    </row>
    <row r="1935" spans="2:6" x14ac:dyDescent="0.2">
      <c r="B1935" s="5">
        <v>46105</v>
      </c>
      <c r="C1935" t="s">
        <v>878</v>
      </c>
      <c r="D1935" s="11">
        <v>663</v>
      </c>
      <c r="E1935" s="18">
        <v>3</v>
      </c>
      <c r="F1935" s="24">
        <v>4.5248868778280547E-3</v>
      </c>
    </row>
    <row r="1936" spans="2:6" x14ac:dyDescent="0.2">
      <c r="B1936" s="5">
        <v>46106</v>
      </c>
      <c r="C1936" t="s">
        <v>875</v>
      </c>
      <c r="D1936" s="11">
        <v>230</v>
      </c>
      <c r="E1936" s="18">
        <v>0</v>
      </c>
      <c r="F1936" s="24">
        <v>0</v>
      </c>
    </row>
    <row r="1937" spans="2:6" x14ac:dyDescent="0.2">
      <c r="B1937" s="5">
        <v>46106</v>
      </c>
      <c r="C1937" t="s">
        <v>84</v>
      </c>
      <c r="D1937" s="11">
        <v>90</v>
      </c>
      <c r="E1937" s="18">
        <v>2</v>
      </c>
      <c r="F1937" s="24">
        <v>2.2222222222222223E-2</v>
      </c>
    </row>
    <row r="1938" spans="2:6" x14ac:dyDescent="0.2">
      <c r="B1938" s="5">
        <v>46106</v>
      </c>
      <c r="C1938" t="s">
        <v>86</v>
      </c>
      <c r="D1938" s="11">
        <v>40</v>
      </c>
      <c r="E1938" s="18">
        <v>1</v>
      </c>
      <c r="F1938" s="24">
        <v>2.5000000000000001E-2</v>
      </c>
    </row>
    <row r="1939" spans="2:6" x14ac:dyDescent="0.2">
      <c r="B1939" s="5">
        <v>46106</v>
      </c>
      <c r="C1939" t="s">
        <v>876</v>
      </c>
      <c r="D1939" s="11">
        <v>6</v>
      </c>
      <c r="E1939" s="18">
        <v>0</v>
      </c>
      <c r="F1939" s="24">
        <v>0</v>
      </c>
    </row>
    <row r="1940" spans="2:6" x14ac:dyDescent="0.2">
      <c r="B1940" s="5">
        <v>46106</v>
      </c>
      <c r="C1940" t="s">
        <v>877</v>
      </c>
      <c r="D1940" s="11">
        <v>80</v>
      </c>
      <c r="E1940" s="18">
        <v>1</v>
      </c>
      <c r="F1940" s="24">
        <v>1.2500000000000001E-2</v>
      </c>
    </row>
    <row r="1941" spans="2:6" x14ac:dyDescent="0.2">
      <c r="B1941" s="5">
        <v>46106</v>
      </c>
      <c r="C1941" t="s">
        <v>878</v>
      </c>
      <c r="D1941" s="11">
        <v>446</v>
      </c>
      <c r="E1941" s="18">
        <v>4</v>
      </c>
      <c r="F1941" s="24">
        <v>8.9686098654708519E-3</v>
      </c>
    </row>
    <row r="1942" spans="2:6" x14ac:dyDescent="0.2">
      <c r="B1942" s="5">
        <v>46107</v>
      </c>
      <c r="C1942" t="s">
        <v>875</v>
      </c>
      <c r="D1942" s="11">
        <v>563</v>
      </c>
      <c r="E1942" s="18">
        <v>1</v>
      </c>
      <c r="F1942" s="24">
        <v>1.7761989342806395E-3</v>
      </c>
    </row>
    <row r="1943" spans="2:6" x14ac:dyDescent="0.2">
      <c r="B1943" s="5">
        <v>46107</v>
      </c>
      <c r="C1943" t="s">
        <v>84</v>
      </c>
      <c r="D1943" s="11">
        <v>74</v>
      </c>
      <c r="E1943" s="18">
        <v>0</v>
      </c>
      <c r="F1943" s="24">
        <v>0</v>
      </c>
    </row>
    <row r="1944" spans="2:6" x14ac:dyDescent="0.2">
      <c r="B1944" s="5">
        <v>46107</v>
      </c>
      <c r="C1944" t="s">
        <v>86</v>
      </c>
      <c r="D1944" s="11">
        <v>29</v>
      </c>
      <c r="E1944" s="18">
        <v>0</v>
      </c>
      <c r="F1944" s="24">
        <v>0</v>
      </c>
    </row>
    <row r="1945" spans="2:6" x14ac:dyDescent="0.2">
      <c r="B1945" s="5">
        <v>46107</v>
      </c>
      <c r="C1945" t="s">
        <v>876</v>
      </c>
      <c r="D1945" s="11">
        <v>20</v>
      </c>
      <c r="E1945" s="18">
        <v>0</v>
      </c>
      <c r="F1945" s="24">
        <v>0</v>
      </c>
    </row>
    <row r="1946" spans="2:6" x14ac:dyDescent="0.2">
      <c r="B1946" s="5">
        <v>46107</v>
      </c>
      <c r="C1946" t="s">
        <v>877</v>
      </c>
      <c r="D1946" s="11">
        <v>84</v>
      </c>
      <c r="E1946" s="18">
        <v>0</v>
      </c>
      <c r="F1946" s="24">
        <v>0</v>
      </c>
    </row>
    <row r="1947" spans="2:6" x14ac:dyDescent="0.2">
      <c r="B1947" s="5">
        <v>46107</v>
      </c>
      <c r="C1947" t="s">
        <v>878</v>
      </c>
      <c r="D1947" s="11">
        <v>770</v>
      </c>
      <c r="E1947" s="18">
        <v>1</v>
      </c>
      <c r="F1947" s="24">
        <v>1.2987012987012987E-3</v>
      </c>
    </row>
    <row r="1948" spans="2:6" x14ac:dyDescent="0.2">
      <c r="B1948" s="5">
        <v>46108</v>
      </c>
      <c r="C1948" t="s">
        <v>875</v>
      </c>
      <c r="D1948" s="11">
        <v>321</v>
      </c>
      <c r="E1948" s="18">
        <v>0</v>
      </c>
      <c r="F1948" s="24">
        <v>0</v>
      </c>
    </row>
    <row r="1949" spans="2:6" x14ac:dyDescent="0.2">
      <c r="B1949" s="5">
        <v>46108</v>
      </c>
      <c r="C1949" t="s">
        <v>84</v>
      </c>
      <c r="D1949" s="11">
        <v>87</v>
      </c>
      <c r="E1949" s="18">
        <v>0</v>
      </c>
      <c r="F1949" s="24">
        <v>0</v>
      </c>
    </row>
    <row r="1950" spans="2:6" x14ac:dyDescent="0.2">
      <c r="B1950" s="5">
        <v>46108</v>
      </c>
      <c r="C1950" t="s">
        <v>86</v>
      </c>
      <c r="D1950" s="11">
        <v>30</v>
      </c>
      <c r="E1950" s="18">
        <v>0</v>
      </c>
      <c r="F1950" s="24">
        <v>0</v>
      </c>
    </row>
    <row r="1951" spans="2:6" x14ac:dyDescent="0.2">
      <c r="B1951" s="5">
        <v>46108</v>
      </c>
      <c r="C1951" t="s">
        <v>876</v>
      </c>
      <c r="D1951" s="11">
        <v>6</v>
      </c>
      <c r="E1951" s="18">
        <v>0</v>
      </c>
      <c r="F1951" s="24">
        <v>0</v>
      </c>
    </row>
    <row r="1952" spans="2:6" x14ac:dyDescent="0.2">
      <c r="B1952" s="5">
        <v>46108</v>
      </c>
      <c r="C1952" t="s">
        <v>877</v>
      </c>
      <c r="D1952" s="11">
        <v>66</v>
      </c>
      <c r="E1952" s="18">
        <v>5</v>
      </c>
      <c r="F1952" s="24">
        <v>7.575757575757576E-2</v>
      </c>
    </row>
    <row r="1953" spans="2:6" x14ac:dyDescent="0.2">
      <c r="B1953" s="5">
        <v>46108</v>
      </c>
      <c r="C1953" t="s">
        <v>878</v>
      </c>
      <c r="D1953" s="11">
        <v>510</v>
      </c>
      <c r="E1953" s="18">
        <v>5</v>
      </c>
      <c r="F1953" s="24">
        <v>9.8039215686274508E-3</v>
      </c>
    </row>
    <row r="1954" spans="2:6" x14ac:dyDescent="0.2">
      <c r="B1954" s="5">
        <v>46109</v>
      </c>
      <c r="C1954" t="s">
        <v>875</v>
      </c>
      <c r="D1954" s="11">
        <v>397</v>
      </c>
      <c r="E1954" s="18">
        <v>0</v>
      </c>
      <c r="F1954" s="24">
        <v>0</v>
      </c>
    </row>
    <row r="1955" spans="2:6" x14ac:dyDescent="0.2">
      <c r="B1955" s="5">
        <v>46109</v>
      </c>
      <c r="C1955" t="s">
        <v>84</v>
      </c>
      <c r="D1955" s="11">
        <v>87</v>
      </c>
      <c r="E1955" s="18">
        <v>0</v>
      </c>
      <c r="F1955" s="24">
        <v>0</v>
      </c>
    </row>
    <row r="1956" spans="2:6" x14ac:dyDescent="0.2">
      <c r="B1956" s="5">
        <v>46109</v>
      </c>
      <c r="C1956" t="s">
        <v>86</v>
      </c>
      <c r="D1956" s="11">
        <v>27</v>
      </c>
      <c r="E1956" s="18">
        <v>0</v>
      </c>
      <c r="F1956" s="24">
        <v>0</v>
      </c>
    </row>
    <row r="1957" spans="2:6" x14ac:dyDescent="0.2">
      <c r="B1957" s="5">
        <v>46109</v>
      </c>
      <c r="C1957" t="s">
        <v>876</v>
      </c>
      <c r="D1957" s="11">
        <v>21</v>
      </c>
      <c r="E1957" s="18">
        <v>0</v>
      </c>
      <c r="F1957" s="24">
        <v>0</v>
      </c>
    </row>
    <row r="1958" spans="2:6" x14ac:dyDescent="0.2">
      <c r="B1958" s="5">
        <v>46109</v>
      </c>
      <c r="C1958" t="s">
        <v>877</v>
      </c>
      <c r="D1958" s="11">
        <v>55</v>
      </c>
      <c r="E1958" s="18">
        <v>2</v>
      </c>
      <c r="F1958" s="24">
        <v>3.6363636363636362E-2</v>
      </c>
    </row>
    <row r="1959" spans="2:6" x14ac:dyDescent="0.2">
      <c r="B1959" s="5">
        <v>46109</v>
      </c>
      <c r="C1959" t="s">
        <v>878</v>
      </c>
      <c r="D1959" s="11">
        <v>587</v>
      </c>
      <c r="E1959" s="18">
        <v>2</v>
      </c>
      <c r="F1959" s="24">
        <v>3.4071550255536627E-3</v>
      </c>
    </row>
    <row r="1960" spans="2:6" x14ac:dyDescent="0.2">
      <c r="B1960" s="5">
        <v>46110</v>
      </c>
      <c r="C1960" t="s">
        <v>875</v>
      </c>
      <c r="D1960" s="11">
        <v>291</v>
      </c>
      <c r="E1960" s="18">
        <v>0</v>
      </c>
      <c r="F1960" s="24">
        <v>0</v>
      </c>
    </row>
    <row r="1961" spans="2:6" x14ac:dyDescent="0.2">
      <c r="B1961" s="5">
        <v>46110</v>
      </c>
      <c r="C1961" t="s">
        <v>84</v>
      </c>
      <c r="D1961" s="11">
        <v>89</v>
      </c>
      <c r="E1961" s="18">
        <v>0</v>
      </c>
      <c r="F1961" s="24">
        <v>0</v>
      </c>
    </row>
    <row r="1962" spans="2:6" x14ac:dyDescent="0.2">
      <c r="B1962" s="5">
        <v>46110</v>
      </c>
      <c r="C1962" t="s">
        <v>86</v>
      </c>
      <c r="D1962" s="11">
        <v>23</v>
      </c>
      <c r="E1962" s="18">
        <v>0</v>
      </c>
      <c r="F1962" s="24">
        <v>0</v>
      </c>
    </row>
    <row r="1963" spans="2:6" x14ac:dyDescent="0.2">
      <c r="B1963" s="5">
        <v>46110</v>
      </c>
      <c r="C1963" t="s">
        <v>876</v>
      </c>
      <c r="D1963" s="11">
        <v>12</v>
      </c>
      <c r="E1963" s="18">
        <v>0</v>
      </c>
      <c r="F1963" s="24">
        <v>0</v>
      </c>
    </row>
    <row r="1964" spans="2:6" x14ac:dyDescent="0.2">
      <c r="B1964" s="5">
        <v>46110</v>
      </c>
      <c r="C1964" t="s">
        <v>877</v>
      </c>
      <c r="D1964" s="11">
        <v>42</v>
      </c>
      <c r="E1964" s="18">
        <v>0</v>
      </c>
      <c r="F1964" s="24">
        <v>0</v>
      </c>
    </row>
    <row r="1965" spans="2:6" x14ac:dyDescent="0.2">
      <c r="B1965" s="5">
        <v>46110</v>
      </c>
      <c r="C1965" t="s">
        <v>878</v>
      </c>
      <c r="D1965" s="11">
        <v>457</v>
      </c>
      <c r="E1965" s="18">
        <v>0</v>
      </c>
      <c r="F1965" s="24">
        <v>0</v>
      </c>
    </row>
    <row r="1966" spans="2:6" x14ac:dyDescent="0.2">
      <c r="B1966" s="5">
        <v>46111</v>
      </c>
      <c r="C1966" t="s">
        <v>875</v>
      </c>
      <c r="D1966" s="11">
        <v>324</v>
      </c>
      <c r="E1966" s="18">
        <v>0</v>
      </c>
      <c r="F1966" s="24">
        <v>0</v>
      </c>
    </row>
    <row r="1967" spans="2:6" x14ac:dyDescent="0.2">
      <c r="B1967" s="5">
        <v>46111</v>
      </c>
      <c r="C1967" t="s">
        <v>84</v>
      </c>
      <c r="D1967" s="11">
        <v>95</v>
      </c>
      <c r="E1967" s="18">
        <v>0</v>
      </c>
      <c r="F1967" s="24">
        <v>0</v>
      </c>
    </row>
    <row r="1968" spans="2:6" x14ac:dyDescent="0.2">
      <c r="B1968" s="5">
        <v>46111</v>
      </c>
      <c r="C1968" t="s">
        <v>86</v>
      </c>
      <c r="D1968" s="11">
        <v>25</v>
      </c>
      <c r="E1968" s="18">
        <v>0</v>
      </c>
      <c r="F1968" s="24">
        <v>0</v>
      </c>
    </row>
    <row r="1969" spans="2:6" x14ac:dyDescent="0.2">
      <c r="B1969" s="5">
        <v>46111</v>
      </c>
      <c r="C1969" t="s">
        <v>876</v>
      </c>
      <c r="D1969" s="11">
        <v>11</v>
      </c>
      <c r="E1969" s="18">
        <v>0</v>
      </c>
      <c r="F1969" s="24">
        <v>0</v>
      </c>
    </row>
    <row r="1970" spans="2:6" x14ac:dyDescent="0.2">
      <c r="B1970" s="5">
        <v>46111</v>
      </c>
      <c r="C1970" t="s">
        <v>877</v>
      </c>
      <c r="D1970" s="11">
        <v>70</v>
      </c>
      <c r="E1970" s="18">
        <v>4</v>
      </c>
      <c r="F1970" s="24">
        <v>5.7142857142857141E-2</v>
      </c>
    </row>
    <row r="1971" spans="2:6" x14ac:dyDescent="0.2">
      <c r="B1971" s="5">
        <v>46111</v>
      </c>
      <c r="C1971" t="s">
        <v>878</v>
      </c>
      <c r="D1971" s="11">
        <v>525</v>
      </c>
      <c r="E1971" s="18">
        <v>4</v>
      </c>
      <c r="F1971" s="24">
        <v>7.619047619047619E-3</v>
      </c>
    </row>
    <row r="1972" spans="2:6" x14ac:dyDescent="0.2">
      <c r="B1972" s="5">
        <v>46112</v>
      </c>
      <c r="C1972" t="s">
        <v>875</v>
      </c>
      <c r="D1972" s="11">
        <v>330</v>
      </c>
      <c r="E1972" s="18">
        <v>0</v>
      </c>
      <c r="F1972" s="24">
        <v>0</v>
      </c>
    </row>
    <row r="1973" spans="2:6" x14ac:dyDescent="0.2">
      <c r="B1973" s="5">
        <v>46112</v>
      </c>
      <c r="C1973" t="s">
        <v>84</v>
      </c>
      <c r="D1973" s="11">
        <v>78</v>
      </c>
      <c r="E1973" s="18">
        <v>2</v>
      </c>
      <c r="F1973" s="24">
        <v>2.564102564102564E-2</v>
      </c>
    </row>
    <row r="1974" spans="2:6" x14ac:dyDescent="0.2">
      <c r="B1974" s="5">
        <v>46112</v>
      </c>
      <c r="C1974" t="s">
        <v>86</v>
      </c>
      <c r="D1974" s="11">
        <v>34</v>
      </c>
      <c r="E1974" s="18">
        <v>1</v>
      </c>
      <c r="F1974" s="24">
        <v>2.9411764705882353E-2</v>
      </c>
    </row>
    <row r="1975" spans="2:6" x14ac:dyDescent="0.2">
      <c r="B1975" s="5">
        <v>46112</v>
      </c>
      <c r="C1975" t="s">
        <v>876</v>
      </c>
      <c r="D1975" s="11">
        <v>9</v>
      </c>
      <c r="E1975" s="18">
        <v>0</v>
      </c>
      <c r="F1975" s="24">
        <v>0</v>
      </c>
    </row>
    <row r="1976" spans="2:6" x14ac:dyDescent="0.2">
      <c r="B1976" s="5">
        <v>46112</v>
      </c>
      <c r="C1976" t="s">
        <v>877</v>
      </c>
      <c r="D1976" s="11">
        <v>75</v>
      </c>
      <c r="E1976" s="18">
        <v>2</v>
      </c>
      <c r="F1976" s="24">
        <v>2.6666666666666668E-2</v>
      </c>
    </row>
    <row r="1977" spans="2:6" x14ac:dyDescent="0.2">
      <c r="B1977" s="5">
        <v>46112</v>
      </c>
      <c r="C1977" t="s">
        <v>878</v>
      </c>
      <c r="D1977" s="11">
        <v>526</v>
      </c>
      <c r="E1977" s="18">
        <v>5</v>
      </c>
      <c r="F1977" s="24">
        <v>9.5057034220532317E-3</v>
      </c>
    </row>
    <row r="1978" spans="2:6" x14ac:dyDescent="0.2">
      <c r="B1978" s="5">
        <v>46113</v>
      </c>
      <c r="C1978" t="s">
        <v>875</v>
      </c>
      <c r="D1978" s="11">
        <v>397</v>
      </c>
      <c r="E1978" s="18">
        <v>0</v>
      </c>
      <c r="F1978" s="24">
        <v>0</v>
      </c>
    </row>
    <row r="1979" spans="2:6" x14ac:dyDescent="0.2">
      <c r="B1979" s="5">
        <v>46113</v>
      </c>
      <c r="C1979" t="s">
        <v>84</v>
      </c>
      <c r="D1979" s="11">
        <v>87</v>
      </c>
      <c r="E1979" s="18">
        <v>0</v>
      </c>
      <c r="F1979" s="24">
        <v>0</v>
      </c>
    </row>
    <row r="1980" spans="2:6" x14ac:dyDescent="0.2">
      <c r="B1980" s="5">
        <v>46113</v>
      </c>
      <c r="C1980" t="s">
        <v>86</v>
      </c>
      <c r="D1980" s="11">
        <v>23</v>
      </c>
      <c r="E1980" s="18">
        <v>0</v>
      </c>
      <c r="F1980" s="24">
        <v>0</v>
      </c>
    </row>
    <row r="1981" spans="2:6" x14ac:dyDescent="0.2">
      <c r="B1981" s="5">
        <v>46113</v>
      </c>
      <c r="C1981" t="s">
        <v>876</v>
      </c>
      <c r="D1981" s="11">
        <v>9</v>
      </c>
      <c r="E1981" s="18">
        <v>0</v>
      </c>
      <c r="F1981" s="24">
        <v>0</v>
      </c>
    </row>
    <row r="1982" spans="2:6" x14ac:dyDescent="0.2">
      <c r="B1982" s="5">
        <v>46113</v>
      </c>
      <c r="C1982" t="s">
        <v>877</v>
      </c>
      <c r="D1982" s="11">
        <v>51</v>
      </c>
      <c r="E1982" s="18">
        <v>1</v>
      </c>
      <c r="F1982" s="24">
        <v>1.9607843137254902E-2</v>
      </c>
    </row>
    <row r="1983" spans="2:6" x14ac:dyDescent="0.2">
      <c r="B1983" s="5">
        <v>46113</v>
      </c>
      <c r="C1983" t="s">
        <v>878</v>
      </c>
      <c r="D1983" s="11">
        <v>567</v>
      </c>
      <c r="E1983" s="18">
        <v>1</v>
      </c>
      <c r="F1983" s="24">
        <v>1.7636684303350969E-3</v>
      </c>
    </row>
    <row r="1984" spans="2:6" x14ac:dyDescent="0.2">
      <c r="B1984" s="5">
        <v>46114</v>
      </c>
      <c r="C1984" t="s">
        <v>875</v>
      </c>
      <c r="D1984" s="11">
        <v>443</v>
      </c>
      <c r="E1984" s="18">
        <v>0</v>
      </c>
      <c r="F1984" s="24">
        <v>0</v>
      </c>
    </row>
    <row r="1985" spans="2:6" x14ac:dyDescent="0.2">
      <c r="B1985" s="5">
        <v>46114</v>
      </c>
      <c r="C1985" t="s">
        <v>84</v>
      </c>
      <c r="D1985" s="11">
        <v>50</v>
      </c>
      <c r="E1985" s="18">
        <v>0</v>
      </c>
      <c r="F1985" s="24">
        <v>0</v>
      </c>
    </row>
    <row r="1986" spans="2:6" x14ac:dyDescent="0.2">
      <c r="B1986" s="5">
        <v>46114</v>
      </c>
      <c r="C1986" t="s">
        <v>86</v>
      </c>
      <c r="D1986" s="11">
        <v>24</v>
      </c>
      <c r="E1986" s="18">
        <v>1</v>
      </c>
      <c r="F1986" s="24">
        <v>4.1666666666666664E-2</v>
      </c>
    </row>
    <row r="1987" spans="2:6" x14ac:dyDescent="0.2">
      <c r="B1987" s="5">
        <v>46114</v>
      </c>
      <c r="C1987" t="s">
        <v>876</v>
      </c>
      <c r="D1987" s="11">
        <v>14</v>
      </c>
      <c r="E1987" s="18">
        <v>0</v>
      </c>
      <c r="F1987" s="24">
        <v>0</v>
      </c>
    </row>
    <row r="1988" spans="2:6" x14ac:dyDescent="0.2">
      <c r="B1988" s="5">
        <v>46114</v>
      </c>
      <c r="C1988" t="s">
        <v>877</v>
      </c>
      <c r="D1988" s="11">
        <v>49</v>
      </c>
      <c r="E1988" s="18">
        <v>3</v>
      </c>
      <c r="F1988" s="24">
        <v>6.1224489795918366E-2</v>
      </c>
    </row>
    <row r="1989" spans="2:6" x14ac:dyDescent="0.2">
      <c r="B1989" s="5">
        <v>46114</v>
      </c>
      <c r="C1989" t="s">
        <v>878</v>
      </c>
      <c r="D1989" s="11">
        <v>580</v>
      </c>
      <c r="E1989" s="18">
        <v>4</v>
      </c>
      <c r="F1989" s="24">
        <v>6.8965517241379309E-3</v>
      </c>
    </row>
    <row r="1990" spans="2:6" x14ac:dyDescent="0.2">
      <c r="B1990" s="5">
        <v>46115</v>
      </c>
      <c r="C1990" t="s">
        <v>875</v>
      </c>
      <c r="D1990" s="11">
        <v>367</v>
      </c>
      <c r="E1990" s="18">
        <v>0</v>
      </c>
      <c r="F1990" s="24">
        <v>0</v>
      </c>
    </row>
    <row r="1991" spans="2:6" x14ac:dyDescent="0.2">
      <c r="B1991" s="5">
        <v>46115</v>
      </c>
      <c r="C1991" t="s">
        <v>84</v>
      </c>
      <c r="D1991" s="11">
        <v>78</v>
      </c>
      <c r="E1991" s="18">
        <v>0</v>
      </c>
      <c r="F1991" s="24">
        <v>0</v>
      </c>
    </row>
    <row r="1992" spans="2:6" x14ac:dyDescent="0.2">
      <c r="B1992" s="5">
        <v>46115</v>
      </c>
      <c r="C1992" t="s">
        <v>86</v>
      </c>
      <c r="D1992" s="11">
        <v>19</v>
      </c>
      <c r="E1992" s="18">
        <v>0</v>
      </c>
      <c r="F1992" s="24">
        <v>0</v>
      </c>
    </row>
    <row r="1993" spans="2:6" x14ac:dyDescent="0.2">
      <c r="B1993" s="5">
        <v>46115</v>
      </c>
      <c r="C1993" t="s">
        <v>876</v>
      </c>
      <c r="D1993" s="11">
        <v>8</v>
      </c>
      <c r="E1993" s="18">
        <v>0</v>
      </c>
      <c r="F1993" s="24">
        <v>0</v>
      </c>
    </row>
    <row r="1994" spans="2:6" x14ac:dyDescent="0.2">
      <c r="B1994" s="5">
        <v>46115</v>
      </c>
      <c r="C1994" t="s">
        <v>877</v>
      </c>
      <c r="D1994" s="11">
        <v>36</v>
      </c>
      <c r="E1994" s="18">
        <v>0</v>
      </c>
      <c r="F1994" s="24">
        <v>0</v>
      </c>
    </row>
    <row r="1995" spans="2:6" x14ac:dyDescent="0.2">
      <c r="B1995" s="5">
        <v>46115</v>
      </c>
      <c r="C1995" t="s">
        <v>878</v>
      </c>
      <c r="D1995" s="11">
        <v>508</v>
      </c>
      <c r="E1995" s="18">
        <v>0</v>
      </c>
      <c r="F1995" s="24">
        <v>0</v>
      </c>
    </row>
    <row r="1996" spans="2:6" x14ac:dyDescent="0.2">
      <c r="B1996" s="5">
        <v>46116</v>
      </c>
      <c r="C1996" t="s">
        <v>875</v>
      </c>
      <c r="D1996" s="11">
        <v>541</v>
      </c>
      <c r="E1996" s="18">
        <v>0</v>
      </c>
      <c r="F1996" s="24">
        <v>0</v>
      </c>
    </row>
    <row r="1997" spans="2:6" x14ac:dyDescent="0.2">
      <c r="B1997" s="5">
        <v>46116</v>
      </c>
      <c r="C1997" t="s">
        <v>84</v>
      </c>
      <c r="D1997" s="11">
        <v>62</v>
      </c>
      <c r="E1997" s="18">
        <v>1</v>
      </c>
      <c r="F1997" s="24">
        <v>1.6129032258064516E-2</v>
      </c>
    </row>
    <row r="1998" spans="2:6" x14ac:dyDescent="0.2">
      <c r="B1998" s="5">
        <v>46116</v>
      </c>
      <c r="C1998" t="s">
        <v>86</v>
      </c>
      <c r="D1998" s="11">
        <v>17</v>
      </c>
      <c r="E1998" s="18">
        <v>1</v>
      </c>
      <c r="F1998" s="24">
        <v>5.8823529411764705E-2</v>
      </c>
    </row>
    <row r="1999" spans="2:6" x14ac:dyDescent="0.2">
      <c r="B1999" s="5">
        <v>46116</v>
      </c>
      <c r="C1999" t="s">
        <v>876</v>
      </c>
      <c r="D1999" s="11">
        <v>16</v>
      </c>
      <c r="E1999" s="18">
        <v>0</v>
      </c>
      <c r="F1999" s="24">
        <v>0</v>
      </c>
    </row>
    <row r="2000" spans="2:6" x14ac:dyDescent="0.2">
      <c r="B2000" s="5">
        <v>46116</v>
      </c>
      <c r="C2000" t="s">
        <v>877</v>
      </c>
      <c r="D2000" s="11">
        <v>51</v>
      </c>
      <c r="E2000" s="18">
        <v>0</v>
      </c>
      <c r="F2000" s="24">
        <v>0</v>
      </c>
    </row>
    <row r="2001" spans="2:6" x14ac:dyDescent="0.2">
      <c r="B2001" s="5">
        <v>46116</v>
      </c>
      <c r="C2001" t="s">
        <v>878</v>
      </c>
      <c r="D2001" s="11">
        <v>687</v>
      </c>
      <c r="E2001" s="18">
        <v>2</v>
      </c>
      <c r="F2001" s="24">
        <v>2.911208151382824E-3</v>
      </c>
    </row>
    <row r="2002" spans="2:6" x14ac:dyDescent="0.2">
      <c r="B2002" s="5">
        <v>46117</v>
      </c>
      <c r="C2002" t="s">
        <v>875</v>
      </c>
      <c r="D2002" s="11">
        <v>367</v>
      </c>
      <c r="E2002" s="18">
        <v>0</v>
      </c>
      <c r="F2002" s="24">
        <v>0</v>
      </c>
    </row>
    <row r="2003" spans="2:6" x14ac:dyDescent="0.2">
      <c r="B2003" s="5">
        <v>46117</v>
      </c>
      <c r="C2003" t="s">
        <v>84</v>
      </c>
      <c r="D2003" s="11">
        <v>126</v>
      </c>
      <c r="E2003" s="18">
        <v>1</v>
      </c>
      <c r="F2003" s="24">
        <v>7.9365079365079361E-3</v>
      </c>
    </row>
    <row r="2004" spans="2:6" x14ac:dyDescent="0.2">
      <c r="B2004" s="5">
        <v>46117</v>
      </c>
      <c r="C2004" t="s">
        <v>86</v>
      </c>
      <c r="D2004" s="11">
        <v>21</v>
      </c>
      <c r="E2004" s="18">
        <v>1</v>
      </c>
      <c r="F2004" s="24">
        <v>4.7619047619047616E-2</v>
      </c>
    </row>
    <row r="2005" spans="2:6" x14ac:dyDescent="0.2">
      <c r="B2005" s="5">
        <v>46117</v>
      </c>
      <c r="C2005" t="s">
        <v>876</v>
      </c>
      <c r="D2005" s="11">
        <v>11</v>
      </c>
      <c r="E2005" s="18">
        <v>0</v>
      </c>
      <c r="F2005" s="24">
        <v>0</v>
      </c>
    </row>
    <row r="2006" spans="2:6" x14ac:dyDescent="0.2">
      <c r="B2006" s="5">
        <v>46117</v>
      </c>
      <c r="C2006" t="s">
        <v>877</v>
      </c>
      <c r="D2006" s="11">
        <v>55</v>
      </c>
      <c r="E2006" s="18">
        <v>1</v>
      </c>
      <c r="F2006" s="24">
        <v>1.8181818181818181E-2</v>
      </c>
    </row>
    <row r="2007" spans="2:6" x14ac:dyDescent="0.2">
      <c r="B2007" s="5">
        <v>46117</v>
      </c>
      <c r="C2007" t="s">
        <v>878</v>
      </c>
      <c r="D2007" s="11">
        <v>580</v>
      </c>
      <c r="E2007" s="18">
        <v>3</v>
      </c>
      <c r="F2007" s="24">
        <v>5.1724137931034482E-3</v>
      </c>
    </row>
    <row r="2008" spans="2:6" x14ac:dyDescent="0.2">
      <c r="B2008" s="5">
        <v>46118</v>
      </c>
      <c r="C2008" t="s">
        <v>875</v>
      </c>
      <c r="D2008" s="11">
        <v>415</v>
      </c>
      <c r="E2008" s="18">
        <v>0</v>
      </c>
      <c r="F2008" s="24">
        <v>0</v>
      </c>
    </row>
    <row r="2009" spans="2:6" x14ac:dyDescent="0.2">
      <c r="B2009" s="5">
        <v>46118</v>
      </c>
      <c r="C2009" t="s">
        <v>84</v>
      </c>
      <c r="D2009" s="11">
        <v>83</v>
      </c>
      <c r="E2009" s="18">
        <v>2</v>
      </c>
      <c r="F2009" s="24">
        <v>2.4096385542168676E-2</v>
      </c>
    </row>
    <row r="2010" spans="2:6" x14ac:dyDescent="0.2">
      <c r="B2010" s="5">
        <v>46118</v>
      </c>
      <c r="C2010" t="s">
        <v>86</v>
      </c>
      <c r="D2010" s="11">
        <v>36</v>
      </c>
      <c r="E2010" s="18">
        <v>2</v>
      </c>
      <c r="F2010" s="24">
        <v>5.5555555555555552E-2</v>
      </c>
    </row>
    <row r="2011" spans="2:6" x14ac:dyDescent="0.2">
      <c r="B2011" s="5">
        <v>46118</v>
      </c>
      <c r="C2011" t="s">
        <v>876</v>
      </c>
      <c r="D2011" s="11">
        <v>7</v>
      </c>
      <c r="E2011" s="18">
        <v>0</v>
      </c>
      <c r="F2011" s="24">
        <v>0</v>
      </c>
    </row>
    <row r="2012" spans="2:6" x14ac:dyDescent="0.2">
      <c r="B2012" s="5">
        <v>46118</v>
      </c>
      <c r="C2012" t="s">
        <v>877</v>
      </c>
      <c r="D2012" s="11">
        <v>90</v>
      </c>
      <c r="E2012" s="18">
        <v>0</v>
      </c>
      <c r="F2012" s="24">
        <v>0</v>
      </c>
    </row>
    <row r="2013" spans="2:6" x14ac:dyDescent="0.2">
      <c r="B2013" s="5">
        <v>46118</v>
      </c>
      <c r="C2013" t="s">
        <v>878</v>
      </c>
      <c r="D2013" s="11">
        <v>631</v>
      </c>
      <c r="E2013" s="18">
        <v>4</v>
      </c>
      <c r="F2013" s="24">
        <v>6.3391442155309036E-3</v>
      </c>
    </row>
    <row r="2014" spans="2:6" x14ac:dyDescent="0.2">
      <c r="B2014" s="5">
        <v>46119</v>
      </c>
      <c r="C2014" t="s">
        <v>875</v>
      </c>
      <c r="D2014" s="11">
        <v>510</v>
      </c>
      <c r="E2014" s="18">
        <v>0</v>
      </c>
      <c r="F2014" s="24">
        <v>0</v>
      </c>
    </row>
    <row r="2015" spans="2:6" x14ac:dyDescent="0.2">
      <c r="B2015" s="5">
        <v>46119</v>
      </c>
      <c r="C2015" t="s">
        <v>84</v>
      </c>
      <c r="D2015" s="11">
        <v>82</v>
      </c>
      <c r="E2015" s="18">
        <v>1</v>
      </c>
      <c r="F2015" s="24">
        <v>1.2195121951219513E-2</v>
      </c>
    </row>
    <row r="2016" spans="2:6" x14ac:dyDescent="0.2">
      <c r="B2016" s="5">
        <v>46119</v>
      </c>
      <c r="C2016" t="s">
        <v>86</v>
      </c>
      <c r="D2016" s="11">
        <v>50</v>
      </c>
      <c r="E2016" s="18">
        <v>2</v>
      </c>
      <c r="F2016" s="24">
        <v>0.04</v>
      </c>
    </row>
    <row r="2017" spans="2:6" x14ac:dyDescent="0.2">
      <c r="B2017" s="5">
        <v>46119</v>
      </c>
      <c r="C2017" t="s">
        <v>876</v>
      </c>
      <c r="D2017" s="11">
        <v>26</v>
      </c>
      <c r="E2017" s="18">
        <v>0</v>
      </c>
      <c r="F2017" s="24">
        <v>0</v>
      </c>
    </row>
    <row r="2018" spans="2:6" x14ac:dyDescent="0.2">
      <c r="B2018" s="5">
        <v>46119</v>
      </c>
      <c r="C2018" t="s">
        <v>877</v>
      </c>
      <c r="D2018" s="11">
        <v>96</v>
      </c>
      <c r="E2018" s="18">
        <v>2</v>
      </c>
      <c r="F2018" s="24">
        <v>2.0833333333333332E-2</v>
      </c>
    </row>
    <row r="2019" spans="2:6" x14ac:dyDescent="0.2">
      <c r="B2019" s="5">
        <v>46119</v>
      </c>
      <c r="C2019" t="s">
        <v>878</v>
      </c>
      <c r="D2019" s="11">
        <v>764</v>
      </c>
      <c r="E2019" s="18">
        <v>5</v>
      </c>
      <c r="F2019" s="24">
        <v>6.5445026178010471E-3</v>
      </c>
    </row>
    <row r="2020" spans="2:6" x14ac:dyDescent="0.2">
      <c r="B2020" s="5">
        <v>46120</v>
      </c>
      <c r="C2020" t="s">
        <v>875</v>
      </c>
      <c r="D2020" s="11">
        <v>441</v>
      </c>
      <c r="E2020" s="18">
        <v>0</v>
      </c>
      <c r="F2020" s="24">
        <v>0</v>
      </c>
    </row>
    <row r="2021" spans="2:6" x14ac:dyDescent="0.2">
      <c r="B2021" s="5">
        <v>46120</v>
      </c>
      <c r="C2021" t="s">
        <v>84</v>
      </c>
      <c r="D2021" s="11">
        <v>83</v>
      </c>
      <c r="E2021" s="18">
        <v>0</v>
      </c>
      <c r="F2021" s="24">
        <v>0</v>
      </c>
    </row>
    <row r="2022" spans="2:6" x14ac:dyDescent="0.2">
      <c r="B2022" s="5">
        <v>46120</v>
      </c>
      <c r="C2022" t="s">
        <v>86</v>
      </c>
      <c r="D2022" s="11">
        <v>32</v>
      </c>
      <c r="E2022" s="18">
        <v>1</v>
      </c>
      <c r="F2022" s="24">
        <v>3.125E-2</v>
      </c>
    </row>
    <row r="2023" spans="2:6" x14ac:dyDescent="0.2">
      <c r="B2023" s="5">
        <v>46120</v>
      </c>
      <c r="C2023" t="s">
        <v>876</v>
      </c>
      <c r="D2023" s="11">
        <v>12</v>
      </c>
      <c r="E2023" s="18">
        <v>0</v>
      </c>
      <c r="F2023" s="24">
        <v>0</v>
      </c>
    </row>
    <row r="2024" spans="2:6" x14ac:dyDescent="0.2">
      <c r="B2024" s="5">
        <v>46120</v>
      </c>
      <c r="C2024" t="s">
        <v>877</v>
      </c>
      <c r="D2024" s="11">
        <v>65</v>
      </c>
      <c r="E2024" s="18">
        <v>3</v>
      </c>
      <c r="F2024" s="24">
        <v>4.6153846153846156E-2</v>
      </c>
    </row>
    <row r="2025" spans="2:6" x14ac:dyDescent="0.2">
      <c r="B2025" s="5">
        <v>46120</v>
      </c>
      <c r="C2025" t="s">
        <v>878</v>
      </c>
      <c r="D2025" s="11">
        <v>633</v>
      </c>
      <c r="E2025" s="18">
        <v>4</v>
      </c>
      <c r="F2025" s="24">
        <v>6.3191153238546603E-3</v>
      </c>
    </row>
    <row r="2026" spans="2:6" x14ac:dyDescent="0.2">
      <c r="B2026" s="5">
        <v>46121</v>
      </c>
      <c r="C2026" t="s">
        <v>875</v>
      </c>
      <c r="D2026" s="11">
        <v>501</v>
      </c>
      <c r="E2026" s="18">
        <v>0</v>
      </c>
      <c r="F2026" s="24">
        <v>0</v>
      </c>
    </row>
    <row r="2027" spans="2:6" x14ac:dyDescent="0.2">
      <c r="B2027" s="5">
        <v>46121</v>
      </c>
      <c r="C2027" t="s">
        <v>84</v>
      </c>
      <c r="D2027" s="11">
        <v>85</v>
      </c>
      <c r="E2027" s="18">
        <v>0</v>
      </c>
      <c r="F2027" s="24">
        <v>0</v>
      </c>
    </row>
    <row r="2028" spans="2:6" x14ac:dyDescent="0.2">
      <c r="B2028" s="5">
        <v>46121</v>
      </c>
      <c r="C2028" t="s">
        <v>86</v>
      </c>
      <c r="D2028" s="11">
        <v>46</v>
      </c>
      <c r="E2028" s="18">
        <v>3</v>
      </c>
      <c r="F2028" s="24">
        <v>6.5217391304347824E-2</v>
      </c>
    </row>
    <row r="2029" spans="2:6" x14ac:dyDescent="0.2">
      <c r="B2029" s="5">
        <v>46121</v>
      </c>
      <c r="C2029" t="s">
        <v>876</v>
      </c>
      <c r="D2029" s="11">
        <v>8</v>
      </c>
      <c r="E2029" s="18">
        <v>0</v>
      </c>
      <c r="F2029" s="24">
        <v>0</v>
      </c>
    </row>
    <row r="2030" spans="2:6" x14ac:dyDescent="0.2">
      <c r="B2030" s="5">
        <v>46121</v>
      </c>
      <c r="C2030" t="s">
        <v>877</v>
      </c>
      <c r="D2030" s="11">
        <v>177</v>
      </c>
      <c r="E2030" s="18">
        <v>9</v>
      </c>
      <c r="F2030" s="24">
        <v>5.0847457627118647E-2</v>
      </c>
    </row>
    <row r="2031" spans="2:6" x14ac:dyDescent="0.2">
      <c r="B2031" s="5">
        <v>46121</v>
      </c>
      <c r="C2031" t="s">
        <v>878</v>
      </c>
      <c r="D2031" s="11">
        <v>817</v>
      </c>
      <c r="E2031" s="18">
        <v>12</v>
      </c>
      <c r="F2031" s="24">
        <v>1.4687882496940025E-2</v>
      </c>
    </row>
    <row r="2032" spans="2:6" x14ac:dyDescent="0.2">
      <c r="B2032" s="5">
        <v>46122</v>
      </c>
      <c r="C2032" t="s">
        <v>875</v>
      </c>
      <c r="D2032" s="11">
        <v>378</v>
      </c>
      <c r="E2032" s="18">
        <v>0</v>
      </c>
      <c r="F2032" s="24">
        <v>0</v>
      </c>
    </row>
    <row r="2033" spans="2:6" x14ac:dyDescent="0.2">
      <c r="B2033" s="5">
        <v>46122</v>
      </c>
      <c r="C2033" t="s">
        <v>84</v>
      </c>
      <c r="D2033" s="11">
        <v>104</v>
      </c>
      <c r="E2033" s="18">
        <v>2</v>
      </c>
      <c r="F2033" s="24">
        <v>1.9230769230769232E-2</v>
      </c>
    </row>
    <row r="2034" spans="2:6" x14ac:dyDescent="0.2">
      <c r="B2034" s="5">
        <v>46122</v>
      </c>
      <c r="C2034" t="s">
        <v>86</v>
      </c>
      <c r="D2034" s="11">
        <v>35</v>
      </c>
      <c r="E2034" s="18">
        <v>0</v>
      </c>
      <c r="F2034" s="24">
        <v>0</v>
      </c>
    </row>
    <row r="2035" spans="2:6" x14ac:dyDescent="0.2">
      <c r="B2035" s="5">
        <v>46122</v>
      </c>
      <c r="C2035" t="s">
        <v>876</v>
      </c>
      <c r="D2035" s="11">
        <v>9</v>
      </c>
      <c r="E2035" s="18">
        <v>0</v>
      </c>
      <c r="F2035" s="24">
        <v>0</v>
      </c>
    </row>
    <row r="2036" spans="2:6" x14ac:dyDescent="0.2">
      <c r="B2036" s="5">
        <v>46122</v>
      </c>
      <c r="C2036" t="s">
        <v>877</v>
      </c>
      <c r="D2036" s="11">
        <v>97</v>
      </c>
      <c r="E2036" s="18">
        <v>3</v>
      </c>
      <c r="F2036" s="24">
        <v>3.0927835051546393E-2</v>
      </c>
    </row>
    <row r="2037" spans="2:6" x14ac:dyDescent="0.2">
      <c r="B2037" s="5">
        <v>46122</v>
      </c>
      <c r="C2037" t="s">
        <v>878</v>
      </c>
      <c r="D2037" s="11">
        <v>623</v>
      </c>
      <c r="E2037" s="18">
        <v>5</v>
      </c>
      <c r="F2037" s="24">
        <v>8.0256821829855531E-3</v>
      </c>
    </row>
    <row r="2038" spans="2:6" x14ac:dyDescent="0.2">
      <c r="B2038" s="5">
        <v>46123</v>
      </c>
      <c r="C2038" t="s">
        <v>875</v>
      </c>
      <c r="D2038" s="11">
        <v>360</v>
      </c>
      <c r="E2038" s="18">
        <v>0</v>
      </c>
      <c r="F2038" s="24">
        <v>0</v>
      </c>
    </row>
    <row r="2039" spans="2:6" x14ac:dyDescent="0.2">
      <c r="B2039" s="5">
        <v>46123</v>
      </c>
      <c r="C2039" t="s">
        <v>84</v>
      </c>
      <c r="D2039" s="11">
        <v>120</v>
      </c>
      <c r="E2039" s="18">
        <v>0</v>
      </c>
      <c r="F2039" s="24">
        <v>0</v>
      </c>
    </row>
    <row r="2040" spans="2:6" x14ac:dyDescent="0.2">
      <c r="B2040" s="5">
        <v>46123</v>
      </c>
      <c r="C2040" t="s">
        <v>86</v>
      </c>
      <c r="D2040" s="11">
        <v>43</v>
      </c>
      <c r="E2040" s="18">
        <v>0</v>
      </c>
      <c r="F2040" s="24">
        <v>0</v>
      </c>
    </row>
    <row r="2041" spans="2:6" x14ac:dyDescent="0.2">
      <c r="B2041" s="5">
        <v>46123</v>
      </c>
      <c r="C2041" t="s">
        <v>876</v>
      </c>
      <c r="D2041" s="11">
        <v>9</v>
      </c>
      <c r="E2041" s="18">
        <v>0</v>
      </c>
      <c r="F2041" s="24">
        <v>0</v>
      </c>
    </row>
    <row r="2042" spans="2:6" x14ac:dyDescent="0.2">
      <c r="B2042" s="5">
        <v>46123</v>
      </c>
      <c r="C2042" t="s">
        <v>877</v>
      </c>
      <c r="D2042" s="11">
        <v>77</v>
      </c>
      <c r="E2042" s="18">
        <v>2</v>
      </c>
      <c r="F2042" s="24">
        <v>2.5974025974025976E-2</v>
      </c>
    </row>
    <row r="2043" spans="2:6" x14ac:dyDescent="0.2">
      <c r="B2043" s="5">
        <v>46123</v>
      </c>
      <c r="C2043" t="s">
        <v>878</v>
      </c>
      <c r="D2043" s="11">
        <v>609</v>
      </c>
      <c r="E2043" s="18">
        <v>2</v>
      </c>
      <c r="F2043" s="24">
        <v>3.2840722495894909E-3</v>
      </c>
    </row>
    <row r="2044" spans="2:6" x14ac:dyDescent="0.2">
      <c r="B2044" s="5">
        <v>46124</v>
      </c>
      <c r="C2044" t="s">
        <v>875</v>
      </c>
      <c r="D2044" s="11">
        <v>438</v>
      </c>
      <c r="E2044" s="18">
        <v>0</v>
      </c>
      <c r="F2044" s="24">
        <v>0</v>
      </c>
    </row>
    <row r="2045" spans="2:6" x14ac:dyDescent="0.2">
      <c r="B2045" s="5">
        <v>46124</v>
      </c>
      <c r="C2045" t="s">
        <v>84</v>
      </c>
      <c r="D2045" s="11">
        <v>129</v>
      </c>
      <c r="E2045" s="18">
        <v>0</v>
      </c>
      <c r="F2045" s="24">
        <v>0</v>
      </c>
    </row>
    <row r="2046" spans="2:6" x14ac:dyDescent="0.2">
      <c r="B2046" s="5">
        <v>46124</v>
      </c>
      <c r="C2046" t="s">
        <v>86</v>
      </c>
      <c r="D2046" s="11">
        <v>35</v>
      </c>
      <c r="E2046" s="18">
        <v>1</v>
      </c>
      <c r="F2046" s="24">
        <v>2.8571428571428571E-2</v>
      </c>
    </row>
    <row r="2047" spans="2:6" x14ac:dyDescent="0.2">
      <c r="B2047" s="5">
        <v>46124</v>
      </c>
      <c r="C2047" t="s">
        <v>876</v>
      </c>
      <c r="D2047" s="11">
        <v>8</v>
      </c>
      <c r="E2047" s="18">
        <v>0</v>
      </c>
      <c r="F2047" s="24">
        <v>0</v>
      </c>
    </row>
    <row r="2048" spans="2:6" x14ac:dyDescent="0.2">
      <c r="B2048" s="5">
        <v>46124</v>
      </c>
      <c r="C2048" t="s">
        <v>877</v>
      </c>
      <c r="D2048" s="11">
        <v>68</v>
      </c>
      <c r="E2048" s="18">
        <v>5</v>
      </c>
      <c r="F2048" s="24">
        <v>7.3529411764705885E-2</v>
      </c>
    </row>
    <row r="2049" spans="2:6" x14ac:dyDescent="0.2">
      <c r="B2049" s="5">
        <v>46124</v>
      </c>
      <c r="C2049" t="s">
        <v>878</v>
      </c>
      <c r="D2049" s="11">
        <v>678</v>
      </c>
      <c r="E2049" s="18">
        <v>6</v>
      </c>
      <c r="F2049" s="24">
        <v>8.8495575221238937E-3</v>
      </c>
    </row>
    <row r="2050" spans="2:6" x14ac:dyDescent="0.2">
      <c r="B2050" s="5">
        <v>46125</v>
      </c>
      <c r="C2050" t="s">
        <v>875</v>
      </c>
      <c r="D2050" s="11">
        <v>417</v>
      </c>
      <c r="E2050" s="18">
        <v>0</v>
      </c>
      <c r="F2050" s="24">
        <v>0</v>
      </c>
    </row>
    <row r="2051" spans="2:6" x14ac:dyDescent="0.2">
      <c r="B2051" s="5">
        <v>46125</v>
      </c>
      <c r="C2051" t="s">
        <v>84</v>
      </c>
      <c r="D2051" s="11">
        <v>104</v>
      </c>
      <c r="E2051" s="18">
        <v>0</v>
      </c>
      <c r="F2051" s="24">
        <v>0</v>
      </c>
    </row>
    <row r="2052" spans="2:6" x14ac:dyDescent="0.2">
      <c r="B2052" s="5">
        <v>46125</v>
      </c>
      <c r="C2052" t="s">
        <v>86</v>
      </c>
      <c r="D2052" s="11">
        <v>54</v>
      </c>
      <c r="E2052" s="18">
        <v>4</v>
      </c>
      <c r="F2052" s="24">
        <v>7.407407407407407E-2</v>
      </c>
    </row>
    <row r="2053" spans="2:6" x14ac:dyDescent="0.2">
      <c r="B2053" s="5">
        <v>46125</v>
      </c>
      <c r="C2053" t="s">
        <v>876</v>
      </c>
      <c r="D2053" s="11">
        <v>7</v>
      </c>
      <c r="E2053" s="18">
        <v>0</v>
      </c>
      <c r="F2053" s="24">
        <v>0</v>
      </c>
    </row>
    <row r="2054" spans="2:6" x14ac:dyDescent="0.2">
      <c r="B2054" s="5">
        <v>46125</v>
      </c>
      <c r="C2054" t="s">
        <v>877</v>
      </c>
      <c r="D2054" s="11">
        <v>135</v>
      </c>
      <c r="E2054" s="18">
        <v>3</v>
      </c>
      <c r="F2054" s="24">
        <v>2.2222222222222223E-2</v>
      </c>
    </row>
    <row r="2055" spans="2:6" x14ac:dyDescent="0.2">
      <c r="B2055" s="5">
        <v>46125</v>
      </c>
      <c r="C2055" t="s">
        <v>878</v>
      </c>
      <c r="D2055" s="11">
        <v>717</v>
      </c>
      <c r="E2055" s="18">
        <v>7</v>
      </c>
      <c r="F2055" s="24">
        <v>9.7629009762900971E-3</v>
      </c>
    </row>
    <row r="2056" spans="2:6" x14ac:dyDescent="0.2">
      <c r="B2056" s="5">
        <v>46126</v>
      </c>
      <c r="C2056" t="s">
        <v>875</v>
      </c>
      <c r="D2056" s="11">
        <v>401</v>
      </c>
      <c r="E2056" s="18">
        <v>0</v>
      </c>
      <c r="F2056" s="24">
        <v>0</v>
      </c>
    </row>
    <row r="2057" spans="2:6" x14ac:dyDescent="0.2">
      <c r="B2057" s="5">
        <v>46126</v>
      </c>
      <c r="C2057" t="s">
        <v>84</v>
      </c>
      <c r="D2057" s="11">
        <v>91</v>
      </c>
      <c r="E2057" s="18">
        <v>0</v>
      </c>
      <c r="F2057" s="24">
        <v>0</v>
      </c>
    </row>
    <row r="2058" spans="2:6" x14ac:dyDescent="0.2">
      <c r="B2058" s="5">
        <v>46126</v>
      </c>
      <c r="C2058" t="s">
        <v>86</v>
      </c>
      <c r="D2058" s="11">
        <v>56</v>
      </c>
      <c r="E2058" s="18">
        <v>1</v>
      </c>
      <c r="F2058" s="24">
        <v>1.7857142857142856E-2</v>
      </c>
    </row>
    <row r="2059" spans="2:6" x14ac:dyDescent="0.2">
      <c r="B2059" s="5">
        <v>46126</v>
      </c>
      <c r="C2059" t="s">
        <v>876</v>
      </c>
      <c r="D2059" s="11">
        <v>6</v>
      </c>
      <c r="E2059" s="18">
        <v>0</v>
      </c>
      <c r="F2059" s="24">
        <v>0</v>
      </c>
    </row>
    <row r="2060" spans="2:6" x14ac:dyDescent="0.2">
      <c r="B2060" s="5">
        <v>46126</v>
      </c>
      <c r="C2060" t="s">
        <v>877</v>
      </c>
      <c r="D2060" s="11">
        <v>172</v>
      </c>
      <c r="E2060" s="18">
        <v>3</v>
      </c>
      <c r="F2060" s="24">
        <v>1.7441860465116279E-2</v>
      </c>
    </row>
    <row r="2061" spans="2:6" x14ac:dyDescent="0.2">
      <c r="B2061" s="5">
        <v>46126</v>
      </c>
      <c r="C2061" t="s">
        <v>878</v>
      </c>
      <c r="D2061" s="11">
        <v>726</v>
      </c>
      <c r="E2061" s="18">
        <v>4</v>
      </c>
      <c r="F2061" s="24">
        <v>5.5096418732782371E-3</v>
      </c>
    </row>
    <row r="2062" spans="2:6" x14ac:dyDescent="0.2">
      <c r="B2062" s="5">
        <v>46127</v>
      </c>
      <c r="C2062" t="s">
        <v>875</v>
      </c>
      <c r="D2062" s="11">
        <v>348</v>
      </c>
      <c r="E2062" s="18">
        <v>0</v>
      </c>
      <c r="F2062" s="24">
        <v>0</v>
      </c>
    </row>
    <row r="2063" spans="2:6" x14ac:dyDescent="0.2">
      <c r="B2063" s="5">
        <v>46127</v>
      </c>
      <c r="C2063" t="s">
        <v>84</v>
      </c>
      <c r="D2063" s="11">
        <v>96</v>
      </c>
      <c r="E2063" s="18">
        <v>0</v>
      </c>
      <c r="F2063" s="24">
        <v>0</v>
      </c>
    </row>
    <row r="2064" spans="2:6" x14ac:dyDescent="0.2">
      <c r="B2064" s="5">
        <v>46127</v>
      </c>
      <c r="C2064" t="s">
        <v>86</v>
      </c>
      <c r="D2064" s="11">
        <v>47</v>
      </c>
      <c r="E2064" s="18">
        <v>2</v>
      </c>
      <c r="F2064" s="24">
        <v>4.2553191489361701E-2</v>
      </c>
    </row>
    <row r="2065" spans="2:6" x14ac:dyDescent="0.2">
      <c r="B2065" s="5">
        <v>46127</v>
      </c>
      <c r="C2065" t="s">
        <v>876</v>
      </c>
      <c r="D2065" s="11">
        <v>4</v>
      </c>
      <c r="E2065" s="18">
        <v>0</v>
      </c>
      <c r="F2065" s="24">
        <v>0</v>
      </c>
    </row>
    <row r="2066" spans="2:6" x14ac:dyDescent="0.2">
      <c r="B2066" s="5">
        <v>46127</v>
      </c>
      <c r="C2066" t="s">
        <v>877</v>
      </c>
      <c r="D2066" s="11">
        <v>106</v>
      </c>
      <c r="E2066" s="18">
        <v>4</v>
      </c>
      <c r="F2066" s="24">
        <v>3.7735849056603772E-2</v>
      </c>
    </row>
    <row r="2067" spans="2:6" x14ac:dyDescent="0.2">
      <c r="B2067" s="5">
        <v>46127</v>
      </c>
      <c r="C2067" t="s">
        <v>878</v>
      </c>
      <c r="D2067" s="11">
        <v>601</v>
      </c>
      <c r="E2067" s="18">
        <v>6</v>
      </c>
      <c r="F2067" s="24">
        <v>9.9833610648918467E-3</v>
      </c>
    </row>
    <row r="2068" spans="2:6" x14ac:dyDescent="0.2">
      <c r="B2068" s="5">
        <v>46128</v>
      </c>
      <c r="C2068" t="s">
        <v>875</v>
      </c>
      <c r="D2068" s="11">
        <v>463</v>
      </c>
      <c r="E2068" s="18">
        <v>0</v>
      </c>
      <c r="F2068" s="24">
        <v>0</v>
      </c>
    </row>
    <row r="2069" spans="2:6" x14ac:dyDescent="0.2">
      <c r="B2069" s="5">
        <v>46128</v>
      </c>
      <c r="C2069" t="s">
        <v>84</v>
      </c>
      <c r="D2069" s="11">
        <v>79</v>
      </c>
      <c r="E2069" s="18">
        <v>0</v>
      </c>
      <c r="F2069" s="24">
        <v>0</v>
      </c>
    </row>
    <row r="2070" spans="2:6" x14ac:dyDescent="0.2">
      <c r="B2070" s="5">
        <v>46128</v>
      </c>
      <c r="C2070" t="s">
        <v>86</v>
      </c>
      <c r="D2070" s="11">
        <v>49</v>
      </c>
      <c r="E2070" s="18">
        <v>3</v>
      </c>
      <c r="F2070" s="24">
        <v>6.1224489795918366E-2</v>
      </c>
    </row>
    <row r="2071" spans="2:6" x14ac:dyDescent="0.2">
      <c r="B2071" s="5">
        <v>46128</v>
      </c>
      <c r="C2071" t="s">
        <v>876</v>
      </c>
      <c r="D2071" s="11">
        <v>5</v>
      </c>
      <c r="E2071" s="18">
        <v>0</v>
      </c>
      <c r="F2071" s="24">
        <v>0</v>
      </c>
    </row>
    <row r="2072" spans="2:6" x14ac:dyDescent="0.2">
      <c r="B2072" s="5">
        <v>46128</v>
      </c>
      <c r="C2072" t="s">
        <v>877</v>
      </c>
      <c r="D2072" s="11">
        <v>125</v>
      </c>
      <c r="E2072" s="18">
        <v>2</v>
      </c>
      <c r="F2072" s="24">
        <v>1.6E-2</v>
      </c>
    </row>
    <row r="2073" spans="2:6" x14ac:dyDescent="0.2">
      <c r="B2073" s="5">
        <v>46128</v>
      </c>
      <c r="C2073" t="s">
        <v>878</v>
      </c>
      <c r="D2073" s="11">
        <v>721</v>
      </c>
      <c r="E2073" s="18">
        <v>5</v>
      </c>
      <c r="F2073" s="24">
        <v>6.9348127600554789E-3</v>
      </c>
    </row>
    <row r="2074" spans="2:6" x14ac:dyDescent="0.2">
      <c r="B2074" s="5">
        <v>46129</v>
      </c>
      <c r="C2074" t="s">
        <v>875</v>
      </c>
      <c r="D2074" s="11">
        <v>422</v>
      </c>
      <c r="E2074" s="18">
        <v>0</v>
      </c>
      <c r="F2074" s="24">
        <v>0</v>
      </c>
    </row>
    <row r="2075" spans="2:6" x14ac:dyDescent="0.2">
      <c r="B2075" s="5">
        <v>46129</v>
      </c>
      <c r="C2075" t="s">
        <v>84</v>
      </c>
      <c r="D2075" s="11">
        <v>75</v>
      </c>
      <c r="E2075" s="18">
        <v>0</v>
      </c>
      <c r="F2075" s="24">
        <v>0</v>
      </c>
    </row>
    <row r="2076" spans="2:6" x14ac:dyDescent="0.2">
      <c r="B2076" s="5">
        <v>46129</v>
      </c>
      <c r="C2076" t="s">
        <v>86</v>
      </c>
      <c r="D2076" s="11">
        <v>28</v>
      </c>
      <c r="E2076" s="18">
        <v>1</v>
      </c>
      <c r="F2076" s="24">
        <v>3.5714285714285712E-2</v>
      </c>
    </row>
    <row r="2077" spans="2:6" x14ac:dyDescent="0.2">
      <c r="B2077" s="5">
        <v>46129</v>
      </c>
      <c r="C2077" t="s">
        <v>876</v>
      </c>
      <c r="D2077" s="11">
        <v>11</v>
      </c>
      <c r="E2077" s="18">
        <v>0</v>
      </c>
      <c r="F2077" s="24">
        <v>0</v>
      </c>
    </row>
    <row r="2078" spans="2:6" x14ac:dyDescent="0.2">
      <c r="B2078" s="5">
        <v>46129</v>
      </c>
      <c r="C2078" t="s">
        <v>877</v>
      </c>
      <c r="D2078" s="11">
        <v>128</v>
      </c>
      <c r="E2078" s="18">
        <v>5</v>
      </c>
      <c r="F2078" s="24">
        <v>3.90625E-2</v>
      </c>
    </row>
    <row r="2079" spans="2:6" x14ac:dyDescent="0.2">
      <c r="B2079" s="5">
        <v>46129</v>
      </c>
      <c r="C2079" t="s">
        <v>878</v>
      </c>
      <c r="D2079" s="11">
        <v>664</v>
      </c>
      <c r="E2079" s="18">
        <v>6</v>
      </c>
      <c r="F2079" s="24">
        <v>9.0361445783132526E-3</v>
      </c>
    </row>
    <row r="2080" spans="2:6" x14ac:dyDescent="0.2">
      <c r="B2080" s="5">
        <v>46130</v>
      </c>
      <c r="C2080" t="s">
        <v>875</v>
      </c>
      <c r="D2080" s="11">
        <v>364</v>
      </c>
      <c r="E2080" s="18">
        <v>0</v>
      </c>
      <c r="F2080" s="24">
        <v>0</v>
      </c>
    </row>
    <row r="2081" spans="2:6" x14ac:dyDescent="0.2">
      <c r="B2081" s="5">
        <v>46130</v>
      </c>
      <c r="C2081" t="s">
        <v>84</v>
      </c>
      <c r="D2081" s="11">
        <v>112</v>
      </c>
      <c r="E2081" s="18">
        <v>1</v>
      </c>
      <c r="F2081" s="24">
        <v>8.9285714285714281E-3</v>
      </c>
    </row>
    <row r="2082" spans="2:6" x14ac:dyDescent="0.2">
      <c r="B2082" s="5">
        <v>46130</v>
      </c>
      <c r="C2082" t="s">
        <v>86</v>
      </c>
      <c r="D2082" s="11">
        <v>34</v>
      </c>
      <c r="E2082" s="18">
        <v>2</v>
      </c>
      <c r="F2082" s="24">
        <v>5.8823529411764705E-2</v>
      </c>
    </row>
    <row r="2083" spans="2:6" x14ac:dyDescent="0.2">
      <c r="B2083" s="5">
        <v>46130</v>
      </c>
      <c r="C2083" t="s">
        <v>876</v>
      </c>
      <c r="D2083" s="11">
        <v>6</v>
      </c>
      <c r="E2083" s="18">
        <v>0</v>
      </c>
      <c r="F2083" s="24">
        <v>0</v>
      </c>
    </row>
    <row r="2084" spans="2:6" x14ac:dyDescent="0.2">
      <c r="B2084" s="5">
        <v>46130</v>
      </c>
      <c r="C2084" t="s">
        <v>877</v>
      </c>
      <c r="D2084" s="11">
        <v>83</v>
      </c>
      <c r="E2084" s="18">
        <v>0</v>
      </c>
      <c r="F2084" s="24">
        <v>0</v>
      </c>
    </row>
    <row r="2085" spans="2:6" x14ac:dyDescent="0.2">
      <c r="B2085" s="5">
        <v>46130</v>
      </c>
      <c r="C2085" t="s">
        <v>878</v>
      </c>
      <c r="D2085" s="11">
        <v>599</v>
      </c>
      <c r="E2085" s="18">
        <v>3</v>
      </c>
      <c r="F2085" s="24">
        <v>5.008347245409015E-3</v>
      </c>
    </row>
    <row r="2086" spans="2:6" x14ac:dyDescent="0.2">
      <c r="B2086" s="5">
        <v>46131</v>
      </c>
      <c r="C2086" t="s">
        <v>875</v>
      </c>
      <c r="D2086" s="11">
        <v>403</v>
      </c>
      <c r="E2086" s="18">
        <v>0</v>
      </c>
      <c r="F2086" s="24">
        <v>0</v>
      </c>
    </row>
    <row r="2087" spans="2:6" x14ac:dyDescent="0.2">
      <c r="B2087" s="5">
        <v>46131</v>
      </c>
      <c r="C2087" t="s">
        <v>84</v>
      </c>
      <c r="D2087" s="11">
        <v>97</v>
      </c>
      <c r="E2087" s="18">
        <v>0</v>
      </c>
      <c r="F2087" s="24">
        <v>0</v>
      </c>
    </row>
    <row r="2088" spans="2:6" x14ac:dyDescent="0.2">
      <c r="B2088" s="5">
        <v>46131</v>
      </c>
      <c r="C2088" t="s">
        <v>86</v>
      </c>
      <c r="D2088" s="11">
        <v>20</v>
      </c>
      <c r="E2088" s="18">
        <v>1</v>
      </c>
      <c r="F2088" s="24">
        <v>0.05</v>
      </c>
    </row>
    <row r="2089" spans="2:6" x14ac:dyDescent="0.2">
      <c r="B2089" s="5">
        <v>46131</v>
      </c>
      <c r="C2089" t="s">
        <v>876</v>
      </c>
      <c r="D2089" s="11">
        <v>11</v>
      </c>
      <c r="E2089" s="18">
        <v>0</v>
      </c>
      <c r="F2089" s="24">
        <v>0</v>
      </c>
    </row>
    <row r="2090" spans="2:6" x14ac:dyDescent="0.2">
      <c r="B2090" s="5">
        <v>46131</v>
      </c>
      <c r="C2090" t="s">
        <v>877</v>
      </c>
      <c r="D2090" s="11">
        <v>83</v>
      </c>
      <c r="E2090" s="18">
        <v>0</v>
      </c>
      <c r="F2090" s="24">
        <v>0</v>
      </c>
    </row>
    <row r="2091" spans="2:6" x14ac:dyDescent="0.2">
      <c r="B2091" s="5">
        <v>46131</v>
      </c>
      <c r="C2091" t="s">
        <v>878</v>
      </c>
      <c r="D2091" s="11">
        <v>614</v>
      </c>
      <c r="E2091" s="18">
        <v>1</v>
      </c>
      <c r="F2091" s="24">
        <v>1.6286644951140066E-3</v>
      </c>
    </row>
    <row r="2092" spans="2:6" x14ac:dyDescent="0.2">
      <c r="B2092" s="5">
        <v>46132</v>
      </c>
      <c r="C2092" t="s">
        <v>875</v>
      </c>
      <c r="D2092" s="11">
        <v>373</v>
      </c>
      <c r="E2092" s="18">
        <v>0</v>
      </c>
      <c r="F2092" s="24">
        <v>0</v>
      </c>
    </row>
    <row r="2093" spans="2:6" x14ac:dyDescent="0.2">
      <c r="B2093" s="5">
        <v>46132</v>
      </c>
      <c r="C2093" t="s">
        <v>84</v>
      </c>
      <c r="D2093" s="11">
        <v>93</v>
      </c>
      <c r="E2093" s="18">
        <v>0</v>
      </c>
      <c r="F2093" s="24">
        <v>0</v>
      </c>
    </row>
    <row r="2094" spans="2:6" x14ac:dyDescent="0.2">
      <c r="B2094" s="5">
        <v>46132</v>
      </c>
      <c r="C2094" t="s">
        <v>86</v>
      </c>
      <c r="D2094" s="11">
        <v>38</v>
      </c>
      <c r="E2094" s="18">
        <v>0</v>
      </c>
      <c r="F2094" s="24">
        <v>0</v>
      </c>
    </row>
    <row r="2095" spans="2:6" x14ac:dyDescent="0.2">
      <c r="B2095" s="5">
        <v>46132</v>
      </c>
      <c r="C2095" t="s">
        <v>876</v>
      </c>
      <c r="D2095" s="11">
        <v>8</v>
      </c>
      <c r="E2095" s="18">
        <v>0</v>
      </c>
      <c r="F2095" s="24">
        <v>0</v>
      </c>
    </row>
    <row r="2096" spans="2:6" x14ac:dyDescent="0.2">
      <c r="B2096" s="5">
        <v>46132</v>
      </c>
      <c r="C2096" t="s">
        <v>877</v>
      </c>
      <c r="D2096" s="11">
        <v>76</v>
      </c>
      <c r="E2096" s="18">
        <v>4</v>
      </c>
      <c r="F2096" s="24">
        <v>5.2631578947368418E-2</v>
      </c>
    </row>
    <row r="2097" spans="2:6" x14ac:dyDescent="0.2">
      <c r="B2097" s="5">
        <v>46132</v>
      </c>
      <c r="C2097" t="s">
        <v>878</v>
      </c>
      <c r="D2097" s="11">
        <v>588</v>
      </c>
      <c r="E2097" s="18">
        <v>4</v>
      </c>
      <c r="F2097" s="24">
        <v>6.8027210884353739E-3</v>
      </c>
    </row>
    <row r="2098" spans="2:6" x14ac:dyDescent="0.2">
      <c r="B2098" s="5">
        <v>46133</v>
      </c>
      <c r="C2098" t="s">
        <v>875</v>
      </c>
      <c r="D2098" s="11">
        <v>342</v>
      </c>
      <c r="E2098" s="18">
        <v>0</v>
      </c>
      <c r="F2098" s="24">
        <v>0</v>
      </c>
    </row>
    <row r="2099" spans="2:6" x14ac:dyDescent="0.2">
      <c r="B2099" s="5">
        <v>46133</v>
      </c>
      <c r="C2099" t="s">
        <v>84</v>
      </c>
      <c r="D2099" s="11">
        <v>96</v>
      </c>
      <c r="E2099" s="18">
        <v>1</v>
      </c>
      <c r="F2099" s="24">
        <v>1.0416666666666666E-2</v>
      </c>
    </row>
    <row r="2100" spans="2:6" x14ac:dyDescent="0.2">
      <c r="B2100" s="5">
        <v>46133</v>
      </c>
      <c r="C2100" t="s">
        <v>86</v>
      </c>
      <c r="D2100" s="11">
        <v>29</v>
      </c>
      <c r="E2100" s="18">
        <v>2</v>
      </c>
      <c r="F2100" s="24">
        <v>6.8965517241379309E-2</v>
      </c>
    </row>
    <row r="2101" spans="2:6" x14ac:dyDescent="0.2">
      <c r="B2101" s="5">
        <v>46133</v>
      </c>
      <c r="C2101" t="s">
        <v>876</v>
      </c>
      <c r="D2101" s="11">
        <v>7</v>
      </c>
      <c r="E2101" s="18">
        <v>0</v>
      </c>
      <c r="F2101" s="24">
        <v>0</v>
      </c>
    </row>
    <row r="2102" spans="2:6" x14ac:dyDescent="0.2">
      <c r="B2102" s="5">
        <v>46133</v>
      </c>
      <c r="C2102" t="s">
        <v>877</v>
      </c>
      <c r="D2102" s="11">
        <v>83</v>
      </c>
      <c r="E2102" s="18">
        <v>5</v>
      </c>
      <c r="F2102" s="24">
        <v>6.0240963855421686E-2</v>
      </c>
    </row>
    <row r="2103" spans="2:6" x14ac:dyDescent="0.2">
      <c r="B2103" s="5">
        <v>46133</v>
      </c>
      <c r="C2103" t="s">
        <v>878</v>
      </c>
      <c r="D2103" s="11">
        <v>557</v>
      </c>
      <c r="E2103" s="18">
        <v>8</v>
      </c>
      <c r="F2103" s="24">
        <v>1.4362657091561939E-2</v>
      </c>
    </row>
    <row r="2104" spans="2:6" x14ac:dyDescent="0.2">
      <c r="B2104" s="5">
        <v>46134</v>
      </c>
      <c r="C2104" t="s">
        <v>875</v>
      </c>
      <c r="D2104" s="11">
        <v>403</v>
      </c>
      <c r="E2104" s="18">
        <v>0</v>
      </c>
      <c r="F2104" s="24">
        <v>0</v>
      </c>
    </row>
    <row r="2105" spans="2:6" x14ac:dyDescent="0.2">
      <c r="B2105" s="5">
        <v>46134</v>
      </c>
      <c r="C2105" t="s">
        <v>84</v>
      </c>
      <c r="D2105" s="11">
        <v>111</v>
      </c>
      <c r="E2105" s="18">
        <v>2</v>
      </c>
      <c r="F2105" s="24">
        <v>1.8018018018018018E-2</v>
      </c>
    </row>
    <row r="2106" spans="2:6" x14ac:dyDescent="0.2">
      <c r="B2106" s="5">
        <v>46134</v>
      </c>
      <c r="C2106" t="s">
        <v>86</v>
      </c>
      <c r="D2106" s="11">
        <v>46</v>
      </c>
      <c r="E2106" s="18">
        <v>0</v>
      </c>
      <c r="F2106" s="24">
        <v>0</v>
      </c>
    </row>
    <row r="2107" spans="2:6" x14ac:dyDescent="0.2">
      <c r="B2107" s="5">
        <v>46134</v>
      </c>
      <c r="C2107" t="s">
        <v>876</v>
      </c>
      <c r="D2107" s="11">
        <v>6</v>
      </c>
      <c r="E2107" s="18">
        <v>0</v>
      </c>
      <c r="F2107" s="24">
        <v>0</v>
      </c>
    </row>
    <row r="2108" spans="2:6" x14ac:dyDescent="0.2">
      <c r="B2108" s="5">
        <v>46134</v>
      </c>
      <c r="C2108" t="s">
        <v>877</v>
      </c>
      <c r="D2108" s="11">
        <v>239</v>
      </c>
      <c r="E2108" s="18">
        <v>5</v>
      </c>
      <c r="F2108" s="24">
        <v>2.0920502092050208E-2</v>
      </c>
    </row>
    <row r="2109" spans="2:6" x14ac:dyDescent="0.2">
      <c r="B2109" s="5">
        <v>46134</v>
      </c>
      <c r="C2109" t="s">
        <v>878</v>
      </c>
      <c r="D2109" s="11">
        <v>805</v>
      </c>
      <c r="E2109" s="18">
        <v>7</v>
      </c>
      <c r="F2109" s="24">
        <v>8.6956521739130436E-3</v>
      </c>
    </row>
    <row r="2110" spans="2:6" x14ac:dyDescent="0.2">
      <c r="B2110" s="5">
        <v>46135</v>
      </c>
      <c r="C2110" t="s">
        <v>875</v>
      </c>
      <c r="D2110" s="11">
        <v>280</v>
      </c>
      <c r="E2110" s="18">
        <v>1</v>
      </c>
      <c r="F2110" s="24">
        <v>3.5714285714285713E-3</v>
      </c>
    </row>
    <row r="2111" spans="2:6" x14ac:dyDescent="0.2">
      <c r="B2111" s="5">
        <v>46135</v>
      </c>
      <c r="C2111" t="s">
        <v>84</v>
      </c>
      <c r="D2111" s="11">
        <v>101</v>
      </c>
      <c r="E2111" s="18">
        <v>0</v>
      </c>
      <c r="F2111" s="24">
        <v>0</v>
      </c>
    </row>
    <row r="2112" spans="2:6" x14ac:dyDescent="0.2">
      <c r="B2112" s="5">
        <v>46135</v>
      </c>
      <c r="C2112" t="s">
        <v>86</v>
      </c>
      <c r="D2112" s="11">
        <v>57</v>
      </c>
      <c r="E2112" s="18">
        <v>2</v>
      </c>
      <c r="F2112" s="24">
        <v>3.5087719298245612E-2</v>
      </c>
    </row>
    <row r="2113" spans="2:6" x14ac:dyDescent="0.2">
      <c r="B2113" s="5">
        <v>46135</v>
      </c>
      <c r="C2113" t="s">
        <v>876</v>
      </c>
      <c r="D2113" s="11">
        <v>8</v>
      </c>
      <c r="E2113" s="18">
        <v>0</v>
      </c>
      <c r="F2113" s="24">
        <v>0</v>
      </c>
    </row>
    <row r="2114" spans="2:6" x14ac:dyDescent="0.2">
      <c r="B2114" s="5">
        <v>46135</v>
      </c>
      <c r="C2114" t="s">
        <v>877</v>
      </c>
      <c r="D2114" s="11">
        <v>127</v>
      </c>
      <c r="E2114" s="18">
        <v>2</v>
      </c>
      <c r="F2114" s="24">
        <v>1.5748031496062992E-2</v>
      </c>
    </row>
    <row r="2115" spans="2:6" x14ac:dyDescent="0.2">
      <c r="B2115" s="5">
        <v>46135</v>
      </c>
      <c r="C2115" t="s">
        <v>878</v>
      </c>
      <c r="D2115" s="11">
        <v>573</v>
      </c>
      <c r="E2115" s="18">
        <v>5</v>
      </c>
      <c r="F2115" s="24">
        <v>8.7260034904013961E-3</v>
      </c>
    </row>
    <row r="2116" spans="2:6" x14ac:dyDescent="0.2">
      <c r="B2116" s="5">
        <v>46136</v>
      </c>
      <c r="C2116" t="s">
        <v>875</v>
      </c>
      <c r="D2116" s="11">
        <v>583</v>
      </c>
      <c r="E2116" s="18">
        <v>1</v>
      </c>
      <c r="F2116" s="24">
        <v>1.7152658662092624E-3</v>
      </c>
    </row>
    <row r="2117" spans="2:6" x14ac:dyDescent="0.2">
      <c r="B2117" s="5">
        <v>46136</v>
      </c>
      <c r="C2117" t="s">
        <v>84</v>
      </c>
      <c r="D2117" s="11">
        <v>166</v>
      </c>
      <c r="E2117" s="18">
        <v>1</v>
      </c>
      <c r="F2117" s="24">
        <v>6.024096385542169E-3</v>
      </c>
    </row>
    <row r="2118" spans="2:6" x14ac:dyDescent="0.2">
      <c r="B2118" s="5">
        <v>46136</v>
      </c>
      <c r="C2118" t="s">
        <v>86</v>
      </c>
      <c r="D2118" s="11">
        <v>41</v>
      </c>
      <c r="E2118" s="18">
        <v>0</v>
      </c>
      <c r="F2118" s="24">
        <v>0</v>
      </c>
    </row>
    <row r="2119" spans="2:6" x14ac:dyDescent="0.2">
      <c r="B2119" s="5">
        <v>46136</v>
      </c>
      <c r="C2119" t="s">
        <v>876</v>
      </c>
      <c r="D2119" s="11">
        <v>7</v>
      </c>
      <c r="E2119" s="18">
        <v>0</v>
      </c>
      <c r="F2119" s="24">
        <v>0</v>
      </c>
    </row>
    <row r="2120" spans="2:6" x14ac:dyDescent="0.2">
      <c r="B2120" s="5">
        <v>46136</v>
      </c>
      <c r="C2120" t="s">
        <v>877</v>
      </c>
      <c r="D2120" s="11">
        <v>91</v>
      </c>
      <c r="E2120" s="18">
        <v>2</v>
      </c>
      <c r="F2120" s="24">
        <v>2.197802197802198E-2</v>
      </c>
    </row>
    <row r="2121" spans="2:6" x14ac:dyDescent="0.2">
      <c r="B2121" s="5">
        <v>46136</v>
      </c>
      <c r="C2121" t="s">
        <v>878</v>
      </c>
      <c r="D2121" s="11">
        <v>888</v>
      </c>
      <c r="E2121" s="18">
        <v>4</v>
      </c>
      <c r="F2121" s="24">
        <v>4.5045045045045045E-3</v>
      </c>
    </row>
    <row r="2122" spans="2:6" x14ac:dyDescent="0.2">
      <c r="B2122" s="5">
        <v>46137</v>
      </c>
      <c r="C2122" t="s">
        <v>875</v>
      </c>
      <c r="D2122" s="11">
        <v>212</v>
      </c>
      <c r="E2122" s="18">
        <v>0</v>
      </c>
      <c r="F2122" s="24">
        <v>0</v>
      </c>
    </row>
    <row r="2123" spans="2:6" x14ac:dyDescent="0.2">
      <c r="B2123" s="5">
        <v>46137</v>
      </c>
      <c r="C2123" t="s">
        <v>84</v>
      </c>
      <c r="D2123" s="11">
        <v>201</v>
      </c>
      <c r="E2123" s="18">
        <v>0</v>
      </c>
      <c r="F2123" s="24">
        <v>0</v>
      </c>
    </row>
    <row r="2124" spans="2:6" x14ac:dyDescent="0.2">
      <c r="B2124" s="5">
        <v>46137</v>
      </c>
      <c r="C2124" t="s">
        <v>86</v>
      </c>
      <c r="D2124" s="11">
        <v>32</v>
      </c>
      <c r="E2124" s="18">
        <v>2</v>
      </c>
      <c r="F2124" s="24">
        <v>6.25E-2</v>
      </c>
    </row>
    <row r="2125" spans="2:6" x14ac:dyDescent="0.2">
      <c r="B2125" s="5">
        <v>46137</v>
      </c>
      <c r="C2125" t="s">
        <v>876</v>
      </c>
      <c r="D2125" s="11">
        <v>3</v>
      </c>
      <c r="E2125" s="18">
        <v>0</v>
      </c>
      <c r="F2125" s="24">
        <v>0</v>
      </c>
    </row>
    <row r="2126" spans="2:6" x14ac:dyDescent="0.2">
      <c r="B2126" s="5">
        <v>46137</v>
      </c>
      <c r="C2126" t="s">
        <v>877</v>
      </c>
      <c r="D2126" s="11">
        <v>99</v>
      </c>
      <c r="E2126" s="18">
        <v>4</v>
      </c>
      <c r="F2126" s="24">
        <v>4.0404040404040407E-2</v>
      </c>
    </row>
    <row r="2127" spans="2:6" x14ac:dyDescent="0.2">
      <c r="B2127" s="5">
        <v>46137</v>
      </c>
      <c r="C2127" t="s">
        <v>878</v>
      </c>
      <c r="D2127" s="11">
        <v>547</v>
      </c>
      <c r="E2127" s="18">
        <v>6</v>
      </c>
      <c r="F2127" s="24">
        <v>1.0968921389396709E-2</v>
      </c>
    </row>
    <row r="2128" spans="2:6" x14ac:dyDescent="0.2">
      <c r="B2128" s="5">
        <v>46138</v>
      </c>
      <c r="C2128" t="s">
        <v>875</v>
      </c>
      <c r="D2128" s="11">
        <v>191</v>
      </c>
      <c r="E2128" s="18">
        <v>0</v>
      </c>
      <c r="F2128" s="24">
        <v>0</v>
      </c>
    </row>
    <row r="2129" spans="2:6" x14ac:dyDescent="0.2">
      <c r="B2129" s="5">
        <v>46138</v>
      </c>
      <c r="C2129" t="s">
        <v>84</v>
      </c>
      <c r="D2129" s="11">
        <v>243</v>
      </c>
      <c r="E2129" s="18">
        <v>1</v>
      </c>
      <c r="F2129" s="24">
        <v>4.11522633744856E-3</v>
      </c>
    </row>
    <row r="2130" spans="2:6" x14ac:dyDescent="0.2">
      <c r="B2130" s="5">
        <v>46138</v>
      </c>
      <c r="C2130" t="s">
        <v>86</v>
      </c>
      <c r="D2130" s="11">
        <v>31</v>
      </c>
      <c r="E2130" s="18">
        <v>0</v>
      </c>
      <c r="F2130" s="24">
        <v>0</v>
      </c>
    </row>
    <row r="2131" spans="2:6" x14ac:dyDescent="0.2">
      <c r="B2131" s="5">
        <v>46138</v>
      </c>
      <c r="C2131" t="s">
        <v>876</v>
      </c>
      <c r="D2131" s="11">
        <v>4</v>
      </c>
      <c r="E2131" s="18">
        <v>0</v>
      </c>
      <c r="F2131" s="24">
        <v>0</v>
      </c>
    </row>
    <row r="2132" spans="2:6" x14ac:dyDescent="0.2">
      <c r="B2132" s="5">
        <v>46138</v>
      </c>
      <c r="C2132" t="s">
        <v>877</v>
      </c>
      <c r="D2132" s="11">
        <v>98</v>
      </c>
      <c r="E2132" s="18">
        <v>3</v>
      </c>
      <c r="F2132" s="24">
        <v>3.0612244897959183E-2</v>
      </c>
    </row>
    <row r="2133" spans="2:6" x14ac:dyDescent="0.2">
      <c r="B2133" s="5">
        <v>46138</v>
      </c>
      <c r="C2133" t="s">
        <v>878</v>
      </c>
      <c r="D2133" s="11">
        <v>567</v>
      </c>
      <c r="E2133" s="18">
        <v>4</v>
      </c>
      <c r="F2133" s="24">
        <v>7.0546737213403876E-3</v>
      </c>
    </row>
    <row r="2134" spans="2:6" x14ac:dyDescent="0.2">
      <c r="B2134" s="5">
        <v>46139</v>
      </c>
      <c r="C2134" t="s">
        <v>875</v>
      </c>
      <c r="D2134" s="11">
        <v>71</v>
      </c>
      <c r="E2134" s="18">
        <v>0</v>
      </c>
      <c r="F2134" s="24">
        <v>0</v>
      </c>
    </row>
    <row r="2135" spans="2:6" x14ac:dyDescent="0.2">
      <c r="B2135" s="5">
        <v>46139</v>
      </c>
      <c r="C2135" t="s">
        <v>84</v>
      </c>
      <c r="D2135" s="11">
        <v>195</v>
      </c>
      <c r="E2135" s="18">
        <v>1</v>
      </c>
      <c r="F2135" s="24">
        <v>5.1282051282051282E-3</v>
      </c>
    </row>
    <row r="2136" spans="2:6" x14ac:dyDescent="0.2">
      <c r="B2136" s="5">
        <v>46139</v>
      </c>
      <c r="C2136" t="s">
        <v>86</v>
      </c>
      <c r="D2136" s="11">
        <v>49</v>
      </c>
      <c r="E2136" s="18">
        <v>0</v>
      </c>
      <c r="F2136" s="24">
        <v>0</v>
      </c>
    </row>
    <row r="2137" spans="2:6" x14ac:dyDescent="0.2">
      <c r="B2137" s="5">
        <v>46139</v>
      </c>
      <c r="C2137" t="s">
        <v>876</v>
      </c>
      <c r="D2137" s="11">
        <v>1</v>
      </c>
      <c r="E2137" s="18">
        <v>0</v>
      </c>
      <c r="F2137" s="24">
        <v>0</v>
      </c>
    </row>
    <row r="2138" spans="2:6" x14ac:dyDescent="0.2">
      <c r="B2138" s="5">
        <v>46139</v>
      </c>
      <c r="C2138" t="s">
        <v>877</v>
      </c>
      <c r="D2138" s="11">
        <v>135</v>
      </c>
      <c r="E2138" s="18">
        <v>5</v>
      </c>
      <c r="F2138" s="24">
        <v>3.7037037037037035E-2</v>
      </c>
    </row>
    <row r="2139" spans="2:6" x14ac:dyDescent="0.2">
      <c r="B2139" s="5">
        <v>46139</v>
      </c>
      <c r="C2139" t="s">
        <v>878</v>
      </c>
      <c r="D2139" s="11">
        <v>451</v>
      </c>
      <c r="E2139" s="18">
        <v>6</v>
      </c>
      <c r="F2139" s="24">
        <v>1.3303769401330377E-2</v>
      </c>
    </row>
    <row r="2140" spans="2:6" x14ac:dyDescent="0.2">
      <c r="B2140" s="5">
        <v>46140</v>
      </c>
      <c r="C2140" t="s">
        <v>875</v>
      </c>
      <c r="D2140" s="11">
        <v>3</v>
      </c>
      <c r="E2140" s="18">
        <v>0</v>
      </c>
      <c r="F2140" s="24">
        <v>0</v>
      </c>
    </row>
    <row r="2141" spans="2:6" x14ac:dyDescent="0.2">
      <c r="B2141" s="5">
        <v>46140</v>
      </c>
      <c r="C2141" t="s">
        <v>84</v>
      </c>
      <c r="D2141" s="11">
        <v>162</v>
      </c>
      <c r="E2141" s="18">
        <v>1</v>
      </c>
      <c r="F2141" s="24">
        <v>6.1728395061728392E-3</v>
      </c>
    </row>
    <row r="2142" spans="2:6" x14ac:dyDescent="0.2">
      <c r="B2142" s="5">
        <v>46140</v>
      </c>
      <c r="C2142" t="s">
        <v>86</v>
      </c>
      <c r="D2142" s="11">
        <v>70</v>
      </c>
      <c r="E2142" s="18">
        <v>4</v>
      </c>
      <c r="F2142" s="24">
        <v>5.7142857142857141E-2</v>
      </c>
    </row>
    <row r="2143" spans="2:6" x14ac:dyDescent="0.2">
      <c r="B2143" s="5">
        <v>46140</v>
      </c>
      <c r="C2143" t="s">
        <v>877</v>
      </c>
      <c r="D2143" s="11">
        <v>110</v>
      </c>
      <c r="E2143" s="18">
        <v>2</v>
      </c>
      <c r="F2143" s="24">
        <v>1.8181818181818181E-2</v>
      </c>
    </row>
    <row r="2144" spans="2:6" x14ac:dyDescent="0.2">
      <c r="B2144" s="5">
        <v>46140</v>
      </c>
      <c r="C2144" t="s">
        <v>878</v>
      </c>
      <c r="D2144" s="11">
        <v>345</v>
      </c>
      <c r="E2144" s="18">
        <v>7</v>
      </c>
      <c r="F2144" s="24">
        <v>2.0289855072463767E-2</v>
      </c>
    </row>
    <row r="2145" spans="2:6" x14ac:dyDescent="0.2">
      <c r="B2145" s="5">
        <v>46141</v>
      </c>
      <c r="C2145" t="s">
        <v>875</v>
      </c>
      <c r="D2145" s="11">
        <v>6</v>
      </c>
      <c r="E2145" s="18">
        <v>0</v>
      </c>
      <c r="F2145" s="24">
        <v>0</v>
      </c>
    </row>
    <row r="2146" spans="2:6" x14ac:dyDescent="0.2">
      <c r="B2146" s="5">
        <v>46141</v>
      </c>
      <c r="C2146" t="s">
        <v>84</v>
      </c>
      <c r="D2146" s="11">
        <v>144</v>
      </c>
      <c r="E2146" s="18">
        <v>1</v>
      </c>
      <c r="F2146" s="24">
        <v>6.9444444444444441E-3</v>
      </c>
    </row>
    <row r="2147" spans="2:6" x14ac:dyDescent="0.2">
      <c r="B2147" s="5">
        <v>46141</v>
      </c>
      <c r="C2147" t="s">
        <v>86</v>
      </c>
      <c r="D2147" s="11">
        <v>39</v>
      </c>
      <c r="E2147" s="18">
        <v>2</v>
      </c>
      <c r="F2147" s="24">
        <v>5.128205128205128E-2</v>
      </c>
    </row>
    <row r="2148" spans="2:6" x14ac:dyDescent="0.2">
      <c r="B2148" s="5">
        <v>46141</v>
      </c>
      <c r="C2148" t="s">
        <v>877</v>
      </c>
      <c r="D2148" s="11">
        <v>139</v>
      </c>
      <c r="E2148" s="18">
        <v>5</v>
      </c>
      <c r="F2148" s="24">
        <v>3.5971223021582732E-2</v>
      </c>
    </row>
    <row r="2149" spans="2:6" x14ac:dyDescent="0.2">
      <c r="B2149" s="5">
        <v>46141</v>
      </c>
      <c r="C2149" t="s">
        <v>878</v>
      </c>
      <c r="D2149" s="11">
        <v>328</v>
      </c>
      <c r="E2149" s="18">
        <v>8</v>
      </c>
      <c r="F2149" s="24">
        <v>2.4390243902439025E-2</v>
      </c>
    </row>
    <row r="2150" spans="2:6" x14ac:dyDescent="0.2">
      <c r="B2150" s="5">
        <v>46142</v>
      </c>
      <c r="C2150" t="s">
        <v>875</v>
      </c>
      <c r="D2150" s="11">
        <v>14</v>
      </c>
      <c r="E2150" s="18">
        <v>0</v>
      </c>
      <c r="F2150" s="24">
        <v>0</v>
      </c>
    </row>
    <row r="2151" spans="2:6" x14ac:dyDescent="0.2">
      <c r="B2151" s="5">
        <v>46142</v>
      </c>
      <c r="C2151" t="s">
        <v>84</v>
      </c>
      <c r="D2151" s="11">
        <v>172</v>
      </c>
      <c r="E2151" s="18">
        <v>1</v>
      </c>
      <c r="F2151" s="24">
        <v>5.8139534883720929E-3</v>
      </c>
    </row>
    <row r="2152" spans="2:6" x14ac:dyDescent="0.2">
      <c r="B2152" s="5">
        <v>46142</v>
      </c>
      <c r="C2152" t="s">
        <v>86</v>
      </c>
      <c r="D2152" s="11">
        <v>42</v>
      </c>
      <c r="E2152" s="18">
        <v>0</v>
      </c>
      <c r="F2152" s="24">
        <v>0</v>
      </c>
    </row>
    <row r="2153" spans="2:6" x14ac:dyDescent="0.2">
      <c r="B2153" s="5">
        <v>46142</v>
      </c>
      <c r="C2153" t="s">
        <v>877</v>
      </c>
      <c r="D2153" s="11">
        <v>80</v>
      </c>
      <c r="E2153" s="18">
        <v>1</v>
      </c>
      <c r="F2153" s="24">
        <v>1.2500000000000001E-2</v>
      </c>
    </row>
    <row r="2154" spans="2:6" x14ac:dyDescent="0.2">
      <c r="B2154" s="5">
        <v>46142</v>
      </c>
      <c r="C2154" t="s">
        <v>878</v>
      </c>
      <c r="D2154" s="11">
        <v>308</v>
      </c>
      <c r="E2154" s="18">
        <v>2</v>
      </c>
      <c r="F2154" s="24">
        <v>6.4935064935064939E-3</v>
      </c>
    </row>
    <row r="2155" spans="2:6" x14ac:dyDescent="0.2">
      <c r="B2155" s="5">
        <v>46143</v>
      </c>
      <c r="C2155" t="s">
        <v>875</v>
      </c>
      <c r="D2155" s="11">
        <v>2</v>
      </c>
      <c r="E2155" s="18">
        <v>0</v>
      </c>
      <c r="F2155" s="24">
        <v>0</v>
      </c>
    </row>
    <row r="2156" spans="2:6" x14ac:dyDescent="0.2">
      <c r="B2156" s="5">
        <v>46143</v>
      </c>
      <c r="C2156" t="s">
        <v>84</v>
      </c>
      <c r="D2156" s="11">
        <v>5</v>
      </c>
      <c r="E2156" s="18">
        <v>0</v>
      </c>
      <c r="F2156" s="24">
        <v>0</v>
      </c>
    </row>
    <row r="2157" spans="2:6" x14ac:dyDescent="0.2">
      <c r="B2157" s="5">
        <v>46143</v>
      </c>
      <c r="C2157" t="s">
        <v>86</v>
      </c>
      <c r="D2157" s="11">
        <v>1</v>
      </c>
      <c r="E2157" s="18">
        <v>0</v>
      </c>
      <c r="F2157" s="24">
        <v>0</v>
      </c>
    </row>
    <row r="2158" spans="2:6" x14ac:dyDescent="0.2">
      <c r="B2158" s="5">
        <v>46143</v>
      </c>
      <c r="C2158" t="s">
        <v>877</v>
      </c>
      <c r="D2158" s="11">
        <v>7</v>
      </c>
      <c r="E2158" s="18">
        <v>0</v>
      </c>
      <c r="F2158" s="24">
        <v>0</v>
      </c>
    </row>
    <row r="2159" spans="2:6" x14ac:dyDescent="0.2">
      <c r="B2159" s="5">
        <v>46143</v>
      </c>
      <c r="C2159" t="s">
        <v>878</v>
      </c>
      <c r="D2159" s="11">
        <v>15</v>
      </c>
      <c r="E2159" s="18">
        <v>0</v>
      </c>
      <c r="F2159" s="24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A0AB-3379-4D96-82FF-D7021FECE4F5}">
  <dimension ref="B5:G11396"/>
  <sheetViews>
    <sheetView workbookViewId="0">
      <selection activeCell="B5" sqref="B5:G11396"/>
    </sheetView>
  </sheetViews>
  <sheetFormatPr defaultRowHeight="12" x14ac:dyDescent="0.2"/>
  <cols>
    <col min="2" max="2" width="10.83203125" bestFit="1" customWidth="1"/>
    <col min="3" max="3" width="21.1640625" bestFit="1" customWidth="1"/>
    <col min="4" max="4" width="27.6640625" bestFit="1" customWidth="1"/>
    <col min="5" max="5" width="81.33203125" bestFit="1" customWidth="1"/>
    <col min="6" max="6" width="18.1640625" bestFit="1" customWidth="1"/>
    <col min="7" max="7" width="11.6640625" bestFit="1" customWidth="1"/>
  </cols>
  <sheetData>
    <row r="5" spans="2:7" x14ac:dyDescent="0.2">
      <c r="B5" t="s">
        <v>42</v>
      </c>
      <c r="C5" t="s">
        <v>139</v>
      </c>
      <c r="D5" t="s">
        <v>632</v>
      </c>
      <c r="E5" t="s">
        <v>140</v>
      </c>
      <c r="F5" t="s">
        <v>141</v>
      </c>
      <c r="G5" t="s">
        <v>45</v>
      </c>
    </row>
    <row r="6" spans="2:7" x14ac:dyDescent="0.2">
      <c r="B6" s="32"/>
      <c r="D6" s="13"/>
      <c r="F6" s="11"/>
      <c r="G6" s="11"/>
    </row>
    <row r="7" spans="2:7" x14ac:dyDescent="0.2">
      <c r="B7" s="32">
        <v>45778</v>
      </c>
      <c r="C7" t="s">
        <v>142</v>
      </c>
      <c r="D7" s="13" t="s">
        <v>634</v>
      </c>
      <c r="E7" t="s">
        <v>1740</v>
      </c>
      <c r="F7" s="11">
        <v>1</v>
      </c>
      <c r="G7" s="11">
        <v>138655.47</v>
      </c>
    </row>
    <row r="8" spans="2:7" x14ac:dyDescent="0.2">
      <c r="B8" s="32">
        <v>45778</v>
      </c>
      <c r="C8" t="s">
        <v>142</v>
      </c>
      <c r="D8" s="13" t="s">
        <v>634</v>
      </c>
      <c r="E8" t="s">
        <v>165</v>
      </c>
      <c r="F8" s="11">
        <v>1</v>
      </c>
      <c r="G8" s="11">
        <v>75630.25</v>
      </c>
    </row>
    <row r="9" spans="2:7" x14ac:dyDescent="0.2">
      <c r="B9" s="32">
        <v>45778</v>
      </c>
      <c r="C9" t="s">
        <v>142</v>
      </c>
      <c r="D9" s="13" t="s">
        <v>634</v>
      </c>
      <c r="E9" t="s">
        <v>340</v>
      </c>
      <c r="F9" s="11">
        <v>1</v>
      </c>
      <c r="G9" s="11">
        <v>75630.25</v>
      </c>
    </row>
    <row r="10" spans="2:7" x14ac:dyDescent="0.2">
      <c r="B10" s="32">
        <v>45778</v>
      </c>
      <c r="C10" t="s">
        <v>142</v>
      </c>
      <c r="D10" s="13" t="s">
        <v>634</v>
      </c>
      <c r="E10" t="s">
        <v>387</v>
      </c>
      <c r="F10" s="11">
        <v>1</v>
      </c>
      <c r="G10" s="11">
        <v>54621.85</v>
      </c>
    </row>
    <row r="11" spans="2:7" x14ac:dyDescent="0.2">
      <c r="B11" s="32">
        <v>45778</v>
      </c>
      <c r="C11" t="s">
        <v>142</v>
      </c>
      <c r="D11" s="13" t="s">
        <v>634</v>
      </c>
      <c r="E11" t="s">
        <v>1741</v>
      </c>
      <c r="F11" s="11">
        <v>1</v>
      </c>
      <c r="G11" s="11">
        <v>49159.66</v>
      </c>
    </row>
    <row r="12" spans="2:7" x14ac:dyDescent="0.2">
      <c r="B12" s="32">
        <v>45778</v>
      </c>
      <c r="C12" t="s">
        <v>142</v>
      </c>
      <c r="D12" s="13" t="s">
        <v>634</v>
      </c>
      <c r="E12" t="s">
        <v>793</v>
      </c>
      <c r="F12" s="11">
        <v>1</v>
      </c>
      <c r="G12" s="11">
        <v>42016.81</v>
      </c>
    </row>
    <row r="13" spans="2:7" x14ac:dyDescent="0.2">
      <c r="B13" s="32">
        <v>45778</v>
      </c>
      <c r="C13" t="s">
        <v>142</v>
      </c>
      <c r="D13" s="13" t="s">
        <v>634</v>
      </c>
      <c r="E13" t="s">
        <v>468</v>
      </c>
      <c r="F13" s="11">
        <v>1</v>
      </c>
      <c r="G13" s="11">
        <v>37815.129999999997</v>
      </c>
    </row>
    <row r="14" spans="2:7" x14ac:dyDescent="0.2">
      <c r="B14" s="32">
        <v>45778</v>
      </c>
      <c r="C14" t="s">
        <v>142</v>
      </c>
      <c r="D14" s="13" t="s">
        <v>634</v>
      </c>
      <c r="E14" t="s">
        <v>441</v>
      </c>
      <c r="F14" s="11">
        <v>1</v>
      </c>
      <c r="G14" s="11">
        <v>29411.759999999998</v>
      </c>
    </row>
    <row r="15" spans="2:7" x14ac:dyDescent="0.2">
      <c r="B15" s="32">
        <v>45778</v>
      </c>
      <c r="C15" t="s">
        <v>142</v>
      </c>
      <c r="D15" s="13" t="s">
        <v>634</v>
      </c>
      <c r="E15" t="s">
        <v>1742</v>
      </c>
      <c r="F15" s="11">
        <v>1</v>
      </c>
      <c r="G15" s="11">
        <v>13445.37</v>
      </c>
    </row>
    <row r="16" spans="2:7" x14ac:dyDescent="0.2">
      <c r="B16" s="32">
        <v>45778</v>
      </c>
      <c r="C16" t="s">
        <v>142</v>
      </c>
      <c r="D16" s="13" t="s">
        <v>634</v>
      </c>
      <c r="F16" s="11">
        <v>0</v>
      </c>
      <c r="G16" s="11">
        <v>0</v>
      </c>
    </row>
    <row r="17" spans="2:7" x14ac:dyDescent="0.2">
      <c r="B17" s="32">
        <v>45778</v>
      </c>
      <c r="C17" t="s">
        <v>142</v>
      </c>
      <c r="D17" s="13" t="s">
        <v>633</v>
      </c>
      <c r="E17" t="s">
        <v>249</v>
      </c>
      <c r="F17" s="11">
        <v>1</v>
      </c>
      <c r="G17" s="11">
        <v>96638.66</v>
      </c>
    </row>
    <row r="18" spans="2:7" x14ac:dyDescent="0.2">
      <c r="B18" s="32">
        <v>45778</v>
      </c>
      <c r="C18" t="s">
        <v>142</v>
      </c>
      <c r="D18" s="13" t="s">
        <v>633</v>
      </c>
      <c r="E18" t="s">
        <v>553</v>
      </c>
      <c r="F18" s="11">
        <v>1</v>
      </c>
      <c r="G18" s="11">
        <v>58823.53</v>
      </c>
    </row>
    <row r="19" spans="2:7" x14ac:dyDescent="0.2">
      <c r="B19" s="32">
        <v>45778</v>
      </c>
      <c r="C19" t="s">
        <v>142</v>
      </c>
      <c r="D19" s="13" t="s">
        <v>633</v>
      </c>
      <c r="E19" t="s">
        <v>677</v>
      </c>
      <c r="F19" s="11">
        <v>1</v>
      </c>
      <c r="G19" s="11">
        <v>58823.53</v>
      </c>
    </row>
    <row r="20" spans="2:7" x14ac:dyDescent="0.2">
      <c r="B20" s="32">
        <v>45778</v>
      </c>
      <c r="C20" t="s">
        <v>142</v>
      </c>
      <c r="D20" s="13" t="s">
        <v>633</v>
      </c>
      <c r="E20" t="s">
        <v>153</v>
      </c>
      <c r="F20" s="11">
        <v>1</v>
      </c>
      <c r="G20" s="11">
        <v>42016.800000000003</v>
      </c>
    </row>
    <row r="21" spans="2:7" x14ac:dyDescent="0.2">
      <c r="B21" s="32">
        <v>45778</v>
      </c>
      <c r="C21" t="s">
        <v>142</v>
      </c>
      <c r="D21" s="13" t="s">
        <v>633</v>
      </c>
      <c r="E21" t="s">
        <v>206</v>
      </c>
      <c r="F21" s="11">
        <v>1</v>
      </c>
      <c r="G21" s="11">
        <v>37815.129999999997</v>
      </c>
    </row>
    <row r="22" spans="2:7" x14ac:dyDescent="0.2">
      <c r="B22" s="32">
        <v>45778</v>
      </c>
      <c r="C22" t="s">
        <v>142</v>
      </c>
      <c r="D22" s="13" t="s">
        <v>633</v>
      </c>
      <c r="F22" s="11">
        <v>0</v>
      </c>
      <c r="G22" s="11">
        <v>0</v>
      </c>
    </row>
    <row r="23" spans="2:7" x14ac:dyDescent="0.2">
      <c r="B23" s="32">
        <v>45779</v>
      </c>
      <c r="C23" t="s">
        <v>142</v>
      </c>
      <c r="D23" s="13" t="s">
        <v>634</v>
      </c>
      <c r="E23" t="s">
        <v>1743</v>
      </c>
      <c r="F23" s="11">
        <v>1</v>
      </c>
      <c r="G23" s="11">
        <v>411764.71</v>
      </c>
    </row>
    <row r="24" spans="2:7" x14ac:dyDescent="0.2">
      <c r="B24" s="32">
        <v>45779</v>
      </c>
      <c r="C24" t="s">
        <v>142</v>
      </c>
      <c r="D24" s="13" t="s">
        <v>634</v>
      </c>
      <c r="E24" t="s">
        <v>449</v>
      </c>
      <c r="F24" s="11">
        <v>1</v>
      </c>
      <c r="G24" s="11">
        <v>411764.7</v>
      </c>
    </row>
    <row r="25" spans="2:7" x14ac:dyDescent="0.2">
      <c r="B25" s="32">
        <v>45779</v>
      </c>
      <c r="C25" t="s">
        <v>142</v>
      </c>
      <c r="D25" s="13" t="s">
        <v>634</v>
      </c>
      <c r="E25" t="s">
        <v>1744</v>
      </c>
      <c r="F25" s="11">
        <v>4</v>
      </c>
      <c r="G25" s="11">
        <v>267970.14</v>
      </c>
    </row>
    <row r="26" spans="2:7" x14ac:dyDescent="0.2">
      <c r="B26" s="32">
        <v>45779</v>
      </c>
      <c r="C26" t="s">
        <v>142</v>
      </c>
      <c r="D26" s="13" t="s">
        <v>634</v>
      </c>
      <c r="E26" t="s">
        <v>503</v>
      </c>
      <c r="F26" s="11">
        <v>1</v>
      </c>
      <c r="G26" s="11">
        <v>226890.76</v>
      </c>
    </row>
    <row r="27" spans="2:7" x14ac:dyDescent="0.2">
      <c r="B27" s="32">
        <v>45779</v>
      </c>
      <c r="C27" t="s">
        <v>142</v>
      </c>
      <c r="D27" s="13" t="s">
        <v>634</v>
      </c>
      <c r="E27" t="s">
        <v>538</v>
      </c>
      <c r="F27" s="11">
        <v>2</v>
      </c>
      <c r="G27" s="11">
        <v>176470.59</v>
      </c>
    </row>
    <row r="28" spans="2:7" x14ac:dyDescent="0.2">
      <c r="B28" s="32">
        <v>45779</v>
      </c>
      <c r="C28" t="s">
        <v>142</v>
      </c>
      <c r="D28" s="13" t="s">
        <v>634</v>
      </c>
      <c r="E28" t="s">
        <v>233</v>
      </c>
      <c r="F28" s="11">
        <v>3</v>
      </c>
      <c r="G28" s="11">
        <v>170588.24</v>
      </c>
    </row>
    <row r="29" spans="2:7" x14ac:dyDescent="0.2">
      <c r="B29" s="32">
        <v>45779</v>
      </c>
      <c r="C29" t="s">
        <v>142</v>
      </c>
      <c r="D29" s="13" t="s">
        <v>634</v>
      </c>
      <c r="E29" t="s">
        <v>1745</v>
      </c>
      <c r="F29" s="11">
        <v>1</v>
      </c>
      <c r="G29" s="11">
        <v>138655.46</v>
      </c>
    </row>
    <row r="30" spans="2:7" x14ac:dyDescent="0.2">
      <c r="B30" s="32">
        <v>45779</v>
      </c>
      <c r="C30" t="s">
        <v>142</v>
      </c>
      <c r="D30" s="13" t="s">
        <v>634</v>
      </c>
      <c r="E30" t="s">
        <v>1746</v>
      </c>
      <c r="F30" s="11">
        <v>1</v>
      </c>
      <c r="G30" s="11">
        <v>130252.1</v>
      </c>
    </row>
    <row r="31" spans="2:7" x14ac:dyDescent="0.2">
      <c r="B31" s="32">
        <v>45779</v>
      </c>
      <c r="C31" t="s">
        <v>142</v>
      </c>
      <c r="D31" s="13" t="s">
        <v>634</v>
      </c>
      <c r="E31" t="s">
        <v>694</v>
      </c>
      <c r="F31" s="11">
        <v>1</v>
      </c>
      <c r="G31" s="11">
        <v>130252.1</v>
      </c>
    </row>
    <row r="32" spans="2:7" x14ac:dyDescent="0.2">
      <c r="B32" s="32">
        <v>45779</v>
      </c>
      <c r="C32" t="s">
        <v>142</v>
      </c>
      <c r="D32" s="13" t="s">
        <v>634</v>
      </c>
      <c r="E32" t="s">
        <v>448</v>
      </c>
      <c r="F32" s="11">
        <v>1</v>
      </c>
      <c r="G32" s="11">
        <v>117226.89</v>
      </c>
    </row>
    <row r="33" spans="2:7" x14ac:dyDescent="0.2">
      <c r="B33" s="32">
        <v>45779</v>
      </c>
      <c r="C33" t="s">
        <v>142</v>
      </c>
      <c r="D33" s="13" t="s">
        <v>634</v>
      </c>
      <c r="E33" t="s">
        <v>335</v>
      </c>
      <c r="F33" s="11">
        <v>2</v>
      </c>
      <c r="G33" s="11">
        <v>111764.7</v>
      </c>
    </row>
    <row r="34" spans="2:7" x14ac:dyDescent="0.2">
      <c r="B34" s="32">
        <v>45779</v>
      </c>
      <c r="C34" t="s">
        <v>142</v>
      </c>
      <c r="D34" s="13" t="s">
        <v>634</v>
      </c>
      <c r="E34" t="s">
        <v>655</v>
      </c>
      <c r="F34" s="11">
        <v>1</v>
      </c>
      <c r="G34" s="11">
        <v>109243.7</v>
      </c>
    </row>
    <row r="35" spans="2:7" x14ac:dyDescent="0.2">
      <c r="B35" s="32">
        <v>45779</v>
      </c>
      <c r="C35" t="s">
        <v>142</v>
      </c>
      <c r="D35" s="13" t="s">
        <v>634</v>
      </c>
      <c r="E35" t="s">
        <v>1747</v>
      </c>
      <c r="F35" s="11">
        <v>1</v>
      </c>
      <c r="G35" s="11">
        <v>98319.33</v>
      </c>
    </row>
    <row r="36" spans="2:7" x14ac:dyDescent="0.2">
      <c r="B36" s="32">
        <v>45779</v>
      </c>
      <c r="C36" t="s">
        <v>142</v>
      </c>
      <c r="D36" s="13" t="s">
        <v>634</v>
      </c>
      <c r="E36" t="s">
        <v>689</v>
      </c>
      <c r="F36" s="11">
        <v>1</v>
      </c>
      <c r="G36" s="11">
        <v>88235.29</v>
      </c>
    </row>
    <row r="37" spans="2:7" x14ac:dyDescent="0.2">
      <c r="B37" s="32">
        <v>45779</v>
      </c>
      <c r="C37" t="s">
        <v>142</v>
      </c>
      <c r="D37" s="13" t="s">
        <v>634</v>
      </c>
      <c r="E37" t="s">
        <v>521</v>
      </c>
      <c r="F37" s="11">
        <v>1</v>
      </c>
      <c r="G37" s="11">
        <v>79411.759999999995</v>
      </c>
    </row>
    <row r="38" spans="2:7" x14ac:dyDescent="0.2">
      <c r="B38" s="32">
        <v>45779</v>
      </c>
      <c r="C38" t="s">
        <v>142</v>
      </c>
      <c r="D38" s="13" t="s">
        <v>634</v>
      </c>
      <c r="E38" t="s">
        <v>807</v>
      </c>
      <c r="F38" s="11">
        <v>1</v>
      </c>
      <c r="G38" s="11">
        <v>58823.53</v>
      </c>
    </row>
    <row r="39" spans="2:7" x14ac:dyDescent="0.2">
      <c r="B39" s="32">
        <v>45779</v>
      </c>
      <c r="C39" t="s">
        <v>142</v>
      </c>
      <c r="D39" s="13" t="s">
        <v>634</v>
      </c>
      <c r="E39" t="s">
        <v>447</v>
      </c>
      <c r="F39" s="11">
        <v>1</v>
      </c>
      <c r="G39" s="11">
        <v>58823.53</v>
      </c>
    </row>
    <row r="40" spans="2:7" x14ac:dyDescent="0.2">
      <c r="B40" s="32">
        <v>45779</v>
      </c>
      <c r="C40" t="s">
        <v>142</v>
      </c>
      <c r="D40" s="13" t="s">
        <v>634</v>
      </c>
      <c r="E40" t="s">
        <v>1748</v>
      </c>
      <c r="F40" s="11">
        <v>1</v>
      </c>
      <c r="G40" s="11">
        <v>58823.53</v>
      </c>
    </row>
    <row r="41" spans="2:7" x14ac:dyDescent="0.2">
      <c r="B41" s="32">
        <v>45779</v>
      </c>
      <c r="C41" t="s">
        <v>142</v>
      </c>
      <c r="D41" s="13" t="s">
        <v>634</v>
      </c>
      <c r="E41" t="s">
        <v>251</v>
      </c>
      <c r="F41" s="11">
        <v>1</v>
      </c>
      <c r="G41" s="11">
        <v>58823.53</v>
      </c>
    </row>
    <row r="42" spans="2:7" x14ac:dyDescent="0.2">
      <c r="B42" s="32">
        <v>45779</v>
      </c>
      <c r="C42" t="s">
        <v>142</v>
      </c>
      <c r="D42" s="13" t="s">
        <v>634</v>
      </c>
      <c r="E42" t="s">
        <v>809</v>
      </c>
      <c r="F42" s="11">
        <v>1</v>
      </c>
      <c r="G42" s="11">
        <v>58823.53</v>
      </c>
    </row>
    <row r="43" spans="2:7" x14ac:dyDescent="0.2">
      <c r="B43" s="32">
        <v>45779</v>
      </c>
      <c r="C43" t="s">
        <v>142</v>
      </c>
      <c r="D43" s="13" t="s">
        <v>634</v>
      </c>
      <c r="E43" t="s">
        <v>680</v>
      </c>
      <c r="F43" s="11">
        <v>1</v>
      </c>
      <c r="G43" s="11">
        <v>58823.53</v>
      </c>
    </row>
    <row r="44" spans="2:7" x14ac:dyDescent="0.2">
      <c r="B44" s="32">
        <v>45779</v>
      </c>
      <c r="C44" t="s">
        <v>142</v>
      </c>
      <c r="D44" s="13" t="s">
        <v>634</v>
      </c>
      <c r="E44" t="s">
        <v>282</v>
      </c>
      <c r="F44" s="11">
        <v>1</v>
      </c>
      <c r="G44" s="11">
        <v>58823.53</v>
      </c>
    </row>
    <row r="45" spans="2:7" x14ac:dyDescent="0.2">
      <c r="B45" s="32">
        <v>45779</v>
      </c>
      <c r="C45" t="s">
        <v>142</v>
      </c>
      <c r="D45" s="13" t="s">
        <v>634</v>
      </c>
      <c r="E45" t="s">
        <v>281</v>
      </c>
      <c r="F45" s="11">
        <v>1</v>
      </c>
      <c r="G45" s="11">
        <v>58823.53</v>
      </c>
    </row>
    <row r="46" spans="2:7" x14ac:dyDescent="0.2">
      <c r="B46" s="32">
        <v>45779</v>
      </c>
      <c r="C46" t="s">
        <v>142</v>
      </c>
      <c r="D46" s="13" t="s">
        <v>634</v>
      </c>
      <c r="E46" t="s">
        <v>721</v>
      </c>
      <c r="F46" s="11">
        <v>1</v>
      </c>
      <c r="G46" s="11">
        <v>58823.53</v>
      </c>
    </row>
    <row r="47" spans="2:7" x14ac:dyDescent="0.2">
      <c r="B47" s="32">
        <v>45779</v>
      </c>
      <c r="C47" t="s">
        <v>142</v>
      </c>
      <c r="D47" s="13" t="s">
        <v>634</v>
      </c>
      <c r="E47" t="s">
        <v>271</v>
      </c>
      <c r="F47" s="11">
        <v>1</v>
      </c>
      <c r="G47" s="11">
        <v>58354.82</v>
      </c>
    </row>
    <row r="48" spans="2:7" x14ac:dyDescent="0.2">
      <c r="B48" s="32">
        <v>45779</v>
      </c>
      <c r="C48" t="s">
        <v>142</v>
      </c>
      <c r="D48" s="13" t="s">
        <v>634</v>
      </c>
      <c r="E48" t="s">
        <v>290</v>
      </c>
      <c r="F48" s="11">
        <v>1</v>
      </c>
      <c r="G48" s="11">
        <v>52941.18</v>
      </c>
    </row>
    <row r="49" spans="2:7" x14ac:dyDescent="0.2">
      <c r="B49" s="32">
        <v>45779</v>
      </c>
      <c r="C49" t="s">
        <v>142</v>
      </c>
      <c r="D49" s="13" t="s">
        <v>634</v>
      </c>
      <c r="E49" t="s">
        <v>354</v>
      </c>
      <c r="F49" s="11">
        <v>1</v>
      </c>
      <c r="G49" s="11">
        <v>52941.18</v>
      </c>
    </row>
    <row r="50" spans="2:7" x14ac:dyDescent="0.2">
      <c r="B50" s="32">
        <v>45779</v>
      </c>
      <c r="C50" t="s">
        <v>142</v>
      </c>
      <c r="D50" s="13" t="s">
        <v>634</v>
      </c>
      <c r="E50" t="s">
        <v>165</v>
      </c>
      <c r="F50" s="11">
        <v>1</v>
      </c>
      <c r="G50" s="11">
        <v>52941.17</v>
      </c>
    </row>
    <row r="51" spans="2:7" x14ac:dyDescent="0.2">
      <c r="B51" s="32">
        <v>45779</v>
      </c>
      <c r="C51" t="s">
        <v>142</v>
      </c>
      <c r="D51" s="13" t="s">
        <v>634</v>
      </c>
      <c r="E51" t="s">
        <v>337</v>
      </c>
      <c r="F51" s="11">
        <v>1</v>
      </c>
      <c r="G51" s="11">
        <v>46218.49</v>
      </c>
    </row>
    <row r="52" spans="2:7" x14ac:dyDescent="0.2">
      <c r="B52" s="32">
        <v>45779</v>
      </c>
      <c r="C52" t="s">
        <v>142</v>
      </c>
      <c r="D52" s="13" t="s">
        <v>634</v>
      </c>
      <c r="E52" t="s">
        <v>239</v>
      </c>
      <c r="F52" s="11">
        <v>1</v>
      </c>
      <c r="G52" s="11">
        <v>42016.81</v>
      </c>
    </row>
    <row r="53" spans="2:7" x14ac:dyDescent="0.2">
      <c r="B53" s="32">
        <v>45779</v>
      </c>
      <c r="C53" t="s">
        <v>142</v>
      </c>
      <c r="D53" s="13" t="s">
        <v>634</v>
      </c>
      <c r="E53" t="s">
        <v>1749</v>
      </c>
      <c r="F53" s="11">
        <v>1</v>
      </c>
      <c r="G53" s="11">
        <v>42016.800000000003</v>
      </c>
    </row>
    <row r="54" spans="2:7" x14ac:dyDescent="0.2">
      <c r="B54" s="32">
        <v>45779</v>
      </c>
      <c r="C54" t="s">
        <v>142</v>
      </c>
      <c r="D54" s="13" t="s">
        <v>634</v>
      </c>
      <c r="E54" t="s">
        <v>330</v>
      </c>
      <c r="F54" s="11">
        <v>1</v>
      </c>
      <c r="G54" s="11">
        <v>34033.61</v>
      </c>
    </row>
    <row r="55" spans="2:7" x14ac:dyDescent="0.2">
      <c r="B55" s="32">
        <v>45779</v>
      </c>
      <c r="C55" t="s">
        <v>142</v>
      </c>
      <c r="D55" s="13" t="s">
        <v>634</v>
      </c>
      <c r="E55" t="s">
        <v>466</v>
      </c>
      <c r="F55" s="11">
        <v>1</v>
      </c>
      <c r="G55" s="11">
        <v>21848.74</v>
      </c>
    </row>
    <row r="56" spans="2:7" x14ac:dyDescent="0.2">
      <c r="B56" s="32">
        <v>45779</v>
      </c>
      <c r="C56" t="s">
        <v>142</v>
      </c>
      <c r="D56" s="13" t="s">
        <v>634</v>
      </c>
      <c r="E56" t="s">
        <v>1750</v>
      </c>
      <c r="F56" s="11">
        <v>1</v>
      </c>
      <c r="G56" s="11">
        <v>20841</v>
      </c>
    </row>
    <row r="57" spans="2:7" x14ac:dyDescent="0.2">
      <c r="B57" s="32">
        <v>45779</v>
      </c>
      <c r="C57" t="s">
        <v>142</v>
      </c>
      <c r="D57" s="13" t="s">
        <v>634</v>
      </c>
      <c r="E57" t="s">
        <v>218</v>
      </c>
      <c r="F57" s="11">
        <v>1</v>
      </c>
      <c r="G57" s="11">
        <v>18907.57</v>
      </c>
    </row>
    <row r="58" spans="2:7" x14ac:dyDescent="0.2">
      <c r="B58" s="32">
        <v>45779</v>
      </c>
      <c r="C58" t="s">
        <v>142</v>
      </c>
      <c r="D58" s="13" t="s">
        <v>634</v>
      </c>
      <c r="E58" t="s">
        <v>1751</v>
      </c>
      <c r="F58" s="11">
        <v>1</v>
      </c>
      <c r="G58" s="11">
        <v>13338.24</v>
      </c>
    </row>
    <row r="59" spans="2:7" x14ac:dyDescent="0.2">
      <c r="B59" s="32">
        <v>45779</v>
      </c>
      <c r="C59" t="s">
        <v>142</v>
      </c>
      <c r="D59" s="13" t="s">
        <v>634</v>
      </c>
      <c r="F59" s="11">
        <v>0</v>
      </c>
      <c r="G59" s="11">
        <v>0</v>
      </c>
    </row>
    <row r="60" spans="2:7" x14ac:dyDescent="0.2">
      <c r="B60" s="32">
        <v>45779</v>
      </c>
      <c r="C60" t="s">
        <v>142</v>
      </c>
      <c r="D60" s="13" t="s">
        <v>633</v>
      </c>
      <c r="E60" t="s">
        <v>191</v>
      </c>
      <c r="F60" s="11">
        <v>2</v>
      </c>
      <c r="G60" s="11">
        <v>260504.2</v>
      </c>
    </row>
    <row r="61" spans="2:7" x14ac:dyDescent="0.2">
      <c r="B61" s="32">
        <v>45779</v>
      </c>
      <c r="C61" t="s">
        <v>142</v>
      </c>
      <c r="D61" s="13" t="s">
        <v>633</v>
      </c>
      <c r="E61" t="s">
        <v>576</v>
      </c>
      <c r="F61" s="11">
        <v>1</v>
      </c>
      <c r="G61" s="11">
        <v>58823.519999999997</v>
      </c>
    </row>
    <row r="62" spans="2:7" x14ac:dyDescent="0.2">
      <c r="B62" s="32">
        <v>45779</v>
      </c>
      <c r="C62" t="s">
        <v>142</v>
      </c>
      <c r="D62" s="13" t="s">
        <v>633</v>
      </c>
      <c r="E62" t="s">
        <v>178</v>
      </c>
      <c r="F62" s="11">
        <v>1</v>
      </c>
      <c r="G62" s="11">
        <v>54621.85</v>
      </c>
    </row>
    <row r="63" spans="2:7" x14ac:dyDescent="0.2">
      <c r="B63" s="32">
        <v>45779</v>
      </c>
      <c r="C63" t="s">
        <v>142</v>
      </c>
      <c r="D63" s="13" t="s">
        <v>633</v>
      </c>
      <c r="E63" t="s">
        <v>1752</v>
      </c>
      <c r="F63" s="11">
        <v>1</v>
      </c>
      <c r="G63" s="11">
        <v>54621.85</v>
      </c>
    </row>
    <row r="64" spans="2:7" x14ac:dyDescent="0.2">
      <c r="B64" s="32">
        <v>45779</v>
      </c>
      <c r="C64" t="s">
        <v>142</v>
      </c>
      <c r="D64" s="13" t="s">
        <v>633</v>
      </c>
      <c r="E64" t="s">
        <v>1753</v>
      </c>
      <c r="F64" s="11">
        <v>1</v>
      </c>
      <c r="G64" s="11">
        <v>54621.84</v>
      </c>
    </row>
    <row r="65" spans="2:7" x14ac:dyDescent="0.2">
      <c r="B65" s="32">
        <v>45779</v>
      </c>
      <c r="C65" t="s">
        <v>142</v>
      </c>
      <c r="D65" s="13" t="s">
        <v>633</v>
      </c>
      <c r="E65" t="s">
        <v>283</v>
      </c>
      <c r="F65" s="11">
        <v>1</v>
      </c>
      <c r="G65" s="11">
        <v>54621.84</v>
      </c>
    </row>
    <row r="66" spans="2:7" x14ac:dyDescent="0.2">
      <c r="B66" s="32">
        <v>45779</v>
      </c>
      <c r="C66" t="s">
        <v>142</v>
      </c>
      <c r="D66" s="13" t="s">
        <v>633</v>
      </c>
      <c r="E66" t="s">
        <v>240</v>
      </c>
      <c r="F66" s="11">
        <v>1</v>
      </c>
      <c r="G66" s="11">
        <v>42016.81</v>
      </c>
    </row>
    <row r="67" spans="2:7" x14ac:dyDescent="0.2">
      <c r="B67" s="32">
        <v>45779</v>
      </c>
      <c r="C67" t="s">
        <v>142</v>
      </c>
      <c r="D67" s="13" t="s">
        <v>633</v>
      </c>
      <c r="E67" t="s">
        <v>1754</v>
      </c>
      <c r="F67" s="11">
        <v>1</v>
      </c>
      <c r="G67" s="11">
        <v>37815.129999999997</v>
      </c>
    </row>
    <row r="68" spans="2:7" x14ac:dyDescent="0.2">
      <c r="B68" s="32">
        <v>45779</v>
      </c>
      <c r="C68" t="s">
        <v>142</v>
      </c>
      <c r="D68" s="13" t="s">
        <v>633</v>
      </c>
      <c r="E68" t="s">
        <v>452</v>
      </c>
      <c r="F68" s="11">
        <v>1</v>
      </c>
      <c r="G68" s="11">
        <v>37815.129999999997</v>
      </c>
    </row>
    <row r="69" spans="2:7" x14ac:dyDescent="0.2">
      <c r="B69" s="32">
        <v>45779</v>
      </c>
      <c r="C69" t="s">
        <v>142</v>
      </c>
      <c r="D69" s="13" t="s">
        <v>633</v>
      </c>
      <c r="E69" t="s">
        <v>293</v>
      </c>
      <c r="F69" s="11">
        <v>1</v>
      </c>
      <c r="G69" s="11">
        <v>37815.129999999997</v>
      </c>
    </row>
    <row r="70" spans="2:7" x14ac:dyDescent="0.2">
      <c r="B70" s="32">
        <v>45779</v>
      </c>
      <c r="C70" t="s">
        <v>142</v>
      </c>
      <c r="D70" s="13" t="s">
        <v>633</v>
      </c>
      <c r="E70" t="s">
        <v>382</v>
      </c>
      <c r="F70" s="11">
        <v>1</v>
      </c>
      <c r="G70" s="11">
        <v>37815.129999999997</v>
      </c>
    </row>
    <row r="71" spans="2:7" x14ac:dyDescent="0.2">
      <c r="B71" s="32">
        <v>45779</v>
      </c>
      <c r="C71" t="s">
        <v>142</v>
      </c>
      <c r="D71" s="13" t="s">
        <v>633</v>
      </c>
      <c r="E71" t="s">
        <v>248</v>
      </c>
      <c r="F71" s="11">
        <v>1</v>
      </c>
      <c r="G71" s="11">
        <v>21848.74</v>
      </c>
    </row>
    <row r="72" spans="2:7" x14ac:dyDescent="0.2">
      <c r="B72" s="32">
        <v>45779</v>
      </c>
      <c r="C72" t="s">
        <v>142</v>
      </c>
      <c r="D72" s="13" t="s">
        <v>633</v>
      </c>
      <c r="E72" t="s">
        <v>466</v>
      </c>
      <c r="F72" s="11">
        <v>1</v>
      </c>
      <c r="G72" s="11">
        <v>21848.74</v>
      </c>
    </row>
    <row r="73" spans="2:7" x14ac:dyDescent="0.2">
      <c r="B73" s="32">
        <v>45779</v>
      </c>
      <c r="C73" t="s">
        <v>142</v>
      </c>
      <c r="D73" s="13" t="s">
        <v>633</v>
      </c>
      <c r="F73" s="11">
        <v>0</v>
      </c>
      <c r="G73" s="11">
        <v>0</v>
      </c>
    </row>
    <row r="74" spans="2:7" x14ac:dyDescent="0.2">
      <c r="B74" s="32">
        <v>45780</v>
      </c>
      <c r="C74" t="s">
        <v>142</v>
      </c>
      <c r="D74" s="13"/>
      <c r="E74" t="s">
        <v>1755</v>
      </c>
      <c r="F74" s="11">
        <v>1</v>
      </c>
      <c r="G74" s="11">
        <v>100840.34</v>
      </c>
    </row>
    <row r="75" spans="2:7" x14ac:dyDescent="0.2">
      <c r="B75" s="32">
        <v>45780</v>
      </c>
      <c r="C75" t="s">
        <v>142</v>
      </c>
      <c r="D75" s="13"/>
      <c r="F75" s="11">
        <v>0</v>
      </c>
      <c r="G75" s="11">
        <v>0</v>
      </c>
    </row>
    <row r="76" spans="2:7" x14ac:dyDescent="0.2">
      <c r="B76" s="32">
        <v>45780</v>
      </c>
      <c r="C76" t="s">
        <v>142</v>
      </c>
      <c r="D76" s="13" t="s">
        <v>634</v>
      </c>
      <c r="E76" t="s">
        <v>1756</v>
      </c>
      <c r="F76" s="11">
        <v>1</v>
      </c>
      <c r="G76" s="11">
        <v>243697.48</v>
      </c>
    </row>
    <row r="77" spans="2:7" x14ac:dyDescent="0.2">
      <c r="B77" s="32">
        <v>45780</v>
      </c>
      <c r="C77" t="s">
        <v>142</v>
      </c>
      <c r="D77" s="13" t="s">
        <v>634</v>
      </c>
      <c r="E77" t="s">
        <v>1757</v>
      </c>
      <c r="F77" s="11">
        <v>1</v>
      </c>
      <c r="G77" s="11">
        <v>197478.99</v>
      </c>
    </row>
    <row r="78" spans="2:7" x14ac:dyDescent="0.2">
      <c r="B78" s="32">
        <v>45780</v>
      </c>
      <c r="C78" t="s">
        <v>142</v>
      </c>
      <c r="D78" s="13" t="s">
        <v>634</v>
      </c>
      <c r="E78" t="s">
        <v>167</v>
      </c>
      <c r="F78" s="11">
        <v>2</v>
      </c>
      <c r="G78" s="11">
        <v>138714.72</v>
      </c>
    </row>
    <row r="79" spans="2:7" x14ac:dyDescent="0.2">
      <c r="B79" s="32">
        <v>45780</v>
      </c>
      <c r="C79" t="s">
        <v>142</v>
      </c>
      <c r="D79" s="13" t="s">
        <v>634</v>
      </c>
      <c r="E79" t="s">
        <v>281</v>
      </c>
      <c r="F79" s="11">
        <v>2</v>
      </c>
      <c r="G79" s="11">
        <v>117647.06</v>
      </c>
    </row>
    <row r="80" spans="2:7" x14ac:dyDescent="0.2">
      <c r="B80" s="32">
        <v>45780</v>
      </c>
      <c r="C80" t="s">
        <v>142</v>
      </c>
      <c r="D80" s="13" t="s">
        <v>634</v>
      </c>
      <c r="E80" t="s">
        <v>458</v>
      </c>
      <c r="F80" s="11">
        <v>2</v>
      </c>
      <c r="G80" s="11">
        <v>117647.06</v>
      </c>
    </row>
    <row r="81" spans="2:7" x14ac:dyDescent="0.2">
      <c r="B81" s="32">
        <v>45780</v>
      </c>
      <c r="C81" t="s">
        <v>142</v>
      </c>
      <c r="D81" s="13" t="s">
        <v>634</v>
      </c>
      <c r="F81" s="11">
        <v>5</v>
      </c>
      <c r="G81" s="11">
        <v>113445.38</v>
      </c>
    </row>
    <row r="82" spans="2:7" x14ac:dyDescent="0.2">
      <c r="B82" s="32">
        <v>45780</v>
      </c>
      <c r="C82" t="s">
        <v>142</v>
      </c>
      <c r="D82" s="13" t="s">
        <v>634</v>
      </c>
      <c r="E82" t="s">
        <v>352</v>
      </c>
      <c r="F82" s="11">
        <v>2</v>
      </c>
      <c r="G82" s="11">
        <v>106159.23</v>
      </c>
    </row>
    <row r="83" spans="2:7" x14ac:dyDescent="0.2">
      <c r="B83" s="32">
        <v>45780</v>
      </c>
      <c r="C83" t="s">
        <v>142</v>
      </c>
      <c r="D83" s="13" t="s">
        <v>634</v>
      </c>
      <c r="E83" t="s">
        <v>545</v>
      </c>
      <c r="F83" s="11">
        <v>1</v>
      </c>
      <c r="G83" s="11">
        <v>100840.34</v>
      </c>
    </row>
    <row r="84" spans="2:7" x14ac:dyDescent="0.2">
      <c r="B84" s="32">
        <v>45780</v>
      </c>
      <c r="C84" t="s">
        <v>142</v>
      </c>
      <c r="D84" s="13" t="s">
        <v>634</v>
      </c>
      <c r="E84" t="s">
        <v>186</v>
      </c>
      <c r="F84" s="11">
        <v>1</v>
      </c>
      <c r="G84" s="11">
        <v>100840.34</v>
      </c>
    </row>
    <row r="85" spans="2:7" x14ac:dyDescent="0.2">
      <c r="B85" s="32">
        <v>45780</v>
      </c>
      <c r="C85" t="s">
        <v>142</v>
      </c>
      <c r="D85" s="13" t="s">
        <v>634</v>
      </c>
      <c r="E85" t="s">
        <v>1758</v>
      </c>
      <c r="F85" s="11">
        <v>1</v>
      </c>
      <c r="G85" s="11">
        <v>100840.34</v>
      </c>
    </row>
    <row r="86" spans="2:7" x14ac:dyDescent="0.2">
      <c r="B86" s="32">
        <v>45780</v>
      </c>
      <c r="C86" t="s">
        <v>142</v>
      </c>
      <c r="D86" s="13" t="s">
        <v>634</v>
      </c>
      <c r="E86" t="s">
        <v>640</v>
      </c>
      <c r="F86" s="11">
        <v>1</v>
      </c>
      <c r="G86" s="11">
        <v>100840.34</v>
      </c>
    </row>
    <row r="87" spans="2:7" x14ac:dyDescent="0.2">
      <c r="B87" s="32">
        <v>45780</v>
      </c>
      <c r="C87" t="s">
        <v>142</v>
      </c>
      <c r="D87" s="13" t="s">
        <v>634</v>
      </c>
      <c r="E87" t="s">
        <v>158</v>
      </c>
      <c r="F87" s="11">
        <v>2</v>
      </c>
      <c r="G87" s="11">
        <v>92436.98</v>
      </c>
    </row>
    <row r="88" spans="2:7" x14ac:dyDescent="0.2">
      <c r="B88" s="32">
        <v>45780</v>
      </c>
      <c r="C88" t="s">
        <v>142</v>
      </c>
      <c r="D88" s="13" t="s">
        <v>634</v>
      </c>
      <c r="E88" t="s">
        <v>238</v>
      </c>
      <c r="F88" s="11">
        <v>2</v>
      </c>
      <c r="G88" s="11">
        <v>92436.97</v>
      </c>
    </row>
    <row r="89" spans="2:7" x14ac:dyDescent="0.2">
      <c r="B89" s="32">
        <v>45780</v>
      </c>
      <c r="C89" t="s">
        <v>142</v>
      </c>
      <c r="D89" s="13" t="s">
        <v>634</v>
      </c>
      <c r="E89" t="s">
        <v>1759</v>
      </c>
      <c r="F89" s="11">
        <v>1</v>
      </c>
      <c r="G89" s="11">
        <v>88235.29</v>
      </c>
    </row>
    <row r="90" spans="2:7" x14ac:dyDescent="0.2">
      <c r="B90" s="32">
        <v>45780</v>
      </c>
      <c r="C90" t="s">
        <v>142</v>
      </c>
      <c r="D90" s="13" t="s">
        <v>634</v>
      </c>
      <c r="E90" t="s">
        <v>161</v>
      </c>
      <c r="F90" s="11">
        <v>2</v>
      </c>
      <c r="G90" s="11">
        <v>84033.62</v>
      </c>
    </row>
    <row r="91" spans="2:7" x14ac:dyDescent="0.2">
      <c r="B91" s="32">
        <v>45780</v>
      </c>
      <c r="C91" t="s">
        <v>142</v>
      </c>
      <c r="D91" s="13" t="s">
        <v>634</v>
      </c>
      <c r="E91" t="s">
        <v>205</v>
      </c>
      <c r="F91" s="11">
        <v>1</v>
      </c>
      <c r="G91" s="11">
        <v>84033.61</v>
      </c>
    </row>
    <row r="92" spans="2:7" x14ac:dyDescent="0.2">
      <c r="B92" s="32">
        <v>45780</v>
      </c>
      <c r="C92" t="s">
        <v>142</v>
      </c>
      <c r="D92" s="13" t="s">
        <v>634</v>
      </c>
      <c r="E92" t="s">
        <v>308</v>
      </c>
      <c r="F92" s="11">
        <v>1</v>
      </c>
      <c r="G92" s="11">
        <v>82352.94</v>
      </c>
    </row>
    <row r="93" spans="2:7" x14ac:dyDescent="0.2">
      <c r="B93" s="32">
        <v>45780</v>
      </c>
      <c r="C93" t="s">
        <v>142</v>
      </c>
      <c r="D93" s="13" t="s">
        <v>634</v>
      </c>
      <c r="E93" t="s">
        <v>215</v>
      </c>
      <c r="F93" s="11">
        <v>2</v>
      </c>
      <c r="G93" s="11">
        <v>75630.25</v>
      </c>
    </row>
    <row r="94" spans="2:7" x14ac:dyDescent="0.2">
      <c r="B94" s="32">
        <v>45780</v>
      </c>
      <c r="C94" t="s">
        <v>142</v>
      </c>
      <c r="D94" s="13" t="s">
        <v>634</v>
      </c>
      <c r="E94" t="s">
        <v>368</v>
      </c>
      <c r="F94" s="11">
        <v>1</v>
      </c>
      <c r="G94" s="11">
        <v>75630.25</v>
      </c>
    </row>
    <row r="95" spans="2:7" x14ac:dyDescent="0.2">
      <c r="B95" s="32">
        <v>45780</v>
      </c>
      <c r="C95" t="s">
        <v>142</v>
      </c>
      <c r="D95" s="13" t="s">
        <v>634</v>
      </c>
      <c r="E95" t="s">
        <v>152</v>
      </c>
      <c r="F95" s="11">
        <v>1</v>
      </c>
      <c r="G95" s="11">
        <v>75630.25</v>
      </c>
    </row>
    <row r="96" spans="2:7" x14ac:dyDescent="0.2">
      <c r="B96" s="32">
        <v>45780</v>
      </c>
      <c r="C96" t="s">
        <v>142</v>
      </c>
      <c r="D96" s="13" t="s">
        <v>634</v>
      </c>
      <c r="E96" t="s">
        <v>174</v>
      </c>
      <c r="F96" s="11">
        <v>1</v>
      </c>
      <c r="G96" s="11">
        <v>75630.25</v>
      </c>
    </row>
    <row r="97" spans="2:7" x14ac:dyDescent="0.2">
      <c r="B97" s="32">
        <v>45780</v>
      </c>
      <c r="C97" t="s">
        <v>142</v>
      </c>
      <c r="D97" s="13" t="s">
        <v>634</v>
      </c>
      <c r="E97" t="s">
        <v>1760</v>
      </c>
      <c r="F97" s="11">
        <v>1</v>
      </c>
      <c r="G97" s="11">
        <v>75630.25</v>
      </c>
    </row>
    <row r="98" spans="2:7" x14ac:dyDescent="0.2">
      <c r="B98" s="32">
        <v>45780</v>
      </c>
      <c r="C98" t="s">
        <v>142</v>
      </c>
      <c r="D98" s="13" t="s">
        <v>634</v>
      </c>
      <c r="E98" t="s">
        <v>567</v>
      </c>
      <c r="F98" s="11">
        <v>1</v>
      </c>
      <c r="G98" s="11">
        <v>75630.25</v>
      </c>
    </row>
    <row r="99" spans="2:7" x14ac:dyDescent="0.2">
      <c r="B99" s="32">
        <v>45780</v>
      </c>
      <c r="C99" t="s">
        <v>142</v>
      </c>
      <c r="D99" s="13" t="s">
        <v>634</v>
      </c>
      <c r="E99" t="s">
        <v>203</v>
      </c>
      <c r="F99" s="11">
        <v>2</v>
      </c>
      <c r="G99" s="11">
        <v>75001.97</v>
      </c>
    </row>
    <row r="100" spans="2:7" x14ac:dyDescent="0.2">
      <c r="B100" s="32">
        <v>45780</v>
      </c>
      <c r="C100" t="s">
        <v>142</v>
      </c>
      <c r="D100" s="13" t="s">
        <v>634</v>
      </c>
      <c r="E100" t="s">
        <v>169</v>
      </c>
      <c r="F100" s="11">
        <v>1</v>
      </c>
      <c r="G100" s="11">
        <v>73501.91</v>
      </c>
    </row>
    <row r="101" spans="2:7" x14ac:dyDescent="0.2">
      <c r="B101" s="32">
        <v>45780</v>
      </c>
      <c r="C101" t="s">
        <v>142</v>
      </c>
      <c r="D101" s="13" t="s">
        <v>634</v>
      </c>
      <c r="E101" t="s">
        <v>475</v>
      </c>
      <c r="F101" s="11">
        <v>1</v>
      </c>
      <c r="G101" s="11">
        <v>71428.570000000007</v>
      </c>
    </row>
    <row r="102" spans="2:7" x14ac:dyDescent="0.2">
      <c r="B102" s="32">
        <v>45780</v>
      </c>
      <c r="C102" t="s">
        <v>142</v>
      </c>
      <c r="D102" s="13" t="s">
        <v>634</v>
      </c>
      <c r="E102" t="s">
        <v>192</v>
      </c>
      <c r="F102" s="11">
        <v>1</v>
      </c>
      <c r="G102" s="11">
        <v>71428.570000000007</v>
      </c>
    </row>
    <row r="103" spans="2:7" x14ac:dyDescent="0.2">
      <c r="B103" s="32">
        <v>45780</v>
      </c>
      <c r="C103" t="s">
        <v>142</v>
      </c>
      <c r="D103" s="13" t="s">
        <v>634</v>
      </c>
      <c r="E103" t="s">
        <v>1761</v>
      </c>
      <c r="F103" s="11">
        <v>1</v>
      </c>
      <c r="G103" s="11">
        <v>67226.89</v>
      </c>
    </row>
    <row r="104" spans="2:7" x14ac:dyDescent="0.2">
      <c r="B104" s="32">
        <v>45780</v>
      </c>
      <c r="C104" t="s">
        <v>142</v>
      </c>
      <c r="D104" s="13" t="s">
        <v>634</v>
      </c>
      <c r="E104" t="s">
        <v>1762</v>
      </c>
      <c r="F104" s="11">
        <v>1</v>
      </c>
      <c r="G104" s="11">
        <v>65546.22</v>
      </c>
    </row>
    <row r="105" spans="2:7" x14ac:dyDescent="0.2">
      <c r="B105" s="32">
        <v>45780</v>
      </c>
      <c r="C105" t="s">
        <v>142</v>
      </c>
      <c r="D105" s="13" t="s">
        <v>634</v>
      </c>
      <c r="E105" t="s">
        <v>213</v>
      </c>
      <c r="F105" s="11">
        <v>1</v>
      </c>
      <c r="G105" s="11">
        <v>58823.53</v>
      </c>
    </row>
    <row r="106" spans="2:7" x14ac:dyDescent="0.2">
      <c r="B106" s="32">
        <v>45780</v>
      </c>
      <c r="C106" t="s">
        <v>142</v>
      </c>
      <c r="D106" s="13" t="s">
        <v>634</v>
      </c>
      <c r="E106" t="s">
        <v>398</v>
      </c>
      <c r="F106" s="11">
        <v>1</v>
      </c>
      <c r="G106" s="11">
        <v>58823.53</v>
      </c>
    </row>
    <row r="107" spans="2:7" x14ac:dyDescent="0.2">
      <c r="B107" s="32">
        <v>45780</v>
      </c>
      <c r="C107" t="s">
        <v>142</v>
      </c>
      <c r="D107" s="13" t="s">
        <v>634</v>
      </c>
      <c r="E107" t="s">
        <v>1763</v>
      </c>
      <c r="F107" s="11">
        <v>1</v>
      </c>
      <c r="G107" s="11">
        <v>58823.53</v>
      </c>
    </row>
    <row r="108" spans="2:7" x14ac:dyDescent="0.2">
      <c r="B108" s="32">
        <v>45780</v>
      </c>
      <c r="C108" t="s">
        <v>142</v>
      </c>
      <c r="D108" s="13" t="s">
        <v>634</v>
      </c>
      <c r="E108" t="s">
        <v>219</v>
      </c>
      <c r="F108" s="11">
        <v>1</v>
      </c>
      <c r="G108" s="11">
        <v>58823.53</v>
      </c>
    </row>
    <row r="109" spans="2:7" x14ac:dyDescent="0.2">
      <c r="B109" s="32">
        <v>45780</v>
      </c>
      <c r="C109" t="s">
        <v>142</v>
      </c>
      <c r="D109" s="13" t="s">
        <v>634</v>
      </c>
      <c r="E109" t="s">
        <v>427</v>
      </c>
      <c r="F109" s="11">
        <v>1</v>
      </c>
      <c r="G109" s="11">
        <v>54621.85</v>
      </c>
    </row>
    <row r="110" spans="2:7" x14ac:dyDescent="0.2">
      <c r="B110" s="32">
        <v>45780</v>
      </c>
      <c r="C110" t="s">
        <v>142</v>
      </c>
      <c r="D110" s="13" t="s">
        <v>634</v>
      </c>
      <c r="E110" t="s">
        <v>407</v>
      </c>
      <c r="F110" s="11">
        <v>1</v>
      </c>
      <c r="G110" s="11">
        <v>54621.85</v>
      </c>
    </row>
    <row r="111" spans="2:7" x14ac:dyDescent="0.2">
      <c r="B111" s="32">
        <v>45780</v>
      </c>
      <c r="C111" t="s">
        <v>142</v>
      </c>
      <c r="D111" s="13" t="s">
        <v>634</v>
      </c>
      <c r="E111" t="s">
        <v>513</v>
      </c>
      <c r="F111" s="11">
        <v>1</v>
      </c>
      <c r="G111" s="11">
        <v>50420.17</v>
      </c>
    </row>
    <row r="112" spans="2:7" x14ac:dyDescent="0.2">
      <c r="B112" s="32">
        <v>45780</v>
      </c>
      <c r="C112" t="s">
        <v>142</v>
      </c>
      <c r="D112" s="13" t="s">
        <v>634</v>
      </c>
      <c r="E112" t="s">
        <v>426</v>
      </c>
      <c r="F112" s="11">
        <v>1</v>
      </c>
      <c r="G112" s="11">
        <v>50420.17</v>
      </c>
    </row>
    <row r="113" spans="2:7" x14ac:dyDescent="0.2">
      <c r="B113" s="32">
        <v>45780</v>
      </c>
      <c r="C113" t="s">
        <v>142</v>
      </c>
      <c r="D113" s="13" t="s">
        <v>634</v>
      </c>
      <c r="E113" t="s">
        <v>307</v>
      </c>
      <c r="F113" s="11">
        <v>1</v>
      </c>
      <c r="G113" s="11">
        <v>50420.17</v>
      </c>
    </row>
    <row r="114" spans="2:7" x14ac:dyDescent="0.2">
      <c r="B114" s="32">
        <v>45780</v>
      </c>
      <c r="C114" t="s">
        <v>142</v>
      </c>
      <c r="D114" s="13" t="s">
        <v>634</v>
      </c>
      <c r="E114" t="s">
        <v>1749</v>
      </c>
      <c r="F114" s="11">
        <v>1</v>
      </c>
      <c r="G114" s="11">
        <v>42016.81</v>
      </c>
    </row>
    <row r="115" spans="2:7" x14ac:dyDescent="0.2">
      <c r="B115" s="32">
        <v>45780</v>
      </c>
      <c r="C115" t="s">
        <v>142</v>
      </c>
      <c r="D115" s="13" t="s">
        <v>634</v>
      </c>
      <c r="E115" t="s">
        <v>309</v>
      </c>
      <c r="F115" s="11">
        <v>1</v>
      </c>
      <c r="G115" s="11">
        <v>42016.81</v>
      </c>
    </row>
    <row r="116" spans="2:7" x14ac:dyDescent="0.2">
      <c r="B116" s="32">
        <v>45780</v>
      </c>
      <c r="C116" t="s">
        <v>142</v>
      </c>
      <c r="D116" s="13" t="s">
        <v>634</v>
      </c>
      <c r="E116" t="s">
        <v>1764</v>
      </c>
      <c r="F116" s="11">
        <v>1</v>
      </c>
      <c r="G116" s="11">
        <v>42016.800000000003</v>
      </c>
    </row>
    <row r="117" spans="2:7" x14ac:dyDescent="0.2">
      <c r="B117" s="32">
        <v>45780</v>
      </c>
      <c r="C117" t="s">
        <v>142</v>
      </c>
      <c r="D117" s="13" t="s">
        <v>634</v>
      </c>
      <c r="E117" t="s">
        <v>452</v>
      </c>
      <c r="F117" s="11">
        <v>1</v>
      </c>
      <c r="G117" s="11">
        <v>37815.129999999997</v>
      </c>
    </row>
    <row r="118" spans="2:7" x14ac:dyDescent="0.2">
      <c r="B118" s="32">
        <v>45780</v>
      </c>
      <c r="C118" t="s">
        <v>142</v>
      </c>
      <c r="D118" s="13" t="s">
        <v>634</v>
      </c>
      <c r="E118" t="s">
        <v>234</v>
      </c>
      <c r="F118" s="11">
        <v>1</v>
      </c>
      <c r="G118" s="11">
        <v>37815.129999999997</v>
      </c>
    </row>
    <row r="119" spans="2:7" x14ac:dyDescent="0.2">
      <c r="B119" s="32">
        <v>45780</v>
      </c>
      <c r="C119" t="s">
        <v>142</v>
      </c>
      <c r="D119" s="13" t="s">
        <v>634</v>
      </c>
      <c r="E119" t="s">
        <v>650</v>
      </c>
      <c r="F119" s="11">
        <v>1</v>
      </c>
      <c r="G119" s="11">
        <v>37815.129999999997</v>
      </c>
    </row>
    <row r="120" spans="2:7" x14ac:dyDescent="0.2">
      <c r="B120" s="32">
        <v>45780</v>
      </c>
      <c r="C120" t="s">
        <v>142</v>
      </c>
      <c r="D120" s="13" t="s">
        <v>634</v>
      </c>
      <c r="E120" t="s">
        <v>148</v>
      </c>
      <c r="F120" s="11">
        <v>1</v>
      </c>
      <c r="G120" s="11">
        <v>37815.129999999997</v>
      </c>
    </row>
    <row r="121" spans="2:7" x14ac:dyDescent="0.2">
      <c r="B121" s="32">
        <v>45780</v>
      </c>
      <c r="C121" t="s">
        <v>142</v>
      </c>
      <c r="D121" s="13" t="s">
        <v>634</v>
      </c>
      <c r="E121" t="s">
        <v>168</v>
      </c>
      <c r="F121" s="11">
        <v>1</v>
      </c>
      <c r="G121" s="11">
        <v>29411.77</v>
      </c>
    </row>
    <row r="122" spans="2:7" x14ac:dyDescent="0.2">
      <c r="B122" s="32">
        <v>45780</v>
      </c>
      <c r="C122" t="s">
        <v>142</v>
      </c>
      <c r="D122" s="13" t="s">
        <v>634</v>
      </c>
      <c r="E122" t="s">
        <v>263</v>
      </c>
      <c r="F122" s="11">
        <v>1</v>
      </c>
      <c r="G122" s="11">
        <v>21848.74</v>
      </c>
    </row>
    <row r="123" spans="2:7" x14ac:dyDescent="0.2">
      <c r="B123" s="32">
        <v>45780</v>
      </c>
      <c r="C123" t="s">
        <v>142</v>
      </c>
      <c r="D123" s="13" t="s">
        <v>634</v>
      </c>
      <c r="E123" t="s">
        <v>1765</v>
      </c>
      <c r="F123" s="11">
        <v>2</v>
      </c>
      <c r="G123" s="11">
        <v>16806.72</v>
      </c>
    </row>
    <row r="124" spans="2:7" x14ac:dyDescent="0.2">
      <c r="B124" s="32">
        <v>45780</v>
      </c>
      <c r="C124" t="s">
        <v>142</v>
      </c>
      <c r="D124" s="13" t="s">
        <v>634</v>
      </c>
      <c r="E124" t="s">
        <v>1751</v>
      </c>
      <c r="F124" s="11">
        <v>1</v>
      </c>
      <c r="G124" s="11">
        <v>12000.32</v>
      </c>
    </row>
    <row r="125" spans="2:7" x14ac:dyDescent="0.2">
      <c r="B125" s="32">
        <v>45780</v>
      </c>
      <c r="C125" t="s">
        <v>142</v>
      </c>
      <c r="D125" s="13" t="s">
        <v>633</v>
      </c>
      <c r="E125" t="s">
        <v>375</v>
      </c>
      <c r="F125" s="11">
        <v>1</v>
      </c>
      <c r="G125" s="11">
        <v>100840.34</v>
      </c>
    </row>
    <row r="126" spans="2:7" x14ac:dyDescent="0.2">
      <c r="B126" s="32">
        <v>45780</v>
      </c>
      <c r="C126" t="s">
        <v>142</v>
      </c>
      <c r="D126" s="13" t="s">
        <v>633</v>
      </c>
      <c r="F126" s="11">
        <v>3</v>
      </c>
      <c r="G126" s="11">
        <v>88235.28</v>
      </c>
    </row>
    <row r="127" spans="2:7" x14ac:dyDescent="0.2">
      <c r="B127" s="32">
        <v>45780</v>
      </c>
      <c r="C127" t="s">
        <v>142</v>
      </c>
      <c r="D127" s="13" t="s">
        <v>633</v>
      </c>
      <c r="E127" t="s">
        <v>168</v>
      </c>
      <c r="F127" s="11">
        <v>2</v>
      </c>
      <c r="G127" s="11">
        <v>84033.62</v>
      </c>
    </row>
    <row r="128" spans="2:7" x14ac:dyDescent="0.2">
      <c r="B128" s="32">
        <v>45780</v>
      </c>
      <c r="C128" t="s">
        <v>142</v>
      </c>
      <c r="D128" s="13" t="s">
        <v>633</v>
      </c>
      <c r="E128" t="s">
        <v>293</v>
      </c>
      <c r="F128" s="11">
        <v>2</v>
      </c>
      <c r="G128" s="11">
        <v>75630.259999999995</v>
      </c>
    </row>
    <row r="129" spans="2:7" x14ac:dyDescent="0.2">
      <c r="B129" s="32">
        <v>45780</v>
      </c>
      <c r="C129" t="s">
        <v>142</v>
      </c>
      <c r="D129" s="13" t="s">
        <v>633</v>
      </c>
      <c r="E129" t="s">
        <v>148</v>
      </c>
      <c r="F129" s="11">
        <v>2</v>
      </c>
      <c r="G129" s="11">
        <v>75630.259999999995</v>
      </c>
    </row>
    <row r="130" spans="2:7" x14ac:dyDescent="0.2">
      <c r="B130" s="32">
        <v>45780</v>
      </c>
      <c r="C130" t="s">
        <v>142</v>
      </c>
      <c r="D130" s="13" t="s">
        <v>633</v>
      </c>
      <c r="E130" t="s">
        <v>174</v>
      </c>
      <c r="F130" s="11">
        <v>1</v>
      </c>
      <c r="G130" s="11">
        <v>75630.25</v>
      </c>
    </row>
    <row r="131" spans="2:7" x14ac:dyDescent="0.2">
      <c r="B131" s="32">
        <v>45780</v>
      </c>
      <c r="C131" t="s">
        <v>142</v>
      </c>
      <c r="D131" s="13" t="s">
        <v>633</v>
      </c>
      <c r="E131" t="s">
        <v>152</v>
      </c>
      <c r="F131" s="11">
        <v>1</v>
      </c>
      <c r="G131" s="11">
        <v>75630.25</v>
      </c>
    </row>
    <row r="132" spans="2:7" x14ac:dyDescent="0.2">
      <c r="B132" s="32">
        <v>45780</v>
      </c>
      <c r="C132" t="s">
        <v>142</v>
      </c>
      <c r="D132" s="13" t="s">
        <v>633</v>
      </c>
      <c r="E132" t="s">
        <v>681</v>
      </c>
      <c r="F132" s="11">
        <v>1</v>
      </c>
      <c r="G132" s="11">
        <v>75630.25</v>
      </c>
    </row>
    <row r="133" spans="2:7" x14ac:dyDescent="0.2">
      <c r="B133" s="32">
        <v>45780</v>
      </c>
      <c r="C133" t="s">
        <v>142</v>
      </c>
      <c r="D133" s="13" t="s">
        <v>633</v>
      </c>
      <c r="E133" t="s">
        <v>315</v>
      </c>
      <c r="F133" s="11">
        <v>1</v>
      </c>
      <c r="G133" s="11">
        <v>58823.53</v>
      </c>
    </row>
    <row r="134" spans="2:7" x14ac:dyDescent="0.2">
      <c r="B134" s="32">
        <v>45780</v>
      </c>
      <c r="C134" t="s">
        <v>142</v>
      </c>
      <c r="D134" s="13" t="s">
        <v>633</v>
      </c>
      <c r="E134" t="s">
        <v>251</v>
      </c>
      <c r="F134" s="11">
        <v>1</v>
      </c>
      <c r="G134" s="11">
        <v>58823.53</v>
      </c>
    </row>
    <row r="135" spans="2:7" x14ac:dyDescent="0.2">
      <c r="B135" s="32">
        <v>45780</v>
      </c>
      <c r="C135" t="s">
        <v>142</v>
      </c>
      <c r="D135" s="13" t="s">
        <v>633</v>
      </c>
      <c r="E135" t="s">
        <v>454</v>
      </c>
      <c r="F135" s="11">
        <v>1</v>
      </c>
      <c r="G135" s="11">
        <v>58823.53</v>
      </c>
    </row>
    <row r="136" spans="2:7" x14ac:dyDescent="0.2">
      <c r="B136" s="32">
        <v>45780</v>
      </c>
      <c r="C136" t="s">
        <v>142</v>
      </c>
      <c r="D136" s="13" t="s">
        <v>633</v>
      </c>
      <c r="E136" t="s">
        <v>500</v>
      </c>
      <c r="F136" s="11">
        <v>1</v>
      </c>
      <c r="G136" s="11">
        <v>58823.53</v>
      </c>
    </row>
    <row r="137" spans="2:7" x14ac:dyDescent="0.2">
      <c r="B137" s="32">
        <v>45780</v>
      </c>
      <c r="C137" t="s">
        <v>142</v>
      </c>
      <c r="D137" s="13" t="s">
        <v>633</v>
      </c>
      <c r="E137" t="s">
        <v>343</v>
      </c>
      <c r="F137" s="11">
        <v>1</v>
      </c>
      <c r="G137" s="11">
        <v>54621.85</v>
      </c>
    </row>
    <row r="138" spans="2:7" x14ac:dyDescent="0.2">
      <c r="B138" s="32">
        <v>45780</v>
      </c>
      <c r="C138" t="s">
        <v>142</v>
      </c>
      <c r="D138" s="13" t="s">
        <v>633</v>
      </c>
      <c r="E138" t="s">
        <v>303</v>
      </c>
      <c r="F138" s="11">
        <v>1</v>
      </c>
      <c r="G138" s="11">
        <v>50420.17</v>
      </c>
    </row>
    <row r="139" spans="2:7" x14ac:dyDescent="0.2">
      <c r="B139" s="32">
        <v>45780</v>
      </c>
      <c r="C139" t="s">
        <v>142</v>
      </c>
      <c r="D139" s="13" t="s">
        <v>633</v>
      </c>
      <c r="E139" t="s">
        <v>1766</v>
      </c>
      <c r="F139" s="11">
        <v>1</v>
      </c>
      <c r="G139" s="11">
        <v>50420.17</v>
      </c>
    </row>
    <row r="140" spans="2:7" x14ac:dyDescent="0.2">
      <c r="B140" s="32">
        <v>45780</v>
      </c>
      <c r="C140" t="s">
        <v>142</v>
      </c>
      <c r="D140" s="13" t="s">
        <v>633</v>
      </c>
      <c r="E140" t="s">
        <v>158</v>
      </c>
      <c r="F140" s="11">
        <v>1</v>
      </c>
      <c r="G140" s="11">
        <v>46218.49</v>
      </c>
    </row>
    <row r="141" spans="2:7" x14ac:dyDescent="0.2">
      <c r="B141" s="32">
        <v>45780</v>
      </c>
      <c r="C141" t="s">
        <v>142</v>
      </c>
      <c r="D141" s="13" t="s">
        <v>633</v>
      </c>
      <c r="E141" t="s">
        <v>1767</v>
      </c>
      <c r="F141" s="11">
        <v>1</v>
      </c>
      <c r="G141" s="11">
        <v>46218.49</v>
      </c>
    </row>
    <row r="142" spans="2:7" x14ac:dyDescent="0.2">
      <c r="B142" s="32">
        <v>45780</v>
      </c>
      <c r="C142" t="s">
        <v>142</v>
      </c>
      <c r="D142" s="13" t="s">
        <v>633</v>
      </c>
      <c r="E142" t="s">
        <v>392</v>
      </c>
      <c r="F142" s="11">
        <v>1</v>
      </c>
      <c r="G142" s="11">
        <v>42016.81</v>
      </c>
    </row>
    <row r="143" spans="2:7" x14ac:dyDescent="0.2">
      <c r="B143" s="32">
        <v>45780</v>
      </c>
      <c r="C143" t="s">
        <v>142</v>
      </c>
      <c r="D143" s="13" t="s">
        <v>633</v>
      </c>
      <c r="E143" t="s">
        <v>161</v>
      </c>
      <c r="F143" s="11">
        <v>1</v>
      </c>
      <c r="G143" s="11">
        <v>42016.81</v>
      </c>
    </row>
    <row r="144" spans="2:7" x14ac:dyDescent="0.2">
      <c r="B144" s="32">
        <v>45780</v>
      </c>
      <c r="C144" t="s">
        <v>142</v>
      </c>
      <c r="D144" s="13" t="s">
        <v>633</v>
      </c>
      <c r="E144" t="s">
        <v>540</v>
      </c>
      <c r="F144" s="11">
        <v>1</v>
      </c>
      <c r="G144" s="11">
        <v>42016.81</v>
      </c>
    </row>
    <row r="145" spans="2:7" x14ac:dyDescent="0.2">
      <c r="B145" s="32">
        <v>45780</v>
      </c>
      <c r="C145" t="s">
        <v>142</v>
      </c>
      <c r="D145" s="13" t="s">
        <v>633</v>
      </c>
      <c r="E145" t="s">
        <v>153</v>
      </c>
      <c r="F145" s="11">
        <v>1</v>
      </c>
      <c r="G145" s="11">
        <v>42016.81</v>
      </c>
    </row>
    <row r="146" spans="2:7" x14ac:dyDescent="0.2">
      <c r="B146" s="32">
        <v>45780</v>
      </c>
      <c r="C146" t="s">
        <v>142</v>
      </c>
      <c r="D146" s="13" t="s">
        <v>633</v>
      </c>
      <c r="E146" t="s">
        <v>166</v>
      </c>
      <c r="F146" s="11">
        <v>1</v>
      </c>
      <c r="G146" s="11">
        <v>42016.81</v>
      </c>
    </row>
    <row r="147" spans="2:7" x14ac:dyDescent="0.2">
      <c r="B147" s="32">
        <v>45780</v>
      </c>
      <c r="C147" t="s">
        <v>142</v>
      </c>
      <c r="D147" s="13" t="s">
        <v>633</v>
      </c>
      <c r="E147" t="s">
        <v>210</v>
      </c>
      <c r="F147" s="11">
        <v>1</v>
      </c>
      <c r="G147" s="11">
        <v>42016.800000000003</v>
      </c>
    </row>
    <row r="148" spans="2:7" x14ac:dyDescent="0.2">
      <c r="B148" s="32">
        <v>45780</v>
      </c>
      <c r="C148" t="s">
        <v>142</v>
      </c>
      <c r="D148" s="13" t="s">
        <v>633</v>
      </c>
      <c r="E148" t="s">
        <v>204</v>
      </c>
      <c r="F148" s="11">
        <v>1</v>
      </c>
      <c r="G148" s="11">
        <v>37815.129999999997</v>
      </c>
    </row>
    <row r="149" spans="2:7" x14ac:dyDescent="0.2">
      <c r="B149" s="32">
        <v>45780</v>
      </c>
      <c r="C149" t="s">
        <v>142</v>
      </c>
      <c r="D149" s="13" t="s">
        <v>633</v>
      </c>
      <c r="E149" t="s">
        <v>328</v>
      </c>
      <c r="F149" s="11">
        <v>1</v>
      </c>
      <c r="G149" s="11">
        <v>37815.129999999997</v>
      </c>
    </row>
    <row r="150" spans="2:7" x14ac:dyDescent="0.2">
      <c r="B150" s="32">
        <v>45780</v>
      </c>
      <c r="C150" t="s">
        <v>142</v>
      </c>
      <c r="D150" s="13" t="s">
        <v>633</v>
      </c>
      <c r="E150" t="s">
        <v>173</v>
      </c>
      <c r="F150" s="11">
        <v>1</v>
      </c>
      <c r="G150" s="11">
        <v>37815.120000000003</v>
      </c>
    </row>
    <row r="151" spans="2:7" x14ac:dyDescent="0.2">
      <c r="B151" s="32">
        <v>45780</v>
      </c>
      <c r="C151" t="s">
        <v>142</v>
      </c>
      <c r="D151" s="13" t="s">
        <v>633</v>
      </c>
      <c r="E151" t="s">
        <v>1768</v>
      </c>
      <c r="F151" s="11">
        <v>1</v>
      </c>
      <c r="G151" s="11">
        <v>26470.59</v>
      </c>
    </row>
    <row r="152" spans="2:7" x14ac:dyDescent="0.2">
      <c r="B152" s="32">
        <v>45780</v>
      </c>
      <c r="C152" t="s">
        <v>142</v>
      </c>
      <c r="D152" s="13" t="s">
        <v>633</v>
      </c>
      <c r="E152" t="s">
        <v>468</v>
      </c>
      <c r="F152" s="11">
        <v>1</v>
      </c>
      <c r="G152" s="11">
        <v>26470.59</v>
      </c>
    </row>
    <row r="153" spans="2:7" x14ac:dyDescent="0.2">
      <c r="B153" s="32">
        <v>45780</v>
      </c>
      <c r="C153" t="s">
        <v>142</v>
      </c>
      <c r="D153" s="13" t="s">
        <v>633</v>
      </c>
      <c r="E153" t="s">
        <v>1769</v>
      </c>
      <c r="F153" s="11">
        <v>1</v>
      </c>
      <c r="G153" s="11">
        <v>21008.400000000001</v>
      </c>
    </row>
    <row r="154" spans="2:7" x14ac:dyDescent="0.2">
      <c r="B154" s="32">
        <v>45781</v>
      </c>
      <c r="C154" t="s">
        <v>142</v>
      </c>
      <c r="D154" s="13" t="s">
        <v>634</v>
      </c>
      <c r="E154" t="s">
        <v>205</v>
      </c>
      <c r="F154" s="11">
        <v>4</v>
      </c>
      <c r="G154" s="11">
        <v>285714.28999999998</v>
      </c>
    </row>
    <row r="155" spans="2:7" x14ac:dyDescent="0.2">
      <c r="B155" s="32">
        <v>45781</v>
      </c>
      <c r="C155" t="s">
        <v>142</v>
      </c>
      <c r="D155" s="13" t="s">
        <v>634</v>
      </c>
      <c r="E155" t="s">
        <v>726</v>
      </c>
      <c r="F155" s="11">
        <v>1</v>
      </c>
      <c r="G155" s="11">
        <v>130252.1</v>
      </c>
    </row>
    <row r="156" spans="2:7" x14ac:dyDescent="0.2">
      <c r="B156" s="32">
        <v>45781</v>
      </c>
      <c r="C156" t="s">
        <v>142</v>
      </c>
      <c r="D156" s="13" t="s">
        <v>634</v>
      </c>
      <c r="E156" t="s">
        <v>1770</v>
      </c>
      <c r="F156" s="11">
        <v>1</v>
      </c>
      <c r="G156" s="11">
        <v>130252.1</v>
      </c>
    </row>
    <row r="157" spans="2:7" x14ac:dyDescent="0.2">
      <c r="B157" s="32">
        <v>45781</v>
      </c>
      <c r="C157" t="s">
        <v>142</v>
      </c>
      <c r="D157" s="13" t="s">
        <v>634</v>
      </c>
      <c r="E157" t="s">
        <v>423</v>
      </c>
      <c r="F157" s="11">
        <v>1</v>
      </c>
      <c r="G157" s="11">
        <v>109243.7</v>
      </c>
    </row>
    <row r="158" spans="2:7" x14ac:dyDescent="0.2">
      <c r="B158" s="32">
        <v>45781</v>
      </c>
      <c r="C158" t="s">
        <v>142</v>
      </c>
      <c r="D158" s="13" t="s">
        <v>634</v>
      </c>
      <c r="E158" t="s">
        <v>452</v>
      </c>
      <c r="F158" s="11">
        <v>3</v>
      </c>
      <c r="G158" s="11">
        <v>106836.91</v>
      </c>
    </row>
    <row r="159" spans="2:7" x14ac:dyDescent="0.2">
      <c r="B159" s="32">
        <v>45781</v>
      </c>
      <c r="C159" t="s">
        <v>142</v>
      </c>
      <c r="D159" s="13" t="s">
        <v>634</v>
      </c>
      <c r="E159" t="s">
        <v>300</v>
      </c>
      <c r="F159" s="11">
        <v>3</v>
      </c>
      <c r="G159" s="11">
        <v>103532.68</v>
      </c>
    </row>
    <row r="160" spans="2:7" x14ac:dyDescent="0.2">
      <c r="B160" s="32">
        <v>45781</v>
      </c>
      <c r="C160" t="s">
        <v>142</v>
      </c>
      <c r="D160" s="13" t="s">
        <v>634</v>
      </c>
      <c r="E160" t="s">
        <v>382</v>
      </c>
      <c r="F160" s="11">
        <v>3</v>
      </c>
      <c r="G160" s="11">
        <v>103532.68</v>
      </c>
    </row>
    <row r="161" spans="2:7" x14ac:dyDescent="0.2">
      <c r="B161" s="32">
        <v>45781</v>
      </c>
      <c r="C161" t="s">
        <v>142</v>
      </c>
      <c r="D161" s="13" t="s">
        <v>634</v>
      </c>
      <c r="E161" t="s">
        <v>158</v>
      </c>
      <c r="F161" s="11">
        <v>2</v>
      </c>
      <c r="G161" s="11">
        <v>92436.97</v>
      </c>
    </row>
    <row r="162" spans="2:7" x14ac:dyDescent="0.2">
      <c r="B162" s="32">
        <v>45781</v>
      </c>
      <c r="C162" t="s">
        <v>142</v>
      </c>
      <c r="D162" s="13" t="s">
        <v>634</v>
      </c>
      <c r="E162" t="s">
        <v>281</v>
      </c>
      <c r="F162" s="11">
        <v>1</v>
      </c>
      <c r="G162" s="11">
        <v>84033.61</v>
      </c>
    </row>
    <row r="163" spans="2:7" x14ac:dyDescent="0.2">
      <c r="B163" s="32">
        <v>45781</v>
      </c>
      <c r="C163" t="s">
        <v>142</v>
      </c>
      <c r="D163" s="13" t="s">
        <v>634</v>
      </c>
      <c r="E163" t="s">
        <v>223</v>
      </c>
      <c r="F163" s="11">
        <v>1</v>
      </c>
      <c r="G163" s="11">
        <v>84033.61</v>
      </c>
    </row>
    <row r="164" spans="2:7" x14ac:dyDescent="0.2">
      <c r="B164" s="32">
        <v>45781</v>
      </c>
      <c r="C164" t="s">
        <v>142</v>
      </c>
      <c r="D164" s="13" t="s">
        <v>634</v>
      </c>
      <c r="E164" t="s">
        <v>413</v>
      </c>
      <c r="F164" s="11">
        <v>1</v>
      </c>
      <c r="G164" s="11">
        <v>79831.94</v>
      </c>
    </row>
    <row r="165" spans="2:7" x14ac:dyDescent="0.2">
      <c r="B165" s="32">
        <v>45781</v>
      </c>
      <c r="C165" t="s">
        <v>142</v>
      </c>
      <c r="D165" s="13" t="s">
        <v>634</v>
      </c>
      <c r="E165" t="s">
        <v>410</v>
      </c>
      <c r="F165" s="11">
        <v>1</v>
      </c>
      <c r="G165" s="11">
        <v>79831.929999999993</v>
      </c>
    </row>
    <row r="166" spans="2:7" x14ac:dyDescent="0.2">
      <c r="B166" s="32">
        <v>45781</v>
      </c>
      <c r="C166" t="s">
        <v>142</v>
      </c>
      <c r="D166" s="13" t="s">
        <v>634</v>
      </c>
      <c r="E166" t="s">
        <v>563</v>
      </c>
      <c r="F166" s="11">
        <v>1</v>
      </c>
      <c r="G166" s="11">
        <v>79831.929999999993</v>
      </c>
    </row>
    <row r="167" spans="2:7" x14ac:dyDescent="0.2">
      <c r="B167" s="32">
        <v>45781</v>
      </c>
      <c r="C167" t="s">
        <v>142</v>
      </c>
      <c r="D167" s="13" t="s">
        <v>634</v>
      </c>
      <c r="E167" t="s">
        <v>393</v>
      </c>
      <c r="F167" s="11">
        <v>1</v>
      </c>
      <c r="G167" s="11">
        <v>79831.929999999993</v>
      </c>
    </row>
    <row r="168" spans="2:7" x14ac:dyDescent="0.2">
      <c r="B168" s="32">
        <v>45781</v>
      </c>
      <c r="C168" t="s">
        <v>142</v>
      </c>
      <c r="D168" s="13" t="s">
        <v>634</v>
      </c>
      <c r="E168" t="s">
        <v>325</v>
      </c>
      <c r="F168" s="11">
        <v>1</v>
      </c>
      <c r="G168" s="11">
        <v>58823.53</v>
      </c>
    </row>
    <row r="169" spans="2:7" x14ac:dyDescent="0.2">
      <c r="B169" s="32">
        <v>45781</v>
      </c>
      <c r="C169" t="s">
        <v>142</v>
      </c>
      <c r="D169" s="13" t="s">
        <v>634</v>
      </c>
      <c r="E169" t="s">
        <v>782</v>
      </c>
      <c r="F169" s="11">
        <v>1</v>
      </c>
      <c r="G169" s="11">
        <v>49849.06</v>
      </c>
    </row>
    <row r="170" spans="2:7" x14ac:dyDescent="0.2">
      <c r="B170" s="32">
        <v>45781</v>
      </c>
      <c r="C170" t="s">
        <v>142</v>
      </c>
      <c r="D170" s="13" t="s">
        <v>634</v>
      </c>
      <c r="E170" t="s">
        <v>1771</v>
      </c>
      <c r="F170" s="11">
        <v>1</v>
      </c>
      <c r="G170" s="11">
        <v>46218.49</v>
      </c>
    </row>
    <row r="171" spans="2:7" x14ac:dyDescent="0.2">
      <c r="B171" s="32">
        <v>45781</v>
      </c>
      <c r="C171" t="s">
        <v>142</v>
      </c>
      <c r="D171" s="13" t="s">
        <v>634</v>
      </c>
      <c r="E171" t="s">
        <v>1772</v>
      </c>
      <c r="F171" s="11">
        <v>1</v>
      </c>
      <c r="G171" s="11">
        <v>46218.49</v>
      </c>
    </row>
    <row r="172" spans="2:7" x14ac:dyDescent="0.2">
      <c r="B172" s="32">
        <v>45781</v>
      </c>
      <c r="C172" t="s">
        <v>142</v>
      </c>
      <c r="D172" s="13" t="s">
        <v>634</v>
      </c>
      <c r="E172" t="s">
        <v>168</v>
      </c>
      <c r="F172" s="11">
        <v>1</v>
      </c>
      <c r="G172" s="11">
        <v>42016.81</v>
      </c>
    </row>
    <row r="173" spans="2:7" x14ac:dyDescent="0.2">
      <c r="B173" s="32">
        <v>45781</v>
      </c>
      <c r="C173" t="s">
        <v>142</v>
      </c>
      <c r="D173" s="13" t="s">
        <v>634</v>
      </c>
      <c r="E173" t="s">
        <v>206</v>
      </c>
      <c r="F173" s="11">
        <v>1</v>
      </c>
      <c r="G173" s="11">
        <v>37815.120000000003</v>
      </c>
    </row>
    <row r="174" spans="2:7" x14ac:dyDescent="0.2">
      <c r="B174" s="32">
        <v>45781</v>
      </c>
      <c r="C174" t="s">
        <v>142</v>
      </c>
      <c r="D174" s="13" t="s">
        <v>634</v>
      </c>
      <c r="E174" t="s">
        <v>491</v>
      </c>
      <c r="F174" s="11">
        <v>1</v>
      </c>
      <c r="G174" s="11">
        <v>35443.879999999997</v>
      </c>
    </row>
    <row r="175" spans="2:7" x14ac:dyDescent="0.2">
      <c r="B175" s="32">
        <v>45781</v>
      </c>
      <c r="C175" t="s">
        <v>142</v>
      </c>
      <c r="D175" s="13" t="s">
        <v>634</v>
      </c>
      <c r="E175" t="s">
        <v>234</v>
      </c>
      <c r="F175" s="11">
        <v>1</v>
      </c>
      <c r="G175" s="11">
        <v>34510.89</v>
      </c>
    </row>
    <row r="176" spans="2:7" x14ac:dyDescent="0.2">
      <c r="B176" s="32">
        <v>45781</v>
      </c>
      <c r="C176" t="s">
        <v>142</v>
      </c>
      <c r="D176" s="13" t="s">
        <v>634</v>
      </c>
      <c r="E176" t="s">
        <v>1768</v>
      </c>
      <c r="F176" s="11">
        <v>1</v>
      </c>
      <c r="G176" s="11">
        <v>34510.89</v>
      </c>
    </row>
    <row r="177" spans="2:7" x14ac:dyDescent="0.2">
      <c r="B177" s="32">
        <v>45781</v>
      </c>
      <c r="C177" t="s">
        <v>142</v>
      </c>
      <c r="D177" s="13" t="s">
        <v>634</v>
      </c>
      <c r="E177" t="s">
        <v>269</v>
      </c>
      <c r="F177" s="11">
        <v>1</v>
      </c>
      <c r="G177" s="11">
        <v>33613.449999999997</v>
      </c>
    </row>
    <row r="178" spans="2:7" x14ac:dyDescent="0.2">
      <c r="B178" s="32">
        <v>45781</v>
      </c>
      <c r="C178" t="s">
        <v>142</v>
      </c>
      <c r="D178" s="13" t="s">
        <v>634</v>
      </c>
      <c r="E178" t="s">
        <v>473</v>
      </c>
      <c r="F178" s="11">
        <v>1</v>
      </c>
      <c r="G178" s="11">
        <v>33613.449999999997</v>
      </c>
    </row>
    <row r="179" spans="2:7" x14ac:dyDescent="0.2">
      <c r="B179" s="32">
        <v>45781</v>
      </c>
      <c r="C179" t="s">
        <v>142</v>
      </c>
      <c r="D179" s="13" t="s">
        <v>634</v>
      </c>
      <c r="E179" t="s">
        <v>520</v>
      </c>
      <c r="F179" s="11">
        <v>1</v>
      </c>
      <c r="G179" s="11">
        <v>33613.440000000002</v>
      </c>
    </row>
    <row r="180" spans="2:7" x14ac:dyDescent="0.2">
      <c r="B180" s="32">
        <v>45781</v>
      </c>
      <c r="C180" t="s">
        <v>142</v>
      </c>
      <c r="D180" s="13" t="s">
        <v>634</v>
      </c>
      <c r="E180" t="s">
        <v>248</v>
      </c>
      <c r="F180" s="11">
        <v>1</v>
      </c>
      <c r="G180" s="11">
        <v>21848.74</v>
      </c>
    </row>
    <row r="181" spans="2:7" x14ac:dyDescent="0.2">
      <c r="B181" s="32">
        <v>45781</v>
      </c>
      <c r="C181" t="s">
        <v>142</v>
      </c>
      <c r="D181" s="13" t="s">
        <v>634</v>
      </c>
      <c r="E181" t="s">
        <v>193</v>
      </c>
      <c r="F181" s="11">
        <v>1</v>
      </c>
      <c r="G181" s="11">
        <v>21848.74</v>
      </c>
    </row>
    <row r="182" spans="2:7" x14ac:dyDescent="0.2">
      <c r="B182" s="32">
        <v>45781</v>
      </c>
      <c r="C182" t="s">
        <v>142</v>
      </c>
      <c r="D182" s="13" t="s">
        <v>634</v>
      </c>
      <c r="E182" t="s">
        <v>1773</v>
      </c>
      <c r="F182" s="11">
        <v>1</v>
      </c>
      <c r="G182" s="11">
        <v>14768.29</v>
      </c>
    </row>
    <row r="183" spans="2:7" x14ac:dyDescent="0.2">
      <c r="B183" s="32">
        <v>45781</v>
      </c>
      <c r="C183" t="s">
        <v>142</v>
      </c>
      <c r="D183" s="13" t="s">
        <v>634</v>
      </c>
      <c r="E183" t="s">
        <v>1751</v>
      </c>
      <c r="F183" s="11">
        <v>1</v>
      </c>
      <c r="G183" s="11">
        <v>13445.38</v>
      </c>
    </row>
    <row r="184" spans="2:7" x14ac:dyDescent="0.2">
      <c r="B184" s="32">
        <v>45781</v>
      </c>
      <c r="C184" t="s">
        <v>142</v>
      </c>
      <c r="D184" s="13" t="s">
        <v>634</v>
      </c>
      <c r="E184" t="s">
        <v>1774</v>
      </c>
      <c r="F184" s="11">
        <v>1</v>
      </c>
      <c r="G184" s="11">
        <v>9451.7000000000007</v>
      </c>
    </row>
    <row r="185" spans="2:7" x14ac:dyDescent="0.2">
      <c r="B185" s="32">
        <v>45781</v>
      </c>
      <c r="C185" t="s">
        <v>142</v>
      </c>
      <c r="D185" s="13" t="s">
        <v>634</v>
      </c>
      <c r="F185" s="11">
        <v>0</v>
      </c>
      <c r="G185" s="11">
        <v>0</v>
      </c>
    </row>
    <row r="186" spans="2:7" x14ac:dyDescent="0.2">
      <c r="B186" s="32">
        <v>45781</v>
      </c>
      <c r="C186" t="s">
        <v>142</v>
      </c>
      <c r="D186" s="13" t="s">
        <v>633</v>
      </c>
      <c r="E186" t="s">
        <v>1775</v>
      </c>
      <c r="F186" s="11">
        <v>48</v>
      </c>
      <c r="G186" s="11">
        <v>776470.59</v>
      </c>
    </row>
    <row r="187" spans="2:7" x14ac:dyDescent="0.2">
      <c r="B187" s="32">
        <v>45781</v>
      </c>
      <c r="C187" t="s">
        <v>142</v>
      </c>
      <c r="D187" s="13" t="s">
        <v>633</v>
      </c>
      <c r="E187" t="s">
        <v>1776</v>
      </c>
      <c r="F187" s="11">
        <v>1</v>
      </c>
      <c r="G187" s="11">
        <v>176470.59</v>
      </c>
    </row>
    <row r="188" spans="2:7" x14ac:dyDescent="0.2">
      <c r="B188" s="32">
        <v>45781</v>
      </c>
      <c r="C188" t="s">
        <v>142</v>
      </c>
      <c r="D188" s="13" t="s">
        <v>633</v>
      </c>
      <c r="E188" t="s">
        <v>414</v>
      </c>
      <c r="F188" s="11">
        <v>1</v>
      </c>
      <c r="G188" s="11">
        <v>124369.75</v>
      </c>
    </row>
    <row r="189" spans="2:7" x14ac:dyDescent="0.2">
      <c r="B189" s="32">
        <v>45781</v>
      </c>
      <c r="C189" t="s">
        <v>142</v>
      </c>
      <c r="D189" s="13" t="s">
        <v>633</v>
      </c>
      <c r="E189" t="s">
        <v>567</v>
      </c>
      <c r="F189" s="11">
        <v>1</v>
      </c>
      <c r="G189" s="11">
        <v>109243.7</v>
      </c>
    </row>
    <row r="190" spans="2:7" x14ac:dyDescent="0.2">
      <c r="B190" s="32">
        <v>45781</v>
      </c>
      <c r="C190" t="s">
        <v>142</v>
      </c>
      <c r="D190" s="13" t="s">
        <v>633</v>
      </c>
      <c r="E190" t="s">
        <v>316</v>
      </c>
      <c r="F190" s="11">
        <v>1</v>
      </c>
      <c r="G190" s="11">
        <v>100840.34</v>
      </c>
    </row>
    <row r="191" spans="2:7" x14ac:dyDescent="0.2">
      <c r="B191" s="32">
        <v>45781</v>
      </c>
      <c r="C191" t="s">
        <v>142</v>
      </c>
      <c r="D191" s="13" t="s">
        <v>633</v>
      </c>
      <c r="E191" t="s">
        <v>475</v>
      </c>
      <c r="F191" s="11">
        <v>1</v>
      </c>
      <c r="G191" s="11">
        <v>71428.570000000007</v>
      </c>
    </row>
    <row r="192" spans="2:7" x14ac:dyDescent="0.2">
      <c r="B192" s="32">
        <v>45781</v>
      </c>
      <c r="C192" t="s">
        <v>142</v>
      </c>
      <c r="D192" s="13" t="s">
        <v>633</v>
      </c>
      <c r="E192" t="s">
        <v>189</v>
      </c>
      <c r="F192" s="11">
        <v>1</v>
      </c>
      <c r="G192" s="11">
        <v>71428.570000000007</v>
      </c>
    </row>
    <row r="193" spans="2:7" x14ac:dyDescent="0.2">
      <c r="B193" s="32">
        <v>45781</v>
      </c>
      <c r="C193" t="s">
        <v>142</v>
      </c>
      <c r="D193" s="13" t="s">
        <v>633</v>
      </c>
      <c r="E193" t="s">
        <v>754</v>
      </c>
      <c r="F193" s="11">
        <v>1</v>
      </c>
      <c r="G193" s="11">
        <v>70588.240000000005</v>
      </c>
    </row>
    <row r="194" spans="2:7" x14ac:dyDescent="0.2">
      <c r="B194" s="32">
        <v>45781</v>
      </c>
      <c r="C194" t="s">
        <v>142</v>
      </c>
      <c r="D194" s="13" t="s">
        <v>633</v>
      </c>
      <c r="E194" t="s">
        <v>757</v>
      </c>
      <c r="F194" s="11">
        <v>1</v>
      </c>
      <c r="G194" s="11">
        <v>58823.53</v>
      </c>
    </row>
    <row r="195" spans="2:7" x14ac:dyDescent="0.2">
      <c r="B195" s="32">
        <v>45781</v>
      </c>
      <c r="C195" t="s">
        <v>142</v>
      </c>
      <c r="D195" s="13" t="s">
        <v>633</v>
      </c>
      <c r="E195" t="s">
        <v>537</v>
      </c>
      <c r="F195" s="11">
        <v>1</v>
      </c>
      <c r="G195" s="11">
        <v>58823.53</v>
      </c>
    </row>
    <row r="196" spans="2:7" x14ac:dyDescent="0.2">
      <c r="B196" s="32">
        <v>45781</v>
      </c>
      <c r="C196" t="s">
        <v>142</v>
      </c>
      <c r="D196" s="13" t="s">
        <v>633</v>
      </c>
      <c r="E196" t="s">
        <v>178</v>
      </c>
      <c r="F196" s="11">
        <v>0</v>
      </c>
      <c r="G196" s="11">
        <v>54621.85</v>
      </c>
    </row>
    <row r="197" spans="2:7" x14ac:dyDescent="0.2">
      <c r="B197" s="32">
        <v>45781</v>
      </c>
      <c r="C197" t="s">
        <v>142</v>
      </c>
      <c r="D197" s="13" t="s">
        <v>633</v>
      </c>
      <c r="E197" t="s">
        <v>203</v>
      </c>
      <c r="F197" s="11">
        <v>1</v>
      </c>
      <c r="G197" s="11">
        <v>42016.81</v>
      </c>
    </row>
    <row r="198" spans="2:7" x14ac:dyDescent="0.2">
      <c r="B198" s="32">
        <v>45781</v>
      </c>
      <c r="C198" t="s">
        <v>142</v>
      </c>
      <c r="D198" s="13" t="s">
        <v>633</v>
      </c>
      <c r="E198" t="s">
        <v>427</v>
      </c>
      <c r="F198" s="11">
        <v>1</v>
      </c>
      <c r="G198" s="11">
        <v>38235.29</v>
      </c>
    </row>
    <row r="199" spans="2:7" x14ac:dyDescent="0.2">
      <c r="B199" s="32">
        <v>45781</v>
      </c>
      <c r="C199" t="s">
        <v>142</v>
      </c>
      <c r="D199" s="13" t="s">
        <v>633</v>
      </c>
      <c r="E199" t="s">
        <v>455</v>
      </c>
      <c r="F199" s="11">
        <v>1</v>
      </c>
      <c r="G199" s="11">
        <v>33613.449999999997</v>
      </c>
    </row>
    <row r="200" spans="2:7" x14ac:dyDescent="0.2">
      <c r="B200" s="32">
        <v>45781</v>
      </c>
      <c r="C200" t="s">
        <v>142</v>
      </c>
      <c r="D200" s="13" t="s">
        <v>633</v>
      </c>
      <c r="E200" t="s">
        <v>470</v>
      </c>
      <c r="F200" s="11">
        <v>1</v>
      </c>
      <c r="G200" s="11">
        <v>33613.449999999997</v>
      </c>
    </row>
    <row r="201" spans="2:7" x14ac:dyDescent="0.2">
      <c r="B201" s="32">
        <v>45781</v>
      </c>
      <c r="C201" t="s">
        <v>142</v>
      </c>
      <c r="D201" s="13" t="s">
        <v>633</v>
      </c>
      <c r="E201" t="s">
        <v>307</v>
      </c>
      <c r="F201" s="11">
        <v>1</v>
      </c>
      <c r="G201" s="11">
        <v>33613.440000000002</v>
      </c>
    </row>
    <row r="202" spans="2:7" x14ac:dyDescent="0.2">
      <c r="B202" s="32">
        <v>45781</v>
      </c>
      <c r="C202" t="s">
        <v>142</v>
      </c>
      <c r="D202" s="13" t="s">
        <v>633</v>
      </c>
      <c r="E202" t="s">
        <v>172</v>
      </c>
      <c r="F202" s="11">
        <v>1</v>
      </c>
      <c r="G202" s="11">
        <v>32352.95</v>
      </c>
    </row>
    <row r="203" spans="2:7" x14ac:dyDescent="0.2">
      <c r="B203" s="32">
        <v>45781</v>
      </c>
      <c r="C203" t="s">
        <v>142</v>
      </c>
      <c r="D203" s="13" t="s">
        <v>633</v>
      </c>
      <c r="E203" t="s">
        <v>158</v>
      </c>
      <c r="F203" s="11">
        <v>1</v>
      </c>
      <c r="G203" s="11">
        <v>32352.94</v>
      </c>
    </row>
    <row r="204" spans="2:7" x14ac:dyDescent="0.2">
      <c r="B204" s="32">
        <v>45781</v>
      </c>
      <c r="C204" t="s">
        <v>142</v>
      </c>
      <c r="D204" s="13" t="s">
        <v>633</v>
      </c>
      <c r="E204" t="s">
        <v>452</v>
      </c>
      <c r="F204" s="11">
        <v>1</v>
      </c>
      <c r="G204" s="11">
        <v>26470.59</v>
      </c>
    </row>
    <row r="205" spans="2:7" x14ac:dyDescent="0.2">
      <c r="B205" s="32">
        <v>45781</v>
      </c>
      <c r="C205" t="s">
        <v>142</v>
      </c>
      <c r="D205" s="13" t="s">
        <v>633</v>
      </c>
      <c r="E205" t="s">
        <v>1774</v>
      </c>
      <c r="F205" s="11">
        <v>1</v>
      </c>
      <c r="G205" s="11">
        <v>9327.73</v>
      </c>
    </row>
    <row r="206" spans="2:7" x14ac:dyDescent="0.2">
      <c r="B206" s="32">
        <v>45781</v>
      </c>
      <c r="C206" t="s">
        <v>142</v>
      </c>
      <c r="D206" s="13" t="s">
        <v>633</v>
      </c>
      <c r="E206" t="s">
        <v>1751</v>
      </c>
      <c r="F206" s="11">
        <v>1</v>
      </c>
      <c r="G206" s="11">
        <v>9327.73</v>
      </c>
    </row>
    <row r="207" spans="2:7" x14ac:dyDescent="0.2">
      <c r="B207" s="32">
        <v>45781</v>
      </c>
      <c r="C207" t="s">
        <v>142</v>
      </c>
      <c r="D207" s="13" t="s">
        <v>633</v>
      </c>
      <c r="E207" t="s">
        <v>1777</v>
      </c>
      <c r="F207" s="11">
        <v>1</v>
      </c>
      <c r="G207" s="11">
        <v>9327.73</v>
      </c>
    </row>
    <row r="208" spans="2:7" x14ac:dyDescent="0.2">
      <c r="B208" s="32">
        <v>45781</v>
      </c>
      <c r="C208" t="s">
        <v>142</v>
      </c>
      <c r="D208" s="13" t="s">
        <v>633</v>
      </c>
      <c r="E208" t="s">
        <v>831</v>
      </c>
      <c r="F208" s="11">
        <v>1</v>
      </c>
      <c r="G208" s="11">
        <v>0.84</v>
      </c>
    </row>
    <row r="209" spans="2:7" x14ac:dyDescent="0.2">
      <c r="B209" s="32">
        <v>45781</v>
      </c>
      <c r="C209" t="s">
        <v>142</v>
      </c>
      <c r="D209" s="13" t="s">
        <v>633</v>
      </c>
      <c r="F209" s="11">
        <v>0</v>
      </c>
      <c r="G209" s="11">
        <v>0</v>
      </c>
    </row>
    <row r="210" spans="2:7" x14ac:dyDescent="0.2">
      <c r="B210" s="32">
        <v>45781</v>
      </c>
      <c r="C210" t="s">
        <v>142</v>
      </c>
      <c r="D210" s="13" t="s">
        <v>633</v>
      </c>
      <c r="E210" t="s">
        <v>283</v>
      </c>
      <c r="F210" s="11">
        <v>0</v>
      </c>
      <c r="G210" s="11">
        <v>-54621.84</v>
      </c>
    </row>
    <row r="211" spans="2:7" x14ac:dyDescent="0.2">
      <c r="B211" s="32">
        <v>45782</v>
      </c>
      <c r="C211" t="s">
        <v>142</v>
      </c>
      <c r="D211" s="13"/>
      <c r="E211" t="s">
        <v>352</v>
      </c>
      <c r="F211" s="11">
        <v>1</v>
      </c>
      <c r="G211" s="11">
        <v>58823.53</v>
      </c>
    </row>
    <row r="212" spans="2:7" x14ac:dyDescent="0.2">
      <c r="B212" s="32">
        <v>45782</v>
      </c>
      <c r="C212" t="s">
        <v>142</v>
      </c>
      <c r="D212" s="13" t="s">
        <v>634</v>
      </c>
      <c r="E212" t="s">
        <v>1778</v>
      </c>
      <c r="F212" s="11">
        <v>1</v>
      </c>
      <c r="G212" s="11">
        <v>285714.28999999998</v>
      </c>
    </row>
    <row r="213" spans="2:7" x14ac:dyDescent="0.2">
      <c r="B213" s="32">
        <v>45782</v>
      </c>
      <c r="C213" t="s">
        <v>142</v>
      </c>
      <c r="D213" s="13" t="s">
        <v>634</v>
      </c>
      <c r="E213" t="s">
        <v>1779</v>
      </c>
      <c r="F213" s="11">
        <v>1</v>
      </c>
      <c r="G213" s="11">
        <v>252100.84</v>
      </c>
    </row>
    <row r="214" spans="2:7" x14ac:dyDescent="0.2">
      <c r="B214" s="32">
        <v>45782</v>
      </c>
      <c r="C214" t="s">
        <v>142</v>
      </c>
      <c r="D214" s="13" t="s">
        <v>634</v>
      </c>
      <c r="E214" t="s">
        <v>1780</v>
      </c>
      <c r="F214" s="11">
        <v>1</v>
      </c>
      <c r="G214" s="11">
        <v>226890.76</v>
      </c>
    </row>
    <row r="215" spans="2:7" x14ac:dyDescent="0.2">
      <c r="B215" s="32">
        <v>45782</v>
      </c>
      <c r="C215" t="s">
        <v>142</v>
      </c>
      <c r="D215" s="13" t="s">
        <v>634</v>
      </c>
      <c r="E215" t="s">
        <v>1781</v>
      </c>
      <c r="F215" s="11">
        <v>1</v>
      </c>
      <c r="G215" s="11">
        <v>156302.51999999999</v>
      </c>
    </row>
    <row r="216" spans="2:7" x14ac:dyDescent="0.2">
      <c r="B216" s="32">
        <v>45782</v>
      </c>
      <c r="C216" t="s">
        <v>142</v>
      </c>
      <c r="D216" s="13" t="s">
        <v>634</v>
      </c>
      <c r="E216" t="s">
        <v>1782</v>
      </c>
      <c r="F216" s="11">
        <v>1</v>
      </c>
      <c r="G216" s="11">
        <v>130252.1</v>
      </c>
    </row>
    <row r="217" spans="2:7" x14ac:dyDescent="0.2">
      <c r="B217" s="32">
        <v>45782</v>
      </c>
      <c r="C217" t="s">
        <v>142</v>
      </c>
      <c r="D217" s="13" t="s">
        <v>634</v>
      </c>
      <c r="E217" t="s">
        <v>588</v>
      </c>
      <c r="F217" s="11">
        <v>1</v>
      </c>
      <c r="G217" s="11">
        <v>88235.29</v>
      </c>
    </row>
    <row r="218" spans="2:7" x14ac:dyDescent="0.2">
      <c r="B218" s="32">
        <v>45782</v>
      </c>
      <c r="C218" t="s">
        <v>142</v>
      </c>
      <c r="D218" s="13" t="s">
        <v>634</v>
      </c>
      <c r="E218" t="s">
        <v>1759</v>
      </c>
      <c r="F218" s="11">
        <v>1</v>
      </c>
      <c r="G218" s="11">
        <v>88235.29</v>
      </c>
    </row>
    <row r="219" spans="2:7" x14ac:dyDescent="0.2">
      <c r="B219" s="32">
        <v>45782</v>
      </c>
      <c r="C219" t="s">
        <v>142</v>
      </c>
      <c r="D219" s="13" t="s">
        <v>634</v>
      </c>
      <c r="E219" t="s">
        <v>563</v>
      </c>
      <c r="F219" s="11">
        <v>1</v>
      </c>
      <c r="G219" s="11">
        <v>88235.29</v>
      </c>
    </row>
    <row r="220" spans="2:7" x14ac:dyDescent="0.2">
      <c r="B220" s="32">
        <v>45782</v>
      </c>
      <c r="C220" t="s">
        <v>142</v>
      </c>
      <c r="D220" s="13" t="s">
        <v>634</v>
      </c>
      <c r="E220" t="s">
        <v>207</v>
      </c>
      <c r="F220" s="11">
        <v>1</v>
      </c>
      <c r="G220" s="11">
        <v>74117.649999999994</v>
      </c>
    </row>
    <row r="221" spans="2:7" x14ac:dyDescent="0.2">
      <c r="B221" s="32">
        <v>45782</v>
      </c>
      <c r="C221" t="s">
        <v>142</v>
      </c>
      <c r="D221" s="13" t="s">
        <v>634</v>
      </c>
      <c r="E221" t="s">
        <v>193</v>
      </c>
      <c r="F221" s="11">
        <v>3</v>
      </c>
      <c r="G221" s="11">
        <v>65546.22</v>
      </c>
    </row>
    <row r="222" spans="2:7" x14ac:dyDescent="0.2">
      <c r="B222" s="32">
        <v>45782</v>
      </c>
      <c r="C222" t="s">
        <v>142</v>
      </c>
      <c r="D222" s="13" t="s">
        <v>634</v>
      </c>
      <c r="E222" t="s">
        <v>1783</v>
      </c>
      <c r="F222" s="11">
        <v>1</v>
      </c>
      <c r="G222" s="11">
        <v>58823.53</v>
      </c>
    </row>
    <row r="223" spans="2:7" x14ac:dyDescent="0.2">
      <c r="B223" s="32">
        <v>45782</v>
      </c>
      <c r="C223" t="s">
        <v>142</v>
      </c>
      <c r="D223" s="13" t="s">
        <v>634</v>
      </c>
      <c r="E223" t="s">
        <v>213</v>
      </c>
      <c r="F223" s="11">
        <v>1</v>
      </c>
      <c r="G223" s="11">
        <v>58823.53</v>
      </c>
    </row>
    <row r="224" spans="2:7" x14ac:dyDescent="0.2">
      <c r="B224" s="32">
        <v>45782</v>
      </c>
      <c r="C224" t="s">
        <v>142</v>
      </c>
      <c r="D224" s="13" t="s">
        <v>634</v>
      </c>
      <c r="E224" t="s">
        <v>1784</v>
      </c>
      <c r="F224" s="11">
        <v>1</v>
      </c>
      <c r="G224" s="11">
        <v>58823.53</v>
      </c>
    </row>
    <row r="225" spans="2:7" x14ac:dyDescent="0.2">
      <c r="B225" s="32">
        <v>45782</v>
      </c>
      <c r="C225" t="s">
        <v>142</v>
      </c>
      <c r="D225" s="13" t="s">
        <v>634</v>
      </c>
      <c r="E225" t="s">
        <v>311</v>
      </c>
      <c r="F225" s="11">
        <v>1</v>
      </c>
      <c r="G225" s="11">
        <v>54621.85</v>
      </c>
    </row>
    <row r="226" spans="2:7" x14ac:dyDescent="0.2">
      <c r="B226" s="32">
        <v>45782</v>
      </c>
      <c r="C226" t="s">
        <v>142</v>
      </c>
      <c r="D226" s="13" t="s">
        <v>634</v>
      </c>
      <c r="E226" t="s">
        <v>407</v>
      </c>
      <c r="F226" s="11">
        <v>1</v>
      </c>
      <c r="G226" s="11">
        <v>54621.85</v>
      </c>
    </row>
    <row r="227" spans="2:7" x14ac:dyDescent="0.2">
      <c r="B227" s="32">
        <v>45782</v>
      </c>
      <c r="C227" t="s">
        <v>142</v>
      </c>
      <c r="D227" s="13" t="s">
        <v>634</v>
      </c>
      <c r="E227" t="s">
        <v>303</v>
      </c>
      <c r="F227" s="11">
        <v>1</v>
      </c>
      <c r="G227" s="11">
        <v>50420.17</v>
      </c>
    </row>
    <row r="228" spans="2:7" x14ac:dyDescent="0.2">
      <c r="B228" s="32">
        <v>45782</v>
      </c>
      <c r="C228" t="s">
        <v>142</v>
      </c>
      <c r="D228" s="13" t="s">
        <v>634</v>
      </c>
      <c r="E228" t="s">
        <v>161</v>
      </c>
      <c r="F228" s="11">
        <v>1</v>
      </c>
      <c r="G228" s="11">
        <v>42016.81</v>
      </c>
    </row>
    <row r="229" spans="2:7" x14ac:dyDescent="0.2">
      <c r="B229" s="32">
        <v>45782</v>
      </c>
      <c r="C229" t="s">
        <v>142</v>
      </c>
      <c r="D229" s="13" t="s">
        <v>634</v>
      </c>
      <c r="E229" t="s">
        <v>246</v>
      </c>
      <c r="F229" s="11">
        <v>1</v>
      </c>
      <c r="G229" s="11">
        <v>42016.800000000003</v>
      </c>
    </row>
    <row r="230" spans="2:7" x14ac:dyDescent="0.2">
      <c r="B230" s="32">
        <v>45782</v>
      </c>
      <c r="C230" t="s">
        <v>142</v>
      </c>
      <c r="D230" s="13" t="s">
        <v>634</v>
      </c>
      <c r="E230" t="s">
        <v>1785</v>
      </c>
      <c r="F230" s="11">
        <v>1</v>
      </c>
      <c r="G230" s="11">
        <v>21848.74</v>
      </c>
    </row>
    <row r="231" spans="2:7" x14ac:dyDescent="0.2">
      <c r="B231" s="32">
        <v>45782</v>
      </c>
      <c r="C231" t="s">
        <v>142</v>
      </c>
      <c r="D231" s="13" t="s">
        <v>634</v>
      </c>
      <c r="F231" s="11">
        <v>0</v>
      </c>
      <c r="G231" s="11">
        <v>0</v>
      </c>
    </row>
    <row r="232" spans="2:7" x14ac:dyDescent="0.2">
      <c r="B232" s="32">
        <v>45782</v>
      </c>
      <c r="C232" t="s">
        <v>142</v>
      </c>
      <c r="D232" s="13" t="s">
        <v>633</v>
      </c>
      <c r="E232" t="s">
        <v>1786</v>
      </c>
      <c r="F232" s="11">
        <v>2</v>
      </c>
      <c r="G232" s="11">
        <v>252100.84</v>
      </c>
    </row>
    <row r="233" spans="2:7" x14ac:dyDescent="0.2">
      <c r="B233" s="32">
        <v>45782</v>
      </c>
      <c r="C233" t="s">
        <v>142</v>
      </c>
      <c r="D233" s="13" t="s">
        <v>633</v>
      </c>
      <c r="E233" t="s">
        <v>1787</v>
      </c>
      <c r="F233" s="11">
        <v>1</v>
      </c>
      <c r="G233" s="11">
        <v>184873.95</v>
      </c>
    </row>
    <row r="234" spans="2:7" x14ac:dyDescent="0.2">
      <c r="B234" s="32">
        <v>45782</v>
      </c>
      <c r="C234" t="s">
        <v>142</v>
      </c>
      <c r="D234" s="13" t="s">
        <v>633</v>
      </c>
      <c r="E234" t="s">
        <v>1788</v>
      </c>
      <c r="F234" s="11">
        <v>2</v>
      </c>
      <c r="G234" s="11">
        <v>164705.88</v>
      </c>
    </row>
    <row r="235" spans="2:7" x14ac:dyDescent="0.2">
      <c r="B235" s="32">
        <v>45782</v>
      </c>
      <c r="C235" t="s">
        <v>142</v>
      </c>
      <c r="D235" s="13" t="s">
        <v>633</v>
      </c>
      <c r="E235" t="s">
        <v>1789</v>
      </c>
      <c r="F235" s="11">
        <v>1</v>
      </c>
      <c r="G235" s="11">
        <v>146799.74</v>
      </c>
    </row>
    <row r="236" spans="2:7" x14ac:dyDescent="0.2">
      <c r="B236" s="32">
        <v>45782</v>
      </c>
      <c r="C236" t="s">
        <v>142</v>
      </c>
      <c r="D236" s="13" t="s">
        <v>633</v>
      </c>
      <c r="E236" t="s">
        <v>191</v>
      </c>
      <c r="F236" s="11">
        <v>1</v>
      </c>
      <c r="G236" s="11">
        <v>138655.46</v>
      </c>
    </row>
    <row r="237" spans="2:7" x14ac:dyDescent="0.2">
      <c r="B237" s="32">
        <v>45782</v>
      </c>
      <c r="C237" t="s">
        <v>142</v>
      </c>
      <c r="D237" s="13" t="s">
        <v>633</v>
      </c>
      <c r="E237" t="s">
        <v>1790</v>
      </c>
      <c r="F237" s="11">
        <v>1</v>
      </c>
      <c r="G237" s="11">
        <v>132119.76</v>
      </c>
    </row>
    <row r="238" spans="2:7" x14ac:dyDescent="0.2">
      <c r="B238" s="32">
        <v>45782</v>
      </c>
      <c r="C238" t="s">
        <v>142</v>
      </c>
      <c r="D238" s="13" t="s">
        <v>633</v>
      </c>
      <c r="E238" t="s">
        <v>374</v>
      </c>
      <c r="F238" s="11">
        <v>2</v>
      </c>
      <c r="G238" s="11">
        <v>117647.06</v>
      </c>
    </row>
    <row r="239" spans="2:7" x14ac:dyDescent="0.2">
      <c r="B239" s="32">
        <v>45782</v>
      </c>
      <c r="C239" t="s">
        <v>142</v>
      </c>
      <c r="D239" s="13" t="s">
        <v>633</v>
      </c>
      <c r="E239" t="s">
        <v>813</v>
      </c>
      <c r="F239" s="11">
        <v>1</v>
      </c>
      <c r="G239" s="11">
        <v>100840.34</v>
      </c>
    </row>
    <row r="240" spans="2:7" x14ac:dyDescent="0.2">
      <c r="B240" s="32">
        <v>45782</v>
      </c>
      <c r="C240" t="s">
        <v>142</v>
      </c>
      <c r="D240" s="13" t="s">
        <v>633</v>
      </c>
      <c r="E240" t="s">
        <v>1791</v>
      </c>
      <c r="F240" s="11">
        <v>1</v>
      </c>
      <c r="G240" s="11">
        <v>79831.929999999993</v>
      </c>
    </row>
    <row r="241" spans="2:7" x14ac:dyDescent="0.2">
      <c r="B241" s="32">
        <v>45782</v>
      </c>
      <c r="C241" t="s">
        <v>142</v>
      </c>
      <c r="D241" s="13" t="s">
        <v>633</v>
      </c>
      <c r="E241" t="s">
        <v>289</v>
      </c>
      <c r="F241" s="11">
        <v>1</v>
      </c>
      <c r="G241" s="11">
        <v>65546.22</v>
      </c>
    </row>
    <row r="242" spans="2:7" x14ac:dyDescent="0.2">
      <c r="B242" s="32">
        <v>45782</v>
      </c>
      <c r="C242" t="s">
        <v>142</v>
      </c>
      <c r="D242" s="13" t="s">
        <v>633</v>
      </c>
      <c r="E242" t="s">
        <v>1762</v>
      </c>
      <c r="F242" s="11">
        <v>1</v>
      </c>
      <c r="G242" s="11">
        <v>65546.22</v>
      </c>
    </row>
    <row r="243" spans="2:7" x14ac:dyDescent="0.2">
      <c r="B243" s="32">
        <v>45782</v>
      </c>
      <c r="C243" t="s">
        <v>142</v>
      </c>
      <c r="D243" s="13" t="s">
        <v>633</v>
      </c>
      <c r="E243" t="s">
        <v>287</v>
      </c>
      <c r="F243" s="11">
        <v>1</v>
      </c>
      <c r="G243" s="11">
        <v>58823.53</v>
      </c>
    </row>
    <row r="244" spans="2:7" x14ac:dyDescent="0.2">
      <c r="B244" s="32">
        <v>45782</v>
      </c>
      <c r="C244" t="s">
        <v>142</v>
      </c>
      <c r="D244" s="13" t="s">
        <v>633</v>
      </c>
      <c r="E244" t="s">
        <v>447</v>
      </c>
      <c r="F244" s="11">
        <v>1</v>
      </c>
      <c r="G244" s="11">
        <v>58823.53</v>
      </c>
    </row>
    <row r="245" spans="2:7" x14ac:dyDescent="0.2">
      <c r="B245" s="32">
        <v>45782</v>
      </c>
      <c r="C245" t="s">
        <v>142</v>
      </c>
      <c r="D245" s="13" t="s">
        <v>633</v>
      </c>
      <c r="E245" t="s">
        <v>477</v>
      </c>
      <c r="F245" s="11">
        <v>1</v>
      </c>
      <c r="G245" s="11">
        <v>58823.53</v>
      </c>
    </row>
    <row r="246" spans="2:7" x14ac:dyDescent="0.2">
      <c r="B246" s="32">
        <v>45782</v>
      </c>
      <c r="C246" t="s">
        <v>142</v>
      </c>
      <c r="D246" s="13" t="s">
        <v>633</v>
      </c>
      <c r="E246" t="s">
        <v>377</v>
      </c>
      <c r="F246" s="11">
        <v>1</v>
      </c>
      <c r="G246" s="11">
        <v>58823.53</v>
      </c>
    </row>
    <row r="247" spans="2:7" x14ac:dyDescent="0.2">
      <c r="B247" s="32">
        <v>45782</v>
      </c>
      <c r="C247" t="s">
        <v>142</v>
      </c>
      <c r="D247" s="13" t="s">
        <v>633</v>
      </c>
      <c r="E247" t="s">
        <v>1792</v>
      </c>
      <c r="F247" s="11">
        <v>1</v>
      </c>
      <c r="G247" s="11">
        <v>54621.85</v>
      </c>
    </row>
    <row r="248" spans="2:7" x14ac:dyDescent="0.2">
      <c r="B248" s="32">
        <v>45782</v>
      </c>
      <c r="C248" t="s">
        <v>142</v>
      </c>
      <c r="D248" s="13" t="s">
        <v>633</v>
      </c>
      <c r="E248" t="s">
        <v>258</v>
      </c>
      <c r="F248" s="11">
        <v>1</v>
      </c>
      <c r="G248" s="11">
        <v>54621.85</v>
      </c>
    </row>
    <row r="249" spans="2:7" x14ac:dyDescent="0.2">
      <c r="B249" s="32">
        <v>45782</v>
      </c>
      <c r="C249" t="s">
        <v>142</v>
      </c>
      <c r="D249" s="13" t="s">
        <v>633</v>
      </c>
      <c r="E249" t="s">
        <v>214</v>
      </c>
      <c r="F249" s="11">
        <v>1</v>
      </c>
      <c r="G249" s="11">
        <v>54621.85</v>
      </c>
    </row>
    <row r="250" spans="2:7" x14ac:dyDescent="0.2">
      <c r="B250" s="32">
        <v>45782</v>
      </c>
      <c r="C250" t="s">
        <v>142</v>
      </c>
      <c r="D250" s="13" t="s">
        <v>633</v>
      </c>
      <c r="E250" t="s">
        <v>1793</v>
      </c>
      <c r="F250" s="11">
        <v>1</v>
      </c>
      <c r="G250" s="11">
        <v>54621.85</v>
      </c>
    </row>
    <row r="251" spans="2:7" x14ac:dyDescent="0.2">
      <c r="B251" s="32">
        <v>45782</v>
      </c>
      <c r="C251" t="s">
        <v>142</v>
      </c>
      <c r="D251" s="13" t="s">
        <v>633</v>
      </c>
      <c r="E251" t="s">
        <v>328</v>
      </c>
      <c r="F251" s="11">
        <v>1</v>
      </c>
      <c r="G251" s="11">
        <v>37815.120000000003</v>
      </c>
    </row>
    <row r="252" spans="2:7" x14ac:dyDescent="0.2">
      <c r="B252" s="32">
        <v>45782</v>
      </c>
      <c r="C252" t="s">
        <v>142</v>
      </c>
      <c r="D252" s="13" t="s">
        <v>633</v>
      </c>
      <c r="E252" t="s">
        <v>736</v>
      </c>
      <c r="F252" s="11">
        <v>1</v>
      </c>
      <c r="G252" s="11">
        <v>25282.18</v>
      </c>
    </row>
    <row r="253" spans="2:7" x14ac:dyDescent="0.2">
      <c r="B253" s="32">
        <v>45782</v>
      </c>
      <c r="C253" t="s">
        <v>142</v>
      </c>
      <c r="D253" s="13" t="s">
        <v>633</v>
      </c>
      <c r="F253" s="11">
        <v>1</v>
      </c>
      <c r="G253" s="11">
        <v>1</v>
      </c>
    </row>
    <row r="254" spans="2:7" x14ac:dyDescent="0.2">
      <c r="B254" s="32">
        <v>45782</v>
      </c>
      <c r="C254" t="s">
        <v>142</v>
      </c>
      <c r="D254" s="13" t="s">
        <v>633</v>
      </c>
      <c r="E254" t="s">
        <v>831</v>
      </c>
      <c r="F254" s="11">
        <v>1</v>
      </c>
      <c r="G254" s="11">
        <v>0.84</v>
      </c>
    </row>
    <row r="255" spans="2:7" x14ac:dyDescent="0.2">
      <c r="B255" s="32">
        <v>45783</v>
      </c>
      <c r="C255" t="s">
        <v>142</v>
      </c>
      <c r="D255" s="13" t="s">
        <v>634</v>
      </c>
      <c r="E255" t="s">
        <v>554</v>
      </c>
      <c r="F255" s="11">
        <v>1</v>
      </c>
      <c r="G255" s="11">
        <v>285714.28999999998</v>
      </c>
    </row>
    <row r="256" spans="2:7" x14ac:dyDescent="0.2">
      <c r="B256" s="32">
        <v>45783</v>
      </c>
      <c r="C256" t="s">
        <v>142</v>
      </c>
      <c r="D256" s="13" t="s">
        <v>634</v>
      </c>
      <c r="E256" t="s">
        <v>249</v>
      </c>
      <c r="F256" s="11">
        <v>2</v>
      </c>
      <c r="G256" s="11">
        <v>193277.31</v>
      </c>
    </row>
    <row r="257" spans="2:7" x14ac:dyDescent="0.2">
      <c r="B257" s="32">
        <v>45783</v>
      </c>
      <c r="C257" t="s">
        <v>142</v>
      </c>
      <c r="D257" s="13" t="s">
        <v>634</v>
      </c>
      <c r="E257" t="s">
        <v>318</v>
      </c>
      <c r="F257" s="11">
        <v>2</v>
      </c>
      <c r="G257" s="11">
        <v>176470.59</v>
      </c>
    </row>
    <row r="258" spans="2:7" x14ac:dyDescent="0.2">
      <c r="B258" s="32">
        <v>45783</v>
      </c>
      <c r="C258" t="s">
        <v>142</v>
      </c>
      <c r="D258" s="13" t="s">
        <v>634</v>
      </c>
      <c r="E258" t="s">
        <v>347</v>
      </c>
      <c r="F258" s="11">
        <v>2</v>
      </c>
      <c r="G258" s="11">
        <v>151260.5</v>
      </c>
    </row>
    <row r="259" spans="2:7" x14ac:dyDescent="0.2">
      <c r="B259" s="32">
        <v>45783</v>
      </c>
      <c r="C259" t="s">
        <v>142</v>
      </c>
      <c r="D259" s="13" t="s">
        <v>634</v>
      </c>
      <c r="E259" t="s">
        <v>805</v>
      </c>
      <c r="F259" s="11">
        <v>1</v>
      </c>
      <c r="G259" s="11">
        <v>147058.82</v>
      </c>
    </row>
    <row r="260" spans="2:7" x14ac:dyDescent="0.2">
      <c r="B260" s="32">
        <v>45783</v>
      </c>
      <c r="C260" t="s">
        <v>142</v>
      </c>
      <c r="D260" s="13" t="s">
        <v>634</v>
      </c>
      <c r="E260" t="s">
        <v>268</v>
      </c>
      <c r="F260" s="11">
        <v>1</v>
      </c>
      <c r="G260" s="11">
        <v>130252.1</v>
      </c>
    </row>
    <row r="261" spans="2:7" x14ac:dyDescent="0.2">
      <c r="B261" s="32">
        <v>45783</v>
      </c>
      <c r="C261" t="s">
        <v>142</v>
      </c>
      <c r="D261" s="13" t="s">
        <v>634</v>
      </c>
      <c r="E261" t="s">
        <v>661</v>
      </c>
      <c r="F261" s="11">
        <v>1</v>
      </c>
      <c r="G261" s="11">
        <v>117647.06</v>
      </c>
    </row>
    <row r="262" spans="2:7" x14ac:dyDescent="0.2">
      <c r="B262" s="32">
        <v>45783</v>
      </c>
      <c r="C262" t="s">
        <v>142</v>
      </c>
      <c r="D262" s="13" t="s">
        <v>634</v>
      </c>
      <c r="E262" t="s">
        <v>1794</v>
      </c>
      <c r="F262" s="11">
        <v>1</v>
      </c>
      <c r="G262" s="11">
        <v>109243.7</v>
      </c>
    </row>
    <row r="263" spans="2:7" x14ac:dyDescent="0.2">
      <c r="B263" s="32">
        <v>45783</v>
      </c>
      <c r="C263" t="s">
        <v>142</v>
      </c>
      <c r="D263" s="13" t="s">
        <v>634</v>
      </c>
      <c r="E263" t="s">
        <v>427</v>
      </c>
      <c r="F263" s="11">
        <v>2</v>
      </c>
      <c r="G263" s="11">
        <v>109243.7</v>
      </c>
    </row>
    <row r="264" spans="2:7" x14ac:dyDescent="0.2">
      <c r="B264" s="32">
        <v>45783</v>
      </c>
      <c r="C264" t="s">
        <v>142</v>
      </c>
      <c r="D264" s="13" t="s">
        <v>634</v>
      </c>
      <c r="E264" t="s">
        <v>517</v>
      </c>
      <c r="F264" s="11">
        <v>1</v>
      </c>
      <c r="G264" s="11">
        <v>100840.34</v>
      </c>
    </row>
    <row r="265" spans="2:7" x14ac:dyDescent="0.2">
      <c r="B265" s="32">
        <v>45783</v>
      </c>
      <c r="C265" t="s">
        <v>142</v>
      </c>
      <c r="D265" s="13" t="s">
        <v>634</v>
      </c>
      <c r="E265" t="s">
        <v>429</v>
      </c>
      <c r="F265" s="11">
        <v>1</v>
      </c>
      <c r="G265" s="11">
        <v>100840.34</v>
      </c>
    </row>
    <row r="266" spans="2:7" x14ac:dyDescent="0.2">
      <c r="B266" s="32">
        <v>45783</v>
      </c>
      <c r="C266" t="s">
        <v>142</v>
      </c>
      <c r="D266" s="13" t="s">
        <v>634</v>
      </c>
      <c r="E266" t="s">
        <v>394</v>
      </c>
      <c r="F266" s="11">
        <v>1</v>
      </c>
      <c r="G266" s="11">
        <v>96638.66</v>
      </c>
    </row>
    <row r="267" spans="2:7" x14ac:dyDescent="0.2">
      <c r="B267" s="32">
        <v>45783</v>
      </c>
      <c r="C267" t="s">
        <v>142</v>
      </c>
      <c r="D267" s="13" t="s">
        <v>634</v>
      </c>
      <c r="E267" t="s">
        <v>533</v>
      </c>
      <c r="F267" s="11">
        <v>1</v>
      </c>
      <c r="G267" s="11">
        <v>84033.61</v>
      </c>
    </row>
    <row r="268" spans="2:7" x14ac:dyDescent="0.2">
      <c r="B268" s="32">
        <v>45783</v>
      </c>
      <c r="C268" t="s">
        <v>142</v>
      </c>
      <c r="D268" s="13" t="s">
        <v>634</v>
      </c>
      <c r="E268" t="s">
        <v>1795</v>
      </c>
      <c r="F268" s="11">
        <v>1</v>
      </c>
      <c r="G268" s="11">
        <v>84033.61</v>
      </c>
    </row>
    <row r="269" spans="2:7" x14ac:dyDescent="0.2">
      <c r="B269" s="32">
        <v>45783</v>
      </c>
      <c r="C269" t="s">
        <v>142</v>
      </c>
      <c r="D269" s="13" t="s">
        <v>634</v>
      </c>
      <c r="E269" t="s">
        <v>293</v>
      </c>
      <c r="F269" s="11">
        <v>2</v>
      </c>
      <c r="G269" s="11">
        <v>75630.259999999995</v>
      </c>
    </row>
    <row r="270" spans="2:7" x14ac:dyDescent="0.2">
      <c r="B270" s="32">
        <v>45783</v>
      </c>
      <c r="C270" t="s">
        <v>142</v>
      </c>
      <c r="D270" s="13" t="s">
        <v>634</v>
      </c>
      <c r="E270" t="s">
        <v>148</v>
      </c>
      <c r="F270" s="11">
        <v>2</v>
      </c>
      <c r="G270" s="11">
        <v>75630.25</v>
      </c>
    </row>
    <row r="271" spans="2:7" x14ac:dyDescent="0.2">
      <c r="B271" s="32">
        <v>45783</v>
      </c>
      <c r="C271" t="s">
        <v>142</v>
      </c>
      <c r="D271" s="13" t="s">
        <v>634</v>
      </c>
      <c r="E271" t="s">
        <v>534</v>
      </c>
      <c r="F271" s="11">
        <v>1</v>
      </c>
      <c r="G271" s="11">
        <v>71428.56</v>
      </c>
    </row>
    <row r="272" spans="2:7" x14ac:dyDescent="0.2">
      <c r="B272" s="32">
        <v>45783</v>
      </c>
      <c r="C272" t="s">
        <v>142</v>
      </c>
      <c r="D272" s="13" t="s">
        <v>634</v>
      </c>
      <c r="E272" t="s">
        <v>759</v>
      </c>
      <c r="F272" s="11">
        <v>1</v>
      </c>
      <c r="G272" s="11">
        <v>65546.22</v>
      </c>
    </row>
    <row r="273" spans="2:7" x14ac:dyDescent="0.2">
      <c r="B273" s="32">
        <v>45783</v>
      </c>
      <c r="C273" t="s">
        <v>142</v>
      </c>
      <c r="D273" s="13" t="s">
        <v>634</v>
      </c>
      <c r="E273" t="s">
        <v>352</v>
      </c>
      <c r="F273" s="11">
        <v>1</v>
      </c>
      <c r="G273" s="11">
        <v>63025.21</v>
      </c>
    </row>
    <row r="274" spans="2:7" x14ac:dyDescent="0.2">
      <c r="B274" s="32">
        <v>45783</v>
      </c>
      <c r="C274" t="s">
        <v>142</v>
      </c>
      <c r="D274" s="13" t="s">
        <v>634</v>
      </c>
      <c r="E274" t="s">
        <v>477</v>
      </c>
      <c r="F274" s="11">
        <v>1</v>
      </c>
      <c r="G274" s="11">
        <v>58823.53</v>
      </c>
    </row>
    <row r="275" spans="2:7" x14ac:dyDescent="0.2">
      <c r="B275" s="32">
        <v>45783</v>
      </c>
      <c r="C275" t="s">
        <v>142</v>
      </c>
      <c r="D275" s="13" t="s">
        <v>634</v>
      </c>
      <c r="E275" t="s">
        <v>271</v>
      </c>
      <c r="F275" s="11">
        <v>1</v>
      </c>
      <c r="G275" s="11">
        <v>58823.53</v>
      </c>
    </row>
    <row r="276" spans="2:7" x14ac:dyDescent="0.2">
      <c r="B276" s="32">
        <v>45783</v>
      </c>
      <c r="C276" t="s">
        <v>142</v>
      </c>
      <c r="D276" s="13" t="s">
        <v>634</v>
      </c>
      <c r="E276" t="s">
        <v>653</v>
      </c>
      <c r="F276" s="11">
        <v>1</v>
      </c>
      <c r="G276" s="11">
        <v>58823.53</v>
      </c>
    </row>
    <row r="277" spans="2:7" x14ac:dyDescent="0.2">
      <c r="B277" s="32">
        <v>45783</v>
      </c>
      <c r="C277" t="s">
        <v>142</v>
      </c>
      <c r="D277" s="13" t="s">
        <v>634</v>
      </c>
      <c r="E277" t="s">
        <v>233</v>
      </c>
      <c r="F277" s="11">
        <v>1</v>
      </c>
      <c r="G277" s="11">
        <v>58823.53</v>
      </c>
    </row>
    <row r="278" spans="2:7" x14ac:dyDescent="0.2">
      <c r="B278" s="32">
        <v>45783</v>
      </c>
      <c r="C278" t="s">
        <v>142</v>
      </c>
      <c r="D278" s="13" t="s">
        <v>634</v>
      </c>
      <c r="E278" t="s">
        <v>479</v>
      </c>
      <c r="F278" s="11">
        <v>1</v>
      </c>
      <c r="G278" s="11">
        <v>58823.53</v>
      </c>
    </row>
    <row r="279" spans="2:7" x14ac:dyDescent="0.2">
      <c r="B279" s="32">
        <v>45783</v>
      </c>
      <c r="C279" t="s">
        <v>142</v>
      </c>
      <c r="D279" s="13" t="s">
        <v>634</v>
      </c>
      <c r="E279" t="s">
        <v>197</v>
      </c>
      <c r="F279" s="11">
        <v>1</v>
      </c>
      <c r="G279" s="11">
        <v>54621.85</v>
      </c>
    </row>
    <row r="280" spans="2:7" x14ac:dyDescent="0.2">
      <c r="B280" s="32">
        <v>45783</v>
      </c>
      <c r="C280" t="s">
        <v>142</v>
      </c>
      <c r="D280" s="13" t="s">
        <v>634</v>
      </c>
      <c r="E280" t="s">
        <v>473</v>
      </c>
      <c r="F280" s="11">
        <v>1</v>
      </c>
      <c r="G280" s="11">
        <v>50420.17</v>
      </c>
    </row>
    <row r="281" spans="2:7" x14ac:dyDescent="0.2">
      <c r="B281" s="32">
        <v>45783</v>
      </c>
      <c r="C281" t="s">
        <v>142</v>
      </c>
      <c r="D281" s="13" t="s">
        <v>634</v>
      </c>
      <c r="E281" t="s">
        <v>1771</v>
      </c>
      <c r="F281" s="11">
        <v>1</v>
      </c>
      <c r="G281" s="11">
        <v>46218.49</v>
      </c>
    </row>
    <row r="282" spans="2:7" x14ac:dyDescent="0.2">
      <c r="B282" s="32">
        <v>45783</v>
      </c>
      <c r="C282" t="s">
        <v>142</v>
      </c>
      <c r="D282" s="13" t="s">
        <v>634</v>
      </c>
      <c r="E282" t="s">
        <v>168</v>
      </c>
      <c r="F282" s="11">
        <v>1</v>
      </c>
      <c r="G282" s="11">
        <v>42016.81</v>
      </c>
    </row>
    <row r="283" spans="2:7" x14ac:dyDescent="0.2">
      <c r="B283" s="32">
        <v>45783</v>
      </c>
      <c r="C283" t="s">
        <v>142</v>
      </c>
      <c r="D283" s="13" t="s">
        <v>634</v>
      </c>
      <c r="E283" t="s">
        <v>1754</v>
      </c>
      <c r="F283" s="11">
        <v>1</v>
      </c>
      <c r="G283" s="11">
        <v>37815.129999999997</v>
      </c>
    </row>
    <row r="284" spans="2:7" x14ac:dyDescent="0.2">
      <c r="B284" s="32">
        <v>45783</v>
      </c>
      <c r="C284" t="s">
        <v>142</v>
      </c>
      <c r="D284" s="13" t="s">
        <v>634</v>
      </c>
      <c r="E284" t="s">
        <v>328</v>
      </c>
      <c r="F284" s="11">
        <v>1</v>
      </c>
      <c r="G284" s="11">
        <v>37815.120000000003</v>
      </c>
    </row>
    <row r="285" spans="2:7" x14ac:dyDescent="0.2">
      <c r="B285" s="32">
        <v>45783</v>
      </c>
      <c r="C285" t="s">
        <v>142</v>
      </c>
      <c r="D285" s="13" t="s">
        <v>634</v>
      </c>
      <c r="E285" t="s">
        <v>1796</v>
      </c>
      <c r="F285" s="11">
        <v>1</v>
      </c>
      <c r="G285" s="11">
        <v>21008.400000000001</v>
      </c>
    </row>
    <row r="286" spans="2:7" x14ac:dyDescent="0.2">
      <c r="B286" s="32">
        <v>45783</v>
      </c>
      <c r="C286" t="s">
        <v>142</v>
      </c>
      <c r="D286" s="13" t="s">
        <v>634</v>
      </c>
      <c r="E286" t="s">
        <v>1777</v>
      </c>
      <c r="F286" s="11">
        <v>1</v>
      </c>
      <c r="G286" s="11">
        <v>13445.38</v>
      </c>
    </row>
    <row r="287" spans="2:7" x14ac:dyDescent="0.2">
      <c r="B287" s="32">
        <v>45783</v>
      </c>
      <c r="C287" t="s">
        <v>142</v>
      </c>
      <c r="D287" s="13" t="s">
        <v>634</v>
      </c>
      <c r="F287" s="11">
        <v>0</v>
      </c>
      <c r="G287" s="11">
        <v>0</v>
      </c>
    </row>
    <row r="288" spans="2:7" x14ac:dyDescent="0.2">
      <c r="B288" s="32">
        <v>45783</v>
      </c>
      <c r="C288" t="s">
        <v>142</v>
      </c>
      <c r="D288" s="13" t="s">
        <v>633</v>
      </c>
      <c r="E288" t="s">
        <v>242</v>
      </c>
      <c r="F288" s="11">
        <v>3</v>
      </c>
      <c r="G288" s="11">
        <v>415966.39</v>
      </c>
    </row>
    <row r="289" spans="2:7" x14ac:dyDescent="0.2">
      <c r="B289" s="32">
        <v>45783</v>
      </c>
      <c r="C289" t="s">
        <v>142</v>
      </c>
      <c r="D289" s="13" t="s">
        <v>633</v>
      </c>
      <c r="E289" t="s">
        <v>623</v>
      </c>
      <c r="F289" s="11">
        <v>2</v>
      </c>
      <c r="G289" s="11">
        <v>378151.26</v>
      </c>
    </row>
    <row r="290" spans="2:7" x14ac:dyDescent="0.2">
      <c r="B290" s="32">
        <v>45783</v>
      </c>
      <c r="C290" t="s">
        <v>142</v>
      </c>
      <c r="D290" s="13" t="s">
        <v>633</v>
      </c>
      <c r="E290" t="s">
        <v>1797</v>
      </c>
      <c r="F290" s="11">
        <v>3</v>
      </c>
      <c r="G290" s="11">
        <v>264705.88</v>
      </c>
    </row>
    <row r="291" spans="2:7" x14ac:dyDescent="0.2">
      <c r="B291" s="32">
        <v>45783</v>
      </c>
      <c r="C291" t="s">
        <v>142</v>
      </c>
      <c r="D291" s="13" t="s">
        <v>633</v>
      </c>
      <c r="E291" t="s">
        <v>629</v>
      </c>
      <c r="F291" s="11">
        <v>1</v>
      </c>
      <c r="G291" s="11">
        <v>155462.18</v>
      </c>
    </row>
    <row r="292" spans="2:7" x14ac:dyDescent="0.2">
      <c r="B292" s="32">
        <v>45783</v>
      </c>
      <c r="C292" t="s">
        <v>142</v>
      </c>
      <c r="D292" s="13" t="s">
        <v>633</v>
      </c>
      <c r="E292" t="s">
        <v>359</v>
      </c>
      <c r="F292" s="11">
        <v>1</v>
      </c>
      <c r="G292" s="11">
        <v>109243.7</v>
      </c>
    </row>
    <row r="293" spans="2:7" x14ac:dyDescent="0.2">
      <c r="B293" s="32">
        <v>45783</v>
      </c>
      <c r="C293" t="s">
        <v>142</v>
      </c>
      <c r="D293" s="13" t="s">
        <v>633</v>
      </c>
      <c r="E293" t="s">
        <v>413</v>
      </c>
      <c r="F293" s="11">
        <v>1</v>
      </c>
      <c r="G293" s="11">
        <v>79831.94</v>
      </c>
    </row>
    <row r="294" spans="2:7" x14ac:dyDescent="0.2">
      <c r="B294" s="32">
        <v>45783</v>
      </c>
      <c r="C294" t="s">
        <v>142</v>
      </c>
      <c r="D294" s="13" t="s">
        <v>633</v>
      </c>
      <c r="E294" t="s">
        <v>1798</v>
      </c>
      <c r="F294" s="11">
        <v>1</v>
      </c>
      <c r="G294" s="11">
        <v>79831.929999999993</v>
      </c>
    </row>
    <row r="295" spans="2:7" x14ac:dyDescent="0.2">
      <c r="B295" s="32">
        <v>45783</v>
      </c>
      <c r="C295" t="s">
        <v>142</v>
      </c>
      <c r="D295" s="13" t="s">
        <v>633</v>
      </c>
      <c r="E295" t="s">
        <v>394</v>
      </c>
      <c r="F295" s="11">
        <v>1</v>
      </c>
      <c r="G295" s="11">
        <v>79831.929999999993</v>
      </c>
    </row>
    <row r="296" spans="2:7" x14ac:dyDescent="0.2">
      <c r="B296" s="32">
        <v>45783</v>
      </c>
      <c r="C296" t="s">
        <v>142</v>
      </c>
      <c r="D296" s="13" t="s">
        <v>633</v>
      </c>
      <c r="E296" t="s">
        <v>370</v>
      </c>
      <c r="F296" s="11">
        <v>1</v>
      </c>
      <c r="G296" s="11">
        <v>79831.929999999993</v>
      </c>
    </row>
    <row r="297" spans="2:7" x14ac:dyDescent="0.2">
      <c r="B297" s="32">
        <v>45783</v>
      </c>
      <c r="C297" t="s">
        <v>142</v>
      </c>
      <c r="D297" s="13" t="s">
        <v>633</v>
      </c>
      <c r="E297" t="s">
        <v>538</v>
      </c>
      <c r="F297" s="11">
        <v>1</v>
      </c>
      <c r="G297" s="11">
        <v>79831.929999999993</v>
      </c>
    </row>
    <row r="298" spans="2:7" x14ac:dyDescent="0.2">
      <c r="B298" s="32">
        <v>45783</v>
      </c>
      <c r="C298" t="s">
        <v>142</v>
      </c>
      <c r="D298" s="13" t="s">
        <v>633</v>
      </c>
      <c r="E298" t="s">
        <v>809</v>
      </c>
      <c r="F298" s="11">
        <v>1</v>
      </c>
      <c r="G298" s="11">
        <v>75630.25</v>
      </c>
    </row>
    <row r="299" spans="2:7" x14ac:dyDescent="0.2">
      <c r="B299" s="32">
        <v>45783</v>
      </c>
      <c r="C299" t="s">
        <v>142</v>
      </c>
      <c r="D299" s="13" t="s">
        <v>633</v>
      </c>
      <c r="E299" t="s">
        <v>271</v>
      </c>
      <c r="F299" s="11">
        <v>1</v>
      </c>
      <c r="G299" s="11">
        <v>75630.25</v>
      </c>
    </row>
    <row r="300" spans="2:7" x14ac:dyDescent="0.2">
      <c r="B300" s="32">
        <v>45783</v>
      </c>
      <c r="C300" t="s">
        <v>142</v>
      </c>
      <c r="D300" s="13" t="s">
        <v>633</v>
      </c>
      <c r="E300" t="s">
        <v>567</v>
      </c>
      <c r="F300" s="11">
        <v>1</v>
      </c>
      <c r="G300" s="11">
        <v>67226.89</v>
      </c>
    </row>
    <row r="301" spans="2:7" x14ac:dyDescent="0.2">
      <c r="B301" s="32">
        <v>45783</v>
      </c>
      <c r="C301" t="s">
        <v>142</v>
      </c>
      <c r="D301" s="13" t="s">
        <v>633</v>
      </c>
      <c r="E301" t="s">
        <v>535</v>
      </c>
      <c r="F301" s="11">
        <v>1</v>
      </c>
      <c r="G301" s="11">
        <v>65546.22</v>
      </c>
    </row>
    <row r="302" spans="2:7" x14ac:dyDescent="0.2">
      <c r="B302" s="32">
        <v>45783</v>
      </c>
      <c r="C302" t="s">
        <v>142</v>
      </c>
      <c r="D302" s="13" t="s">
        <v>633</v>
      </c>
      <c r="E302" t="s">
        <v>556</v>
      </c>
      <c r="F302" s="11">
        <v>1</v>
      </c>
      <c r="G302" s="11">
        <v>65546.22</v>
      </c>
    </row>
    <row r="303" spans="2:7" x14ac:dyDescent="0.2">
      <c r="B303" s="32">
        <v>45783</v>
      </c>
      <c r="C303" t="s">
        <v>142</v>
      </c>
      <c r="D303" s="13" t="s">
        <v>633</v>
      </c>
      <c r="E303" t="s">
        <v>755</v>
      </c>
      <c r="F303" s="11">
        <v>1</v>
      </c>
      <c r="G303" s="11">
        <v>54621.85</v>
      </c>
    </row>
    <row r="304" spans="2:7" x14ac:dyDescent="0.2">
      <c r="B304" s="32">
        <v>45783</v>
      </c>
      <c r="C304" t="s">
        <v>142</v>
      </c>
      <c r="D304" s="13" t="s">
        <v>633</v>
      </c>
      <c r="E304" t="s">
        <v>1799</v>
      </c>
      <c r="F304" s="11">
        <v>1</v>
      </c>
      <c r="G304" s="11">
        <v>54621.85</v>
      </c>
    </row>
    <row r="305" spans="2:7" x14ac:dyDescent="0.2">
      <c r="B305" s="32">
        <v>45783</v>
      </c>
      <c r="C305" t="s">
        <v>142</v>
      </c>
      <c r="D305" s="13" t="s">
        <v>633</v>
      </c>
      <c r="E305" t="s">
        <v>260</v>
      </c>
      <c r="F305" s="11">
        <v>1</v>
      </c>
      <c r="G305" s="11">
        <v>46218.49</v>
      </c>
    </row>
    <row r="306" spans="2:7" x14ac:dyDescent="0.2">
      <c r="B306" s="32">
        <v>45783</v>
      </c>
      <c r="C306" t="s">
        <v>142</v>
      </c>
      <c r="D306" s="13" t="s">
        <v>633</v>
      </c>
      <c r="E306" t="s">
        <v>1767</v>
      </c>
      <c r="F306" s="11">
        <v>1</v>
      </c>
      <c r="G306" s="11">
        <v>46218.49</v>
      </c>
    </row>
    <row r="307" spans="2:7" x14ac:dyDescent="0.2">
      <c r="B307" s="32">
        <v>45783</v>
      </c>
      <c r="C307" t="s">
        <v>142</v>
      </c>
      <c r="D307" s="13" t="s">
        <v>633</v>
      </c>
      <c r="E307" t="s">
        <v>172</v>
      </c>
      <c r="F307" s="11">
        <v>1</v>
      </c>
      <c r="G307" s="11">
        <v>46218.49</v>
      </c>
    </row>
    <row r="308" spans="2:7" x14ac:dyDescent="0.2">
      <c r="B308" s="32">
        <v>45783</v>
      </c>
      <c r="C308" t="s">
        <v>142</v>
      </c>
      <c r="D308" s="13" t="s">
        <v>633</v>
      </c>
      <c r="E308" t="s">
        <v>160</v>
      </c>
      <c r="F308" s="11">
        <v>1</v>
      </c>
      <c r="G308" s="11">
        <v>46218.48</v>
      </c>
    </row>
    <row r="309" spans="2:7" x14ac:dyDescent="0.2">
      <c r="B309" s="32">
        <v>45783</v>
      </c>
      <c r="C309" t="s">
        <v>142</v>
      </c>
      <c r="D309" s="13" t="s">
        <v>633</v>
      </c>
      <c r="E309" t="s">
        <v>166</v>
      </c>
      <c r="F309" s="11">
        <v>1</v>
      </c>
      <c r="G309" s="11">
        <v>42016.81</v>
      </c>
    </row>
    <row r="310" spans="2:7" x14ac:dyDescent="0.2">
      <c r="B310" s="32">
        <v>45783</v>
      </c>
      <c r="C310" t="s">
        <v>142</v>
      </c>
      <c r="D310" s="13" t="s">
        <v>633</v>
      </c>
      <c r="E310" t="s">
        <v>451</v>
      </c>
      <c r="F310" s="11">
        <v>1</v>
      </c>
      <c r="G310" s="11">
        <v>37815.129999999997</v>
      </c>
    </row>
    <row r="311" spans="2:7" x14ac:dyDescent="0.2">
      <c r="B311" s="32">
        <v>45783</v>
      </c>
      <c r="C311" t="s">
        <v>142</v>
      </c>
      <c r="D311" s="13" t="s">
        <v>633</v>
      </c>
      <c r="E311" t="s">
        <v>478</v>
      </c>
      <c r="F311" s="11">
        <v>1</v>
      </c>
      <c r="G311" s="11">
        <v>37815.120000000003</v>
      </c>
    </row>
    <row r="312" spans="2:7" x14ac:dyDescent="0.2">
      <c r="B312" s="32">
        <v>45783</v>
      </c>
      <c r="C312" t="s">
        <v>142</v>
      </c>
      <c r="D312" s="13" t="s">
        <v>633</v>
      </c>
      <c r="E312" t="s">
        <v>293</v>
      </c>
      <c r="F312" s="11">
        <v>1</v>
      </c>
      <c r="G312" s="11">
        <v>33613.449999999997</v>
      </c>
    </row>
    <row r="313" spans="2:7" x14ac:dyDescent="0.2">
      <c r="B313" s="32">
        <v>45783</v>
      </c>
      <c r="C313" t="s">
        <v>142</v>
      </c>
      <c r="D313" s="13" t="s">
        <v>633</v>
      </c>
      <c r="E313" t="s">
        <v>831</v>
      </c>
      <c r="F313" s="11">
        <v>1</v>
      </c>
      <c r="G313" s="11">
        <v>0.84</v>
      </c>
    </row>
    <row r="314" spans="2:7" x14ac:dyDescent="0.2">
      <c r="B314" s="32">
        <v>45783</v>
      </c>
      <c r="C314" t="s">
        <v>142</v>
      </c>
      <c r="D314" s="13" t="s">
        <v>633</v>
      </c>
      <c r="F314" s="11">
        <v>0</v>
      </c>
      <c r="G314" s="11">
        <v>0</v>
      </c>
    </row>
    <row r="315" spans="2:7" x14ac:dyDescent="0.2">
      <c r="B315" s="32">
        <v>45783</v>
      </c>
      <c r="C315" t="s">
        <v>142</v>
      </c>
      <c r="D315" s="13" t="s">
        <v>633</v>
      </c>
      <c r="E315" t="s">
        <v>754</v>
      </c>
      <c r="F315" s="11">
        <v>0</v>
      </c>
      <c r="G315" s="11">
        <v>-70588.240000000005</v>
      </c>
    </row>
    <row r="316" spans="2:7" x14ac:dyDescent="0.2">
      <c r="B316" s="32">
        <v>45784</v>
      </c>
      <c r="C316" t="s">
        <v>142</v>
      </c>
      <c r="D316" s="13" t="s">
        <v>634</v>
      </c>
      <c r="E316" t="s">
        <v>1800</v>
      </c>
      <c r="F316" s="11">
        <v>2</v>
      </c>
      <c r="G316" s="11">
        <v>294117.65000000002</v>
      </c>
    </row>
    <row r="317" spans="2:7" x14ac:dyDescent="0.2">
      <c r="B317" s="32">
        <v>45784</v>
      </c>
      <c r="C317" t="s">
        <v>142</v>
      </c>
      <c r="D317" s="13" t="s">
        <v>634</v>
      </c>
      <c r="E317" t="s">
        <v>191</v>
      </c>
      <c r="F317" s="11">
        <v>1</v>
      </c>
      <c r="G317" s="11">
        <v>130252.1</v>
      </c>
    </row>
    <row r="318" spans="2:7" x14ac:dyDescent="0.2">
      <c r="B318" s="32">
        <v>45784</v>
      </c>
      <c r="C318" t="s">
        <v>142</v>
      </c>
      <c r="D318" s="13" t="s">
        <v>634</v>
      </c>
      <c r="E318" t="s">
        <v>444</v>
      </c>
      <c r="F318" s="11">
        <v>1</v>
      </c>
      <c r="G318" s="11">
        <v>88235.29</v>
      </c>
    </row>
    <row r="319" spans="2:7" x14ac:dyDescent="0.2">
      <c r="B319" s="32">
        <v>45784</v>
      </c>
      <c r="C319" t="s">
        <v>142</v>
      </c>
      <c r="D319" s="13" t="s">
        <v>634</v>
      </c>
      <c r="E319" t="s">
        <v>152</v>
      </c>
      <c r="F319" s="11">
        <v>1</v>
      </c>
      <c r="G319" s="11">
        <v>75630.25</v>
      </c>
    </row>
    <row r="320" spans="2:7" x14ac:dyDescent="0.2">
      <c r="B320" s="32">
        <v>45784</v>
      </c>
      <c r="C320" t="s">
        <v>142</v>
      </c>
      <c r="D320" s="13" t="s">
        <v>634</v>
      </c>
      <c r="E320" t="s">
        <v>1801</v>
      </c>
      <c r="F320" s="11">
        <v>1</v>
      </c>
      <c r="G320" s="11">
        <v>75630.25</v>
      </c>
    </row>
    <row r="321" spans="2:7" x14ac:dyDescent="0.2">
      <c r="B321" s="32">
        <v>45784</v>
      </c>
      <c r="C321" t="s">
        <v>142</v>
      </c>
      <c r="D321" s="13" t="s">
        <v>634</v>
      </c>
      <c r="E321" t="s">
        <v>1802</v>
      </c>
      <c r="F321" s="11">
        <v>1</v>
      </c>
      <c r="G321" s="11">
        <v>67226.89</v>
      </c>
    </row>
    <row r="322" spans="2:7" x14ac:dyDescent="0.2">
      <c r="B322" s="32">
        <v>45784</v>
      </c>
      <c r="C322" t="s">
        <v>142</v>
      </c>
      <c r="D322" s="13" t="s">
        <v>634</v>
      </c>
      <c r="E322" t="s">
        <v>573</v>
      </c>
      <c r="F322" s="11">
        <v>1</v>
      </c>
      <c r="G322" s="11">
        <v>65546.22</v>
      </c>
    </row>
    <row r="323" spans="2:7" x14ac:dyDescent="0.2">
      <c r="B323" s="32">
        <v>45784</v>
      </c>
      <c r="C323" t="s">
        <v>142</v>
      </c>
      <c r="D323" s="13" t="s">
        <v>634</v>
      </c>
      <c r="E323" t="s">
        <v>533</v>
      </c>
      <c r="F323" s="11">
        <v>1</v>
      </c>
      <c r="G323" s="11">
        <v>58823.53</v>
      </c>
    </row>
    <row r="324" spans="2:7" x14ac:dyDescent="0.2">
      <c r="B324" s="32">
        <v>45784</v>
      </c>
      <c r="C324" t="s">
        <v>142</v>
      </c>
      <c r="D324" s="13" t="s">
        <v>634</v>
      </c>
      <c r="E324" t="s">
        <v>239</v>
      </c>
      <c r="F324" s="11">
        <v>1</v>
      </c>
      <c r="G324" s="11">
        <v>42016.81</v>
      </c>
    </row>
    <row r="325" spans="2:7" x14ac:dyDescent="0.2">
      <c r="B325" s="32">
        <v>45784</v>
      </c>
      <c r="C325" t="s">
        <v>142</v>
      </c>
      <c r="D325" s="13" t="s">
        <v>634</v>
      </c>
      <c r="E325" t="s">
        <v>342</v>
      </c>
      <c r="F325" s="11">
        <v>1</v>
      </c>
      <c r="G325" s="11">
        <v>21848.74</v>
      </c>
    </row>
    <row r="326" spans="2:7" x14ac:dyDescent="0.2">
      <c r="B326" s="32">
        <v>45784</v>
      </c>
      <c r="C326" t="s">
        <v>142</v>
      </c>
      <c r="D326" s="13" t="s">
        <v>634</v>
      </c>
      <c r="F326" s="11">
        <v>0</v>
      </c>
      <c r="G326" s="11">
        <v>0</v>
      </c>
    </row>
    <row r="327" spans="2:7" x14ac:dyDescent="0.2">
      <c r="B327" s="32">
        <v>45784</v>
      </c>
      <c r="C327" t="s">
        <v>142</v>
      </c>
      <c r="D327" s="13" t="s">
        <v>633</v>
      </c>
      <c r="E327" t="s">
        <v>160</v>
      </c>
      <c r="F327" s="11">
        <v>2</v>
      </c>
      <c r="G327" s="11">
        <v>92436.97</v>
      </c>
    </row>
    <row r="328" spans="2:7" x14ac:dyDescent="0.2">
      <c r="B328" s="32">
        <v>45784</v>
      </c>
      <c r="C328" t="s">
        <v>142</v>
      </c>
      <c r="D328" s="13" t="s">
        <v>633</v>
      </c>
      <c r="E328" t="s">
        <v>308</v>
      </c>
      <c r="F328" s="11">
        <v>1</v>
      </c>
      <c r="G328" s="11">
        <v>82352.94</v>
      </c>
    </row>
    <row r="329" spans="2:7" x14ac:dyDescent="0.2">
      <c r="B329" s="32">
        <v>45784</v>
      </c>
      <c r="C329" t="s">
        <v>142</v>
      </c>
      <c r="D329" s="13" t="s">
        <v>633</v>
      </c>
      <c r="E329" t="s">
        <v>444</v>
      </c>
      <c r="F329" s="11">
        <v>1</v>
      </c>
      <c r="G329" s="11">
        <v>79831.929999999993</v>
      </c>
    </row>
    <row r="330" spans="2:7" x14ac:dyDescent="0.2">
      <c r="B330" s="32">
        <v>45784</v>
      </c>
      <c r="C330" t="s">
        <v>142</v>
      </c>
      <c r="D330" s="13" t="s">
        <v>633</v>
      </c>
      <c r="E330" t="s">
        <v>368</v>
      </c>
      <c r="F330" s="11">
        <v>1</v>
      </c>
      <c r="G330" s="11">
        <v>75630.25</v>
      </c>
    </row>
    <row r="331" spans="2:7" x14ac:dyDescent="0.2">
      <c r="B331" s="32">
        <v>45784</v>
      </c>
      <c r="C331" t="s">
        <v>142</v>
      </c>
      <c r="D331" s="13" t="s">
        <v>633</v>
      </c>
      <c r="E331" t="s">
        <v>1775</v>
      </c>
      <c r="F331" s="11">
        <v>1</v>
      </c>
      <c r="G331" s="11">
        <v>46218.49</v>
      </c>
    </row>
    <row r="332" spans="2:7" x14ac:dyDescent="0.2">
      <c r="B332" s="32">
        <v>45784</v>
      </c>
      <c r="C332" t="s">
        <v>142</v>
      </c>
      <c r="D332" s="13" t="s">
        <v>633</v>
      </c>
      <c r="E332" t="s">
        <v>1772</v>
      </c>
      <c r="F332" s="11">
        <v>1</v>
      </c>
      <c r="G332" s="11">
        <v>46218.49</v>
      </c>
    </row>
    <row r="333" spans="2:7" x14ac:dyDescent="0.2">
      <c r="B333" s="32">
        <v>45784</v>
      </c>
      <c r="C333" t="s">
        <v>142</v>
      </c>
      <c r="D333" s="13" t="s">
        <v>633</v>
      </c>
      <c r="E333" t="s">
        <v>234</v>
      </c>
      <c r="F333" s="11">
        <v>1</v>
      </c>
      <c r="G333" s="11">
        <v>37815.129999999997</v>
      </c>
    </row>
    <row r="334" spans="2:7" x14ac:dyDescent="0.2">
      <c r="B334" s="32">
        <v>45784</v>
      </c>
      <c r="C334" t="s">
        <v>142</v>
      </c>
      <c r="D334" s="13" t="s">
        <v>633</v>
      </c>
      <c r="E334" t="s">
        <v>452</v>
      </c>
      <c r="F334" s="11">
        <v>1</v>
      </c>
      <c r="G334" s="11">
        <v>37815.120000000003</v>
      </c>
    </row>
    <row r="335" spans="2:7" x14ac:dyDescent="0.2">
      <c r="B335" s="32">
        <v>45784</v>
      </c>
      <c r="C335" t="s">
        <v>142</v>
      </c>
      <c r="D335" s="13" t="s">
        <v>633</v>
      </c>
      <c r="F335" s="11">
        <v>0</v>
      </c>
      <c r="G335" s="11">
        <v>0</v>
      </c>
    </row>
    <row r="336" spans="2:7" x14ac:dyDescent="0.2">
      <c r="B336" s="32">
        <v>45785</v>
      </c>
      <c r="C336" t="s">
        <v>142</v>
      </c>
      <c r="D336" s="13"/>
      <c r="E336" t="s">
        <v>602</v>
      </c>
      <c r="F336" s="11">
        <v>5</v>
      </c>
      <c r="G336" s="11">
        <v>0</v>
      </c>
    </row>
    <row r="337" spans="2:7" x14ac:dyDescent="0.2">
      <c r="B337" s="32">
        <v>45785</v>
      </c>
      <c r="C337" t="s">
        <v>142</v>
      </c>
      <c r="D337" s="13"/>
      <c r="E337" t="s">
        <v>567</v>
      </c>
      <c r="F337" s="11">
        <v>5</v>
      </c>
      <c r="G337" s="11">
        <v>0</v>
      </c>
    </row>
    <row r="338" spans="2:7" x14ac:dyDescent="0.2">
      <c r="B338" s="32">
        <v>45785</v>
      </c>
      <c r="C338" t="s">
        <v>142</v>
      </c>
      <c r="D338" s="13"/>
      <c r="E338" t="s">
        <v>255</v>
      </c>
      <c r="F338" s="11">
        <v>1</v>
      </c>
      <c r="G338" s="11">
        <v>0</v>
      </c>
    </row>
    <row r="339" spans="2:7" x14ac:dyDescent="0.2">
      <c r="B339" s="32">
        <v>45785</v>
      </c>
      <c r="C339" t="s">
        <v>142</v>
      </c>
      <c r="D339" s="13"/>
      <c r="E339" t="s">
        <v>1803</v>
      </c>
      <c r="F339" s="11">
        <v>5</v>
      </c>
      <c r="G339" s="11">
        <v>0</v>
      </c>
    </row>
    <row r="340" spans="2:7" x14ac:dyDescent="0.2">
      <c r="B340" s="32">
        <v>45785</v>
      </c>
      <c r="C340" t="s">
        <v>142</v>
      </c>
      <c r="D340" s="13" t="s">
        <v>634</v>
      </c>
      <c r="E340" t="s">
        <v>1803</v>
      </c>
      <c r="F340" s="11">
        <v>5</v>
      </c>
      <c r="G340" s="11">
        <v>689797.94</v>
      </c>
    </row>
    <row r="341" spans="2:7" x14ac:dyDescent="0.2">
      <c r="B341" s="32">
        <v>45785</v>
      </c>
      <c r="C341" t="s">
        <v>142</v>
      </c>
      <c r="D341" s="13" t="s">
        <v>634</v>
      </c>
      <c r="E341" t="s">
        <v>602</v>
      </c>
      <c r="F341" s="11">
        <v>5</v>
      </c>
      <c r="G341" s="11">
        <v>551838.36</v>
      </c>
    </row>
    <row r="342" spans="2:7" x14ac:dyDescent="0.2">
      <c r="B342" s="32">
        <v>45785</v>
      </c>
      <c r="C342" t="s">
        <v>142</v>
      </c>
      <c r="D342" s="13" t="s">
        <v>634</v>
      </c>
      <c r="E342" t="s">
        <v>567</v>
      </c>
      <c r="F342" s="11">
        <v>5</v>
      </c>
      <c r="G342" s="11">
        <v>321905.7</v>
      </c>
    </row>
    <row r="343" spans="2:7" x14ac:dyDescent="0.2">
      <c r="B343" s="32">
        <v>45785</v>
      </c>
      <c r="C343" t="s">
        <v>142</v>
      </c>
      <c r="D343" s="13" t="s">
        <v>634</v>
      </c>
      <c r="E343" t="s">
        <v>283</v>
      </c>
      <c r="F343" s="11">
        <v>2</v>
      </c>
      <c r="G343" s="11">
        <v>155462.19</v>
      </c>
    </row>
    <row r="344" spans="2:7" x14ac:dyDescent="0.2">
      <c r="B344" s="32">
        <v>45785</v>
      </c>
      <c r="C344" t="s">
        <v>142</v>
      </c>
      <c r="D344" s="13" t="s">
        <v>634</v>
      </c>
      <c r="E344" t="s">
        <v>1767</v>
      </c>
      <c r="F344" s="11">
        <v>2</v>
      </c>
      <c r="G344" s="11">
        <v>92436.97</v>
      </c>
    </row>
    <row r="345" spans="2:7" x14ac:dyDescent="0.2">
      <c r="B345" s="32">
        <v>45785</v>
      </c>
      <c r="C345" t="s">
        <v>142</v>
      </c>
      <c r="D345" s="13" t="s">
        <v>634</v>
      </c>
      <c r="E345" t="s">
        <v>823</v>
      </c>
      <c r="F345" s="11">
        <v>1</v>
      </c>
      <c r="G345" s="11">
        <v>79965.899999999994</v>
      </c>
    </row>
    <row r="346" spans="2:7" x14ac:dyDescent="0.2">
      <c r="B346" s="32">
        <v>45785</v>
      </c>
      <c r="C346" t="s">
        <v>142</v>
      </c>
      <c r="D346" s="13" t="s">
        <v>634</v>
      </c>
      <c r="E346" t="s">
        <v>1804</v>
      </c>
      <c r="F346" s="11">
        <v>1</v>
      </c>
      <c r="G346" s="11">
        <v>79965.89</v>
      </c>
    </row>
    <row r="347" spans="2:7" x14ac:dyDescent="0.2">
      <c r="B347" s="32">
        <v>45785</v>
      </c>
      <c r="C347" t="s">
        <v>142</v>
      </c>
      <c r="D347" s="13" t="s">
        <v>634</v>
      </c>
      <c r="E347" t="s">
        <v>1760</v>
      </c>
      <c r="F347" s="11">
        <v>1</v>
      </c>
      <c r="G347" s="11">
        <v>75630.25</v>
      </c>
    </row>
    <row r="348" spans="2:7" x14ac:dyDescent="0.2">
      <c r="B348" s="32">
        <v>45785</v>
      </c>
      <c r="C348" t="s">
        <v>142</v>
      </c>
      <c r="D348" s="13" t="s">
        <v>634</v>
      </c>
      <c r="E348" t="s">
        <v>1805</v>
      </c>
      <c r="F348" s="11">
        <v>1</v>
      </c>
      <c r="G348" s="11">
        <v>65278.29</v>
      </c>
    </row>
    <row r="349" spans="2:7" x14ac:dyDescent="0.2">
      <c r="B349" s="32">
        <v>45785</v>
      </c>
      <c r="C349" t="s">
        <v>142</v>
      </c>
      <c r="D349" s="13" t="s">
        <v>634</v>
      </c>
      <c r="E349" t="s">
        <v>282</v>
      </c>
      <c r="F349" s="11">
        <v>1</v>
      </c>
      <c r="G349" s="11">
        <v>58823.53</v>
      </c>
    </row>
    <row r="350" spans="2:7" x14ac:dyDescent="0.2">
      <c r="B350" s="32">
        <v>45785</v>
      </c>
      <c r="C350" t="s">
        <v>142</v>
      </c>
      <c r="D350" s="13" t="s">
        <v>634</v>
      </c>
      <c r="E350" t="s">
        <v>407</v>
      </c>
      <c r="F350" s="11">
        <v>1</v>
      </c>
      <c r="G350" s="11">
        <v>54621.84</v>
      </c>
    </row>
    <row r="351" spans="2:7" x14ac:dyDescent="0.2">
      <c r="B351" s="32">
        <v>45785</v>
      </c>
      <c r="C351" t="s">
        <v>142</v>
      </c>
      <c r="D351" s="13" t="s">
        <v>634</v>
      </c>
      <c r="E351" t="s">
        <v>342</v>
      </c>
      <c r="F351" s="11">
        <v>1</v>
      </c>
      <c r="G351" s="11">
        <v>21848.74</v>
      </c>
    </row>
    <row r="352" spans="2:7" x14ac:dyDescent="0.2">
      <c r="B352" s="32">
        <v>45785</v>
      </c>
      <c r="C352" t="s">
        <v>142</v>
      </c>
      <c r="D352" s="13" t="s">
        <v>634</v>
      </c>
      <c r="F352" s="11">
        <v>0</v>
      </c>
      <c r="G352" s="11">
        <v>0</v>
      </c>
    </row>
    <row r="353" spans="2:7" x14ac:dyDescent="0.2">
      <c r="B353" s="32">
        <v>45785</v>
      </c>
      <c r="C353" t="s">
        <v>142</v>
      </c>
      <c r="D353" s="13" t="s">
        <v>633</v>
      </c>
      <c r="E353" t="s">
        <v>158</v>
      </c>
      <c r="F353" s="11">
        <v>7</v>
      </c>
      <c r="G353" s="11">
        <v>323529.40999999997</v>
      </c>
    </row>
    <row r="354" spans="2:7" x14ac:dyDescent="0.2">
      <c r="B354" s="32">
        <v>45785</v>
      </c>
      <c r="C354" t="s">
        <v>142</v>
      </c>
      <c r="D354" s="13" t="s">
        <v>633</v>
      </c>
      <c r="E354" t="s">
        <v>629</v>
      </c>
      <c r="F354" s="11">
        <v>1</v>
      </c>
      <c r="G354" s="11">
        <v>155462.18</v>
      </c>
    </row>
    <row r="355" spans="2:7" x14ac:dyDescent="0.2">
      <c r="B355" s="32">
        <v>45785</v>
      </c>
      <c r="C355" t="s">
        <v>142</v>
      </c>
      <c r="D355" s="13" t="s">
        <v>633</v>
      </c>
      <c r="E355" t="s">
        <v>1767</v>
      </c>
      <c r="F355" s="11">
        <v>3</v>
      </c>
      <c r="G355" s="11">
        <v>138655.46</v>
      </c>
    </row>
    <row r="356" spans="2:7" x14ac:dyDescent="0.2">
      <c r="B356" s="32">
        <v>45785</v>
      </c>
      <c r="C356" t="s">
        <v>142</v>
      </c>
      <c r="D356" s="13" t="s">
        <v>633</v>
      </c>
      <c r="E356" t="s">
        <v>1806</v>
      </c>
      <c r="F356" s="11">
        <v>1</v>
      </c>
      <c r="G356" s="11">
        <v>88235.29</v>
      </c>
    </row>
    <row r="357" spans="2:7" x14ac:dyDescent="0.2">
      <c r="B357" s="32">
        <v>45785</v>
      </c>
      <c r="C357" t="s">
        <v>142</v>
      </c>
      <c r="D357" s="13" t="s">
        <v>633</v>
      </c>
      <c r="E357" t="s">
        <v>1807</v>
      </c>
      <c r="F357" s="11">
        <v>1</v>
      </c>
      <c r="G357" s="11">
        <v>67226.89</v>
      </c>
    </row>
    <row r="358" spans="2:7" x14ac:dyDescent="0.2">
      <c r="B358" s="32">
        <v>45785</v>
      </c>
      <c r="C358" t="s">
        <v>142</v>
      </c>
      <c r="D358" s="13" t="s">
        <v>633</v>
      </c>
      <c r="E358" t="s">
        <v>1763</v>
      </c>
      <c r="F358" s="11">
        <v>1</v>
      </c>
      <c r="G358" s="11">
        <v>58823.53</v>
      </c>
    </row>
    <row r="359" spans="2:7" x14ac:dyDescent="0.2">
      <c r="B359" s="32">
        <v>45785</v>
      </c>
      <c r="C359" t="s">
        <v>142</v>
      </c>
      <c r="D359" s="13" t="s">
        <v>633</v>
      </c>
      <c r="E359" t="s">
        <v>454</v>
      </c>
      <c r="F359" s="11">
        <v>1</v>
      </c>
      <c r="G359" s="11">
        <v>58823.53</v>
      </c>
    </row>
    <row r="360" spans="2:7" x14ac:dyDescent="0.2">
      <c r="B360" s="32">
        <v>45785</v>
      </c>
      <c r="C360" t="s">
        <v>142</v>
      </c>
      <c r="D360" s="13" t="s">
        <v>633</v>
      </c>
      <c r="E360" t="s">
        <v>775</v>
      </c>
      <c r="F360" s="11">
        <v>1</v>
      </c>
      <c r="G360" s="11">
        <v>54621.85</v>
      </c>
    </row>
    <row r="361" spans="2:7" x14ac:dyDescent="0.2">
      <c r="B361" s="32">
        <v>45785</v>
      </c>
      <c r="C361" t="s">
        <v>142</v>
      </c>
      <c r="D361" s="13" t="s">
        <v>633</v>
      </c>
      <c r="E361" t="s">
        <v>1808</v>
      </c>
      <c r="F361" s="11">
        <v>1</v>
      </c>
      <c r="G361" s="11">
        <v>50420.17</v>
      </c>
    </row>
    <row r="362" spans="2:7" x14ac:dyDescent="0.2">
      <c r="B362" s="32">
        <v>45785</v>
      </c>
      <c r="C362" t="s">
        <v>142</v>
      </c>
      <c r="D362" s="13" t="s">
        <v>633</v>
      </c>
      <c r="F362" s="11">
        <v>0</v>
      </c>
      <c r="G362" s="11">
        <v>0</v>
      </c>
    </row>
    <row r="363" spans="2:7" x14ac:dyDescent="0.2">
      <c r="B363" s="32">
        <v>45786</v>
      </c>
      <c r="C363" t="s">
        <v>142</v>
      </c>
      <c r="D363" s="13" t="s">
        <v>634</v>
      </c>
      <c r="E363" t="s">
        <v>485</v>
      </c>
      <c r="F363" s="11">
        <v>1</v>
      </c>
      <c r="G363" s="11">
        <v>186554.62</v>
      </c>
    </row>
    <row r="364" spans="2:7" x14ac:dyDescent="0.2">
      <c r="B364" s="32">
        <v>45786</v>
      </c>
      <c r="C364" t="s">
        <v>142</v>
      </c>
      <c r="D364" s="13" t="s">
        <v>634</v>
      </c>
      <c r="E364" t="s">
        <v>1809</v>
      </c>
      <c r="F364" s="11">
        <v>1</v>
      </c>
      <c r="G364" s="11">
        <v>156302.51999999999</v>
      </c>
    </row>
    <row r="365" spans="2:7" x14ac:dyDescent="0.2">
      <c r="B365" s="32">
        <v>45786</v>
      </c>
      <c r="C365" t="s">
        <v>142</v>
      </c>
      <c r="D365" s="13" t="s">
        <v>634</v>
      </c>
      <c r="E365" t="s">
        <v>249</v>
      </c>
      <c r="F365" s="11">
        <v>1</v>
      </c>
      <c r="G365" s="11">
        <v>96638.66</v>
      </c>
    </row>
    <row r="366" spans="2:7" x14ac:dyDescent="0.2">
      <c r="B366" s="32">
        <v>45786</v>
      </c>
      <c r="C366" t="s">
        <v>142</v>
      </c>
      <c r="D366" s="13" t="s">
        <v>634</v>
      </c>
      <c r="E366" t="s">
        <v>282</v>
      </c>
      <c r="F366" s="11">
        <v>1</v>
      </c>
      <c r="G366" s="11">
        <v>84033.61</v>
      </c>
    </row>
    <row r="367" spans="2:7" x14ac:dyDescent="0.2">
      <c r="B367" s="32">
        <v>45786</v>
      </c>
      <c r="C367" t="s">
        <v>142</v>
      </c>
      <c r="D367" s="13" t="s">
        <v>634</v>
      </c>
      <c r="E367" t="s">
        <v>192</v>
      </c>
      <c r="F367" s="11">
        <v>1</v>
      </c>
      <c r="G367" s="11">
        <v>71428.570000000007</v>
      </c>
    </row>
    <row r="368" spans="2:7" x14ac:dyDescent="0.2">
      <c r="B368" s="32">
        <v>45786</v>
      </c>
      <c r="C368" t="s">
        <v>142</v>
      </c>
      <c r="D368" s="13" t="s">
        <v>634</v>
      </c>
      <c r="E368" t="s">
        <v>223</v>
      </c>
      <c r="F368" s="11">
        <v>1</v>
      </c>
      <c r="G368" s="11">
        <v>58823.53</v>
      </c>
    </row>
    <row r="369" spans="2:7" x14ac:dyDescent="0.2">
      <c r="B369" s="32">
        <v>45786</v>
      </c>
      <c r="C369" t="s">
        <v>142</v>
      </c>
      <c r="D369" s="13" t="s">
        <v>634</v>
      </c>
      <c r="F369" s="11">
        <v>0</v>
      </c>
      <c r="G369" s="11">
        <v>0</v>
      </c>
    </row>
    <row r="370" spans="2:7" x14ac:dyDescent="0.2">
      <c r="B370" s="32">
        <v>45786</v>
      </c>
      <c r="C370" t="s">
        <v>142</v>
      </c>
      <c r="D370" s="13" t="s">
        <v>633</v>
      </c>
      <c r="E370" t="s">
        <v>179</v>
      </c>
      <c r="F370" s="11">
        <v>2</v>
      </c>
      <c r="G370" s="11">
        <v>184873.95</v>
      </c>
    </row>
    <row r="371" spans="2:7" x14ac:dyDescent="0.2">
      <c r="B371" s="32">
        <v>45786</v>
      </c>
      <c r="C371" t="s">
        <v>142</v>
      </c>
      <c r="D371" s="13" t="s">
        <v>633</v>
      </c>
      <c r="E371" t="s">
        <v>195</v>
      </c>
      <c r="F371" s="11">
        <v>2</v>
      </c>
      <c r="G371" s="11">
        <v>184873.94</v>
      </c>
    </row>
    <row r="372" spans="2:7" x14ac:dyDescent="0.2">
      <c r="B372" s="32">
        <v>45786</v>
      </c>
      <c r="C372" t="s">
        <v>142</v>
      </c>
      <c r="D372" s="13" t="s">
        <v>633</v>
      </c>
      <c r="E372" t="s">
        <v>1810</v>
      </c>
      <c r="F372" s="11">
        <v>0</v>
      </c>
      <c r="G372" s="11">
        <v>163865.56</v>
      </c>
    </row>
    <row r="373" spans="2:7" x14ac:dyDescent="0.2">
      <c r="B373" s="32">
        <v>45786</v>
      </c>
      <c r="C373" t="s">
        <v>142</v>
      </c>
      <c r="D373" s="13" t="s">
        <v>633</v>
      </c>
      <c r="E373" t="s">
        <v>1811</v>
      </c>
      <c r="F373" s="11">
        <v>1</v>
      </c>
      <c r="G373" s="11">
        <v>151260.51</v>
      </c>
    </row>
    <row r="374" spans="2:7" x14ac:dyDescent="0.2">
      <c r="B374" s="32">
        <v>45786</v>
      </c>
      <c r="C374" t="s">
        <v>142</v>
      </c>
      <c r="D374" s="13" t="s">
        <v>633</v>
      </c>
      <c r="E374" t="s">
        <v>699</v>
      </c>
      <c r="F374" s="11">
        <v>1</v>
      </c>
      <c r="G374" s="11">
        <v>151260.5</v>
      </c>
    </row>
    <row r="375" spans="2:7" x14ac:dyDescent="0.2">
      <c r="B375" s="32">
        <v>45786</v>
      </c>
      <c r="C375" t="s">
        <v>142</v>
      </c>
      <c r="D375" s="13" t="s">
        <v>633</v>
      </c>
      <c r="E375" t="s">
        <v>427</v>
      </c>
      <c r="F375" s="11">
        <v>2</v>
      </c>
      <c r="G375" s="11">
        <v>109243.7</v>
      </c>
    </row>
    <row r="376" spans="2:7" x14ac:dyDescent="0.2">
      <c r="B376" s="32">
        <v>45786</v>
      </c>
      <c r="C376" t="s">
        <v>142</v>
      </c>
      <c r="D376" s="13" t="s">
        <v>633</v>
      </c>
      <c r="E376" t="s">
        <v>1812</v>
      </c>
      <c r="F376" s="11">
        <v>1</v>
      </c>
      <c r="G376" s="11">
        <v>82352.94</v>
      </c>
    </row>
    <row r="377" spans="2:7" x14ac:dyDescent="0.2">
      <c r="B377" s="32">
        <v>45786</v>
      </c>
      <c r="C377" t="s">
        <v>142</v>
      </c>
      <c r="D377" s="13" t="s">
        <v>633</v>
      </c>
      <c r="E377" t="s">
        <v>290</v>
      </c>
      <c r="F377" s="11">
        <v>1</v>
      </c>
      <c r="G377" s="11">
        <v>58823.53</v>
      </c>
    </row>
    <row r="378" spans="2:7" x14ac:dyDescent="0.2">
      <c r="B378" s="32">
        <v>45786</v>
      </c>
      <c r="C378" t="s">
        <v>142</v>
      </c>
      <c r="D378" s="13" t="s">
        <v>633</v>
      </c>
      <c r="E378" t="s">
        <v>233</v>
      </c>
      <c r="F378" s="11">
        <v>1</v>
      </c>
      <c r="G378" s="11">
        <v>58823.53</v>
      </c>
    </row>
    <row r="379" spans="2:7" x14ac:dyDescent="0.2">
      <c r="B379" s="32">
        <v>45786</v>
      </c>
      <c r="C379" t="s">
        <v>142</v>
      </c>
      <c r="D379" s="13" t="s">
        <v>633</v>
      </c>
      <c r="E379" t="s">
        <v>236</v>
      </c>
      <c r="F379" s="11">
        <v>1</v>
      </c>
      <c r="G379" s="11">
        <v>58823.53</v>
      </c>
    </row>
    <row r="380" spans="2:7" x14ac:dyDescent="0.2">
      <c r="B380" s="32">
        <v>45786</v>
      </c>
      <c r="C380" t="s">
        <v>142</v>
      </c>
      <c r="D380" s="13" t="s">
        <v>633</v>
      </c>
      <c r="E380" t="s">
        <v>295</v>
      </c>
      <c r="F380" s="11">
        <v>1</v>
      </c>
      <c r="G380" s="11">
        <v>54621.85</v>
      </c>
    </row>
    <row r="381" spans="2:7" x14ac:dyDescent="0.2">
      <c r="B381" s="32">
        <v>45786</v>
      </c>
      <c r="C381" t="s">
        <v>142</v>
      </c>
      <c r="D381" s="13" t="s">
        <v>633</v>
      </c>
      <c r="E381" t="s">
        <v>495</v>
      </c>
      <c r="F381" s="11">
        <v>1</v>
      </c>
      <c r="G381" s="11">
        <v>54621.85</v>
      </c>
    </row>
    <row r="382" spans="2:7" x14ac:dyDescent="0.2">
      <c r="B382" s="32">
        <v>45786</v>
      </c>
      <c r="C382" t="s">
        <v>142</v>
      </c>
      <c r="D382" s="13" t="s">
        <v>633</v>
      </c>
      <c r="E382" t="s">
        <v>616</v>
      </c>
      <c r="F382" s="11">
        <v>1</v>
      </c>
      <c r="G382" s="11">
        <v>54621.85</v>
      </c>
    </row>
    <row r="383" spans="2:7" x14ac:dyDescent="0.2">
      <c r="B383" s="32">
        <v>45786</v>
      </c>
      <c r="C383" t="s">
        <v>142</v>
      </c>
      <c r="D383" s="13" t="s">
        <v>633</v>
      </c>
      <c r="E383" t="s">
        <v>303</v>
      </c>
      <c r="F383" s="11">
        <v>1</v>
      </c>
      <c r="G383" s="11">
        <v>50420.17</v>
      </c>
    </row>
    <row r="384" spans="2:7" x14ac:dyDescent="0.2">
      <c r="B384" s="32">
        <v>45786</v>
      </c>
      <c r="C384" t="s">
        <v>142</v>
      </c>
      <c r="D384" s="13" t="s">
        <v>633</v>
      </c>
      <c r="E384" t="s">
        <v>426</v>
      </c>
      <c r="F384" s="11">
        <v>1</v>
      </c>
      <c r="G384" s="11">
        <v>50420.17</v>
      </c>
    </row>
    <row r="385" spans="2:7" x14ac:dyDescent="0.2">
      <c r="B385" s="32">
        <v>45786</v>
      </c>
      <c r="C385" t="s">
        <v>142</v>
      </c>
      <c r="D385" s="13" t="s">
        <v>633</v>
      </c>
      <c r="E385" t="s">
        <v>146</v>
      </c>
      <c r="F385" s="11">
        <v>1</v>
      </c>
      <c r="G385" s="11">
        <v>46218.49</v>
      </c>
    </row>
    <row r="386" spans="2:7" x14ac:dyDescent="0.2">
      <c r="B386" s="32">
        <v>45786</v>
      </c>
      <c r="C386" t="s">
        <v>142</v>
      </c>
      <c r="D386" s="13" t="s">
        <v>633</v>
      </c>
      <c r="E386" t="s">
        <v>1771</v>
      </c>
      <c r="F386" s="11">
        <v>1</v>
      </c>
      <c r="G386" s="11">
        <v>46218.49</v>
      </c>
    </row>
    <row r="387" spans="2:7" x14ac:dyDescent="0.2">
      <c r="B387" s="32">
        <v>45786</v>
      </c>
      <c r="C387" t="s">
        <v>142</v>
      </c>
      <c r="D387" s="13" t="s">
        <v>633</v>
      </c>
      <c r="E387" t="s">
        <v>151</v>
      </c>
      <c r="F387" s="11">
        <v>1</v>
      </c>
      <c r="G387" s="11">
        <v>46218.48</v>
      </c>
    </row>
    <row r="388" spans="2:7" x14ac:dyDescent="0.2">
      <c r="B388" s="32">
        <v>45786</v>
      </c>
      <c r="C388" t="s">
        <v>142</v>
      </c>
      <c r="D388" s="13" t="s">
        <v>633</v>
      </c>
      <c r="E388" t="s">
        <v>293</v>
      </c>
      <c r="F388" s="11">
        <v>1</v>
      </c>
      <c r="G388" s="11">
        <v>37815.129999999997</v>
      </c>
    </row>
    <row r="389" spans="2:7" x14ac:dyDescent="0.2">
      <c r="B389" s="32">
        <v>45786</v>
      </c>
      <c r="C389" t="s">
        <v>142</v>
      </c>
      <c r="D389" s="13" t="s">
        <v>633</v>
      </c>
      <c r="E389" t="s">
        <v>173</v>
      </c>
      <c r="F389" s="11">
        <v>1</v>
      </c>
      <c r="G389" s="11">
        <v>37815.120000000003</v>
      </c>
    </row>
    <row r="390" spans="2:7" x14ac:dyDescent="0.2">
      <c r="B390" s="32">
        <v>45786</v>
      </c>
      <c r="C390" t="s">
        <v>142</v>
      </c>
      <c r="D390" s="13" t="s">
        <v>633</v>
      </c>
      <c r="E390" t="s">
        <v>1813</v>
      </c>
      <c r="F390" s="11">
        <v>1</v>
      </c>
      <c r="G390" s="11">
        <v>21848.74</v>
      </c>
    </row>
    <row r="391" spans="2:7" x14ac:dyDescent="0.2">
      <c r="B391" s="32">
        <v>45786</v>
      </c>
      <c r="C391" t="s">
        <v>142</v>
      </c>
      <c r="D391" s="13" t="s">
        <v>633</v>
      </c>
      <c r="F391" s="11">
        <v>0</v>
      </c>
      <c r="G391" s="11">
        <v>0</v>
      </c>
    </row>
    <row r="392" spans="2:7" x14ac:dyDescent="0.2">
      <c r="B392" s="32">
        <v>45786</v>
      </c>
      <c r="C392" t="s">
        <v>142</v>
      </c>
      <c r="D392" s="13" t="s">
        <v>633</v>
      </c>
      <c r="E392" t="s">
        <v>158</v>
      </c>
      <c r="F392" s="11">
        <v>0</v>
      </c>
      <c r="G392" s="11">
        <v>-184873.95</v>
      </c>
    </row>
    <row r="393" spans="2:7" x14ac:dyDescent="0.2">
      <c r="B393" s="32">
        <v>45787</v>
      </c>
      <c r="C393" t="s">
        <v>142</v>
      </c>
      <c r="D393" s="13" t="s">
        <v>634</v>
      </c>
      <c r="E393" t="s">
        <v>335</v>
      </c>
      <c r="F393" s="11">
        <v>1</v>
      </c>
      <c r="G393" s="11">
        <v>58823.53</v>
      </c>
    </row>
    <row r="394" spans="2:7" x14ac:dyDescent="0.2">
      <c r="B394" s="32">
        <v>45787</v>
      </c>
      <c r="C394" t="s">
        <v>142</v>
      </c>
      <c r="D394" s="13" t="s">
        <v>634</v>
      </c>
      <c r="E394" t="s">
        <v>172</v>
      </c>
      <c r="F394" s="11">
        <v>1</v>
      </c>
      <c r="G394" s="11">
        <v>46218.49</v>
      </c>
    </row>
    <row r="395" spans="2:7" x14ac:dyDescent="0.2">
      <c r="B395" s="32">
        <v>45787</v>
      </c>
      <c r="C395" t="s">
        <v>142</v>
      </c>
      <c r="D395" s="13" t="s">
        <v>634</v>
      </c>
      <c r="E395" t="s">
        <v>238</v>
      </c>
      <c r="F395" s="11">
        <v>1</v>
      </c>
      <c r="G395" s="11">
        <v>46218.48</v>
      </c>
    </row>
    <row r="396" spans="2:7" x14ac:dyDescent="0.2">
      <c r="B396" s="32">
        <v>45787</v>
      </c>
      <c r="C396" t="s">
        <v>142</v>
      </c>
      <c r="D396" s="13" t="s">
        <v>634</v>
      </c>
      <c r="E396" t="s">
        <v>153</v>
      </c>
      <c r="F396" s="11">
        <v>1</v>
      </c>
      <c r="G396" s="11">
        <v>42016.81</v>
      </c>
    </row>
    <row r="397" spans="2:7" x14ac:dyDescent="0.2">
      <c r="B397" s="32">
        <v>45787</v>
      </c>
      <c r="C397" t="s">
        <v>142</v>
      </c>
      <c r="D397" s="13" t="s">
        <v>634</v>
      </c>
      <c r="E397" t="s">
        <v>168</v>
      </c>
      <c r="F397" s="11">
        <v>1</v>
      </c>
      <c r="G397" s="11">
        <v>42016.800000000003</v>
      </c>
    </row>
    <row r="398" spans="2:7" x14ac:dyDescent="0.2">
      <c r="B398" s="32">
        <v>45787</v>
      </c>
      <c r="C398" t="s">
        <v>142</v>
      </c>
      <c r="D398" s="13" t="s">
        <v>634</v>
      </c>
      <c r="F398" s="11">
        <v>0</v>
      </c>
      <c r="G398" s="11">
        <v>0</v>
      </c>
    </row>
    <row r="399" spans="2:7" x14ac:dyDescent="0.2">
      <c r="B399" s="32">
        <v>45787</v>
      </c>
      <c r="C399" t="s">
        <v>142</v>
      </c>
      <c r="D399" s="13" t="s">
        <v>633</v>
      </c>
      <c r="E399" t="s">
        <v>281</v>
      </c>
      <c r="F399" s="11">
        <v>2</v>
      </c>
      <c r="G399" s="11">
        <v>117647.06</v>
      </c>
    </row>
    <row r="400" spans="2:7" x14ac:dyDescent="0.2">
      <c r="B400" s="32">
        <v>45787</v>
      </c>
      <c r="C400" t="s">
        <v>142</v>
      </c>
      <c r="D400" s="13" t="s">
        <v>633</v>
      </c>
      <c r="E400" t="s">
        <v>1814</v>
      </c>
      <c r="F400" s="11">
        <v>1</v>
      </c>
      <c r="G400" s="11">
        <v>88235.3</v>
      </c>
    </row>
    <row r="401" spans="2:7" x14ac:dyDescent="0.2">
      <c r="B401" s="32">
        <v>45787</v>
      </c>
      <c r="C401" t="s">
        <v>142</v>
      </c>
      <c r="D401" s="13" t="s">
        <v>633</v>
      </c>
      <c r="E401" t="s">
        <v>368</v>
      </c>
      <c r="F401" s="11">
        <v>1</v>
      </c>
      <c r="G401" s="11">
        <v>71848.740000000005</v>
      </c>
    </row>
    <row r="402" spans="2:7" x14ac:dyDescent="0.2">
      <c r="B402" s="32">
        <v>45787</v>
      </c>
      <c r="C402" t="s">
        <v>142</v>
      </c>
      <c r="D402" s="13" t="s">
        <v>633</v>
      </c>
      <c r="E402" t="s">
        <v>259</v>
      </c>
      <c r="F402" s="11">
        <v>1</v>
      </c>
      <c r="G402" s="11">
        <v>55882.35</v>
      </c>
    </row>
    <row r="403" spans="2:7" x14ac:dyDescent="0.2">
      <c r="B403" s="32">
        <v>45787</v>
      </c>
      <c r="C403" t="s">
        <v>142</v>
      </c>
      <c r="D403" s="13" t="s">
        <v>633</v>
      </c>
      <c r="E403" t="s">
        <v>228</v>
      </c>
      <c r="F403" s="11">
        <v>1</v>
      </c>
      <c r="G403" s="11">
        <v>54621.85</v>
      </c>
    </row>
    <row r="404" spans="2:7" x14ac:dyDescent="0.2">
      <c r="B404" s="32">
        <v>45787</v>
      </c>
      <c r="C404" t="s">
        <v>142</v>
      </c>
      <c r="D404" s="13" t="s">
        <v>633</v>
      </c>
      <c r="E404" t="s">
        <v>158</v>
      </c>
      <c r="F404" s="11">
        <v>1</v>
      </c>
      <c r="G404" s="11">
        <v>46218.49</v>
      </c>
    </row>
    <row r="405" spans="2:7" x14ac:dyDescent="0.2">
      <c r="B405" s="32">
        <v>45787</v>
      </c>
      <c r="C405" t="s">
        <v>142</v>
      </c>
      <c r="D405" s="13" t="s">
        <v>633</v>
      </c>
      <c r="E405" t="s">
        <v>328</v>
      </c>
      <c r="F405" s="11">
        <v>1</v>
      </c>
      <c r="G405" s="11">
        <v>35924.370000000003</v>
      </c>
    </row>
    <row r="406" spans="2:7" x14ac:dyDescent="0.2">
      <c r="B406" s="32">
        <v>45787</v>
      </c>
      <c r="C406" t="s">
        <v>142</v>
      </c>
      <c r="D406" s="13" t="s">
        <v>633</v>
      </c>
      <c r="E406" t="s">
        <v>287</v>
      </c>
      <c r="F406" s="11">
        <v>1</v>
      </c>
      <c r="G406" s="11">
        <v>29411.759999999998</v>
      </c>
    </row>
    <row r="407" spans="2:7" x14ac:dyDescent="0.2">
      <c r="B407" s="32">
        <v>45787</v>
      </c>
      <c r="C407" t="s">
        <v>142</v>
      </c>
      <c r="D407" s="13" t="s">
        <v>633</v>
      </c>
      <c r="E407" t="s">
        <v>1796</v>
      </c>
      <c r="F407" s="11">
        <v>1</v>
      </c>
      <c r="G407" s="11">
        <v>21008.400000000001</v>
      </c>
    </row>
    <row r="408" spans="2:7" x14ac:dyDescent="0.2">
      <c r="B408" s="32">
        <v>45787</v>
      </c>
      <c r="C408" t="s">
        <v>142</v>
      </c>
      <c r="D408" s="13" t="s">
        <v>633</v>
      </c>
      <c r="E408" t="s">
        <v>831</v>
      </c>
      <c r="F408" s="11">
        <v>1</v>
      </c>
      <c r="G408" s="11">
        <v>0.84</v>
      </c>
    </row>
    <row r="409" spans="2:7" x14ac:dyDescent="0.2">
      <c r="B409" s="32">
        <v>45787</v>
      </c>
      <c r="C409" t="s">
        <v>142</v>
      </c>
      <c r="D409" s="13" t="s">
        <v>633</v>
      </c>
      <c r="F409" s="11">
        <v>0</v>
      </c>
      <c r="G409" s="11">
        <v>0</v>
      </c>
    </row>
    <row r="410" spans="2:7" x14ac:dyDescent="0.2">
      <c r="B410" s="32">
        <v>45788</v>
      </c>
      <c r="C410" t="s">
        <v>142</v>
      </c>
      <c r="D410" s="13" t="s">
        <v>634</v>
      </c>
      <c r="E410" t="s">
        <v>185</v>
      </c>
      <c r="F410" s="11">
        <v>1</v>
      </c>
      <c r="G410" s="11">
        <v>82352.94</v>
      </c>
    </row>
    <row r="411" spans="2:7" x14ac:dyDescent="0.2">
      <c r="B411" s="32">
        <v>45788</v>
      </c>
      <c r="C411" t="s">
        <v>142</v>
      </c>
      <c r="D411" s="13" t="s">
        <v>634</v>
      </c>
      <c r="E411" t="s">
        <v>315</v>
      </c>
      <c r="F411" s="11">
        <v>1</v>
      </c>
      <c r="G411" s="11">
        <v>58823.53</v>
      </c>
    </row>
    <row r="412" spans="2:7" x14ac:dyDescent="0.2">
      <c r="B412" s="32">
        <v>45788</v>
      </c>
      <c r="C412" t="s">
        <v>142</v>
      </c>
      <c r="D412" s="13" t="s">
        <v>634</v>
      </c>
      <c r="E412" t="s">
        <v>1815</v>
      </c>
      <c r="F412" s="11">
        <v>1</v>
      </c>
      <c r="G412" s="11">
        <v>58823.53</v>
      </c>
    </row>
    <row r="413" spans="2:7" x14ac:dyDescent="0.2">
      <c r="B413" s="32">
        <v>45788</v>
      </c>
      <c r="C413" t="s">
        <v>142</v>
      </c>
      <c r="D413" s="13" t="s">
        <v>634</v>
      </c>
      <c r="F413" s="11">
        <v>0</v>
      </c>
      <c r="G413" s="11">
        <v>0</v>
      </c>
    </row>
    <row r="414" spans="2:7" x14ac:dyDescent="0.2">
      <c r="B414" s="32">
        <v>45789</v>
      </c>
      <c r="C414" t="s">
        <v>142</v>
      </c>
      <c r="D414" s="13"/>
      <c r="E414" t="s">
        <v>179</v>
      </c>
      <c r="F414" s="11">
        <v>1</v>
      </c>
      <c r="G414" s="11">
        <v>46218.49</v>
      </c>
    </row>
    <row r="415" spans="2:7" x14ac:dyDescent="0.2">
      <c r="B415" s="32">
        <v>45789</v>
      </c>
      <c r="C415" t="s">
        <v>142</v>
      </c>
      <c r="D415" s="13" t="s">
        <v>634</v>
      </c>
      <c r="E415" t="s">
        <v>759</v>
      </c>
      <c r="F415" s="11">
        <v>1</v>
      </c>
      <c r="G415" s="11">
        <v>186554.62</v>
      </c>
    </row>
    <row r="416" spans="2:7" x14ac:dyDescent="0.2">
      <c r="B416" s="32">
        <v>45789</v>
      </c>
      <c r="C416" t="s">
        <v>142</v>
      </c>
      <c r="D416" s="13" t="s">
        <v>634</v>
      </c>
      <c r="F416" s="11">
        <v>4</v>
      </c>
      <c r="G416" s="11">
        <v>92436.97</v>
      </c>
    </row>
    <row r="417" spans="2:7" x14ac:dyDescent="0.2">
      <c r="B417" s="32">
        <v>45789</v>
      </c>
      <c r="C417" t="s">
        <v>142</v>
      </c>
      <c r="D417" s="13" t="s">
        <v>634</v>
      </c>
      <c r="E417" t="s">
        <v>347</v>
      </c>
      <c r="F417" s="11">
        <v>1</v>
      </c>
      <c r="G417" s="11">
        <v>75630.25</v>
      </c>
    </row>
    <row r="418" spans="2:7" x14ac:dyDescent="0.2">
      <c r="B418" s="32">
        <v>45789</v>
      </c>
      <c r="C418" t="s">
        <v>142</v>
      </c>
      <c r="D418" s="13" t="s">
        <v>634</v>
      </c>
      <c r="E418" t="s">
        <v>174</v>
      </c>
      <c r="F418" s="11">
        <v>1</v>
      </c>
      <c r="G418" s="11">
        <v>75630.25</v>
      </c>
    </row>
    <row r="419" spans="2:7" x14ac:dyDescent="0.2">
      <c r="B419" s="32">
        <v>45789</v>
      </c>
      <c r="C419" t="s">
        <v>142</v>
      </c>
      <c r="D419" s="13" t="s">
        <v>634</v>
      </c>
      <c r="E419" t="s">
        <v>368</v>
      </c>
      <c r="F419" s="11">
        <v>1</v>
      </c>
      <c r="G419" s="11">
        <v>75630.25</v>
      </c>
    </row>
    <row r="420" spans="2:7" x14ac:dyDescent="0.2">
      <c r="B420" s="32">
        <v>45789</v>
      </c>
      <c r="C420" t="s">
        <v>142</v>
      </c>
      <c r="D420" s="13" t="s">
        <v>634</v>
      </c>
      <c r="E420" t="s">
        <v>346</v>
      </c>
      <c r="F420" s="11">
        <v>1</v>
      </c>
      <c r="G420" s="11">
        <v>58823.53</v>
      </c>
    </row>
    <row r="421" spans="2:7" x14ac:dyDescent="0.2">
      <c r="B421" s="32">
        <v>45789</v>
      </c>
      <c r="C421" t="s">
        <v>142</v>
      </c>
      <c r="D421" s="13" t="s">
        <v>634</v>
      </c>
      <c r="E421" t="s">
        <v>378</v>
      </c>
      <c r="F421" s="11">
        <v>1</v>
      </c>
      <c r="G421" s="11">
        <v>58823.53</v>
      </c>
    </row>
    <row r="422" spans="2:7" x14ac:dyDescent="0.2">
      <c r="B422" s="32">
        <v>45789</v>
      </c>
      <c r="C422" t="s">
        <v>142</v>
      </c>
      <c r="D422" s="13" t="s">
        <v>634</v>
      </c>
      <c r="E422" t="s">
        <v>430</v>
      </c>
      <c r="F422" s="11">
        <v>1</v>
      </c>
      <c r="G422" s="11">
        <v>58823.53</v>
      </c>
    </row>
    <row r="423" spans="2:7" x14ac:dyDescent="0.2">
      <c r="B423" s="32">
        <v>45789</v>
      </c>
      <c r="C423" t="s">
        <v>142</v>
      </c>
      <c r="D423" s="13" t="s">
        <v>634</v>
      </c>
      <c r="E423" t="s">
        <v>233</v>
      </c>
      <c r="F423" s="11">
        <v>1</v>
      </c>
      <c r="G423" s="11">
        <v>58823.53</v>
      </c>
    </row>
    <row r="424" spans="2:7" x14ac:dyDescent="0.2">
      <c r="B424" s="32">
        <v>45789</v>
      </c>
      <c r="C424" t="s">
        <v>142</v>
      </c>
      <c r="D424" s="13" t="s">
        <v>634</v>
      </c>
      <c r="E424" t="s">
        <v>567</v>
      </c>
      <c r="F424" s="11">
        <v>1</v>
      </c>
      <c r="G424" s="11">
        <v>58823.53</v>
      </c>
    </row>
    <row r="425" spans="2:7" x14ac:dyDescent="0.2">
      <c r="B425" s="32">
        <v>45789</v>
      </c>
      <c r="C425" t="s">
        <v>142</v>
      </c>
      <c r="D425" s="13" t="s">
        <v>634</v>
      </c>
      <c r="E425" t="s">
        <v>282</v>
      </c>
      <c r="F425" s="11">
        <v>1</v>
      </c>
      <c r="G425" s="11">
        <v>58823.53</v>
      </c>
    </row>
    <row r="426" spans="2:7" x14ac:dyDescent="0.2">
      <c r="B426" s="32">
        <v>45789</v>
      </c>
      <c r="C426" t="s">
        <v>142</v>
      </c>
      <c r="D426" s="13" t="s">
        <v>634</v>
      </c>
      <c r="E426" t="s">
        <v>197</v>
      </c>
      <c r="F426" s="11">
        <v>1</v>
      </c>
      <c r="G426" s="11">
        <v>54621.85</v>
      </c>
    </row>
    <row r="427" spans="2:7" x14ac:dyDescent="0.2">
      <c r="B427" s="32">
        <v>45789</v>
      </c>
      <c r="C427" t="s">
        <v>142</v>
      </c>
      <c r="D427" s="13" t="s">
        <v>634</v>
      </c>
      <c r="E427" t="s">
        <v>158</v>
      </c>
      <c r="F427" s="11">
        <v>1</v>
      </c>
      <c r="G427" s="11">
        <v>46218.49</v>
      </c>
    </row>
    <row r="428" spans="2:7" x14ac:dyDescent="0.2">
      <c r="B428" s="32">
        <v>45789</v>
      </c>
      <c r="C428" t="s">
        <v>142</v>
      </c>
      <c r="D428" s="13" t="s">
        <v>634</v>
      </c>
      <c r="E428" t="s">
        <v>337</v>
      </c>
      <c r="F428" s="11">
        <v>1</v>
      </c>
      <c r="G428" s="11">
        <v>46218.49</v>
      </c>
    </row>
    <row r="429" spans="2:7" x14ac:dyDescent="0.2">
      <c r="B429" s="32">
        <v>45789</v>
      </c>
      <c r="C429" t="s">
        <v>142</v>
      </c>
      <c r="D429" s="13" t="s">
        <v>634</v>
      </c>
      <c r="E429" t="s">
        <v>466</v>
      </c>
      <c r="F429" s="11">
        <v>1</v>
      </c>
      <c r="G429" s="11">
        <v>21848.74</v>
      </c>
    </row>
    <row r="430" spans="2:7" x14ac:dyDescent="0.2">
      <c r="B430" s="32">
        <v>45789</v>
      </c>
      <c r="C430" t="s">
        <v>142</v>
      </c>
      <c r="D430" s="13" t="s">
        <v>634</v>
      </c>
      <c r="E430" t="s">
        <v>1785</v>
      </c>
      <c r="F430" s="11">
        <v>1</v>
      </c>
      <c r="G430" s="11">
        <v>21848.74</v>
      </c>
    </row>
    <row r="431" spans="2:7" x14ac:dyDescent="0.2">
      <c r="B431" s="32">
        <v>45789</v>
      </c>
      <c r="C431" t="s">
        <v>142</v>
      </c>
      <c r="D431" s="13" t="s">
        <v>633</v>
      </c>
      <c r="E431" t="s">
        <v>545</v>
      </c>
      <c r="F431" s="11">
        <v>1</v>
      </c>
      <c r="G431" s="11">
        <v>100840.34</v>
      </c>
    </row>
    <row r="432" spans="2:7" x14ac:dyDescent="0.2">
      <c r="B432" s="32">
        <v>45789</v>
      </c>
      <c r="C432" t="s">
        <v>142</v>
      </c>
      <c r="D432" s="13" t="s">
        <v>633</v>
      </c>
      <c r="E432" t="s">
        <v>793</v>
      </c>
      <c r="F432" s="11">
        <v>2</v>
      </c>
      <c r="G432" s="11">
        <v>84033.61</v>
      </c>
    </row>
    <row r="433" spans="2:7" x14ac:dyDescent="0.2">
      <c r="B433" s="32">
        <v>45789</v>
      </c>
      <c r="C433" t="s">
        <v>142</v>
      </c>
      <c r="D433" s="13" t="s">
        <v>633</v>
      </c>
      <c r="E433" t="s">
        <v>223</v>
      </c>
      <c r="F433" s="11">
        <v>1</v>
      </c>
      <c r="G433" s="11">
        <v>58823.53</v>
      </c>
    </row>
    <row r="434" spans="2:7" x14ac:dyDescent="0.2">
      <c r="B434" s="32">
        <v>45789</v>
      </c>
      <c r="C434" t="s">
        <v>142</v>
      </c>
      <c r="D434" s="13" t="s">
        <v>633</v>
      </c>
      <c r="E434" t="s">
        <v>835</v>
      </c>
      <c r="F434" s="11">
        <v>1</v>
      </c>
      <c r="G434" s="11">
        <v>58823.53</v>
      </c>
    </row>
    <row r="435" spans="2:7" x14ac:dyDescent="0.2">
      <c r="B435" s="32">
        <v>45789</v>
      </c>
      <c r="C435" t="s">
        <v>142</v>
      </c>
      <c r="D435" s="13" t="s">
        <v>633</v>
      </c>
      <c r="E435" t="s">
        <v>378</v>
      </c>
      <c r="F435" s="11">
        <v>1</v>
      </c>
      <c r="G435" s="11">
        <v>58823.53</v>
      </c>
    </row>
    <row r="436" spans="2:7" x14ac:dyDescent="0.2">
      <c r="B436" s="32">
        <v>45789</v>
      </c>
      <c r="C436" t="s">
        <v>142</v>
      </c>
      <c r="D436" s="13" t="s">
        <v>633</v>
      </c>
      <c r="E436" t="s">
        <v>285</v>
      </c>
      <c r="F436" s="11">
        <v>1</v>
      </c>
      <c r="G436" s="11">
        <v>58823.53</v>
      </c>
    </row>
    <row r="437" spans="2:7" x14ac:dyDescent="0.2">
      <c r="B437" s="32">
        <v>45789</v>
      </c>
      <c r="C437" t="s">
        <v>142</v>
      </c>
      <c r="D437" s="13" t="s">
        <v>633</v>
      </c>
      <c r="E437" t="s">
        <v>281</v>
      </c>
      <c r="F437" s="11">
        <v>1</v>
      </c>
      <c r="G437" s="11">
        <v>58823.53</v>
      </c>
    </row>
    <row r="438" spans="2:7" x14ac:dyDescent="0.2">
      <c r="B438" s="32">
        <v>45789</v>
      </c>
      <c r="C438" t="s">
        <v>142</v>
      </c>
      <c r="D438" s="13" t="s">
        <v>633</v>
      </c>
      <c r="E438" t="s">
        <v>282</v>
      </c>
      <c r="F438" s="11">
        <v>1</v>
      </c>
      <c r="G438" s="11">
        <v>58823.519999999997</v>
      </c>
    </row>
    <row r="439" spans="2:7" x14ac:dyDescent="0.2">
      <c r="B439" s="32">
        <v>45789</v>
      </c>
      <c r="C439" t="s">
        <v>142</v>
      </c>
      <c r="D439" s="13" t="s">
        <v>633</v>
      </c>
      <c r="E439" t="s">
        <v>212</v>
      </c>
      <c r="F439" s="11">
        <v>1</v>
      </c>
      <c r="G439" s="11">
        <v>54621.85</v>
      </c>
    </row>
    <row r="440" spans="2:7" x14ac:dyDescent="0.2">
      <c r="B440" s="32">
        <v>45789</v>
      </c>
      <c r="C440" t="s">
        <v>142</v>
      </c>
      <c r="D440" s="13" t="s">
        <v>633</v>
      </c>
      <c r="E440" t="s">
        <v>179</v>
      </c>
      <c r="F440" s="11">
        <v>1</v>
      </c>
      <c r="G440" s="11">
        <v>46218.49</v>
      </c>
    </row>
    <row r="441" spans="2:7" x14ac:dyDescent="0.2">
      <c r="B441" s="32">
        <v>45789</v>
      </c>
      <c r="C441" t="s">
        <v>142</v>
      </c>
      <c r="D441" s="13" t="s">
        <v>633</v>
      </c>
      <c r="E441" t="s">
        <v>382</v>
      </c>
      <c r="F441" s="11">
        <v>1</v>
      </c>
      <c r="G441" s="11">
        <v>37815.129999999997</v>
      </c>
    </row>
    <row r="442" spans="2:7" x14ac:dyDescent="0.2">
      <c r="B442" s="32">
        <v>45789</v>
      </c>
      <c r="C442" t="s">
        <v>142</v>
      </c>
      <c r="D442" s="13" t="s">
        <v>633</v>
      </c>
      <c r="F442" s="11">
        <v>0</v>
      </c>
      <c r="G442" s="11">
        <v>0</v>
      </c>
    </row>
    <row r="443" spans="2:7" x14ac:dyDescent="0.2">
      <c r="B443" s="32">
        <v>45790</v>
      </c>
      <c r="C443" t="s">
        <v>142</v>
      </c>
      <c r="D443" s="13" t="s">
        <v>634</v>
      </c>
      <c r="E443" t="s">
        <v>567</v>
      </c>
      <c r="F443" s="11">
        <v>93</v>
      </c>
      <c r="G443" s="11">
        <v>4102941.18</v>
      </c>
    </row>
    <row r="444" spans="2:7" x14ac:dyDescent="0.2">
      <c r="B444" s="32">
        <v>45790</v>
      </c>
      <c r="C444" t="s">
        <v>142</v>
      </c>
      <c r="D444" s="13" t="s">
        <v>634</v>
      </c>
      <c r="E444" t="s">
        <v>318</v>
      </c>
      <c r="F444" s="11">
        <v>39</v>
      </c>
      <c r="G444" s="11">
        <v>1720588.23</v>
      </c>
    </row>
    <row r="445" spans="2:7" x14ac:dyDescent="0.2">
      <c r="B445" s="32">
        <v>45790</v>
      </c>
      <c r="C445" t="s">
        <v>142</v>
      </c>
      <c r="D445" s="13" t="s">
        <v>634</v>
      </c>
      <c r="E445" t="s">
        <v>1775</v>
      </c>
      <c r="F445" s="11">
        <v>8</v>
      </c>
      <c r="G445" s="11">
        <v>470588.24</v>
      </c>
    </row>
    <row r="446" spans="2:7" x14ac:dyDescent="0.2">
      <c r="B446" s="32">
        <v>45790</v>
      </c>
      <c r="C446" t="s">
        <v>142</v>
      </c>
      <c r="D446" s="13" t="s">
        <v>634</v>
      </c>
      <c r="E446" t="s">
        <v>1816</v>
      </c>
      <c r="F446" s="11">
        <v>1</v>
      </c>
      <c r="G446" s="11">
        <v>138655.46</v>
      </c>
    </row>
    <row r="447" spans="2:7" x14ac:dyDescent="0.2">
      <c r="B447" s="32">
        <v>45790</v>
      </c>
      <c r="C447" t="s">
        <v>142</v>
      </c>
      <c r="D447" s="13" t="s">
        <v>634</v>
      </c>
      <c r="E447" t="s">
        <v>588</v>
      </c>
      <c r="F447" s="11">
        <v>1</v>
      </c>
      <c r="G447" s="11">
        <v>88235.3</v>
      </c>
    </row>
    <row r="448" spans="2:7" x14ac:dyDescent="0.2">
      <c r="B448" s="32">
        <v>45790</v>
      </c>
      <c r="C448" t="s">
        <v>142</v>
      </c>
      <c r="D448" s="13" t="s">
        <v>634</v>
      </c>
      <c r="E448" t="s">
        <v>666</v>
      </c>
      <c r="F448" s="11">
        <v>1</v>
      </c>
      <c r="G448" s="11">
        <v>88235.29</v>
      </c>
    </row>
    <row r="449" spans="2:7" x14ac:dyDescent="0.2">
      <c r="B449" s="32">
        <v>45790</v>
      </c>
      <c r="C449" t="s">
        <v>142</v>
      </c>
      <c r="D449" s="13" t="s">
        <v>634</v>
      </c>
      <c r="E449" t="s">
        <v>281</v>
      </c>
      <c r="F449" s="11">
        <v>1</v>
      </c>
      <c r="G449" s="11">
        <v>84033.61</v>
      </c>
    </row>
    <row r="450" spans="2:7" x14ac:dyDescent="0.2">
      <c r="B450" s="32">
        <v>45790</v>
      </c>
      <c r="C450" t="s">
        <v>142</v>
      </c>
      <c r="D450" s="13" t="s">
        <v>634</v>
      </c>
      <c r="E450" t="s">
        <v>154</v>
      </c>
      <c r="F450" s="11">
        <v>1</v>
      </c>
      <c r="G450" s="11">
        <v>82352.94</v>
      </c>
    </row>
    <row r="451" spans="2:7" x14ac:dyDescent="0.2">
      <c r="B451" s="32">
        <v>45790</v>
      </c>
      <c r="C451" t="s">
        <v>142</v>
      </c>
      <c r="D451" s="13" t="s">
        <v>634</v>
      </c>
      <c r="E451" t="s">
        <v>352</v>
      </c>
      <c r="F451" s="11">
        <v>1</v>
      </c>
      <c r="G451" s="11">
        <v>63025.21</v>
      </c>
    </row>
    <row r="452" spans="2:7" x14ac:dyDescent="0.2">
      <c r="B452" s="32">
        <v>45790</v>
      </c>
      <c r="C452" t="s">
        <v>142</v>
      </c>
      <c r="D452" s="13" t="s">
        <v>634</v>
      </c>
      <c r="E452" t="s">
        <v>181</v>
      </c>
      <c r="F452" s="11">
        <v>1</v>
      </c>
      <c r="G452" s="11">
        <v>58823.53</v>
      </c>
    </row>
    <row r="453" spans="2:7" x14ac:dyDescent="0.2">
      <c r="B453" s="32">
        <v>45790</v>
      </c>
      <c r="C453" t="s">
        <v>142</v>
      </c>
      <c r="D453" s="13" t="s">
        <v>634</v>
      </c>
      <c r="E453" t="s">
        <v>306</v>
      </c>
      <c r="F453" s="11">
        <v>1</v>
      </c>
      <c r="G453" s="11">
        <v>58823.53</v>
      </c>
    </row>
    <row r="454" spans="2:7" x14ac:dyDescent="0.2">
      <c r="B454" s="32">
        <v>45790</v>
      </c>
      <c r="C454" t="s">
        <v>142</v>
      </c>
      <c r="D454" s="13" t="s">
        <v>634</v>
      </c>
      <c r="E454" t="s">
        <v>398</v>
      </c>
      <c r="F454" s="11">
        <v>1</v>
      </c>
      <c r="G454" s="11">
        <v>58823.53</v>
      </c>
    </row>
    <row r="455" spans="2:7" x14ac:dyDescent="0.2">
      <c r="B455" s="32">
        <v>45790</v>
      </c>
      <c r="C455" t="s">
        <v>142</v>
      </c>
      <c r="D455" s="13" t="s">
        <v>634</v>
      </c>
      <c r="E455" t="s">
        <v>378</v>
      </c>
      <c r="F455" s="11">
        <v>1</v>
      </c>
      <c r="G455" s="11">
        <v>58823.53</v>
      </c>
    </row>
    <row r="456" spans="2:7" x14ac:dyDescent="0.2">
      <c r="B456" s="32">
        <v>45790</v>
      </c>
      <c r="C456" t="s">
        <v>142</v>
      </c>
      <c r="D456" s="13" t="s">
        <v>634</v>
      </c>
      <c r="E456" t="s">
        <v>223</v>
      </c>
      <c r="F456" s="11">
        <v>1</v>
      </c>
      <c r="G456" s="11">
        <v>8403.36</v>
      </c>
    </row>
    <row r="457" spans="2:7" x14ac:dyDescent="0.2">
      <c r="B457" s="32">
        <v>45790</v>
      </c>
      <c r="C457" t="s">
        <v>142</v>
      </c>
      <c r="D457" s="13" t="s">
        <v>634</v>
      </c>
      <c r="F457" s="11">
        <v>0</v>
      </c>
      <c r="G457" s="11">
        <v>0</v>
      </c>
    </row>
    <row r="458" spans="2:7" x14ac:dyDescent="0.2">
      <c r="B458" s="32">
        <v>45790</v>
      </c>
      <c r="C458" t="s">
        <v>142</v>
      </c>
      <c r="D458" s="13" t="s">
        <v>633</v>
      </c>
      <c r="E458" t="s">
        <v>758</v>
      </c>
      <c r="F458" s="11">
        <v>1</v>
      </c>
      <c r="G458" s="11">
        <v>252100.84</v>
      </c>
    </row>
    <row r="459" spans="2:7" x14ac:dyDescent="0.2">
      <c r="B459" s="32">
        <v>45790</v>
      </c>
      <c r="C459" t="s">
        <v>142</v>
      </c>
      <c r="D459" s="13" t="s">
        <v>633</v>
      </c>
      <c r="E459" t="s">
        <v>1817</v>
      </c>
      <c r="F459" s="11">
        <v>1</v>
      </c>
      <c r="G459" s="11">
        <v>252100.84</v>
      </c>
    </row>
    <row r="460" spans="2:7" x14ac:dyDescent="0.2">
      <c r="B460" s="32">
        <v>45790</v>
      </c>
      <c r="C460" t="s">
        <v>142</v>
      </c>
      <c r="D460" s="13" t="s">
        <v>633</v>
      </c>
      <c r="E460" t="s">
        <v>172</v>
      </c>
      <c r="F460" s="11">
        <v>2</v>
      </c>
      <c r="G460" s="11">
        <v>84033.61</v>
      </c>
    </row>
    <row r="461" spans="2:7" x14ac:dyDescent="0.2">
      <c r="B461" s="32">
        <v>45790</v>
      </c>
      <c r="C461" t="s">
        <v>142</v>
      </c>
      <c r="D461" s="13" t="s">
        <v>633</v>
      </c>
      <c r="E461" t="s">
        <v>476</v>
      </c>
      <c r="F461" s="11">
        <v>1</v>
      </c>
      <c r="G461" s="11">
        <v>82352.94</v>
      </c>
    </row>
    <row r="462" spans="2:7" x14ac:dyDescent="0.2">
      <c r="B462" s="32">
        <v>45790</v>
      </c>
      <c r="C462" t="s">
        <v>142</v>
      </c>
      <c r="D462" s="13" t="s">
        <v>633</v>
      </c>
      <c r="E462" t="s">
        <v>534</v>
      </c>
      <c r="F462" s="11">
        <v>1</v>
      </c>
      <c r="G462" s="11">
        <v>71428.570000000007</v>
      </c>
    </row>
    <row r="463" spans="2:7" x14ac:dyDescent="0.2">
      <c r="B463" s="32">
        <v>45790</v>
      </c>
      <c r="C463" t="s">
        <v>142</v>
      </c>
      <c r="D463" s="13" t="s">
        <v>633</v>
      </c>
      <c r="E463" t="s">
        <v>192</v>
      </c>
      <c r="F463" s="11">
        <v>1</v>
      </c>
      <c r="G463" s="11">
        <v>71428.570000000007</v>
      </c>
    </row>
    <row r="464" spans="2:7" x14ac:dyDescent="0.2">
      <c r="B464" s="32">
        <v>45790</v>
      </c>
      <c r="C464" t="s">
        <v>142</v>
      </c>
      <c r="D464" s="13" t="s">
        <v>633</v>
      </c>
      <c r="E464" t="s">
        <v>615</v>
      </c>
      <c r="F464" s="11">
        <v>1</v>
      </c>
      <c r="G464" s="11">
        <v>71428.570000000007</v>
      </c>
    </row>
    <row r="465" spans="2:7" x14ac:dyDescent="0.2">
      <c r="B465" s="32">
        <v>45790</v>
      </c>
      <c r="C465" t="s">
        <v>142</v>
      </c>
      <c r="D465" s="13" t="s">
        <v>633</v>
      </c>
      <c r="E465" t="s">
        <v>475</v>
      </c>
      <c r="F465" s="11">
        <v>1</v>
      </c>
      <c r="G465" s="11">
        <v>71428.570000000007</v>
      </c>
    </row>
    <row r="466" spans="2:7" x14ac:dyDescent="0.2">
      <c r="B466" s="32">
        <v>45790</v>
      </c>
      <c r="C466" t="s">
        <v>142</v>
      </c>
      <c r="D466" s="13" t="s">
        <v>633</v>
      </c>
      <c r="E466" t="s">
        <v>148</v>
      </c>
      <c r="F466" s="11">
        <v>1</v>
      </c>
      <c r="G466" s="11">
        <v>37815.129999999997</v>
      </c>
    </row>
    <row r="467" spans="2:7" x14ac:dyDescent="0.2">
      <c r="B467" s="32">
        <v>45790</v>
      </c>
      <c r="C467" t="s">
        <v>142</v>
      </c>
      <c r="D467" s="13" t="s">
        <v>633</v>
      </c>
      <c r="E467" t="s">
        <v>234</v>
      </c>
      <c r="F467" s="11">
        <v>1</v>
      </c>
      <c r="G467" s="11">
        <v>37815.129999999997</v>
      </c>
    </row>
    <row r="468" spans="2:7" x14ac:dyDescent="0.2">
      <c r="B468" s="32">
        <v>45790</v>
      </c>
      <c r="C468" t="s">
        <v>142</v>
      </c>
      <c r="D468" s="13" t="s">
        <v>633</v>
      </c>
      <c r="E468" t="s">
        <v>330</v>
      </c>
      <c r="F468" s="11">
        <v>1</v>
      </c>
      <c r="G468" s="11">
        <v>37815.120000000003</v>
      </c>
    </row>
    <row r="469" spans="2:7" x14ac:dyDescent="0.2">
      <c r="B469" s="32">
        <v>45790</v>
      </c>
      <c r="C469" t="s">
        <v>142</v>
      </c>
      <c r="D469" s="13" t="s">
        <v>633</v>
      </c>
      <c r="E469" t="s">
        <v>1818</v>
      </c>
      <c r="F469" s="11">
        <v>1</v>
      </c>
      <c r="G469" s="11">
        <v>37815.120000000003</v>
      </c>
    </row>
    <row r="470" spans="2:7" x14ac:dyDescent="0.2">
      <c r="B470" s="32">
        <v>45790</v>
      </c>
      <c r="C470" t="s">
        <v>142</v>
      </c>
      <c r="D470" s="13" t="s">
        <v>633</v>
      </c>
      <c r="E470" t="s">
        <v>831</v>
      </c>
      <c r="F470" s="11">
        <v>1</v>
      </c>
      <c r="G470" s="11">
        <v>0.84</v>
      </c>
    </row>
    <row r="471" spans="2:7" x14ac:dyDescent="0.2">
      <c r="B471" s="32">
        <v>45790</v>
      </c>
      <c r="C471" t="s">
        <v>142</v>
      </c>
      <c r="D471" s="13" t="s">
        <v>633</v>
      </c>
      <c r="F471" s="11">
        <v>0</v>
      </c>
      <c r="G471" s="11">
        <v>0</v>
      </c>
    </row>
    <row r="472" spans="2:7" x14ac:dyDescent="0.2">
      <c r="B472" s="32">
        <v>45791</v>
      </c>
      <c r="C472" t="s">
        <v>142</v>
      </c>
      <c r="D472" s="13"/>
      <c r="E472" t="s">
        <v>423</v>
      </c>
      <c r="F472" s="11">
        <v>24</v>
      </c>
      <c r="G472" s="11">
        <v>1235294.1200000001</v>
      </c>
    </row>
    <row r="473" spans="2:7" x14ac:dyDescent="0.2">
      <c r="B473" s="32">
        <v>45791</v>
      </c>
      <c r="C473" t="s">
        <v>142</v>
      </c>
      <c r="D473" s="13"/>
      <c r="E473" t="s">
        <v>1768</v>
      </c>
      <c r="F473" s="11">
        <v>1</v>
      </c>
      <c r="G473" s="11">
        <v>37815.129999999997</v>
      </c>
    </row>
    <row r="474" spans="2:7" x14ac:dyDescent="0.2">
      <c r="B474" s="32">
        <v>45791</v>
      </c>
      <c r="C474" t="s">
        <v>142</v>
      </c>
      <c r="D474" s="13" t="s">
        <v>634</v>
      </c>
      <c r="E474" t="s">
        <v>174</v>
      </c>
      <c r="F474" s="11">
        <v>7</v>
      </c>
      <c r="G474" s="11">
        <v>529411.76</v>
      </c>
    </row>
    <row r="475" spans="2:7" x14ac:dyDescent="0.2">
      <c r="B475" s="32">
        <v>45791</v>
      </c>
      <c r="C475" t="s">
        <v>142</v>
      </c>
      <c r="D475" s="13" t="s">
        <v>634</v>
      </c>
      <c r="E475" t="s">
        <v>173</v>
      </c>
      <c r="F475" s="11">
        <v>12</v>
      </c>
      <c r="G475" s="11">
        <v>453781.51</v>
      </c>
    </row>
    <row r="476" spans="2:7" x14ac:dyDescent="0.2">
      <c r="B476" s="32">
        <v>45791</v>
      </c>
      <c r="C476" t="s">
        <v>142</v>
      </c>
      <c r="D476" s="13" t="s">
        <v>634</v>
      </c>
      <c r="E476" t="s">
        <v>598</v>
      </c>
      <c r="F476" s="11">
        <v>2</v>
      </c>
      <c r="G476" s="11">
        <v>352941.18</v>
      </c>
    </row>
    <row r="477" spans="2:7" x14ac:dyDescent="0.2">
      <c r="B477" s="32">
        <v>45791</v>
      </c>
      <c r="C477" t="s">
        <v>142</v>
      </c>
      <c r="D477" s="13" t="s">
        <v>634</v>
      </c>
      <c r="E477" t="s">
        <v>352</v>
      </c>
      <c r="F477" s="11">
        <v>4</v>
      </c>
      <c r="G477" s="11">
        <v>252100.84</v>
      </c>
    </row>
    <row r="478" spans="2:7" x14ac:dyDescent="0.2">
      <c r="B478" s="32">
        <v>45791</v>
      </c>
      <c r="C478" t="s">
        <v>142</v>
      </c>
      <c r="D478" s="13" t="s">
        <v>634</v>
      </c>
      <c r="E478" t="s">
        <v>495</v>
      </c>
      <c r="F478" s="11">
        <v>4</v>
      </c>
      <c r="G478" s="11">
        <v>218487.39</v>
      </c>
    </row>
    <row r="479" spans="2:7" x14ac:dyDescent="0.2">
      <c r="B479" s="32">
        <v>45791</v>
      </c>
      <c r="C479" t="s">
        <v>142</v>
      </c>
      <c r="D479" s="13" t="s">
        <v>634</v>
      </c>
      <c r="E479" t="s">
        <v>189</v>
      </c>
      <c r="F479" s="11">
        <v>3</v>
      </c>
      <c r="G479" s="11">
        <v>214285.71</v>
      </c>
    </row>
    <row r="480" spans="2:7" x14ac:dyDescent="0.2">
      <c r="B480" s="32">
        <v>45791</v>
      </c>
      <c r="C480" t="s">
        <v>142</v>
      </c>
      <c r="D480" s="13" t="s">
        <v>634</v>
      </c>
      <c r="E480" t="s">
        <v>258</v>
      </c>
      <c r="F480" s="11">
        <v>3</v>
      </c>
      <c r="G480" s="11">
        <v>163865.54</v>
      </c>
    </row>
    <row r="481" spans="2:7" x14ac:dyDescent="0.2">
      <c r="B481" s="32">
        <v>45791</v>
      </c>
      <c r="C481" t="s">
        <v>142</v>
      </c>
      <c r="D481" s="13" t="s">
        <v>634</v>
      </c>
      <c r="E481" t="s">
        <v>303</v>
      </c>
      <c r="F481" s="11">
        <v>3</v>
      </c>
      <c r="G481" s="11">
        <v>151260.51</v>
      </c>
    </row>
    <row r="482" spans="2:7" x14ac:dyDescent="0.2">
      <c r="B482" s="32">
        <v>45791</v>
      </c>
      <c r="C482" t="s">
        <v>142</v>
      </c>
      <c r="D482" s="13" t="s">
        <v>634</v>
      </c>
      <c r="E482" t="s">
        <v>698</v>
      </c>
      <c r="F482" s="11">
        <v>2</v>
      </c>
      <c r="G482" s="11">
        <v>151260.5</v>
      </c>
    </row>
    <row r="483" spans="2:7" x14ac:dyDescent="0.2">
      <c r="B483" s="32">
        <v>45791</v>
      </c>
      <c r="C483" t="s">
        <v>142</v>
      </c>
      <c r="D483" s="13" t="s">
        <v>634</v>
      </c>
      <c r="E483" t="s">
        <v>260</v>
      </c>
      <c r="F483" s="11">
        <v>3</v>
      </c>
      <c r="G483" s="11">
        <v>138655.46</v>
      </c>
    </row>
    <row r="484" spans="2:7" x14ac:dyDescent="0.2">
      <c r="B484" s="32">
        <v>45791</v>
      </c>
      <c r="C484" t="s">
        <v>142</v>
      </c>
      <c r="D484" s="13" t="s">
        <v>634</v>
      </c>
      <c r="F484" s="11">
        <v>5</v>
      </c>
      <c r="G484" s="11">
        <v>113445.37</v>
      </c>
    </row>
    <row r="485" spans="2:7" x14ac:dyDescent="0.2">
      <c r="B485" s="32">
        <v>45791</v>
      </c>
      <c r="C485" t="s">
        <v>142</v>
      </c>
      <c r="D485" s="13" t="s">
        <v>634</v>
      </c>
      <c r="E485" t="s">
        <v>238</v>
      </c>
      <c r="F485" s="11">
        <v>2</v>
      </c>
      <c r="G485" s="11">
        <v>92436.98</v>
      </c>
    </row>
    <row r="486" spans="2:7" x14ac:dyDescent="0.2">
      <c r="B486" s="32">
        <v>45791</v>
      </c>
      <c r="C486" t="s">
        <v>142</v>
      </c>
      <c r="D486" s="13" t="s">
        <v>634</v>
      </c>
      <c r="E486" t="s">
        <v>203</v>
      </c>
      <c r="F486" s="11">
        <v>2</v>
      </c>
      <c r="G486" s="11">
        <v>84033.62</v>
      </c>
    </row>
    <row r="487" spans="2:7" x14ac:dyDescent="0.2">
      <c r="B487" s="32">
        <v>45791</v>
      </c>
      <c r="C487" t="s">
        <v>142</v>
      </c>
      <c r="D487" s="13" t="s">
        <v>634</v>
      </c>
      <c r="E487" t="s">
        <v>153</v>
      </c>
      <c r="F487" s="11">
        <v>2</v>
      </c>
      <c r="G487" s="11">
        <v>84033.62</v>
      </c>
    </row>
    <row r="488" spans="2:7" x14ac:dyDescent="0.2">
      <c r="B488" s="32">
        <v>45791</v>
      </c>
      <c r="C488" t="s">
        <v>142</v>
      </c>
      <c r="D488" s="13" t="s">
        <v>634</v>
      </c>
      <c r="E488" t="s">
        <v>239</v>
      </c>
      <c r="F488" s="11">
        <v>2</v>
      </c>
      <c r="G488" s="11">
        <v>84033.61</v>
      </c>
    </row>
    <row r="489" spans="2:7" x14ac:dyDescent="0.2">
      <c r="B489" s="32">
        <v>45791</v>
      </c>
      <c r="C489" t="s">
        <v>142</v>
      </c>
      <c r="D489" s="13" t="s">
        <v>634</v>
      </c>
      <c r="E489" t="s">
        <v>452</v>
      </c>
      <c r="F489" s="11">
        <v>2</v>
      </c>
      <c r="G489" s="11">
        <v>75630.259999999995</v>
      </c>
    </row>
    <row r="490" spans="2:7" x14ac:dyDescent="0.2">
      <c r="B490" s="32">
        <v>45791</v>
      </c>
      <c r="C490" t="s">
        <v>142</v>
      </c>
      <c r="D490" s="13" t="s">
        <v>634</v>
      </c>
      <c r="E490" t="s">
        <v>293</v>
      </c>
      <c r="F490" s="11">
        <v>2</v>
      </c>
      <c r="G490" s="11">
        <v>75630.259999999995</v>
      </c>
    </row>
    <row r="491" spans="2:7" x14ac:dyDescent="0.2">
      <c r="B491" s="32">
        <v>45791</v>
      </c>
      <c r="C491" t="s">
        <v>142</v>
      </c>
      <c r="D491" s="13" t="s">
        <v>634</v>
      </c>
      <c r="E491" t="s">
        <v>1760</v>
      </c>
      <c r="F491" s="11">
        <v>1</v>
      </c>
      <c r="G491" s="11">
        <v>75630.25</v>
      </c>
    </row>
    <row r="492" spans="2:7" x14ac:dyDescent="0.2">
      <c r="B492" s="32">
        <v>45791</v>
      </c>
      <c r="C492" t="s">
        <v>142</v>
      </c>
      <c r="D492" s="13" t="s">
        <v>634</v>
      </c>
      <c r="E492" t="s">
        <v>347</v>
      </c>
      <c r="F492" s="11">
        <v>1</v>
      </c>
      <c r="G492" s="11">
        <v>75630.25</v>
      </c>
    </row>
    <row r="493" spans="2:7" x14ac:dyDescent="0.2">
      <c r="B493" s="32">
        <v>45791</v>
      </c>
      <c r="C493" t="s">
        <v>142</v>
      </c>
      <c r="D493" s="13" t="s">
        <v>634</v>
      </c>
      <c r="E493" t="s">
        <v>681</v>
      </c>
      <c r="F493" s="11">
        <v>1</v>
      </c>
      <c r="G493" s="11">
        <v>75630.25</v>
      </c>
    </row>
    <row r="494" spans="2:7" x14ac:dyDescent="0.2">
      <c r="B494" s="32">
        <v>45791</v>
      </c>
      <c r="C494" t="s">
        <v>142</v>
      </c>
      <c r="D494" s="13" t="s">
        <v>634</v>
      </c>
      <c r="E494" t="s">
        <v>334</v>
      </c>
      <c r="F494" s="11">
        <v>1</v>
      </c>
      <c r="G494" s="11">
        <v>71428.570000000007</v>
      </c>
    </row>
    <row r="495" spans="2:7" x14ac:dyDescent="0.2">
      <c r="B495" s="32">
        <v>45791</v>
      </c>
      <c r="C495" t="s">
        <v>142</v>
      </c>
      <c r="D495" s="13" t="s">
        <v>634</v>
      </c>
      <c r="E495" t="s">
        <v>440</v>
      </c>
      <c r="F495" s="11">
        <v>1</v>
      </c>
      <c r="G495" s="11">
        <v>58823.53</v>
      </c>
    </row>
    <row r="496" spans="2:7" x14ac:dyDescent="0.2">
      <c r="B496" s="32">
        <v>45791</v>
      </c>
      <c r="C496" t="s">
        <v>142</v>
      </c>
      <c r="D496" s="13" t="s">
        <v>634</v>
      </c>
      <c r="E496" t="s">
        <v>454</v>
      </c>
      <c r="F496" s="11">
        <v>1</v>
      </c>
      <c r="G496" s="11">
        <v>58823.53</v>
      </c>
    </row>
    <row r="497" spans="2:7" x14ac:dyDescent="0.2">
      <c r="B497" s="32">
        <v>45791</v>
      </c>
      <c r="C497" t="s">
        <v>142</v>
      </c>
      <c r="D497" s="13" t="s">
        <v>634</v>
      </c>
      <c r="E497" t="s">
        <v>354</v>
      </c>
      <c r="F497" s="11">
        <v>1</v>
      </c>
      <c r="G497" s="11">
        <v>58823.53</v>
      </c>
    </row>
    <row r="498" spans="2:7" x14ac:dyDescent="0.2">
      <c r="B498" s="32">
        <v>45791</v>
      </c>
      <c r="C498" t="s">
        <v>142</v>
      </c>
      <c r="D498" s="13" t="s">
        <v>634</v>
      </c>
      <c r="E498" t="s">
        <v>315</v>
      </c>
      <c r="F498" s="11">
        <v>1</v>
      </c>
      <c r="G498" s="11">
        <v>58823.53</v>
      </c>
    </row>
    <row r="499" spans="2:7" x14ac:dyDescent="0.2">
      <c r="B499" s="32">
        <v>45791</v>
      </c>
      <c r="C499" t="s">
        <v>142</v>
      </c>
      <c r="D499" s="13" t="s">
        <v>634</v>
      </c>
      <c r="E499" t="s">
        <v>1819</v>
      </c>
      <c r="F499" s="11">
        <v>1</v>
      </c>
      <c r="G499" s="11">
        <v>58823.53</v>
      </c>
    </row>
    <row r="500" spans="2:7" x14ac:dyDescent="0.2">
      <c r="B500" s="32">
        <v>45791</v>
      </c>
      <c r="C500" t="s">
        <v>142</v>
      </c>
      <c r="D500" s="13" t="s">
        <v>634</v>
      </c>
      <c r="E500" t="s">
        <v>835</v>
      </c>
      <c r="F500" s="11">
        <v>1</v>
      </c>
      <c r="G500" s="11">
        <v>58823.519999999997</v>
      </c>
    </row>
    <row r="501" spans="2:7" x14ac:dyDescent="0.2">
      <c r="B501" s="32">
        <v>45791</v>
      </c>
      <c r="C501" t="s">
        <v>142</v>
      </c>
      <c r="D501" s="13" t="s">
        <v>634</v>
      </c>
      <c r="E501" t="s">
        <v>755</v>
      </c>
      <c r="F501" s="11">
        <v>1</v>
      </c>
      <c r="G501" s="11">
        <v>54621.85</v>
      </c>
    </row>
    <row r="502" spans="2:7" x14ac:dyDescent="0.2">
      <c r="B502" s="32">
        <v>45791</v>
      </c>
      <c r="C502" t="s">
        <v>142</v>
      </c>
      <c r="D502" s="13" t="s">
        <v>634</v>
      </c>
      <c r="E502" t="s">
        <v>305</v>
      </c>
      <c r="F502" s="11">
        <v>1</v>
      </c>
      <c r="G502" s="11">
        <v>54621.85</v>
      </c>
    </row>
    <row r="503" spans="2:7" x14ac:dyDescent="0.2">
      <c r="B503" s="32">
        <v>45791</v>
      </c>
      <c r="C503" t="s">
        <v>142</v>
      </c>
      <c r="D503" s="13" t="s">
        <v>634</v>
      </c>
      <c r="E503" t="s">
        <v>658</v>
      </c>
      <c r="F503" s="11">
        <v>1</v>
      </c>
      <c r="G503" s="11">
        <v>54621.85</v>
      </c>
    </row>
    <row r="504" spans="2:7" x14ac:dyDescent="0.2">
      <c r="B504" s="32">
        <v>45791</v>
      </c>
      <c r="C504" t="s">
        <v>142</v>
      </c>
      <c r="D504" s="13" t="s">
        <v>634</v>
      </c>
      <c r="E504" t="s">
        <v>679</v>
      </c>
      <c r="F504" s="11">
        <v>1</v>
      </c>
      <c r="G504" s="11">
        <v>54621.85</v>
      </c>
    </row>
    <row r="505" spans="2:7" x14ac:dyDescent="0.2">
      <c r="B505" s="32">
        <v>45791</v>
      </c>
      <c r="C505" t="s">
        <v>142</v>
      </c>
      <c r="D505" s="13" t="s">
        <v>634</v>
      </c>
      <c r="E505" t="s">
        <v>616</v>
      </c>
      <c r="F505" s="11">
        <v>1</v>
      </c>
      <c r="G505" s="11">
        <v>54621.85</v>
      </c>
    </row>
    <row r="506" spans="2:7" x14ac:dyDescent="0.2">
      <c r="B506" s="32">
        <v>45791</v>
      </c>
      <c r="C506" t="s">
        <v>142</v>
      </c>
      <c r="D506" s="13" t="s">
        <v>634</v>
      </c>
      <c r="E506" t="s">
        <v>1820</v>
      </c>
      <c r="F506" s="11">
        <v>1</v>
      </c>
      <c r="G506" s="11">
        <v>54621.85</v>
      </c>
    </row>
    <row r="507" spans="2:7" x14ac:dyDescent="0.2">
      <c r="B507" s="32">
        <v>45791</v>
      </c>
      <c r="C507" t="s">
        <v>142</v>
      </c>
      <c r="D507" s="13" t="s">
        <v>634</v>
      </c>
      <c r="E507" t="s">
        <v>222</v>
      </c>
      <c r="F507" s="11">
        <v>1</v>
      </c>
      <c r="G507" s="11">
        <v>54621.85</v>
      </c>
    </row>
    <row r="508" spans="2:7" x14ac:dyDescent="0.2">
      <c r="B508" s="32">
        <v>45791</v>
      </c>
      <c r="C508" t="s">
        <v>142</v>
      </c>
      <c r="D508" s="13" t="s">
        <v>634</v>
      </c>
      <c r="E508" t="s">
        <v>1821</v>
      </c>
      <c r="F508" s="11">
        <v>1</v>
      </c>
      <c r="G508" s="11">
        <v>54621.85</v>
      </c>
    </row>
    <row r="509" spans="2:7" x14ac:dyDescent="0.2">
      <c r="B509" s="32">
        <v>45791</v>
      </c>
      <c r="C509" t="s">
        <v>142</v>
      </c>
      <c r="D509" s="13" t="s">
        <v>634</v>
      </c>
      <c r="E509" t="s">
        <v>348</v>
      </c>
      <c r="F509" s="11">
        <v>1</v>
      </c>
      <c r="G509" s="11">
        <v>54621.85</v>
      </c>
    </row>
    <row r="510" spans="2:7" x14ac:dyDescent="0.2">
      <c r="B510" s="32">
        <v>45791</v>
      </c>
      <c r="C510" t="s">
        <v>142</v>
      </c>
      <c r="D510" s="13" t="s">
        <v>634</v>
      </c>
      <c r="E510" t="s">
        <v>504</v>
      </c>
      <c r="F510" s="11">
        <v>1</v>
      </c>
      <c r="G510" s="11">
        <v>50420.17</v>
      </c>
    </row>
    <row r="511" spans="2:7" x14ac:dyDescent="0.2">
      <c r="B511" s="32">
        <v>45791</v>
      </c>
      <c r="C511" t="s">
        <v>142</v>
      </c>
      <c r="D511" s="13" t="s">
        <v>634</v>
      </c>
      <c r="E511" t="s">
        <v>307</v>
      </c>
      <c r="F511" s="11">
        <v>1</v>
      </c>
      <c r="G511" s="11">
        <v>50420.17</v>
      </c>
    </row>
    <row r="512" spans="2:7" x14ac:dyDescent="0.2">
      <c r="B512" s="32">
        <v>45791</v>
      </c>
      <c r="C512" t="s">
        <v>142</v>
      </c>
      <c r="D512" s="13" t="s">
        <v>634</v>
      </c>
      <c r="E512" t="s">
        <v>810</v>
      </c>
      <c r="F512" s="11">
        <v>1</v>
      </c>
      <c r="G512" s="11">
        <v>50420.17</v>
      </c>
    </row>
    <row r="513" spans="2:7" x14ac:dyDescent="0.2">
      <c r="B513" s="32">
        <v>45791</v>
      </c>
      <c r="C513" t="s">
        <v>142</v>
      </c>
      <c r="D513" s="13" t="s">
        <v>634</v>
      </c>
      <c r="E513" t="s">
        <v>215</v>
      </c>
      <c r="F513" s="11">
        <v>1</v>
      </c>
      <c r="G513" s="11">
        <v>46218.49</v>
      </c>
    </row>
    <row r="514" spans="2:7" x14ac:dyDescent="0.2">
      <c r="B514" s="32">
        <v>45791</v>
      </c>
      <c r="C514" t="s">
        <v>142</v>
      </c>
      <c r="D514" s="13" t="s">
        <v>634</v>
      </c>
      <c r="E514" t="s">
        <v>172</v>
      </c>
      <c r="F514" s="11">
        <v>1</v>
      </c>
      <c r="G514" s="11">
        <v>46218.48</v>
      </c>
    </row>
    <row r="515" spans="2:7" x14ac:dyDescent="0.2">
      <c r="B515" s="32">
        <v>45791</v>
      </c>
      <c r="C515" t="s">
        <v>142</v>
      </c>
      <c r="D515" s="13" t="s">
        <v>634</v>
      </c>
      <c r="E515" t="s">
        <v>193</v>
      </c>
      <c r="F515" s="11">
        <v>2</v>
      </c>
      <c r="G515" s="11">
        <v>43697.48</v>
      </c>
    </row>
    <row r="516" spans="2:7" x14ac:dyDescent="0.2">
      <c r="B516" s="32">
        <v>45791</v>
      </c>
      <c r="C516" t="s">
        <v>142</v>
      </c>
      <c r="D516" s="13" t="s">
        <v>634</v>
      </c>
      <c r="E516" t="s">
        <v>150</v>
      </c>
      <c r="F516" s="11">
        <v>1</v>
      </c>
      <c r="G516" s="11">
        <v>42016.81</v>
      </c>
    </row>
    <row r="517" spans="2:7" x14ac:dyDescent="0.2">
      <c r="B517" s="32">
        <v>45791</v>
      </c>
      <c r="C517" t="s">
        <v>142</v>
      </c>
      <c r="D517" s="13" t="s">
        <v>634</v>
      </c>
      <c r="E517" t="s">
        <v>168</v>
      </c>
      <c r="F517" s="11">
        <v>1</v>
      </c>
      <c r="G517" s="11">
        <v>42016.81</v>
      </c>
    </row>
    <row r="518" spans="2:7" x14ac:dyDescent="0.2">
      <c r="B518" s="32">
        <v>45791</v>
      </c>
      <c r="C518" t="s">
        <v>142</v>
      </c>
      <c r="D518" s="13" t="s">
        <v>634</v>
      </c>
      <c r="E518" t="s">
        <v>328</v>
      </c>
      <c r="F518" s="11">
        <v>1</v>
      </c>
      <c r="G518" s="11">
        <v>37815.129999999997</v>
      </c>
    </row>
    <row r="519" spans="2:7" x14ac:dyDescent="0.2">
      <c r="B519" s="32">
        <v>45791</v>
      </c>
      <c r="C519" t="s">
        <v>142</v>
      </c>
      <c r="D519" s="13" t="s">
        <v>634</v>
      </c>
      <c r="E519" t="s">
        <v>234</v>
      </c>
      <c r="F519" s="11">
        <v>1</v>
      </c>
      <c r="G519" s="11">
        <v>37815.129999999997</v>
      </c>
    </row>
    <row r="520" spans="2:7" x14ac:dyDescent="0.2">
      <c r="B520" s="32">
        <v>45791</v>
      </c>
      <c r="C520" t="s">
        <v>142</v>
      </c>
      <c r="D520" s="13" t="s">
        <v>634</v>
      </c>
      <c r="E520" t="s">
        <v>1822</v>
      </c>
      <c r="F520" s="11">
        <v>2</v>
      </c>
      <c r="G520" s="11">
        <v>33613.440000000002</v>
      </c>
    </row>
    <row r="521" spans="2:7" x14ac:dyDescent="0.2">
      <c r="B521" s="32">
        <v>45791</v>
      </c>
      <c r="C521" t="s">
        <v>142</v>
      </c>
      <c r="D521" s="13" t="s">
        <v>634</v>
      </c>
      <c r="E521" t="s">
        <v>1813</v>
      </c>
      <c r="F521" s="11">
        <v>1</v>
      </c>
      <c r="G521" s="11">
        <v>21848.74</v>
      </c>
    </row>
    <row r="522" spans="2:7" x14ac:dyDescent="0.2">
      <c r="B522" s="32">
        <v>45791</v>
      </c>
      <c r="C522" t="s">
        <v>142</v>
      </c>
      <c r="D522" s="13" t="s">
        <v>634</v>
      </c>
      <c r="E522" t="s">
        <v>466</v>
      </c>
      <c r="F522" s="11">
        <v>1</v>
      </c>
      <c r="G522" s="11">
        <v>21848.74</v>
      </c>
    </row>
    <row r="523" spans="2:7" x14ac:dyDescent="0.2">
      <c r="B523" s="32">
        <v>45791</v>
      </c>
      <c r="C523" t="s">
        <v>142</v>
      </c>
      <c r="D523" s="13" t="s">
        <v>633</v>
      </c>
      <c r="E523" t="s">
        <v>167</v>
      </c>
      <c r="F523" s="11">
        <v>2</v>
      </c>
      <c r="G523" s="11">
        <v>196000</v>
      </c>
    </row>
    <row r="524" spans="2:7" x14ac:dyDescent="0.2">
      <c r="B524" s="32">
        <v>45791</v>
      </c>
      <c r="C524" t="s">
        <v>142</v>
      </c>
      <c r="D524" s="13" t="s">
        <v>633</v>
      </c>
      <c r="E524" t="s">
        <v>1823</v>
      </c>
      <c r="F524" s="11">
        <v>1</v>
      </c>
      <c r="G524" s="11">
        <v>151260.5</v>
      </c>
    </row>
    <row r="525" spans="2:7" x14ac:dyDescent="0.2">
      <c r="B525" s="32">
        <v>45791</v>
      </c>
      <c r="C525" t="s">
        <v>142</v>
      </c>
      <c r="D525" s="13" t="s">
        <v>633</v>
      </c>
      <c r="E525" t="s">
        <v>223</v>
      </c>
      <c r="F525" s="11">
        <v>1</v>
      </c>
      <c r="G525" s="11">
        <v>84033.62</v>
      </c>
    </row>
    <row r="526" spans="2:7" x14ac:dyDescent="0.2">
      <c r="B526" s="32">
        <v>45791</v>
      </c>
      <c r="C526" t="s">
        <v>142</v>
      </c>
      <c r="D526" s="13" t="s">
        <v>633</v>
      </c>
      <c r="E526" t="s">
        <v>423</v>
      </c>
      <c r="F526" s="11">
        <v>1</v>
      </c>
      <c r="G526" s="11">
        <v>75630.25</v>
      </c>
    </row>
    <row r="527" spans="2:7" x14ac:dyDescent="0.2">
      <c r="B527" s="32">
        <v>45791</v>
      </c>
      <c r="C527" t="s">
        <v>142</v>
      </c>
      <c r="D527" s="13" t="s">
        <v>633</v>
      </c>
      <c r="E527" t="s">
        <v>174</v>
      </c>
      <c r="F527" s="11">
        <v>1</v>
      </c>
      <c r="G527" s="11">
        <v>75630.25</v>
      </c>
    </row>
    <row r="528" spans="2:7" x14ac:dyDescent="0.2">
      <c r="B528" s="32">
        <v>45791</v>
      </c>
      <c r="C528" t="s">
        <v>142</v>
      </c>
      <c r="D528" s="13" t="s">
        <v>633</v>
      </c>
      <c r="E528" t="s">
        <v>368</v>
      </c>
      <c r="F528" s="11">
        <v>1</v>
      </c>
      <c r="G528" s="11">
        <v>74431.240000000005</v>
      </c>
    </row>
    <row r="529" spans="2:7" x14ac:dyDescent="0.2">
      <c r="B529" s="32">
        <v>45791</v>
      </c>
      <c r="C529" t="s">
        <v>142</v>
      </c>
      <c r="D529" s="13" t="s">
        <v>633</v>
      </c>
      <c r="E529" t="s">
        <v>1809</v>
      </c>
      <c r="F529" s="11">
        <v>1</v>
      </c>
      <c r="G529" s="11">
        <v>65546.22</v>
      </c>
    </row>
    <row r="530" spans="2:7" x14ac:dyDescent="0.2">
      <c r="B530" s="32">
        <v>45791</v>
      </c>
      <c r="C530" t="s">
        <v>142</v>
      </c>
      <c r="D530" s="13" t="s">
        <v>633</v>
      </c>
      <c r="E530" t="s">
        <v>233</v>
      </c>
      <c r="F530" s="11">
        <v>1</v>
      </c>
      <c r="G530" s="11">
        <v>58823.53</v>
      </c>
    </row>
    <row r="531" spans="2:7" x14ac:dyDescent="0.2">
      <c r="B531" s="32">
        <v>45791</v>
      </c>
      <c r="C531" t="s">
        <v>142</v>
      </c>
      <c r="D531" s="13" t="s">
        <v>633</v>
      </c>
      <c r="E531" t="s">
        <v>315</v>
      </c>
      <c r="F531" s="11">
        <v>1</v>
      </c>
      <c r="G531" s="11">
        <v>58823.53</v>
      </c>
    </row>
    <row r="532" spans="2:7" x14ac:dyDescent="0.2">
      <c r="B532" s="32">
        <v>45791</v>
      </c>
      <c r="C532" t="s">
        <v>142</v>
      </c>
      <c r="D532" s="13" t="s">
        <v>633</v>
      </c>
      <c r="E532" t="s">
        <v>176</v>
      </c>
      <c r="F532" s="11">
        <v>1</v>
      </c>
      <c r="G532" s="11">
        <v>58823.53</v>
      </c>
    </row>
    <row r="533" spans="2:7" x14ac:dyDescent="0.2">
      <c r="B533" s="32">
        <v>45791</v>
      </c>
      <c r="C533" t="s">
        <v>142</v>
      </c>
      <c r="D533" s="13" t="s">
        <v>633</v>
      </c>
      <c r="E533" t="s">
        <v>354</v>
      </c>
      <c r="F533" s="11">
        <v>1</v>
      </c>
      <c r="G533" s="11">
        <v>58823.53</v>
      </c>
    </row>
    <row r="534" spans="2:7" x14ac:dyDescent="0.2">
      <c r="B534" s="32">
        <v>45791</v>
      </c>
      <c r="C534" t="s">
        <v>142</v>
      </c>
      <c r="D534" s="13" t="s">
        <v>633</v>
      </c>
      <c r="E534" t="s">
        <v>332</v>
      </c>
      <c r="F534" s="11">
        <v>1</v>
      </c>
      <c r="G534" s="11">
        <v>58823.53</v>
      </c>
    </row>
    <row r="535" spans="2:7" x14ac:dyDescent="0.2">
      <c r="B535" s="32">
        <v>45791</v>
      </c>
      <c r="C535" t="s">
        <v>142</v>
      </c>
      <c r="D535" s="13" t="s">
        <v>633</v>
      </c>
      <c r="E535" t="s">
        <v>212</v>
      </c>
      <c r="F535" s="11">
        <v>1</v>
      </c>
      <c r="G535" s="11">
        <v>53755.89</v>
      </c>
    </row>
    <row r="536" spans="2:7" x14ac:dyDescent="0.2">
      <c r="B536" s="32">
        <v>45791</v>
      </c>
      <c r="C536" t="s">
        <v>142</v>
      </c>
      <c r="D536" s="13" t="s">
        <v>633</v>
      </c>
      <c r="E536" t="s">
        <v>1824</v>
      </c>
      <c r="F536" s="11">
        <v>1</v>
      </c>
      <c r="G536" s="11">
        <v>50420.17</v>
      </c>
    </row>
    <row r="537" spans="2:7" x14ac:dyDescent="0.2">
      <c r="B537" s="32">
        <v>45791</v>
      </c>
      <c r="C537" t="s">
        <v>142</v>
      </c>
      <c r="D537" s="13" t="s">
        <v>633</v>
      </c>
      <c r="E537" t="s">
        <v>195</v>
      </c>
      <c r="F537" s="11">
        <v>1</v>
      </c>
      <c r="G537" s="11">
        <v>46218.49</v>
      </c>
    </row>
    <row r="538" spans="2:7" x14ac:dyDescent="0.2">
      <c r="B538" s="32">
        <v>45791</v>
      </c>
      <c r="C538" t="s">
        <v>142</v>
      </c>
      <c r="D538" s="13" t="s">
        <v>633</v>
      </c>
      <c r="E538" t="s">
        <v>168</v>
      </c>
      <c r="F538" s="11">
        <v>1</v>
      </c>
      <c r="G538" s="11">
        <v>41350.69</v>
      </c>
    </row>
    <row r="539" spans="2:7" x14ac:dyDescent="0.2">
      <c r="B539" s="32">
        <v>45791</v>
      </c>
      <c r="C539" t="s">
        <v>142</v>
      </c>
      <c r="D539" s="13" t="s">
        <v>633</v>
      </c>
      <c r="E539" t="s">
        <v>1822</v>
      </c>
      <c r="F539" s="11">
        <v>4</v>
      </c>
      <c r="G539" s="11">
        <v>33613.449999999997</v>
      </c>
    </row>
    <row r="540" spans="2:7" x14ac:dyDescent="0.2">
      <c r="B540" s="32">
        <v>45791</v>
      </c>
      <c r="C540" t="s">
        <v>142</v>
      </c>
      <c r="D540" s="13" t="s">
        <v>633</v>
      </c>
      <c r="E540" t="s">
        <v>466</v>
      </c>
      <c r="F540" s="11">
        <v>1</v>
      </c>
      <c r="G540" s="11">
        <v>21848.74</v>
      </c>
    </row>
    <row r="541" spans="2:7" x14ac:dyDescent="0.2">
      <c r="B541" s="32">
        <v>45791</v>
      </c>
      <c r="C541" t="s">
        <v>142</v>
      </c>
      <c r="D541" s="13" t="s">
        <v>633</v>
      </c>
      <c r="E541" t="s">
        <v>1796</v>
      </c>
      <c r="F541" s="11">
        <v>1</v>
      </c>
      <c r="G541" s="11">
        <v>21008.400000000001</v>
      </c>
    </row>
    <row r="542" spans="2:7" x14ac:dyDescent="0.2">
      <c r="B542" s="32">
        <v>45791</v>
      </c>
      <c r="C542" t="s">
        <v>142</v>
      </c>
      <c r="D542" s="13" t="s">
        <v>633</v>
      </c>
      <c r="F542" s="11">
        <v>0</v>
      </c>
      <c r="G542" s="11">
        <v>0</v>
      </c>
    </row>
    <row r="543" spans="2:7" x14ac:dyDescent="0.2">
      <c r="B543" s="32">
        <v>45792</v>
      </c>
      <c r="C543" t="s">
        <v>142</v>
      </c>
      <c r="D543" s="13"/>
      <c r="E543" t="s">
        <v>174</v>
      </c>
      <c r="F543" s="11">
        <v>2</v>
      </c>
      <c r="G543" s="11">
        <v>151260.51</v>
      </c>
    </row>
    <row r="544" spans="2:7" x14ac:dyDescent="0.2">
      <c r="B544" s="32">
        <v>45792</v>
      </c>
      <c r="C544" t="s">
        <v>142</v>
      </c>
      <c r="D544" s="13"/>
      <c r="E544" t="s">
        <v>179</v>
      </c>
      <c r="F544" s="11">
        <v>2</v>
      </c>
      <c r="G544" s="11">
        <v>92436.97</v>
      </c>
    </row>
    <row r="545" spans="2:7" x14ac:dyDescent="0.2">
      <c r="B545" s="32">
        <v>45792</v>
      </c>
      <c r="C545" t="s">
        <v>142</v>
      </c>
      <c r="D545" s="13"/>
      <c r="E545" t="s">
        <v>1825</v>
      </c>
      <c r="F545" s="11">
        <v>1</v>
      </c>
      <c r="G545" s="11">
        <v>68754.78</v>
      </c>
    </row>
    <row r="546" spans="2:7" x14ac:dyDescent="0.2">
      <c r="B546" s="32">
        <v>45792</v>
      </c>
      <c r="C546" t="s">
        <v>142</v>
      </c>
      <c r="D546" s="13"/>
      <c r="E546" t="s">
        <v>307</v>
      </c>
      <c r="F546" s="11">
        <v>1</v>
      </c>
      <c r="G546" s="11">
        <v>50420.17</v>
      </c>
    </row>
    <row r="547" spans="2:7" x14ac:dyDescent="0.2">
      <c r="B547" s="32">
        <v>45792</v>
      </c>
      <c r="C547" t="s">
        <v>142</v>
      </c>
      <c r="D547" s="13"/>
      <c r="E547" t="s">
        <v>150</v>
      </c>
      <c r="F547" s="11">
        <v>1</v>
      </c>
      <c r="G547" s="11">
        <v>38197.089999999997</v>
      </c>
    </row>
    <row r="548" spans="2:7" x14ac:dyDescent="0.2">
      <c r="B548" s="32">
        <v>45792</v>
      </c>
      <c r="C548" t="s">
        <v>142</v>
      </c>
      <c r="D548" s="13"/>
      <c r="E548" t="s">
        <v>452</v>
      </c>
      <c r="F548" s="11">
        <v>1</v>
      </c>
      <c r="G548" s="11">
        <v>34377.39</v>
      </c>
    </row>
    <row r="549" spans="2:7" x14ac:dyDescent="0.2">
      <c r="B549" s="32">
        <v>45792</v>
      </c>
      <c r="C549" t="s">
        <v>142</v>
      </c>
      <c r="D549" s="13"/>
      <c r="E549" t="s">
        <v>1818</v>
      </c>
      <c r="F549" s="11">
        <v>1</v>
      </c>
      <c r="G549" s="11">
        <v>34377.39</v>
      </c>
    </row>
    <row r="550" spans="2:7" x14ac:dyDescent="0.2">
      <c r="B550" s="32">
        <v>45792</v>
      </c>
      <c r="C550" t="s">
        <v>142</v>
      </c>
      <c r="D550" s="13"/>
      <c r="E550" t="s">
        <v>293</v>
      </c>
      <c r="F550" s="11">
        <v>1</v>
      </c>
      <c r="G550" s="11">
        <v>34377.379999999997</v>
      </c>
    </row>
    <row r="551" spans="2:7" x14ac:dyDescent="0.2">
      <c r="B551" s="32">
        <v>45792</v>
      </c>
      <c r="C551" t="s">
        <v>142</v>
      </c>
      <c r="D551" s="13"/>
      <c r="F551" s="11">
        <v>1</v>
      </c>
      <c r="G551" s="11">
        <v>29411.759999999998</v>
      </c>
    </row>
    <row r="552" spans="2:7" x14ac:dyDescent="0.2">
      <c r="B552" s="32">
        <v>45792</v>
      </c>
      <c r="C552" t="s">
        <v>142</v>
      </c>
      <c r="D552" s="13" t="s">
        <v>634</v>
      </c>
      <c r="E552" t="s">
        <v>1812</v>
      </c>
      <c r="F552" s="11">
        <v>2</v>
      </c>
      <c r="G552" s="11">
        <v>441176.47</v>
      </c>
    </row>
    <row r="553" spans="2:7" x14ac:dyDescent="0.2">
      <c r="B553" s="32">
        <v>45792</v>
      </c>
      <c r="C553" t="s">
        <v>142</v>
      </c>
      <c r="D553" s="13" t="s">
        <v>634</v>
      </c>
      <c r="E553" t="s">
        <v>186</v>
      </c>
      <c r="F553" s="11">
        <v>3</v>
      </c>
      <c r="G553" s="11">
        <v>252100.84</v>
      </c>
    </row>
    <row r="554" spans="2:7" x14ac:dyDescent="0.2">
      <c r="B554" s="32">
        <v>45792</v>
      </c>
      <c r="C554" t="s">
        <v>142</v>
      </c>
      <c r="D554" s="13" t="s">
        <v>634</v>
      </c>
      <c r="E554" t="s">
        <v>1826</v>
      </c>
      <c r="F554" s="11">
        <v>1</v>
      </c>
      <c r="G554" s="11">
        <v>243697.48</v>
      </c>
    </row>
    <row r="555" spans="2:7" x14ac:dyDescent="0.2">
      <c r="B555" s="32">
        <v>45792</v>
      </c>
      <c r="C555" t="s">
        <v>142</v>
      </c>
      <c r="D555" s="13" t="s">
        <v>634</v>
      </c>
      <c r="E555" t="s">
        <v>1827</v>
      </c>
      <c r="F555" s="11">
        <v>1</v>
      </c>
      <c r="G555" s="11">
        <v>210084.03</v>
      </c>
    </row>
    <row r="556" spans="2:7" x14ac:dyDescent="0.2">
      <c r="B556" s="32">
        <v>45792</v>
      </c>
      <c r="C556" t="s">
        <v>142</v>
      </c>
      <c r="D556" s="13" t="s">
        <v>634</v>
      </c>
      <c r="E556" t="s">
        <v>728</v>
      </c>
      <c r="F556" s="11">
        <v>1</v>
      </c>
      <c r="G556" s="11">
        <v>176470.59</v>
      </c>
    </row>
    <row r="557" spans="2:7" x14ac:dyDescent="0.2">
      <c r="B557" s="32">
        <v>45792</v>
      </c>
      <c r="C557" t="s">
        <v>142</v>
      </c>
      <c r="D557" s="13" t="s">
        <v>634</v>
      </c>
      <c r="E557" t="s">
        <v>1828</v>
      </c>
      <c r="F557" s="11">
        <v>0</v>
      </c>
      <c r="G557" s="11">
        <v>149579.82999999999</v>
      </c>
    </row>
    <row r="558" spans="2:7" x14ac:dyDescent="0.2">
      <c r="B558" s="32">
        <v>45792</v>
      </c>
      <c r="C558" t="s">
        <v>142</v>
      </c>
      <c r="D558" s="13" t="s">
        <v>634</v>
      </c>
      <c r="E558" t="s">
        <v>158</v>
      </c>
      <c r="F558" s="11">
        <v>3</v>
      </c>
      <c r="G558" s="11">
        <v>138655.46</v>
      </c>
    </row>
    <row r="559" spans="2:7" x14ac:dyDescent="0.2">
      <c r="B559" s="32">
        <v>45792</v>
      </c>
      <c r="C559" t="s">
        <v>142</v>
      </c>
      <c r="D559" s="13" t="s">
        <v>634</v>
      </c>
      <c r="E559" t="s">
        <v>191</v>
      </c>
      <c r="F559" s="11">
        <v>1</v>
      </c>
      <c r="G559" s="11">
        <v>130252.1</v>
      </c>
    </row>
    <row r="560" spans="2:7" x14ac:dyDescent="0.2">
      <c r="B560" s="32">
        <v>45792</v>
      </c>
      <c r="C560" t="s">
        <v>142</v>
      </c>
      <c r="D560" s="13" t="s">
        <v>634</v>
      </c>
      <c r="E560" t="s">
        <v>293</v>
      </c>
      <c r="F560" s="11">
        <v>3</v>
      </c>
      <c r="G560" s="11">
        <v>113445.38</v>
      </c>
    </row>
    <row r="561" spans="2:7" x14ac:dyDescent="0.2">
      <c r="B561" s="32">
        <v>45792</v>
      </c>
      <c r="C561" t="s">
        <v>142</v>
      </c>
      <c r="D561" s="13" t="s">
        <v>634</v>
      </c>
      <c r="E561" t="s">
        <v>513</v>
      </c>
      <c r="F561" s="11">
        <v>2</v>
      </c>
      <c r="G561" s="11">
        <v>100840.34</v>
      </c>
    </row>
    <row r="562" spans="2:7" x14ac:dyDescent="0.2">
      <c r="B562" s="32">
        <v>45792</v>
      </c>
      <c r="C562" t="s">
        <v>142</v>
      </c>
      <c r="D562" s="13" t="s">
        <v>634</v>
      </c>
      <c r="F562" s="11">
        <v>4</v>
      </c>
      <c r="G562" s="11">
        <v>96638.65</v>
      </c>
    </row>
    <row r="563" spans="2:7" x14ac:dyDescent="0.2">
      <c r="B563" s="32">
        <v>45792</v>
      </c>
      <c r="C563" t="s">
        <v>142</v>
      </c>
      <c r="D563" s="13" t="s">
        <v>634</v>
      </c>
      <c r="E563" t="s">
        <v>168</v>
      </c>
      <c r="F563" s="11">
        <v>2</v>
      </c>
      <c r="G563" s="11">
        <v>84033.62</v>
      </c>
    </row>
    <row r="564" spans="2:7" x14ac:dyDescent="0.2">
      <c r="B564" s="32">
        <v>45792</v>
      </c>
      <c r="C564" t="s">
        <v>142</v>
      </c>
      <c r="D564" s="13" t="s">
        <v>634</v>
      </c>
      <c r="E564" t="s">
        <v>163</v>
      </c>
      <c r="F564" s="11">
        <v>1</v>
      </c>
      <c r="G564" s="11">
        <v>84033.61</v>
      </c>
    </row>
    <row r="565" spans="2:7" x14ac:dyDescent="0.2">
      <c r="B565" s="32">
        <v>45792</v>
      </c>
      <c r="C565" t="s">
        <v>142</v>
      </c>
      <c r="D565" s="13" t="s">
        <v>634</v>
      </c>
      <c r="E565" t="s">
        <v>588</v>
      </c>
      <c r="F565" s="11">
        <v>1</v>
      </c>
      <c r="G565" s="11">
        <v>79831.929999999993</v>
      </c>
    </row>
    <row r="566" spans="2:7" x14ac:dyDescent="0.2">
      <c r="B566" s="32">
        <v>45792</v>
      </c>
      <c r="C566" t="s">
        <v>142</v>
      </c>
      <c r="D566" s="13" t="s">
        <v>634</v>
      </c>
      <c r="E566" t="s">
        <v>174</v>
      </c>
      <c r="F566" s="11">
        <v>1</v>
      </c>
      <c r="G566" s="11">
        <v>75630.25</v>
      </c>
    </row>
    <row r="567" spans="2:7" x14ac:dyDescent="0.2">
      <c r="B567" s="32">
        <v>45792</v>
      </c>
      <c r="C567" t="s">
        <v>142</v>
      </c>
      <c r="D567" s="13" t="s">
        <v>634</v>
      </c>
      <c r="E567" t="s">
        <v>347</v>
      </c>
      <c r="F567" s="11">
        <v>1</v>
      </c>
      <c r="G567" s="11">
        <v>75630.240000000005</v>
      </c>
    </row>
    <row r="568" spans="2:7" x14ac:dyDescent="0.2">
      <c r="B568" s="32">
        <v>45792</v>
      </c>
      <c r="C568" t="s">
        <v>142</v>
      </c>
      <c r="D568" s="13" t="s">
        <v>634</v>
      </c>
      <c r="E568" t="s">
        <v>430</v>
      </c>
      <c r="F568" s="11">
        <v>1</v>
      </c>
      <c r="G568" s="11">
        <v>58823.53</v>
      </c>
    </row>
    <row r="569" spans="2:7" x14ac:dyDescent="0.2">
      <c r="B569" s="32">
        <v>45792</v>
      </c>
      <c r="C569" t="s">
        <v>142</v>
      </c>
      <c r="D569" s="13" t="s">
        <v>634</v>
      </c>
      <c r="E569" t="s">
        <v>809</v>
      </c>
      <c r="F569" s="11">
        <v>1</v>
      </c>
      <c r="G569" s="11">
        <v>58823.53</v>
      </c>
    </row>
    <row r="570" spans="2:7" x14ac:dyDescent="0.2">
      <c r="B570" s="32">
        <v>45792</v>
      </c>
      <c r="C570" t="s">
        <v>142</v>
      </c>
      <c r="D570" s="13" t="s">
        <v>634</v>
      </c>
      <c r="E570" t="s">
        <v>335</v>
      </c>
      <c r="F570" s="11">
        <v>1</v>
      </c>
      <c r="G570" s="11">
        <v>58823.53</v>
      </c>
    </row>
    <row r="571" spans="2:7" x14ac:dyDescent="0.2">
      <c r="B571" s="32">
        <v>45792</v>
      </c>
      <c r="C571" t="s">
        <v>142</v>
      </c>
      <c r="D571" s="13" t="s">
        <v>634</v>
      </c>
      <c r="E571" t="s">
        <v>653</v>
      </c>
      <c r="F571" s="11">
        <v>1</v>
      </c>
      <c r="G571" s="11">
        <v>58823.53</v>
      </c>
    </row>
    <row r="572" spans="2:7" x14ac:dyDescent="0.2">
      <c r="B572" s="32">
        <v>45792</v>
      </c>
      <c r="C572" t="s">
        <v>142</v>
      </c>
      <c r="D572" s="13" t="s">
        <v>634</v>
      </c>
      <c r="E572" t="s">
        <v>259</v>
      </c>
      <c r="F572" s="11">
        <v>1</v>
      </c>
      <c r="G572" s="11">
        <v>58823.53</v>
      </c>
    </row>
    <row r="573" spans="2:7" x14ac:dyDescent="0.2">
      <c r="B573" s="32">
        <v>45792</v>
      </c>
      <c r="C573" t="s">
        <v>142</v>
      </c>
      <c r="D573" s="13" t="s">
        <v>634</v>
      </c>
      <c r="E573" t="s">
        <v>212</v>
      </c>
      <c r="F573" s="11">
        <v>1</v>
      </c>
      <c r="G573" s="11">
        <v>54621.85</v>
      </c>
    </row>
    <row r="574" spans="2:7" x14ac:dyDescent="0.2">
      <c r="B574" s="32">
        <v>45792</v>
      </c>
      <c r="C574" t="s">
        <v>142</v>
      </c>
      <c r="D574" s="13" t="s">
        <v>634</v>
      </c>
      <c r="E574" t="s">
        <v>407</v>
      </c>
      <c r="F574" s="11">
        <v>1</v>
      </c>
      <c r="G574" s="11">
        <v>54621.85</v>
      </c>
    </row>
    <row r="575" spans="2:7" x14ac:dyDescent="0.2">
      <c r="B575" s="32">
        <v>45792</v>
      </c>
      <c r="C575" t="s">
        <v>142</v>
      </c>
      <c r="D575" s="13" t="s">
        <v>634</v>
      </c>
      <c r="E575" t="s">
        <v>1829</v>
      </c>
      <c r="F575" s="11">
        <v>1</v>
      </c>
      <c r="G575" s="11">
        <v>54621.85</v>
      </c>
    </row>
    <row r="576" spans="2:7" x14ac:dyDescent="0.2">
      <c r="B576" s="32">
        <v>45792</v>
      </c>
      <c r="C576" t="s">
        <v>142</v>
      </c>
      <c r="D576" s="13" t="s">
        <v>634</v>
      </c>
      <c r="E576" t="s">
        <v>704</v>
      </c>
      <c r="F576" s="11">
        <v>1</v>
      </c>
      <c r="G576" s="11">
        <v>46218.49</v>
      </c>
    </row>
    <row r="577" spans="2:7" x14ac:dyDescent="0.2">
      <c r="B577" s="32">
        <v>45792</v>
      </c>
      <c r="C577" t="s">
        <v>142</v>
      </c>
      <c r="D577" s="13" t="s">
        <v>634</v>
      </c>
      <c r="E577" t="s">
        <v>166</v>
      </c>
      <c r="F577" s="11">
        <v>1</v>
      </c>
      <c r="G577" s="11">
        <v>42016.81</v>
      </c>
    </row>
    <row r="578" spans="2:7" x14ac:dyDescent="0.2">
      <c r="B578" s="32">
        <v>45792</v>
      </c>
      <c r="C578" t="s">
        <v>142</v>
      </c>
      <c r="D578" s="13" t="s">
        <v>634</v>
      </c>
      <c r="E578" t="s">
        <v>153</v>
      </c>
      <c r="F578" s="11">
        <v>1</v>
      </c>
      <c r="G578" s="11">
        <v>40336.129999999997</v>
      </c>
    </row>
    <row r="579" spans="2:7" x14ac:dyDescent="0.2">
      <c r="B579" s="32">
        <v>45792</v>
      </c>
      <c r="C579" t="s">
        <v>142</v>
      </c>
      <c r="D579" s="13" t="s">
        <v>634</v>
      </c>
      <c r="E579" t="s">
        <v>1750</v>
      </c>
      <c r="F579" s="11">
        <v>1</v>
      </c>
      <c r="G579" s="11">
        <v>21008.400000000001</v>
      </c>
    </row>
    <row r="580" spans="2:7" x14ac:dyDescent="0.2">
      <c r="B580" s="32">
        <v>45792</v>
      </c>
      <c r="C580" t="s">
        <v>142</v>
      </c>
      <c r="D580" s="13" t="s">
        <v>634</v>
      </c>
      <c r="E580" t="s">
        <v>1822</v>
      </c>
      <c r="F580" s="11">
        <v>1</v>
      </c>
      <c r="G580" s="11">
        <v>16806.72</v>
      </c>
    </row>
    <row r="581" spans="2:7" x14ac:dyDescent="0.2">
      <c r="B581" s="32">
        <v>45792</v>
      </c>
      <c r="C581" t="s">
        <v>142</v>
      </c>
      <c r="D581" s="13" t="s">
        <v>634</v>
      </c>
      <c r="E581" t="s">
        <v>1751</v>
      </c>
      <c r="F581" s="11">
        <v>1</v>
      </c>
      <c r="G581" s="11">
        <v>13445.38</v>
      </c>
    </row>
    <row r="582" spans="2:7" x14ac:dyDescent="0.2">
      <c r="B582" s="32">
        <v>45792</v>
      </c>
      <c r="C582" t="s">
        <v>142</v>
      </c>
      <c r="D582" s="13" t="s">
        <v>634</v>
      </c>
      <c r="E582" t="s">
        <v>1774</v>
      </c>
      <c r="F582" s="11">
        <v>1</v>
      </c>
      <c r="G582" s="11">
        <v>13445.38</v>
      </c>
    </row>
    <row r="583" spans="2:7" x14ac:dyDescent="0.2">
      <c r="B583" s="32">
        <v>45792</v>
      </c>
      <c r="C583" t="s">
        <v>142</v>
      </c>
      <c r="D583" s="13" t="s">
        <v>633</v>
      </c>
      <c r="E583" t="s">
        <v>1760</v>
      </c>
      <c r="F583" s="11">
        <v>2</v>
      </c>
      <c r="G583" s="11">
        <v>151260.5</v>
      </c>
    </row>
    <row r="584" spans="2:7" x14ac:dyDescent="0.2">
      <c r="B584" s="32">
        <v>45792</v>
      </c>
      <c r="C584" t="s">
        <v>142</v>
      </c>
      <c r="D584" s="13" t="s">
        <v>633</v>
      </c>
      <c r="E584" t="s">
        <v>1830</v>
      </c>
      <c r="F584" s="11">
        <v>1</v>
      </c>
      <c r="G584" s="11">
        <v>117647.06</v>
      </c>
    </row>
    <row r="585" spans="2:7" x14ac:dyDescent="0.2">
      <c r="B585" s="32">
        <v>45792</v>
      </c>
      <c r="C585" t="s">
        <v>142</v>
      </c>
      <c r="D585" s="13" t="s">
        <v>633</v>
      </c>
      <c r="E585" t="s">
        <v>1713</v>
      </c>
      <c r="F585" s="11">
        <v>1</v>
      </c>
      <c r="G585" s="11">
        <v>96638.66</v>
      </c>
    </row>
    <row r="586" spans="2:7" x14ac:dyDescent="0.2">
      <c r="B586" s="32">
        <v>45792</v>
      </c>
      <c r="C586" t="s">
        <v>142</v>
      </c>
      <c r="D586" s="13" t="s">
        <v>633</v>
      </c>
      <c r="E586" t="s">
        <v>1831</v>
      </c>
      <c r="F586" s="11">
        <v>2</v>
      </c>
      <c r="G586" s="11">
        <v>75630.259999999995</v>
      </c>
    </row>
    <row r="587" spans="2:7" x14ac:dyDescent="0.2">
      <c r="B587" s="32">
        <v>45792</v>
      </c>
      <c r="C587" t="s">
        <v>142</v>
      </c>
      <c r="D587" s="13" t="s">
        <v>633</v>
      </c>
      <c r="E587" t="s">
        <v>340</v>
      </c>
      <c r="F587" s="11">
        <v>1</v>
      </c>
      <c r="G587" s="11">
        <v>75630.240000000005</v>
      </c>
    </row>
    <row r="588" spans="2:7" x14ac:dyDescent="0.2">
      <c r="B588" s="32">
        <v>45792</v>
      </c>
      <c r="C588" t="s">
        <v>142</v>
      </c>
      <c r="D588" s="13" t="s">
        <v>633</v>
      </c>
      <c r="E588" t="s">
        <v>475</v>
      </c>
      <c r="F588" s="11">
        <v>1</v>
      </c>
      <c r="G588" s="11">
        <v>71428.570000000007</v>
      </c>
    </row>
    <row r="589" spans="2:7" x14ac:dyDescent="0.2">
      <c r="B589" s="32">
        <v>45792</v>
      </c>
      <c r="C589" t="s">
        <v>142</v>
      </c>
      <c r="D589" s="13" t="s">
        <v>633</v>
      </c>
      <c r="E589" t="s">
        <v>1832</v>
      </c>
      <c r="F589" s="11">
        <v>6</v>
      </c>
      <c r="G589" s="11">
        <v>69327.73</v>
      </c>
    </row>
    <row r="590" spans="2:7" x14ac:dyDescent="0.2">
      <c r="B590" s="32">
        <v>45792</v>
      </c>
      <c r="C590" t="s">
        <v>142</v>
      </c>
      <c r="D590" s="13" t="s">
        <v>633</v>
      </c>
      <c r="E590" t="s">
        <v>820</v>
      </c>
      <c r="F590" s="11">
        <v>1</v>
      </c>
      <c r="G590" s="11">
        <v>67226.89</v>
      </c>
    </row>
    <row r="591" spans="2:7" x14ac:dyDescent="0.2">
      <c r="B591" s="32">
        <v>45792</v>
      </c>
      <c r="C591" t="s">
        <v>142</v>
      </c>
      <c r="D591" s="13" t="s">
        <v>633</v>
      </c>
      <c r="E591" t="s">
        <v>352</v>
      </c>
      <c r="F591" s="11">
        <v>1</v>
      </c>
      <c r="G591" s="11">
        <v>63025.21</v>
      </c>
    </row>
    <row r="592" spans="2:7" x14ac:dyDescent="0.2">
      <c r="B592" s="32">
        <v>45792</v>
      </c>
      <c r="C592" t="s">
        <v>142</v>
      </c>
      <c r="D592" s="13" t="s">
        <v>633</v>
      </c>
      <c r="E592" t="s">
        <v>181</v>
      </c>
      <c r="F592" s="11">
        <v>1</v>
      </c>
      <c r="G592" s="11">
        <v>58823.53</v>
      </c>
    </row>
    <row r="593" spans="2:7" x14ac:dyDescent="0.2">
      <c r="B593" s="32">
        <v>45792</v>
      </c>
      <c r="C593" t="s">
        <v>142</v>
      </c>
      <c r="D593" s="13" t="s">
        <v>633</v>
      </c>
      <c r="E593" t="s">
        <v>746</v>
      </c>
      <c r="F593" s="11">
        <v>1</v>
      </c>
      <c r="G593" s="11">
        <v>54621.85</v>
      </c>
    </row>
    <row r="594" spans="2:7" x14ac:dyDescent="0.2">
      <c r="B594" s="32">
        <v>45792</v>
      </c>
      <c r="C594" t="s">
        <v>142</v>
      </c>
      <c r="D594" s="13" t="s">
        <v>633</v>
      </c>
      <c r="E594" t="s">
        <v>1829</v>
      </c>
      <c r="F594" s="11">
        <v>1</v>
      </c>
      <c r="G594" s="11">
        <v>54621.84</v>
      </c>
    </row>
    <row r="595" spans="2:7" x14ac:dyDescent="0.2">
      <c r="B595" s="32">
        <v>45792</v>
      </c>
      <c r="C595" t="s">
        <v>142</v>
      </c>
      <c r="D595" s="13" t="s">
        <v>633</v>
      </c>
      <c r="E595" t="s">
        <v>495</v>
      </c>
      <c r="F595" s="11">
        <v>1</v>
      </c>
      <c r="G595" s="11">
        <v>54025.96</v>
      </c>
    </row>
    <row r="596" spans="2:7" x14ac:dyDescent="0.2">
      <c r="B596" s="32">
        <v>45792</v>
      </c>
      <c r="C596" t="s">
        <v>142</v>
      </c>
      <c r="D596" s="13" t="s">
        <v>633</v>
      </c>
      <c r="E596" t="s">
        <v>616</v>
      </c>
      <c r="F596" s="11">
        <v>1</v>
      </c>
      <c r="G596" s="11">
        <v>54025.96</v>
      </c>
    </row>
    <row r="597" spans="2:7" x14ac:dyDescent="0.2">
      <c r="B597" s="32">
        <v>45792</v>
      </c>
      <c r="C597" t="s">
        <v>142</v>
      </c>
      <c r="D597" s="13" t="s">
        <v>633</v>
      </c>
      <c r="E597" t="s">
        <v>303</v>
      </c>
      <c r="F597" s="11">
        <v>1</v>
      </c>
      <c r="G597" s="11">
        <v>50420.17</v>
      </c>
    </row>
    <row r="598" spans="2:7" x14ac:dyDescent="0.2">
      <c r="B598" s="32">
        <v>45792</v>
      </c>
      <c r="C598" t="s">
        <v>142</v>
      </c>
      <c r="D598" s="13" t="s">
        <v>633</v>
      </c>
      <c r="E598" t="s">
        <v>1833</v>
      </c>
      <c r="F598" s="11">
        <v>1</v>
      </c>
      <c r="G598" s="11">
        <v>50420.17</v>
      </c>
    </row>
    <row r="599" spans="2:7" x14ac:dyDescent="0.2">
      <c r="B599" s="32">
        <v>45792</v>
      </c>
      <c r="C599" t="s">
        <v>142</v>
      </c>
      <c r="D599" s="13" t="s">
        <v>633</v>
      </c>
      <c r="E599" t="s">
        <v>504</v>
      </c>
      <c r="F599" s="11">
        <v>1</v>
      </c>
      <c r="G599" s="11">
        <v>50420.17</v>
      </c>
    </row>
    <row r="600" spans="2:7" x14ac:dyDescent="0.2">
      <c r="B600" s="32">
        <v>45792</v>
      </c>
      <c r="C600" t="s">
        <v>142</v>
      </c>
      <c r="D600" s="13" t="s">
        <v>633</v>
      </c>
      <c r="E600" t="s">
        <v>307</v>
      </c>
      <c r="F600" s="11">
        <v>1</v>
      </c>
      <c r="G600" s="11">
        <v>50420.17</v>
      </c>
    </row>
    <row r="601" spans="2:7" x14ac:dyDescent="0.2">
      <c r="B601" s="32">
        <v>45792</v>
      </c>
      <c r="C601" t="s">
        <v>142</v>
      </c>
      <c r="D601" s="13" t="s">
        <v>633</v>
      </c>
      <c r="E601" t="s">
        <v>350</v>
      </c>
      <c r="F601" s="11">
        <v>1</v>
      </c>
      <c r="G601" s="11">
        <v>46218.49</v>
      </c>
    </row>
    <row r="602" spans="2:7" x14ac:dyDescent="0.2">
      <c r="B602" s="32">
        <v>45792</v>
      </c>
      <c r="C602" t="s">
        <v>142</v>
      </c>
      <c r="D602" s="13" t="s">
        <v>633</v>
      </c>
      <c r="E602" t="s">
        <v>1771</v>
      </c>
      <c r="F602" s="11">
        <v>1</v>
      </c>
      <c r="G602" s="11">
        <v>46218.49</v>
      </c>
    </row>
    <row r="603" spans="2:7" x14ac:dyDescent="0.2">
      <c r="B603" s="32">
        <v>45792</v>
      </c>
      <c r="C603" t="s">
        <v>142</v>
      </c>
      <c r="D603" s="13" t="s">
        <v>633</v>
      </c>
      <c r="E603" t="s">
        <v>160</v>
      </c>
      <c r="F603" s="11">
        <v>1</v>
      </c>
      <c r="G603" s="11">
        <v>45714.29</v>
      </c>
    </row>
    <row r="604" spans="2:7" x14ac:dyDescent="0.2">
      <c r="B604" s="32">
        <v>45792</v>
      </c>
      <c r="C604" t="s">
        <v>142</v>
      </c>
      <c r="D604" s="13" t="s">
        <v>633</v>
      </c>
      <c r="E604" t="s">
        <v>1834</v>
      </c>
      <c r="F604" s="11">
        <v>1</v>
      </c>
      <c r="G604" s="11">
        <v>42016.81</v>
      </c>
    </row>
    <row r="605" spans="2:7" x14ac:dyDescent="0.2">
      <c r="B605" s="32">
        <v>45792</v>
      </c>
      <c r="C605" t="s">
        <v>142</v>
      </c>
      <c r="D605" s="13" t="s">
        <v>633</v>
      </c>
      <c r="E605" t="s">
        <v>240</v>
      </c>
      <c r="F605" s="11">
        <v>1</v>
      </c>
      <c r="G605" s="11">
        <v>42016.81</v>
      </c>
    </row>
    <row r="606" spans="2:7" x14ac:dyDescent="0.2">
      <c r="B606" s="32">
        <v>45792</v>
      </c>
      <c r="C606" t="s">
        <v>142</v>
      </c>
      <c r="D606" s="13" t="s">
        <v>633</v>
      </c>
      <c r="E606" t="s">
        <v>179</v>
      </c>
      <c r="F606" s="11">
        <v>1</v>
      </c>
      <c r="G606" s="11">
        <v>42016.81</v>
      </c>
    </row>
    <row r="607" spans="2:7" x14ac:dyDescent="0.2">
      <c r="B607" s="32">
        <v>45792</v>
      </c>
      <c r="C607" t="s">
        <v>142</v>
      </c>
      <c r="D607" s="13" t="s">
        <v>633</v>
      </c>
      <c r="E607" t="s">
        <v>203</v>
      </c>
      <c r="F607" s="11">
        <v>1</v>
      </c>
      <c r="G607" s="11">
        <v>42016.81</v>
      </c>
    </row>
    <row r="608" spans="2:7" x14ac:dyDescent="0.2">
      <c r="B608" s="32">
        <v>45792</v>
      </c>
      <c r="C608" t="s">
        <v>142</v>
      </c>
      <c r="D608" s="13" t="s">
        <v>633</v>
      </c>
      <c r="E608" t="s">
        <v>1818</v>
      </c>
      <c r="F608" s="11">
        <v>1</v>
      </c>
      <c r="G608" s="11">
        <v>42016.81</v>
      </c>
    </row>
    <row r="609" spans="2:7" x14ac:dyDescent="0.2">
      <c r="B609" s="32">
        <v>45792</v>
      </c>
      <c r="C609" t="s">
        <v>142</v>
      </c>
      <c r="D609" s="13" t="s">
        <v>633</v>
      </c>
      <c r="E609" t="s">
        <v>293</v>
      </c>
      <c r="F609" s="11">
        <v>1</v>
      </c>
      <c r="G609" s="11">
        <v>37815.120000000003</v>
      </c>
    </row>
    <row r="610" spans="2:7" x14ac:dyDescent="0.2">
      <c r="B610" s="32">
        <v>45792</v>
      </c>
      <c r="C610" t="s">
        <v>142</v>
      </c>
      <c r="D610" s="13" t="s">
        <v>633</v>
      </c>
      <c r="E610" t="s">
        <v>328</v>
      </c>
      <c r="F610" s="11">
        <v>1</v>
      </c>
      <c r="G610" s="11">
        <v>37402.61</v>
      </c>
    </row>
    <row r="611" spans="2:7" x14ac:dyDescent="0.2">
      <c r="B611" s="32">
        <v>45792</v>
      </c>
      <c r="C611" t="s">
        <v>142</v>
      </c>
      <c r="D611" s="13" t="s">
        <v>633</v>
      </c>
      <c r="E611" t="s">
        <v>148</v>
      </c>
      <c r="F611" s="11">
        <v>1</v>
      </c>
      <c r="G611" s="11">
        <v>37402.61</v>
      </c>
    </row>
    <row r="612" spans="2:7" x14ac:dyDescent="0.2">
      <c r="B612" s="32">
        <v>45792</v>
      </c>
      <c r="C612" t="s">
        <v>142</v>
      </c>
      <c r="D612" s="13" t="s">
        <v>633</v>
      </c>
      <c r="E612" t="s">
        <v>1813</v>
      </c>
      <c r="F612" s="11">
        <v>1</v>
      </c>
      <c r="G612" s="11">
        <v>21848.74</v>
      </c>
    </row>
    <row r="613" spans="2:7" x14ac:dyDescent="0.2">
      <c r="B613" s="32">
        <v>45792</v>
      </c>
      <c r="C613" t="s">
        <v>142</v>
      </c>
      <c r="D613" s="13" t="s">
        <v>633</v>
      </c>
      <c r="E613" t="s">
        <v>831</v>
      </c>
      <c r="F613" s="11">
        <v>2</v>
      </c>
      <c r="G613" s="11">
        <v>1.68</v>
      </c>
    </row>
    <row r="614" spans="2:7" x14ac:dyDescent="0.2">
      <c r="B614" s="32">
        <v>45792</v>
      </c>
      <c r="C614" t="s">
        <v>142</v>
      </c>
      <c r="D614" s="13" t="s">
        <v>633</v>
      </c>
      <c r="F614" s="11">
        <v>0</v>
      </c>
      <c r="G614" s="11">
        <v>0</v>
      </c>
    </row>
    <row r="615" spans="2:7" x14ac:dyDescent="0.2">
      <c r="B615" s="32">
        <v>45792</v>
      </c>
      <c r="C615" t="s">
        <v>142</v>
      </c>
      <c r="D615" s="13" t="s">
        <v>633</v>
      </c>
      <c r="E615" t="s">
        <v>1835</v>
      </c>
      <c r="F615" s="11">
        <v>0</v>
      </c>
      <c r="G615" s="11">
        <v>-176470.59</v>
      </c>
    </row>
    <row r="616" spans="2:7" x14ac:dyDescent="0.2">
      <c r="B616" s="32">
        <v>45793</v>
      </c>
      <c r="C616" t="s">
        <v>142</v>
      </c>
      <c r="D616" s="13" t="s">
        <v>634</v>
      </c>
      <c r="E616" t="s">
        <v>487</v>
      </c>
      <c r="F616" s="11">
        <v>1</v>
      </c>
      <c r="G616" s="11">
        <v>124369.75</v>
      </c>
    </row>
    <row r="617" spans="2:7" x14ac:dyDescent="0.2">
      <c r="B617" s="32">
        <v>45793</v>
      </c>
      <c r="C617" t="s">
        <v>142</v>
      </c>
      <c r="D617" s="13" t="s">
        <v>634</v>
      </c>
      <c r="E617" t="s">
        <v>334</v>
      </c>
      <c r="F617" s="11">
        <v>1</v>
      </c>
      <c r="G617" s="11">
        <v>71428.570000000007</v>
      </c>
    </row>
    <row r="618" spans="2:7" x14ac:dyDescent="0.2">
      <c r="B618" s="32">
        <v>45793</v>
      </c>
      <c r="C618" t="s">
        <v>142</v>
      </c>
      <c r="D618" s="13" t="s">
        <v>634</v>
      </c>
      <c r="E618" t="s">
        <v>827</v>
      </c>
      <c r="F618" s="11">
        <v>1</v>
      </c>
      <c r="G618" s="11">
        <v>67226.89</v>
      </c>
    </row>
    <row r="619" spans="2:7" x14ac:dyDescent="0.2">
      <c r="B619" s="32">
        <v>45793</v>
      </c>
      <c r="C619" t="s">
        <v>142</v>
      </c>
      <c r="D619" s="13" t="s">
        <v>634</v>
      </c>
      <c r="E619" t="s">
        <v>258</v>
      </c>
      <c r="F619" s="11">
        <v>1</v>
      </c>
      <c r="G619" s="11">
        <v>54621.85</v>
      </c>
    </row>
    <row r="620" spans="2:7" x14ac:dyDescent="0.2">
      <c r="B620" s="32">
        <v>45793</v>
      </c>
      <c r="C620" t="s">
        <v>142</v>
      </c>
      <c r="D620" s="13" t="s">
        <v>634</v>
      </c>
      <c r="E620" t="s">
        <v>166</v>
      </c>
      <c r="F620" s="11">
        <v>1</v>
      </c>
      <c r="G620" s="11">
        <v>42016.81</v>
      </c>
    </row>
    <row r="621" spans="2:7" x14ac:dyDescent="0.2">
      <c r="B621" s="32">
        <v>45793</v>
      </c>
      <c r="C621" t="s">
        <v>142</v>
      </c>
      <c r="D621" s="13" t="s">
        <v>634</v>
      </c>
      <c r="F621" s="11">
        <v>0</v>
      </c>
      <c r="G621" s="11">
        <v>0</v>
      </c>
    </row>
    <row r="622" spans="2:7" x14ac:dyDescent="0.2">
      <c r="B622" s="32">
        <v>45793</v>
      </c>
      <c r="C622" t="s">
        <v>142</v>
      </c>
      <c r="D622" s="13" t="s">
        <v>633</v>
      </c>
      <c r="E622" t="s">
        <v>1832</v>
      </c>
      <c r="F622" s="11">
        <v>55</v>
      </c>
      <c r="G622" s="11">
        <v>1168773.1100000001</v>
      </c>
    </row>
    <row r="623" spans="2:7" x14ac:dyDescent="0.2">
      <c r="B623" s="32">
        <v>45793</v>
      </c>
      <c r="C623" t="s">
        <v>142</v>
      </c>
      <c r="D623" s="13" t="s">
        <v>633</v>
      </c>
      <c r="E623" t="s">
        <v>1836</v>
      </c>
      <c r="F623" s="11">
        <v>20</v>
      </c>
      <c r="G623" s="11">
        <v>285714.28999999998</v>
      </c>
    </row>
    <row r="624" spans="2:7" x14ac:dyDescent="0.2">
      <c r="B624" s="32">
        <v>45793</v>
      </c>
      <c r="C624" t="s">
        <v>142</v>
      </c>
      <c r="D624" s="13" t="s">
        <v>633</v>
      </c>
      <c r="E624" t="s">
        <v>1800</v>
      </c>
      <c r="F624" s="11">
        <v>1</v>
      </c>
      <c r="G624" s="11">
        <v>186554.62</v>
      </c>
    </row>
    <row r="625" spans="2:7" x14ac:dyDescent="0.2">
      <c r="B625" s="32">
        <v>45793</v>
      </c>
      <c r="C625" t="s">
        <v>142</v>
      </c>
      <c r="D625" s="13" t="s">
        <v>633</v>
      </c>
      <c r="E625" t="s">
        <v>154</v>
      </c>
      <c r="F625" s="11">
        <v>1</v>
      </c>
      <c r="G625" s="11">
        <v>82352.94</v>
      </c>
    </row>
    <row r="626" spans="2:7" x14ac:dyDescent="0.2">
      <c r="B626" s="32">
        <v>45793</v>
      </c>
      <c r="C626" t="s">
        <v>142</v>
      </c>
      <c r="D626" s="13" t="s">
        <v>633</v>
      </c>
      <c r="E626" t="s">
        <v>169</v>
      </c>
      <c r="F626" s="11">
        <v>1</v>
      </c>
      <c r="G626" s="11">
        <v>82352.94</v>
      </c>
    </row>
    <row r="627" spans="2:7" x14ac:dyDescent="0.2">
      <c r="B627" s="32">
        <v>45793</v>
      </c>
      <c r="C627" t="s">
        <v>142</v>
      </c>
      <c r="D627" s="13" t="s">
        <v>633</v>
      </c>
      <c r="E627" t="s">
        <v>476</v>
      </c>
      <c r="F627" s="11">
        <v>1</v>
      </c>
      <c r="G627" s="11">
        <v>82352.94</v>
      </c>
    </row>
    <row r="628" spans="2:7" x14ac:dyDescent="0.2">
      <c r="B628" s="32">
        <v>45793</v>
      </c>
      <c r="C628" t="s">
        <v>142</v>
      </c>
      <c r="D628" s="13" t="s">
        <v>633</v>
      </c>
      <c r="E628" t="s">
        <v>185</v>
      </c>
      <c r="F628" s="11">
        <v>1</v>
      </c>
      <c r="G628" s="11">
        <v>82352.94</v>
      </c>
    </row>
    <row r="629" spans="2:7" x14ac:dyDescent="0.2">
      <c r="B629" s="32">
        <v>45793</v>
      </c>
      <c r="C629" t="s">
        <v>142</v>
      </c>
      <c r="D629" s="13" t="s">
        <v>633</v>
      </c>
      <c r="E629" t="s">
        <v>283</v>
      </c>
      <c r="F629" s="11">
        <v>1</v>
      </c>
      <c r="G629" s="11">
        <v>54621.85</v>
      </c>
    </row>
    <row r="630" spans="2:7" x14ac:dyDescent="0.2">
      <c r="B630" s="32">
        <v>45793</v>
      </c>
      <c r="C630" t="s">
        <v>142</v>
      </c>
      <c r="D630" s="13" t="s">
        <v>633</v>
      </c>
      <c r="E630" t="s">
        <v>160</v>
      </c>
      <c r="F630" s="11">
        <v>1</v>
      </c>
      <c r="G630" s="11">
        <v>46218.49</v>
      </c>
    </row>
    <row r="631" spans="2:7" x14ac:dyDescent="0.2">
      <c r="B631" s="32">
        <v>45793</v>
      </c>
      <c r="C631" t="s">
        <v>142</v>
      </c>
      <c r="D631" s="13" t="s">
        <v>633</v>
      </c>
      <c r="F631" s="11">
        <v>2</v>
      </c>
      <c r="G631" s="11">
        <v>42016.81</v>
      </c>
    </row>
    <row r="632" spans="2:7" x14ac:dyDescent="0.2">
      <c r="B632" s="32">
        <v>45793</v>
      </c>
      <c r="C632" t="s">
        <v>142</v>
      </c>
      <c r="D632" s="13" t="s">
        <v>633</v>
      </c>
      <c r="E632" t="s">
        <v>240</v>
      </c>
      <c r="F632" s="11">
        <v>1</v>
      </c>
      <c r="G632" s="11">
        <v>42016.800000000003</v>
      </c>
    </row>
    <row r="633" spans="2:7" x14ac:dyDescent="0.2">
      <c r="B633" s="32">
        <v>45793</v>
      </c>
      <c r="C633" t="s">
        <v>142</v>
      </c>
      <c r="D633" s="13" t="s">
        <v>633</v>
      </c>
      <c r="E633" t="s">
        <v>293</v>
      </c>
      <c r="F633" s="11">
        <v>1</v>
      </c>
      <c r="G633" s="11">
        <v>37815.120000000003</v>
      </c>
    </row>
    <row r="634" spans="2:7" x14ac:dyDescent="0.2">
      <c r="B634" s="32">
        <v>45793</v>
      </c>
      <c r="C634" t="s">
        <v>142</v>
      </c>
      <c r="D634" s="13" t="s">
        <v>633</v>
      </c>
      <c r="E634" t="s">
        <v>831</v>
      </c>
      <c r="F634" s="11">
        <v>1</v>
      </c>
      <c r="G634" s="11">
        <v>0.84</v>
      </c>
    </row>
    <row r="635" spans="2:7" x14ac:dyDescent="0.2">
      <c r="B635" s="32">
        <v>45794</v>
      </c>
      <c r="C635" t="s">
        <v>142</v>
      </c>
      <c r="D635" s="13" t="s">
        <v>634</v>
      </c>
      <c r="E635" t="s">
        <v>410</v>
      </c>
      <c r="F635" s="11">
        <v>1</v>
      </c>
      <c r="G635" s="11">
        <v>88235.29</v>
      </c>
    </row>
    <row r="636" spans="2:7" x14ac:dyDescent="0.2">
      <c r="B636" s="32">
        <v>45794</v>
      </c>
      <c r="C636" t="s">
        <v>142</v>
      </c>
      <c r="D636" s="13" t="s">
        <v>634</v>
      </c>
      <c r="E636" t="s">
        <v>174</v>
      </c>
      <c r="F636" s="11">
        <v>1</v>
      </c>
      <c r="G636" s="11">
        <v>75630.25</v>
      </c>
    </row>
    <row r="637" spans="2:7" x14ac:dyDescent="0.2">
      <c r="B637" s="32">
        <v>45794</v>
      </c>
      <c r="C637" t="s">
        <v>142</v>
      </c>
      <c r="D637" s="13" t="s">
        <v>634</v>
      </c>
      <c r="E637" t="s">
        <v>368</v>
      </c>
      <c r="F637" s="11">
        <v>1</v>
      </c>
      <c r="G637" s="11">
        <v>75630.240000000005</v>
      </c>
    </row>
    <row r="638" spans="2:7" x14ac:dyDescent="0.2">
      <c r="B638" s="32">
        <v>45794</v>
      </c>
      <c r="C638" t="s">
        <v>142</v>
      </c>
      <c r="D638" s="13" t="s">
        <v>634</v>
      </c>
      <c r="E638" t="s">
        <v>153</v>
      </c>
      <c r="F638" s="11">
        <v>1</v>
      </c>
      <c r="G638" s="11">
        <v>42016.81</v>
      </c>
    </row>
    <row r="639" spans="2:7" x14ac:dyDescent="0.2">
      <c r="B639" s="32">
        <v>45794</v>
      </c>
      <c r="C639" t="s">
        <v>142</v>
      </c>
      <c r="D639" s="13" t="s">
        <v>634</v>
      </c>
      <c r="E639" t="s">
        <v>168</v>
      </c>
      <c r="F639" s="11">
        <v>1</v>
      </c>
      <c r="G639" s="11">
        <v>42016.81</v>
      </c>
    </row>
    <row r="640" spans="2:7" x14ac:dyDescent="0.2">
      <c r="B640" s="32">
        <v>45794</v>
      </c>
      <c r="C640" t="s">
        <v>142</v>
      </c>
      <c r="D640" s="13" t="s">
        <v>634</v>
      </c>
      <c r="E640" t="s">
        <v>203</v>
      </c>
      <c r="F640" s="11">
        <v>1</v>
      </c>
      <c r="G640" s="11">
        <v>42016.81</v>
      </c>
    </row>
    <row r="641" spans="2:7" x14ac:dyDescent="0.2">
      <c r="B641" s="32">
        <v>45794</v>
      </c>
      <c r="C641" t="s">
        <v>142</v>
      </c>
      <c r="D641" s="13" t="s">
        <v>634</v>
      </c>
      <c r="E641" t="s">
        <v>148</v>
      </c>
      <c r="F641" s="11">
        <v>1</v>
      </c>
      <c r="G641" s="11">
        <v>37815.129999999997</v>
      </c>
    </row>
    <row r="642" spans="2:7" x14ac:dyDescent="0.2">
      <c r="B642" s="32">
        <v>45794</v>
      </c>
      <c r="C642" t="s">
        <v>142</v>
      </c>
      <c r="D642" s="13" t="s">
        <v>634</v>
      </c>
      <c r="E642" t="s">
        <v>1837</v>
      </c>
      <c r="F642" s="11">
        <v>1</v>
      </c>
      <c r="G642" s="11">
        <v>21848.74</v>
      </c>
    </row>
    <row r="643" spans="2:7" x14ac:dyDescent="0.2">
      <c r="B643" s="32">
        <v>45794</v>
      </c>
      <c r="C643" t="s">
        <v>142</v>
      </c>
      <c r="D643" s="13" t="s">
        <v>634</v>
      </c>
      <c r="F643" s="11">
        <v>0</v>
      </c>
      <c r="G643" s="11">
        <v>0</v>
      </c>
    </row>
    <row r="644" spans="2:7" x14ac:dyDescent="0.2">
      <c r="B644" s="32">
        <v>45794</v>
      </c>
      <c r="C644" t="s">
        <v>142</v>
      </c>
      <c r="D644" s="13" t="s">
        <v>633</v>
      </c>
      <c r="E644" t="s">
        <v>620</v>
      </c>
      <c r="F644" s="11">
        <v>1</v>
      </c>
      <c r="G644" s="11">
        <v>130252.1</v>
      </c>
    </row>
    <row r="645" spans="2:7" x14ac:dyDescent="0.2">
      <c r="B645" s="32">
        <v>45794</v>
      </c>
      <c r="C645" t="s">
        <v>142</v>
      </c>
      <c r="D645" s="13" t="s">
        <v>633</v>
      </c>
      <c r="E645" t="s">
        <v>1838</v>
      </c>
      <c r="F645" s="11">
        <v>1</v>
      </c>
      <c r="G645" s="11">
        <v>79831.929999999993</v>
      </c>
    </row>
    <row r="646" spans="2:7" x14ac:dyDescent="0.2">
      <c r="B646" s="32">
        <v>45794</v>
      </c>
      <c r="C646" t="s">
        <v>142</v>
      </c>
      <c r="D646" s="13" t="s">
        <v>633</v>
      </c>
      <c r="E646" t="s">
        <v>400</v>
      </c>
      <c r="F646" s="11">
        <v>1</v>
      </c>
      <c r="G646" s="11">
        <v>65546.22</v>
      </c>
    </row>
    <row r="647" spans="2:7" x14ac:dyDescent="0.2">
      <c r="B647" s="32">
        <v>45794</v>
      </c>
      <c r="C647" t="s">
        <v>142</v>
      </c>
      <c r="D647" s="13" t="s">
        <v>633</v>
      </c>
      <c r="E647" t="s">
        <v>1749</v>
      </c>
      <c r="F647" s="11">
        <v>1</v>
      </c>
      <c r="G647" s="11">
        <v>42016.81</v>
      </c>
    </row>
    <row r="648" spans="2:7" x14ac:dyDescent="0.2">
      <c r="B648" s="32">
        <v>45794</v>
      </c>
      <c r="C648" t="s">
        <v>142</v>
      </c>
      <c r="D648" s="13" t="s">
        <v>633</v>
      </c>
      <c r="E648" t="s">
        <v>210</v>
      </c>
      <c r="F648" s="11">
        <v>1</v>
      </c>
      <c r="G648" s="11">
        <v>42016.81</v>
      </c>
    </row>
    <row r="649" spans="2:7" x14ac:dyDescent="0.2">
      <c r="B649" s="32">
        <v>45794</v>
      </c>
      <c r="C649" t="s">
        <v>142</v>
      </c>
      <c r="D649" s="13" t="s">
        <v>633</v>
      </c>
      <c r="E649" t="s">
        <v>239</v>
      </c>
      <c r="F649" s="11">
        <v>1</v>
      </c>
      <c r="G649" s="11">
        <v>42016.800000000003</v>
      </c>
    </row>
    <row r="650" spans="2:7" x14ac:dyDescent="0.2">
      <c r="B650" s="32">
        <v>45794</v>
      </c>
      <c r="C650" t="s">
        <v>142</v>
      </c>
      <c r="D650" s="13" t="s">
        <v>633</v>
      </c>
      <c r="F650" s="11">
        <v>0</v>
      </c>
      <c r="G650" s="11">
        <v>0</v>
      </c>
    </row>
    <row r="651" spans="2:7" x14ac:dyDescent="0.2">
      <c r="B651" s="32">
        <v>45795</v>
      </c>
      <c r="C651" t="s">
        <v>142</v>
      </c>
      <c r="D651" s="13" t="s">
        <v>634</v>
      </c>
      <c r="E651" t="s">
        <v>233</v>
      </c>
      <c r="F651" s="11">
        <v>2</v>
      </c>
      <c r="G651" s="11">
        <v>117647.06</v>
      </c>
    </row>
    <row r="652" spans="2:7" x14ac:dyDescent="0.2">
      <c r="B652" s="32">
        <v>45795</v>
      </c>
      <c r="C652" t="s">
        <v>142</v>
      </c>
      <c r="D652" s="13" t="s">
        <v>634</v>
      </c>
      <c r="E652" t="s">
        <v>223</v>
      </c>
      <c r="F652" s="11">
        <v>1</v>
      </c>
      <c r="G652" s="11">
        <v>58823.53</v>
      </c>
    </row>
    <row r="653" spans="2:7" x14ac:dyDescent="0.2">
      <c r="B653" s="32">
        <v>45795</v>
      </c>
      <c r="C653" t="s">
        <v>142</v>
      </c>
      <c r="D653" s="13" t="s">
        <v>634</v>
      </c>
      <c r="E653" t="s">
        <v>247</v>
      </c>
      <c r="F653" s="11">
        <v>1</v>
      </c>
      <c r="G653" s="11">
        <v>58823.53</v>
      </c>
    </row>
    <row r="654" spans="2:7" x14ac:dyDescent="0.2">
      <c r="B654" s="32">
        <v>45795</v>
      </c>
      <c r="C654" t="s">
        <v>142</v>
      </c>
      <c r="D654" s="13" t="s">
        <v>634</v>
      </c>
      <c r="E654" t="s">
        <v>251</v>
      </c>
      <c r="F654" s="11">
        <v>1</v>
      </c>
      <c r="G654" s="11">
        <v>58823.53</v>
      </c>
    </row>
    <row r="655" spans="2:7" x14ac:dyDescent="0.2">
      <c r="B655" s="32">
        <v>45795</v>
      </c>
      <c r="C655" t="s">
        <v>142</v>
      </c>
      <c r="D655" s="13" t="s">
        <v>634</v>
      </c>
      <c r="E655" t="s">
        <v>165</v>
      </c>
      <c r="F655" s="11">
        <v>1</v>
      </c>
      <c r="G655" s="11">
        <v>58823.53</v>
      </c>
    </row>
    <row r="656" spans="2:7" x14ac:dyDescent="0.2">
      <c r="B656" s="32">
        <v>45795</v>
      </c>
      <c r="C656" t="s">
        <v>142</v>
      </c>
      <c r="D656" s="13" t="s">
        <v>634</v>
      </c>
      <c r="E656" t="s">
        <v>292</v>
      </c>
      <c r="F656" s="11">
        <v>1</v>
      </c>
      <c r="G656" s="11">
        <v>54621.85</v>
      </c>
    </row>
    <row r="657" spans="2:7" x14ac:dyDescent="0.2">
      <c r="B657" s="32">
        <v>45795</v>
      </c>
      <c r="C657" t="s">
        <v>142</v>
      </c>
      <c r="D657" s="13" t="s">
        <v>634</v>
      </c>
      <c r="E657" t="s">
        <v>283</v>
      </c>
      <c r="F657" s="11">
        <v>1</v>
      </c>
      <c r="G657" s="11">
        <v>54621.85</v>
      </c>
    </row>
    <row r="658" spans="2:7" x14ac:dyDescent="0.2">
      <c r="B658" s="32">
        <v>45795</v>
      </c>
      <c r="C658" t="s">
        <v>142</v>
      </c>
      <c r="D658" s="13" t="s">
        <v>634</v>
      </c>
      <c r="F658" s="11">
        <v>0</v>
      </c>
      <c r="G658" s="11">
        <v>0</v>
      </c>
    </row>
    <row r="659" spans="2:7" x14ac:dyDescent="0.2">
      <c r="B659" s="32">
        <v>45796</v>
      </c>
      <c r="C659" t="s">
        <v>142</v>
      </c>
      <c r="D659" s="13" t="s">
        <v>634</v>
      </c>
      <c r="E659" t="s">
        <v>288</v>
      </c>
      <c r="F659" s="11">
        <v>1</v>
      </c>
      <c r="G659" s="11">
        <v>151260.5</v>
      </c>
    </row>
    <row r="660" spans="2:7" x14ac:dyDescent="0.2">
      <c r="B660" s="32">
        <v>45796</v>
      </c>
      <c r="C660" t="s">
        <v>142</v>
      </c>
      <c r="D660" s="13" t="s">
        <v>634</v>
      </c>
      <c r="E660" t="s">
        <v>1839</v>
      </c>
      <c r="F660" s="11">
        <v>1</v>
      </c>
      <c r="G660" s="11">
        <v>151260.5</v>
      </c>
    </row>
    <row r="661" spans="2:7" x14ac:dyDescent="0.2">
      <c r="B661" s="32">
        <v>45796</v>
      </c>
      <c r="C661" t="s">
        <v>142</v>
      </c>
      <c r="D661" s="13" t="s">
        <v>634</v>
      </c>
      <c r="E661" t="s">
        <v>812</v>
      </c>
      <c r="F661" s="11">
        <v>1</v>
      </c>
      <c r="G661" s="11">
        <v>136134.45000000001</v>
      </c>
    </row>
    <row r="662" spans="2:7" x14ac:dyDescent="0.2">
      <c r="B662" s="32">
        <v>45796</v>
      </c>
      <c r="C662" t="s">
        <v>142</v>
      </c>
      <c r="D662" s="13" t="s">
        <v>634</v>
      </c>
      <c r="E662" t="s">
        <v>200</v>
      </c>
      <c r="F662" s="11">
        <v>1</v>
      </c>
      <c r="G662" s="11">
        <v>130252.1</v>
      </c>
    </row>
    <row r="663" spans="2:7" x14ac:dyDescent="0.2">
      <c r="B663" s="32">
        <v>45796</v>
      </c>
      <c r="C663" t="s">
        <v>142</v>
      </c>
      <c r="D663" s="13" t="s">
        <v>634</v>
      </c>
      <c r="E663" t="s">
        <v>1740</v>
      </c>
      <c r="F663" s="11">
        <v>1</v>
      </c>
      <c r="G663" s="11">
        <v>130252.1</v>
      </c>
    </row>
    <row r="664" spans="2:7" x14ac:dyDescent="0.2">
      <c r="B664" s="32">
        <v>45796</v>
      </c>
      <c r="C664" t="s">
        <v>142</v>
      </c>
      <c r="D664" s="13" t="s">
        <v>634</v>
      </c>
      <c r="E664" t="s">
        <v>158</v>
      </c>
      <c r="F664" s="11">
        <v>2</v>
      </c>
      <c r="G664" s="11">
        <v>92436.97</v>
      </c>
    </row>
    <row r="665" spans="2:7" x14ac:dyDescent="0.2">
      <c r="B665" s="32">
        <v>45796</v>
      </c>
      <c r="C665" t="s">
        <v>142</v>
      </c>
      <c r="D665" s="13" t="s">
        <v>634</v>
      </c>
      <c r="E665" t="s">
        <v>195</v>
      </c>
      <c r="F665" s="11">
        <v>2</v>
      </c>
      <c r="G665" s="11">
        <v>92436.97</v>
      </c>
    </row>
    <row r="666" spans="2:7" x14ac:dyDescent="0.2">
      <c r="B666" s="32">
        <v>45796</v>
      </c>
      <c r="C666" t="s">
        <v>142</v>
      </c>
      <c r="D666" s="13" t="s">
        <v>634</v>
      </c>
      <c r="E666" t="s">
        <v>393</v>
      </c>
      <c r="F666" s="11">
        <v>1</v>
      </c>
      <c r="G666" s="11">
        <v>79831.94</v>
      </c>
    </row>
    <row r="667" spans="2:7" x14ac:dyDescent="0.2">
      <c r="B667" s="32">
        <v>45796</v>
      </c>
      <c r="C667" t="s">
        <v>142</v>
      </c>
      <c r="D667" s="13" t="s">
        <v>634</v>
      </c>
      <c r="E667" t="s">
        <v>1840</v>
      </c>
      <c r="F667" s="11">
        <v>1</v>
      </c>
      <c r="G667" s="11">
        <v>79831.929999999993</v>
      </c>
    </row>
    <row r="668" spans="2:7" x14ac:dyDescent="0.2">
      <c r="B668" s="32">
        <v>45796</v>
      </c>
      <c r="C668" t="s">
        <v>142</v>
      </c>
      <c r="D668" s="13" t="s">
        <v>634</v>
      </c>
      <c r="E668" t="s">
        <v>427</v>
      </c>
      <c r="F668" s="11">
        <v>1</v>
      </c>
      <c r="G668" s="11">
        <v>54621.84</v>
      </c>
    </row>
    <row r="669" spans="2:7" x14ac:dyDescent="0.2">
      <c r="B669" s="32">
        <v>45796</v>
      </c>
      <c r="C669" t="s">
        <v>142</v>
      </c>
      <c r="D669" s="13" t="s">
        <v>634</v>
      </c>
      <c r="E669" t="s">
        <v>548</v>
      </c>
      <c r="F669" s="11">
        <v>1</v>
      </c>
      <c r="G669" s="11">
        <v>46218.49</v>
      </c>
    </row>
    <row r="670" spans="2:7" x14ac:dyDescent="0.2">
      <c r="B670" s="32">
        <v>45796</v>
      </c>
      <c r="C670" t="s">
        <v>142</v>
      </c>
      <c r="D670" s="13" t="s">
        <v>634</v>
      </c>
      <c r="E670" t="s">
        <v>221</v>
      </c>
      <c r="F670" s="11">
        <v>1</v>
      </c>
      <c r="G670" s="11">
        <v>46218.49</v>
      </c>
    </row>
    <row r="671" spans="2:7" x14ac:dyDescent="0.2">
      <c r="B671" s="32">
        <v>45796</v>
      </c>
      <c r="C671" t="s">
        <v>142</v>
      </c>
      <c r="D671" s="13" t="s">
        <v>634</v>
      </c>
      <c r="F671" s="11">
        <v>0</v>
      </c>
      <c r="G671" s="11">
        <v>0</v>
      </c>
    </row>
    <row r="672" spans="2:7" x14ac:dyDescent="0.2">
      <c r="B672" s="32">
        <v>45796</v>
      </c>
      <c r="C672" t="s">
        <v>142</v>
      </c>
      <c r="D672" s="13" t="s">
        <v>633</v>
      </c>
      <c r="E672" t="s">
        <v>1811</v>
      </c>
      <c r="F672" s="11">
        <v>1</v>
      </c>
      <c r="G672" s="11">
        <v>151260.5</v>
      </c>
    </row>
    <row r="673" spans="2:7" x14ac:dyDescent="0.2">
      <c r="B673" s="32">
        <v>45796</v>
      </c>
      <c r="C673" t="s">
        <v>142</v>
      </c>
      <c r="D673" s="13" t="s">
        <v>633</v>
      </c>
      <c r="E673" t="s">
        <v>255</v>
      </c>
      <c r="F673" s="11">
        <v>0</v>
      </c>
      <c r="G673" s="11">
        <v>138655.46</v>
      </c>
    </row>
    <row r="674" spans="2:7" x14ac:dyDescent="0.2">
      <c r="B674" s="32">
        <v>45796</v>
      </c>
      <c r="C674" t="s">
        <v>142</v>
      </c>
      <c r="D674" s="13" t="s">
        <v>633</v>
      </c>
      <c r="E674" t="s">
        <v>1841</v>
      </c>
      <c r="F674" s="11">
        <v>1</v>
      </c>
      <c r="G674" s="11">
        <v>75630.25</v>
      </c>
    </row>
    <row r="675" spans="2:7" x14ac:dyDescent="0.2">
      <c r="B675" s="32">
        <v>45796</v>
      </c>
      <c r="C675" t="s">
        <v>142</v>
      </c>
      <c r="D675" s="13" t="s">
        <v>633</v>
      </c>
      <c r="E675" t="s">
        <v>475</v>
      </c>
      <c r="F675" s="11">
        <v>1</v>
      </c>
      <c r="G675" s="11">
        <v>71428.570000000007</v>
      </c>
    </row>
    <row r="676" spans="2:7" x14ac:dyDescent="0.2">
      <c r="B676" s="32">
        <v>45796</v>
      </c>
      <c r="C676" t="s">
        <v>142</v>
      </c>
      <c r="D676" s="13" t="s">
        <v>633</v>
      </c>
      <c r="E676" t="s">
        <v>598</v>
      </c>
      <c r="F676" s="11">
        <v>1</v>
      </c>
      <c r="G676" s="11">
        <v>65546.22</v>
      </c>
    </row>
    <row r="677" spans="2:7" x14ac:dyDescent="0.2">
      <c r="B677" s="32">
        <v>45796</v>
      </c>
      <c r="C677" t="s">
        <v>142</v>
      </c>
      <c r="D677" s="13" t="s">
        <v>633</v>
      </c>
      <c r="E677" t="s">
        <v>151</v>
      </c>
      <c r="F677" s="11">
        <v>1</v>
      </c>
      <c r="G677" s="11">
        <v>46218.49</v>
      </c>
    </row>
    <row r="678" spans="2:7" x14ac:dyDescent="0.2">
      <c r="B678" s="32">
        <v>45796</v>
      </c>
      <c r="C678" t="s">
        <v>142</v>
      </c>
      <c r="D678" s="13" t="s">
        <v>633</v>
      </c>
      <c r="E678" t="s">
        <v>466</v>
      </c>
      <c r="F678" s="11">
        <v>1</v>
      </c>
      <c r="G678" s="11">
        <v>21848.74</v>
      </c>
    </row>
    <row r="679" spans="2:7" x14ac:dyDescent="0.2">
      <c r="B679" s="32">
        <v>45796</v>
      </c>
      <c r="C679" t="s">
        <v>142</v>
      </c>
      <c r="D679" s="13" t="s">
        <v>633</v>
      </c>
      <c r="F679" s="11">
        <v>1</v>
      </c>
      <c r="G679" s="11">
        <v>21848.74</v>
      </c>
    </row>
    <row r="680" spans="2:7" x14ac:dyDescent="0.2">
      <c r="B680" s="32">
        <v>45796</v>
      </c>
      <c r="C680" t="s">
        <v>142</v>
      </c>
      <c r="D680" s="13" t="s">
        <v>633</v>
      </c>
      <c r="E680" t="s">
        <v>1833</v>
      </c>
      <c r="F680" s="11">
        <v>0</v>
      </c>
      <c r="G680" s="11">
        <v>-50420.17</v>
      </c>
    </row>
    <row r="681" spans="2:7" x14ac:dyDescent="0.2">
      <c r="B681" s="32">
        <v>45797</v>
      </c>
      <c r="C681" t="s">
        <v>142</v>
      </c>
      <c r="D681" s="13" t="s">
        <v>634</v>
      </c>
      <c r="E681" t="s">
        <v>645</v>
      </c>
      <c r="F681" s="11">
        <v>1</v>
      </c>
      <c r="G681" s="11">
        <v>151260.5</v>
      </c>
    </row>
    <row r="682" spans="2:7" x14ac:dyDescent="0.2">
      <c r="B682" s="32">
        <v>45797</v>
      </c>
      <c r="C682" t="s">
        <v>142</v>
      </c>
      <c r="D682" s="13" t="s">
        <v>634</v>
      </c>
      <c r="E682" t="s">
        <v>1782</v>
      </c>
      <c r="F682" s="11">
        <v>1</v>
      </c>
      <c r="G682" s="11">
        <v>130252.1</v>
      </c>
    </row>
    <row r="683" spans="2:7" x14ac:dyDescent="0.2">
      <c r="B683" s="32">
        <v>45797</v>
      </c>
      <c r="C683" t="s">
        <v>142</v>
      </c>
      <c r="D683" s="13" t="s">
        <v>634</v>
      </c>
      <c r="E683" t="s">
        <v>174</v>
      </c>
      <c r="F683" s="11">
        <v>1</v>
      </c>
      <c r="G683" s="11">
        <v>75630.259999999995</v>
      </c>
    </row>
    <row r="684" spans="2:7" x14ac:dyDescent="0.2">
      <c r="B684" s="32">
        <v>45797</v>
      </c>
      <c r="C684" t="s">
        <v>142</v>
      </c>
      <c r="D684" s="13" t="s">
        <v>634</v>
      </c>
      <c r="E684" t="s">
        <v>343</v>
      </c>
      <c r="F684" s="11">
        <v>1</v>
      </c>
      <c r="G684" s="11">
        <v>54621.85</v>
      </c>
    </row>
    <row r="685" spans="2:7" x14ac:dyDescent="0.2">
      <c r="B685" s="32">
        <v>45797</v>
      </c>
      <c r="C685" t="s">
        <v>142</v>
      </c>
      <c r="D685" s="13" t="s">
        <v>634</v>
      </c>
      <c r="E685" t="s">
        <v>399</v>
      </c>
      <c r="F685" s="11">
        <v>1</v>
      </c>
      <c r="G685" s="11">
        <v>54621.85</v>
      </c>
    </row>
    <row r="686" spans="2:7" x14ac:dyDescent="0.2">
      <c r="B686" s="32">
        <v>45797</v>
      </c>
      <c r="C686" t="s">
        <v>142</v>
      </c>
      <c r="D686" s="13" t="s">
        <v>634</v>
      </c>
      <c r="E686" t="s">
        <v>407</v>
      </c>
      <c r="F686" s="11">
        <v>1</v>
      </c>
      <c r="G686" s="11">
        <v>54621.85</v>
      </c>
    </row>
    <row r="687" spans="2:7" x14ac:dyDescent="0.2">
      <c r="B687" s="32">
        <v>45797</v>
      </c>
      <c r="C687" t="s">
        <v>142</v>
      </c>
      <c r="D687" s="13" t="s">
        <v>634</v>
      </c>
      <c r="E687" t="s">
        <v>222</v>
      </c>
      <c r="F687" s="11">
        <v>1</v>
      </c>
      <c r="G687" s="11">
        <v>54621.85</v>
      </c>
    </row>
    <row r="688" spans="2:7" x14ac:dyDescent="0.2">
      <c r="B688" s="32">
        <v>45797</v>
      </c>
      <c r="C688" t="s">
        <v>142</v>
      </c>
      <c r="D688" s="13" t="s">
        <v>634</v>
      </c>
      <c r="E688" t="s">
        <v>283</v>
      </c>
      <c r="F688" s="11">
        <v>1</v>
      </c>
      <c r="G688" s="11">
        <v>54621.85</v>
      </c>
    </row>
    <row r="689" spans="2:7" x14ac:dyDescent="0.2">
      <c r="B689" s="32">
        <v>45797</v>
      </c>
      <c r="C689" t="s">
        <v>142</v>
      </c>
      <c r="D689" s="13" t="s">
        <v>634</v>
      </c>
      <c r="E689" t="s">
        <v>280</v>
      </c>
      <c r="F689" s="11">
        <v>1</v>
      </c>
      <c r="G689" s="11">
        <v>54621.85</v>
      </c>
    </row>
    <row r="690" spans="2:7" x14ac:dyDescent="0.2">
      <c r="B690" s="32">
        <v>45797</v>
      </c>
      <c r="C690" t="s">
        <v>142</v>
      </c>
      <c r="D690" s="13" t="s">
        <v>634</v>
      </c>
      <c r="E690" t="s">
        <v>292</v>
      </c>
      <c r="F690" s="11">
        <v>1</v>
      </c>
      <c r="G690" s="11">
        <v>54621.84</v>
      </c>
    </row>
    <row r="691" spans="2:7" x14ac:dyDescent="0.2">
      <c r="B691" s="32">
        <v>45797</v>
      </c>
      <c r="C691" t="s">
        <v>142</v>
      </c>
      <c r="D691" s="13" t="s">
        <v>634</v>
      </c>
      <c r="E691" t="s">
        <v>350</v>
      </c>
      <c r="F691" s="11">
        <v>0</v>
      </c>
      <c r="G691" s="11">
        <v>46218.49</v>
      </c>
    </row>
    <row r="692" spans="2:7" x14ac:dyDescent="0.2">
      <c r="B692" s="32">
        <v>45797</v>
      </c>
      <c r="C692" t="s">
        <v>142</v>
      </c>
      <c r="D692" s="13" t="s">
        <v>634</v>
      </c>
      <c r="E692" t="s">
        <v>195</v>
      </c>
      <c r="F692" s="11">
        <v>0</v>
      </c>
      <c r="G692" s="11">
        <v>46218.48</v>
      </c>
    </row>
    <row r="693" spans="2:7" x14ac:dyDescent="0.2">
      <c r="B693" s="32">
        <v>45797</v>
      </c>
      <c r="C693" t="s">
        <v>142</v>
      </c>
      <c r="D693" s="13" t="s">
        <v>634</v>
      </c>
      <c r="E693" t="s">
        <v>150</v>
      </c>
      <c r="F693" s="11">
        <v>1</v>
      </c>
      <c r="G693" s="11">
        <v>42016.81</v>
      </c>
    </row>
    <row r="694" spans="2:7" x14ac:dyDescent="0.2">
      <c r="B694" s="32">
        <v>45797</v>
      </c>
      <c r="C694" t="s">
        <v>142</v>
      </c>
      <c r="D694" s="13" t="s">
        <v>634</v>
      </c>
      <c r="F694" s="11">
        <v>0</v>
      </c>
      <c r="G694" s="11">
        <v>0</v>
      </c>
    </row>
    <row r="695" spans="2:7" x14ac:dyDescent="0.2">
      <c r="B695" s="32">
        <v>45797</v>
      </c>
      <c r="C695" t="s">
        <v>142</v>
      </c>
      <c r="D695" s="13" t="s">
        <v>634</v>
      </c>
      <c r="E695" t="s">
        <v>548</v>
      </c>
      <c r="F695" s="11">
        <v>0</v>
      </c>
      <c r="G695" s="11">
        <v>-46218.49</v>
      </c>
    </row>
    <row r="696" spans="2:7" x14ac:dyDescent="0.2">
      <c r="B696" s="32">
        <v>45797</v>
      </c>
      <c r="C696" t="s">
        <v>142</v>
      </c>
      <c r="D696" s="13" t="s">
        <v>634</v>
      </c>
      <c r="E696" t="s">
        <v>221</v>
      </c>
      <c r="F696" s="11">
        <v>0</v>
      </c>
      <c r="G696" s="11">
        <v>-46218.49</v>
      </c>
    </row>
    <row r="697" spans="2:7" x14ac:dyDescent="0.2">
      <c r="B697" s="32">
        <v>45797</v>
      </c>
      <c r="C697" t="s">
        <v>142</v>
      </c>
      <c r="D697" s="13" t="s">
        <v>633</v>
      </c>
      <c r="E697" t="s">
        <v>289</v>
      </c>
      <c r="F697" s="11">
        <v>1</v>
      </c>
      <c r="G697" s="11">
        <v>235294.12</v>
      </c>
    </row>
    <row r="698" spans="2:7" x14ac:dyDescent="0.2">
      <c r="B698" s="32">
        <v>45797</v>
      </c>
      <c r="C698" t="s">
        <v>142</v>
      </c>
      <c r="D698" s="13" t="s">
        <v>633</v>
      </c>
      <c r="E698" t="s">
        <v>1842</v>
      </c>
      <c r="F698" s="11">
        <v>1</v>
      </c>
      <c r="G698" s="11">
        <v>107563.03</v>
      </c>
    </row>
    <row r="699" spans="2:7" x14ac:dyDescent="0.2">
      <c r="B699" s="32">
        <v>45797</v>
      </c>
      <c r="C699" t="s">
        <v>142</v>
      </c>
      <c r="D699" s="13" t="s">
        <v>633</v>
      </c>
      <c r="E699" t="s">
        <v>691</v>
      </c>
      <c r="F699" s="11">
        <v>1</v>
      </c>
      <c r="G699" s="11">
        <v>79831.929999999993</v>
      </c>
    </row>
    <row r="700" spans="2:7" x14ac:dyDescent="0.2">
      <c r="B700" s="32">
        <v>45797</v>
      </c>
      <c r="C700" t="s">
        <v>142</v>
      </c>
      <c r="D700" s="13" t="s">
        <v>633</v>
      </c>
      <c r="E700" t="s">
        <v>233</v>
      </c>
      <c r="F700" s="11">
        <v>1</v>
      </c>
      <c r="G700" s="11">
        <v>58823.53</v>
      </c>
    </row>
    <row r="701" spans="2:7" x14ac:dyDescent="0.2">
      <c r="B701" s="32">
        <v>45797</v>
      </c>
      <c r="C701" t="s">
        <v>142</v>
      </c>
      <c r="D701" s="13" t="s">
        <v>633</v>
      </c>
      <c r="E701" t="s">
        <v>163</v>
      </c>
      <c r="F701" s="11">
        <v>1</v>
      </c>
      <c r="G701" s="11">
        <v>58823.53</v>
      </c>
    </row>
    <row r="702" spans="2:7" x14ac:dyDescent="0.2">
      <c r="B702" s="32">
        <v>45797</v>
      </c>
      <c r="C702" t="s">
        <v>142</v>
      </c>
      <c r="D702" s="13" t="s">
        <v>633</v>
      </c>
      <c r="E702" t="s">
        <v>773</v>
      </c>
      <c r="F702" s="11">
        <v>1</v>
      </c>
      <c r="G702" s="11">
        <v>58823.53</v>
      </c>
    </row>
    <row r="703" spans="2:7" x14ac:dyDescent="0.2">
      <c r="B703" s="32">
        <v>45797</v>
      </c>
      <c r="C703" t="s">
        <v>142</v>
      </c>
      <c r="D703" s="13" t="s">
        <v>633</v>
      </c>
      <c r="E703" t="s">
        <v>219</v>
      </c>
      <c r="F703" s="11">
        <v>1</v>
      </c>
      <c r="G703" s="11">
        <v>58823.53</v>
      </c>
    </row>
    <row r="704" spans="2:7" x14ac:dyDescent="0.2">
      <c r="B704" s="32">
        <v>45797</v>
      </c>
      <c r="C704" t="s">
        <v>142</v>
      </c>
      <c r="D704" s="13" t="s">
        <v>633</v>
      </c>
      <c r="E704" t="s">
        <v>292</v>
      </c>
      <c r="F704" s="11">
        <v>1</v>
      </c>
      <c r="G704" s="11">
        <v>54621.85</v>
      </c>
    </row>
    <row r="705" spans="2:7" x14ac:dyDescent="0.2">
      <c r="B705" s="32">
        <v>45797</v>
      </c>
      <c r="C705" t="s">
        <v>142</v>
      </c>
      <c r="D705" s="13" t="s">
        <v>633</v>
      </c>
      <c r="E705" t="s">
        <v>283</v>
      </c>
      <c r="F705" s="11">
        <v>1</v>
      </c>
      <c r="G705" s="11">
        <v>54621.85</v>
      </c>
    </row>
    <row r="706" spans="2:7" x14ac:dyDescent="0.2">
      <c r="B706" s="32">
        <v>45797</v>
      </c>
      <c r="C706" t="s">
        <v>142</v>
      </c>
      <c r="D706" s="13" t="s">
        <v>633</v>
      </c>
      <c r="E706" t="s">
        <v>337</v>
      </c>
      <c r="F706" s="11">
        <v>1</v>
      </c>
      <c r="G706" s="11">
        <v>46218.49</v>
      </c>
    </row>
    <row r="707" spans="2:7" x14ac:dyDescent="0.2">
      <c r="B707" s="32">
        <v>45797</v>
      </c>
      <c r="C707" t="s">
        <v>142</v>
      </c>
      <c r="D707" s="13" t="s">
        <v>633</v>
      </c>
      <c r="E707" t="s">
        <v>151</v>
      </c>
      <c r="F707" s="11">
        <v>1</v>
      </c>
      <c r="G707" s="11">
        <v>46218.49</v>
      </c>
    </row>
    <row r="708" spans="2:7" x14ac:dyDescent="0.2">
      <c r="B708" s="32">
        <v>45797</v>
      </c>
      <c r="C708" t="s">
        <v>142</v>
      </c>
      <c r="D708" s="13" t="s">
        <v>633</v>
      </c>
      <c r="E708" t="s">
        <v>195</v>
      </c>
      <c r="F708" s="11">
        <v>1</v>
      </c>
      <c r="G708" s="11">
        <v>46218.49</v>
      </c>
    </row>
    <row r="709" spans="2:7" x14ac:dyDescent="0.2">
      <c r="B709" s="32">
        <v>45797</v>
      </c>
      <c r="C709" t="s">
        <v>142</v>
      </c>
      <c r="D709" s="13" t="s">
        <v>633</v>
      </c>
      <c r="E709" t="s">
        <v>179</v>
      </c>
      <c r="F709" s="11">
        <v>1</v>
      </c>
      <c r="G709" s="11">
        <v>46218.48</v>
      </c>
    </row>
    <row r="710" spans="2:7" x14ac:dyDescent="0.2">
      <c r="B710" s="32">
        <v>45797</v>
      </c>
      <c r="C710" t="s">
        <v>142</v>
      </c>
      <c r="D710" s="13" t="s">
        <v>633</v>
      </c>
      <c r="F710" s="11">
        <v>0</v>
      </c>
      <c r="G710" s="11">
        <v>0</v>
      </c>
    </row>
    <row r="711" spans="2:7" x14ac:dyDescent="0.2">
      <c r="B711" s="32">
        <v>45798</v>
      </c>
      <c r="C711" t="s">
        <v>142</v>
      </c>
      <c r="D711" s="13"/>
      <c r="E711" t="s">
        <v>228</v>
      </c>
      <c r="F711" s="11">
        <v>1</v>
      </c>
      <c r="G711" s="11">
        <v>100840.34</v>
      </c>
    </row>
    <row r="712" spans="2:7" x14ac:dyDescent="0.2">
      <c r="B712" s="32">
        <v>45798</v>
      </c>
      <c r="C712" t="s">
        <v>142</v>
      </c>
      <c r="D712" s="13" t="s">
        <v>634</v>
      </c>
      <c r="E712" t="s">
        <v>143</v>
      </c>
      <c r="F712" s="11">
        <v>1</v>
      </c>
      <c r="G712" s="11">
        <v>285714.28999999998</v>
      </c>
    </row>
    <row r="713" spans="2:7" x14ac:dyDescent="0.2">
      <c r="B713" s="32">
        <v>45798</v>
      </c>
      <c r="C713" t="s">
        <v>142</v>
      </c>
      <c r="D713" s="13" t="s">
        <v>634</v>
      </c>
      <c r="E713" t="s">
        <v>159</v>
      </c>
      <c r="F713" s="11">
        <v>1</v>
      </c>
      <c r="G713" s="11">
        <v>243697.48</v>
      </c>
    </row>
    <row r="714" spans="2:7" x14ac:dyDescent="0.2">
      <c r="B714" s="32">
        <v>45798</v>
      </c>
      <c r="C714" t="s">
        <v>142</v>
      </c>
      <c r="D714" s="13" t="s">
        <v>634</v>
      </c>
      <c r="E714" t="s">
        <v>280</v>
      </c>
      <c r="F714" s="11">
        <v>2</v>
      </c>
      <c r="G714" s="11">
        <v>109243.7</v>
      </c>
    </row>
    <row r="715" spans="2:7" x14ac:dyDescent="0.2">
      <c r="B715" s="32">
        <v>45798</v>
      </c>
      <c r="C715" t="s">
        <v>142</v>
      </c>
      <c r="D715" s="13" t="s">
        <v>634</v>
      </c>
      <c r="E715" t="s">
        <v>588</v>
      </c>
      <c r="F715" s="11">
        <v>1</v>
      </c>
      <c r="G715" s="11">
        <v>92436.98</v>
      </c>
    </row>
    <row r="716" spans="2:7" x14ac:dyDescent="0.2">
      <c r="B716" s="32">
        <v>45798</v>
      </c>
      <c r="C716" t="s">
        <v>142</v>
      </c>
      <c r="D716" s="13" t="s">
        <v>634</v>
      </c>
      <c r="E716" t="s">
        <v>1713</v>
      </c>
      <c r="F716" s="11">
        <v>1</v>
      </c>
      <c r="G716" s="11">
        <v>92436.97</v>
      </c>
    </row>
    <row r="717" spans="2:7" x14ac:dyDescent="0.2">
      <c r="B717" s="32">
        <v>45798</v>
      </c>
      <c r="C717" t="s">
        <v>142</v>
      </c>
      <c r="D717" s="13" t="s">
        <v>634</v>
      </c>
      <c r="E717" t="s">
        <v>476</v>
      </c>
      <c r="F717" s="11">
        <v>1</v>
      </c>
      <c r="G717" s="11">
        <v>82352.94</v>
      </c>
    </row>
    <row r="718" spans="2:7" x14ac:dyDescent="0.2">
      <c r="B718" s="32">
        <v>45798</v>
      </c>
      <c r="C718" t="s">
        <v>142</v>
      </c>
      <c r="D718" s="13" t="s">
        <v>634</v>
      </c>
      <c r="E718" t="s">
        <v>691</v>
      </c>
      <c r="F718" s="11">
        <v>1</v>
      </c>
      <c r="G718" s="11">
        <v>79831.929999999993</v>
      </c>
    </row>
    <row r="719" spans="2:7" x14ac:dyDescent="0.2">
      <c r="B719" s="32">
        <v>45798</v>
      </c>
      <c r="C719" t="s">
        <v>142</v>
      </c>
      <c r="D719" s="13" t="s">
        <v>634</v>
      </c>
      <c r="E719" t="s">
        <v>201</v>
      </c>
      <c r="F719" s="11">
        <v>2</v>
      </c>
      <c r="G719" s="11">
        <v>74957.98</v>
      </c>
    </row>
    <row r="720" spans="2:7" x14ac:dyDescent="0.2">
      <c r="B720" s="32">
        <v>45798</v>
      </c>
      <c r="C720" t="s">
        <v>142</v>
      </c>
      <c r="D720" s="13" t="s">
        <v>634</v>
      </c>
      <c r="E720" t="s">
        <v>820</v>
      </c>
      <c r="F720" s="11">
        <v>1</v>
      </c>
      <c r="G720" s="11">
        <v>58823.53</v>
      </c>
    </row>
    <row r="721" spans="2:7" x14ac:dyDescent="0.2">
      <c r="B721" s="32">
        <v>45798</v>
      </c>
      <c r="C721" t="s">
        <v>142</v>
      </c>
      <c r="D721" s="13" t="s">
        <v>634</v>
      </c>
      <c r="E721" t="s">
        <v>621</v>
      </c>
      <c r="F721" s="11">
        <v>1</v>
      </c>
      <c r="G721" s="11">
        <v>54621.85</v>
      </c>
    </row>
    <row r="722" spans="2:7" x14ac:dyDescent="0.2">
      <c r="B722" s="32">
        <v>45798</v>
      </c>
      <c r="C722" t="s">
        <v>142</v>
      </c>
      <c r="D722" s="13" t="s">
        <v>634</v>
      </c>
      <c r="E722" t="s">
        <v>375</v>
      </c>
      <c r="F722" s="11">
        <v>1</v>
      </c>
      <c r="G722" s="11">
        <v>54621.85</v>
      </c>
    </row>
    <row r="723" spans="2:7" x14ac:dyDescent="0.2">
      <c r="B723" s="32">
        <v>45798</v>
      </c>
      <c r="C723" t="s">
        <v>142</v>
      </c>
      <c r="D723" s="13" t="s">
        <v>634</v>
      </c>
      <c r="E723" t="s">
        <v>493</v>
      </c>
      <c r="F723" s="11">
        <v>1</v>
      </c>
      <c r="G723" s="11">
        <v>54621.85</v>
      </c>
    </row>
    <row r="724" spans="2:7" x14ac:dyDescent="0.2">
      <c r="B724" s="32">
        <v>45798</v>
      </c>
      <c r="C724" t="s">
        <v>142</v>
      </c>
      <c r="D724" s="13" t="s">
        <v>634</v>
      </c>
      <c r="E724" t="s">
        <v>228</v>
      </c>
      <c r="F724" s="11">
        <v>1</v>
      </c>
      <c r="G724" s="11">
        <v>54621.85</v>
      </c>
    </row>
    <row r="725" spans="2:7" x14ac:dyDescent="0.2">
      <c r="B725" s="32">
        <v>45798</v>
      </c>
      <c r="C725" t="s">
        <v>142</v>
      </c>
      <c r="D725" s="13" t="s">
        <v>634</v>
      </c>
      <c r="F725" s="11">
        <v>0</v>
      </c>
      <c r="G725" s="11">
        <v>0</v>
      </c>
    </row>
    <row r="726" spans="2:7" x14ac:dyDescent="0.2">
      <c r="B726" s="32">
        <v>45798</v>
      </c>
      <c r="C726" t="s">
        <v>142</v>
      </c>
      <c r="D726" s="13" t="s">
        <v>633</v>
      </c>
      <c r="E726" t="s">
        <v>152</v>
      </c>
      <c r="F726" s="11">
        <v>1</v>
      </c>
      <c r="G726" s="11">
        <v>75630.25</v>
      </c>
    </row>
    <row r="727" spans="2:7" x14ac:dyDescent="0.2">
      <c r="B727" s="32">
        <v>45798</v>
      </c>
      <c r="C727" t="s">
        <v>142</v>
      </c>
      <c r="D727" s="13" t="s">
        <v>633</v>
      </c>
      <c r="E727" t="s">
        <v>192</v>
      </c>
      <c r="F727" s="11">
        <v>1</v>
      </c>
      <c r="G727" s="11">
        <v>71428.570000000007</v>
      </c>
    </row>
    <row r="728" spans="2:7" x14ac:dyDescent="0.2">
      <c r="B728" s="32">
        <v>45798</v>
      </c>
      <c r="C728" t="s">
        <v>142</v>
      </c>
      <c r="D728" s="13" t="s">
        <v>633</v>
      </c>
      <c r="E728" t="s">
        <v>773</v>
      </c>
      <c r="F728" s="11">
        <v>1</v>
      </c>
      <c r="G728" s="11">
        <v>58823.53</v>
      </c>
    </row>
    <row r="729" spans="2:7" x14ac:dyDescent="0.2">
      <c r="B729" s="32">
        <v>45798</v>
      </c>
      <c r="C729" t="s">
        <v>142</v>
      </c>
      <c r="D729" s="13" t="s">
        <v>633</v>
      </c>
      <c r="E729" t="s">
        <v>348</v>
      </c>
      <c r="F729" s="11">
        <v>1</v>
      </c>
      <c r="G729" s="11">
        <v>54621.85</v>
      </c>
    </row>
    <row r="730" spans="2:7" x14ac:dyDescent="0.2">
      <c r="B730" s="32">
        <v>45798</v>
      </c>
      <c r="C730" t="s">
        <v>142</v>
      </c>
      <c r="D730" s="13" t="s">
        <v>633</v>
      </c>
      <c r="E730" t="s">
        <v>493</v>
      </c>
      <c r="F730" s="11">
        <v>1</v>
      </c>
      <c r="G730" s="11">
        <v>54621.85</v>
      </c>
    </row>
    <row r="731" spans="2:7" x14ac:dyDescent="0.2">
      <c r="B731" s="32">
        <v>45798</v>
      </c>
      <c r="C731" t="s">
        <v>142</v>
      </c>
      <c r="D731" s="13" t="s">
        <v>633</v>
      </c>
      <c r="E731" t="s">
        <v>198</v>
      </c>
      <c r="F731" s="11">
        <v>1</v>
      </c>
      <c r="G731" s="11">
        <v>46218.49</v>
      </c>
    </row>
    <row r="732" spans="2:7" x14ac:dyDescent="0.2">
      <c r="B732" s="32">
        <v>45798</v>
      </c>
      <c r="C732" t="s">
        <v>142</v>
      </c>
      <c r="D732" s="13" t="s">
        <v>633</v>
      </c>
      <c r="E732" t="s">
        <v>160</v>
      </c>
      <c r="F732" s="11">
        <v>1</v>
      </c>
      <c r="G732" s="11">
        <v>46218.49</v>
      </c>
    </row>
    <row r="733" spans="2:7" x14ac:dyDescent="0.2">
      <c r="B733" s="32">
        <v>45798</v>
      </c>
      <c r="C733" t="s">
        <v>142</v>
      </c>
      <c r="D733" s="13" t="s">
        <v>633</v>
      </c>
      <c r="E733" t="s">
        <v>218</v>
      </c>
      <c r="F733" s="11">
        <v>2</v>
      </c>
      <c r="G733" s="11">
        <v>42016.800000000003</v>
      </c>
    </row>
    <row r="734" spans="2:7" x14ac:dyDescent="0.2">
      <c r="B734" s="32">
        <v>45798</v>
      </c>
      <c r="C734" t="s">
        <v>142</v>
      </c>
      <c r="D734" s="13" t="s">
        <v>633</v>
      </c>
      <c r="E734" t="s">
        <v>831</v>
      </c>
      <c r="F734" s="11">
        <v>2</v>
      </c>
      <c r="G734" s="11">
        <v>1.84</v>
      </c>
    </row>
    <row r="735" spans="2:7" x14ac:dyDescent="0.2">
      <c r="B735" s="32">
        <v>45798</v>
      </c>
      <c r="C735" t="s">
        <v>142</v>
      </c>
      <c r="D735" s="13" t="s">
        <v>633</v>
      </c>
      <c r="F735" s="11">
        <v>0</v>
      </c>
      <c r="G735" s="11">
        <v>0</v>
      </c>
    </row>
    <row r="736" spans="2:7" x14ac:dyDescent="0.2">
      <c r="B736" s="32">
        <v>45799</v>
      </c>
      <c r="C736" t="s">
        <v>142</v>
      </c>
      <c r="D736" s="13" t="s">
        <v>634</v>
      </c>
      <c r="E736" t="s">
        <v>1843</v>
      </c>
      <c r="F736" s="11">
        <v>1</v>
      </c>
      <c r="G736" s="11">
        <v>138655.46</v>
      </c>
    </row>
    <row r="737" spans="2:7" x14ac:dyDescent="0.2">
      <c r="B737" s="32">
        <v>45799</v>
      </c>
      <c r="C737" t="s">
        <v>142</v>
      </c>
      <c r="D737" s="13" t="s">
        <v>634</v>
      </c>
      <c r="E737" t="s">
        <v>492</v>
      </c>
      <c r="F737" s="11">
        <v>1</v>
      </c>
      <c r="G737" s="11">
        <v>84033.62</v>
      </c>
    </row>
    <row r="738" spans="2:7" x14ac:dyDescent="0.2">
      <c r="B738" s="32">
        <v>45799</v>
      </c>
      <c r="C738" t="s">
        <v>142</v>
      </c>
      <c r="D738" s="13" t="s">
        <v>634</v>
      </c>
      <c r="E738" t="s">
        <v>430</v>
      </c>
      <c r="F738" s="11">
        <v>1</v>
      </c>
      <c r="G738" s="11">
        <v>84033.61</v>
      </c>
    </row>
    <row r="739" spans="2:7" x14ac:dyDescent="0.2">
      <c r="B739" s="32">
        <v>45799</v>
      </c>
      <c r="C739" t="s">
        <v>142</v>
      </c>
      <c r="D739" s="13" t="s">
        <v>634</v>
      </c>
      <c r="E739" t="s">
        <v>335</v>
      </c>
      <c r="F739" s="11">
        <v>1</v>
      </c>
      <c r="G739" s="11">
        <v>58823.53</v>
      </c>
    </row>
    <row r="740" spans="2:7" x14ac:dyDescent="0.2">
      <c r="B740" s="32">
        <v>45799</v>
      </c>
      <c r="C740" t="s">
        <v>142</v>
      </c>
      <c r="D740" s="13" t="s">
        <v>634</v>
      </c>
      <c r="E740" t="s">
        <v>1844</v>
      </c>
      <c r="F740" s="11">
        <v>1</v>
      </c>
      <c r="G740" s="11">
        <v>58823.53</v>
      </c>
    </row>
    <row r="741" spans="2:7" x14ac:dyDescent="0.2">
      <c r="B741" s="32">
        <v>45799</v>
      </c>
      <c r="C741" t="s">
        <v>142</v>
      </c>
      <c r="D741" s="13" t="s">
        <v>634</v>
      </c>
      <c r="E741" t="s">
        <v>162</v>
      </c>
      <c r="F741" s="11">
        <v>1</v>
      </c>
      <c r="G741" s="11">
        <v>58823.53</v>
      </c>
    </row>
    <row r="742" spans="2:7" x14ac:dyDescent="0.2">
      <c r="B742" s="32">
        <v>45799</v>
      </c>
      <c r="C742" t="s">
        <v>142</v>
      </c>
      <c r="D742" s="13" t="s">
        <v>634</v>
      </c>
      <c r="E742" t="s">
        <v>545</v>
      </c>
      <c r="F742" s="11">
        <v>1</v>
      </c>
      <c r="G742" s="11">
        <v>54621.85</v>
      </c>
    </row>
    <row r="743" spans="2:7" x14ac:dyDescent="0.2">
      <c r="B743" s="32">
        <v>45799</v>
      </c>
      <c r="C743" t="s">
        <v>142</v>
      </c>
      <c r="D743" s="13" t="s">
        <v>634</v>
      </c>
      <c r="E743" t="s">
        <v>248</v>
      </c>
      <c r="F743" s="11">
        <v>1</v>
      </c>
      <c r="G743" s="11">
        <v>21848.74</v>
      </c>
    </row>
    <row r="744" spans="2:7" x14ac:dyDescent="0.2">
      <c r="B744" s="32">
        <v>45799</v>
      </c>
      <c r="C744" t="s">
        <v>142</v>
      </c>
      <c r="D744" s="13" t="s">
        <v>634</v>
      </c>
      <c r="F744" s="11">
        <v>0</v>
      </c>
      <c r="G744" s="11">
        <v>0</v>
      </c>
    </row>
    <row r="745" spans="2:7" x14ac:dyDescent="0.2">
      <c r="B745" s="32">
        <v>45799</v>
      </c>
      <c r="C745" t="s">
        <v>142</v>
      </c>
      <c r="D745" s="13" t="s">
        <v>633</v>
      </c>
      <c r="E745" t="s">
        <v>673</v>
      </c>
      <c r="F745" s="11">
        <v>2</v>
      </c>
      <c r="G745" s="11">
        <v>252100.84</v>
      </c>
    </row>
    <row r="746" spans="2:7" x14ac:dyDescent="0.2">
      <c r="B746" s="32">
        <v>45799</v>
      </c>
      <c r="C746" t="s">
        <v>142</v>
      </c>
      <c r="D746" s="13" t="s">
        <v>633</v>
      </c>
      <c r="E746" t="s">
        <v>661</v>
      </c>
      <c r="F746" s="11">
        <v>2</v>
      </c>
      <c r="G746" s="11">
        <v>201680.67</v>
      </c>
    </row>
    <row r="747" spans="2:7" x14ac:dyDescent="0.2">
      <c r="B747" s="32">
        <v>45799</v>
      </c>
      <c r="C747" t="s">
        <v>142</v>
      </c>
      <c r="D747" s="13" t="s">
        <v>633</v>
      </c>
      <c r="E747" t="s">
        <v>153</v>
      </c>
      <c r="F747" s="11">
        <v>2</v>
      </c>
      <c r="G747" s="11">
        <v>84033.62</v>
      </c>
    </row>
    <row r="748" spans="2:7" x14ac:dyDescent="0.2">
      <c r="B748" s="32">
        <v>45799</v>
      </c>
      <c r="C748" t="s">
        <v>142</v>
      </c>
      <c r="D748" s="13" t="s">
        <v>633</v>
      </c>
      <c r="E748" t="s">
        <v>1760</v>
      </c>
      <c r="F748" s="11">
        <v>1</v>
      </c>
      <c r="G748" s="11">
        <v>75630.25</v>
      </c>
    </row>
    <row r="749" spans="2:7" x14ac:dyDescent="0.2">
      <c r="B749" s="32">
        <v>45799</v>
      </c>
      <c r="C749" t="s">
        <v>142</v>
      </c>
      <c r="D749" s="13" t="s">
        <v>633</v>
      </c>
      <c r="E749" t="s">
        <v>189</v>
      </c>
      <c r="F749" s="11">
        <v>1</v>
      </c>
      <c r="G749" s="11">
        <v>71428.570000000007</v>
      </c>
    </row>
    <row r="750" spans="2:7" x14ac:dyDescent="0.2">
      <c r="B750" s="32">
        <v>45799</v>
      </c>
      <c r="C750" t="s">
        <v>142</v>
      </c>
      <c r="D750" s="13" t="s">
        <v>633</v>
      </c>
      <c r="E750" t="s">
        <v>352</v>
      </c>
      <c r="F750" s="11">
        <v>1</v>
      </c>
      <c r="G750" s="11">
        <v>63025.21</v>
      </c>
    </row>
    <row r="751" spans="2:7" x14ac:dyDescent="0.2">
      <c r="B751" s="32">
        <v>45799</v>
      </c>
      <c r="C751" t="s">
        <v>142</v>
      </c>
      <c r="D751" s="13" t="s">
        <v>633</v>
      </c>
      <c r="E751" t="s">
        <v>1845</v>
      </c>
      <c r="F751" s="11">
        <v>1</v>
      </c>
      <c r="G751" s="11">
        <v>58823.53</v>
      </c>
    </row>
    <row r="752" spans="2:7" x14ac:dyDescent="0.2">
      <c r="B752" s="32">
        <v>45799</v>
      </c>
      <c r="C752" t="s">
        <v>142</v>
      </c>
      <c r="D752" s="13" t="s">
        <v>633</v>
      </c>
      <c r="E752" t="s">
        <v>470</v>
      </c>
      <c r="F752" s="11">
        <v>1</v>
      </c>
      <c r="G752" s="11">
        <v>50420.17</v>
      </c>
    </row>
    <row r="753" spans="2:7" x14ac:dyDescent="0.2">
      <c r="B753" s="32">
        <v>45799</v>
      </c>
      <c r="C753" t="s">
        <v>142</v>
      </c>
      <c r="D753" s="13" t="s">
        <v>633</v>
      </c>
      <c r="E753" t="s">
        <v>240</v>
      </c>
      <c r="F753" s="11">
        <v>1</v>
      </c>
      <c r="G753" s="11">
        <v>42016.81</v>
      </c>
    </row>
    <row r="754" spans="2:7" x14ac:dyDescent="0.2">
      <c r="B754" s="32">
        <v>45799</v>
      </c>
      <c r="C754" t="s">
        <v>142</v>
      </c>
      <c r="D754" s="13" t="s">
        <v>633</v>
      </c>
      <c r="E754" t="s">
        <v>148</v>
      </c>
      <c r="F754" s="11">
        <v>1</v>
      </c>
      <c r="G754" s="11">
        <v>37815.129999999997</v>
      </c>
    </row>
    <row r="755" spans="2:7" x14ac:dyDescent="0.2">
      <c r="B755" s="32">
        <v>45799</v>
      </c>
      <c r="C755" t="s">
        <v>142</v>
      </c>
      <c r="D755" s="13" t="s">
        <v>633</v>
      </c>
      <c r="E755" t="s">
        <v>342</v>
      </c>
      <c r="F755" s="11">
        <v>1</v>
      </c>
      <c r="G755" s="11">
        <v>21848.74</v>
      </c>
    </row>
    <row r="756" spans="2:7" x14ac:dyDescent="0.2">
      <c r="B756" s="32">
        <v>45799</v>
      </c>
      <c r="C756" t="s">
        <v>142</v>
      </c>
      <c r="D756" s="13" t="s">
        <v>633</v>
      </c>
      <c r="E756" t="s">
        <v>466</v>
      </c>
      <c r="F756" s="11">
        <v>1</v>
      </c>
      <c r="G756" s="11">
        <v>21848.74</v>
      </c>
    </row>
    <row r="757" spans="2:7" x14ac:dyDescent="0.2">
      <c r="B757" s="32">
        <v>45799</v>
      </c>
      <c r="C757" t="s">
        <v>142</v>
      </c>
      <c r="D757" s="13" t="s">
        <v>633</v>
      </c>
      <c r="E757" t="s">
        <v>1846</v>
      </c>
      <c r="F757" s="11">
        <v>1</v>
      </c>
      <c r="G757" s="11">
        <v>21008.400000000001</v>
      </c>
    </row>
    <row r="758" spans="2:7" x14ac:dyDescent="0.2">
      <c r="B758" s="32">
        <v>45799</v>
      </c>
      <c r="C758" t="s">
        <v>142</v>
      </c>
      <c r="D758" s="13" t="s">
        <v>633</v>
      </c>
      <c r="E758" t="s">
        <v>1769</v>
      </c>
      <c r="F758" s="11">
        <v>1</v>
      </c>
      <c r="G758" s="11">
        <v>21008.400000000001</v>
      </c>
    </row>
    <row r="759" spans="2:7" x14ac:dyDescent="0.2">
      <c r="B759" s="32">
        <v>45799</v>
      </c>
      <c r="C759" t="s">
        <v>142</v>
      </c>
      <c r="D759" s="13" t="s">
        <v>633</v>
      </c>
      <c r="F759" s="11">
        <v>0</v>
      </c>
      <c r="G759" s="11">
        <v>0</v>
      </c>
    </row>
    <row r="760" spans="2:7" x14ac:dyDescent="0.2">
      <c r="B760" s="32">
        <v>45800</v>
      </c>
      <c r="C760" t="s">
        <v>142</v>
      </c>
      <c r="D760" s="13" t="s">
        <v>634</v>
      </c>
      <c r="E760" t="s">
        <v>212</v>
      </c>
      <c r="F760" s="11">
        <v>1</v>
      </c>
      <c r="G760" s="11">
        <v>54621.85</v>
      </c>
    </row>
    <row r="761" spans="2:7" x14ac:dyDescent="0.2">
      <c r="B761" s="32">
        <v>45800</v>
      </c>
      <c r="C761" t="s">
        <v>142</v>
      </c>
      <c r="D761" s="13" t="s">
        <v>634</v>
      </c>
      <c r="E761" t="s">
        <v>350</v>
      </c>
      <c r="F761" s="11">
        <v>1</v>
      </c>
      <c r="G761" s="11">
        <v>46218.49</v>
      </c>
    </row>
    <row r="762" spans="2:7" x14ac:dyDescent="0.2">
      <c r="B762" s="32">
        <v>45800</v>
      </c>
      <c r="C762" t="s">
        <v>142</v>
      </c>
      <c r="D762" s="13" t="s">
        <v>634</v>
      </c>
      <c r="E762" t="s">
        <v>166</v>
      </c>
      <c r="F762" s="11">
        <v>1</v>
      </c>
      <c r="G762" s="11">
        <v>42016.81</v>
      </c>
    </row>
    <row r="763" spans="2:7" x14ac:dyDescent="0.2">
      <c r="B763" s="32">
        <v>45800</v>
      </c>
      <c r="C763" t="s">
        <v>142</v>
      </c>
      <c r="D763" s="13" t="s">
        <v>634</v>
      </c>
      <c r="E763" t="s">
        <v>466</v>
      </c>
      <c r="F763" s="11">
        <v>1</v>
      </c>
      <c r="G763" s="11">
        <v>21848.74</v>
      </c>
    </row>
    <row r="764" spans="2:7" x14ac:dyDescent="0.2">
      <c r="B764" s="32">
        <v>45800</v>
      </c>
      <c r="C764" t="s">
        <v>142</v>
      </c>
      <c r="D764" s="13" t="s">
        <v>633</v>
      </c>
      <c r="E764" t="s">
        <v>781</v>
      </c>
      <c r="F764" s="11">
        <v>1</v>
      </c>
      <c r="G764" s="11">
        <v>186554.62</v>
      </c>
    </row>
    <row r="765" spans="2:7" x14ac:dyDescent="0.2">
      <c r="B765" s="32">
        <v>45800</v>
      </c>
      <c r="C765" t="s">
        <v>142</v>
      </c>
      <c r="D765" s="13" t="s">
        <v>633</v>
      </c>
      <c r="E765" t="s">
        <v>290</v>
      </c>
      <c r="F765" s="11">
        <v>1</v>
      </c>
      <c r="G765" s="11">
        <v>58823.53</v>
      </c>
    </row>
    <row r="766" spans="2:7" x14ac:dyDescent="0.2">
      <c r="B766" s="32">
        <v>45800</v>
      </c>
      <c r="C766" t="s">
        <v>142</v>
      </c>
      <c r="D766" s="13" t="s">
        <v>633</v>
      </c>
      <c r="E766" t="s">
        <v>208</v>
      </c>
      <c r="F766" s="11">
        <v>1</v>
      </c>
      <c r="G766" s="11">
        <v>58823.53</v>
      </c>
    </row>
    <row r="767" spans="2:7" x14ac:dyDescent="0.2">
      <c r="B767" s="32">
        <v>45800</v>
      </c>
      <c r="C767" t="s">
        <v>142</v>
      </c>
      <c r="D767" s="13" t="s">
        <v>633</v>
      </c>
      <c r="E767" t="s">
        <v>455</v>
      </c>
      <c r="F767" s="11">
        <v>1</v>
      </c>
      <c r="G767" s="11">
        <v>50420.17</v>
      </c>
    </row>
    <row r="768" spans="2:7" x14ac:dyDescent="0.2">
      <c r="B768" s="32">
        <v>45800</v>
      </c>
      <c r="C768" t="s">
        <v>142</v>
      </c>
      <c r="D768" s="13" t="s">
        <v>633</v>
      </c>
      <c r="E768" t="s">
        <v>445</v>
      </c>
      <c r="F768" s="11">
        <v>1</v>
      </c>
      <c r="G768" s="11">
        <v>50420.17</v>
      </c>
    </row>
    <row r="769" spans="2:7" x14ac:dyDescent="0.2">
      <c r="B769" s="32">
        <v>45800</v>
      </c>
      <c r="C769" t="s">
        <v>142</v>
      </c>
      <c r="D769" s="13" t="s">
        <v>633</v>
      </c>
      <c r="E769" t="s">
        <v>1771</v>
      </c>
      <c r="F769" s="11">
        <v>1</v>
      </c>
      <c r="G769" s="11">
        <v>46218.49</v>
      </c>
    </row>
    <row r="770" spans="2:7" x14ac:dyDescent="0.2">
      <c r="B770" s="32">
        <v>45800</v>
      </c>
      <c r="C770" t="s">
        <v>142</v>
      </c>
      <c r="D770" s="13" t="s">
        <v>633</v>
      </c>
      <c r="E770" t="s">
        <v>1772</v>
      </c>
      <c r="F770" s="11">
        <v>1</v>
      </c>
      <c r="G770" s="11">
        <v>46218.48</v>
      </c>
    </row>
    <row r="771" spans="2:7" x14ac:dyDescent="0.2">
      <c r="B771" s="32">
        <v>45800</v>
      </c>
      <c r="C771" t="s">
        <v>142</v>
      </c>
      <c r="D771" s="13" t="s">
        <v>633</v>
      </c>
      <c r="E771" t="s">
        <v>1847</v>
      </c>
      <c r="F771" s="11">
        <v>2</v>
      </c>
      <c r="G771" s="11">
        <v>33613.449999999997</v>
      </c>
    </row>
    <row r="772" spans="2:7" x14ac:dyDescent="0.2">
      <c r="B772" s="32">
        <v>45800</v>
      </c>
      <c r="C772" t="s">
        <v>142</v>
      </c>
      <c r="D772" s="13" t="s">
        <v>633</v>
      </c>
      <c r="F772" s="11">
        <v>1</v>
      </c>
      <c r="G772" s="11">
        <v>29411.759999999998</v>
      </c>
    </row>
    <row r="773" spans="2:7" x14ac:dyDescent="0.2">
      <c r="B773" s="32">
        <v>45801</v>
      </c>
      <c r="C773" t="s">
        <v>142</v>
      </c>
      <c r="D773" s="13" t="s">
        <v>634</v>
      </c>
      <c r="E773" t="s">
        <v>604</v>
      </c>
      <c r="F773" s="11">
        <v>5</v>
      </c>
      <c r="G773" s="11">
        <v>231092.44</v>
      </c>
    </row>
    <row r="774" spans="2:7" x14ac:dyDescent="0.2">
      <c r="B774" s="32">
        <v>45801</v>
      </c>
      <c r="C774" t="s">
        <v>142</v>
      </c>
      <c r="D774" s="13" t="s">
        <v>634</v>
      </c>
      <c r="E774" t="s">
        <v>1804</v>
      </c>
      <c r="F774" s="11">
        <v>1</v>
      </c>
      <c r="G774" s="11">
        <v>82352.94</v>
      </c>
    </row>
    <row r="775" spans="2:7" x14ac:dyDescent="0.2">
      <c r="B775" s="32">
        <v>45801</v>
      </c>
      <c r="C775" t="s">
        <v>142</v>
      </c>
      <c r="D775" s="13" t="s">
        <v>634</v>
      </c>
      <c r="E775" t="s">
        <v>515</v>
      </c>
      <c r="F775" s="11">
        <v>1</v>
      </c>
      <c r="G775" s="11">
        <v>58823.53</v>
      </c>
    </row>
    <row r="776" spans="2:7" x14ac:dyDescent="0.2">
      <c r="B776" s="32">
        <v>45801</v>
      </c>
      <c r="C776" t="s">
        <v>142</v>
      </c>
      <c r="D776" s="13" t="s">
        <v>634</v>
      </c>
      <c r="E776" t="s">
        <v>162</v>
      </c>
      <c r="F776" s="11">
        <v>1</v>
      </c>
      <c r="G776" s="11">
        <v>58823.53</v>
      </c>
    </row>
    <row r="777" spans="2:7" x14ac:dyDescent="0.2">
      <c r="B777" s="32">
        <v>45801</v>
      </c>
      <c r="C777" t="s">
        <v>142</v>
      </c>
      <c r="D777" s="13" t="s">
        <v>634</v>
      </c>
      <c r="E777" t="s">
        <v>233</v>
      </c>
      <c r="F777" s="11">
        <v>1</v>
      </c>
      <c r="G777" s="11">
        <v>58823.53</v>
      </c>
    </row>
    <row r="778" spans="2:7" x14ac:dyDescent="0.2">
      <c r="B778" s="32">
        <v>45801</v>
      </c>
      <c r="C778" t="s">
        <v>142</v>
      </c>
      <c r="D778" s="13" t="s">
        <v>634</v>
      </c>
      <c r="E778" t="s">
        <v>165</v>
      </c>
      <c r="F778" s="11">
        <v>1</v>
      </c>
      <c r="G778" s="11">
        <v>58823.53</v>
      </c>
    </row>
    <row r="779" spans="2:7" x14ac:dyDescent="0.2">
      <c r="B779" s="32">
        <v>45801</v>
      </c>
      <c r="C779" t="s">
        <v>142</v>
      </c>
      <c r="D779" s="13" t="s">
        <v>634</v>
      </c>
      <c r="E779" t="s">
        <v>205</v>
      </c>
      <c r="F779" s="11">
        <v>1</v>
      </c>
      <c r="G779" s="11">
        <v>58823.53</v>
      </c>
    </row>
    <row r="780" spans="2:7" x14ac:dyDescent="0.2">
      <c r="B780" s="32">
        <v>45801</v>
      </c>
      <c r="C780" t="s">
        <v>142</v>
      </c>
      <c r="D780" s="13" t="s">
        <v>634</v>
      </c>
      <c r="E780" t="s">
        <v>773</v>
      </c>
      <c r="F780" s="11">
        <v>1</v>
      </c>
      <c r="G780" s="11">
        <v>50420.17</v>
      </c>
    </row>
    <row r="781" spans="2:7" x14ac:dyDescent="0.2">
      <c r="B781" s="32">
        <v>45801</v>
      </c>
      <c r="C781" t="s">
        <v>142</v>
      </c>
      <c r="D781" s="13" t="s">
        <v>634</v>
      </c>
      <c r="F781" s="11">
        <v>0</v>
      </c>
      <c r="G781" s="11">
        <v>0</v>
      </c>
    </row>
    <row r="782" spans="2:7" x14ac:dyDescent="0.2">
      <c r="B782" s="32">
        <v>45801</v>
      </c>
      <c r="C782" t="s">
        <v>142</v>
      </c>
      <c r="D782" s="13" t="s">
        <v>633</v>
      </c>
      <c r="E782" t="s">
        <v>1797</v>
      </c>
      <c r="F782" s="11">
        <v>1</v>
      </c>
      <c r="G782" s="11">
        <v>100840.34</v>
      </c>
    </row>
    <row r="783" spans="2:7" x14ac:dyDescent="0.2">
      <c r="B783" s="32">
        <v>45801</v>
      </c>
      <c r="C783" t="s">
        <v>142</v>
      </c>
      <c r="D783" s="13" t="s">
        <v>633</v>
      </c>
      <c r="E783" t="s">
        <v>521</v>
      </c>
      <c r="F783" s="11">
        <v>1</v>
      </c>
      <c r="G783" s="11">
        <v>79831.929999999993</v>
      </c>
    </row>
    <row r="784" spans="2:7" x14ac:dyDescent="0.2">
      <c r="B784" s="32">
        <v>45801</v>
      </c>
      <c r="C784" t="s">
        <v>142</v>
      </c>
      <c r="D784" s="13" t="s">
        <v>633</v>
      </c>
      <c r="E784" t="s">
        <v>455</v>
      </c>
      <c r="F784" s="11">
        <v>1</v>
      </c>
      <c r="G784" s="11">
        <v>50420.17</v>
      </c>
    </row>
    <row r="785" spans="2:7" x14ac:dyDescent="0.2">
      <c r="B785" s="32">
        <v>45801</v>
      </c>
      <c r="C785" t="s">
        <v>142</v>
      </c>
      <c r="D785" s="13" t="s">
        <v>633</v>
      </c>
      <c r="E785" t="s">
        <v>513</v>
      </c>
      <c r="F785" s="11">
        <v>1</v>
      </c>
      <c r="G785" s="11">
        <v>50420.17</v>
      </c>
    </row>
    <row r="786" spans="2:7" x14ac:dyDescent="0.2">
      <c r="B786" s="32">
        <v>45801</v>
      </c>
      <c r="C786" t="s">
        <v>142</v>
      </c>
      <c r="D786" s="13" t="s">
        <v>633</v>
      </c>
      <c r="E786" t="s">
        <v>470</v>
      </c>
      <c r="F786" s="11">
        <v>1</v>
      </c>
      <c r="G786" s="11">
        <v>0</v>
      </c>
    </row>
    <row r="787" spans="2:7" x14ac:dyDescent="0.2">
      <c r="B787" s="32">
        <v>45801</v>
      </c>
      <c r="C787" t="s">
        <v>142</v>
      </c>
      <c r="D787" s="13" t="s">
        <v>633</v>
      </c>
      <c r="F787" s="11">
        <v>0</v>
      </c>
      <c r="G787" s="11">
        <v>0</v>
      </c>
    </row>
    <row r="788" spans="2:7" x14ac:dyDescent="0.2">
      <c r="B788" s="32">
        <v>45802</v>
      </c>
      <c r="C788" t="s">
        <v>142</v>
      </c>
      <c r="D788" s="13" t="s">
        <v>634</v>
      </c>
      <c r="E788" t="s">
        <v>1848</v>
      </c>
      <c r="F788" s="11">
        <v>1</v>
      </c>
      <c r="G788" s="11">
        <v>180672.27</v>
      </c>
    </row>
    <row r="789" spans="2:7" x14ac:dyDescent="0.2">
      <c r="B789" s="32">
        <v>45802</v>
      </c>
      <c r="C789" t="s">
        <v>142</v>
      </c>
      <c r="D789" s="13" t="s">
        <v>634</v>
      </c>
      <c r="E789" t="s">
        <v>1849</v>
      </c>
      <c r="F789" s="11">
        <v>1</v>
      </c>
      <c r="G789" s="11">
        <v>151260.5</v>
      </c>
    </row>
    <row r="790" spans="2:7" x14ac:dyDescent="0.2">
      <c r="B790" s="32">
        <v>45802</v>
      </c>
      <c r="C790" t="s">
        <v>142</v>
      </c>
      <c r="D790" s="13" t="s">
        <v>634</v>
      </c>
      <c r="E790" t="s">
        <v>191</v>
      </c>
      <c r="F790" s="11">
        <v>1</v>
      </c>
      <c r="G790" s="11">
        <v>151260.5</v>
      </c>
    </row>
    <row r="791" spans="2:7" x14ac:dyDescent="0.2">
      <c r="B791" s="32">
        <v>45802</v>
      </c>
      <c r="C791" t="s">
        <v>142</v>
      </c>
      <c r="D791" s="13" t="s">
        <v>634</v>
      </c>
      <c r="E791" t="s">
        <v>268</v>
      </c>
      <c r="F791" s="11">
        <v>1</v>
      </c>
      <c r="G791" s="11">
        <v>138655.46</v>
      </c>
    </row>
    <row r="792" spans="2:7" x14ac:dyDescent="0.2">
      <c r="B792" s="32">
        <v>45802</v>
      </c>
      <c r="C792" t="s">
        <v>142</v>
      </c>
      <c r="D792" s="13" t="s">
        <v>634</v>
      </c>
      <c r="E792" t="s">
        <v>1850</v>
      </c>
      <c r="F792" s="11">
        <v>1</v>
      </c>
      <c r="G792" s="11">
        <v>117647.06</v>
      </c>
    </row>
    <row r="793" spans="2:7" x14ac:dyDescent="0.2">
      <c r="B793" s="32">
        <v>45802</v>
      </c>
      <c r="C793" t="s">
        <v>142</v>
      </c>
      <c r="D793" s="13" t="s">
        <v>634</v>
      </c>
      <c r="E793" t="s">
        <v>655</v>
      </c>
      <c r="F793" s="11">
        <v>1</v>
      </c>
      <c r="G793" s="11">
        <v>117647.06</v>
      </c>
    </row>
    <row r="794" spans="2:7" x14ac:dyDescent="0.2">
      <c r="B794" s="32">
        <v>45802</v>
      </c>
      <c r="C794" t="s">
        <v>142</v>
      </c>
      <c r="D794" s="13" t="s">
        <v>634</v>
      </c>
      <c r="E794" t="s">
        <v>185</v>
      </c>
      <c r="F794" s="11">
        <v>1</v>
      </c>
      <c r="G794" s="11">
        <v>82352.94</v>
      </c>
    </row>
    <row r="795" spans="2:7" x14ac:dyDescent="0.2">
      <c r="B795" s="32">
        <v>45802</v>
      </c>
      <c r="C795" t="s">
        <v>142</v>
      </c>
      <c r="D795" s="13" t="s">
        <v>634</v>
      </c>
      <c r="E795" t="s">
        <v>576</v>
      </c>
      <c r="F795" s="11">
        <v>1</v>
      </c>
      <c r="G795" s="11">
        <v>58823.53</v>
      </c>
    </row>
    <row r="796" spans="2:7" x14ac:dyDescent="0.2">
      <c r="B796" s="32">
        <v>45802</v>
      </c>
      <c r="C796" t="s">
        <v>142</v>
      </c>
      <c r="D796" s="13" t="s">
        <v>634</v>
      </c>
      <c r="E796" t="s">
        <v>257</v>
      </c>
      <c r="F796" s="11">
        <v>1</v>
      </c>
      <c r="G796" s="11">
        <v>58823.53</v>
      </c>
    </row>
    <row r="797" spans="2:7" x14ac:dyDescent="0.2">
      <c r="B797" s="32">
        <v>45802</v>
      </c>
      <c r="C797" t="s">
        <v>142</v>
      </c>
      <c r="D797" s="13" t="s">
        <v>634</v>
      </c>
      <c r="E797" t="s">
        <v>1753</v>
      </c>
      <c r="F797" s="11">
        <v>1</v>
      </c>
      <c r="G797" s="11">
        <v>54621.85</v>
      </c>
    </row>
    <row r="798" spans="2:7" x14ac:dyDescent="0.2">
      <c r="B798" s="32">
        <v>45802</v>
      </c>
      <c r="C798" t="s">
        <v>142</v>
      </c>
      <c r="D798" s="13" t="s">
        <v>634</v>
      </c>
      <c r="E798" t="s">
        <v>1752</v>
      </c>
      <c r="F798" s="11">
        <v>1</v>
      </c>
      <c r="G798" s="11">
        <v>54621.85</v>
      </c>
    </row>
    <row r="799" spans="2:7" x14ac:dyDescent="0.2">
      <c r="B799" s="32">
        <v>45802</v>
      </c>
      <c r="C799" t="s">
        <v>142</v>
      </c>
      <c r="D799" s="13" t="s">
        <v>634</v>
      </c>
      <c r="E799" t="s">
        <v>344</v>
      </c>
      <c r="F799" s="11">
        <v>1</v>
      </c>
      <c r="G799" s="11">
        <v>54621.85</v>
      </c>
    </row>
    <row r="800" spans="2:7" x14ac:dyDescent="0.2">
      <c r="B800" s="32">
        <v>45802</v>
      </c>
      <c r="C800" t="s">
        <v>142</v>
      </c>
      <c r="D800" s="13" t="s">
        <v>634</v>
      </c>
      <c r="E800" t="s">
        <v>292</v>
      </c>
      <c r="F800" s="11">
        <v>1</v>
      </c>
      <c r="G800" s="11">
        <v>54621.85</v>
      </c>
    </row>
    <row r="801" spans="2:7" x14ac:dyDescent="0.2">
      <c r="B801" s="32">
        <v>45802</v>
      </c>
      <c r="C801" t="s">
        <v>142</v>
      </c>
      <c r="D801" s="13" t="s">
        <v>634</v>
      </c>
      <c r="E801" t="s">
        <v>300</v>
      </c>
      <c r="F801" s="11">
        <v>1</v>
      </c>
      <c r="G801" s="11">
        <v>37815.120000000003</v>
      </c>
    </row>
    <row r="802" spans="2:7" x14ac:dyDescent="0.2">
      <c r="B802" s="32">
        <v>45802</v>
      </c>
      <c r="C802" t="s">
        <v>142</v>
      </c>
      <c r="D802" s="13" t="s">
        <v>634</v>
      </c>
      <c r="E802" t="s">
        <v>1796</v>
      </c>
      <c r="F802" s="11">
        <v>1</v>
      </c>
      <c r="G802" s="11">
        <v>21008.400000000001</v>
      </c>
    </row>
    <row r="803" spans="2:7" x14ac:dyDescent="0.2">
      <c r="B803" s="32">
        <v>45802</v>
      </c>
      <c r="C803" t="s">
        <v>142</v>
      </c>
      <c r="D803" s="13" t="s">
        <v>634</v>
      </c>
      <c r="E803" t="s">
        <v>218</v>
      </c>
      <c r="F803" s="11">
        <v>1</v>
      </c>
      <c r="G803" s="11">
        <v>21008.400000000001</v>
      </c>
    </row>
    <row r="804" spans="2:7" x14ac:dyDescent="0.2">
      <c r="B804" s="32">
        <v>45802</v>
      </c>
      <c r="C804" t="s">
        <v>142</v>
      </c>
      <c r="D804" s="13" t="s">
        <v>634</v>
      </c>
      <c r="F804" s="11">
        <v>0</v>
      </c>
      <c r="G804" s="11">
        <v>0</v>
      </c>
    </row>
    <row r="805" spans="2:7" x14ac:dyDescent="0.2">
      <c r="B805" s="32">
        <v>45802</v>
      </c>
      <c r="C805" t="s">
        <v>142</v>
      </c>
      <c r="D805" s="13" t="s">
        <v>633</v>
      </c>
      <c r="E805" t="s">
        <v>476</v>
      </c>
      <c r="F805" s="11">
        <v>1</v>
      </c>
      <c r="G805" s="11">
        <v>82352.929999999993</v>
      </c>
    </row>
    <row r="806" spans="2:7" x14ac:dyDescent="0.2">
      <c r="B806" s="32">
        <v>45802</v>
      </c>
      <c r="C806" t="s">
        <v>142</v>
      </c>
      <c r="D806" s="13" t="s">
        <v>633</v>
      </c>
      <c r="E806" t="s">
        <v>1749</v>
      </c>
      <c r="F806" s="11">
        <v>1</v>
      </c>
      <c r="G806" s="11">
        <v>46218.49</v>
      </c>
    </row>
    <row r="807" spans="2:7" x14ac:dyDescent="0.2">
      <c r="B807" s="32">
        <v>45802</v>
      </c>
      <c r="C807" t="s">
        <v>142</v>
      </c>
      <c r="D807" s="13" t="s">
        <v>633</v>
      </c>
      <c r="E807" t="s">
        <v>148</v>
      </c>
      <c r="F807" s="11">
        <v>1</v>
      </c>
      <c r="G807" s="11">
        <v>37815.129999999997</v>
      </c>
    </row>
    <row r="808" spans="2:7" x14ac:dyDescent="0.2">
      <c r="B808" s="32">
        <v>45802</v>
      </c>
      <c r="C808" t="s">
        <v>142</v>
      </c>
      <c r="D808" s="13" t="s">
        <v>633</v>
      </c>
      <c r="E808" t="s">
        <v>293</v>
      </c>
      <c r="F808" s="11">
        <v>1</v>
      </c>
      <c r="G808" s="11">
        <v>37815.129999999997</v>
      </c>
    </row>
    <row r="809" spans="2:7" x14ac:dyDescent="0.2">
      <c r="B809" s="32">
        <v>45802</v>
      </c>
      <c r="C809" t="s">
        <v>142</v>
      </c>
      <c r="D809" s="13" t="s">
        <v>633</v>
      </c>
      <c r="E809" t="s">
        <v>173</v>
      </c>
      <c r="F809" s="11">
        <v>1</v>
      </c>
      <c r="G809" s="11">
        <v>37815.129999999997</v>
      </c>
    </row>
    <row r="810" spans="2:7" x14ac:dyDescent="0.2">
      <c r="B810" s="32">
        <v>45802</v>
      </c>
      <c r="C810" t="s">
        <v>142</v>
      </c>
      <c r="D810" s="13" t="s">
        <v>633</v>
      </c>
      <c r="F810" s="11">
        <v>0</v>
      </c>
      <c r="G810" s="11">
        <v>0</v>
      </c>
    </row>
    <row r="811" spans="2:7" x14ac:dyDescent="0.2">
      <c r="B811" s="32">
        <v>45803</v>
      </c>
      <c r="C811" t="s">
        <v>142</v>
      </c>
      <c r="D811" s="13" t="s">
        <v>634</v>
      </c>
      <c r="E811" t="s">
        <v>728</v>
      </c>
      <c r="F811" s="11">
        <v>0</v>
      </c>
      <c r="G811" s="11">
        <v>197478.99</v>
      </c>
    </row>
    <row r="812" spans="2:7" x14ac:dyDescent="0.2">
      <c r="B812" s="32">
        <v>45803</v>
      </c>
      <c r="C812" t="s">
        <v>142</v>
      </c>
      <c r="D812" s="13" t="s">
        <v>634</v>
      </c>
      <c r="E812" t="s">
        <v>181</v>
      </c>
      <c r="F812" s="11">
        <v>1</v>
      </c>
      <c r="G812" s="11">
        <v>58823.53</v>
      </c>
    </row>
    <row r="813" spans="2:7" x14ac:dyDescent="0.2">
      <c r="B813" s="32">
        <v>45803</v>
      </c>
      <c r="C813" t="s">
        <v>142</v>
      </c>
      <c r="D813" s="13" t="s">
        <v>634</v>
      </c>
      <c r="E813" t="s">
        <v>212</v>
      </c>
      <c r="F813" s="11">
        <v>0</v>
      </c>
      <c r="G813" s="11">
        <v>8403.36</v>
      </c>
    </row>
    <row r="814" spans="2:7" x14ac:dyDescent="0.2">
      <c r="B814" s="32">
        <v>45803</v>
      </c>
      <c r="C814" t="s">
        <v>142</v>
      </c>
      <c r="D814" s="13" t="s">
        <v>634</v>
      </c>
      <c r="F814" s="11">
        <v>0</v>
      </c>
      <c r="G814" s="11">
        <v>0</v>
      </c>
    </row>
    <row r="815" spans="2:7" x14ac:dyDescent="0.2">
      <c r="B815" s="32">
        <v>45803</v>
      </c>
      <c r="C815" t="s">
        <v>142</v>
      </c>
      <c r="D815" s="13" t="s">
        <v>634</v>
      </c>
      <c r="E815" t="s">
        <v>191</v>
      </c>
      <c r="F815" s="11">
        <v>0</v>
      </c>
      <c r="G815" s="11">
        <v>-151260.5</v>
      </c>
    </row>
    <row r="816" spans="2:7" x14ac:dyDescent="0.2">
      <c r="B816" s="32">
        <v>45803</v>
      </c>
      <c r="C816" t="s">
        <v>142</v>
      </c>
      <c r="D816" s="13" t="s">
        <v>633</v>
      </c>
      <c r="E816" t="s">
        <v>736</v>
      </c>
      <c r="F816" s="11">
        <v>3</v>
      </c>
      <c r="G816" s="11">
        <v>145718.81</v>
      </c>
    </row>
    <row r="817" spans="2:7" x14ac:dyDescent="0.2">
      <c r="B817" s="32">
        <v>45803</v>
      </c>
      <c r="C817" t="s">
        <v>142</v>
      </c>
      <c r="D817" s="13" t="s">
        <v>633</v>
      </c>
      <c r="E817" t="s">
        <v>561</v>
      </c>
      <c r="F817" s="11">
        <v>1</v>
      </c>
      <c r="G817" s="11">
        <v>138655.47</v>
      </c>
    </row>
    <row r="818" spans="2:7" x14ac:dyDescent="0.2">
      <c r="B818" s="32">
        <v>45803</v>
      </c>
      <c r="C818" t="s">
        <v>142</v>
      </c>
      <c r="D818" s="13" t="s">
        <v>633</v>
      </c>
      <c r="E818" t="s">
        <v>1851</v>
      </c>
      <c r="F818" s="11">
        <v>1</v>
      </c>
      <c r="G818" s="11">
        <v>138655.46</v>
      </c>
    </row>
    <row r="819" spans="2:7" x14ac:dyDescent="0.2">
      <c r="B819" s="32">
        <v>45803</v>
      </c>
      <c r="C819" t="s">
        <v>142</v>
      </c>
      <c r="D819" s="13" t="s">
        <v>633</v>
      </c>
      <c r="E819" t="s">
        <v>1852</v>
      </c>
      <c r="F819" s="11">
        <v>1</v>
      </c>
      <c r="G819" s="11">
        <v>138655.46</v>
      </c>
    </row>
    <row r="820" spans="2:7" x14ac:dyDescent="0.2">
      <c r="B820" s="32">
        <v>45803</v>
      </c>
      <c r="C820" t="s">
        <v>142</v>
      </c>
      <c r="D820" s="13" t="s">
        <v>633</v>
      </c>
      <c r="E820" t="s">
        <v>1853</v>
      </c>
      <c r="F820" s="11">
        <v>4</v>
      </c>
      <c r="G820" s="11">
        <v>94987.07</v>
      </c>
    </row>
    <row r="821" spans="2:7" x14ac:dyDescent="0.2">
      <c r="B821" s="32">
        <v>45803</v>
      </c>
      <c r="C821" t="s">
        <v>142</v>
      </c>
      <c r="D821" s="13" t="s">
        <v>633</v>
      </c>
      <c r="E821" t="s">
        <v>259</v>
      </c>
      <c r="F821" s="11">
        <v>1</v>
      </c>
      <c r="G821" s="11">
        <v>58823.53</v>
      </c>
    </row>
    <row r="822" spans="2:7" x14ac:dyDescent="0.2">
      <c r="B822" s="32">
        <v>45803</v>
      </c>
      <c r="C822" t="s">
        <v>142</v>
      </c>
      <c r="D822" s="13" t="s">
        <v>633</v>
      </c>
      <c r="E822" t="s">
        <v>423</v>
      </c>
      <c r="F822" s="11">
        <v>1</v>
      </c>
      <c r="G822" s="11">
        <v>44117.65</v>
      </c>
    </row>
    <row r="823" spans="2:7" x14ac:dyDescent="0.2">
      <c r="B823" s="32">
        <v>45803</v>
      </c>
      <c r="C823" t="s">
        <v>142</v>
      </c>
      <c r="D823" s="13" t="s">
        <v>633</v>
      </c>
      <c r="F823" s="11">
        <v>0</v>
      </c>
      <c r="G823" s="11">
        <v>0</v>
      </c>
    </row>
    <row r="824" spans="2:7" x14ac:dyDescent="0.2">
      <c r="B824" s="32">
        <v>45804</v>
      </c>
      <c r="C824" t="s">
        <v>142</v>
      </c>
      <c r="D824" s="13"/>
      <c r="E824" t="s">
        <v>394</v>
      </c>
      <c r="F824" s="11">
        <v>1</v>
      </c>
      <c r="G824" s="11">
        <v>92436.97</v>
      </c>
    </row>
    <row r="825" spans="2:7" x14ac:dyDescent="0.2">
      <c r="B825" s="32">
        <v>45804</v>
      </c>
      <c r="C825" t="s">
        <v>142</v>
      </c>
      <c r="D825" s="13"/>
      <c r="E825" t="s">
        <v>375</v>
      </c>
      <c r="F825" s="11">
        <v>1</v>
      </c>
      <c r="G825" s="11">
        <v>54621.85</v>
      </c>
    </row>
    <row r="826" spans="2:7" x14ac:dyDescent="0.2">
      <c r="B826" s="32">
        <v>45804</v>
      </c>
      <c r="C826" t="s">
        <v>142</v>
      </c>
      <c r="D826" s="13"/>
      <c r="E826" t="s">
        <v>1772</v>
      </c>
      <c r="F826" s="11">
        <v>1</v>
      </c>
      <c r="G826" s="11">
        <v>46218.49</v>
      </c>
    </row>
    <row r="827" spans="2:7" x14ac:dyDescent="0.2">
      <c r="B827" s="32">
        <v>45804</v>
      </c>
      <c r="C827" t="s">
        <v>142</v>
      </c>
      <c r="D827" s="13"/>
      <c r="E827" t="s">
        <v>831</v>
      </c>
      <c r="F827" s="11">
        <v>1</v>
      </c>
      <c r="G827" s="11">
        <v>0.84</v>
      </c>
    </row>
    <row r="828" spans="2:7" x14ac:dyDescent="0.2">
      <c r="B828" s="32">
        <v>45804</v>
      </c>
      <c r="C828" t="s">
        <v>142</v>
      </c>
      <c r="D828" s="13"/>
      <c r="E828" t="s">
        <v>715</v>
      </c>
      <c r="F828" s="11">
        <v>3</v>
      </c>
      <c r="G828" s="11">
        <v>0</v>
      </c>
    </row>
    <row r="829" spans="2:7" x14ac:dyDescent="0.2">
      <c r="B829" s="32">
        <v>45804</v>
      </c>
      <c r="C829" t="s">
        <v>142</v>
      </c>
      <c r="D829" s="13"/>
      <c r="F829" s="11">
        <v>1</v>
      </c>
      <c r="G829" s="11">
        <v>0</v>
      </c>
    </row>
    <row r="830" spans="2:7" x14ac:dyDescent="0.2">
      <c r="B830" s="32">
        <v>45804</v>
      </c>
      <c r="C830" t="s">
        <v>142</v>
      </c>
      <c r="D830" s="13"/>
      <c r="E830" t="s">
        <v>204</v>
      </c>
      <c r="F830" s="11">
        <v>2</v>
      </c>
      <c r="G830" s="11">
        <v>0</v>
      </c>
    </row>
    <row r="831" spans="2:7" x14ac:dyDescent="0.2">
      <c r="B831" s="32">
        <v>45804</v>
      </c>
      <c r="C831" t="s">
        <v>142</v>
      </c>
      <c r="D831" s="13" t="s">
        <v>634</v>
      </c>
      <c r="E831" t="s">
        <v>567</v>
      </c>
      <c r="F831" s="11">
        <v>15</v>
      </c>
      <c r="G831" s="11">
        <v>974616.64</v>
      </c>
    </row>
    <row r="832" spans="2:7" x14ac:dyDescent="0.2">
      <c r="B832" s="32">
        <v>45804</v>
      </c>
      <c r="C832" t="s">
        <v>142</v>
      </c>
      <c r="D832" s="13" t="s">
        <v>634</v>
      </c>
      <c r="E832" t="s">
        <v>602</v>
      </c>
      <c r="F832" s="11">
        <v>4</v>
      </c>
      <c r="G832" s="11">
        <v>622022.02</v>
      </c>
    </row>
    <row r="833" spans="2:7" x14ac:dyDescent="0.2">
      <c r="B833" s="32">
        <v>45804</v>
      </c>
      <c r="C833" t="s">
        <v>142</v>
      </c>
      <c r="D833" s="13" t="s">
        <v>634</v>
      </c>
      <c r="E833" t="s">
        <v>197</v>
      </c>
      <c r="F833" s="11">
        <v>2</v>
      </c>
      <c r="G833" s="11">
        <v>201680.67</v>
      </c>
    </row>
    <row r="834" spans="2:7" x14ac:dyDescent="0.2">
      <c r="B834" s="32">
        <v>45804</v>
      </c>
      <c r="C834" t="s">
        <v>142</v>
      </c>
      <c r="D834" s="13" t="s">
        <v>634</v>
      </c>
      <c r="E834" t="s">
        <v>517</v>
      </c>
      <c r="F834" s="11">
        <v>1</v>
      </c>
      <c r="G834" s="11">
        <v>184873.95</v>
      </c>
    </row>
    <row r="835" spans="2:7" x14ac:dyDescent="0.2">
      <c r="B835" s="32">
        <v>45804</v>
      </c>
      <c r="C835" t="s">
        <v>142</v>
      </c>
      <c r="D835" s="13" t="s">
        <v>634</v>
      </c>
      <c r="E835" t="s">
        <v>1781</v>
      </c>
      <c r="F835" s="11">
        <v>1</v>
      </c>
      <c r="G835" s="11">
        <v>156302.51999999999</v>
      </c>
    </row>
    <row r="836" spans="2:7" x14ac:dyDescent="0.2">
      <c r="B836" s="32">
        <v>45804</v>
      </c>
      <c r="C836" t="s">
        <v>142</v>
      </c>
      <c r="D836" s="13" t="s">
        <v>634</v>
      </c>
      <c r="E836" t="s">
        <v>629</v>
      </c>
      <c r="F836" s="11">
        <v>1</v>
      </c>
      <c r="G836" s="11">
        <v>151670.43</v>
      </c>
    </row>
    <row r="837" spans="2:7" x14ac:dyDescent="0.2">
      <c r="B837" s="32">
        <v>45804</v>
      </c>
      <c r="C837" t="s">
        <v>142</v>
      </c>
      <c r="D837" s="13" t="s">
        <v>634</v>
      </c>
      <c r="E837" t="s">
        <v>242</v>
      </c>
      <c r="F837" s="11">
        <v>1</v>
      </c>
      <c r="G837" s="11">
        <v>140625</v>
      </c>
    </row>
    <row r="838" spans="2:7" x14ac:dyDescent="0.2">
      <c r="B838" s="32">
        <v>45804</v>
      </c>
      <c r="C838" t="s">
        <v>142</v>
      </c>
      <c r="D838" s="13" t="s">
        <v>634</v>
      </c>
      <c r="E838" t="s">
        <v>255</v>
      </c>
      <c r="F838" s="11">
        <v>1</v>
      </c>
      <c r="G838" s="11">
        <v>138655.46</v>
      </c>
    </row>
    <row r="839" spans="2:7" x14ac:dyDescent="0.2">
      <c r="B839" s="32">
        <v>45804</v>
      </c>
      <c r="C839" t="s">
        <v>142</v>
      </c>
      <c r="D839" s="13" t="s">
        <v>634</v>
      </c>
      <c r="E839" t="s">
        <v>430</v>
      </c>
      <c r="F839" s="11">
        <v>2</v>
      </c>
      <c r="G839" s="11">
        <v>117647.06</v>
      </c>
    </row>
    <row r="840" spans="2:7" x14ac:dyDescent="0.2">
      <c r="B840" s="32">
        <v>45804</v>
      </c>
      <c r="C840" t="s">
        <v>142</v>
      </c>
      <c r="D840" s="13" t="s">
        <v>634</v>
      </c>
      <c r="E840" t="s">
        <v>655</v>
      </c>
      <c r="F840" s="11">
        <v>1</v>
      </c>
      <c r="G840" s="11">
        <v>114777.61</v>
      </c>
    </row>
    <row r="841" spans="2:7" x14ac:dyDescent="0.2">
      <c r="B841" s="32">
        <v>45804</v>
      </c>
      <c r="C841" t="s">
        <v>142</v>
      </c>
      <c r="D841" s="13" t="s">
        <v>634</v>
      </c>
      <c r="E841" t="s">
        <v>320</v>
      </c>
      <c r="F841" s="11">
        <v>1</v>
      </c>
      <c r="G841" s="11">
        <v>84033.61</v>
      </c>
    </row>
    <row r="842" spans="2:7" x14ac:dyDescent="0.2">
      <c r="B842" s="32">
        <v>45804</v>
      </c>
      <c r="C842" t="s">
        <v>142</v>
      </c>
      <c r="D842" s="13" t="s">
        <v>634</v>
      </c>
      <c r="E842" t="s">
        <v>181</v>
      </c>
      <c r="F842" s="11">
        <v>1</v>
      </c>
      <c r="G842" s="11">
        <v>82720.59</v>
      </c>
    </row>
    <row r="843" spans="2:7" x14ac:dyDescent="0.2">
      <c r="B843" s="32">
        <v>45804</v>
      </c>
      <c r="C843" t="s">
        <v>142</v>
      </c>
      <c r="D843" s="13" t="s">
        <v>634</v>
      </c>
      <c r="E843" t="s">
        <v>169</v>
      </c>
      <c r="F843" s="11">
        <v>1</v>
      </c>
      <c r="G843" s="11">
        <v>82352.94</v>
      </c>
    </row>
    <row r="844" spans="2:7" x14ac:dyDescent="0.2">
      <c r="B844" s="32">
        <v>45804</v>
      </c>
      <c r="C844" t="s">
        <v>142</v>
      </c>
      <c r="D844" s="13" t="s">
        <v>634</v>
      </c>
      <c r="E844" t="s">
        <v>330</v>
      </c>
      <c r="F844" s="11">
        <v>2</v>
      </c>
      <c r="G844" s="11">
        <v>75630.25</v>
      </c>
    </row>
    <row r="845" spans="2:7" x14ac:dyDescent="0.2">
      <c r="B845" s="32">
        <v>45804</v>
      </c>
      <c r="C845" t="s">
        <v>142</v>
      </c>
      <c r="D845" s="13" t="s">
        <v>634</v>
      </c>
      <c r="E845" t="s">
        <v>475</v>
      </c>
      <c r="F845" s="11">
        <v>1</v>
      </c>
      <c r="G845" s="11">
        <v>69686.41</v>
      </c>
    </row>
    <row r="846" spans="2:7" x14ac:dyDescent="0.2">
      <c r="B846" s="32">
        <v>45804</v>
      </c>
      <c r="C846" t="s">
        <v>142</v>
      </c>
      <c r="D846" s="13" t="s">
        <v>634</v>
      </c>
      <c r="E846" t="s">
        <v>709</v>
      </c>
      <c r="F846" s="11">
        <v>1</v>
      </c>
      <c r="G846" s="11">
        <v>58823.53</v>
      </c>
    </row>
    <row r="847" spans="2:7" x14ac:dyDescent="0.2">
      <c r="B847" s="32">
        <v>45804</v>
      </c>
      <c r="C847" t="s">
        <v>142</v>
      </c>
      <c r="D847" s="13" t="s">
        <v>634</v>
      </c>
      <c r="E847" t="s">
        <v>233</v>
      </c>
      <c r="F847" s="11">
        <v>1</v>
      </c>
      <c r="G847" s="11">
        <v>58823.53</v>
      </c>
    </row>
    <row r="848" spans="2:7" x14ac:dyDescent="0.2">
      <c r="B848" s="32">
        <v>45804</v>
      </c>
      <c r="C848" t="s">
        <v>142</v>
      </c>
      <c r="D848" s="13" t="s">
        <v>634</v>
      </c>
      <c r="E848" t="s">
        <v>378</v>
      </c>
      <c r="F848" s="11">
        <v>1</v>
      </c>
      <c r="G848" s="11">
        <v>58823.53</v>
      </c>
    </row>
    <row r="849" spans="2:7" x14ac:dyDescent="0.2">
      <c r="B849" s="32">
        <v>45804</v>
      </c>
      <c r="C849" t="s">
        <v>142</v>
      </c>
      <c r="D849" s="13" t="s">
        <v>634</v>
      </c>
      <c r="E849" t="s">
        <v>318</v>
      </c>
      <c r="F849" s="11">
        <v>1</v>
      </c>
      <c r="G849" s="11">
        <v>58823.53</v>
      </c>
    </row>
    <row r="850" spans="2:7" x14ac:dyDescent="0.2">
      <c r="B850" s="32">
        <v>45804</v>
      </c>
      <c r="C850" t="s">
        <v>142</v>
      </c>
      <c r="D850" s="13" t="s">
        <v>634</v>
      </c>
      <c r="E850" t="s">
        <v>1834</v>
      </c>
      <c r="F850" s="11">
        <v>1</v>
      </c>
      <c r="G850" s="11">
        <v>42016.81</v>
      </c>
    </row>
    <row r="851" spans="2:7" x14ac:dyDescent="0.2">
      <c r="B851" s="32">
        <v>45804</v>
      </c>
      <c r="C851" t="s">
        <v>142</v>
      </c>
      <c r="D851" s="13" t="s">
        <v>634</v>
      </c>
      <c r="E851" t="s">
        <v>153</v>
      </c>
      <c r="F851" s="11">
        <v>1</v>
      </c>
      <c r="G851" s="11">
        <v>41360.29</v>
      </c>
    </row>
    <row r="852" spans="2:7" x14ac:dyDescent="0.2">
      <c r="B852" s="32">
        <v>45804</v>
      </c>
      <c r="C852" t="s">
        <v>142</v>
      </c>
      <c r="D852" s="13" t="s">
        <v>634</v>
      </c>
      <c r="E852" t="s">
        <v>452</v>
      </c>
      <c r="F852" s="11">
        <v>1</v>
      </c>
      <c r="G852" s="11">
        <v>37815.129999999997</v>
      </c>
    </row>
    <row r="853" spans="2:7" x14ac:dyDescent="0.2">
      <c r="B853" s="32">
        <v>45804</v>
      </c>
      <c r="C853" t="s">
        <v>142</v>
      </c>
      <c r="D853" s="13" t="s">
        <v>634</v>
      </c>
      <c r="E853" t="s">
        <v>206</v>
      </c>
      <c r="F853" s="11">
        <v>1</v>
      </c>
      <c r="G853" s="11">
        <v>37815.129999999997</v>
      </c>
    </row>
    <row r="854" spans="2:7" x14ac:dyDescent="0.2">
      <c r="B854" s="32">
        <v>45804</v>
      </c>
      <c r="C854" t="s">
        <v>142</v>
      </c>
      <c r="D854" s="13" t="s">
        <v>634</v>
      </c>
      <c r="E854" t="s">
        <v>234</v>
      </c>
      <c r="F854" s="11">
        <v>1</v>
      </c>
      <c r="G854" s="11">
        <v>37815.120000000003</v>
      </c>
    </row>
    <row r="855" spans="2:7" x14ac:dyDescent="0.2">
      <c r="B855" s="32">
        <v>45804</v>
      </c>
      <c r="C855" t="s">
        <v>142</v>
      </c>
      <c r="D855" s="13" t="s">
        <v>634</v>
      </c>
      <c r="F855" s="11">
        <v>1</v>
      </c>
      <c r="G855" s="11">
        <v>21008.400000000001</v>
      </c>
    </row>
    <row r="856" spans="2:7" x14ac:dyDescent="0.2">
      <c r="B856" s="32">
        <v>45804</v>
      </c>
      <c r="C856" t="s">
        <v>142</v>
      </c>
      <c r="D856" s="13" t="s">
        <v>633</v>
      </c>
      <c r="E856" t="s">
        <v>1719</v>
      </c>
      <c r="F856" s="11">
        <v>2</v>
      </c>
      <c r="G856" s="11">
        <v>368147.06</v>
      </c>
    </row>
    <row r="857" spans="2:7" x14ac:dyDescent="0.2">
      <c r="B857" s="32">
        <v>45804</v>
      </c>
      <c r="C857" t="s">
        <v>142</v>
      </c>
      <c r="D857" s="13" t="s">
        <v>633</v>
      </c>
      <c r="E857" t="s">
        <v>645</v>
      </c>
      <c r="F857" s="11">
        <v>2</v>
      </c>
      <c r="G857" s="11">
        <v>289503.06</v>
      </c>
    </row>
    <row r="858" spans="2:7" x14ac:dyDescent="0.2">
      <c r="B858" s="32">
        <v>45804</v>
      </c>
      <c r="C858" t="s">
        <v>142</v>
      </c>
      <c r="D858" s="13" t="s">
        <v>633</v>
      </c>
      <c r="E858" t="s">
        <v>195</v>
      </c>
      <c r="F858" s="11">
        <v>4</v>
      </c>
      <c r="G858" s="11">
        <v>184873.95</v>
      </c>
    </row>
    <row r="859" spans="2:7" x14ac:dyDescent="0.2">
      <c r="B859" s="32">
        <v>45804</v>
      </c>
      <c r="C859" t="s">
        <v>142</v>
      </c>
      <c r="D859" s="13" t="s">
        <v>633</v>
      </c>
      <c r="E859" t="s">
        <v>1854</v>
      </c>
      <c r="F859" s="11">
        <v>1</v>
      </c>
      <c r="G859" s="11">
        <v>176470.59</v>
      </c>
    </row>
    <row r="860" spans="2:7" x14ac:dyDescent="0.2">
      <c r="B860" s="32">
        <v>45804</v>
      </c>
      <c r="C860" t="s">
        <v>142</v>
      </c>
      <c r="D860" s="13" t="s">
        <v>633</v>
      </c>
      <c r="E860" t="s">
        <v>699</v>
      </c>
      <c r="F860" s="11">
        <v>1</v>
      </c>
      <c r="G860" s="11">
        <v>151260.5</v>
      </c>
    </row>
    <row r="861" spans="2:7" x14ac:dyDescent="0.2">
      <c r="B861" s="32">
        <v>45804</v>
      </c>
      <c r="C861" t="s">
        <v>142</v>
      </c>
      <c r="D861" s="13" t="s">
        <v>633</v>
      </c>
      <c r="E861" t="s">
        <v>249</v>
      </c>
      <c r="F861" s="11">
        <v>1</v>
      </c>
      <c r="G861" s="11">
        <v>100840.34</v>
      </c>
    </row>
    <row r="862" spans="2:7" x14ac:dyDescent="0.2">
      <c r="B862" s="32">
        <v>45804</v>
      </c>
      <c r="C862" t="s">
        <v>142</v>
      </c>
      <c r="D862" s="13" t="s">
        <v>633</v>
      </c>
      <c r="E862" t="s">
        <v>1834</v>
      </c>
      <c r="F862" s="11">
        <v>2</v>
      </c>
      <c r="G862" s="11">
        <v>84033.62</v>
      </c>
    </row>
    <row r="863" spans="2:7" x14ac:dyDescent="0.2">
      <c r="B863" s="32">
        <v>45804</v>
      </c>
      <c r="C863" t="s">
        <v>142</v>
      </c>
      <c r="D863" s="13" t="s">
        <v>633</v>
      </c>
      <c r="E863" t="s">
        <v>500</v>
      </c>
      <c r="F863" s="11">
        <v>1</v>
      </c>
      <c r="G863" s="11">
        <v>84033.61</v>
      </c>
    </row>
    <row r="864" spans="2:7" x14ac:dyDescent="0.2">
      <c r="B864" s="32">
        <v>45804</v>
      </c>
      <c r="C864" t="s">
        <v>142</v>
      </c>
      <c r="D864" s="13" t="s">
        <v>633</v>
      </c>
      <c r="E864" t="s">
        <v>150</v>
      </c>
      <c r="F864" s="11">
        <v>2</v>
      </c>
      <c r="G864" s="11">
        <v>84033.61</v>
      </c>
    </row>
    <row r="865" spans="2:7" x14ac:dyDescent="0.2">
      <c r="B865" s="32">
        <v>45804</v>
      </c>
      <c r="C865" t="s">
        <v>142</v>
      </c>
      <c r="D865" s="13" t="s">
        <v>633</v>
      </c>
      <c r="E865" t="s">
        <v>394</v>
      </c>
      <c r="F865" s="11">
        <v>1</v>
      </c>
      <c r="G865" s="11">
        <v>79831.929999999993</v>
      </c>
    </row>
    <row r="866" spans="2:7" x14ac:dyDescent="0.2">
      <c r="B866" s="32">
        <v>45804</v>
      </c>
      <c r="C866" t="s">
        <v>142</v>
      </c>
      <c r="D866" s="13" t="s">
        <v>633</v>
      </c>
      <c r="E866" t="s">
        <v>1855</v>
      </c>
      <c r="F866" s="11">
        <v>1</v>
      </c>
      <c r="G866" s="11">
        <v>79831.929999999993</v>
      </c>
    </row>
    <row r="867" spans="2:7" x14ac:dyDescent="0.2">
      <c r="B867" s="32">
        <v>45804</v>
      </c>
      <c r="C867" t="s">
        <v>142</v>
      </c>
      <c r="D867" s="13" t="s">
        <v>633</v>
      </c>
      <c r="E867" t="s">
        <v>370</v>
      </c>
      <c r="F867" s="11">
        <v>1</v>
      </c>
      <c r="G867" s="11">
        <v>79831.929999999993</v>
      </c>
    </row>
    <row r="868" spans="2:7" x14ac:dyDescent="0.2">
      <c r="B868" s="32">
        <v>45804</v>
      </c>
      <c r="C868" t="s">
        <v>142</v>
      </c>
      <c r="D868" s="13" t="s">
        <v>633</v>
      </c>
      <c r="E868" t="s">
        <v>282</v>
      </c>
      <c r="F868" s="11">
        <v>1</v>
      </c>
      <c r="G868" s="11">
        <v>73629.41</v>
      </c>
    </row>
    <row r="869" spans="2:7" x14ac:dyDescent="0.2">
      <c r="B869" s="32">
        <v>45804</v>
      </c>
      <c r="C869" t="s">
        <v>142</v>
      </c>
      <c r="D869" s="13" t="s">
        <v>633</v>
      </c>
      <c r="E869" t="s">
        <v>352</v>
      </c>
      <c r="F869" s="11">
        <v>1</v>
      </c>
      <c r="G869" s="11">
        <v>63025.21</v>
      </c>
    </row>
    <row r="870" spans="2:7" x14ac:dyDescent="0.2">
      <c r="B870" s="32">
        <v>45804</v>
      </c>
      <c r="C870" t="s">
        <v>142</v>
      </c>
      <c r="D870" s="13" t="s">
        <v>633</v>
      </c>
      <c r="E870" t="s">
        <v>164</v>
      </c>
      <c r="F870" s="11">
        <v>1</v>
      </c>
      <c r="G870" s="11">
        <v>63025.21</v>
      </c>
    </row>
    <row r="871" spans="2:7" x14ac:dyDescent="0.2">
      <c r="B871" s="32">
        <v>45804</v>
      </c>
      <c r="C871" t="s">
        <v>142</v>
      </c>
      <c r="D871" s="13" t="s">
        <v>633</v>
      </c>
      <c r="E871" t="s">
        <v>205</v>
      </c>
      <c r="F871" s="11">
        <v>1</v>
      </c>
      <c r="G871" s="11">
        <v>58823.53</v>
      </c>
    </row>
    <row r="872" spans="2:7" x14ac:dyDescent="0.2">
      <c r="B872" s="32">
        <v>45804</v>
      </c>
      <c r="C872" t="s">
        <v>142</v>
      </c>
      <c r="D872" s="13" t="s">
        <v>633</v>
      </c>
      <c r="E872" t="s">
        <v>318</v>
      </c>
      <c r="F872" s="11">
        <v>1</v>
      </c>
      <c r="G872" s="11">
        <v>58823.53</v>
      </c>
    </row>
    <row r="873" spans="2:7" x14ac:dyDescent="0.2">
      <c r="B873" s="32">
        <v>45804</v>
      </c>
      <c r="C873" t="s">
        <v>142</v>
      </c>
      <c r="D873" s="13" t="s">
        <v>633</v>
      </c>
      <c r="E873" t="s">
        <v>1856</v>
      </c>
      <c r="F873" s="11">
        <v>1</v>
      </c>
      <c r="G873" s="11">
        <v>58823.53</v>
      </c>
    </row>
    <row r="874" spans="2:7" x14ac:dyDescent="0.2">
      <c r="B874" s="32">
        <v>45804</v>
      </c>
      <c r="C874" t="s">
        <v>142</v>
      </c>
      <c r="D874" s="13" t="s">
        <v>633</v>
      </c>
      <c r="E874" t="s">
        <v>1857</v>
      </c>
      <c r="F874" s="11">
        <v>1</v>
      </c>
      <c r="G874" s="11">
        <v>58823.53</v>
      </c>
    </row>
    <row r="875" spans="2:7" x14ac:dyDescent="0.2">
      <c r="B875" s="32">
        <v>45804</v>
      </c>
      <c r="C875" t="s">
        <v>142</v>
      </c>
      <c r="D875" s="13" t="s">
        <v>633</v>
      </c>
      <c r="E875" t="s">
        <v>346</v>
      </c>
      <c r="F875" s="11">
        <v>1</v>
      </c>
      <c r="G875" s="11">
        <v>58823.53</v>
      </c>
    </row>
    <row r="876" spans="2:7" x14ac:dyDescent="0.2">
      <c r="B876" s="32">
        <v>45804</v>
      </c>
      <c r="C876" t="s">
        <v>142</v>
      </c>
      <c r="D876" s="13" t="s">
        <v>633</v>
      </c>
      <c r="E876" t="s">
        <v>537</v>
      </c>
      <c r="F876" s="11">
        <v>1</v>
      </c>
      <c r="G876" s="11">
        <v>58823.519999999997</v>
      </c>
    </row>
    <row r="877" spans="2:7" x14ac:dyDescent="0.2">
      <c r="B877" s="32">
        <v>45804</v>
      </c>
      <c r="C877" t="s">
        <v>142</v>
      </c>
      <c r="D877" s="13" t="s">
        <v>633</v>
      </c>
      <c r="E877" t="s">
        <v>1771</v>
      </c>
      <c r="F877" s="11">
        <v>1</v>
      </c>
      <c r="G877" s="11">
        <v>46218.49</v>
      </c>
    </row>
    <row r="878" spans="2:7" x14ac:dyDescent="0.2">
      <c r="B878" s="32">
        <v>45804</v>
      </c>
      <c r="C878" t="s">
        <v>142</v>
      </c>
      <c r="D878" s="13" t="s">
        <v>633</v>
      </c>
      <c r="E878" t="s">
        <v>263</v>
      </c>
      <c r="F878" s="11">
        <v>2</v>
      </c>
      <c r="G878" s="11">
        <v>41817.11</v>
      </c>
    </row>
    <row r="879" spans="2:7" x14ac:dyDescent="0.2">
      <c r="B879" s="32">
        <v>45804</v>
      </c>
      <c r="C879" t="s">
        <v>142</v>
      </c>
      <c r="D879" s="13" t="s">
        <v>633</v>
      </c>
      <c r="E879" t="s">
        <v>328</v>
      </c>
      <c r="F879" s="11">
        <v>1</v>
      </c>
      <c r="G879" s="11">
        <v>37815.129999999997</v>
      </c>
    </row>
    <row r="880" spans="2:7" x14ac:dyDescent="0.2">
      <c r="B880" s="32">
        <v>45804</v>
      </c>
      <c r="C880" t="s">
        <v>142</v>
      </c>
      <c r="D880" s="13" t="s">
        <v>633</v>
      </c>
      <c r="E880" t="s">
        <v>293</v>
      </c>
      <c r="F880" s="11">
        <v>1</v>
      </c>
      <c r="G880" s="11">
        <v>37815.129999999997</v>
      </c>
    </row>
    <row r="881" spans="2:7" x14ac:dyDescent="0.2">
      <c r="B881" s="32">
        <v>45804</v>
      </c>
      <c r="C881" t="s">
        <v>142</v>
      </c>
      <c r="D881" s="13" t="s">
        <v>633</v>
      </c>
      <c r="E881" t="s">
        <v>148</v>
      </c>
      <c r="F881" s="11">
        <v>1</v>
      </c>
      <c r="G881" s="11">
        <v>37815.129999999997</v>
      </c>
    </row>
    <row r="882" spans="2:7" x14ac:dyDescent="0.2">
      <c r="B882" s="32">
        <v>45804</v>
      </c>
      <c r="C882" t="s">
        <v>142</v>
      </c>
      <c r="D882" s="13" t="s">
        <v>633</v>
      </c>
      <c r="E882" t="s">
        <v>831</v>
      </c>
      <c r="F882" s="11">
        <v>2</v>
      </c>
      <c r="G882" s="11">
        <v>1.68</v>
      </c>
    </row>
    <row r="883" spans="2:7" x14ac:dyDescent="0.2">
      <c r="B883" s="32">
        <v>45804</v>
      </c>
      <c r="C883" t="s">
        <v>142</v>
      </c>
      <c r="D883" s="13" t="s">
        <v>633</v>
      </c>
      <c r="F883" s="11">
        <v>0</v>
      </c>
      <c r="G883" s="11">
        <v>0</v>
      </c>
    </row>
    <row r="884" spans="2:7" x14ac:dyDescent="0.2">
      <c r="B884" s="32">
        <v>45805</v>
      </c>
      <c r="C884" t="s">
        <v>142</v>
      </c>
      <c r="D884" s="13" t="s">
        <v>634</v>
      </c>
      <c r="E884" t="s">
        <v>567</v>
      </c>
      <c r="F884" s="11">
        <v>10</v>
      </c>
      <c r="G884" s="11">
        <v>1344537.81</v>
      </c>
    </row>
    <row r="885" spans="2:7" x14ac:dyDescent="0.2">
      <c r="B885" s="32">
        <v>45805</v>
      </c>
      <c r="C885" t="s">
        <v>142</v>
      </c>
      <c r="D885" s="13" t="s">
        <v>634</v>
      </c>
      <c r="E885" t="s">
        <v>1858</v>
      </c>
      <c r="F885" s="11">
        <v>100</v>
      </c>
      <c r="G885" s="11">
        <v>747899.16</v>
      </c>
    </row>
    <row r="886" spans="2:7" x14ac:dyDescent="0.2">
      <c r="B886" s="32">
        <v>45805</v>
      </c>
      <c r="C886" t="s">
        <v>142</v>
      </c>
      <c r="D886" s="13" t="s">
        <v>634</v>
      </c>
      <c r="E886" t="s">
        <v>1859</v>
      </c>
      <c r="F886" s="11">
        <v>1</v>
      </c>
      <c r="G886" s="11">
        <v>210084.03</v>
      </c>
    </row>
    <row r="887" spans="2:7" x14ac:dyDescent="0.2">
      <c r="B887" s="32">
        <v>45805</v>
      </c>
      <c r="C887" t="s">
        <v>142</v>
      </c>
      <c r="D887" s="13" t="s">
        <v>634</v>
      </c>
      <c r="E887" t="s">
        <v>477</v>
      </c>
      <c r="F887" s="11">
        <v>2</v>
      </c>
      <c r="G887" s="11">
        <v>168067.23</v>
      </c>
    </row>
    <row r="888" spans="2:7" x14ac:dyDescent="0.2">
      <c r="B888" s="32">
        <v>45805</v>
      </c>
      <c r="C888" t="s">
        <v>142</v>
      </c>
      <c r="D888" s="13" t="s">
        <v>634</v>
      </c>
      <c r="E888" t="s">
        <v>298</v>
      </c>
      <c r="F888" s="11">
        <v>1</v>
      </c>
      <c r="G888" s="11">
        <v>82352.94</v>
      </c>
    </row>
    <row r="889" spans="2:7" x14ac:dyDescent="0.2">
      <c r="B889" s="32">
        <v>45805</v>
      </c>
      <c r="C889" t="s">
        <v>142</v>
      </c>
      <c r="D889" s="13" t="s">
        <v>634</v>
      </c>
      <c r="F889" s="11">
        <v>0</v>
      </c>
      <c r="G889" s="11">
        <v>0</v>
      </c>
    </row>
    <row r="890" spans="2:7" x14ac:dyDescent="0.2">
      <c r="B890" s="32">
        <v>45805</v>
      </c>
      <c r="C890" t="s">
        <v>142</v>
      </c>
      <c r="D890" s="13" t="s">
        <v>633</v>
      </c>
      <c r="E890" t="s">
        <v>298</v>
      </c>
      <c r="F890" s="11">
        <v>2</v>
      </c>
      <c r="G890" s="11">
        <v>164705.88</v>
      </c>
    </row>
    <row r="891" spans="2:7" x14ac:dyDescent="0.2">
      <c r="B891" s="32">
        <v>45805</v>
      </c>
      <c r="C891" t="s">
        <v>142</v>
      </c>
      <c r="D891" s="13" t="s">
        <v>633</v>
      </c>
      <c r="E891" t="s">
        <v>243</v>
      </c>
      <c r="F891" s="11">
        <v>3</v>
      </c>
      <c r="G891" s="11">
        <v>163865.54999999999</v>
      </c>
    </row>
    <row r="892" spans="2:7" x14ac:dyDescent="0.2">
      <c r="B892" s="32">
        <v>45805</v>
      </c>
      <c r="C892" t="s">
        <v>142</v>
      </c>
      <c r="D892" s="13" t="s">
        <v>633</v>
      </c>
      <c r="E892" t="s">
        <v>1860</v>
      </c>
      <c r="F892" s="11">
        <v>1</v>
      </c>
      <c r="G892" s="11">
        <v>155462.18</v>
      </c>
    </row>
    <row r="893" spans="2:7" x14ac:dyDescent="0.2">
      <c r="B893" s="32">
        <v>45805</v>
      </c>
      <c r="C893" t="s">
        <v>142</v>
      </c>
      <c r="D893" s="13" t="s">
        <v>633</v>
      </c>
      <c r="E893" t="s">
        <v>699</v>
      </c>
      <c r="F893" s="11">
        <v>1</v>
      </c>
      <c r="G893" s="11">
        <v>151260.5</v>
      </c>
    </row>
    <row r="894" spans="2:7" x14ac:dyDescent="0.2">
      <c r="B894" s="32">
        <v>45805</v>
      </c>
      <c r="C894" t="s">
        <v>142</v>
      </c>
      <c r="D894" s="13" t="s">
        <v>633</v>
      </c>
      <c r="E894" t="s">
        <v>1839</v>
      </c>
      <c r="F894" s="11">
        <v>1</v>
      </c>
      <c r="G894" s="11">
        <v>130252.11</v>
      </c>
    </row>
    <row r="895" spans="2:7" x14ac:dyDescent="0.2">
      <c r="B895" s="32">
        <v>45805</v>
      </c>
      <c r="C895" t="s">
        <v>142</v>
      </c>
      <c r="D895" s="13" t="s">
        <v>633</v>
      </c>
      <c r="E895" t="s">
        <v>374</v>
      </c>
      <c r="F895" s="11">
        <v>2</v>
      </c>
      <c r="G895" s="11">
        <v>117647.06</v>
      </c>
    </row>
    <row r="896" spans="2:7" x14ac:dyDescent="0.2">
      <c r="B896" s="32">
        <v>45805</v>
      </c>
      <c r="C896" t="s">
        <v>142</v>
      </c>
      <c r="D896" s="13" t="s">
        <v>633</v>
      </c>
      <c r="E896" t="s">
        <v>477</v>
      </c>
      <c r="F896" s="11">
        <v>1</v>
      </c>
      <c r="G896" s="11">
        <v>109243.7</v>
      </c>
    </row>
    <row r="897" spans="2:7" x14ac:dyDescent="0.2">
      <c r="B897" s="32">
        <v>45805</v>
      </c>
      <c r="C897" t="s">
        <v>142</v>
      </c>
      <c r="D897" s="13" t="s">
        <v>633</v>
      </c>
      <c r="E897" t="s">
        <v>352</v>
      </c>
      <c r="F897" s="11">
        <v>1</v>
      </c>
      <c r="G897" s="11">
        <v>63025.21</v>
      </c>
    </row>
    <row r="898" spans="2:7" x14ac:dyDescent="0.2">
      <c r="B898" s="32">
        <v>45805</v>
      </c>
      <c r="C898" t="s">
        <v>142</v>
      </c>
      <c r="D898" s="13" t="s">
        <v>633</v>
      </c>
      <c r="E898" t="s">
        <v>319</v>
      </c>
      <c r="F898" s="11">
        <v>1</v>
      </c>
      <c r="G898" s="11">
        <v>58823.53</v>
      </c>
    </row>
    <row r="899" spans="2:7" x14ac:dyDescent="0.2">
      <c r="B899" s="32">
        <v>45805</v>
      </c>
      <c r="C899" t="s">
        <v>142</v>
      </c>
      <c r="D899" s="13" t="s">
        <v>633</v>
      </c>
      <c r="E899" t="s">
        <v>1861</v>
      </c>
      <c r="F899" s="11">
        <v>1</v>
      </c>
      <c r="G899" s="11">
        <v>54621.85</v>
      </c>
    </row>
    <row r="900" spans="2:7" x14ac:dyDescent="0.2">
      <c r="B900" s="32">
        <v>45805</v>
      </c>
      <c r="C900" t="s">
        <v>142</v>
      </c>
      <c r="D900" s="13" t="s">
        <v>633</v>
      </c>
      <c r="E900" t="s">
        <v>1821</v>
      </c>
      <c r="F900" s="11">
        <v>1</v>
      </c>
      <c r="G900" s="11">
        <v>54621.85</v>
      </c>
    </row>
    <row r="901" spans="2:7" x14ac:dyDescent="0.2">
      <c r="B901" s="32">
        <v>45805</v>
      </c>
      <c r="C901" t="s">
        <v>142</v>
      </c>
      <c r="D901" s="13" t="s">
        <v>633</v>
      </c>
      <c r="E901" t="s">
        <v>1799</v>
      </c>
      <c r="F901" s="11">
        <v>1</v>
      </c>
      <c r="G901" s="11">
        <v>54621.85</v>
      </c>
    </row>
    <row r="902" spans="2:7" x14ac:dyDescent="0.2">
      <c r="B902" s="32">
        <v>45805</v>
      </c>
      <c r="C902" t="s">
        <v>142</v>
      </c>
      <c r="D902" s="13" t="s">
        <v>633</v>
      </c>
      <c r="E902" t="s">
        <v>755</v>
      </c>
      <c r="F902" s="11">
        <v>1</v>
      </c>
      <c r="G902" s="11">
        <v>54621.85</v>
      </c>
    </row>
    <row r="903" spans="2:7" x14ac:dyDescent="0.2">
      <c r="B903" s="32">
        <v>45805</v>
      </c>
      <c r="C903" t="s">
        <v>142</v>
      </c>
      <c r="D903" s="13" t="s">
        <v>633</v>
      </c>
      <c r="E903" t="s">
        <v>1862</v>
      </c>
      <c r="F903" s="11">
        <v>1</v>
      </c>
      <c r="G903" s="11">
        <v>54621.85</v>
      </c>
    </row>
    <row r="904" spans="2:7" x14ac:dyDescent="0.2">
      <c r="B904" s="32">
        <v>45805</v>
      </c>
      <c r="C904" t="s">
        <v>142</v>
      </c>
      <c r="D904" s="13" t="s">
        <v>633</v>
      </c>
      <c r="E904" t="s">
        <v>621</v>
      </c>
      <c r="F904" s="11">
        <v>1</v>
      </c>
      <c r="G904" s="11">
        <v>54621.85</v>
      </c>
    </row>
    <row r="905" spans="2:7" x14ac:dyDescent="0.2">
      <c r="B905" s="32">
        <v>45805</v>
      </c>
      <c r="C905" t="s">
        <v>142</v>
      </c>
      <c r="D905" s="13" t="s">
        <v>633</v>
      </c>
      <c r="E905" t="s">
        <v>1863</v>
      </c>
      <c r="F905" s="11">
        <v>1</v>
      </c>
      <c r="G905" s="11">
        <v>54621.85</v>
      </c>
    </row>
    <row r="906" spans="2:7" x14ac:dyDescent="0.2">
      <c r="B906" s="32">
        <v>45805</v>
      </c>
      <c r="C906" t="s">
        <v>142</v>
      </c>
      <c r="D906" s="13" t="s">
        <v>633</v>
      </c>
      <c r="E906" t="s">
        <v>1864</v>
      </c>
      <c r="F906" s="11">
        <v>1</v>
      </c>
      <c r="G906" s="11">
        <v>54621.85</v>
      </c>
    </row>
    <row r="907" spans="2:7" x14ac:dyDescent="0.2">
      <c r="B907" s="32">
        <v>45805</v>
      </c>
      <c r="C907" t="s">
        <v>142</v>
      </c>
      <c r="D907" s="13" t="s">
        <v>633</v>
      </c>
      <c r="E907" t="s">
        <v>693</v>
      </c>
      <c r="F907" s="11">
        <v>1</v>
      </c>
      <c r="G907" s="11">
        <v>54621.85</v>
      </c>
    </row>
    <row r="908" spans="2:7" x14ac:dyDescent="0.2">
      <c r="B908" s="32">
        <v>45805</v>
      </c>
      <c r="C908" t="s">
        <v>142</v>
      </c>
      <c r="D908" s="13" t="s">
        <v>633</v>
      </c>
      <c r="E908" t="s">
        <v>679</v>
      </c>
      <c r="F908" s="11">
        <v>1</v>
      </c>
      <c r="G908" s="11">
        <v>54621.84</v>
      </c>
    </row>
    <row r="909" spans="2:7" x14ac:dyDescent="0.2">
      <c r="B909" s="32">
        <v>45805</v>
      </c>
      <c r="C909" t="s">
        <v>142</v>
      </c>
      <c r="D909" s="13" t="s">
        <v>633</v>
      </c>
      <c r="E909" t="s">
        <v>1865</v>
      </c>
      <c r="F909" s="11">
        <v>1</v>
      </c>
      <c r="G909" s="11">
        <v>54621.84</v>
      </c>
    </row>
    <row r="910" spans="2:7" x14ac:dyDescent="0.2">
      <c r="B910" s="32">
        <v>45805</v>
      </c>
      <c r="C910" t="s">
        <v>142</v>
      </c>
      <c r="D910" s="13" t="s">
        <v>633</v>
      </c>
      <c r="E910" t="s">
        <v>229</v>
      </c>
      <c r="F910" s="11">
        <v>1</v>
      </c>
      <c r="G910" s="11">
        <v>42016.81</v>
      </c>
    </row>
    <row r="911" spans="2:7" x14ac:dyDescent="0.2">
      <c r="B911" s="32">
        <v>45805</v>
      </c>
      <c r="C911" t="s">
        <v>142</v>
      </c>
      <c r="D911" s="13" t="s">
        <v>633</v>
      </c>
      <c r="F911" s="11">
        <v>0</v>
      </c>
      <c r="G911" s="11">
        <v>0</v>
      </c>
    </row>
    <row r="912" spans="2:7" x14ac:dyDescent="0.2">
      <c r="B912" s="32">
        <v>45806</v>
      </c>
      <c r="C912" t="s">
        <v>142</v>
      </c>
      <c r="D912" s="13" t="s">
        <v>634</v>
      </c>
      <c r="E912" t="s">
        <v>223</v>
      </c>
      <c r="F912" s="11">
        <v>1</v>
      </c>
      <c r="G912" s="11">
        <v>58823.53</v>
      </c>
    </row>
    <row r="913" spans="2:7" x14ac:dyDescent="0.2">
      <c r="B913" s="32">
        <v>45806</v>
      </c>
      <c r="C913" t="s">
        <v>142</v>
      </c>
      <c r="D913" s="13" t="s">
        <v>634</v>
      </c>
      <c r="E913" t="s">
        <v>285</v>
      </c>
      <c r="F913" s="11">
        <v>1</v>
      </c>
      <c r="G913" s="11">
        <v>58823.53</v>
      </c>
    </row>
    <row r="914" spans="2:7" x14ac:dyDescent="0.2">
      <c r="B914" s="32">
        <v>45806</v>
      </c>
      <c r="C914" t="s">
        <v>142</v>
      </c>
      <c r="D914" s="13" t="s">
        <v>634</v>
      </c>
      <c r="E914" t="s">
        <v>213</v>
      </c>
      <c r="F914" s="11">
        <v>1</v>
      </c>
      <c r="G914" s="11">
        <v>58823.53</v>
      </c>
    </row>
    <row r="915" spans="2:7" x14ac:dyDescent="0.2">
      <c r="B915" s="32">
        <v>45806</v>
      </c>
      <c r="C915" t="s">
        <v>142</v>
      </c>
      <c r="D915" s="13" t="s">
        <v>634</v>
      </c>
      <c r="E915" t="s">
        <v>466</v>
      </c>
      <c r="F915" s="11">
        <v>1</v>
      </c>
      <c r="G915" s="11">
        <v>21848.74</v>
      </c>
    </row>
    <row r="916" spans="2:7" x14ac:dyDescent="0.2">
      <c r="B916" s="32">
        <v>45806</v>
      </c>
      <c r="C916" t="s">
        <v>142</v>
      </c>
      <c r="D916" s="13" t="s">
        <v>634</v>
      </c>
      <c r="F916" s="11">
        <v>0</v>
      </c>
      <c r="G916" s="11">
        <v>0</v>
      </c>
    </row>
    <row r="917" spans="2:7" x14ac:dyDescent="0.2">
      <c r="B917" s="32">
        <v>45806</v>
      </c>
      <c r="C917" t="s">
        <v>142</v>
      </c>
      <c r="D917" s="13" t="s">
        <v>633</v>
      </c>
      <c r="E917" t="s">
        <v>159</v>
      </c>
      <c r="F917" s="11">
        <v>2</v>
      </c>
      <c r="G917" s="11">
        <v>487394.96</v>
      </c>
    </row>
    <row r="918" spans="2:7" x14ac:dyDescent="0.2">
      <c r="B918" s="32">
        <v>45806</v>
      </c>
      <c r="C918" t="s">
        <v>142</v>
      </c>
      <c r="D918" s="13" t="s">
        <v>633</v>
      </c>
      <c r="E918" t="s">
        <v>1866</v>
      </c>
      <c r="F918" s="11">
        <v>1</v>
      </c>
      <c r="G918" s="11">
        <v>75630.25</v>
      </c>
    </row>
    <row r="919" spans="2:7" x14ac:dyDescent="0.2">
      <c r="B919" s="32">
        <v>45806</v>
      </c>
      <c r="C919" t="s">
        <v>142</v>
      </c>
      <c r="D919" s="13" t="s">
        <v>633</v>
      </c>
      <c r="E919" t="s">
        <v>192</v>
      </c>
      <c r="F919" s="11">
        <v>1</v>
      </c>
      <c r="G919" s="11">
        <v>71428.570000000007</v>
      </c>
    </row>
    <row r="920" spans="2:7" x14ac:dyDescent="0.2">
      <c r="B920" s="32">
        <v>45806</v>
      </c>
      <c r="C920" t="s">
        <v>142</v>
      </c>
      <c r="D920" s="13" t="s">
        <v>633</v>
      </c>
      <c r="E920" t="s">
        <v>149</v>
      </c>
      <c r="F920" s="11">
        <v>1</v>
      </c>
      <c r="G920" s="11">
        <v>63025.21</v>
      </c>
    </row>
    <row r="921" spans="2:7" x14ac:dyDescent="0.2">
      <c r="B921" s="32">
        <v>45806</v>
      </c>
      <c r="C921" t="s">
        <v>142</v>
      </c>
      <c r="D921" s="13" t="s">
        <v>633</v>
      </c>
      <c r="F921" s="11">
        <v>2</v>
      </c>
      <c r="G921" s="11">
        <v>58823.519999999997</v>
      </c>
    </row>
    <row r="922" spans="2:7" x14ac:dyDescent="0.2">
      <c r="B922" s="32">
        <v>45806</v>
      </c>
      <c r="C922" t="s">
        <v>142</v>
      </c>
      <c r="D922" s="13" t="s">
        <v>633</v>
      </c>
      <c r="E922" t="s">
        <v>212</v>
      </c>
      <c r="F922" s="11">
        <v>1</v>
      </c>
      <c r="G922" s="11">
        <v>54621.85</v>
      </c>
    </row>
    <row r="923" spans="2:7" x14ac:dyDescent="0.2">
      <c r="B923" s="32">
        <v>45806</v>
      </c>
      <c r="C923" t="s">
        <v>142</v>
      </c>
      <c r="D923" s="13" t="s">
        <v>633</v>
      </c>
      <c r="E923" t="s">
        <v>375</v>
      </c>
      <c r="F923" s="11">
        <v>1</v>
      </c>
      <c r="G923" s="11">
        <v>54621.85</v>
      </c>
    </row>
    <row r="924" spans="2:7" x14ac:dyDescent="0.2">
      <c r="B924" s="32">
        <v>45806</v>
      </c>
      <c r="C924" t="s">
        <v>142</v>
      </c>
      <c r="D924" s="13" t="s">
        <v>633</v>
      </c>
      <c r="E924" t="s">
        <v>511</v>
      </c>
      <c r="F924" s="11">
        <v>1</v>
      </c>
      <c r="G924" s="11">
        <v>54621.85</v>
      </c>
    </row>
    <row r="925" spans="2:7" x14ac:dyDescent="0.2">
      <c r="B925" s="32">
        <v>45806</v>
      </c>
      <c r="C925" t="s">
        <v>142</v>
      </c>
      <c r="D925" s="13" t="s">
        <v>633</v>
      </c>
      <c r="E925" t="s">
        <v>218</v>
      </c>
      <c r="F925" s="11">
        <v>1</v>
      </c>
      <c r="G925" s="11">
        <v>21008.41</v>
      </c>
    </row>
    <row r="926" spans="2:7" x14ac:dyDescent="0.2">
      <c r="B926" s="32">
        <v>45807</v>
      </c>
      <c r="C926" t="s">
        <v>142</v>
      </c>
      <c r="D926" s="13" t="s">
        <v>634</v>
      </c>
      <c r="E926" t="s">
        <v>442</v>
      </c>
      <c r="F926" s="11">
        <v>1</v>
      </c>
      <c r="G926" s="11">
        <v>58823.53</v>
      </c>
    </row>
    <row r="927" spans="2:7" x14ac:dyDescent="0.2">
      <c r="B927" s="32">
        <v>45807</v>
      </c>
      <c r="C927" t="s">
        <v>142</v>
      </c>
      <c r="D927" s="13" t="s">
        <v>634</v>
      </c>
      <c r="E927" t="s">
        <v>751</v>
      </c>
      <c r="F927" s="11">
        <v>1</v>
      </c>
      <c r="G927" s="11">
        <v>58823.53</v>
      </c>
    </row>
    <row r="928" spans="2:7" x14ac:dyDescent="0.2">
      <c r="B928" s="32">
        <v>45807</v>
      </c>
      <c r="C928" t="s">
        <v>142</v>
      </c>
      <c r="D928" s="13" t="s">
        <v>634</v>
      </c>
      <c r="E928" t="s">
        <v>212</v>
      </c>
      <c r="F928" s="11">
        <v>1</v>
      </c>
      <c r="G928" s="11">
        <v>54621.85</v>
      </c>
    </row>
    <row r="929" spans="2:7" x14ac:dyDescent="0.2">
      <c r="B929" s="32">
        <v>45807</v>
      </c>
      <c r="C929" t="s">
        <v>142</v>
      </c>
      <c r="D929" s="13" t="s">
        <v>634</v>
      </c>
      <c r="F929" s="11">
        <v>0</v>
      </c>
      <c r="G929" s="11">
        <v>0</v>
      </c>
    </row>
    <row r="930" spans="2:7" x14ac:dyDescent="0.2">
      <c r="B930" s="32">
        <v>45807</v>
      </c>
      <c r="C930" t="s">
        <v>142</v>
      </c>
      <c r="D930" s="13" t="s">
        <v>634</v>
      </c>
      <c r="E930" t="s">
        <v>1853</v>
      </c>
      <c r="F930" s="11">
        <v>0</v>
      </c>
      <c r="G930" s="11">
        <v>-147553.13</v>
      </c>
    </row>
    <row r="931" spans="2:7" x14ac:dyDescent="0.2">
      <c r="B931" s="32">
        <v>45807</v>
      </c>
      <c r="C931" t="s">
        <v>142</v>
      </c>
      <c r="D931" s="13" t="s">
        <v>634</v>
      </c>
      <c r="E931" t="s">
        <v>437</v>
      </c>
      <c r="F931" s="11">
        <v>0</v>
      </c>
      <c r="G931" s="11">
        <v>-229527.11</v>
      </c>
    </row>
    <row r="932" spans="2:7" x14ac:dyDescent="0.2">
      <c r="B932" s="32">
        <v>45807</v>
      </c>
      <c r="C932" t="s">
        <v>142</v>
      </c>
      <c r="D932" s="13" t="s">
        <v>633</v>
      </c>
      <c r="E932" t="s">
        <v>286</v>
      </c>
      <c r="F932" s="11">
        <v>6</v>
      </c>
      <c r="G932" s="11">
        <v>352941.19</v>
      </c>
    </row>
    <row r="933" spans="2:7" x14ac:dyDescent="0.2">
      <c r="B933" s="32">
        <v>45807</v>
      </c>
      <c r="C933" t="s">
        <v>142</v>
      </c>
      <c r="D933" s="13" t="s">
        <v>633</v>
      </c>
      <c r="E933" t="s">
        <v>278</v>
      </c>
      <c r="F933" s="11">
        <v>3</v>
      </c>
      <c r="G933" s="11">
        <v>247058.83</v>
      </c>
    </row>
    <row r="934" spans="2:7" x14ac:dyDescent="0.2">
      <c r="B934" s="32">
        <v>45807</v>
      </c>
      <c r="C934" t="s">
        <v>142</v>
      </c>
      <c r="D934" s="13" t="s">
        <v>633</v>
      </c>
      <c r="E934" t="s">
        <v>651</v>
      </c>
      <c r="F934" s="11">
        <v>3</v>
      </c>
      <c r="G934" s="11">
        <v>176470.59</v>
      </c>
    </row>
    <row r="935" spans="2:7" x14ac:dyDescent="0.2">
      <c r="B935" s="32">
        <v>45807</v>
      </c>
      <c r="C935" t="s">
        <v>142</v>
      </c>
      <c r="D935" s="13" t="s">
        <v>633</v>
      </c>
      <c r="E935" t="s">
        <v>181</v>
      </c>
      <c r="F935" s="11">
        <v>2</v>
      </c>
      <c r="G935" s="11">
        <v>168067.23</v>
      </c>
    </row>
    <row r="936" spans="2:7" x14ac:dyDescent="0.2">
      <c r="B936" s="32">
        <v>45807</v>
      </c>
      <c r="C936" t="s">
        <v>142</v>
      </c>
      <c r="D936" s="13" t="s">
        <v>633</v>
      </c>
      <c r="E936" t="s">
        <v>298</v>
      </c>
      <c r="F936" s="11">
        <v>2</v>
      </c>
      <c r="G936" s="11">
        <v>164705.88</v>
      </c>
    </row>
    <row r="937" spans="2:7" x14ac:dyDescent="0.2">
      <c r="B937" s="32">
        <v>45807</v>
      </c>
      <c r="C937" t="s">
        <v>142</v>
      </c>
      <c r="D937" s="13" t="s">
        <v>633</v>
      </c>
      <c r="E937" t="s">
        <v>1867</v>
      </c>
      <c r="F937" s="11">
        <v>1</v>
      </c>
      <c r="G937" s="11">
        <v>151260.51</v>
      </c>
    </row>
    <row r="938" spans="2:7" x14ac:dyDescent="0.2">
      <c r="B938" s="32">
        <v>45807</v>
      </c>
      <c r="C938" t="s">
        <v>142</v>
      </c>
      <c r="D938" s="13" t="s">
        <v>633</v>
      </c>
      <c r="E938" t="s">
        <v>820</v>
      </c>
      <c r="F938" s="11">
        <v>1</v>
      </c>
      <c r="G938" s="11">
        <v>134453.78</v>
      </c>
    </row>
    <row r="939" spans="2:7" x14ac:dyDescent="0.2">
      <c r="B939" s="32">
        <v>45807</v>
      </c>
      <c r="C939" t="s">
        <v>142</v>
      </c>
      <c r="D939" s="13" t="s">
        <v>633</v>
      </c>
      <c r="E939" t="s">
        <v>242</v>
      </c>
      <c r="F939" s="11">
        <v>1</v>
      </c>
      <c r="G939" s="11">
        <v>130252.1</v>
      </c>
    </row>
    <row r="940" spans="2:7" x14ac:dyDescent="0.2">
      <c r="B940" s="32">
        <v>45807</v>
      </c>
      <c r="C940" t="s">
        <v>142</v>
      </c>
      <c r="D940" s="13" t="s">
        <v>633</v>
      </c>
      <c r="E940" t="s">
        <v>517</v>
      </c>
      <c r="F940" s="11">
        <v>1</v>
      </c>
      <c r="G940" s="11">
        <v>100840.34</v>
      </c>
    </row>
    <row r="941" spans="2:7" x14ac:dyDescent="0.2">
      <c r="B941" s="32">
        <v>45807</v>
      </c>
      <c r="C941" t="s">
        <v>142</v>
      </c>
      <c r="D941" s="13" t="s">
        <v>633</v>
      </c>
      <c r="E941" t="s">
        <v>1759</v>
      </c>
      <c r="F941" s="11">
        <v>1</v>
      </c>
      <c r="G941" s="11">
        <v>92436.97</v>
      </c>
    </row>
    <row r="942" spans="2:7" x14ac:dyDescent="0.2">
      <c r="B942" s="32">
        <v>45807</v>
      </c>
      <c r="C942" t="s">
        <v>142</v>
      </c>
      <c r="D942" s="13" t="s">
        <v>633</v>
      </c>
      <c r="E942" t="s">
        <v>190</v>
      </c>
      <c r="F942" s="11">
        <v>1</v>
      </c>
      <c r="G942" s="11">
        <v>92436.97</v>
      </c>
    </row>
    <row r="943" spans="2:7" x14ac:dyDescent="0.2">
      <c r="B943" s="32">
        <v>45807</v>
      </c>
      <c r="C943" t="s">
        <v>142</v>
      </c>
      <c r="D943" s="13" t="s">
        <v>633</v>
      </c>
      <c r="E943" t="s">
        <v>457</v>
      </c>
      <c r="F943" s="11">
        <v>1</v>
      </c>
      <c r="G943" s="11">
        <v>92436.97</v>
      </c>
    </row>
    <row r="944" spans="2:7" x14ac:dyDescent="0.2">
      <c r="B944" s="32">
        <v>45807</v>
      </c>
      <c r="C944" t="s">
        <v>142</v>
      </c>
      <c r="D944" s="13" t="s">
        <v>633</v>
      </c>
      <c r="E944" t="s">
        <v>806</v>
      </c>
      <c r="F944" s="11">
        <v>1</v>
      </c>
      <c r="G944" s="11">
        <v>92436.97</v>
      </c>
    </row>
    <row r="945" spans="2:7" x14ac:dyDescent="0.2">
      <c r="B945" s="32">
        <v>45807</v>
      </c>
      <c r="C945" t="s">
        <v>142</v>
      </c>
      <c r="D945" s="13" t="s">
        <v>633</v>
      </c>
      <c r="E945" t="s">
        <v>169</v>
      </c>
      <c r="F945" s="11">
        <v>1</v>
      </c>
      <c r="G945" s="11">
        <v>82352.94</v>
      </c>
    </row>
    <row r="946" spans="2:7" x14ac:dyDescent="0.2">
      <c r="B946" s="32">
        <v>45807</v>
      </c>
      <c r="C946" t="s">
        <v>142</v>
      </c>
      <c r="D946" s="13" t="s">
        <v>633</v>
      </c>
      <c r="E946" t="s">
        <v>427</v>
      </c>
      <c r="F946" s="11">
        <v>1</v>
      </c>
      <c r="G946" s="11">
        <v>54621.85</v>
      </c>
    </row>
    <row r="947" spans="2:7" x14ac:dyDescent="0.2">
      <c r="B947" s="32">
        <v>45807</v>
      </c>
      <c r="C947" t="s">
        <v>142</v>
      </c>
      <c r="D947" s="13" t="s">
        <v>633</v>
      </c>
      <c r="E947" t="s">
        <v>1829</v>
      </c>
      <c r="F947" s="11">
        <v>1</v>
      </c>
      <c r="G947" s="11">
        <v>54621.84</v>
      </c>
    </row>
    <row r="948" spans="2:7" x14ac:dyDescent="0.2">
      <c r="B948" s="32">
        <v>45807</v>
      </c>
      <c r="C948" t="s">
        <v>142</v>
      </c>
      <c r="D948" s="13" t="s">
        <v>633</v>
      </c>
      <c r="E948" t="s">
        <v>309</v>
      </c>
      <c r="F948" s="11">
        <v>1</v>
      </c>
      <c r="G948" s="11">
        <v>42016.81</v>
      </c>
    </row>
    <row r="949" spans="2:7" x14ac:dyDescent="0.2">
      <c r="B949" s="32">
        <v>45807</v>
      </c>
      <c r="C949" t="s">
        <v>142</v>
      </c>
      <c r="D949" s="13" t="s">
        <v>633</v>
      </c>
      <c r="F949" s="11">
        <v>2</v>
      </c>
      <c r="G949" s="11">
        <v>42016.81</v>
      </c>
    </row>
    <row r="950" spans="2:7" x14ac:dyDescent="0.2">
      <c r="B950" s="32">
        <v>45808</v>
      </c>
      <c r="C950" t="s">
        <v>142</v>
      </c>
      <c r="D950" s="13" t="s">
        <v>634</v>
      </c>
      <c r="E950" t="s">
        <v>427</v>
      </c>
      <c r="F950" s="11">
        <v>1</v>
      </c>
      <c r="G950" s="11">
        <v>54621.85</v>
      </c>
    </row>
    <row r="951" spans="2:7" x14ac:dyDescent="0.2">
      <c r="B951" s="32">
        <v>45808</v>
      </c>
      <c r="C951" t="s">
        <v>142</v>
      </c>
      <c r="D951" s="13" t="s">
        <v>634</v>
      </c>
      <c r="E951" t="s">
        <v>203</v>
      </c>
      <c r="F951" s="11">
        <v>1</v>
      </c>
      <c r="G951" s="11">
        <v>42016.81</v>
      </c>
    </row>
    <row r="952" spans="2:7" x14ac:dyDescent="0.2">
      <c r="B952" s="32">
        <v>45808</v>
      </c>
      <c r="C952" t="s">
        <v>142</v>
      </c>
      <c r="D952" s="13" t="s">
        <v>634</v>
      </c>
      <c r="E952" t="s">
        <v>342</v>
      </c>
      <c r="F952" s="11">
        <v>1</v>
      </c>
      <c r="G952" s="11">
        <v>21848.74</v>
      </c>
    </row>
    <row r="953" spans="2:7" x14ac:dyDescent="0.2">
      <c r="B953" s="32">
        <v>45808</v>
      </c>
      <c r="C953" t="s">
        <v>142</v>
      </c>
      <c r="D953" s="13" t="s">
        <v>633</v>
      </c>
      <c r="E953" t="s">
        <v>532</v>
      </c>
      <c r="F953" s="11">
        <v>1</v>
      </c>
      <c r="G953" s="11">
        <v>201680.67</v>
      </c>
    </row>
    <row r="954" spans="2:7" x14ac:dyDescent="0.2">
      <c r="B954" s="32">
        <v>45808</v>
      </c>
      <c r="C954" t="s">
        <v>142</v>
      </c>
      <c r="D954" s="13" t="s">
        <v>633</v>
      </c>
      <c r="E954" t="s">
        <v>1844</v>
      </c>
      <c r="F954" s="11">
        <v>1</v>
      </c>
      <c r="G954" s="11">
        <v>58823.53</v>
      </c>
    </row>
    <row r="955" spans="2:7" x14ac:dyDescent="0.2">
      <c r="B955" s="32">
        <v>45808</v>
      </c>
      <c r="C955" t="s">
        <v>142</v>
      </c>
      <c r="D955" s="13" t="s">
        <v>633</v>
      </c>
      <c r="E955" t="s">
        <v>163</v>
      </c>
      <c r="F955" s="11">
        <v>1</v>
      </c>
      <c r="G955" s="11">
        <v>58823.53</v>
      </c>
    </row>
    <row r="956" spans="2:7" x14ac:dyDescent="0.2">
      <c r="B956" s="32">
        <v>45808</v>
      </c>
      <c r="C956" t="s">
        <v>142</v>
      </c>
      <c r="D956" s="13" t="s">
        <v>633</v>
      </c>
      <c r="F956" s="11">
        <v>0</v>
      </c>
      <c r="G956" s="11">
        <v>0</v>
      </c>
    </row>
    <row r="957" spans="2:7" x14ac:dyDescent="0.2">
      <c r="B957" s="32">
        <v>45809</v>
      </c>
      <c r="C957" t="s">
        <v>142</v>
      </c>
      <c r="D957" s="13" t="s">
        <v>634</v>
      </c>
      <c r="E957" t="s">
        <v>378</v>
      </c>
      <c r="F957" s="11">
        <v>2</v>
      </c>
      <c r="G957" s="11">
        <v>117647.06</v>
      </c>
    </row>
    <row r="958" spans="2:7" x14ac:dyDescent="0.2">
      <c r="B958" s="32">
        <v>45809</v>
      </c>
      <c r="C958" t="s">
        <v>142</v>
      </c>
      <c r="D958" s="13" t="s">
        <v>634</v>
      </c>
      <c r="E958" t="s">
        <v>739</v>
      </c>
      <c r="F958" s="11">
        <v>2</v>
      </c>
      <c r="G958" s="11">
        <v>117647.05</v>
      </c>
    </row>
    <row r="959" spans="2:7" x14ac:dyDescent="0.2">
      <c r="B959" s="32">
        <v>45809</v>
      </c>
      <c r="C959" t="s">
        <v>142</v>
      </c>
      <c r="D959" s="13" t="s">
        <v>634</v>
      </c>
      <c r="E959" t="s">
        <v>477</v>
      </c>
      <c r="F959" s="11">
        <v>1</v>
      </c>
      <c r="G959" s="11">
        <v>58823.53</v>
      </c>
    </row>
    <row r="960" spans="2:7" x14ac:dyDescent="0.2">
      <c r="B960" s="32">
        <v>45809</v>
      </c>
      <c r="C960" t="s">
        <v>142</v>
      </c>
      <c r="D960" s="13" t="s">
        <v>634</v>
      </c>
      <c r="E960" t="s">
        <v>236</v>
      </c>
      <c r="F960" s="11">
        <v>1</v>
      </c>
      <c r="G960" s="11">
        <v>58823.53</v>
      </c>
    </row>
    <row r="961" spans="2:7" x14ac:dyDescent="0.2">
      <c r="B961" s="32">
        <v>45809</v>
      </c>
      <c r="C961" t="s">
        <v>142</v>
      </c>
      <c r="D961" s="13" t="s">
        <v>634</v>
      </c>
      <c r="E961" t="s">
        <v>235</v>
      </c>
      <c r="F961" s="11">
        <v>1</v>
      </c>
      <c r="G961" s="11">
        <v>58823.53</v>
      </c>
    </row>
    <row r="962" spans="2:7" x14ac:dyDescent="0.2">
      <c r="B962" s="32">
        <v>45809</v>
      </c>
      <c r="C962" t="s">
        <v>142</v>
      </c>
      <c r="D962" s="13" t="s">
        <v>634</v>
      </c>
      <c r="E962" t="s">
        <v>423</v>
      </c>
      <c r="F962" s="11">
        <v>1</v>
      </c>
      <c r="G962" s="11">
        <v>58823.53</v>
      </c>
    </row>
    <row r="963" spans="2:7" x14ac:dyDescent="0.2">
      <c r="B963" s="32">
        <v>45809</v>
      </c>
      <c r="C963" t="s">
        <v>142</v>
      </c>
      <c r="D963" s="13" t="s">
        <v>634</v>
      </c>
      <c r="E963" t="s">
        <v>335</v>
      </c>
      <c r="F963" s="11">
        <v>1</v>
      </c>
      <c r="G963" s="11">
        <v>58823.53</v>
      </c>
    </row>
    <row r="964" spans="2:7" x14ac:dyDescent="0.2">
      <c r="B964" s="32">
        <v>45809</v>
      </c>
      <c r="C964" t="s">
        <v>142</v>
      </c>
      <c r="D964" s="13" t="s">
        <v>634</v>
      </c>
      <c r="E964" t="s">
        <v>181</v>
      </c>
      <c r="F964" s="11">
        <v>1</v>
      </c>
      <c r="G964" s="11">
        <v>58823.53</v>
      </c>
    </row>
    <row r="965" spans="2:7" x14ac:dyDescent="0.2">
      <c r="B965" s="32">
        <v>45809</v>
      </c>
      <c r="C965" t="s">
        <v>142</v>
      </c>
      <c r="D965" s="13" t="s">
        <v>634</v>
      </c>
      <c r="E965" t="s">
        <v>290</v>
      </c>
      <c r="F965" s="11">
        <v>1</v>
      </c>
      <c r="G965" s="11">
        <v>58823.53</v>
      </c>
    </row>
    <row r="966" spans="2:7" x14ac:dyDescent="0.2">
      <c r="B966" s="32">
        <v>45809</v>
      </c>
      <c r="C966" t="s">
        <v>142</v>
      </c>
      <c r="D966" s="13" t="s">
        <v>634</v>
      </c>
      <c r="E966" t="s">
        <v>247</v>
      </c>
      <c r="F966" s="11">
        <v>1</v>
      </c>
      <c r="G966" s="11">
        <v>58823.53</v>
      </c>
    </row>
    <row r="967" spans="2:7" x14ac:dyDescent="0.2">
      <c r="B967" s="32">
        <v>45809</v>
      </c>
      <c r="C967" t="s">
        <v>142</v>
      </c>
      <c r="D967" s="13" t="s">
        <v>634</v>
      </c>
      <c r="E967" t="s">
        <v>658</v>
      </c>
      <c r="F967" s="11">
        <v>1</v>
      </c>
      <c r="G967" s="11">
        <v>54621.85</v>
      </c>
    </row>
    <row r="968" spans="2:7" x14ac:dyDescent="0.2">
      <c r="B968" s="32">
        <v>45809</v>
      </c>
      <c r="C968" t="s">
        <v>142</v>
      </c>
      <c r="D968" s="13" t="s">
        <v>634</v>
      </c>
      <c r="E968" t="s">
        <v>793</v>
      </c>
      <c r="F968" s="11">
        <v>1</v>
      </c>
      <c r="G968" s="11">
        <v>46218.49</v>
      </c>
    </row>
    <row r="969" spans="2:7" x14ac:dyDescent="0.2">
      <c r="B969" s="32">
        <v>45809</v>
      </c>
      <c r="C969" t="s">
        <v>142</v>
      </c>
      <c r="D969" s="13" t="s">
        <v>634</v>
      </c>
      <c r="E969" t="s">
        <v>161</v>
      </c>
      <c r="F969" s="11">
        <v>1</v>
      </c>
      <c r="G969" s="11">
        <v>42016.81</v>
      </c>
    </row>
    <row r="970" spans="2:7" x14ac:dyDescent="0.2">
      <c r="B970" s="32">
        <v>45809</v>
      </c>
      <c r="C970" t="s">
        <v>142</v>
      </c>
      <c r="D970" s="13" t="s">
        <v>634</v>
      </c>
      <c r="F970" s="11">
        <v>0</v>
      </c>
      <c r="G970" s="11">
        <v>0</v>
      </c>
    </row>
    <row r="971" spans="2:7" x14ac:dyDescent="0.2">
      <c r="B971" s="32">
        <v>45809</v>
      </c>
      <c r="C971" t="s">
        <v>142</v>
      </c>
      <c r="D971" s="13" t="s">
        <v>633</v>
      </c>
      <c r="E971" t="s">
        <v>454</v>
      </c>
      <c r="F971" s="11">
        <v>1</v>
      </c>
      <c r="G971" s="11">
        <v>58823.53</v>
      </c>
    </row>
    <row r="972" spans="2:7" x14ac:dyDescent="0.2">
      <c r="B972" s="32">
        <v>45809</v>
      </c>
      <c r="C972" t="s">
        <v>142</v>
      </c>
      <c r="D972" s="13" t="s">
        <v>633</v>
      </c>
      <c r="E972" t="s">
        <v>442</v>
      </c>
      <c r="F972" s="11">
        <v>1</v>
      </c>
      <c r="G972" s="11">
        <v>58823.53</v>
      </c>
    </row>
    <row r="973" spans="2:7" x14ac:dyDescent="0.2">
      <c r="B973" s="32">
        <v>45809</v>
      </c>
      <c r="C973" t="s">
        <v>142</v>
      </c>
      <c r="D973" s="13" t="s">
        <v>633</v>
      </c>
      <c r="E973" t="s">
        <v>272</v>
      </c>
      <c r="F973" s="11">
        <v>1</v>
      </c>
      <c r="G973" s="11">
        <v>58823.53</v>
      </c>
    </row>
    <row r="974" spans="2:7" x14ac:dyDescent="0.2">
      <c r="B974" s="32">
        <v>45809</v>
      </c>
      <c r="C974" t="s">
        <v>142</v>
      </c>
      <c r="D974" s="13" t="s">
        <v>633</v>
      </c>
      <c r="E974" t="s">
        <v>162</v>
      </c>
      <c r="F974" s="11">
        <v>1</v>
      </c>
      <c r="G974" s="11">
        <v>58823.53</v>
      </c>
    </row>
    <row r="975" spans="2:7" x14ac:dyDescent="0.2">
      <c r="B975" s="32">
        <v>45809</v>
      </c>
      <c r="C975" t="s">
        <v>142</v>
      </c>
      <c r="D975" s="13" t="s">
        <v>633</v>
      </c>
      <c r="E975" t="s">
        <v>496</v>
      </c>
      <c r="F975" s="11">
        <v>1</v>
      </c>
      <c r="G975" s="11">
        <v>58823.53</v>
      </c>
    </row>
    <row r="976" spans="2:7" x14ac:dyDescent="0.2">
      <c r="B976" s="32">
        <v>45809</v>
      </c>
      <c r="C976" t="s">
        <v>142</v>
      </c>
      <c r="D976" s="13" t="s">
        <v>633</v>
      </c>
      <c r="E976" t="s">
        <v>203</v>
      </c>
      <c r="F976" s="11">
        <v>1</v>
      </c>
      <c r="G976" s="11">
        <v>42016.81</v>
      </c>
    </row>
    <row r="977" spans="2:7" x14ac:dyDescent="0.2">
      <c r="B977" s="32">
        <v>45809</v>
      </c>
      <c r="C977" t="s">
        <v>142</v>
      </c>
      <c r="D977" s="13" t="s">
        <v>633</v>
      </c>
      <c r="F977" s="11">
        <v>0</v>
      </c>
      <c r="G977" s="11">
        <v>0</v>
      </c>
    </row>
    <row r="978" spans="2:7" x14ac:dyDescent="0.2">
      <c r="B978" s="32">
        <v>45810</v>
      </c>
      <c r="C978" t="s">
        <v>142</v>
      </c>
      <c r="D978" s="13" t="s">
        <v>634</v>
      </c>
      <c r="E978" t="s">
        <v>499</v>
      </c>
      <c r="F978" s="11">
        <v>1</v>
      </c>
      <c r="G978" s="11">
        <v>235294.12</v>
      </c>
    </row>
    <row r="979" spans="2:7" x14ac:dyDescent="0.2">
      <c r="B979" s="32">
        <v>45810</v>
      </c>
      <c r="C979" t="s">
        <v>142</v>
      </c>
      <c r="D979" s="13" t="s">
        <v>634</v>
      </c>
      <c r="E979" t="s">
        <v>234</v>
      </c>
      <c r="F979" s="11">
        <v>3</v>
      </c>
      <c r="G979" s="11">
        <v>113445.38</v>
      </c>
    </row>
    <row r="980" spans="2:7" x14ac:dyDescent="0.2">
      <c r="B980" s="32">
        <v>45810</v>
      </c>
      <c r="C980" t="s">
        <v>142</v>
      </c>
      <c r="D980" s="13" t="s">
        <v>634</v>
      </c>
      <c r="E980" t="s">
        <v>409</v>
      </c>
      <c r="F980" s="11">
        <v>1</v>
      </c>
      <c r="G980" s="11">
        <v>100840.34</v>
      </c>
    </row>
    <row r="981" spans="2:7" x14ac:dyDescent="0.2">
      <c r="B981" s="32">
        <v>45810</v>
      </c>
      <c r="C981" t="s">
        <v>142</v>
      </c>
      <c r="D981" s="13" t="s">
        <v>634</v>
      </c>
      <c r="E981" t="s">
        <v>236</v>
      </c>
      <c r="F981" s="11">
        <v>1</v>
      </c>
      <c r="G981" s="11">
        <v>58823.53</v>
      </c>
    </row>
    <row r="982" spans="2:7" x14ac:dyDescent="0.2">
      <c r="B982" s="32">
        <v>45810</v>
      </c>
      <c r="C982" t="s">
        <v>142</v>
      </c>
      <c r="D982" s="13" t="s">
        <v>634</v>
      </c>
      <c r="E982" t="s">
        <v>1868</v>
      </c>
      <c r="F982" s="11">
        <v>1</v>
      </c>
      <c r="G982" s="11">
        <v>58823.53</v>
      </c>
    </row>
    <row r="983" spans="2:7" x14ac:dyDescent="0.2">
      <c r="B983" s="32">
        <v>45810</v>
      </c>
      <c r="C983" t="s">
        <v>142</v>
      </c>
      <c r="D983" s="13" t="s">
        <v>634</v>
      </c>
      <c r="E983" t="s">
        <v>640</v>
      </c>
      <c r="F983" s="11">
        <v>1</v>
      </c>
      <c r="G983" s="11">
        <v>54621.85</v>
      </c>
    </row>
    <row r="984" spans="2:7" x14ac:dyDescent="0.2">
      <c r="B984" s="32">
        <v>45810</v>
      </c>
      <c r="C984" t="s">
        <v>142</v>
      </c>
      <c r="D984" s="13" t="s">
        <v>634</v>
      </c>
      <c r="F984" s="11">
        <v>0</v>
      </c>
      <c r="G984" s="11">
        <v>0</v>
      </c>
    </row>
    <row r="985" spans="2:7" x14ac:dyDescent="0.2">
      <c r="B985" s="32">
        <v>45810</v>
      </c>
      <c r="C985" t="s">
        <v>142</v>
      </c>
      <c r="D985" s="13" t="s">
        <v>633</v>
      </c>
      <c r="E985" t="s">
        <v>197</v>
      </c>
      <c r="F985" s="11">
        <v>2</v>
      </c>
      <c r="G985" s="11">
        <v>109243.7</v>
      </c>
    </row>
    <row r="986" spans="2:7" x14ac:dyDescent="0.2">
      <c r="B986" s="32">
        <v>45810</v>
      </c>
      <c r="C986" t="s">
        <v>142</v>
      </c>
      <c r="D986" s="13" t="s">
        <v>633</v>
      </c>
      <c r="E986" t="s">
        <v>806</v>
      </c>
      <c r="F986" s="11">
        <v>1</v>
      </c>
      <c r="G986" s="11">
        <v>79831.929999999993</v>
      </c>
    </row>
    <row r="987" spans="2:7" x14ac:dyDescent="0.2">
      <c r="B987" s="32">
        <v>45810</v>
      </c>
      <c r="C987" t="s">
        <v>142</v>
      </c>
      <c r="D987" s="13" t="s">
        <v>633</v>
      </c>
      <c r="E987" t="s">
        <v>280</v>
      </c>
      <c r="F987" s="11">
        <v>1</v>
      </c>
      <c r="G987" s="11">
        <v>54621.85</v>
      </c>
    </row>
    <row r="988" spans="2:7" x14ac:dyDescent="0.2">
      <c r="B988" s="32">
        <v>45810</v>
      </c>
      <c r="C988" t="s">
        <v>142</v>
      </c>
      <c r="D988" s="13" t="s">
        <v>633</v>
      </c>
      <c r="F988" s="11">
        <v>0</v>
      </c>
      <c r="G988" s="11">
        <v>0</v>
      </c>
    </row>
    <row r="989" spans="2:7" x14ac:dyDescent="0.2">
      <c r="B989" s="32">
        <v>45811</v>
      </c>
      <c r="C989" t="s">
        <v>142</v>
      </c>
      <c r="D989" s="13" t="s">
        <v>634</v>
      </c>
      <c r="E989" t="s">
        <v>510</v>
      </c>
      <c r="F989" s="11">
        <v>1</v>
      </c>
      <c r="G989" s="11">
        <v>151260.5</v>
      </c>
    </row>
    <row r="990" spans="2:7" x14ac:dyDescent="0.2">
      <c r="B990" s="32">
        <v>45811</v>
      </c>
      <c r="C990" t="s">
        <v>142</v>
      </c>
      <c r="D990" s="13" t="s">
        <v>634</v>
      </c>
      <c r="E990" t="s">
        <v>233</v>
      </c>
      <c r="F990" s="11">
        <v>1</v>
      </c>
      <c r="G990" s="11">
        <v>84033.61</v>
      </c>
    </row>
    <row r="991" spans="2:7" x14ac:dyDescent="0.2">
      <c r="B991" s="32">
        <v>45811</v>
      </c>
      <c r="C991" t="s">
        <v>142</v>
      </c>
      <c r="D991" s="13" t="s">
        <v>634</v>
      </c>
      <c r="E991" t="s">
        <v>398</v>
      </c>
      <c r="F991" s="11">
        <v>1</v>
      </c>
      <c r="G991" s="11">
        <v>58823.53</v>
      </c>
    </row>
    <row r="992" spans="2:7" x14ac:dyDescent="0.2">
      <c r="B992" s="32">
        <v>45811</v>
      </c>
      <c r="C992" t="s">
        <v>142</v>
      </c>
      <c r="D992" s="13" t="s">
        <v>634</v>
      </c>
      <c r="E992" t="s">
        <v>466</v>
      </c>
      <c r="F992" s="11">
        <v>1</v>
      </c>
      <c r="G992" s="11">
        <v>21848.74</v>
      </c>
    </row>
    <row r="993" spans="2:7" x14ac:dyDescent="0.2">
      <c r="B993" s="32">
        <v>45811</v>
      </c>
      <c r="C993" t="s">
        <v>142</v>
      </c>
      <c r="D993" s="13" t="s">
        <v>634</v>
      </c>
      <c r="E993" t="s">
        <v>1796</v>
      </c>
      <c r="F993" s="11">
        <v>1</v>
      </c>
      <c r="G993" s="11">
        <v>21008.41</v>
      </c>
    </row>
    <row r="994" spans="2:7" x14ac:dyDescent="0.2">
      <c r="B994" s="32">
        <v>45811</v>
      </c>
      <c r="C994" t="s">
        <v>142</v>
      </c>
      <c r="D994" s="13" t="s">
        <v>634</v>
      </c>
      <c r="F994" s="11">
        <v>0</v>
      </c>
      <c r="G994" s="11">
        <v>0</v>
      </c>
    </row>
    <row r="995" spans="2:7" x14ac:dyDescent="0.2">
      <c r="B995" s="32">
        <v>45811</v>
      </c>
      <c r="C995" t="s">
        <v>142</v>
      </c>
      <c r="D995" s="13" t="s">
        <v>633</v>
      </c>
      <c r="E995" t="s">
        <v>1804</v>
      </c>
      <c r="F995" s="11">
        <v>1</v>
      </c>
      <c r="G995" s="11">
        <v>156302.51999999999</v>
      </c>
    </row>
    <row r="996" spans="2:7" x14ac:dyDescent="0.2">
      <c r="B996" s="32">
        <v>45811</v>
      </c>
      <c r="C996" t="s">
        <v>142</v>
      </c>
      <c r="D996" s="13" t="s">
        <v>633</v>
      </c>
      <c r="E996" t="s">
        <v>1869</v>
      </c>
      <c r="F996" s="11">
        <v>1</v>
      </c>
      <c r="G996" s="11">
        <v>134453.78</v>
      </c>
    </row>
    <row r="997" spans="2:7" x14ac:dyDescent="0.2">
      <c r="B997" s="32">
        <v>45811</v>
      </c>
      <c r="C997" t="s">
        <v>142</v>
      </c>
      <c r="D997" s="13" t="s">
        <v>633</v>
      </c>
      <c r="E997" t="s">
        <v>477</v>
      </c>
      <c r="F997" s="11">
        <v>1</v>
      </c>
      <c r="G997" s="11">
        <v>126050.42</v>
      </c>
    </row>
    <row r="998" spans="2:7" x14ac:dyDescent="0.2">
      <c r="B998" s="32">
        <v>45811</v>
      </c>
      <c r="C998" t="s">
        <v>142</v>
      </c>
      <c r="D998" s="13" t="s">
        <v>633</v>
      </c>
      <c r="E998" t="s">
        <v>524</v>
      </c>
      <c r="F998" s="11">
        <v>1</v>
      </c>
      <c r="G998" s="11">
        <v>126050.42</v>
      </c>
    </row>
    <row r="999" spans="2:7" x14ac:dyDescent="0.2">
      <c r="B999" s="32">
        <v>45811</v>
      </c>
      <c r="C999" t="s">
        <v>142</v>
      </c>
      <c r="D999" s="13" t="s">
        <v>633</v>
      </c>
      <c r="E999" t="s">
        <v>813</v>
      </c>
      <c r="F999" s="11">
        <v>1</v>
      </c>
      <c r="G999" s="11">
        <v>100840.34</v>
      </c>
    </row>
    <row r="1000" spans="2:7" x14ac:dyDescent="0.2">
      <c r="B1000" s="32">
        <v>45811</v>
      </c>
      <c r="C1000" t="s">
        <v>142</v>
      </c>
      <c r="D1000" s="13" t="s">
        <v>633</v>
      </c>
      <c r="E1000" t="s">
        <v>1790</v>
      </c>
      <c r="F1000" s="11">
        <v>1</v>
      </c>
      <c r="G1000" s="11">
        <v>75630.25</v>
      </c>
    </row>
    <row r="1001" spans="2:7" x14ac:dyDescent="0.2">
      <c r="B1001" s="32">
        <v>45811</v>
      </c>
      <c r="C1001" t="s">
        <v>142</v>
      </c>
      <c r="D1001" s="13" t="s">
        <v>633</v>
      </c>
      <c r="E1001" t="s">
        <v>1870</v>
      </c>
      <c r="F1001" s="11">
        <v>1</v>
      </c>
      <c r="G1001" s="11">
        <v>67226.89</v>
      </c>
    </row>
    <row r="1002" spans="2:7" x14ac:dyDescent="0.2">
      <c r="B1002" s="32">
        <v>45811</v>
      </c>
      <c r="C1002" t="s">
        <v>142</v>
      </c>
      <c r="D1002" s="13" t="s">
        <v>633</v>
      </c>
      <c r="E1002" t="s">
        <v>224</v>
      </c>
      <c r="F1002" s="11">
        <v>1</v>
      </c>
      <c r="G1002" s="11">
        <v>58823.53</v>
      </c>
    </row>
    <row r="1003" spans="2:7" x14ac:dyDescent="0.2">
      <c r="B1003" s="32">
        <v>45811</v>
      </c>
      <c r="C1003" t="s">
        <v>142</v>
      </c>
      <c r="D1003" s="13" t="s">
        <v>633</v>
      </c>
      <c r="E1003" t="s">
        <v>306</v>
      </c>
      <c r="F1003" s="11">
        <v>1</v>
      </c>
      <c r="G1003" s="11">
        <v>58823.53</v>
      </c>
    </row>
    <row r="1004" spans="2:7" x14ac:dyDescent="0.2">
      <c r="B1004" s="32">
        <v>45811</v>
      </c>
      <c r="C1004" t="s">
        <v>142</v>
      </c>
      <c r="D1004" s="13" t="s">
        <v>633</v>
      </c>
      <c r="E1004" t="s">
        <v>165</v>
      </c>
      <c r="F1004" s="11">
        <v>1</v>
      </c>
      <c r="G1004" s="11">
        <v>58823.53</v>
      </c>
    </row>
    <row r="1005" spans="2:7" x14ac:dyDescent="0.2">
      <c r="B1005" s="32">
        <v>45811</v>
      </c>
      <c r="C1005" t="s">
        <v>142</v>
      </c>
      <c r="D1005" s="13" t="s">
        <v>633</v>
      </c>
      <c r="E1005" t="s">
        <v>822</v>
      </c>
      <c r="F1005" s="11">
        <v>1</v>
      </c>
      <c r="G1005" s="11">
        <v>58823.53</v>
      </c>
    </row>
    <row r="1006" spans="2:7" x14ac:dyDescent="0.2">
      <c r="B1006" s="32">
        <v>45811</v>
      </c>
      <c r="C1006" t="s">
        <v>142</v>
      </c>
      <c r="D1006" s="13" t="s">
        <v>633</v>
      </c>
      <c r="E1006" t="s">
        <v>831</v>
      </c>
      <c r="F1006" s="11">
        <v>2</v>
      </c>
      <c r="G1006" s="11">
        <v>1.68</v>
      </c>
    </row>
    <row r="1007" spans="2:7" x14ac:dyDescent="0.2">
      <c r="B1007" s="32">
        <v>45811</v>
      </c>
      <c r="C1007" t="s">
        <v>142</v>
      </c>
      <c r="D1007" s="13" t="s">
        <v>633</v>
      </c>
      <c r="F1007" s="11">
        <v>0</v>
      </c>
      <c r="G1007" s="11">
        <v>0</v>
      </c>
    </row>
    <row r="1008" spans="2:7" x14ac:dyDescent="0.2">
      <c r="B1008" s="32">
        <v>45811</v>
      </c>
      <c r="C1008" t="s">
        <v>142</v>
      </c>
      <c r="D1008" s="13" t="s">
        <v>633</v>
      </c>
      <c r="E1008" t="s">
        <v>366</v>
      </c>
      <c r="F1008" s="11">
        <v>1</v>
      </c>
      <c r="G1008" s="11">
        <v>0</v>
      </c>
    </row>
    <row r="1009" spans="2:7" x14ac:dyDescent="0.2">
      <c r="B1009" s="32">
        <v>45812</v>
      </c>
      <c r="C1009" t="s">
        <v>142</v>
      </c>
      <c r="D1009" s="13" t="s">
        <v>634</v>
      </c>
      <c r="E1009" t="s">
        <v>532</v>
      </c>
      <c r="F1009" s="11">
        <v>1</v>
      </c>
      <c r="G1009" s="11">
        <v>117647.06</v>
      </c>
    </row>
    <row r="1010" spans="2:7" x14ac:dyDescent="0.2">
      <c r="B1010" s="32">
        <v>45812</v>
      </c>
      <c r="C1010" t="s">
        <v>142</v>
      </c>
      <c r="D1010" s="13" t="s">
        <v>634</v>
      </c>
      <c r="E1010" t="s">
        <v>249</v>
      </c>
      <c r="F1010" s="11">
        <v>1</v>
      </c>
      <c r="G1010" s="11">
        <v>100840.34</v>
      </c>
    </row>
    <row r="1011" spans="2:7" x14ac:dyDescent="0.2">
      <c r="B1011" s="32">
        <v>45812</v>
      </c>
      <c r="C1011" t="s">
        <v>142</v>
      </c>
      <c r="D1011" s="13" t="s">
        <v>634</v>
      </c>
      <c r="E1011" t="s">
        <v>226</v>
      </c>
      <c r="F1011" s="11">
        <v>1</v>
      </c>
      <c r="G1011" s="11">
        <v>100840.34</v>
      </c>
    </row>
    <row r="1012" spans="2:7" x14ac:dyDescent="0.2">
      <c r="B1012" s="32">
        <v>45812</v>
      </c>
      <c r="C1012" t="s">
        <v>142</v>
      </c>
      <c r="D1012" s="13" t="s">
        <v>634</v>
      </c>
      <c r="E1012" t="s">
        <v>197</v>
      </c>
      <c r="F1012" s="11">
        <v>1</v>
      </c>
      <c r="G1012" s="11">
        <v>100840.34</v>
      </c>
    </row>
    <row r="1013" spans="2:7" x14ac:dyDescent="0.2">
      <c r="B1013" s="32">
        <v>45812</v>
      </c>
      <c r="C1013" t="s">
        <v>142</v>
      </c>
      <c r="D1013" s="13" t="s">
        <v>634</v>
      </c>
      <c r="E1013" t="s">
        <v>223</v>
      </c>
      <c r="F1013" s="11">
        <v>1</v>
      </c>
      <c r="G1013" s="11">
        <v>84033.61</v>
      </c>
    </row>
    <row r="1014" spans="2:7" x14ac:dyDescent="0.2">
      <c r="B1014" s="32">
        <v>45812</v>
      </c>
      <c r="C1014" t="s">
        <v>142</v>
      </c>
      <c r="D1014" s="13" t="s">
        <v>634</v>
      </c>
      <c r="E1014" t="s">
        <v>457</v>
      </c>
      <c r="F1014" s="11">
        <v>1</v>
      </c>
      <c r="G1014" s="11">
        <v>79831.929999999993</v>
      </c>
    </row>
    <row r="1015" spans="2:7" x14ac:dyDescent="0.2">
      <c r="B1015" s="32">
        <v>45812</v>
      </c>
      <c r="C1015" t="s">
        <v>142</v>
      </c>
      <c r="D1015" s="13" t="s">
        <v>634</v>
      </c>
      <c r="E1015" t="s">
        <v>251</v>
      </c>
      <c r="F1015" s="11">
        <v>1</v>
      </c>
      <c r="G1015" s="11">
        <v>58823.53</v>
      </c>
    </row>
    <row r="1016" spans="2:7" x14ac:dyDescent="0.2">
      <c r="B1016" s="32">
        <v>45812</v>
      </c>
      <c r="C1016" t="s">
        <v>142</v>
      </c>
      <c r="D1016" s="13" t="s">
        <v>634</v>
      </c>
      <c r="E1016" t="s">
        <v>1871</v>
      </c>
      <c r="F1016" s="11">
        <v>0</v>
      </c>
      <c r="G1016" s="11">
        <v>58823.53</v>
      </c>
    </row>
    <row r="1017" spans="2:7" x14ac:dyDescent="0.2">
      <c r="B1017" s="32">
        <v>45812</v>
      </c>
      <c r="C1017" t="s">
        <v>142</v>
      </c>
      <c r="D1017" s="13" t="s">
        <v>634</v>
      </c>
      <c r="E1017" t="s">
        <v>208</v>
      </c>
      <c r="F1017" s="11">
        <v>1</v>
      </c>
      <c r="G1017" s="11">
        <v>58823.53</v>
      </c>
    </row>
    <row r="1018" spans="2:7" x14ac:dyDescent="0.2">
      <c r="B1018" s="32">
        <v>45812</v>
      </c>
      <c r="C1018" t="s">
        <v>142</v>
      </c>
      <c r="D1018" s="13" t="s">
        <v>634</v>
      </c>
      <c r="E1018" t="s">
        <v>259</v>
      </c>
      <c r="F1018" s="11">
        <v>1</v>
      </c>
      <c r="G1018" s="11">
        <v>58823.519999999997</v>
      </c>
    </row>
    <row r="1019" spans="2:7" x14ac:dyDescent="0.2">
      <c r="B1019" s="32">
        <v>45812</v>
      </c>
      <c r="C1019" t="s">
        <v>142</v>
      </c>
      <c r="D1019" s="13" t="s">
        <v>634</v>
      </c>
      <c r="E1019" t="s">
        <v>641</v>
      </c>
      <c r="F1019" s="11">
        <v>1</v>
      </c>
      <c r="G1019" s="11">
        <v>54621.85</v>
      </c>
    </row>
    <row r="1020" spans="2:7" x14ac:dyDescent="0.2">
      <c r="B1020" s="32">
        <v>45812</v>
      </c>
      <c r="C1020" t="s">
        <v>142</v>
      </c>
      <c r="D1020" s="13" t="s">
        <v>634</v>
      </c>
      <c r="E1020" t="s">
        <v>407</v>
      </c>
      <c r="F1020" s="11">
        <v>1</v>
      </c>
      <c r="G1020" s="11">
        <v>54621.85</v>
      </c>
    </row>
    <row r="1021" spans="2:7" x14ac:dyDescent="0.2">
      <c r="B1021" s="32">
        <v>45812</v>
      </c>
      <c r="C1021" t="s">
        <v>142</v>
      </c>
      <c r="D1021" s="13" t="s">
        <v>634</v>
      </c>
      <c r="E1021" t="s">
        <v>283</v>
      </c>
      <c r="F1021" s="11">
        <v>1</v>
      </c>
      <c r="G1021" s="11">
        <v>54621.85</v>
      </c>
    </row>
    <row r="1022" spans="2:7" x14ac:dyDescent="0.2">
      <c r="B1022" s="32">
        <v>45812</v>
      </c>
      <c r="C1022" t="s">
        <v>142</v>
      </c>
      <c r="D1022" s="13" t="s">
        <v>634</v>
      </c>
      <c r="E1022" t="s">
        <v>679</v>
      </c>
      <c r="F1022" s="11">
        <v>0</v>
      </c>
      <c r="G1022" s="11">
        <v>54621.85</v>
      </c>
    </row>
    <row r="1023" spans="2:7" x14ac:dyDescent="0.2">
      <c r="B1023" s="32">
        <v>45812</v>
      </c>
      <c r="C1023" t="s">
        <v>142</v>
      </c>
      <c r="D1023" s="13" t="s">
        <v>634</v>
      </c>
      <c r="E1023" t="s">
        <v>836</v>
      </c>
      <c r="F1023" s="11">
        <v>1</v>
      </c>
      <c r="G1023" s="11">
        <v>46218.49</v>
      </c>
    </row>
    <row r="1024" spans="2:7" x14ac:dyDescent="0.2">
      <c r="B1024" s="32">
        <v>45812</v>
      </c>
      <c r="C1024" t="s">
        <v>142</v>
      </c>
      <c r="D1024" s="13" t="s">
        <v>634</v>
      </c>
      <c r="E1024" t="s">
        <v>350</v>
      </c>
      <c r="F1024" s="11">
        <v>1</v>
      </c>
      <c r="G1024" s="11">
        <v>46218.49</v>
      </c>
    </row>
    <row r="1025" spans="2:7" x14ac:dyDescent="0.2">
      <c r="B1025" s="32">
        <v>45812</v>
      </c>
      <c r="C1025" t="s">
        <v>142</v>
      </c>
      <c r="D1025" s="13" t="s">
        <v>634</v>
      </c>
      <c r="E1025" t="s">
        <v>166</v>
      </c>
      <c r="F1025" s="11">
        <v>1</v>
      </c>
      <c r="G1025" s="11">
        <v>42016.81</v>
      </c>
    </row>
    <row r="1026" spans="2:7" x14ac:dyDescent="0.2">
      <c r="B1026" s="32">
        <v>45812</v>
      </c>
      <c r="C1026" t="s">
        <v>142</v>
      </c>
      <c r="D1026" s="13" t="s">
        <v>634</v>
      </c>
      <c r="E1026" t="s">
        <v>1796</v>
      </c>
      <c r="F1026" s="11">
        <v>1</v>
      </c>
      <c r="G1026" s="11">
        <v>21008.400000000001</v>
      </c>
    </row>
    <row r="1027" spans="2:7" x14ac:dyDescent="0.2">
      <c r="B1027" s="32">
        <v>45812</v>
      </c>
      <c r="C1027" t="s">
        <v>142</v>
      </c>
      <c r="D1027" s="13" t="s">
        <v>634</v>
      </c>
      <c r="F1027" s="11">
        <v>0</v>
      </c>
      <c r="G1027" s="11">
        <v>0</v>
      </c>
    </row>
    <row r="1028" spans="2:7" x14ac:dyDescent="0.2">
      <c r="B1028" s="32">
        <v>45812</v>
      </c>
      <c r="C1028" t="s">
        <v>142</v>
      </c>
      <c r="D1028" s="13" t="s">
        <v>634</v>
      </c>
      <c r="E1028" t="s">
        <v>567</v>
      </c>
      <c r="F1028" s="11">
        <v>0</v>
      </c>
      <c r="G1028" s="11">
        <v>-117647.06</v>
      </c>
    </row>
    <row r="1029" spans="2:7" x14ac:dyDescent="0.2">
      <c r="B1029" s="32">
        <v>45812</v>
      </c>
      <c r="C1029" t="s">
        <v>142</v>
      </c>
      <c r="D1029" s="13" t="s">
        <v>633</v>
      </c>
      <c r="E1029" t="s">
        <v>406</v>
      </c>
      <c r="F1029" s="11">
        <v>9</v>
      </c>
      <c r="G1029" s="11">
        <v>470588.24</v>
      </c>
    </row>
    <row r="1030" spans="2:7" x14ac:dyDescent="0.2">
      <c r="B1030" s="32">
        <v>45812</v>
      </c>
      <c r="C1030" t="s">
        <v>142</v>
      </c>
      <c r="D1030" s="13" t="s">
        <v>633</v>
      </c>
      <c r="E1030" t="s">
        <v>271</v>
      </c>
      <c r="F1030" s="11">
        <v>0</v>
      </c>
      <c r="G1030" s="11">
        <v>109243.7</v>
      </c>
    </row>
    <row r="1031" spans="2:7" x14ac:dyDescent="0.2">
      <c r="B1031" s="32">
        <v>45812</v>
      </c>
      <c r="C1031" t="s">
        <v>142</v>
      </c>
      <c r="D1031" s="13" t="s">
        <v>633</v>
      </c>
      <c r="E1031" t="s">
        <v>298</v>
      </c>
      <c r="F1031" s="11">
        <v>1</v>
      </c>
      <c r="G1031" s="11">
        <v>82352.94</v>
      </c>
    </row>
    <row r="1032" spans="2:7" x14ac:dyDescent="0.2">
      <c r="B1032" s="32">
        <v>45812</v>
      </c>
      <c r="C1032" t="s">
        <v>142</v>
      </c>
      <c r="D1032" s="13" t="s">
        <v>633</v>
      </c>
      <c r="E1032" t="s">
        <v>1872</v>
      </c>
      <c r="F1032" s="11">
        <v>1</v>
      </c>
      <c r="G1032" s="11">
        <v>67226.89</v>
      </c>
    </row>
    <row r="1033" spans="2:7" x14ac:dyDescent="0.2">
      <c r="B1033" s="32">
        <v>45812</v>
      </c>
      <c r="C1033" t="s">
        <v>142</v>
      </c>
      <c r="D1033" s="13" t="s">
        <v>633</v>
      </c>
      <c r="E1033" t="s">
        <v>163</v>
      </c>
      <c r="F1033" s="11">
        <v>1</v>
      </c>
      <c r="G1033" s="11">
        <v>58823.53</v>
      </c>
    </row>
    <row r="1034" spans="2:7" x14ac:dyDescent="0.2">
      <c r="B1034" s="32">
        <v>45812</v>
      </c>
      <c r="C1034" t="s">
        <v>142</v>
      </c>
      <c r="D1034" s="13" t="s">
        <v>633</v>
      </c>
      <c r="E1034" t="s">
        <v>184</v>
      </c>
      <c r="F1034" s="11">
        <v>1</v>
      </c>
      <c r="G1034" s="11">
        <v>54621.85</v>
      </c>
    </row>
    <row r="1035" spans="2:7" x14ac:dyDescent="0.2">
      <c r="B1035" s="32">
        <v>45812</v>
      </c>
      <c r="C1035" t="s">
        <v>142</v>
      </c>
      <c r="D1035" s="13" t="s">
        <v>633</v>
      </c>
      <c r="E1035" t="s">
        <v>153</v>
      </c>
      <c r="F1035" s="11">
        <v>1</v>
      </c>
      <c r="G1035" s="11">
        <v>42016.81</v>
      </c>
    </row>
    <row r="1036" spans="2:7" x14ac:dyDescent="0.2">
      <c r="B1036" s="32">
        <v>45812</v>
      </c>
      <c r="C1036" t="s">
        <v>142</v>
      </c>
      <c r="D1036" s="13" t="s">
        <v>633</v>
      </c>
      <c r="E1036" t="s">
        <v>1847</v>
      </c>
      <c r="F1036" s="11">
        <v>1</v>
      </c>
      <c r="G1036" s="11">
        <v>21008.400000000001</v>
      </c>
    </row>
    <row r="1037" spans="2:7" x14ac:dyDescent="0.2">
      <c r="B1037" s="32">
        <v>45812</v>
      </c>
      <c r="C1037" t="s">
        <v>142</v>
      </c>
      <c r="D1037" s="13" t="s">
        <v>633</v>
      </c>
      <c r="F1037" s="11">
        <v>0</v>
      </c>
      <c r="G1037" s="11">
        <v>0</v>
      </c>
    </row>
    <row r="1038" spans="2:7" x14ac:dyDescent="0.2">
      <c r="B1038" s="32">
        <v>45812</v>
      </c>
      <c r="C1038" t="s">
        <v>142</v>
      </c>
      <c r="D1038" s="13" t="s">
        <v>633</v>
      </c>
      <c r="E1038" t="s">
        <v>169</v>
      </c>
      <c r="F1038" s="11">
        <v>0</v>
      </c>
      <c r="G1038" s="11">
        <v>-82352.94</v>
      </c>
    </row>
    <row r="1039" spans="2:7" x14ac:dyDescent="0.2">
      <c r="B1039" s="32">
        <v>45812</v>
      </c>
      <c r="C1039" t="s">
        <v>1739</v>
      </c>
      <c r="D1039" s="13" t="s">
        <v>634</v>
      </c>
      <c r="E1039" t="s">
        <v>1873</v>
      </c>
      <c r="F1039" s="11">
        <v>10</v>
      </c>
      <c r="G1039" s="11">
        <v>1756302.52</v>
      </c>
    </row>
    <row r="1040" spans="2:7" x14ac:dyDescent="0.2">
      <c r="B1040" s="32">
        <v>45812</v>
      </c>
      <c r="C1040" t="s">
        <v>1739</v>
      </c>
      <c r="D1040" s="13" t="s">
        <v>634</v>
      </c>
      <c r="E1040" t="s">
        <v>1832</v>
      </c>
      <c r="F1040" s="11">
        <v>25</v>
      </c>
      <c r="G1040" s="11">
        <v>531260.5</v>
      </c>
    </row>
    <row r="1041" spans="2:7" x14ac:dyDescent="0.2">
      <c r="B1041" s="32">
        <v>45812</v>
      </c>
      <c r="C1041" t="s">
        <v>1739</v>
      </c>
      <c r="D1041" s="13" t="s">
        <v>634</v>
      </c>
      <c r="E1041" t="s">
        <v>732</v>
      </c>
      <c r="F1041" s="11">
        <v>130</v>
      </c>
      <c r="G1041" s="11">
        <v>382352.94</v>
      </c>
    </row>
    <row r="1042" spans="2:7" x14ac:dyDescent="0.2">
      <c r="B1042" s="32">
        <v>45812</v>
      </c>
      <c r="C1042" t="s">
        <v>1739</v>
      </c>
      <c r="D1042" s="13" t="s">
        <v>634</v>
      </c>
      <c r="E1042" t="s">
        <v>635</v>
      </c>
      <c r="F1042" s="11">
        <v>100</v>
      </c>
      <c r="G1042" s="11">
        <v>294117.65000000002</v>
      </c>
    </row>
    <row r="1043" spans="2:7" x14ac:dyDescent="0.2">
      <c r="B1043" s="32">
        <v>45812</v>
      </c>
      <c r="C1043" t="s">
        <v>1739</v>
      </c>
      <c r="D1043" s="13" t="s">
        <v>634</v>
      </c>
      <c r="E1043" t="s">
        <v>201</v>
      </c>
      <c r="F1043" s="11">
        <v>10</v>
      </c>
      <c r="G1043" s="11">
        <v>252100.84</v>
      </c>
    </row>
    <row r="1044" spans="2:7" x14ac:dyDescent="0.2">
      <c r="B1044" s="32">
        <v>45812</v>
      </c>
      <c r="C1044" t="s">
        <v>1739</v>
      </c>
      <c r="D1044" s="13" t="s">
        <v>634</v>
      </c>
      <c r="E1044" t="s">
        <v>184</v>
      </c>
      <c r="F1044" s="11">
        <v>1</v>
      </c>
      <c r="G1044" s="11">
        <v>54621.85</v>
      </c>
    </row>
    <row r="1045" spans="2:7" x14ac:dyDescent="0.2">
      <c r="B1045" s="32">
        <v>45813</v>
      </c>
      <c r="C1045" t="s">
        <v>142</v>
      </c>
      <c r="D1045" s="13" t="s">
        <v>634</v>
      </c>
      <c r="E1045" t="s">
        <v>233</v>
      </c>
      <c r="F1045" s="11">
        <v>2</v>
      </c>
      <c r="G1045" s="11">
        <v>142857.14000000001</v>
      </c>
    </row>
    <row r="1046" spans="2:7" x14ac:dyDescent="0.2">
      <c r="B1046" s="32">
        <v>45813</v>
      </c>
      <c r="C1046" t="s">
        <v>142</v>
      </c>
      <c r="D1046" s="13" t="s">
        <v>634</v>
      </c>
      <c r="E1046" t="s">
        <v>242</v>
      </c>
      <c r="F1046" s="11">
        <v>1</v>
      </c>
      <c r="G1046" s="11">
        <v>130252.1</v>
      </c>
    </row>
    <row r="1047" spans="2:7" x14ac:dyDescent="0.2">
      <c r="B1047" s="32">
        <v>45813</v>
      </c>
      <c r="C1047" t="s">
        <v>142</v>
      </c>
      <c r="D1047" s="13" t="s">
        <v>634</v>
      </c>
      <c r="E1047" t="s">
        <v>347</v>
      </c>
      <c r="F1047" s="11">
        <v>1</v>
      </c>
      <c r="G1047" s="11">
        <v>75630.25</v>
      </c>
    </row>
    <row r="1048" spans="2:7" x14ac:dyDescent="0.2">
      <c r="B1048" s="32">
        <v>45813</v>
      </c>
      <c r="C1048" t="s">
        <v>142</v>
      </c>
      <c r="D1048" s="13" t="s">
        <v>634</v>
      </c>
      <c r="E1048" t="s">
        <v>325</v>
      </c>
      <c r="F1048" s="11">
        <v>1</v>
      </c>
      <c r="G1048" s="11">
        <v>58823.53</v>
      </c>
    </row>
    <row r="1049" spans="2:7" x14ac:dyDescent="0.2">
      <c r="B1049" s="32">
        <v>45813</v>
      </c>
      <c r="C1049" t="s">
        <v>142</v>
      </c>
      <c r="D1049" s="13" t="s">
        <v>634</v>
      </c>
      <c r="E1049" t="s">
        <v>500</v>
      </c>
      <c r="F1049" s="11">
        <v>1</v>
      </c>
      <c r="G1049" s="11">
        <v>58823.53</v>
      </c>
    </row>
    <row r="1050" spans="2:7" x14ac:dyDescent="0.2">
      <c r="B1050" s="32">
        <v>45813</v>
      </c>
      <c r="C1050" t="s">
        <v>142</v>
      </c>
      <c r="D1050" s="13" t="s">
        <v>634</v>
      </c>
      <c r="E1050" t="s">
        <v>342</v>
      </c>
      <c r="F1050" s="11">
        <v>1</v>
      </c>
      <c r="G1050" s="11">
        <v>21848.74</v>
      </c>
    </row>
    <row r="1051" spans="2:7" x14ac:dyDescent="0.2">
      <c r="B1051" s="32">
        <v>45813</v>
      </c>
      <c r="C1051" t="s">
        <v>142</v>
      </c>
      <c r="D1051" s="13" t="s">
        <v>634</v>
      </c>
      <c r="F1051" s="11">
        <v>0</v>
      </c>
      <c r="G1051" s="11">
        <v>0</v>
      </c>
    </row>
    <row r="1052" spans="2:7" x14ac:dyDescent="0.2">
      <c r="B1052" s="32">
        <v>45813</v>
      </c>
      <c r="C1052" t="s">
        <v>142</v>
      </c>
      <c r="D1052" s="13" t="s">
        <v>633</v>
      </c>
      <c r="E1052" t="s">
        <v>159</v>
      </c>
      <c r="F1052" s="11">
        <v>1</v>
      </c>
      <c r="G1052" s="11">
        <v>243697.48</v>
      </c>
    </row>
    <row r="1053" spans="2:7" x14ac:dyDescent="0.2">
      <c r="B1053" s="32">
        <v>45813</v>
      </c>
      <c r="C1053" t="s">
        <v>142</v>
      </c>
      <c r="D1053" s="13" t="s">
        <v>633</v>
      </c>
      <c r="E1053" t="s">
        <v>521</v>
      </c>
      <c r="F1053" s="11">
        <v>2</v>
      </c>
      <c r="G1053" s="11">
        <v>184873.95</v>
      </c>
    </row>
    <row r="1054" spans="2:7" x14ac:dyDescent="0.2">
      <c r="B1054" s="32">
        <v>45813</v>
      </c>
      <c r="C1054" t="s">
        <v>142</v>
      </c>
      <c r="D1054" s="13" t="s">
        <v>633</v>
      </c>
      <c r="E1054" t="s">
        <v>200</v>
      </c>
      <c r="F1054" s="11">
        <v>1</v>
      </c>
      <c r="G1054" s="11">
        <v>142857.14000000001</v>
      </c>
    </row>
    <row r="1055" spans="2:7" x14ac:dyDescent="0.2">
      <c r="B1055" s="32">
        <v>45813</v>
      </c>
      <c r="C1055" t="s">
        <v>142</v>
      </c>
      <c r="D1055" s="13" t="s">
        <v>633</v>
      </c>
      <c r="E1055" t="s">
        <v>652</v>
      </c>
      <c r="F1055" s="11">
        <v>1</v>
      </c>
      <c r="G1055" s="11">
        <v>130252.1</v>
      </c>
    </row>
    <row r="1056" spans="2:7" x14ac:dyDescent="0.2">
      <c r="B1056" s="32">
        <v>45813</v>
      </c>
      <c r="C1056" t="s">
        <v>142</v>
      </c>
      <c r="D1056" s="13" t="s">
        <v>633</v>
      </c>
      <c r="E1056" t="s">
        <v>251</v>
      </c>
      <c r="F1056" s="11">
        <v>2</v>
      </c>
      <c r="G1056" s="11">
        <v>117647.06</v>
      </c>
    </row>
    <row r="1057" spans="2:7" x14ac:dyDescent="0.2">
      <c r="B1057" s="32">
        <v>45813</v>
      </c>
      <c r="C1057" t="s">
        <v>142</v>
      </c>
      <c r="D1057" s="13" t="s">
        <v>633</v>
      </c>
      <c r="E1057" t="s">
        <v>413</v>
      </c>
      <c r="F1057" s="11">
        <v>1</v>
      </c>
      <c r="G1057" s="11">
        <v>79831.929999999993</v>
      </c>
    </row>
    <row r="1058" spans="2:7" x14ac:dyDescent="0.2">
      <c r="B1058" s="32">
        <v>45813</v>
      </c>
      <c r="C1058" t="s">
        <v>142</v>
      </c>
      <c r="D1058" s="13" t="s">
        <v>633</v>
      </c>
      <c r="E1058" t="s">
        <v>1874</v>
      </c>
      <c r="F1058" s="11">
        <v>1</v>
      </c>
      <c r="G1058" s="11">
        <v>75630.25</v>
      </c>
    </row>
    <row r="1059" spans="2:7" x14ac:dyDescent="0.2">
      <c r="B1059" s="32">
        <v>45813</v>
      </c>
      <c r="C1059" t="s">
        <v>142</v>
      </c>
      <c r="D1059" s="13" t="s">
        <v>633</v>
      </c>
      <c r="E1059" t="s">
        <v>149</v>
      </c>
      <c r="F1059" s="11">
        <v>1</v>
      </c>
      <c r="G1059" s="11">
        <v>63025.21</v>
      </c>
    </row>
    <row r="1060" spans="2:7" x14ac:dyDescent="0.2">
      <c r="B1060" s="32">
        <v>45813</v>
      </c>
      <c r="C1060" t="s">
        <v>142</v>
      </c>
      <c r="D1060" s="13" t="s">
        <v>633</v>
      </c>
      <c r="E1060" t="s">
        <v>233</v>
      </c>
      <c r="F1060" s="11">
        <v>1</v>
      </c>
      <c r="G1060" s="11">
        <v>58823.53</v>
      </c>
    </row>
    <row r="1061" spans="2:7" x14ac:dyDescent="0.2">
      <c r="B1061" s="32">
        <v>45813</v>
      </c>
      <c r="C1061" t="s">
        <v>142</v>
      </c>
      <c r="D1061" s="13" t="s">
        <v>633</v>
      </c>
      <c r="E1061" t="s">
        <v>247</v>
      </c>
      <c r="F1061" s="11">
        <v>1</v>
      </c>
      <c r="G1061" s="11">
        <v>58823.53</v>
      </c>
    </row>
    <row r="1062" spans="2:7" x14ac:dyDescent="0.2">
      <c r="B1062" s="32">
        <v>45813</v>
      </c>
      <c r="C1062" t="s">
        <v>142</v>
      </c>
      <c r="D1062" s="13" t="s">
        <v>633</v>
      </c>
      <c r="E1062" t="s">
        <v>1752</v>
      </c>
      <c r="F1062" s="11">
        <v>1</v>
      </c>
      <c r="G1062" s="11">
        <v>54621.85</v>
      </c>
    </row>
    <row r="1063" spans="2:7" x14ac:dyDescent="0.2">
      <c r="B1063" s="32">
        <v>45813</v>
      </c>
      <c r="C1063" t="s">
        <v>142</v>
      </c>
      <c r="D1063" s="13" t="s">
        <v>633</v>
      </c>
      <c r="E1063" t="s">
        <v>344</v>
      </c>
      <c r="F1063" s="11">
        <v>1</v>
      </c>
      <c r="G1063" s="11">
        <v>54621.85</v>
      </c>
    </row>
    <row r="1064" spans="2:7" x14ac:dyDescent="0.2">
      <c r="B1064" s="32">
        <v>45813</v>
      </c>
      <c r="C1064" t="s">
        <v>142</v>
      </c>
      <c r="D1064" s="13" t="s">
        <v>633</v>
      </c>
      <c r="E1064" t="s">
        <v>755</v>
      </c>
      <c r="F1064" s="11">
        <v>1</v>
      </c>
      <c r="G1064" s="11">
        <v>54621.85</v>
      </c>
    </row>
    <row r="1065" spans="2:7" x14ac:dyDescent="0.2">
      <c r="B1065" s="32">
        <v>45813</v>
      </c>
      <c r="C1065" t="s">
        <v>142</v>
      </c>
      <c r="D1065" s="13" t="s">
        <v>633</v>
      </c>
      <c r="E1065" t="s">
        <v>679</v>
      </c>
      <c r="F1065" s="11">
        <v>1</v>
      </c>
      <c r="G1065" s="11">
        <v>54621.85</v>
      </c>
    </row>
    <row r="1066" spans="2:7" x14ac:dyDescent="0.2">
      <c r="B1066" s="32">
        <v>45813</v>
      </c>
      <c r="C1066" t="s">
        <v>142</v>
      </c>
      <c r="D1066" s="13" t="s">
        <v>633</v>
      </c>
      <c r="E1066" t="s">
        <v>1821</v>
      </c>
      <c r="F1066" s="11">
        <v>1</v>
      </c>
      <c r="G1066" s="11">
        <v>54621.85</v>
      </c>
    </row>
    <row r="1067" spans="2:7" x14ac:dyDescent="0.2">
      <c r="B1067" s="32">
        <v>45813</v>
      </c>
      <c r="C1067" t="s">
        <v>142</v>
      </c>
      <c r="D1067" s="13" t="s">
        <v>633</v>
      </c>
      <c r="E1067" t="s">
        <v>776</v>
      </c>
      <c r="F1067" s="11">
        <v>1</v>
      </c>
      <c r="G1067" s="11">
        <v>54621.85</v>
      </c>
    </row>
    <row r="1068" spans="2:7" x14ac:dyDescent="0.2">
      <c r="B1068" s="32">
        <v>45813</v>
      </c>
      <c r="C1068" t="s">
        <v>142</v>
      </c>
      <c r="D1068" s="13" t="s">
        <v>633</v>
      </c>
      <c r="E1068" t="s">
        <v>246</v>
      </c>
      <c r="F1068" s="11">
        <v>1</v>
      </c>
      <c r="G1068" s="11">
        <v>42016.81</v>
      </c>
    </row>
    <row r="1069" spans="2:7" x14ac:dyDescent="0.2">
      <c r="B1069" s="32">
        <v>45813</v>
      </c>
      <c r="C1069" t="s">
        <v>142</v>
      </c>
      <c r="D1069" s="13" t="s">
        <v>633</v>
      </c>
      <c r="E1069" t="s">
        <v>218</v>
      </c>
      <c r="F1069" s="11">
        <v>1</v>
      </c>
      <c r="G1069" s="11">
        <v>21008.400000000001</v>
      </c>
    </row>
    <row r="1070" spans="2:7" x14ac:dyDescent="0.2">
      <c r="B1070" s="32">
        <v>45813</v>
      </c>
      <c r="C1070" t="s">
        <v>142</v>
      </c>
      <c r="D1070" s="13" t="s">
        <v>633</v>
      </c>
      <c r="F1070" s="11">
        <v>0</v>
      </c>
      <c r="G1070" s="11">
        <v>0</v>
      </c>
    </row>
    <row r="1071" spans="2:7" x14ac:dyDescent="0.2">
      <c r="B1071" s="32">
        <v>45814</v>
      </c>
      <c r="C1071" t="s">
        <v>142</v>
      </c>
      <c r="D1071" s="13" t="s">
        <v>634</v>
      </c>
      <c r="E1071" t="s">
        <v>713</v>
      </c>
      <c r="F1071" s="11">
        <v>1</v>
      </c>
      <c r="G1071" s="11">
        <v>243697.49</v>
      </c>
    </row>
    <row r="1072" spans="2:7" x14ac:dyDescent="0.2">
      <c r="B1072" s="32">
        <v>45814</v>
      </c>
      <c r="C1072" t="s">
        <v>142</v>
      </c>
      <c r="D1072" s="13" t="s">
        <v>634</v>
      </c>
      <c r="E1072" t="s">
        <v>1875</v>
      </c>
      <c r="F1072" s="11">
        <v>1</v>
      </c>
      <c r="G1072" s="11">
        <v>92436.97</v>
      </c>
    </row>
    <row r="1073" spans="2:7" x14ac:dyDescent="0.2">
      <c r="B1073" s="32">
        <v>45814</v>
      </c>
      <c r="C1073" t="s">
        <v>142</v>
      </c>
      <c r="D1073" s="13" t="s">
        <v>634</v>
      </c>
      <c r="E1073" t="s">
        <v>521</v>
      </c>
      <c r="F1073" s="11">
        <v>1</v>
      </c>
      <c r="G1073" s="11">
        <v>92436.97</v>
      </c>
    </row>
    <row r="1074" spans="2:7" x14ac:dyDescent="0.2">
      <c r="B1074" s="32">
        <v>45814</v>
      </c>
      <c r="C1074" t="s">
        <v>142</v>
      </c>
      <c r="D1074" s="13" t="s">
        <v>634</v>
      </c>
      <c r="E1074" t="s">
        <v>413</v>
      </c>
      <c r="F1074" s="11">
        <v>1</v>
      </c>
      <c r="G1074" s="11">
        <v>88235.29</v>
      </c>
    </row>
    <row r="1075" spans="2:7" x14ac:dyDescent="0.2">
      <c r="B1075" s="32">
        <v>45814</v>
      </c>
      <c r="C1075" t="s">
        <v>142</v>
      </c>
      <c r="D1075" s="13" t="s">
        <v>634</v>
      </c>
      <c r="E1075" t="s">
        <v>368</v>
      </c>
      <c r="F1075" s="11">
        <v>1</v>
      </c>
      <c r="G1075" s="11">
        <v>75630.25</v>
      </c>
    </row>
    <row r="1076" spans="2:7" x14ac:dyDescent="0.2">
      <c r="B1076" s="32">
        <v>45814</v>
      </c>
      <c r="C1076" t="s">
        <v>142</v>
      </c>
      <c r="D1076" s="13" t="s">
        <v>634</v>
      </c>
      <c r="E1076" t="s">
        <v>653</v>
      </c>
      <c r="F1076" s="11">
        <v>1</v>
      </c>
      <c r="G1076" s="11">
        <v>58823.53</v>
      </c>
    </row>
    <row r="1077" spans="2:7" x14ac:dyDescent="0.2">
      <c r="B1077" s="32">
        <v>45814</v>
      </c>
      <c r="C1077" t="s">
        <v>142</v>
      </c>
      <c r="D1077" s="13" t="s">
        <v>634</v>
      </c>
      <c r="E1077" t="s">
        <v>176</v>
      </c>
      <c r="F1077" s="11">
        <v>1</v>
      </c>
      <c r="G1077" s="11">
        <v>58823.53</v>
      </c>
    </row>
    <row r="1078" spans="2:7" x14ac:dyDescent="0.2">
      <c r="B1078" s="32">
        <v>45814</v>
      </c>
      <c r="C1078" t="s">
        <v>142</v>
      </c>
      <c r="D1078" s="13" t="s">
        <v>634</v>
      </c>
      <c r="E1078" t="s">
        <v>1876</v>
      </c>
      <c r="F1078" s="11">
        <v>1</v>
      </c>
      <c r="G1078" s="11">
        <v>58823.53</v>
      </c>
    </row>
    <row r="1079" spans="2:7" x14ac:dyDescent="0.2">
      <c r="B1079" s="32">
        <v>45814</v>
      </c>
      <c r="C1079" t="s">
        <v>142</v>
      </c>
      <c r="D1079" s="13" t="s">
        <v>634</v>
      </c>
      <c r="E1079" t="s">
        <v>564</v>
      </c>
      <c r="F1079" s="11">
        <v>1</v>
      </c>
      <c r="G1079" s="11">
        <v>58823.53</v>
      </c>
    </row>
    <row r="1080" spans="2:7" x14ac:dyDescent="0.2">
      <c r="B1080" s="32">
        <v>45814</v>
      </c>
      <c r="C1080" t="s">
        <v>142</v>
      </c>
      <c r="D1080" s="13" t="s">
        <v>634</v>
      </c>
      <c r="E1080" t="s">
        <v>350</v>
      </c>
      <c r="F1080" s="11">
        <v>1</v>
      </c>
      <c r="G1080" s="11">
        <v>46218.49</v>
      </c>
    </row>
    <row r="1081" spans="2:7" x14ac:dyDescent="0.2">
      <c r="B1081" s="32">
        <v>45814</v>
      </c>
      <c r="C1081" t="s">
        <v>142</v>
      </c>
      <c r="D1081" s="13" t="s">
        <v>634</v>
      </c>
      <c r="E1081" t="s">
        <v>160</v>
      </c>
      <c r="F1081" s="11">
        <v>1</v>
      </c>
      <c r="G1081" s="11">
        <v>46218.49</v>
      </c>
    </row>
    <row r="1082" spans="2:7" x14ac:dyDescent="0.2">
      <c r="B1082" s="32">
        <v>45814</v>
      </c>
      <c r="C1082" t="s">
        <v>142</v>
      </c>
      <c r="D1082" s="13" t="s">
        <v>634</v>
      </c>
      <c r="E1082" t="s">
        <v>246</v>
      </c>
      <c r="F1082" s="11">
        <v>1</v>
      </c>
      <c r="G1082" s="11">
        <v>42016.81</v>
      </c>
    </row>
    <row r="1083" spans="2:7" x14ac:dyDescent="0.2">
      <c r="B1083" s="32">
        <v>45814</v>
      </c>
      <c r="C1083" t="s">
        <v>142</v>
      </c>
      <c r="D1083" s="13" t="s">
        <v>634</v>
      </c>
      <c r="E1083" t="s">
        <v>173</v>
      </c>
      <c r="F1083" s="11">
        <v>1</v>
      </c>
      <c r="G1083" s="11">
        <v>37815.120000000003</v>
      </c>
    </row>
    <row r="1084" spans="2:7" x14ac:dyDescent="0.2">
      <c r="B1084" s="32">
        <v>45814</v>
      </c>
      <c r="C1084" t="s">
        <v>142</v>
      </c>
      <c r="D1084" s="13" t="s">
        <v>634</v>
      </c>
      <c r="F1084" s="11">
        <v>0</v>
      </c>
      <c r="G1084" s="11">
        <v>0</v>
      </c>
    </row>
    <row r="1085" spans="2:7" x14ac:dyDescent="0.2">
      <c r="B1085" s="32">
        <v>45814</v>
      </c>
      <c r="C1085" t="s">
        <v>142</v>
      </c>
      <c r="D1085" s="13" t="s">
        <v>633</v>
      </c>
      <c r="E1085" t="s">
        <v>1877</v>
      </c>
      <c r="F1085" s="11">
        <v>1</v>
      </c>
      <c r="G1085" s="11">
        <v>180672.27</v>
      </c>
    </row>
    <row r="1086" spans="2:7" x14ac:dyDescent="0.2">
      <c r="B1086" s="32">
        <v>45814</v>
      </c>
      <c r="C1086" t="s">
        <v>142</v>
      </c>
      <c r="D1086" s="13" t="s">
        <v>633</v>
      </c>
      <c r="E1086" t="s">
        <v>271</v>
      </c>
      <c r="F1086" s="11">
        <v>1</v>
      </c>
      <c r="G1086" s="11">
        <v>126050.42</v>
      </c>
    </row>
    <row r="1087" spans="2:7" x14ac:dyDescent="0.2">
      <c r="B1087" s="32">
        <v>45814</v>
      </c>
      <c r="C1087" t="s">
        <v>142</v>
      </c>
      <c r="D1087" s="13" t="s">
        <v>633</v>
      </c>
      <c r="E1087" t="s">
        <v>394</v>
      </c>
      <c r="F1087" s="11">
        <v>1</v>
      </c>
      <c r="G1087" s="11">
        <v>100840.34</v>
      </c>
    </row>
    <row r="1088" spans="2:7" x14ac:dyDescent="0.2">
      <c r="B1088" s="32">
        <v>45814</v>
      </c>
      <c r="C1088" t="s">
        <v>142</v>
      </c>
      <c r="D1088" s="13" t="s">
        <v>633</v>
      </c>
      <c r="E1088" t="s">
        <v>247</v>
      </c>
      <c r="F1088" s="11">
        <v>1</v>
      </c>
      <c r="G1088" s="11">
        <v>58823.53</v>
      </c>
    </row>
    <row r="1089" spans="2:7" x14ac:dyDescent="0.2">
      <c r="B1089" s="32">
        <v>45814</v>
      </c>
      <c r="C1089" t="s">
        <v>142</v>
      </c>
      <c r="D1089" s="13" t="s">
        <v>633</v>
      </c>
      <c r="E1089" t="s">
        <v>378</v>
      </c>
      <c r="F1089" s="11">
        <v>1</v>
      </c>
      <c r="G1089" s="11">
        <v>58823.53</v>
      </c>
    </row>
    <row r="1090" spans="2:7" x14ac:dyDescent="0.2">
      <c r="B1090" s="32">
        <v>45814</v>
      </c>
      <c r="C1090" t="s">
        <v>142</v>
      </c>
      <c r="D1090" s="13" t="s">
        <v>633</v>
      </c>
      <c r="E1090" t="s">
        <v>172</v>
      </c>
      <c r="F1090" s="11">
        <v>1</v>
      </c>
      <c r="G1090" s="11">
        <v>46218.49</v>
      </c>
    </row>
    <row r="1091" spans="2:7" x14ac:dyDescent="0.2">
      <c r="B1091" s="32">
        <v>45814</v>
      </c>
      <c r="C1091" t="s">
        <v>142</v>
      </c>
      <c r="D1091" s="13" t="s">
        <v>633</v>
      </c>
      <c r="E1091" t="s">
        <v>1796</v>
      </c>
      <c r="F1091" s="11">
        <v>1</v>
      </c>
      <c r="G1091" s="11">
        <v>21008.400000000001</v>
      </c>
    </row>
    <row r="1092" spans="2:7" x14ac:dyDescent="0.2">
      <c r="B1092" s="32">
        <v>45814</v>
      </c>
      <c r="C1092" t="s">
        <v>142</v>
      </c>
      <c r="D1092" s="13" t="s">
        <v>633</v>
      </c>
      <c r="E1092" t="s">
        <v>1777</v>
      </c>
      <c r="F1092" s="11">
        <v>1</v>
      </c>
      <c r="G1092" s="11">
        <v>13445.38</v>
      </c>
    </row>
    <row r="1093" spans="2:7" x14ac:dyDescent="0.2">
      <c r="B1093" s="32">
        <v>45814</v>
      </c>
      <c r="C1093" t="s">
        <v>142</v>
      </c>
      <c r="D1093" s="13" t="s">
        <v>633</v>
      </c>
      <c r="F1093" s="11">
        <v>0</v>
      </c>
      <c r="G1093" s="11">
        <v>0</v>
      </c>
    </row>
    <row r="1094" spans="2:7" x14ac:dyDescent="0.2">
      <c r="B1094" s="32">
        <v>45815</v>
      </c>
      <c r="C1094" t="s">
        <v>142</v>
      </c>
      <c r="D1094" s="13" t="s">
        <v>634</v>
      </c>
      <c r="E1094" t="s">
        <v>245</v>
      </c>
      <c r="F1094" s="11">
        <v>2</v>
      </c>
      <c r="G1094" s="11">
        <v>226890.76</v>
      </c>
    </row>
    <row r="1095" spans="2:7" x14ac:dyDescent="0.2">
      <c r="B1095" s="32">
        <v>45815</v>
      </c>
      <c r="C1095" t="s">
        <v>142</v>
      </c>
      <c r="D1095" s="13" t="s">
        <v>634</v>
      </c>
      <c r="E1095" t="s">
        <v>318</v>
      </c>
      <c r="F1095" s="11">
        <v>2</v>
      </c>
      <c r="G1095" s="11">
        <v>117647.06</v>
      </c>
    </row>
    <row r="1096" spans="2:7" x14ac:dyDescent="0.2">
      <c r="B1096" s="32">
        <v>45815</v>
      </c>
      <c r="C1096" t="s">
        <v>142</v>
      </c>
      <c r="D1096" s="13" t="s">
        <v>634</v>
      </c>
      <c r="E1096" t="s">
        <v>198</v>
      </c>
      <c r="F1096" s="11">
        <v>1</v>
      </c>
      <c r="G1096" s="11">
        <v>46218.49</v>
      </c>
    </row>
    <row r="1097" spans="2:7" x14ac:dyDescent="0.2">
      <c r="B1097" s="32">
        <v>45815</v>
      </c>
      <c r="C1097" t="s">
        <v>142</v>
      </c>
      <c r="D1097" s="13" t="s">
        <v>634</v>
      </c>
      <c r="E1097" t="s">
        <v>293</v>
      </c>
      <c r="F1097" s="11">
        <v>1</v>
      </c>
      <c r="G1097" s="11">
        <v>37815.129999999997</v>
      </c>
    </row>
    <row r="1098" spans="2:7" x14ac:dyDescent="0.2">
      <c r="B1098" s="32">
        <v>45815</v>
      </c>
      <c r="C1098" t="s">
        <v>142</v>
      </c>
      <c r="D1098" s="13" t="s">
        <v>634</v>
      </c>
      <c r="E1098" t="s">
        <v>466</v>
      </c>
      <c r="F1098" s="11">
        <v>1</v>
      </c>
      <c r="G1098" s="11">
        <v>21848.74</v>
      </c>
    </row>
    <row r="1099" spans="2:7" x14ac:dyDescent="0.2">
      <c r="B1099" s="32">
        <v>45815</v>
      </c>
      <c r="C1099" t="s">
        <v>142</v>
      </c>
      <c r="D1099" s="13" t="s">
        <v>633</v>
      </c>
      <c r="E1099" t="s">
        <v>713</v>
      </c>
      <c r="F1099" s="11">
        <v>1</v>
      </c>
      <c r="G1099" s="11">
        <v>243697.49</v>
      </c>
    </row>
    <row r="1100" spans="2:7" x14ac:dyDescent="0.2">
      <c r="B1100" s="32">
        <v>45815</v>
      </c>
      <c r="C1100" t="s">
        <v>142</v>
      </c>
      <c r="D1100" s="13" t="s">
        <v>633</v>
      </c>
      <c r="F1100" s="11">
        <v>3</v>
      </c>
      <c r="G1100" s="11">
        <v>151260.5</v>
      </c>
    </row>
    <row r="1101" spans="2:7" x14ac:dyDescent="0.2">
      <c r="B1101" s="32">
        <v>45815</v>
      </c>
      <c r="C1101" t="s">
        <v>142</v>
      </c>
      <c r="D1101" s="13" t="s">
        <v>633</v>
      </c>
      <c r="E1101" t="s">
        <v>793</v>
      </c>
      <c r="F1101" s="11">
        <v>2</v>
      </c>
      <c r="G1101" s="11">
        <v>92436.97</v>
      </c>
    </row>
    <row r="1102" spans="2:7" x14ac:dyDescent="0.2">
      <c r="B1102" s="32">
        <v>45815</v>
      </c>
      <c r="C1102" t="s">
        <v>142</v>
      </c>
      <c r="D1102" s="13" t="s">
        <v>633</v>
      </c>
      <c r="E1102" t="s">
        <v>221</v>
      </c>
      <c r="F1102" s="11">
        <v>2</v>
      </c>
      <c r="G1102" s="11">
        <v>92436.97</v>
      </c>
    </row>
    <row r="1103" spans="2:7" x14ac:dyDescent="0.2">
      <c r="B1103" s="32">
        <v>45815</v>
      </c>
      <c r="C1103" t="s">
        <v>142</v>
      </c>
      <c r="D1103" s="13" t="s">
        <v>633</v>
      </c>
      <c r="E1103" t="s">
        <v>194</v>
      </c>
      <c r="F1103" s="11">
        <v>1</v>
      </c>
      <c r="G1103" s="11">
        <v>82352.95</v>
      </c>
    </row>
    <row r="1104" spans="2:7" x14ac:dyDescent="0.2">
      <c r="B1104" s="32">
        <v>45815</v>
      </c>
      <c r="C1104" t="s">
        <v>142</v>
      </c>
      <c r="D1104" s="13" t="s">
        <v>633</v>
      </c>
      <c r="E1104" t="s">
        <v>195</v>
      </c>
      <c r="F1104" s="11">
        <v>1</v>
      </c>
      <c r="G1104" s="11">
        <v>46218.49</v>
      </c>
    </row>
    <row r="1105" spans="2:7" x14ac:dyDescent="0.2">
      <c r="B1105" s="32">
        <v>45815</v>
      </c>
      <c r="C1105" t="s">
        <v>142</v>
      </c>
      <c r="D1105" s="13" t="s">
        <v>633</v>
      </c>
      <c r="E1105" t="s">
        <v>824</v>
      </c>
      <c r="F1105" s="11">
        <v>1</v>
      </c>
      <c r="G1105" s="11">
        <v>46218.49</v>
      </c>
    </row>
    <row r="1106" spans="2:7" x14ac:dyDescent="0.2">
      <c r="B1106" s="32">
        <v>45816</v>
      </c>
      <c r="C1106" t="s">
        <v>142</v>
      </c>
      <c r="D1106" s="13"/>
      <c r="E1106" t="s">
        <v>293</v>
      </c>
      <c r="F1106" s="11">
        <v>2</v>
      </c>
      <c r="G1106" s="11">
        <v>75630.259999999995</v>
      </c>
    </row>
    <row r="1107" spans="2:7" x14ac:dyDescent="0.2">
      <c r="B1107" s="32">
        <v>45816</v>
      </c>
      <c r="C1107" t="s">
        <v>142</v>
      </c>
      <c r="D1107" s="13"/>
      <c r="E1107" t="s">
        <v>189</v>
      </c>
      <c r="F1107" s="11">
        <v>1</v>
      </c>
      <c r="G1107" s="11">
        <v>71428.570000000007</v>
      </c>
    </row>
    <row r="1108" spans="2:7" x14ac:dyDescent="0.2">
      <c r="B1108" s="32">
        <v>45816</v>
      </c>
      <c r="C1108" t="s">
        <v>142</v>
      </c>
      <c r="D1108" s="13" t="s">
        <v>634</v>
      </c>
      <c r="E1108" t="s">
        <v>205</v>
      </c>
      <c r="F1108" s="11">
        <v>5</v>
      </c>
      <c r="G1108" s="11">
        <v>294117.65000000002</v>
      </c>
    </row>
    <row r="1109" spans="2:7" x14ac:dyDescent="0.2">
      <c r="B1109" s="32">
        <v>45816</v>
      </c>
      <c r="C1109" t="s">
        <v>142</v>
      </c>
      <c r="D1109" s="13" t="s">
        <v>634</v>
      </c>
      <c r="E1109" t="s">
        <v>189</v>
      </c>
      <c r="F1109" s="11">
        <v>3</v>
      </c>
      <c r="G1109" s="11">
        <v>214285.71</v>
      </c>
    </row>
    <row r="1110" spans="2:7" x14ac:dyDescent="0.2">
      <c r="B1110" s="32">
        <v>45816</v>
      </c>
      <c r="C1110" t="s">
        <v>142</v>
      </c>
      <c r="D1110" s="13" t="s">
        <v>634</v>
      </c>
      <c r="E1110" t="s">
        <v>181</v>
      </c>
      <c r="F1110" s="11">
        <v>2</v>
      </c>
      <c r="G1110" s="11">
        <v>168067.23</v>
      </c>
    </row>
    <row r="1111" spans="2:7" x14ac:dyDescent="0.2">
      <c r="B1111" s="32">
        <v>45816</v>
      </c>
      <c r="C1111" t="s">
        <v>142</v>
      </c>
      <c r="D1111" s="13" t="s">
        <v>634</v>
      </c>
      <c r="E1111" t="s">
        <v>475</v>
      </c>
      <c r="F1111" s="11">
        <v>2</v>
      </c>
      <c r="G1111" s="11">
        <v>142857.14000000001</v>
      </c>
    </row>
    <row r="1112" spans="2:7" x14ac:dyDescent="0.2">
      <c r="B1112" s="32">
        <v>45816</v>
      </c>
      <c r="C1112" t="s">
        <v>142</v>
      </c>
      <c r="D1112" s="13" t="s">
        <v>634</v>
      </c>
      <c r="E1112" t="s">
        <v>439</v>
      </c>
      <c r="F1112" s="11">
        <v>1</v>
      </c>
      <c r="G1112" s="11">
        <v>109243.7</v>
      </c>
    </row>
    <row r="1113" spans="2:7" x14ac:dyDescent="0.2">
      <c r="B1113" s="32">
        <v>45816</v>
      </c>
      <c r="C1113" t="s">
        <v>142</v>
      </c>
      <c r="D1113" s="13" t="s">
        <v>634</v>
      </c>
      <c r="E1113" t="s">
        <v>316</v>
      </c>
      <c r="F1113" s="11">
        <v>1</v>
      </c>
      <c r="G1113" s="11">
        <v>100840.34</v>
      </c>
    </row>
    <row r="1114" spans="2:7" x14ac:dyDescent="0.2">
      <c r="B1114" s="32">
        <v>45816</v>
      </c>
      <c r="C1114" t="s">
        <v>142</v>
      </c>
      <c r="D1114" s="13" t="s">
        <v>634</v>
      </c>
      <c r="E1114" t="s">
        <v>298</v>
      </c>
      <c r="F1114" s="11">
        <v>1</v>
      </c>
      <c r="G1114" s="11">
        <v>82352.94</v>
      </c>
    </row>
    <row r="1115" spans="2:7" x14ac:dyDescent="0.2">
      <c r="B1115" s="32">
        <v>45816</v>
      </c>
      <c r="C1115" t="s">
        <v>142</v>
      </c>
      <c r="D1115" s="13" t="s">
        <v>634</v>
      </c>
      <c r="E1115" t="s">
        <v>207</v>
      </c>
      <c r="F1115" s="11">
        <v>1</v>
      </c>
      <c r="G1115" s="11">
        <v>82352.94</v>
      </c>
    </row>
    <row r="1116" spans="2:7" x14ac:dyDescent="0.2">
      <c r="B1116" s="32">
        <v>45816</v>
      </c>
      <c r="C1116" t="s">
        <v>142</v>
      </c>
      <c r="D1116" s="13" t="s">
        <v>634</v>
      </c>
      <c r="E1116" t="s">
        <v>192</v>
      </c>
      <c r="F1116" s="11">
        <v>1</v>
      </c>
      <c r="G1116" s="11">
        <v>71428.570000000007</v>
      </c>
    </row>
    <row r="1117" spans="2:7" x14ac:dyDescent="0.2">
      <c r="B1117" s="32">
        <v>45816</v>
      </c>
      <c r="C1117" t="s">
        <v>142</v>
      </c>
      <c r="D1117" s="13" t="s">
        <v>634</v>
      </c>
      <c r="E1117" t="s">
        <v>149</v>
      </c>
      <c r="F1117" s="11">
        <v>1</v>
      </c>
      <c r="G1117" s="11">
        <v>63025.21</v>
      </c>
    </row>
    <row r="1118" spans="2:7" x14ac:dyDescent="0.2">
      <c r="B1118" s="32">
        <v>45816</v>
      </c>
      <c r="C1118" t="s">
        <v>142</v>
      </c>
      <c r="D1118" s="13" t="s">
        <v>634</v>
      </c>
      <c r="F1118" s="11">
        <v>1</v>
      </c>
      <c r="G1118" s="11">
        <v>58823.53</v>
      </c>
    </row>
    <row r="1119" spans="2:7" x14ac:dyDescent="0.2">
      <c r="B1119" s="32">
        <v>45816</v>
      </c>
      <c r="C1119" t="s">
        <v>142</v>
      </c>
      <c r="D1119" s="13" t="s">
        <v>634</v>
      </c>
      <c r="E1119" t="s">
        <v>550</v>
      </c>
      <c r="F1119" s="11">
        <v>1</v>
      </c>
      <c r="G1119" s="11">
        <v>58823.53</v>
      </c>
    </row>
    <row r="1120" spans="2:7" x14ac:dyDescent="0.2">
      <c r="B1120" s="32">
        <v>45816</v>
      </c>
      <c r="C1120" t="s">
        <v>142</v>
      </c>
      <c r="D1120" s="13" t="s">
        <v>634</v>
      </c>
      <c r="E1120" t="s">
        <v>651</v>
      </c>
      <c r="F1120" s="11">
        <v>1</v>
      </c>
      <c r="G1120" s="11">
        <v>58823.53</v>
      </c>
    </row>
    <row r="1121" spans="2:7" x14ac:dyDescent="0.2">
      <c r="B1121" s="32">
        <v>45816</v>
      </c>
      <c r="C1121" t="s">
        <v>142</v>
      </c>
      <c r="D1121" s="13" t="s">
        <v>634</v>
      </c>
      <c r="E1121" t="s">
        <v>809</v>
      </c>
      <c r="F1121" s="11">
        <v>1</v>
      </c>
      <c r="G1121" s="11">
        <v>58823.53</v>
      </c>
    </row>
    <row r="1122" spans="2:7" x14ac:dyDescent="0.2">
      <c r="B1122" s="32">
        <v>45816</v>
      </c>
      <c r="C1122" t="s">
        <v>142</v>
      </c>
      <c r="D1122" s="13" t="s">
        <v>634</v>
      </c>
      <c r="E1122" t="s">
        <v>233</v>
      </c>
      <c r="F1122" s="11">
        <v>1</v>
      </c>
      <c r="G1122" s="11">
        <v>58823.53</v>
      </c>
    </row>
    <row r="1123" spans="2:7" x14ac:dyDescent="0.2">
      <c r="B1123" s="32">
        <v>45816</v>
      </c>
      <c r="C1123" t="s">
        <v>142</v>
      </c>
      <c r="D1123" s="13" t="s">
        <v>634</v>
      </c>
      <c r="E1123" t="s">
        <v>179</v>
      </c>
      <c r="F1123" s="11">
        <v>1</v>
      </c>
      <c r="G1123" s="11">
        <v>46218.49</v>
      </c>
    </row>
    <row r="1124" spans="2:7" x14ac:dyDescent="0.2">
      <c r="B1124" s="32">
        <v>45816</v>
      </c>
      <c r="C1124" t="s">
        <v>142</v>
      </c>
      <c r="D1124" s="13" t="s">
        <v>634</v>
      </c>
      <c r="E1124" t="s">
        <v>234</v>
      </c>
      <c r="F1124" s="11">
        <v>1</v>
      </c>
      <c r="G1124" s="11">
        <v>37815.129999999997</v>
      </c>
    </row>
    <row r="1125" spans="2:7" x14ac:dyDescent="0.2">
      <c r="B1125" s="32">
        <v>45816</v>
      </c>
      <c r="C1125" t="s">
        <v>142</v>
      </c>
      <c r="D1125" s="13" t="s">
        <v>634</v>
      </c>
      <c r="E1125" t="s">
        <v>441</v>
      </c>
      <c r="F1125" s="11">
        <v>1</v>
      </c>
      <c r="G1125" s="11">
        <v>29411.759999999998</v>
      </c>
    </row>
    <row r="1126" spans="2:7" x14ac:dyDescent="0.2">
      <c r="B1126" s="32">
        <v>45816</v>
      </c>
      <c r="C1126" t="s">
        <v>142</v>
      </c>
      <c r="D1126" s="13" t="s">
        <v>633</v>
      </c>
      <c r="E1126" t="s">
        <v>293</v>
      </c>
      <c r="F1126" s="11">
        <v>4</v>
      </c>
      <c r="G1126" s="11">
        <v>151260.5</v>
      </c>
    </row>
    <row r="1127" spans="2:7" x14ac:dyDescent="0.2">
      <c r="B1127" s="32">
        <v>45816</v>
      </c>
      <c r="C1127" t="s">
        <v>142</v>
      </c>
      <c r="D1127" s="13" t="s">
        <v>633</v>
      </c>
      <c r="E1127" t="s">
        <v>158</v>
      </c>
      <c r="F1127" s="11">
        <v>3</v>
      </c>
      <c r="G1127" s="11">
        <v>138655.46</v>
      </c>
    </row>
    <row r="1128" spans="2:7" x14ac:dyDescent="0.2">
      <c r="B1128" s="32">
        <v>45816</v>
      </c>
      <c r="C1128" t="s">
        <v>142</v>
      </c>
      <c r="D1128" s="13" t="s">
        <v>633</v>
      </c>
      <c r="E1128" t="s">
        <v>318</v>
      </c>
      <c r="F1128" s="11">
        <v>2</v>
      </c>
      <c r="G1128" s="11">
        <v>117647.06</v>
      </c>
    </row>
    <row r="1129" spans="2:7" x14ac:dyDescent="0.2">
      <c r="B1129" s="32">
        <v>45816</v>
      </c>
      <c r="C1129" t="s">
        <v>142</v>
      </c>
      <c r="D1129" s="13" t="s">
        <v>633</v>
      </c>
      <c r="E1129" t="s">
        <v>153</v>
      </c>
      <c r="F1129" s="11">
        <v>2</v>
      </c>
      <c r="G1129" s="11">
        <v>84033.62</v>
      </c>
    </row>
    <row r="1130" spans="2:7" x14ac:dyDescent="0.2">
      <c r="B1130" s="32">
        <v>45816</v>
      </c>
      <c r="C1130" t="s">
        <v>142</v>
      </c>
      <c r="D1130" s="13" t="s">
        <v>633</v>
      </c>
      <c r="E1130" t="s">
        <v>207</v>
      </c>
      <c r="F1130" s="11">
        <v>1</v>
      </c>
      <c r="G1130" s="11">
        <v>82352.94</v>
      </c>
    </row>
    <row r="1131" spans="2:7" x14ac:dyDescent="0.2">
      <c r="B1131" s="32">
        <v>45816</v>
      </c>
      <c r="C1131" t="s">
        <v>142</v>
      </c>
      <c r="D1131" s="13" t="s">
        <v>633</v>
      </c>
      <c r="E1131" t="s">
        <v>1818</v>
      </c>
      <c r="F1131" s="11">
        <v>2</v>
      </c>
      <c r="G1131" s="11">
        <v>75630.25</v>
      </c>
    </row>
    <row r="1132" spans="2:7" x14ac:dyDescent="0.2">
      <c r="B1132" s="32">
        <v>45816</v>
      </c>
      <c r="C1132" t="s">
        <v>142</v>
      </c>
      <c r="D1132" s="13" t="s">
        <v>633</v>
      </c>
      <c r="E1132" t="s">
        <v>368</v>
      </c>
      <c r="F1132" s="11">
        <v>1</v>
      </c>
      <c r="G1132" s="11">
        <v>75630.25</v>
      </c>
    </row>
    <row r="1133" spans="2:7" x14ac:dyDescent="0.2">
      <c r="B1133" s="32">
        <v>45816</v>
      </c>
      <c r="C1133" t="s">
        <v>142</v>
      </c>
      <c r="D1133" s="13" t="s">
        <v>633</v>
      </c>
      <c r="E1133" t="s">
        <v>431</v>
      </c>
      <c r="F1133" s="11">
        <v>1</v>
      </c>
      <c r="G1133" s="11">
        <v>58823.53</v>
      </c>
    </row>
    <row r="1134" spans="2:7" x14ac:dyDescent="0.2">
      <c r="B1134" s="32">
        <v>45816</v>
      </c>
      <c r="C1134" t="s">
        <v>142</v>
      </c>
      <c r="D1134" s="13" t="s">
        <v>633</v>
      </c>
      <c r="E1134" t="s">
        <v>195</v>
      </c>
      <c r="F1134" s="11">
        <v>1</v>
      </c>
      <c r="G1134" s="11">
        <v>46218.49</v>
      </c>
    </row>
    <row r="1135" spans="2:7" x14ac:dyDescent="0.2">
      <c r="B1135" s="32">
        <v>45816</v>
      </c>
      <c r="C1135" t="s">
        <v>142</v>
      </c>
      <c r="D1135" s="13" t="s">
        <v>633</v>
      </c>
      <c r="E1135" t="s">
        <v>234</v>
      </c>
      <c r="F1135" s="11">
        <v>1</v>
      </c>
      <c r="G1135" s="11">
        <v>37815.129999999997</v>
      </c>
    </row>
    <row r="1136" spans="2:7" x14ac:dyDescent="0.2">
      <c r="B1136" s="32">
        <v>45816</v>
      </c>
      <c r="C1136" t="s">
        <v>142</v>
      </c>
      <c r="D1136" s="13" t="s">
        <v>633</v>
      </c>
      <c r="F1136" s="11">
        <v>1</v>
      </c>
      <c r="G1136" s="11">
        <v>21008.400000000001</v>
      </c>
    </row>
    <row r="1137" spans="2:7" x14ac:dyDescent="0.2">
      <c r="B1137" s="32">
        <v>45817</v>
      </c>
      <c r="C1137" t="s">
        <v>142</v>
      </c>
      <c r="D1137" s="13" t="s">
        <v>634</v>
      </c>
      <c r="E1137" t="s">
        <v>154</v>
      </c>
      <c r="F1137" s="11">
        <v>1</v>
      </c>
      <c r="G1137" s="11">
        <v>82352.94</v>
      </c>
    </row>
    <row r="1138" spans="2:7" x14ac:dyDescent="0.2">
      <c r="B1138" s="32">
        <v>45817</v>
      </c>
      <c r="C1138" t="s">
        <v>142</v>
      </c>
      <c r="D1138" s="13" t="s">
        <v>634</v>
      </c>
      <c r="E1138" t="s">
        <v>440</v>
      </c>
      <c r="F1138" s="11">
        <v>1</v>
      </c>
      <c r="G1138" s="11">
        <v>58823.53</v>
      </c>
    </row>
    <row r="1139" spans="2:7" x14ac:dyDescent="0.2">
      <c r="B1139" s="32">
        <v>45817</v>
      </c>
      <c r="C1139" t="s">
        <v>142</v>
      </c>
      <c r="D1139" s="13" t="s">
        <v>634</v>
      </c>
      <c r="E1139" t="s">
        <v>477</v>
      </c>
      <c r="F1139" s="11">
        <v>1</v>
      </c>
      <c r="G1139" s="11">
        <v>58823.53</v>
      </c>
    </row>
    <row r="1140" spans="2:7" x14ac:dyDescent="0.2">
      <c r="B1140" s="32">
        <v>45817</v>
      </c>
      <c r="C1140" t="s">
        <v>142</v>
      </c>
      <c r="D1140" s="13" t="s">
        <v>634</v>
      </c>
      <c r="E1140" t="s">
        <v>233</v>
      </c>
      <c r="F1140" s="11">
        <v>1</v>
      </c>
      <c r="G1140" s="11">
        <v>58823.53</v>
      </c>
    </row>
    <row r="1141" spans="2:7" x14ac:dyDescent="0.2">
      <c r="B1141" s="32">
        <v>45817</v>
      </c>
      <c r="C1141" t="s">
        <v>142</v>
      </c>
      <c r="D1141" s="13" t="s">
        <v>634</v>
      </c>
      <c r="E1141" t="s">
        <v>212</v>
      </c>
      <c r="F1141" s="11">
        <v>1</v>
      </c>
      <c r="G1141" s="11">
        <v>45882.35</v>
      </c>
    </row>
    <row r="1142" spans="2:7" x14ac:dyDescent="0.2">
      <c r="B1142" s="32">
        <v>45817</v>
      </c>
      <c r="C1142" t="s">
        <v>142</v>
      </c>
      <c r="D1142" s="13" t="s">
        <v>634</v>
      </c>
      <c r="E1142" t="s">
        <v>1878</v>
      </c>
      <c r="F1142" s="11">
        <v>2</v>
      </c>
      <c r="G1142" s="11">
        <v>42352.94</v>
      </c>
    </row>
    <row r="1143" spans="2:7" x14ac:dyDescent="0.2">
      <c r="B1143" s="32">
        <v>45817</v>
      </c>
      <c r="C1143" t="s">
        <v>142</v>
      </c>
      <c r="D1143" s="13" t="s">
        <v>634</v>
      </c>
      <c r="F1143" s="11">
        <v>0</v>
      </c>
      <c r="G1143" s="11">
        <v>0</v>
      </c>
    </row>
    <row r="1144" spans="2:7" x14ac:dyDescent="0.2">
      <c r="B1144" s="32">
        <v>45817</v>
      </c>
      <c r="C1144" t="s">
        <v>142</v>
      </c>
      <c r="D1144" s="13" t="s">
        <v>634</v>
      </c>
      <c r="E1144" t="s">
        <v>318</v>
      </c>
      <c r="F1144" s="11">
        <v>0</v>
      </c>
      <c r="G1144" s="11">
        <v>-117647.06</v>
      </c>
    </row>
    <row r="1145" spans="2:7" x14ac:dyDescent="0.2">
      <c r="B1145" s="32">
        <v>45817</v>
      </c>
      <c r="C1145" t="s">
        <v>142</v>
      </c>
      <c r="D1145" s="13" t="s">
        <v>633</v>
      </c>
      <c r="E1145" t="s">
        <v>423</v>
      </c>
      <c r="F1145" s="11">
        <v>6</v>
      </c>
      <c r="G1145" s="11">
        <v>559991.24</v>
      </c>
    </row>
    <row r="1146" spans="2:7" x14ac:dyDescent="0.2">
      <c r="B1146" s="32">
        <v>45817</v>
      </c>
      <c r="C1146" t="s">
        <v>142</v>
      </c>
      <c r="D1146" s="13" t="s">
        <v>633</v>
      </c>
      <c r="E1146" t="s">
        <v>703</v>
      </c>
      <c r="F1146" s="11">
        <v>1</v>
      </c>
      <c r="G1146" s="11">
        <v>153887.85</v>
      </c>
    </row>
    <row r="1147" spans="2:7" x14ac:dyDescent="0.2">
      <c r="B1147" s="32">
        <v>45817</v>
      </c>
      <c r="C1147" t="s">
        <v>142</v>
      </c>
      <c r="D1147" s="13" t="s">
        <v>633</v>
      </c>
      <c r="E1147" t="s">
        <v>1879</v>
      </c>
      <c r="F1147" s="11">
        <v>1</v>
      </c>
      <c r="G1147" s="11">
        <v>84033.61</v>
      </c>
    </row>
    <row r="1148" spans="2:7" x14ac:dyDescent="0.2">
      <c r="B1148" s="32">
        <v>45817</v>
      </c>
      <c r="C1148" t="s">
        <v>142</v>
      </c>
      <c r="D1148" s="13" t="s">
        <v>633</v>
      </c>
      <c r="E1148" t="s">
        <v>1880</v>
      </c>
      <c r="F1148" s="11">
        <v>1</v>
      </c>
      <c r="G1148" s="11">
        <v>84033.61</v>
      </c>
    </row>
    <row r="1149" spans="2:7" x14ac:dyDescent="0.2">
      <c r="B1149" s="32">
        <v>45817</v>
      </c>
      <c r="C1149" t="s">
        <v>142</v>
      </c>
      <c r="D1149" s="13" t="s">
        <v>633</v>
      </c>
      <c r="E1149" t="s">
        <v>259</v>
      </c>
      <c r="F1149" s="11">
        <v>1</v>
      </c>
      <c r="G1149" s="11">
        <v>58823.53</v>
      </c>
    </row>
    <row r="1150" spans="2:7" x14ac:dyDescent="0.2">
      <c r="B1150" s="32">
        <v>45817</v>
      </c>
      <c r="C1150" t="s">
        <v>142</v>
      </c>
      <c r="D1150" s="13" t="s">
        <v>633</v>
      </c>
      <c r="E1150" t="s">
        <v>233</v>
      </c>
      <c r="F1150" s="11">
        <v>1</v>
      </c>
      <c r="G1150" s="11">
        <v>58823.53</v>
      </c>
    </row>
    <row r="1151" spans="2:7" x14ac:dyDescent="0.2">
      <c r="B1151" s="32">
        <v>45817</v>
      </c>
      <c r="C1151" t="s">
        <v>142</v>
      </c>
      <c r="D1151" s="13" t="s">
        <v>633</v>
      </c>
      <c r="E1151" t="s">
        <v>205</v>
      </c>
      <c r="F1151" s="11">
        <v>1</v>
      </c>
      <c r="G1151" s="11">
        <v>58823.53</v>
      </c>
    </row>
    <row r="1152" spans="2:7" x14ac:dyDescent="0.2">
      <c r="B1152" s="32">
        <v>45817</v>
      </c>
      <c r="C1152" t="s">
        <v>142</v>
      </c>
      <c r="D1152" s="13" t="s">
        <v>633</v>
      </c>
      <c r="E1152" t="s">
        <v>1820</v>
      </c>
      <c r="F1152" s="11">
        <v>1</v>
      </c>
      <c r="G1152" s="11">
        <v>54621.85</v>
      </c>
    </row>
    <row r="1153" spans="2:7" x14ac:dyDescent="0.2">
      <c r="B1153" s="32">
        <v>45817</v>
      </c>
      <c r="C1153" t="s">
        <v>142</v>
      </c>
      <c r="D1153" s="13" t="s">
        <v>633</v>
      </c>
      <c r="E1153" t="s">
        <v>201</v>
      </c>
      <c r="F1153" s="11">
        <v>2</v>
      </c>
      <c r="G1153" s="11">
        <v>53347.8</v>
      </c>
    </row>
    <row r="1154" spans="2:7" x14ac:dyDescent="0.2">
      <c r="B1154" s="32">
        <v>45817</v>
      </c>
      <c r="C1154" t="s">
        <v>142</v>
      </c>
      <c r="D1154" s="13" t="s">
        <v>633</v>
      </c>
      <c r="E1154" t="s">
        <v>810</v>
      </c>
      <c r="F1154" s="11">
        <v>1</v>
      </c>
      <c r="G1154" s="11">
        <v>50420.17</v>
      </c>
    </row>
    <row r="1155" spans="2:7" x14ac:dyDescent="0.2">
      <c r="B1155" s="32">
        <v>45817</v>
      </c>
      <c r="C1155" t="s">
        <v>142</v>
      </c>
      <c r="D1155" s="13" t="s">
        <v>633</v>
      </c>
      <c r="E1155" t="s">
        <v>151</v>
      </c>
      <c r="F1155" s="11">
        <v>1</v>
      </c>
      <c r="G1155" s="11">
        <v>46218.49</v>
      </c>
    </row>
    <row r="1156" spans="2:7" x14ac:dyDescent="0.2">
      <c r="B1156" s="32">
        <v>45817</v>
      </c>
      <c r="C1156" t="s">
        <v>142</v>
      </c>
      <c r="D1156" s="13" t="s">
        <v>633</v>
      </c>
      <c r="E1156" t="s">
        <v>1796</v>
      </c>
      <c r="F1156" s="11">
        <v>1</v>
      </c>
      <c r="G1156" s="11">
        <v>21008.400000000001</v>
      </c>
    </row>
    <row r="1157" spans="2:7" x14ac:dyDescent="0.2">
      <c r="B1157" s="32">
        <v>45817</v>
      </c>
      <c r="C1157" t="s">
        <v>142</v>
      </c>
      <c r="D1157" s="13" t="s">
        <v>633</v>
      </c>
      <c r="E1157" t="s">
        <v>831</v>
      </c>
      <c r="F1157" s="11">
        <v>1</v>
      </c>
      <c r="G1157" s="11">
        <v>0.84</v>
      </c>
    </row>
    <row r="1158" spans="2:7" x14ac:dyDescent="0.2">
      <c r="B1158" s="32">
        <v>45817</v>
      </c>
      <c r="C1158" t="s">
        <v>142</v>
      </c>
      <c r="D1158" s="13" t="s">
        <v>633</v>
      </c>
      <c r="F1158" s="11">
        <v>0</v>
      </c>
      <c r="G1158" s="11">
        <v>0</v>
      </c>
    </row>
    <row r="1159" spans="2:7" x14ac:dyDescent="0.2">
      <c r="B1159" s="32">
        <v>45818</v>
      </c>
      <c r="C1159" t="s">
        <v>142</v>
      </c>
      <c r="D1159" s="13" t="s">
        <v>634</v>
      </c>
      <c r="E1159" t="s">
        <v>1873</v>
      </c>
      <c r="F1159" s="11">
        <v>1</v>
      </c>
      <c r="G1159" s="11">
        <v>126050.42</v>
      </c>
    </row>
    <row r="1160" spans="2:7" x14ac:dyDescent="0.2">
      <c r="B1160" s="32">
        <v>45818</v>
      </c>
      <c r="C1160" t="s">
        <v>142</v>
      </c>
      <c r="D1160" s="13" t="s">
        <v>634</v>
      </c>
      <c r="E1160" t="s">
        <v>207</v>
      </c>
      <c r="F1160" s="11">
        <v>1</v>
      </c>
      <c r="G1160" s="11">
        <v>96638.66</v>
      </c>
    </row>
    <row r="1161" spans="2:7" x14ac:dyDescent="0.2">
      <c r="B1161" s="32">
        <v>45818</v>
      </c>
      <c r="C1161" t="s">
        <v>142</v>
      </c>
      <c r="D1161" s="13" t="s">
        <v>634</v>
      </c>
      <c r="E1161" t="s">
        <v>1881</v>
      </c>
      <c r="F1161" s="11">
        <v>1</v>
      </c>
      <c r="G1161" s="11">
        <v>96638.66</v>
      </c>
    </row>
    <row r="1162" spans="2:7" x14ac:dyDescent="0.2">
      <c r="B1162" s="32">
        <v>45818</v>
      </c>
      <c r="C1162" t="s">
        <v>142</v>
      </c>
      <c r="D1162" s="13" t="s">
        <v>634</v>
      </c>
      <c r="E1162" t="s">
        <v>563</v>
      </c>
      <c r="F1162" s="11">
        <v>1</v>
      </c>
      <c r="G1162" s="11">
        <v>79831.929999999993</v>
      </c>
    </row>
    <row r="1163" spans="2:7" x14ac:dyDescent="0.2">
      <c r="B1163" s="32">
        <v>45818</v>
      </c>
      <c r="C1163" t="s">
        <v>142</v>
      </c>
      <c r="D1163" s="13" t="s">
        <v>634</v>
      </c>
      <c r="E1163" t="s">
        <v>1847</v>
      </c>
      <c r="F1163" s="11">
        <v>4</v>
      </c>
      <c r="G1163" s="11">
        <v>70168.070000000007</v>
      </c>
    </row>
    <row r="1164" spans="2:7" x14ac:dyDescent="0.2">
      <c r="B1164" s="32">
        <v>45818</v>
      </c>
      <c r="C1164" t="s">
        <v>142</v>
      </c>
      <c r="D1164" s="13" t="s">
        <v>634</v>
      </c>
      <c r="E1164" t="s">
        <v>244</v>
      </c>
      <c r="F1164" s="11">
        <v>1</v>
      </c>
      <c r="G1164" s="11">
        <v>58823.53</v>
      </c>
    </row>
    <row r="1165" spans="2:7" x14ac:dyDescent="0.2">
      <c r="B1165" s="32">
        <v>45818</v>
      </c>
      <c r="C1165" t="s">
        <v>142</v>
      </c>
      <c r="D1165" s="13" t="s">
        <v>634</v>
      </c>
      <c r="E1165" t="s">
        <v>332</v>
      </c>
      <c r="F1165" s="11">
        <v>1</v>
      </c>
      <c r="G1165" s="11">
        <v>58823.53</v>
      </c>
    </row>
    <row r="1166" spans="2:7" x14ac:dyDescent="0.2">
      <c r="B1166" s="32">
        <v>45818</v>
      </c>
      <c r="C1166" t="s">
        <v>142</v>
      </c>
      <c r="D1166" s="13" t="s">
        <v>634</v>
      </c>
      <c r="E1166" t="s">
        <v>721</v>
      </c>
      <c r="F1166" s="11">
        <v>1</v>
      </c>
      <c r="G1166" s="11">
        <v>58823.53</v>
      </c>
    </row>
    <row r="1167" spans="2:7" x14ac:dyDescent="0.2">
      <c r="B1167" s="32">
        <v>45818</v>
      </c>
      <c r="C1167" t="s">
        <v>142</v>
      </c>
      <c r="D1167" s="13" t="s">
        <v>634</v>
      </c>
      <c r="E1167" t="s">
        <v>371</v>
      </c>
      <c r="F1167" s="11">
        <v>1</v>
      </c>
      <c r="G1167" s="11">
        <v>58823.53</v>
      </c>
    </row>
    <row r="1168" spans="2:7" x14ac:dyDescent="0.2">
      <c r="B1168" s="32">
        <v>45818</v>
      </c>
      <c r="C1168" t="s">
        <v>142</v>
      </c>
      <c r="D1168" s="13" t="s">
        <v>634</v>
      </c>
      <c r="E1168" t="s">
        <v>533</v>
      </c>
      <c r="F1168" s="11">
        <v>1</v>
      </c>
      <c r="G1168" s="11">
        <v>58823.53</v>
      </c>
    </row>
    <row r="1169" spans="2:7" x14ac:dyDescent="0.2">
      <c r="B1169" s="32">
        <v>45818</v>
      </c>
      <c r="C1169" t="s">
        <v>142</v>
      </c>
      <c r="D1169" s="13" t="s">
        <v>634</v>
      </c>
      <c r="E1169" t="s">
        <v>1882</v>
      </c>
      <c r="F1169" s="11">
        <v>1</v>
      </c>
      <c r="G1169" s="11">
        <v>58823.53</v>
      </c>
    </row>
    <row r="1170" spans="2:7" x14ac:dyDescent="0.2">
      <c r="B1170" s="32">
        <v>45818</v>
      </c>
      <c r="C1170" t="s">
        <v>142</v>
      </c>
      <c r="D1170" s="13" t="s">
        <v>634</v>
      </c>
      <c r="E1170" t="s">
        <v>378</v>
      </c>
      <c r="F1170" s="11">
        <v>1</v>
      </c>
      <c r="G1170" s="11">
        <v>58823.53</v>
      </c>
    </row>
    <row r="1171" spans="2:7" x14ac:dyDescent="0.2">
      <c r="B1171" s="32">
        <v>45818</v>
      </c>
      <c r="C1171" t="s">
        <v>142</v>
      </c>
      <c r="D1171" s="13" t="s">
        <v>634</v>
      </c>
      <c r="E1171" t="s">
        <v>148</v>
      </c>
      <c r="F1171" s="11">
        <v>1</v>
      </c>
      <c r="G1171" s="11">
        <v>37815.129999999997</v>
      </c>
    </row>
    <row r="1172" spans="2:7" x14ac:dyDescent="0.2">
      <c r="B1172" s="32">
        <v>45818</v>
      </c>
      <c r="C1172" t="s">
        <v>142</v>
      </c>
      <c r="D1172" s="13" t="s">
        <v>634</v>
      </c>
      <c r="E1172" t="s">
        <v>466</v>
      </c>
      <c r="F1172" s="11">
        <v>1</v>
      </c>
      <c r="G1172" s="11">
        <v>21848.74</v>
      </c>
    </row>
    <row r="1173" spans="2:7" x14ac:dyDescent="0.2">
      <c r="B1173" s="32">
        <v>45818</v>
      </c>
      <c r="C1173" t="s">
        <v>142</v>
      </c>
      <c r="D1173" s="13" t="s">
        <v>634</v>
      </c>
      <c r="F1173" s="11">
        <v>0</v>
      </c>
      <c r="G1173" s="11">
        <v>0</v>
      </c>
    </row>
    <row r="1174" spans="2:7" x14ac:dyDescent="0.2">
      <c r="B1174" s="32">
        <v>45818</v>
      </c>
      <c r="C1174" t="s">
        <v>142</v>
      </c>
      <c r="D1174" s="13" t="s">
        <v>633</v>
      </c>
      <c r="E1174" t="s">
        <v>1873</v>
      </c>
      <c r="F1174" s="11">
        <v>5</v>
      </c>
      <c r="G1174" s="11">
        <v>882352.94</v>
      </c>
    </row>
    <row r="1175" spans="2:7" x14ac:dyDescent="0.2">
      <c r="B1175" s="32">
        <v>45818</v>
      </c>
      <c r="C1175" t="s">
        <v>142</v>
      </c>
      <c r="D1175" s="13" t="s">
        <v>633</v>
      </c>
      <c r="E1175" t="s">
        <v>1776</v>
      </c>
      <c r="F1175" s="11">
        <v>1</v>
      </c>
      <c r="G1175" s="11">
        <v>176470.59</v>
      </c>
    </row>
    <row r="1176" spans="2:7" x14ac:dyDescent="0.2">
      <c r="B1176" s="32">
        <v>45818</v>
      </c>
      <c r="C1176" t="s">
        <v>142</v>
      </c>
      <c r="D1176" s="13" t="s">
        <v>633</v>
      </c>
      <c r="E1176" t="s">
        <v>635</v>
      </c>
      <c r="F1176" s="11">
        <v>50</v>
      </c>
      <c r="G1176" s="11">
        <v>147058.82</v>
      </c>
    </row>
    <row r="1177" spans="2:7" x14ac:dyDescent="0.2">
      <c r="B1177" s="32">
        <v>45818</v>
      </c>
      <c r="C1177" t="s">
        <v>142</v>
      </c>
      <c r="D1177" s="13" t="s">
        <v>633</v>
      </c>
      <c r="E1177" t="s">
        <v>732</v>
      </c>
      <c r="F1177" s="11">
        <v>50</v>
      </c>
      <c r="G1177" s="11">
        <v>147058.82</v>
      </c>
    </row>
    <row r="1178" spans="2:7" x14ac:dyDescent="0.2">
      <c r="B1178" s="32">
        <v>45818</v>
      </c>
      <c r="C1178" t="s">
        <v>142</v>
      </c>
      <c r="D1178" s="13" t="s">
        <v>633</v>
      </c>
      <c r="E1178" t="s">
        <v>201</v>
      </c>
      <c r="F1178" s="11">
        <v>5</v>
      </c>
      <c r="G1178" s="11">
        <v>138655.46</v>
      </c>
    </row>
    <row r="1179" spans="2:7" x14ac:dyDescent="0.2">
      <c r="B1179" s="32">
        <v>45818</v>
      </c>
      <c r="C1179" t="s">
        <v>142</v>
      </c>
      <c r="D1179" s="13" t="s">
        <v>633</v>
      </c>
      <c r="E1179" t="s">
        <v>1883</v>
      </c>
      <c r="F1179" s="11">
        <v>1</v>
      </c>
      <c r="G1179" s="11">
        <v>126050.42</v>
      </c>
    </row>
    <row r="1180" spans="2:7" x14ac:dyDescent="0.2">
      <c r="B1180" s="32">
        <v>45818</v>
      </c>
      <c r="C1180" t="s">
        <v>142</v>
      </c>
      <c r="D1180" s="13" t="s">
        <v>633</v>
      </c>
      <c r="E1180" t="s">
        <v>184</v>
      </c>
      <c r="F1180" s="11">
        <v>1</v>
      </c>
      <c r="G1180" s="11">
        <v>54621.86</v>
      </c>
    </row>
    <row r="1181" spans="2:7" x14ac:dyDescent="0.2">
      <c r="B1181" s="32">
        <v>45818</v>
      </c>
      <c r="C1181" t="s">
        <v>142</v>
      </c>
      <c r="D1181" s="13" t="s">
        <v>633</v>
      </c>
      <c r="E1181" t="s">
        <v>452</v>
      </c>
      <c r="F1181" s="11">
        <v>1</v>
      </c>
      <c r="G1181" s="11">
        <v>37815.129999999997</v>
      </c>
    </row>
    <row r="1182" spans="2:7" x14ac:dyDescent="0.2">
      <c r="B1182" s="32">
        <v>45818</v>
      </c>
      <c r="C1182" t="s">
        <v>142</v>
      </c>
      <c r="D1182" s="13" t="s">
        <v>633</v>
      </c>
      <c r="E1182" t="s">
        <v>831</v>
      </c>
      <c r="F1182" s="11">
        <v>1</v>
      </c>
      <c r="G1182" s="11">
        <v>0.84</v>
      </c>
    </row>
    <row r="1183" spans="2:7" x14ac:dyDescent="0.2">
      <c r="B1183" s="32">
        <v>45818</v>
      </c>
      <c r="C1183" t="s">
        <v>142</v>
      </c>
      <c r="D1183" s="13" t="s">
        <v>633</v>
      </c>
      <c r="F1183" s="11">
        <v>0</v>
      </c>
      <c r="G1183" s="11">
        <v>0</v>
      </c>
    </row>
    <row r="1184" spans="2:7" x14ac:dyDescent="0.2">
      <c r="B1184" s="32">
        <v>45819</v>
      </c>
      <c r="C1184" t="s">
        <v>142</v>
      </c>
      <c r="D1184" s="13" t="s">
        <v>634</v>
      </c>
      <c r="E1184" t="s">
        <v>723</v>
      </c>
      <c r="F1184" s="11">
        <v>1</v>
      </c>
      <c r="G1184" s="11">
        <v>294117.65000000002</v>
      </c>
    </row>
    <row r="1185" spans="2:7" x14ac:dyDescent="0.2">
      <c r="B1185" s="32">
        <v>45819</v>
      </c>
      <c r="C1185" t="s">
        <v>142</v>
      </c>
      <c r="D1185" s="13" t="s">
        <v>634</v>
      </c>
      <c r="E1185" t="s">
        <v>302</v>
      </c>
      <c r="F1185" s="11">
        <v>0</v>
      </c>
      <c r="G1185" s="11">
        <v>96638.66</v>
      </c>
    </row>
    <row r="1186" spans="2:7" x14ac:dyDescent="0.2">
      <c r="B1186" s="32">
        <v>45819</v>
      </c>
      <c r="C1186" t="s">
        <v>142</v>
      </c>
      <c r="D1186" s="13" t="s">
        <v>634</v>
      </c>
      <c r="E1186" t="s">
        <v>1784</v>
      </c>
      <c r="F1186" s="11">
        <v>1</v>
      </c>
      <c r="G1186" s="11">
        <v>58823.53</v>
      </c>
    </row>
    <row r="1187" spans="2:7" x14ac:dyDescent="0.2">
      <c r="B1187" s="32">
        <v>45819</v>
      </c>
      <c r="C1187" t="s">
        <v>142</v>
      </c>
      <c r="D1187" s="13" t="s">
        <v>634</v>
      </c>
      <c r="E1187" t="s">
        <v>466</v>
      </c>
      <c r="F1187" s="11">
        <v>1</v>
      </c>
      <c r="G1187" s="11">
        <v>21848.74</v>
      </c>
    </row>
    <row r="1188" spans="2:7" x14ac:dyDescent="0.2">
      <c r="B1188" s="32">
        <v>45819</v>
      </c>
      <c r="C1188" t="s">
        <v>142</v>
      </c>
      <c r="D1188" s="13" t="s">
        <v>634</v>
      </c>
      <c r="E1188" t="s">
        <v>1796</v>
      </c>
      <c r="F1188" s="11">
        <v>1</v>
      </c>
      <c r="G1188" s="11">
        <v>21008.400000000001</v>
      </c>
    </row>
    <row r="1189" spans="2:7" x14ac:dyDescent="0.2">
      <c r="B1189" s="32">
        <v>45819</v>
      </c>
      <c r="C1189" t="s">
        <v>142</v>
      </c>
      <c r="D1189" s="13" t="s">
        <v>634</v>
      </c>
      <c r="F1189" s="11">
        <v>0</v>
      </c>
      <c r="G1189" s="11">
        <v>0</v>
      </c>
    </row>
    <row r="1190" spans="2:7" x14ac:dyDescent="0.2">
      <c r="B1190" s="32">
        <v>45819</v>
      </c>
      <c r="C1190" t="s">
        <v>142</v>
      </c>
      <c r="D1190" s="13" t="s">
        <v>634</v>
      </c>
      <c r="E1190" t="s">
        <v>1881</v>
      </c>
      <c r="F1190" s="11">
        <v>0</v>
      </c>
      <c r="G1190" s="11">
        <v>-96638.66</v>
      </c>
    </row>
    <row r="1191" spans="2:7" x14ac:dyDescent="0.2">
      <c r="B1191" s="32">
        <v>45819</v>
      </c>
      <c r="C1191" t="s">
        <v>142</v>
      </c>
      <c r="D1191" s="13" t="s">
        <v>633</v>
      </c>
      <c r="E1191" t="s">
        <v>349</v>
      </c>
      <c r="F1191" s="11">
        <v>1</v>
      </c>
      <c r="G1191" s="11">
        <v>420168.07</v>
      </c>
    </row>
    <row r="1192" spans="2:7" x14ac:dyDescent="0.2">
      <c r="B1192" s="32">
        <v>45819</v>
      </c>
      <c r="C1192" t="s">
        <v>142</v>
      </c>
      <c r="D1192" s="13" t="s">
        <v>633</v>
      </c>
      <c r="E1192" t="s">
        <v>1884</v>
      </c>
      <c r="F1192" s="11">
        <v>1</v>
      </c>
      <c r="G1192" s="11">
        <v>130252.1</v>
      </c>
    </row>
    <row r="1193" spans="2:7" x14ac:dyDescent="0.2">
      <c r="B1193" s="32">
        <v>45819</v>
      </c>
      <c r="C1193" t="s">
        <v>142</v>
      </c>
      <c r="D1193" s="13" t="s">
        <v>633</v>
      </c>
      <c r="E1193" t="s">
        <v>701</v>
      </c>
      <c r="F1193" s="11">
        <v>1</v>
      </c>
      <c r="G1193" s="11">
        <v>124369.75</v>
      </c>
    </row>
    <row r="1194" spans="2:7" x14ac:dyDescent="0.2">
      <c r="B1194" s="32">
        <v>45819</v>
      </c>
      <c r="C1194" t="s">
        <v>142</v>
      </c>
      <c r="D1194" s="13" t="s">
        <v>633</v>
      </c>
      <c r="E1194" t="s">
        <v>264</v>
      </c>
      <c r="F1194" s="11">
        <v>1</v>
      </c>
      <c r="G1194" s="11">
        <v>75630.25</v>
      </c>
    </row>
    <row r="1195" spans="2:7" x14ac:dyDescent="0.2">
      <c r="B1195" s="32">
        <v>45819</v>
      </c>
      <c r="C1195" t="s">
        <v>142</v>
      </c>
      <c r="D1195" s="13" t="s">
        <v>633</v>
      </c>
      <c r="E1195" t="s">
        <v>1885</v>
      </c>
      <c r="F1195" s="11">
        <v>1</v>
      </c>
      <c r="G1195" s="11">
        <v>67226.880000000005</v>
      </c>
    </row>
    <row r="1196" spans="2:7" x14ac:dyDescent="0.2">
      <c r="B1196" s="32">
        <v>45819</v>
      </c>
      <c r="C1196" t="s">
        <v>142</v>
      </c>
      <c r="D1196" s="13" t="s">
        <v>633</v>
      </c>
      <c r="E1196" t="s">
        <v>233</v>
      </c>
      <c r="F1196" s="11">
        <v>1</v>
      </c>
      <c r="G1196" s="11">
        <v>58823.53</v>
      </c>
    </row>
    <row r="1197" spans="2:7" x14ac:dyDescent="0.2">
      <c r="B1197" s="32">
        <v>45819</v>
      </c>
      <c r="C1197" t="s">
        <v>142</v>
      </c>
      <c r="D1197" s="13" t="s">
        <v>633</v>
      </c>
      <c r="E1197" t="s">
        <v>1886</v>
      </c>
      <c r="F1197" s="11">
        <v>1</v>
      </c>
      <c r="G1197" s="11">
        <v>50420.17</v>
      </c>
    </row>
    <row r="1198" spans="2:7" x14ac:dyDescent="0.2">
      <c r="B1198" s="32">
        <v>45819</v>
      </c>
      <c r="C1198" t="s">
        <v>142</v>
      </c>
      <c r="D1198" s="13" t="s">
        <v>633</v>
      </c>
      <c r="E1198" t="s">
        <v>240</v>
      </c>
      <c r="F1198" s="11">
        <v>1</v>
      </c>
      <c r="G1198" s="11">
        <v>42016.81</v>
      </c>
    </row>
    <row r="1199" spans="2:7" x14ac:dyDescent="0.2">
      <c r="B1199" s="32">
        <v>45819</v>
      </c>
      <c r="C1199" t="s">
        <v>142</v>
      </c>
      <c r="D1199" s="13" t="s">
        <v>633</v>
      </c>
      <c r="E1199" t="s">
        <v>1887</v>
      </c>
      <c r="F1199" s="11">
        <v>1</v>
      </c>
      <c r="G1199" s="11">
        <v>37815.129999999997</v>
      </c>
    </row>
    <row r="1200" spans="2:7" x14ac:dyDescent="0.2">
      <c r="B1200" s="32">
        <v>45819</v>
      </c>
      <c r="C1200" t="s">
        <v>142</v>
      </c>
      <c r="D1200" s="13" t="s">
        <v>633</v>
      </c>
      <c r="F1200" s="11">
        <v>0</v>
      </c>
      <c r="G1200" s="11">
        <v>0</v>
      </c>
    </row>
    <row r="1201" spans="2:7" x14ac:dyDescent="0.2">
      <c r="B1201" s="32">
        <v>45820</v>
      </c>
      <c r="C1201" t="s">
        <v>142</v>
      </c>
      <c r="D1201" s="13" t="s">
        <v>634</v>
      </c>
      <c r="E1201" t="s">
        <v>713</v>
      </c>
      <c r="F1201" s="11">
        <v>1</v>
      </c>
      <c r="G1201" s="11">
        <v>243697.48</v>
      </c>
    </row>
    <row r="1202" spans="2:7" x14ac:dyDescent="0.2">
      <c r="B1202" s="32">
        <v>45820</v>
      </c>
      <c r="C1202" t="s">
        <v>142</v>
      </c>
      <c r="D1202" s="13" t="s">
        <v>634</v>
      </c>
      <c r="E1202" t="s">
        <v>316</v>
      </c>
      <c r="F1202" s="11">
        <v>1</v>
      </c>
      <c r="G1202" s="11">
        <v>184873.95</v>
      </c>
    </row>
    <row r="1203" spans="2:7" x14ac:dyDescent="0.2">
      <c r="B1203" s="32">
        <v>45820</v>
      </c>
      <c r="C1203" t="s">
        <v>142</v>
      </c>
      <c r="D1203" s="13" t="s">
        <v>634</v>
      </c>
      <c r="E1203" t="s">
        <v>320</v>
      </c>
      <c r="F1203" s="11">
        <v>2</v>
      </c>
      <c r="G1203" s="11">
        <v>117647.06</v>
      </c>
    </row>
    <row r="1204" spans="2:7" x14ac:dyDescent="0.2">
      <c r="B1204" s="32">
        <v>45820</v>
      </c>
      <c r="C1204" t="s">
        <v>142</v>
      </c>
      <c r="D1204" s="13" t="s">
        <v>634</v>
      </c>
      <c r="E1204" t="s">
        <v>406</v>
      </c>
      <c r="F1204" s="11">
        <v>1</v>
      </c>
      <c r="G1204" s="11">
        <v>58823.53</v>
      </c>
    </row>
    <row r="1205" spans="2:7" x14ac:dyDescent="0.2">
      <c r="B1205" s="32">
        <v>45820</v>
      </c>
      <c r="C1205" t="s">
        <v>142</v>
      </c>
      <c r="D1205" s="13" t="s">
        <v>634</v>
      </c>
      <c r="E1205" t="s">
        <v>1796</v>
      </c>
      <c r="F1205" s="11">
        <v>1</v>
      </c>
      <c r="G1205" s="11">
        <v>21008.400000000001</v>
      </c>
    </row>
    <row r="1206" spans="2:7" x14ac:dyDescent="0.2">
      <c r="B1206" s="32">
        <v>45820</v>
      </c>
      <c r="C1206" t="s">
        <v>142</v>
      </c>
      <c r="D1206" s="13" t="s">
        <v>634</v>
      </c>
      <c r="F1206" s="11">
        <v>0</v>
      </c>
      <c r="G1206" s="11">
        <v>0</v>
      </c>
    </row>
    <row r="1207" spans="2:7" x14ac:dyDescent="0.2">
      <c r="B1207" s="32">
        <v>45820</v>
      </c>
      <c r="C1207" t="s">
        <v>142</v>
      </c>
      <c r="D1207" s="13" t="s">
        <v>633</v>
      </c>
      <c r="E1207" t="s">
        <v>766</v>
      </c>
      <c r="F1207" s="11">
        <v>1</v>
      </c>
      <c r="G1207" s="11">
        <v>294117.65000000002</v>
      </c>
    </row>
    <row r="1208" spans="2:7" x14ac:dyDescent="0.2">
      <c r="B1208" s="32">
        <v>45820</v>
      </c>
      <c r="C1208" t="s">
        <v>142</v>
      </c>
      <c r="D1208" s="13" t="s">
        <v>633</v>
      </c>
      <c r="E1208" t="s">
        <v>1740</v>
      </c>
      <c r="F1208" s="11">
        <v>1</v>
      </c>
      <c r="G1208" s="11">
        <v>142857.14000000001</v>
      </c>
    </row>
    <row r="1209" spans="2:7" x14ac:dyDescent="0.2">
      <c r="B1209" s="32">
        <v>45820</v>
      </c>
      <c r="C1209" t="s">
        <v>142</v>
      </c>
      <c r="D1209" s="13" t="s">
        <v>633</v>
      </c>
      <c r="E1209" t="s">
        <v>1888</v>
      </c>
      <c r="F1209" s="11">
        <v>1</v>
      </c>
      <c r="G1209" s="11">
        <v>136134.45000000001</v>
      </c>
    </row>
    <row r="1210" spans="2:7" x14ac:dyDescent="0.2">
      <c r="B1210" s="32">
        <v>45820</v>
      </c>
      <c r="C1210" t="s">
        <v>142</v>
      </c>
      <c r="D1210" s="13" t="s">
        <v>633</v>
      </c>
      <c r="E1210" t="s">
        <v>153</v>
      </c>
      <c r="F1210" s="11">
        <v>2</v>
      </c>
      <c r="G1210" s="11">
        <v>79831.94</v>
      </c>
    </row>
    <row r="1211" spans="2:7" x14ac:dyDescent="0.2">
      <c r="B1211" s="32">
        <v>45820</v>
      </c>
      <c r="C1211" t="s">
        <v>142</v>
      </c>
      <c r="D1211" s="13" t="s">
        <v>633</v>
      </c>
      <c r="E1211" t="s">
        <v>240</v>
      </c>
      <c r="F1211" s="11">
        <v>2</v>
      </c>
      <c r="G1211" s="11">
        <v>79831.929999999993</v>
      </c>
    </row>
    <row r="1212" spans="2:7" x14ac:dyDescent="0.2">
      <c r="B1212" s="32">
        <v>45820</v>
      </c>
      <c r="C1212" t="s">
        <v>142</v>
      </c>
      <c r="D1212" s="13" t="s">
        <v>633</v>
      </c>
      <c r="E1212" t="s">
        <v>150</v>
      </c>
      <c r="F1212" s="11">
        <v>2</v>
      </c>
      <c r="G1212" s="11">
        <v>79831.929999999993</v>
      </c>
    </row>
    <row r="1213" spans="2:7" x14ac:dyDescent="0.2">
      <c r="B1213" s="32">
        <v>45820</v>
      </c>
      <c r="C1213" t="s">
        <v>142</v>
      </c>
      <c r="D1213" s="13" t="s">
        <v>633</v>
      </c>
      <c r="E1213" t="s">
        <v>1872</v>
      </c>
      <c r="F1213" s="11">
        <v>1</v>
      </c>
      <c r="G1213" s="11">
        <v>67226.89</v>
      </c>
    </row>
    <row r="1214" spans="2:7" x14ac:dyDescent="0.2">
      <c r="B1214" s="32">
        <v>45820</v>
      </c>
      <c r="C1214" t="s">
        <v>142</v>
      </c>
      <c r="D1214" s="13" t="s">
        <v>633</v>
      </c>
      <c r="E1214" t="s">
        <v>809</v>
      </c>
      <c r="F1214" s="11">
        <v>1</v>
      </c>
      <c r="G1214" s="11">
        <v>58823.53</v>
      </c>
    </row>
    <row r="1215" spans="2:7" x14ac:dyDescent="0.2">
      <c r="B1215" s="32">
        <v>45820</v>
      </c>
      <c r="C1215" t="s">
        <v>142</v>
      </c>
      <c r="D1215" s="13" t="s">
        <v>633</v>
      </c>
      <c r="E1215" t="s">
        <v>242</v>
      </c>
      <c r="F1215" s="11">
        <v>1</v>
      </c>
      <c r="G1215" s="11">
        <v>52100.84</v>
      </c>
    </row>
    <row r="1216" spans="2:7" x14ac:dyDescent="0.2">
      <c r="B1216" s="32">
        <v>45820</v>
      </c>
      <c r="C1216" t="s">
        <v>142</v>
      </c>
      <c r="D1216" s="13" t="s">
        <v>633</v>
      </c>
      <c r="E1216" t="s">
        <v>1771</v>
      </c>
      <c r="F1216" s="11">
        <v>1</v>
      </c>
      <c r="G1216" s="11">
        <v>46218.49</v>
      </c>
    </row>
    <row r="1217" spans="2:7" x14ac:dyDescent="0.2">
      <c r="B1217" s="32">
        <v>45820</v>
      </c>
      <c r="C1217" t="s">
        <v>142</v>
      </c>
      <c r="D1217" s="13" t="s">
        <v>633</v>
      </c>
      <c r="F1217" s="11">
        <v>0</v>
      </c>
      <c r="G1217" s="11">
        <v>0</v>
      </c>
    </row>
    <row r="1218" spans="2:7" x14ac:dyDescent="0.2">
      <c r="B1218" s="32">
        <v>45821</v>
      </c>
      <c r="C1218" t="s">
        <v>142</v>
      </c>
      <c r="D1218" s="13" t="s">
        <v>634</v>
      </c>
      <c r="E1218" t="s">
        <v>315</v>
      </c>
      <c r="F1218" s="11">
        <v>1</v>
      </c>
      <c r="G1218" s="11">
        <v>58823.53</v>
      </c>
    </row>
    <row r="1219" spans="2:7" x14ac:dyDescent="0.2">
      <c r="B1219" s="32">
        <v>45821</v>
      </c>
      <c r="C1219" t="s">
        <v>142</v>
      </c>
      <c r="D1219" s="13" t="s">
        <v>634</v>
      </c>
      <c r="E1219" t="s">
        <v>151</v>
      </c>
      <c r="F1219" s="11">
        <v>1</v>
      </c>
      <c r="G1219" s="11">
        <v>46218.49</v>
      </c>
    </row>
    <row r="1220" spans="2:7" x14ac:dyDescent="0.2">
      <c r="B1220" s="32">
        <v>45821</v>
      </c>
      <c r="C1220" t="s">
        <v>142</v>
      </c>
      <c r="D1220" s="13" t="s">
        <v>634</v>
      </c>
      <c r="E1220" t="s">
        <v>153</v>
      </c>
      <c r="F1220" s="11">
        <v>1</v>
      </c>
      <c r="G1220" s="11">
        <v>42016.800000000003</v>
      </c>
    </row>
    <row r="1221" spans="2:7" x14ac:dyDescent="0.2">
      <c r="B1221" s="32">
        <v>45821</v>
      </c>
      <c r="C1221" t="s">
        <v>142</v>
      </c>
      <c r="D1221" s="13" t="s">
        <v>634</v>
      </c>
      <c r="E1221" t="s">
        <v>248</v>
      </c>
      <c r="F1221" s="11">
        <v>1</v>
      </c>
      <c r="G1221" s="11">
        <v>21848.74</v>
      </c>
    </row>
    <row r="1222" spans="2:7" x14ac:dyDescent="0.2">
      <c r="B1222" s="32">
        <v>45821</v>
      </c>
      <c r="C1222" t="s">
        <v>142</v>
      </c>
      <c r="D1222" s="13" t="s">
        <v>634</v>
      </c>
      <c r="F1222" s="11">
        <v>0</v>
      </c>
      <c r="G1222" s="11">
        <v>0</v>
      </c>
    </row>
    <row r="1223" spans="2:7" x14ac:dyDescent="0.2">
      <c r="B1223" s="32">
        <v>45821</v>
      </c>
      <c r="C1223" t="s">
        <v>142</v>
      </c>
      <c r="D1223" s="13" t="s">
        <v>633</v>
      </c>
      <c r="E1223" t="s">
        <v>517</v>
      </c>
      <c r="F1223" s="11">
        <v>1</v>
      </c>
      <c r="G1223" s="11">
        <v>126050.42</v>
      </c>
    </row>
    <row r="1224" spans="2:7" x14ac:dyDescent="0.2">
      <c r="B1224" s="32">
        <v>45821</v>
      </c>
      <c r="C1224" t="s">
        <v>142</v>
      </c>
      <c r="D1224" s="13" t="s">
        <v>633</v>
      </c>
      <c r="E1224" t="s">
        <v>1889</v>
      </c>
      <c r="F1224" s="11">
        <v>1</v>
      </c>
      <c r="G1224" s="11">
        <v>126050.42</v>
      </c>
    </row>
    <row r="1225" spans="2:7" x14ac:dyDescent="0.2">
      <c r="B1225" s="32">
        <v>45821</v>
      </c>
      <c r="C1225" t="s">
        <v>142</v>
      </c>
      <c r="D1225" s="13" t="s">
        <v>633</v>
      </c>
      <c r="E1225" t="s">
        <v>359</v>
      </c>
      <c r="F1225" s="11">
        <v>1</v>
      </c>
      <c r="G1225" s="11">
        <v>117647.06</v>
      </c>
    </row>
    <row r="1226" spans="2:7" x14ac:dyDescent="0.2">
      <c r="B1226" s="32">
        <v>45821</v>
      </c>
      <c r="C1226" t="s">
        <v>142</v>
      </c>
      <c r="D1226" s="13" t="s">
        <v>633</v>
      </c>
      <c r="E1226" t="s">
        <v>1890</v>
      </c>
      <c r="F1226" s="11">
        <v>1</v>
      </c>
      <c r="G1226" s="11">
        <v>75630.25</v>
      </c>
    </row>
    <row r="1227" spans="2:7" x14ac:dyDescent="0.2">
      <c r="B1227" s="32">
        <v>45821</v>
      </c>
      <c r="C1227" t="s">
        <v>142</v>
      </c>
      <c r="D1227" s="13" t="s">
        <v>633</v>
      </c>
      <c r="E1227" t="s">
        <v>328</v>
      </c>
      <c r="F1227" s="11">
        <v>1</v>
      </c>
      <c r="G1227" s="11">
        <v>37815.129999999997</v>
      </c>
    </row>
    <row r="1228" spans="2:7" x14ac:dyDescent="0.2">
      <c r="B1228" s="32">
        <v>45821</v>
      </c>
      <c r="C1228" t="s">
        <v>142</v>
      </c>
      <c r="D1228" s="13" t="s">
        <v>633</v>
      </c>
      <c r="E1228" t="s">
        <v>342</v>
      </c>
      <c r="F1228" s="11">
        <v>1</v>
      </c>
      <c r="G1228" s="11">
        <v>21848.74</v>
      </c>
    </row>
    <row r="1229" spans="2:7" x14ac:dyDescent="0.2">
      <c r="B1229" s="32">
        <v>45821</v>
      </c>
      <c r="C1229" t="s">
        <v>142</v>
      </c>
      <c r="D1229" s="13" t="s">
        <v>633</v>
      </c>
      <c r="F1229" s="11">
        <v>0</v>
      </c>
      <c r="G1229" s="11">
        <v>0</v>
      </c>
    </row>
    <row r="1230" spans="2:7" x14ac:dyDescent="0.2">
      <c r="B1230" s="32">
        <v>45822</v>
      </c>
      <c r="C1230" t="s">
        <v>142</v>
      </c>
      <c r="D1230" s="13" t="s">
        <v>634</v>
      </c>
      <c r="E1230" t="s">
        <v>191</v>
      </c>
      <c r="F1230" s="11">
        <v>2</v>
      </c>
      <c r="G1230" s="11">
        <v>285714.28999999998</v>
      </c>
    </row>
    <row r="1231" spans="2:7" x14ac:dyDescent="0.2">
      <c r="B1231" s="32">
        <v>45822</v>
      </c>
      <c r="C1231" t="s">
        <v>142</v>
      </c>
      <c r="D1231" s="13" t="s">
        <v>634</v>
      </c>
      <c r="E1231" t="s">
        <v>249</v>
      </c>
      <c r="F1231" s="11">
        <v>1</v>
      </c>
      <c r="G1231" s="11">
        <v>100840.34</v>
      </c>
    </row>
    <row r="1232" spans="2:7" x14ac:dyDescent="0.2">
      <c r="B1232" s="32">
        <v>45822</v>
      </c>
      <c r="C1232" t="s">
        <v>142</v>
      </c>
      <c r="D1232" s="13" t="s">
        <v>634</v>
      </c>
      <c r="E1232" t="s">
        <v>154</v>
      </c>
      <c r="F1232" s="11">
        <v>1</v>
      </c>
      <c r="G1232" s="11">
        <v>96638.66</v>
      </c>
    </row>
    <row r="1233" spans="2:7" x14ac:dyDescent="0.2">
      <c r="B1233" s="32">
        <v>45822</v>
      </c>
      <c r="C1233" t="s">
        <v>142</v>
      </c>
      <c r="D1233" s="13" t="s">
        <v>634</v>
      </c>
      <c r="E1233" t="s">
        <v>1819</v>
      </c>
      <c r="F1233" s="11">
        <v>1</v>
      </c>
      <c r="G1233" s="11">
        <v>58823.53</v>
      </c>
    </row>
    <row r="1234" spans="2:7" x14ac:dyDescent="0.2">
      <c r="B1234" s="32">
        <v>45822</v>
      </c>
      <c r="C1234" t="s">
        <v>142</v>
      </c>
      <c r="D1234" s="13" t="s">
        <v>634</v>
      </c>
      <c r="E1234" t="s">
        <v>248</v>
      </c>
      <c r="F1234" s="11">
        <v>1</v>
      </c>
      <c r="G1234" s="11">
        <v>21848.74</v>
      </c>
    </row>
    <row r="1235" spans="2:7" x14ac:dyDescent="0.2">
      <c r="B1235" s="32">
        <v>45822</v>
      </c>
      <c r="C1235" t="s">
        <v>142</v>
      </c>
      <c r="D1235" s="13" t="s">
        <v>634</v>
      </c>
      <c r="E1235" t="s">
        <v>466</v>
      </c>
      <c r="F1235" s="11">
        <v>1</v>
      </c>
      <c r="G1235" s="11">
        <v>21848.74</v>
      </c>
    </row>
    <row r="1236" spans="2:7" x14ac:dyDescent="0.2">
      <c r="B1236" s="32">
        <v>45822</v>
      </c>
      <c r="C1236" t="s">
        <v>142</v>
      </c>
      <c r="D1236" s="13" t="s">
        <v>634</v>
      </c>
      <c r="E1236" t="s">
        <v>1837</v>
      </c>
      <c r="F1236" s="11">
        <v>1</v>
      </c>
      <c r="G1236" s="11">
        <v>21848.74</v>
      </c>
    </row>
    <row r="1237" spans="2:7" x14ac:dyDescent="0.2">
      <c r="B1237" s="32">
        <v>45822</v>
      </c>
      <c r="C1237" t="s">
        <v>142</v>
      </c>
      <c r="D1237" s="13" t="s">
        <v>634</v>
      </c>
      <c r="E1237" t="s">
        <v>342</v>
      </c>
      <c r="F1237" s="11">
        <v>1</v>
      </c>
      <c r="G1237" s="11">
        <v>21848.74</v>
      </c>
    </row>
    <row r="1238" spans="2:7" x14ac:dyDescent="0.2">
      <c r="B1238" s="32">
        <v>45822</v>
      </c>
      <c r="C1238" t="s">
        <v>142</v>
      </c>
      <c r="D1238" s="13" t="s">
        <v>634</v>
      </c>
      <c r="E1238" t="s">
        <v>218</v>
      </c>
      <c r="F1238" s="11">
        <v>1</v>
      </c>
      <c r="G1238" s="11">
        <v>21008.400000000001</v>
      </c>
    </row>
    <row r="1239" spans="2:7" x14ac:dyDescent="0.2">
      <c r="B1239" s="32">
        <v>45822</v>
      </c>
      <c r="C1239" t="s">
        <v>142</v>
      </c>
      <c r="D1239" s="13" t="s">
        <v>634</v>
      </c>
      <c r="F1239" s="11">
        <v>0</v>
      </c>
      <c r="G1239" s="11">
        <v>0</v>
      </c>
    </row>
    <row r="1240" spans="2:7" x14ac:dyDescent="0.2">
      <c r="B1240" s="32">
        <v>45822</v>
      </c>
      <c r="C1240" t="s">
        <v>142</v>
      </c>
      <c r="D1240" s="13" t="s">
        <v>633</v>
      </c>
      <c r="E1240" t="s">
        <v>502</v>
      </c>
      <c r="F1240" s="11">
        <v>1</v>
      </c>
      <c r="G1240" s="11">
        <v>252100.84</v>
      </c>
    </row>
    <row r="1241" spans="2:7" x14ac:dyDescent="0.2">
      <c r="B1241" s="32">
        <v>45822</v>
      </c>
      <c r="C1241" t="s">
        <v>142</v>
      </c>
      <c r="D1241" s="13" t="s">
        <v>633</v>
      </c>
      <c r="F1241" s="11">
        <v>3</v>
      </c>
      <c r="G1241" s="11">
        <v>105882.35</v>
      </c>
    </row>
    <row r="1242" spans="2:7" x14ac:dyDescent="0.2">
      <c r="B1242" s="32">
        <v>45822</v>
      </c>
      <c r="C1242" t="s">
        <v>142</v>
      </c>
      <c r="D1242" s="13" t="s">
        <v>633</v>
      </c>
      <c r="E1242" t="s">
        <v>258</v>
      </c>
      <c r="F1242" s="11">
        <v>1</v>
      </c>
      <c r="G1242" s="11">
        <v>54621.85</v>
      </c>
    </row>
    <row r="1243" spans="2:7" x14ac:dyDescent="0.2">
      <c r="B1243" s="32">
        <v>45823</v>
      </c>
      <c r="C1243" t="s">
        <v>142</v>
      </c>
      <c r="D1243" s="13" t="s">
        <v>634</v>
      </c>
      <c r="E1243" t="s">
        <v>1823</v>
      </c>
      <c r="F1243" s="11">
        <v>1</v>
      </c>
      <c r="G1243" s="11">
        <v>151260.5</v>
      </c>
    </row>
    <row r="1244" spans="2:7" x14ac:dyDescent="0.2">
      <c r="B1244" s="32">
        <v>45823</v>
      </c>
      <c r="C1244" t="s">
        <v>142</v>
      </c>
      <c r="D1244" s="13" t="s">
        <v>634</v>
      </c>
      <c r="E1244" t="s">
        <v>521</v>
      </c>
      <c r="F1244" s="11">
        <v>1</v>
      </c>
      <c r="G1244" s="11">
        <v>92436.97</v>
      </c>
    </row>
    <row r="1245" spans="2:7" x14ac:dyDescent="0.2">
      <c r="B1245" s="32">
        <v>45823</v>
      </c>
      <c r="C1245" t="s">
        <v>142</v>
      </c>
      <c r="D1245" s="13" t="s">
        <v>634</v>
      </c>
      <c r="E1245" t="s">
        <v>233</v>
      </c>
      <c r="F1245" s="11">
        <v>1</v>
      </c>
      <c r="G1245" s="11">
        <v>58823.53</v>
      </c>
    </row>
    <row r="1246" spans="2:7" x14ac:dyDescent="0.2">
      <c r="B1246" s="32">
        <v>45823</v>
      </c>
      <c r="C1246" t="s">
        <v>142</v>
      </c>
      <c r="D1246" s="13" t="s">
        <v>634</v>
      </c>
      <c r="E1246" t="s">
        <v>224</v>
      </c>
      <c r="F1246" s="11">
        <v>1</v>
      </c>
      <c r="G1246" s="11">
        <v>58823.53</v>
      </c>
    </row>
    <row r="1247" spans="2:7" x14ac:dyDescent="0.2">
      <c r="B1247" s="32">
        <v>45823</v>
      </c>
      <c r="C1247" t="s">
        <v>142</v>
      </c>
      <c r="D1247" s="13" t="s">
        <v>634</v>
      </c>
      <c r="E1247" t="s">
        <v>275</v>
      </c>
      <c r="F1247" s="11">
        <v>1</v>
      </c>
      <c r="G1247" s="11">
        <v>58823.53</v>
      </c>
    </row>
    <row r="1248" spans="2:7" x14ac:dyDescent="0.2">
      <c r="B1248" s="32">
        <v>45823</v>
      </c>
      <c r="C1248" t="s">
        <v>142</v>
      </c>
      <c r="D1248" s="13" t="s">
        <v>634</v>
      </c>
      <c r="E1248" t="s">
        <v>162</v>
      </c>
      <c r="F1248" s="11">
        <v>1</v>
      </c>
      <c r="G1248" s="11">
        <v>58823.53</v>
      </c>
    </row>
    <row r="1249" spans="2:7" x14ac:dyDescent="0.2">
      <c r="B1249" s="32">
        <v>45823</v>
      </c>
      <c r="C1249" t="s">
        <v>142</v>
      </c>
      <c r="D1249" s="13" t="s">
        <v>634</v>
      </c>
      <c r="E1249" t="s">
        <v>215</v>
      </c>
      <c r="F1249" s="11">
        <v>1</v>
      </c>
      <c r="G1249" s="11">
        <v>46218.49</v>
      </c>
    </row>
    <row r="1250" spans="2:7" x14ac:dyDescent="0.2">
      <c r="B1250" s="32">
        <v>45823</v>
      </c>
      <c r="C1250" t="s">
        <v>142</v>
      </c>
      <c r="D1250" s="13" t="s">
        <v>634</v>
      </c>
      <c r="E1250" t="s">
        <v>1796</v>
      </c>
      <c r="F1250" s="11">
        <v>1</v>
      </c>
      <c r="G1250" s="11">
        <v>21008.400000000001</v>
      </c>
    </row>
    <row r="1251" spans="2:7" x14ac:dyDescent="0.2">
      <c r="B1251" s="32">
        <v>45823</v>
      </c>
      <c r="C1251" t="s">
        <v>142</v>
      </c>
      <c r="D1251" s="13" t="s">
        <v>634</v>
      </c>
      <c r="F1251" s="11">
        <v>0</v>
      </c>
      <c r="G1251" s="11">
        <v>0</v>
      </c>
    </row>
    <row r="1252" spans="2:7" x14ac:dyDescent="0.2">
      <c r="B1252" s="32">
        <v>45823</v>
      </c>
      <c r="C1252" t="s">
        <v>142</v>
      </c>
      <c r="D1252" s="13" t="s">
        <v>633</v>
      </c>
      <c r="E1252" t="s">
        <v>1760</v>
      </c>
      <c r="F1252" s="11">
        <v>1</v>
      </c>
      <c r="G1252" s="11">
        <v>75630.25</v>
      </c>
    </row>
    <row r="1253" spans="2:7" x14ac:dyDescent="0.2">
      <c r="B1253" s="32">
        <v>45823</v>
      </c>
      <c r="C1253" t="s">
        <v>142</v>
      </c>
      <c r="D1253" s="13" t="s">
        <v>633</v>
      </c>
      <c r="E1253" t="s">
        <v>1891</v>
      </c>
      <c r="F1253" s="11">
        <v>1</v>
      </c>
      <c r="G1253" s="11">
        <v>54621.85</v>
      </c>
    </row>
    <row r="1254" spans="2:7" x14ac:dyDescent="0.2">
      <c r="B1254" s="32">
        <v>45823</v>
      </c>
      <c r="C1254" t="s">
        <v>142</v>
      </c>
      <c r="D1254" s="13" t="s">
        <v>633</v>
      </c>
      <c r="E1254" t="s">
        <v>238</v>
      </c>
      <c r="F1254" s="11">
        <v>1</v>
      </c>
      <c r="G1254" s="11">
        <v>46218.49</v>
      </c>
    </row>
    <row r="1255" spans="2:7" x14ac:dyDescent="0.2">
      <c r="B1255" s="32">
        <v>45823</v>
      </c>
      <c r="C1255" t="s">
        <v>142</v>
      </c>
      <c r="D1255" s="13" t="s">
        <v>633</v>
      </c>
      <c r="E1255" t="s">
        <v>260</v>
      </c>
      <c r="F1255" s="11">
        <v>1</v>
      </c>
      <c r="G1255" s="11">
        <v>46218.48</v>
      </c>
    </row>
    <row r="1256" spans="2:7" x14ac:dyDescent="0.2">
      <c r="B1256" s="32">
        <v>45823</v>
      </c>
      <c r="C1256" t="s">
        <v>142</v>
      </c>
      <c r="D1256" s="13" t="s">
        <v>633</v>
      </c>
      <c r="F1256" s="11">
        <v>0</v>
      </c>
      <c r="G1256" s="11">
        <v>0</v>
      </c>
    </row>
    <row r="1257" spans="2:7" x14ac:dyDescent="0.2">
      <c r="B1257" s="32">
        <v>45824</v>
      </c>
      <c r="C1257" t="s">
        <v>142</v>
      </c>
      <c r="D1257" s="13" t="s">
        <v>634</v>
      </c>
      <c r="E1257" t="s">
        <v>728</v>
      </c>
      <c r="F1257" s="11">
        <v>1</v>
      </c>
      <c r="G1257" s="11">
        <v>225000</v>
      </c>
    </row>
    <row r="1258" spans="2:7" x14ac:dyDescent="0.2">
      <c r="B1258" s="32">
        <v>45824</v>
      </c>
      <c r="C1258" t="s">
        <v>142</v>
      </c>
      <c r="D1258" s="13" t="s">
        <v>634</v>
      </c>
      <c r="E1258" t="s">
        <v>1892</v>
      </c>
      <c r="F1258" s="11">
        <v>1</v>
      </c>
      <c r="G1258" s="11">
        <v>225000</v>
      </c>
    </row>
    <row r="1259" spans="2:7" x14ac:dyDescent="0.2">
      <c r="B1259" s="32">
        <v>45824</v>
      </c>
      <c r="C1259" t="s">
        <v>142</v>
      </c>
      <c r="D1259" s="13" t="s">
        <v>634</v>
      </c>
      <c r="E1259" t="s">
        <v>226</v>
      </c>
      <c r="F1259" s="11">
        <v>1</v>
      </c>
      <c r="G1259" s="11">
        <v>117647.05</v>
      </c>
    </row>
    <row r="1260" spans="2:7" x14ac:dyDescent="0.2">
      <c r="B1260" s="32">
        <v>45824</v>
      </c>
      <c r="C1260" t="s">
        <v>142</v>
      </c>
      <c r="D1260" s="13" t="s">
        <v>634</v>
      </c>
      <c r="E1260" t="s">
        <v>283</v>
      </c>
      <c r="F1260" s="11">
        <v>1</v>
      </c>
      <c r="G1260" s="11">
        <v>100840.34</v>
      </c>
    </row>
    <row r="1261" spans="2:7" x14ac:dyDescent="0.2">
      <c r="B1261" s="32">
        <v>45824</v>
      </c>
      <c r="C1261" t="s">
        <v>142</v>
      </c>
      <c r="D1261" s="13" t="s">
        <v>634</v>
      </c>
      <c r="E1261" t="s">
        <v>207</v>
      </c>
      <c r="F1261" s="11">
        <v>1</v>
      </c>
      <c r="G1261" s="11">
        <v>96638.66</v>
      </c>
    </row>
    <row r="1262" spans="2:7" x14ac:dyDescent="0.2">
      <c r="B1262" s="32">
        <v>45824</v>
      </c>
      <c r="C1262" t="s">
        <v>142</v>
      </c>
      <c r="D1262" s="13" t="s">
        <v>634</v>
      </c>
      <c r="E1262" t="s">
        <v>181</v>
      </c>
      <c r="F1262" s="11">
        <v>1</v>
      </c>
      <c r="G1262" s="11">
        <v>84033.61</v>
      </c>
    </row>
    <row r="1263" spans="2:7" x14ac:dyDescent="0.2">
      <c r="B1263" s="32">
        <v>45824</v>
      </c>
      <c r="C1263" t="s">
        <v>142</v>
      </c>
      <c r="D1263" s="13" t="s">
        <v>634</v>
      </c>
      <c r="E1263" t="s">
        <v>161</v>
      </c>
      <c r="F1263" s="11">
        <v>2</v>
      </c>
      <c r="G1263" s="11">
        <v>84033.61</v>
      </c>
    </row>
    <row r="1264" spans="2:7" x14ac:dyDescent="0.2">
      <c r="B1264" s="32">
        <v>45824</v>
      </c>
      <c r="C1264" t="s">
        <v>142</v>
      </c>
      <c r="D1264" s="13" t="s">
        <v>634</v>
      </c>
      <c r="E1264" t="s">
        <v>1796</v>
      </c>
      <c r="F1264" s="11">
        <v>3</v>
      </c>
      <c r="G1264" s="11">
        <v>63025.21</v>
      </c>
    </row>
    <row r="1265" spans="2:7" x14ac:dyDescent="0.2">
      <c r="B1265" s="32">
        <v>45824</v>
      </c>
      <c r="C1265" t="s">
        <v>142</v>
      </c>
      <c r="D1265" s="13" t="s">
        <v>634</v>
      </c>
      <c r="E1265" t="s">
        <v>287</v>
      </c>
      <c r="F1265" s="11">
        <v>1</v>
      </c>
      <c r="G1265" s="11">
        <v>58823.53</v>
      </c>
    </row>
    <row r="1266" spans="2:7" x14ac:dyDescent="0.2">
      <c r="B1266" s="32">
        <v>45824</v>
      </c>
      <c r="C1266" t="s">
        <v>142</v>
      </c>
      <c r="D1266" s="13" t="s">
        <v>634</v>
      </c>
      <c r="E1266" t="s">
        <v>447</v>
      </c>
      <c r="F1266" s="11">
        <v>1</v>
      </c>
      <c r="G1266" s="11">
        <v>58823.53</v>
      </c>
    </row>
    <row r="1267" spans="2:7" x14ac:dyDescent="0.2">
      <c r="B1267" s="32">
        <v>45824</v>
      </c>
      <c r="C1267" t="s">
        <v>142</v>
      </c>
      <c r="D1267" s="13" t="s">
        <v>634</v>
      </c>
      <c r="E1267" t="s">
        <v>406</v>
      </c>
      <c r="F1267" s="11">
        <v>1</v>
      </c>
      <c r="G1267" s="11">
        <v>58823.53</v>
      </c>
    </row>
    <row r="1268" spans="2:7" x14ac:dyDescent="0.2">
      <c r="B1268" s="32">
        <v>45824</v>
      </c>
      <c r="C1268" t="s">
        <v>142</v>
      </c>
      <c r="D1268" s="13" t="s">
        <v>634</v>
      </c>
      <c r="E1268" t="s">
        <v>411</v>
      </c>
      <c r="F1268" s="11">
        <v>1</v>
      </c>
      <c r="G1268" s="11">
        <v>58823.53</v>
      </c>
    </row>
    <row r="1269" spans="2:7" x14ac:dyDescent="0.2">
      <c r="B1269" s="32">
        <v>45824</v>
      </c>
      <c r="C1269" t="s">
        <v>142</v>
      </c>
      <c r="D1269" s="13" t="s">
        <v>634</v>
      </c>
      <c r="E1269" t="s">
        <v>315</v>
      </c>
      <c r="F1269" s="11">
        <v>1</v>
      </c>
      <c r="G1269" s="11">
        <v>58823.53</v>
      </c>
    </row>
    <row r="1270" spans="2:7" x14ac:dyDescent="0.2">
      <c r="B1270" s="32">
        <v>45824</v>
      </c>
      <c r="C1270" t="s">
        <v>142</v>
      </c>
      <c r="D1270" s="13" t="s">
        <v>634</v>
      </c>
      <c r="E1270" t="s">
        <v>219</v>
      </c>
      <c r="F1270" s="11">
        <v>1</v>
      </c>
      <c r="G1270" s="11">
        <v>58823.53</v>
      </c>
    </row>
    <row r="1271" spans="2:7" x14ac:dyDescent="0.2">
      <c r="B1271" s="32">
        <v>45824</v>
      </c>
      <c r="C1271" t="s">
        <v>142</v>
      </c>
      <c r="D1271" s="13" t="s">
        <v>634</v>
      </c>
      <c r="E1271" t="s">
        <v>320</v>
      </c>
      <c r="F1271" s="11">
        <v>1</v>
      </c>
      <c r="G1271" s="11">
        <v>58823.53</v>
      </c>
    </row>
    <row r="1272" spans="2:7" x14ac:dyDescent="0.2">
      <c r="B1272" s="32">
        <v>45824</v>
      </c>
      <c r="C1272" t="s">
        <v>142</v>
      </c>
      <c r="D1272" s="13" t="s">
        <v>634</v>
      </c>
      <c r="E1272" t="s">
        <v>427</v>
      </c>
      <c r="F1272" s="11">
        <v>1</v>
      </c>
      <c r="G1272" s="11">
        <v>54621.85</v>
      </c>
    </row>
    <row r="1273" spans="2:7" x14ac:dyDescent="0.2">
      <c r="B1273" s="32">
        <v>45824</v>
      </c>
      <c r="C1273" t="s">
        <v>142</v>
      </c>
      <c r="D1273" s="13" t="s">
        <v>634</v>
      </c>
      <c r="E1273" t="s">
        <v>243</v>
      </c>
      <c r="F1273" s="11">
        <v>1</v>
      </c>
      <c r="G1273" s="11">
        <v>54621.85</v>
      </c>
    </row>
    <row r="1274" spans="2:7" x14ac:dyDescent="0.2">
      <c r="B1274" s="32">
        <v>45824</v>
      </c>
      <c r="C1274" t="s">
        <v>142</v>
      </c>
      <c r="D1274" s="13" t="s">
        <v>634</v>
      </c>
      <c r="E1274" t="s">
        <v>258</v>
      </c>
      <c r="F1274" s="11">
        <v>1</v>
      </c>
      <c r="G1274" s="11">
        <v>54621.85</v>
      </c>
    </row>
    <row r="1275" spans="2:7" x14ac:dyDescent="0.2">
      <c r="B1275" s="32">
        <v>45824</v>
      </c>
      <c r="C1275" t="s">
        <v>142</v>
      </c>
      <c r="D1275" s="13" t="s">
        <v>634</v>
      </c>
      <c r="E1275" t="s">
        <v>217</v>
      </c>
      <c r="F1275" s="11">
        <v>1</v>
      </c>
      <c r="G1275" s="11">
        <v>54621.85</v>
      </c>
    </row>
    <row r="1276" spans="2:7" x14ac:dyDescent="0.2">
      <c r="B1276" s="32">
        <v>45824</v>
      </c>
      <c r="C1276" t="s">
        <v>142</v>
      </c>
      <c r="D1276" s="13" t="s">
        <v>634</v>
      </c>
      <c r="E1276" t="s">
        <v>348</v>
      </c>
      <c r="F1276" s="11">
        <v>1</v>
      </c>
      <c r="G1276" s="11">
        <v>54621.85</v>
      </c>
    </row>
    <row r="1277" spans="2:7" x14ac:dyDescent="0.2">
      <c r="B1277" s="32">
        <v>45824</v>
      </c>
      <c r="C1277" t="s">
        <v>142</v>
      </c>
      <c r="D1277" s="13" t="s">
        <v>634</v>
      </c>
      <c r="E1277" t="s">
        <v>195</v>
      </c>
      <c r="F1277" s="11">
        <v>1</v>
      </c>
      <c r="G1277" s="11">
        <v>46218.49</v>
      </c>
    </row>
    <row r="1278" spans="2:7" x14ac:dyDescent="0.2">
      <c r="B1278" s="32">
        <v>45824</v>
      </c>
      <c r="C1278" t="s">
        <v>142</v>
      </c>
      <c r="D1278" s="13" t="s">
        <v>634</v>
      </c>
      <c r="E1278" t="s">
        <v>166</v>
      </c>
      <c r="F1278" s="11">
        <v>1</v>
      </c>
      <c r="G1278" s="11">
        <v>42016.81</v>
      </c>
    </row>
    <row r="1279" spans="2:7" x14ac:dyDescent="0.2">
      <c r="B1279" s="32">
        <v>45824</v>
      </c>
      <c r="C1279" t="s">
        <v>142</v>
      </c>
      <c r="D1279" s="13" t="s">
        <v>634</v>
      </c>
      <c r="E1279" t="s">
        <v>441</v>
      </c>
      <c r="F1279" s="11">
        <v>1</v>
      </c>
      <c r="G1279" s="11">
        <v>35000</v>
      </c>
    </row>
    <row r="1280" spans="2:7" x14ac:dyDescent="0.2">
      <c r="B1280" s="32">
        <v>45824</v>
      </c>
      <c r="C1280" t="s">
        <v>142</v>
      </c>
      <c r="D1280" s="13" t="s">
        <v>634</v>
      </c>
      <c r="F1280" s="11">
        <v>0</v>
      </c>
      <c r="G1280" s="11">
        <v>0</v>
      </c>
    </row>
    <row r="1281" spans="2:7" x14ac:dyDescent="0.2">
      <c r="B1281" s="32">
        <v>45824</v>
      </c>
      <c r="C1281" t="s">
        <v>142</v>
      </c>
      <c r="D1281" s="13" t="s">
        <v>633</v>
      </c>
      <c r="F1281" s="11">
        <v>1</v>
      </c>
      <c r="G1281" s="11">
        <v>226890.76</v>
      </c>
    </row>
    <row r="1282" spans="2:7" x14ac:dyDescent="0.2">
      <c r="B1282" s="32">
        <v>45824</v>
      </c>
      <c r="C1282" t="s">
        <v>142</v>
      </c>
      <c r="D1282" s="13" t="s">
        <v>633</v>
      </c>
      <c r="E1282" t="s">
        <v>1893</v>
      </c>
      <c r="F1282" s="11">
        <v>1</v>
      </c>
      <c r="G1282" s="11">
        <v>142857.14000000001</v>
      </c>
    </row>
    <row r="1283" spans="2:7" x14ac:dyDescent="0.2">
      <c r="B1283" s="32">
        <v>45824</v>
      </c>
      <c r="C1283" t="s">
        <v>142</v>
      </c>
      <c r="D1283" s="13" t="s">
        <v>633</v>
      </c>
      <c r="E1283" t="s">
        <v>534</v>
      </c>
      <c r="F1283" s="11">
        <v>1</v>
      </c>
      <c r="G1283" s="11">
        <v>71428.570000000007</v>
      </c>
    </row>
    <row r="1284" spans="2:7" x14ac:dyDescent="0.2">
      <c r="B1284" s="32">
        <v>45824</v>
      </c>
      <c r="C1284" t="s">
        <v>142</v>
      </c>
      <c r="D1284" s="13" t="s">
        <v>633</v>
      </c>
      <c r="E1284" t="s">
        <v>335</v>
      </c>
      <c r="F1284" s="11">
        <v>1</v>
      </c>
      <c r="G1284" s="11">
        <v>58823.53</v>
      </c>
    </row>
    <row r="1285" spans="2:7" x14ac:dyDescent="0.2">
      <c r="B1285" s="32">
        <v>45824</v>
      </c>
      <c r="C1285" t="s">
        <v>142</v>
      </c>
      <c r="D1285" s="13" t="s">
        <v>633</v>
      </c>
      <c r="E1285" t="s">
        <v>300</v>
      </c>
      <c r="F1285" s="11">
        <v>1</v>
      </c>
      <c r="G1285" s="11">
        <v>37815.129999999997</v>
      </c>
    </row>
    <row r="1286" spans="2:7" x14ac:dyDescent="0.2">
      <c r="B1286" s="32">
        <v>45825</v>
      </c>
      <c r="C1286" t="s">
        <v>142</v>
      </c>
      <c r="D1286" s="13"/>
      <c r="E1286" t="s">
        <v>831</v>
      </c>
      <c r="F1286" s="11">
        <v>1</v>
      </c>
      <c r="G1286" s="11">
        <v>0.84</v>
      </c>
    </row>
    <row r="1287" spans="2:7" x14ac:dyDescent="0.2">
      <c r="B1287" s="32">
        <v>45825</v>
      </c>
      <c r="C1287" t="s">
        <v>142</v>
      </c>
      <c r="D1287" s="13"/>
      <c r="F1287" s="11">
        <v>0</v>
      </c>
      <c r="G1287" s="11">
        <v>0</v>
      </c>
    </row>
    <row r="1288" spans="2:7" x14ac:dyDescent="0.2">
      <c r="B1288" s="32">
        <v>45825</v>
      </c>
      <c r="C1288" t="s">
        <v>142</v>
      </c>
      <c r="D1288" s="13" t="s">
        <v>634</v>
      </c>
      <c r="E1288" t="s">
        <v>1894</v>
      </c>
      <c r="F1288" s="11">
        <v>1</v>
      </c>
      <c r="G1288" s="11">
        <v>155462.18</v>
      </c>
    </row>
    <row r="1289" spans="2:7" x14ac:dyDescent="0.2">
      <c r="B1289" s="32">
        <v>45825</v>
      </c>
      <c r="C1289" t="s">
        <v>142</v>
      </c>
      <c r="D1289" s="13" t="s">
        <v>634</v>
      </c>
      <c r="E1289" t="s">
        <v>345</v>
      </c>
      <c r="F1289" s="11">
        <v>1</v>
      </c>
      <c r="G1289" s="11">
        <v>100840.34</v>
      </c>
    </row>
    <row r="1290" spans="2:7" x14ac:dyDescent="0.2">
      <c r="B1290" s="32">
        <v>45825</v>
      </c>
      <c r="C1290" t="s">
        <v>142</v>
      </c>
      <c r="D1290" s="13" t="s">
        <v>634</v>
      </c>
      <c r="E1290" t="s">
        <v>151</v>
      </c>
      <c r="F1290" s="11">
        <v>1</v>
      </c>
      <c r="G1290" s="11">
        <v>46218.49</v>
      </c>
    </row>
    <row r="1291" spans="2:7" x14ac:dyDescent="0.2">
      <c r="B1291" s="32">
        <v>45825</v>
      </c>
      <c r="C1291" t="s">
        <v>142</v>
      </c>
      <c r="D1291" s="13" t="s">
        <v>634</v>
      </c>
      <c r="E1291" t="s">
        <v>218</v>
      </c>
      <c r="F1291" s="11">
        <v>2</v>
      </c>
      <c r="G1291" s="11">
        <v>42016.800000000003</v>
      </c>
    </row>
    <row r="1292" spans="2:7" x14ac:dyDescent="0.2">
      <c r="B1292" s="32">
        <v>45825</v>
      </c>
      <c r="C1292" t="s">
        <v>142</v>
      </c>
      <c r="D1292" s="13" t="s">
        <v>634</v>
      </c>
      <c r="E1292" t="s">
        <v>466</v>
      </c>
      <c r="F1292" s="11">
        <v>1</v>
      </c>
      <c r="G1292" s="11">
        <v>21848.74</v>
      </c>
    </row>
    <row r="1293" spans="2:7" x14ac:dyDescent="0.2">
      <c r="B1293" s="32">
        <v>45825</v>
      </c>
      <c r="C1293" t="s">
        <v>142</v>
      </c>
      <c r="D1293" s="13" t="s">
        <v>634</v>
      </c>
      <c r="F1293" s="11">
        <v>0</v>
      </c>
      <c r="G1293" s="11">
        <v>0</v>
      </c>
    </row>
    <row r="1294" spans="2:7" x14ac:dyDescent="0.2">
      <c r="B1294" s="32">
        <v>45825</v>
      </c>
      <c r="C1294" t="s">
        <v>142</v>
      </c>
      <c r="D1294" s="13" t="s">
        <v>634</v>
      </c>
      <c r="E1294" t="s">
        <v>475</v>
      </c>
      <c r="F1294" s="11">
        <v>1</v>
      </c>
      <c r="G1294" s="11">
        <v>0</v>
      </c>
    </row>
    <row r="1295" spans="2:7" x14ac:dyDescent="0.2">
      <c r="B1295" s="32">
        <v>45825</v>
      </c>
      <c r="C1295" t="s">
        <v>142</v>
      </c>
      <c r="D1295" s="13" t="s">
        <v>633</v>
      </c>
      <c r="E1295" t="s">
        <v>780</v>
      </c>
      <c r="F1295" s="11">
        <v>1</v>
      </c>
      <c r="G1295" s="11">
        <v>285714.28999999998</v>
      </c>
    </row>
    <row r="1296" spans="2:7" x14ac:dyDescent="0.2">
      <c r="B1296" s="32">
        <v>45825</v>
      </c>
      <c r="C1296" t="s">
        <v>142</v>
      </c>
      <c r="D1296" s="13" t="s">
        <v>633</v>
      </c>
      <c r="E1296" t="s">
        <v>1895</v>
      </c>
      <c r="F1296" s="11">
        <v>1</v>
      </c>
      <c r="G1296" s="11">
        <v>100840.34</v>
      </c>
    </row>
    <row r="1297" spans="2:7" x14ac:dyDescent="0.2">
      <c r="B1297" s="32">
        <v>45825</v>
      </c>
      <c r="C1297" t="s">
        <v>142</v>
      </c>
      <c r="D1297" s="13" t="s">
        <v>633</v>
      </c>
      <c r="E1297" t="s">
        <v>1819</v>
      </c>
      <c r="F1297" s="11">
        <v>1</v>
      </c>
      <c r="G1297" s="11">
        <v>58823.53</v>
      </c>
    </row>
    <row r="1298" spans="2:7" x14ac:dyDescent="0.2">
      <c r="B1298" s="32">
        <v>45825</v>
      </c>
      <c r="C1298" t="s">
        <v>142</v>
      </c>
      <c r="D1298" s="13" t="s">
        <v>633</v>
      </c>
      <c r="E1298" t="s">
        <v>212</v>
      </c>
      <c r="F1298" s="11">
        <v>1</v>
      </c>
      <c r="G1298" s="11">
        <v>54621.85</v>
      </c>
    </row>
    <row r="1299" spans="2:7" x14ac:dyDescent="0.2">
      <c r="B1299" s="32">
        <v>45825</v>
      </c>
      <c r="C1299" t="s">
        <v>142</v>
      </c>
      <c r="D1299" s="13" t="s">
        <v>633</v>
      </c>
      <c r="F1299" s="11">
        <v>1</v>
      </c>
      <c r="G1299" s="11">
        <v>42016.800000000003</v>
      </c>
    </row>
    <row r="1300" spans="2:7" x14ac:dyDescent="0.2">
      <c r="B1300" s="32">
        <v>45825</v>
      </c>
      <c r="C1300" t="s">
        <v>142</v>
      </c>
      <c r="D1300" s="13" t="s">
        <v>633</v>
      </c>
      <c r="E1300" t="s">
        <v>234</v>
      </c>
      <c r="F1300" s="11">
        <v>5</v>
      </c>
      <c r="G1300" s="11">
        <v>0</v>
      </c>
    </row>
    <row r="1301" spans="2:7" x14ac:dyDescent="0.2">
      <c r="B1301" s="32">
        <v>45825</v>
      </c>
      <c r="C1301" t="s">
        <v>142</v>
      </c>
      <c r="D1301" s="13" t="s">
        <v>633</v>
      </c>
      <c r="E1301" t="s">
        <v>475</v>
      </c>
      <c r="F1301" s="11">
        <v>1</v>
      </c>
      <c r="G1301" s="11">
        <v>0</v>
      </c>
    </row>
    <row r="1302" spans="2:7" x14ac:dyDescent="0.2">
      <c r="B1302" s="32">
        <v>45826</v>
      </c>
      <c r="C1302" t="s">
        <v>142</v>
      </c>
      <c r="D1302" s="13"/>
      <c r="E1302" t="s">
        <v>1890</v>
      </c>
      <c r="F1302" s="11">
        <v>1</v>
      </c>
      <c r="G1302" s="11">
        <v>75630.25</v>
      </c>
    </row>
    <row r="1303" spans="2:7" x14ac:dyDescent="0.2">
      <c r="B1303" s="32">
        <v>45826</v>
      </c>
      <c r="C1303" t="s">
        <v>142</v>
      </c>
      <c r="D1303" s="13"/>
      <c r="E1303" t="s">
        <v>427</v>
      </c>
      <c r="F1303" s="11">
        <v>1</v>
      </c>
      <c r="G1303" s="11">
        <v>54621.85</v>
      </c>
    </row>
    <row r="1304" spans="2:7" x14ac:dyDescent="0.2">
      <c r="B1304" s="32">
        <v>45826</v>
      </c>
      <c r="C1304" t="s">
        <v>142</v>
      </c>
      <c r="D1304" s="13"/>
      <c r="E1304" t="s">
        <v>160</v>
      </c>
      <c r="F1304" s="11">
        <v>1</v>
      </c>
      <c r="G1304" s="11">
        <v>46218.49</v>
      </c>
    </row>
    <row r="1305" spans="2:7" x14ac:dyDescent="0.2">
      <c r="B1305" s="32">
        <v>45826</v>
      </c>
      <c r="C1305" t="s">
        <v>142</v>
      </c>
      <c r="D1305" s="13" t="s">
        <v>634</v>
      </c>
      <c r="E1305" t="s">
        <v>517</v>
      </c>
      <c r="F1305" s="11">
        <v>1</v>
      </c>
      <c r="G1305" s="11">
        <v>126050.42</v>
      </c>
    </row>
    <row r="1306" spans="2:7" x14ac:dyDescent="0.2">
      <c r="B1306" s="32">
        <v>45826</v>
      </c>
      <c r="C1306" t="s">
        <v>142</v>
      </c>
      <c r="D1306" s="13" t="s">
        <v>634</v>
      </c>
      <c r="E1306" t="s">
        <v>286</v>
      </c>
      <c r="F1306" s="11">
        <v>1</v>
      </c>
      <c r="G1306" s="11">
        <v>58823.53</v>
      </c>
    </row>
    <row r="1307" spans="2:7" x14ac:dyDescent="0.2">
      <c r="B1307" s="32">
        <v>45826</v>
      </c>
      <c r="C1307" t="s">
        <v>142</v>
      </c>
      <c r="D1307" s="13" t="s">
        <v>634</v>
      </c>
      <c r="E1307" t="s">
        <v>205</v>
      </c>
      <c r="F1307" s="11">
        <v>1</v>
      </c>
      <c r="G1307" s="11">
        <v>58823.53</v>
      </c>
    </row>
    <row r="1308" spans="2:7" x14ac:dyDescent="0.2">
      <c r="B1308" s="32">
        <v>45826</v>
      </c>
      <c r="C1308" t="s">
        <v>142</v>
      </c>
      <c r="D1308" s="13" t="s">
        <v>634</v>
      </c>
      <c r="E1308" t="s">
        <v>337</v>
      </c>
      <c r="F1308" s="11">
        <v>1</v>
      </c>
      <c r="G1308" s="11">
        <v>46218.49</v>
      </c>
    </row>
    <row r="1309" spans="2:7" x14ac:dyDescent="0.2">
      <c r="B1309" s="32">
        <v>45826</v>
      </c>
      <c r="C1309" t="s">
        <v>142</v>
      </c>
      <c r="D1309" s="13" t="s">
        <v>634</v>
      </c>
      <c r="E1309" t="s">
        <v>1896</v>
      </c>
      <c r="F1309" s="11">
        <v>1</v>
      </c>
      <c r="G1309" s="11">
        <v>46218.49</v>
      </c>
    </row>
    <row r="1310" spans="2:7" x14ac:dyDescent="0.2">
      <c r="B1310" s="32">
        <v>45826</v>
      </c>
      <c r="C1310" t="s">
        <v>142</v>
      </c>
      <c r="D1310" s="13" t="s">
        <v>634</v>
      </c>
      <c r="E1310" t="s">
        <v>151</v>
      </c>
      <c r="F1310" s="11">
        <v>1</v>
      </c>
      <c r="G1310" s="11">
        <v>46218.48</v>
      </c>
    </row>
    <row r="1311" spans="2:7" x14ac:dyDescent="0.2">
      <c r="B1311" s="32">
        <v>45826</v>
      </c>
      <c r="C1311" t="s">
        <v>142</v>
      </c>
      <c r="D1311" s="13" t="s">
        <v>634</v>
      </c>
      <c r="E1311" t="s">
        <v>309</v>
      </c>
      <c r="F1311" s="11">
        <v>1</v>
      </c>
      <c r="G1311" s="11">
        <v>42016.81</v>
      </c>
    </row>
    <row r="1312" spans="2:7" x14ac:dyDescent="0.2">
      <c r="B1312" s="32">
        <v>45826</v>
      </c>
      <c r="C1312" t="s">
        <v>142</v>
      </c>
      <c r="D1312" s="13" t="s">
        <v>634</v>
      </c>
      <c r="E1312" t="s">
        <v>150</v>
      </c>
      <c r="F1312" s="11">
        <v>1</v>
      </c>
      <c r="G1312" s="11">
        <v>42016.81</v>
      </c>
    </row>
    <row r="1313" spans="2:7" x14ac:dyDescent="0.2">
      <c r="B1313" s="32">
        <v>45826</v>
      </c>
      <c r="C1313" t="s">
        <v>142</v>
      </c>
      <c r="D1313" s="13" t="s">
        <v>634</v>
      </c>
      <c r="E1313" t="s">
        <v>382</v>
      </c>
      <c r="F1313" s="11">
        <v>1</v>
      </c>
      <c r="G1313" s="11">
        <v>37815.129999999997</v>
      </c>
    </row>
    <row r="1314" spans="2:7" x14ac:dyDescent="0.2">
      <c r="B1314" s="32">
        <v>45826</v>
      </c>
      <c r="C1314" t="s">
        <v>142</v>
      </c>
      <c r="D1314" s="13" t="s">
        <v>634</v>
      </c>
      <c r="F1314" s="11">
        <v>1</v>
      </c>
      <c r="G1314" s="11">
        <v>21008.400000000001</v>
      </c>
    </row>
    <row r="1315" spans="2:7" x14ac:dyDescent="0.2">
      <c r="B1315" s="32">
        <v>45826</v>
      </c>
      <c r="C1315" t="s">
        <v>142</v>
      </c>
      <c r="D1315" s="13" t="s">
        <v>634</v>
      </c>
      <c r="E1315" t="s">
        <v>1796</v>
      </c>
      <c r="F1315" s="11">
        <v>1</v>
      </c>
      <c r="G1315" s="11">
        <v>21008.400000000001</v>
      </c>
    </row>
    <row r="1316" spans="2:7" x14ac:dyDescent="0.2">
      <c r="B1316" s="32">
        <v>45826</v>
      </c>
      <c r="C1316" t="s">
        <v>142</v>
      </c>
      <c r="D1316" s="13" t="s">
        <v>633</v>
      </c>
      <c r="E1316" t="s">
        <v>813</v>
      </c>
      <c r="F1316" s="11">
        <v>1</v>
      </c>
      <c r="G1316" s="11">
        <v>100840.33</v>
      </c>
    </row>
    <row r="1317" spans="2:7" x14ac:dyDescent="0.2">
      <c r="B1317" s="32">
        <v>45826</v>
      </c>
      <c r="C1317" t="s">
        <v>142</v>
      </c>
      <c r="D1317" s="13" t="s">
        <v>633</v>
      </c>
      <c r="E1317" t="s">
        <v>1881</v>
      </c>
      <c r="F1317" s="11">
        <v>1</v>
      </c>
      <c r="G1317" s="11">
        <v>96638.66</v>
      </c>
    </row>
    <row r="1318" spans="2:7" x14ac:dyDescent="0.2">
      <c r="B1318" s="32">
        <v>45826</v>
      </c>
      <c r="C1318" t="s">
        <v>142</v>
      </c>
      <c r="D1318" s="13" t="s">
        <v>633</v>
      </c>
      <c r="E1318" t="s">
        <v>476</v>
      </c>
      <c r="F1318" s="11">
        <v>1</v>
      </c>
      <c r="G1318" s="11">
        <v>96638.66</v>
      </c>
    </row>
    <row r="1319" spans="2:7" x14ac:dyDescent="0.2">
      <c r="B1319" s="32">
        <v>45826</v>
      </c>
      <c r="C1319" t="s">
        <v>142</v>
      </c>
      <c r="D1319" s="13" t="s">
        <v>633</v>
      </c>
      <c r="E1319" t="s">
        <v>169</v>
      </c>
      <c r="F1319" s="11">
        <v>1</v>
      </c>
      <c r="G1319" s="11">
        <v>96638.65</v>
      </c>
    </row>
    <row r="1320" spans="2:7" x14ac:dyDescent="0.2">
      <c r="B1320" s="32">
        <v>45826</v>
      </c>
      <c r="C1320" t="s">
        <v>142</v>
      </c>
      <c r="D1320" s="13" t="s">
        <v>633</v>
      </c>
      <c r="E1320" t="s">
        <v>604</v>
      </c>
      <c r="F1320" s="11">
        <v>2</v>
      </c>
      <c r="G1320" s="11">
        <v>92436.97</v>
      </c>
    </row>
    <row r="1321" spans="2:7" x14ac:dyDescent="0.2">
      <c r="B1321" s="32">
        <v>45826</v>
      </c>
      <c r="C1321" t="s">
        <v>142</v>
      </c>
      <c r="D1321" s="13" t="s">
        <v>633</v>
      </c>
      <c r="E1321" t="s">
        <v>1869</v>
      </c>
      <c r="F1321" s="11">
        <v>1</v>
      </c>
      <c r="G1321" s="11">
        <v>58823.53</v>
      </c>
    </row>
    <row r="1322" spans="2:7" x14ac:dyDescent="0.2">
      <c r="B1322" s="32">
        <v>45826</v>
      </c>
      <c r="C1322" t="s">
        <v>142</v>
      </c>
      <c r="D1322" s="13" t="s">
        <v>633</v>
      </c>
      <c r="E1322" t="s">
        <v>406</v>
      </c>
      <c r="F1322" s="11">
        <v>1</v>
      </c>
      <c r="G1322" s="11">
        <v>58823.53</v>
      </c>
    </row>
    <row r="1323" spans="2:7" x14ac:dyDescent="0.2">
      <c r="B1323" s="32">
        <v>45826</v>
      </c>
      <c r="C1323" t="s">
        <v>142</v>
      </c>
      <c r="D1323" s="13" t="s">
        <v>633</v>
      </c>
      <c r="E1323" t="s">
        <v>162</v>
      </c>
      <c r="F1323" s="11">
        <v>1</v>
      </c>
      <c r="G1323" s="11">
        <v>58823.53</v>
      </c>
    </row>
    <row r="1324" spans="2:7" x14ac:dyDescent="0.2">
      <c r="B1324" s="32">
        <v>45826</v>
      </c>
      <c r="C1324" t="s">
        <v>142</v>
      </c>
      <c r="D1324" s="13" t="s">
        <v>633</v>
      </c>
      <c r="E1324" t="s">
        <v>259</v>
      </c>
      <c r="F1324" s="11">
        <v>1</v>
      </c>
      <c r="G1324" s="11">
        <v>58823.53</v>
      </c>
    </row>
    <row r="1325" spans="2:7" x14ac:dyDescent="0.2">
      <c r="B1325" s="32">
        <v>45826</v>
      </c>
      <c r="C1325" t="s">
        <v>142</v>
      </c>
      <c r="D1325" s="13" t="s">
        <v>633</v>
      </c>
      <c r="E1325" t="s">
        <v>287</v>
      </c>
      <c r="F1325" s="11">
        <v>1</v>
      </c>
      <c r="G1325" s="11">
        <v>58823.53</v>
      </c>
    </row>
    <row r="1326" spans="2:7" x14ac:dyDescent="0.2">
      <c r="B1326" s="32">
        <v>45826</v>
      </c>
      <c r="C1326" t="s">
        <v>142</v>
      </c>
      <c r="D1326" s="13" t="s">
        <v>633</v>
      </c>
      <c r="E1326" t="s">
        <v>387</v>
      </c>
      <c r="F1326" s="11">
        <v>1</v>
      </c>
      <c r="G1326" s="11">
        <v>54621.85</v>
      </c>
    </row>
    <row r="1327" spans="2:7" x14ac:dyDescent="0.2">
      <c r="B1327" s="32">
        <v>45826</v>
      </c>
      <c r="C1327" t="s">
        <v>142</v>
      </c>
      <c r="D1327" s="13" t="s">
        <v>633</v>
      </c>
      <c r="E1327" t="s">
        <v>146</v>
      </c>
      <c r="F1327" s="11">
        <v>1</v>
      </c>
      <c r="G1327" s="11">
        <v>46218.49</v>
      </c>
    </row>
    <row r="1328" spans="2:7" x14ac:dyDescent="0.2">
      <c r="B1328" s="32">
        <v>45826</v>
      </c>
      <c r="C1328" t="s">
        <v>142</v>
      </c>
      <c r="D1328" s="13" t="s">
        <v>633</v>
      </c>
      <c r="E1328" t="s">
        <v>549</v>
      </c>
      <c r="F1328" s="11">
        <v>1</v>
      </c>
      <c r="G1328" s="11">
        <v>46218.49</v>
      </c>
    </row>
    <row r="1329" spans="2:7" x14ac:dyDescent="0.2">
      <c r="B1329" s="32">
        <v>45826</v>
      </c>
      <c r="C1329" t="s">
        <v>142</v>
      </c>
      <c r="D1329" s="13" t="s">
        <v>633</v>
      </c>
      <c r="E1329" t="s">
        <v>153</v>
      </c>
      <c r="F1329" s="11">
        <v>1</v>
      </c>
      <c r="G1329" s="11">
        <v>42016.81</v>
      </c>
    </row>
    <row r="1330" spans="2:7" x14ac:dyDescent="0.2">
      <c r="B1330" s="32">
        <v>45826</v>
      </c>
      <c r="C1330" t="s">
        <v>142</v>
      </c>
      <c r="D1330" s="13" t="s">
        <v>633</v>
      </c>
      <c r="E1330" t="s">
        <v>173</v>
      </c>
      <c r="F1330" s="11">
        <v>1</v>
      </c>
      <c r="G1330" s="11">
        <v>37815.129999999997</v>
      </c>
    </row>
    <row r="1331" spans="2:7" x14ac:dyDescent="0.2">
      <c r="B1331" s="32">
        <v>45826</v>
      </c>
      <c r="C1331" t="s">
        <v>142</v>
      </c>
      <c r="D1331" s="13" t="s">
        <v>633</v>
      </c>
      <c r="F1331" s="11">
        <v>0</v>
      </c>
      <c r="G1331" s="11">
        <v>0</v>
      </c>
    </row>
    <row r="1332" spans="2:7" x14ac:dyDescent="0.2">
      <c r="B1332" s="32">
        <v>45827</v>
      </c>
      <c r="C1332" t="s">
        <v>142</v>
      </c>
      <c r="D1332" s="13"/>
      <c r="E1332" t="s">
        <v>164</v>
      </c>
      <c r="F1332" s="11">
        <v>1</v>
      </c>
      <c r="G1332" s="11">
        <v>71428.570000000007</v>
      </c>
    </row>
    <row r="1333" spans="2:7" x14ac:dyDescent="0.2">
      <c r="B1333" s="32">
        <v>45827</v>
      </c>
      <c r="C1333" t="s">
        <v>142</v>
      </c>
      <c r="D1333" s="13"/>
      <c r="E1333" t="s">
        <v>1829</v>
      </c>
      <c r="F1333" s="11">
        <v>1</v>
      </c>
      <c r="G1333" s="11">
        <v>54621.85</v>
      </c>
    </row>
    <row r="1334" spans="2:7" x14ac:dyDescent="0.2">
      <c r="B1334" s="32">
        <v>45827</v>
      </c>
      <c r="C1334" t="s">
        <v>142</v>
      </c>
      <c r="D1334" s="13"/>
      <c r="E1334" t="s">
        <v>166</v>
      </c>
      <c r="F1334" s="11">
        <v>1</v>
      </c>
      <c r="G1334" s="11">
        <v>42016.81</v>
      </c>
    </row>
    <row r="1335" spans="2:7" x14ac:dyDescent="0.2">
      <c r="B1335" s="32">
        <v>45827</v>
      </c>
      <c r="C1335" t="s">
        <v>142</v>
      </c>
      <c r="D1335" s="13"/>
      <c r="E1335" t="s">
        <v>330</v>
      </c>
      <c r="F1335" s="11">
        <v>1</v>
      </c>
      <c r="G1335" s="11">
        <v>37815.129999999997</v>
      </c>
    </row>
    <row r="1336" spans="2:7" x14ac:dyDescent="0.2">
      <c r="B1336" s="32">
        <v>45827</v>
      </c>
      <c r="C1336" t="s">
        <v>142</v>
      </c>
      <c r="D1336" s="13"/>
      <c r="E1336" t="s">
        <v>1774</v>
      </c>
      <c r="F1336" s="11">
        <v>1</v>
      </c>
      <c r="G1336" s="11">
        <v>13445.38</v>
      </c>
    </row>
    <row r="1337" spans="2:7" x14ac:dyDescent="0.2">
      <c r="B1337" s="32">
        <v>45827</v>
      </c>
      <c r="C1337" t="s">
        <v>142</v>
      </c>
      <c r="D1337" s="13" t="s">
        <v>634</v>
      </c>
      <c r="E1337" t="s">
        <v>169</v>
      </c>
      <c r="F1337" s="11">
        <v>10</v>
      </c>
      <c r="G1337" s="11">
        <v>869747.9</v>
      </c>
    </row>
    <row r="1338" spans="2:7" x14ac:dyDescent="0.2">
      <c r="B1338" s="32">
        <v>45827</v>
      </c>
      <c r="C1338" t="s">
        <v>142</v>
      </c>
      <c r="D1338" s="13" t="s">
        <v>634</v>
      </c>
      <c r="E1338" t="s">
        <v>1897</v>
      </c>
      <c r="F1338" s="11">
        <v>7</v>
      </c>
      <c r="G1338" s="11">
        <v>252100.84</v>
      </c>
    </row>
    <row r="1339" spans="2:7" x14ac:dyDescent="0.2">
      <c r="B1339" s="32">
        <v>45827</v>
      </c>
      <c r="C1339" t="s">
        <v>142</v>
      </c>
      <c r="D1339" s="13" t="s">
        <v>634</v>
      </c>
      <c r="E1339" t="s">
        <v>1776</v>
      </c>
      <c r="F1339" s="11">
        <v>1</v>
      </c>
      <c r="G1339" s="11">
        <v>176470.59</v>
      </c>
    </row>
    <row r="1340" spans="2:7" x14ac:dyDescent="0.2">
      <c r="B1340" s="32">
        <v>45827</v>
      </c>
      <c r="C1340" t="s">
        <v>142</v>
      </c>
      <c r="D1340" s="13" t="s">
        <v>634</v>
      </c>
      <c r="E1340" t="s">
        <v>684</v>
      </c>
      <c r="F1340" s="11">
        <v>1</v>
      </c>
      <c r="G1340" s="11">
        <v>130252.1</v>
      </c>
    </row>
    <row r="1341" spans="2:7" x14ac:dyDescent="0.2">
      <c r="B1341" s="32">
        <v>45827</v>
      </c>
      <c r="C1341" t="s">
        <v>142</v>
      </c>
      <c r="D1341" s="13" t="s">
        <v>634</v>
      </c>
      <c r="F1341" s="11">
        <v>10</v>
      </c>
      <c r="G1341" s="11">
        <v>105042.01</v>
      </c>
    </row>
    <row r="1342" spans="2:7" x14ac:dyDescent="0.2">
      <c r="B1342" s="32">
        <v>45827</v>
      </c>
      <c r="C1342" t="s">
        <v>142</v>
      </c>
      <c r="D1342" s="13" t="s">
        <v>634</v>
      </c>
      <c r="E1342" t="s">
        <v>167</v>
      </c>
      <c r="F1342" s="11">
        <v>1</v>
      </c>
      <c r="G1342" s="11">
        <v>96638.66</v>
      </c>
    </row>
    <row r="1343" spans="2:7" x14ac:dyDescent="0.2">
      <c r="B1343" s="32">
        <v>45827</v>
      </c>
      <c r="C1343" t="s">
        <v>142</v>
      </c>
      <c r="D1343" s="13" t="s">
        <v>634</v>
      </c>
      <c r="E1343" t="s">
        <v>515</v>
      </c>
      <c r="F1343" s="11">
        <v>1</v>
      </c>
      <c r="G1343" s="11">
        <v>84033.61</v>
      </c>
    </row>
    <row r="1344" spans="2:7" x14ac:dyDescent="0.2">
      <c r="B1344" s="32">
        <v>45827</v>
      </c>
      <c r="C1344" t="s">
        <v>142</v>
      </c>
      <c r="D1344" s="13" t="s">
        <v>634</v>
      </c>
      <c r="E1344" t="s">
        <v>174</v>
      </c>
      <c r="F1344" s="11">
        <v>1</v>
      </c>
      <c r="G1344" s="11">
        <v>75630.25</v>
      </c>
    </row>
    <row r="1345" spans="2:7" x14ac:dyDescent="0.2">
      <c r="B1345" s="32">
        <v>45827</v>
      </c>
      <c r="C1345" t="s">
        <v>142</v>
      </c>
      <c r="D1345" s="13" t="s">
        <v>634</v>
      </c>
      <c r="E1345" t="s">
        <v>152</v>
      </c>
      <c r="F1345" s="11">
        <v>1</v>
      </c>
      <c r="G1345" s="11">
        <v>75630.25</v>
      </c>
    </row>
    <row r="1346" spans="2:7" x14ac:dyDescent="0.2">
      <c r="B1346" s="32">
        <v>45827</v>
      </c>
      <c r="C1346" t="s">
        <v>142</v>
      </c>
      <c r="D1346" s="13" t="s">
        <v>634</v>
      </c>
      <c r="E1346" t="s">
        <v>328</v>
      </c>
      <c r="F1346" s="11">
        <v>2</v>
      </c>
      <c r="G1346" s="11">
        <v>75630.25</v>
      </c>
    </row>
    <row r="1347" spans="2:7" x14ac:dyDescent="0.2">
      <c r="B1347" s="32">
        <v>45827</v>
      </c>
      <c r="C1347" t="s">
        <v>142</v>
      </c>
      <c r="D1347" s="13" t="s">
        <v>634</v>
      </c>
      <c r="E1347" t="s">
        <v>149</v>
      </c>
      <c r="F1347" s="11">
        <v>1</v>
      </c>
      <c r="G1347" s="11">
        <v>71428.570000000007</v>
      </c>
    </row>
    <row r="1348" spans="2:7" x14ac:dyDescent="0.2">
      <c r="B1348" s="32">
        <v>45827</v>
      </c>
      <c r="C1348" t="s">
        <v>142</v>
      </c>
      <c r="D1348" s="13" t="s">
        <v>634</v>
      </c>
      <c r="E1348" t="s">
        <v>1898</v>
      </c>
      <c r="F1348" s="11">
        <v>1</v>
      </c>
      <c r="G1348" s="11">
        <v>63025.21</v>
      </c>
    </row>
    <row r="1349" spans="2:7" x14ac:dyDescent="0.2">
      <c r="B1349" s="32">
        <v>45827</v>
      </c>
      <c r="C1349" t="s">
        <v>142</v>
      </c>
      <c r="D1349" s="13" t="s">
        <v>634</v>
      </c>
      <c r="E1349" t="s">
        <v>661</v>
      </c>
      <c r="F1349" s="11">
        <v>1</v>
      </c>
      <c r="G1349" s="11">
        <v>58823.53</v>
      </c>
    </row>
    <row r="1350" spans="2:7" x14ac:dyDescent="0.2">
      <c r="B1350" s="32">
        <v>45827</v>
      </c>
      <c r="C1350" t="s">
        <v>142</v>
      </c>
      <c r="D1350" s="13" t="s">
        <v>634</v>
      </c>
      <c r="E1350" t="s">
        <v>236</v>
      </c>
      <c r="F1350" s="11">
        <v>1</v>
      </c>
      <c r="G1350" s="11">
        <v>58823.53</v>
      </c>
    </row>
    <row r="1351" spans="2:7" x14ac:dyDescent="0.2">
      <c r="B1351" s="32">
        <v>45827</v>
      </c>
      <c r="C1351" t="s">
        <v>142</v>
      </c>
      <c r="D1351" s="13" t="s">
        <v>634</v>
      </c>
      <c r="E1351" t="s">
        <v>318</v>
      </c>
      <c r="F1351" s="11">
        <v>1</v>
      </c>
      <c r="G1351" s="11">
        <v>58823.53</v>
      </c>
    </row>
    <row r="1352" spans="2:7" x14ac:dyDescent="0.2">
      <c r="B1352" s="32">
        <v>45827</v>
      </c>
      <c r="C1352" t="s">
        <v>142</v>
      </c>
      <c r="D1352" s="13" t="s">
        <v>634</v>
      </c>
      <c r="E1352" t="s">
        <v>439</v>
      </c>
      <c r="F1352" s="11">
        <v>1</v>
      </c>
      <c r="G1352" s="11">
        <v>58823.53</v>
      </c>
    </row>
    <row r="1353" spans="2:7" x14ac:dyDescent="0.2">
      <c r="B1353" s="32">
        <v>45827</v>
      </c>
      <c r="C1353" t="s">
        <v>142</v>
      </c>
      <c r="D1353" s="13" t="s">
        <v>634</v>
      </c>
      <c r="E1353" t="s">
        <v>233</v>
      </c>
      <c r="F1353" s="11">
        <v>1</v>
      </c>
      <c r="G1353" s="11">
        <v>58823.53</v>
      </c>
    </row>
    <row r="1354" spans="2:7" x14ac:dyDescent="0.2">
      <c r="B1354" s="32">
        <v>45827</v>
      </c>
      <c r="C1354" t="s">
        <v>142</v>
      </c>
      <c r="D1354" s="13" t="s">
        <v>634</v>
      </c>
      <c r="E1354" t="s">
        <v>212</v>
      </c>
      <c r="F1354" s="11">
        <v>1</v>
      </c>
      <c r="G1354" s="11">
        <v>54621.85</v>
      </c>
    </row>
    <row r="1355" spans="2:7" x14ac:dyDescent="0.2">
      <c r="B1355" s="32">
        <v>45827</v>
      </c>
      <c r="C1355" t="s">
        <v>142</v>
      </c>
      <c r="D1355" s="13" t="s">
        <v>634</v>
      </c>
      <c r="E1355" t="s">
        <v>239</v>
      </c>
      <c r="F1355" s="11">
        <v>1</v>
      </c>
      <c r="G1355" s="11">
        <v>46218.49</v>
      </c>
    </row>
    <row r="1356" spans="2:7" x14ac:dyDescent="0.2">
      <c r="B1356" s="32">
        <v>45827</v>
      </c>
      <c r="C1356" t="s">
        <v>142</v>
      </c>
      <c r="D1356" s="13" t="s">
        <v>634</v>
      </c>
      <c r="E1356" t="s">
        <v>160</v>
      </c>
      <c r="F1356" s="11">
        <v>1</v>
      </c>
      <c r="G1356" s="11">
        <v>46218.49</v>
      </c>
    </row>
    <row r="1357" spans="2:7" x14ac:dyDescent="0.2">
      <c r="B1357" s="32">
        <v>45827</v>
      </c>
      <c r="C1357" t="s">
        <v>142</v>
      </c>
      <c r="D1357" s="13" t="s">
        <v>634</v>
      </c>
      <c r="E1357" t="s">
        <v>146</v>
      </c>
      <c r="F1357" s="11">
        <v>1</v>
      </c>
      <c r="G1357" s="11">
        <v>46218.49</v>
      </c>
    </row>
    <row r="1358" spans="2:7" x14ac:dyDescent="0.2">
      <c r="B1358" s="32">
        <v>45827</v>
      </c>
      <c r="C1358" t="s">
        <v>142</v>
      </c>
      <c r="D1358" s="13" t="s">
        <v>634</v>
      </c>
      <c r="E1358" t="s">
        <v>215</v>
      </c>
      <c r="F1358" s="11">
        <v>1</v>
      </c>
      <c r="G1358" s="11">
        <v>46218.49</v>
      </c>
    </row>
    <row r="1359" spans="2:7" x14ac:dyDescent="0.2">
      <c r="B1359" s="32">
        <v>45827</v>
      </c>
      <c r="C1359" t="s">
        <v>142</v>
      </c>
      <c r="D1359" s="13" t="s">
        <v>634</v>
      </c>
      <c r="E1359" t="s">
        <v>1896</v>
      </c>
      <c r="F1359" s="11">
        <v>1</v>
      </c>
      <c r="G1359" s="11">
        <v>46218.48</v>
      </c>
    </row>
    <row r="1360" spans="2:7" x14ac:dyDescent="0.2">
      <c r="B1360" s="32">
        <v>45827</v>
      </c>
      <c r="C1360" t="s">
        <v>142</v>
      </c>
      <c r="D1360" s="13" t="s">
        <v>634</v>
      </c>
      <c r="E1360" t="s">
        <v>166</v>
      </c>
      <c r="F1360" s="11">
        <v>1</v>
      </c>
      <c r="G1360" s="11">
        <v>42016.81</v>
      </c>
    </row>
    <row r="1361" spans="2:7" x14ac:dyDescent="0.2">
      <c r="B1361" s="32">
        <v>45827</v>
      </c>
      <c r="C1361" t="s">
        <v>142</v>
      </c>
      <c r="D1361" s="13" t="s">
        <v>634</v>
      </c>
      <c r="E1361" t="s">
        <v>1834</v>
      </c>
      <c r="F1361" s="11">
        <v>1</v>
      </c>
      <c r="G1361" s="11">
        <v>42016.81</v>
      </c>
    </row>
    <row r="1362" spans="2:7" x14ac:dyDescent="0.2">
      <c r="B1362" s="32">
        <v>45827</v>
      </c>
      <c r="C1362" t="s">
        <v>142</v>
      </c>
      <c r="D1362" s="13" t="s">
        <v>634</v>
      </c>
      <c r="E1362" t="s">
        <v>1818</v>
      </c>
      <c r="F1362" s="11">
        <v>1</v>
      </c>
      <c r="G1362" s="11">
        <v>37815.129999999997</v>
      </c>
    </row>
    <row r="1363" spans="2:7" x14ac:dyDescent="0.2">
      <c r="B1363" s="32">
        <v>45827</v>
      </c>
      <c r="C1363" t="s">
        <v>142</v>
      </c>
      <c r="D1363" s="13" t="s">
        <v>634</v>
      </c>
      <c r="E1363" t="s">
        <v>148</v>
      </c>
      <c r="F1363" s="11">
        <v>1</v>
      </c>
      <c r="G1363" s="11">
        <v>37815.129999999997</v>
      </c>
    </row>
    <row r="1364" spans="2:7" x14ac:dyDescent="0.2">
      <c r="B1364" s="32">
        <v>45827</v>
      </c>
      <c r="C1364" t="s">
        <v>142</v>
      </c>
      <c r="D1364" s="13" t="s">
        <v>634</v>
      </c>
      <c r="E1364" t="s">
        <v>1768</v>
      </c>
      <c r="F1364" s="11">
        <v>1</v>
      </c>
      <c r="G1364" s="11">
        <v>37815.129999999997</v>
      </c>
    </row>
    <row r="1365" spans="2:7" x14ac:dyDescent="0.2">
      <c r="B1365" s="32">
        <v>45827</v>
      </c>
      <c r="C1365" t="s">
        <v>142</v>
      </c>
      <c r="D1365" s="13" t="s">
        <v>634</v>
      </c>
      <c r="E1365" t="s">
        <v>293</v>
      </c>
      <c r="F1365" s="11">
        <v>1</v>
      </c>
      <c r="G1365" s="11">
        <v>37815.120000000003</v>
      </c>
    </row>
    <row r="1366" spans="2:7" x14ac:dyDescent="0.2">
      <c r="B1366" s="32">
        <v>45827</v>
      </c>
      <c r="C1366" t="s">
        <v>142</v>
      </c>
      <c r="D1366" s="13" t="s">
        <v>634</v>
      </c>
      <c r="E1366" t="s">
        <v>218</v>
      </c>
      <c r="F1366" s="11">
        <v>1</v>
      </c>
      <c r="G1366" s="11">
        <v>21008.400000000001</v>
      </c>
    </row>
    <row r="1367" spans="2:7" x14ac:dyDescent="0.2">
      <c r="B1367" s="32">
        <v>45827</v>
      </c>
      <c r="C1367" t="s">
        <v>142</v>
      </c>
      <c r="D1367" s="13" t="s">
        <v>633</v>
      </c>
      <c r="E1367" t="s">
        <v>1899</v>
      </c>
      <c r="F1367" s="11">
        <v>1</v>
      </c>
      <c r="G1367" s="11">
        <v>100840.34</v>
      </c>
    </row>
    <row r="1368" spans="2:7" x14ac:dyDescent="0.2">
      <c r="B1368" s="32">
        <v>45827</v>
      </c>
      <c r="C1368" t="s">
        <v>142</v>
      </c>
      <c r="D1368" s="13" t="s">
        <v>633</v>
      </c>
      <c r="E1368" t="s">
        <v>189</v>
      </c>
      <c r="F1368" s="11">
        <v>1</v>
      </c>
      <c r="G1368" s="11">
        <v>71428.570000000007</v>
      </c>
    </row>
    <row r="1369" spans="2:7" x14ac:dyDescent="0.2">
      <c r="B1369" s="32">
        <v>45827</v>
      </c>
      <c r="C1369" t="s">
        <v>142</v>
      </c>
      <c r="D1369" s="13" t="s">
        <v>633</v>
      </c>
      <c r="F1369" s="11">
        <v>2</v>
      </c>
      <c r="G1369" s="11">
        <v>63025.21</v>
      </c>
    </row>
    <row r="1370" spans="2:7" x14ac:dyDescent="0.2">
      <c r="B1370" s="32">
        <v>45827</v>
      </c>
      <c r="C1370" t="s">
        <v>142</v>
      </c>
      <c r="D1370" s="13" t="s">
        <v>633</v>
      </c>
      <c r="E1370" t="s">
        <v>454</v>
      </c>
      <c r="F1370" s="11">
        <v>1</v>
      </c>
      <c r="G1370" s="11">
        <v>58823.53</v>
      </c>
    </row>
    <row r="1371" spans="2:7" x14ac:dyDescent="0.2">
      <c r="B1371" s="32">
        <v>45827</v>
      </c>
      <c r="C1371" t="s">
        <v>142</v>
      </c>
      <c r="D1371" s="13" t="s">
        <v>633</v>
      </c>
      <c r="E1371" t="s">
        <v>337</v>
      </c>
      <c r="F1371" s="11">
        <v>1</v>
      </c>
      <c r="G1371" s="11">
        <v>46218.49</v>
      </c>
    </row>
    <row r="1372" spans="2:7" x14ac:dyDescent="0.2">
      <c r="B1372" s="32">
        <v>45827</v>
      </c>
      <c r="C1372" t="s">
        <v>142</v>
      </c>
      <c r="D1372" s="13" t="s">
        <v>633</v>
      </c>
      <c r="E1372" t="s">
        <v>153</v>
      </c>
      <c r="F1372" s="11">
        <v>1</v>
      </c>
      <c r="G1372" s="11">
        <v>42016.81</v>
      </c>
    </row>
    <row r="1373" spans="2:7" x14ac:dyDescent="0.2">
      <c r="B1373" s="32">
        <v>45827</v>
      </c>
      <c r="C1373" t="s">
        <v>142</v>
      </c>
      <c r="D1373" s="13" t="s">
        <v>633</v>
      </c>
      <c r="E1373" t="s">
        <v>1818</v>
      </c>
      <c r="F1373" s="11">
        <v>1</v>
      </c>
      <c r="G1373" s="11">
        <v>37815.129999999997</v>
      </c>
    </row>
    <row r="1374" spans="2:7" x14ac:dyDescent="0.2">
      <c r="B1374" s="32">
        <v>45828</v>
      </c>
      <c r="C1374" t="s">
        <v>142</v>
      </c>
      <c r="D1374" s="13"/>
      <c r="E1374" t="s">
        <v>269</v>
      </c>
      <c r="F1374" s="11">
        <v>1</v>
      </c>
      <c r="G1374" s="11">
        <v>50420.17</v>
      </c>
    </row>
    <row r="1375" spans="2:7" x14ac:dyDescent="0.2">
      <c r="B1375" s="32">
        <v>45828</v>
      </c>
      <c r="C1375" t="s">
        <v>142</v>
      </c>
      <c r="D1375" s="13"/>
      <c r="E1375" t="s">
        <v>473</v>
      </c>
      <c r="F1375" s="11">
        <v>1</v>
      </c>
      <c r="G1375" s="11">
        <v>50420.17</v>
      </c>
    </row>
    <row r="1376" spans="2:7" x14ac:dyDescent="0.2">
      <c r="B1376" s="32">
        <v>45828</v>
      </c>
      <c r="C1376" t="s">
        <v>142</v>
      </c>
      <c r="D1376" s="13"/>
      <c r="E1376" t="s">
        <v>303</v>
      </c>
      <c r="F1376" s="11">
        <v>1</v>
      </c>
      <c r="G1376" s="11">
        <v>50420.17</v>
      </c>
    </row>
    <row r="1377" spans="2:7" x14ac:dyDescent="0.2">
      <c r="B1377" s="32">
        <v>45828</v>
      </c>
      <c r="C1377" t="s">
        <v>142</v>
      </c>
      <c r="D1377" s="13"/>
      <c r="E1377" t="s">
        <v>166</v>
      </c>
      <c r="F1377" s="11">
        <v>1</v>
      </c>
      <c r="G1377" s="11">
        <v>42016.81</v>
      </c>
    </row>
    <row r="1378" spans="2:7" x14ac:dyDescent="0.2">
      <c r="B1378" s="32">
        <v>45828</v>
      </c>
      <c r="C1378" t="s">
        <v>142</v>
      </c>
      <c r="D1378" s="13"/>
      <c r="E1378" t="s">
        <v>452</v>
      </c>
      <c r="F1378" s="11">
        <v>1</v>
      </c>
      <c r="G1378" s="11">
        <v>37815.129999999997</v>
      </c>
    </row>
    <row r="1379" spans="2:7" x14ac:dyDescent="0.2">
      <c r="B1379" s="32">
        <v>45828</v>
      </c>
      <c r="C1379" t="s">
        <v>142</v>
      </c>
      <c r="D1379" s="13"/>
      <c r="E1379" t="s">
        <v>330</v>
      </c>
      <c r="F1379" s="11">
        <v>1</v>
      </c>
      <c r="G1379" s="11">
        <v>37815.129999999997</v>
      </c>
    </row>
    <row r="1380" spans="2:7" x14ac:dyDescent="0.2">
      <c r="B1380" s="32">
        <v>45828</v>
      </c>
      <c r="C1380" t="s">
        <v>142</v>
      </c>
      <c r="D1380" s="13" t="s">
        <v>634</v>
      </c>
      <c r="E1380" t="s">
        <v>282</v>
      </c>
      <c r="F1380" s="11">
        <v>4</v>
      </c>
      <c r="G1380" s="11">
        <v>252100.83</v>
      </c>
    </row>
    <row r="1381" spans="2:7" x14ac:dyDescent="0.2">
      <c r="B1381" s="32">
        <v>45828</v>
      </c>
      <c r="C1381" t="s">
        <v>142</v>
      </c>
      <c r="D1381" s="13" t="s">
        <v>634</v>
      </c>
      <c r="E1381" t="s">
        <v>174</v>
      </c>
      <c r="F1381" s="11">
        <v>2</v>
      </c>
      <c r="G1381" s="11">
        <v>151260.5</v>
      </c>
    </row>
    <row r="1382" spans="2:7" x14ac:dyDescent="0.2">
      <c r="B1382" s="32">
        <v>45828</v>
      </c>
      <c r="C1382" t="s">
        <v>142</v>
      </c>
      <c r="D1382" s="13" t="s">
        <v>634</v>
      </c>
      <c r="F1382" s="11">
        <v>4</v>
      </c>
      <c r="G1382" s="11">
        <v>134453.78</v>
      </c>
    </row>
    <row r="1383" spans="2:7" x14ac:dyDescent="0.2">
      <c r="B1383" s="32">
        <v>45828</v>
      </c>
      <c r="C1383" t="s">
        <v>142</v>
      </c>
      <c r="D1383" s="13" t="s">
        <v>634</v>
      </c>
      <c r="E1383" t="s">
        <v>325</v>
      </c>
      <c r="F1383" s="11">
        <v>2</v>
      </c>
      <c r="G1383" s="11">
        <v>126050.43</v>
      </c>
    </row>
    <row r="1384" spans="2:7" x14ac:dyDescent="0.2">
      <c r="B1384" s="32">
        <v>45828</v>
      </c>
      <c r="C1384" t="s">
        <v>142</v>
      </c>
      <c r="D1384" s="13" t="s">
        <v>634</v>
      </c>
      <c r="E1384" t="s">
        <v>517</v>
      </c>
      <c r="F1384" s="11">
        <v>1</v>
      </c>
      <c r="G1384" s="11">
        <v>117647.06</v>
      </c>
    </row>
    <row r="1385" spans="2:7" x14ac:dyDescent="0.2">
      <c r="B1385" s="32">
        <v>45828</v>
      </c>
      <c r="C1385" t="s">
        <v>142</v>
      </c>
      <c r="D1385" s="13" t="s">
        <v>634</v>
      </c>
      <c r="E1385" t="s">
        <v>1772</v>
      </c>
      <c r="F1385" s="11">
        <v>2</v>
      </c>
      <c r="G1385" s="11">
        <v>92436.97</v>
      </c>
    </row>
    <row r="1386" spans="2:7" x14ac:dyDescent="0.2">
      <c r="B1386" s="32">
        <v>45828</v>
      </c>
      <c r="C1386" t="s">
        <v>142</v>
      </c>
      <c r="D1386" s="13" t="s">
        <v>634</v>
      </c>
      <c r="E1386" t="s">
        <v>150</v>
      </c>
      <c r="F1386" s="11">
        <v>2</v>
      </c>
      <c r="G1386" s="11">
        <v>84033.62</v>
      </c>
    </row>
    <row r="1387" spans="2:7" x14ac:dyDescent="0.2">
      <c r="B1387" s="32">
        <v>45828</v>
      </c>
      <c r="C1387" t="s">
        <v>142</v>
      </c>
      <c r="D1387" s="13" t="s">
        <v>634</v>
      </c>
      <c r="E1387" t="s">
        <v>275</v>
      </c>
      <c r="F1387" s="11">
        <v>1</v>
      </c>
      <c r="G1387" s="11">
        <v>84033.62</v>
      </c>
    </row>
    <row r="1388" spans="2:7" x14ac:dyDescent="0.2">
      <c r="B1388" s="32">
        <v>45828</v>
      </c>
      <c r="C1388" t="s">
        <v>142</v>
      </c>
      <c r="D1388" s="13" t="s">
        <v>634</v>
      </c>
      <c r="E1388" t="s">
        <v>686</v>
      </c>
      <c r="F1388" s="11">
        <v>1</v>
      </c>
      <c r="G1388" s="11">
        <v>84033.61</v>
      </c>
    </row>
    <row r="1389" spans="2:7" x14ac:dyDescent="0.2">
      <c r="B1389" s="32">
        <v>45828</v>
      </c>
      <c r="C1389" t="s">
        <v>142</v>
      </c>
      <c r="D1389" s="13" t="s">
        <v>634</v>
      </c>
      <c r="E1389" t="s">
        <v>203</v>
      </c>
      <c r="F1389" s="11">
        <v>2</v>
      </c>
      <c r="G1389" s="11">
        <v>84033.600000000006</v>
      </c>
    </row>
    <row r="1390" spans="2:7" x14ac:dyDescent="0.2">
      <c r="B1390" s="32">
        <v>45828</v>
      </c>
      <c r="C1390" t="s">
        <v>142</v>
      </c>
      <c r="D1390" s="13" t="s">
        <v>634</v>
      </c>
      <c r="E1390" t="s">
        <v>234</v>
      </c>
      <c r="F1390" s="11">
        <v>2</v>
      </c>
      <c r="G1390" s="11">
        <v>75630.259999999995</v>
      </c>
    </row>
    <row r="1391" spans="2:7" x14ac:dyDescent="0.2">
      <c r="B1391" s="32">
        <v>45828</v>
      </c>
      <c r="C1391" t="s">
        <v>142</v>
      </c>
      <c r="D1391" s="13" t="s">
        <v>634</v>
      </c>
      <c r="E1391" t="s">
        <v>1900</v>
      </c>
      <c r="F1391" s="11">
        <v>1</v>
      </c>
      <c r="G1391" s="11">
        <v>75630.25</v>
      </c>
    </row>
    <row r="1392" spans="2:7" x14ac:dyDescent="0.2">
      <c r="B1392" s="32">
        <v>45828</v>
      </c>
      <c r="C1392" t="s">
        <v>142</v>
      </c>
      <c r="D1392" s="13" t="s">
        <v>634</v>
      </c>
      <c r="E1392" t="s">
        <v>698</v>
      </c>
      <c r="F1392" s="11">
        <v>1</v>
      </c>
      <c r="G1392" s="11">
        <v>75630.25</v>
      </c>
    </row>
    <row r="1393" spans="2:7" x14ac:dyDescent="0.2">
      <c r="B1393" s="32">
        <v>45828</v>
      </c>
      <c r="C1393" t="s">
        <v>142</v>
      </c>
      <c r="D1393" s="13" t="s">
        <v>634</v>
      </c>
      <c r="E1393" t="s">
        <v>352</v>
      </c>
      <c r="F1393" s="11">
        <v>1</v>
      </c>
      <c r="G1393" s="11">
        <v>71428.570000000007</v>
      </c>
    </row>
    <row r="1394" spans="2:7" x14ac:dyDescent="0.2">
      <c r="B1394" s="32">
        <v>45828</v>
      </c>
      <c r="C1394" t="s">
        <v>142</v>
      </c>
      <c r="D1394" s="13" t="s">
        <v>634</v>
      </c>
      <c r="E1394" t="s">
        <v>751</v>
      </c>
      <c r="F1394" s="11">
        <v>1</v>
      </c>
      <c r="G1394" s="11">
        <v>58823.53</v>
      </c>
    </row>
    <row r="1395" spans="2:7" x14ac:dyDescent="0.2">
      <c r="B1395" s="32">
        <v>45828</v>
      </c>
      <c r="C1395" t="s">
        <v>142</v>
      </c>
      <c r="D1395" s="13" t="s">
        <v>634</v>
      </c>
      <c r="E1395" t="s">
        <v>285</v>
      </c>
      <c r="F1395" s="11">
        <v>1</v>
      </c>
      <c r="G1395" s="11">
        <v>58823.53</v>
      </c>
    </row>
    <row r="1396" spans="2:7" x14ac:dyDescent="0.2">
      <c r="B1396" s="32">
        <v>45828</v>
      </c>
      <c r="C1396" t="s">
        <v>142</v>
      </c>
      <c r="D1396" s="13" t="s">
        <v>634</v>
      </c>
      <c r="E1396" t="s">
        <v>287</v>
      </c>
      <c r="F1396" s="11">
        <v>1</v>
      </c>
      <c r="G1396" s="11">
        <v>58823.53</v>
      </c>
    </row>
    <row r="1397" spans="2:7" x14ac:dyDescent="0.2">
      <c r="B1397" s="32">
        <v>45828</v>
      </c>
      <c r="C1397" t="s">
        <v>142</v>
      </c>
      <c r="D1397" s="13" t="s">
        <v>634</v>
      </c>
      <c r="E1397" t="s">
        <v>260</v>
      </c>
      <c r="F1397" s="11">
        <v>1</v>
      </c>
      <c r="G1397" s="11">
        <v>46218.49</v>
      </c>
    </row>
    <row r="1398" spans="2:7" x14ac:dyDescent="0.2">
      <c r="B1398" s="32">
        <v>45828</v>
      </c>
      <c r="C1398" t="s">
        <v>142</v>
      </c>
      <c r="D1398" s="13" t="s">
        <v>634</v>
      </c>
      <c r="E1398" t="s">
        <v>172</v>
      </c>
      <c r="F1398" s="11">
        <v>1</v>
      </c>
      <c r="G1398" s="11">
        <v>46218.49</v>
      </c>
    </row>
    <row r="1399" spans="2:7" x14ac:dyDescent="0.2">
      <c r="B1399" s="32">
        <v>45828</v>
      </c>
      <c r="C1399" t="s">
        <v>142</v>
      </c>
      <c r="D1399" s="13" t="s">
        <v>634</v>
      </c>
      <c r="E1399" t="s">
        <v>170</v>
      </c>
      <c r="F1399" s="11">
        <v>1</v>
      </c>
      <c r="G1399" s="11">
        <v>46218.49</v>
      </c>
    </row>
    <row r="1400" spans="2:7" x14ac:dyDescent="0.2">
      <c r="B1400" s="32">
        <v>45828</v>
      </c>
      <c r="C1400" t="s">
        <v>142</v>
      </c>
      <c r="D1400" s="13" t="s">
        <v>634</v>
      </c>
      <c r="E1400" t="s">
        <v>238</v>
      </c>
      <c r="F1400" s="11">
        <v>1</v>
      </c>
      <c r="G1400" s="11">
        <v>46218.49</v>
      </c>
    </row>
    <row r="1401" spans="2:7" x14ac:dyDescent="0.2">
      <c r="B1401" s="32">
        <v>45828</v>
      </c>
      <c r="C1401" t="s">
        <v>142</v>
      </c>
      <c r="D1401" s="13" t="s">
        <v>634</v>
      </c>
      <c r="E1401" t="s">
        <v>146</v>
      </c>
      <c r="F1401" s="11">
        <v>1</v>
      </c>
      <c r="G1401" s="11">
        <v>46218.49</v>
      </c>
    </row>
    <row r="1402" spans="2:7" x14ac:dyDescent="0.2">
      <c r="B1402" s="32">
        <v>45828</v>
      </c>
      <c r="C1402" t="s">
        <v>142</v>
      </c>
      <c r="D1402" s="13" t="s">
        <v>634</v>
      </c>
      <c r="E1402" t="s">
        <v>166</v>
      </c>
      <c r="F1402" s="11">
        <v>1</v>
      </c>
      <c r="G1402" s="11">
        <v>42016.81</v>
      </c>
    </row>
    <row r="1403" spans="2:7" x14ac:dyDescent="0.2">
      <c r="B1403" s="32">
        <v>45828</v>
      </c>
      <c r="C1403" t="s">
        <v>142</v>
      </c>
      <c r="D1403" s="13" t="s">
        <v>634</v>
      </c>
      <c r="E1403" t="s">
        <v>309</v>
      </c>
      <c r="F1403" s="11">
        <v>1</v>
      </c>
      <c r="G1403" s="11">
        <v>42016.800000000003</v>
      </c>
    </row>
    <row r="1404" spans="2:7" x14ac:dyDescent="0.2">
      <c r="B1404" s="32">
        <v>45828</v>
      </c>
      <c r="C1404" t="s">
        <v>142</v>
      </c>
      <c r="D1404" s="13" t="s">
        <v>634</v>
      </c>
      <c r="E1404" t="s">
        <v>1813</v>
      </c>
      <c r="F1404" s="11">
        <v>1</v>
      </c>
      <c r="G1404" s="11">
        <v>21848.74</v>
      </c>
    </row>
    <row r="1405" spans="2:7" x14ac:dyDescent="0.2">
      <c r="B1405" s="32">
        <v>45828</v>
      </c>
      <c r="C1405" t="s">
        <v>142</v>
      </c>
      <c r="D1405" s="13" t="s">
        <v>634</v>
      </c>
      <c r="E1405" t="s">
        <v>218</v>
      </c>
      <c r="F1405" s="11">
        <v>1</v>
      </c>
      <c r="G1405" s="11">
        <v>21008.400000000001</v>
      </c>
    </row>
    <row r="1406" spans="2:7" x14ac:dyDescent="0.2">
      <c r="B1406" s="32">
        <v>45828</v>
      </c>
      <c r="C1406" t="s">
        <v>142</v>
      </c>
      <c r="D1406" s="13" t="s">
        <v>633</v>
      </c>
      <c r="E1406" t="s">
        <v>1746</v>
      </c>
      <c r="F1406" s="11">
        <v>1</v>
      </c>
      <c r="G1406" s="11">
        <v>130252.1</v>
      </c>
    </row>
    <row r="1407" spans="2:7" x14ac:dyDescent="0.2">
      <c r="B1407" s="32">
        <v>45828</v>
      </c>
      <c r="C1407" t="s">
        <v>142</v>
      </c>
      <c r="D1407" s="13" t="s">
        <v>633</v>
      </c>
      <c r="E1407" t="s">
        <v>174</v>
      </c>
      <c r="F1407" s="11">
        <v>1</v>
      </c>
      <c r="G1407" s="11">
        <v>75630.25</v>
      </c>
    </row>
    <row r="1408" spans="2:7" x14ac:dyDescent="0.2">
      <c r="B1408" s="32">
        <v>45828</v>
      </c>
      <c r="C1408" t="s">
        <v>142</v>
      </c>
      <c r="D1408" s="13" t="s">
        <v>633</v>
      </c>
      <c r="E1408" t="s">
        <v>475</v>
      </c>
      <c r="F1408" s="11">
        <v>1</v>
      </c>
      <c r="G1408" s="11">
        <v>71428.570000000007</v>
      </c>
    </row>
    <row r="1409" spans="2:7" x14ac:dyDescent="0.2">
      <c r="B1409" s="32">
        <v>45828</v>
      </c>
      <c r="C1409" t="s">
        <v>142</v>
      </c>
      <c r="D1409" s="13" t="s">
        <v>633</v>
      </c>
      <c r="E1409" t="s">
        <v>704</v>
      </c>
      <c r="F1409" s="11">
        <v>1</v>
      </c>
      <c r="G1409" s="11">
        <v>46218.49</v>
      </c>
    </row>
    <row r="1410" spans="2:7" x14ac:dyDescent="0.2">
      <c r="B1410" s="32">
        <v>45828</v>
      </c>
      <c r="C1410" t="s">
        <v>142</v>
      </c>
      <c r="D1410" s="13" t="s">
        <v>633</v>
      </c>
      <c r="E1410" t="s">
        <v>150</v>
      </c>
      <c r="F1410" s="11">
        <v>1</v>
      </c>
      <c r="G1410" s="11">
        <v>42016.81</v>
      </c>
    </row>
    <row r="1411" spans="2:7" x14ac:dyDescent="0.2">
      <c r="B1411" s="32">
        <v>45828</v>
      </c>
      <c r="C1411" t="s">
        <v>142</v>
      </c>
      <c r="D1411" s="13" t="s">
        <v>633</v>
      </c>
      <c r="E1411" t="s">
        <v>1818</v>
      </c>
      <c r="F1411" s="11">
        <v>1</v>
      </c>
      <c r="G1411" s="11">
        <v>37815.129999999997</v>
      </c>
    </row>
    <row r="1412" spans="2:7" x14ac:dyDescent="0.2">
      <c r="B1412" s="32">
        <v>45828</v>
      </c>
      <c r="C1412" t="s">
        <v>142</v>
      </c>
      <c r="D1412" s="13" t="s">
        <v>633</v>
      </c>
      <c r="E1412" t="s">
        <v>263</v>
      </c>
      <c r="F1412" s="11">
        <v>1</v>
      </c>
      <c r="G1412" s="11">
        <v>21848.74</v>
      </c>
    </row>
    <row r="1413" spans="2:7" x14ac:dyDescent="0.2">
      <c r="B1413" s="32">
        <v>45828</v>
      </c>
      <c r="C1413" t="s">
        <v>142</v>
      </c>
      <c r="D1413" s="13" t="s">
        <v>633</v>
      </c>
      <c r="F1413" s="11">
        <v>1</v>
      </c>
      <c r="G1413" s="11">
        <v>21008.400000000001</v>
      </c>
    </row>
    <row r="1414" spans="2:7" x14ac:dyDescent="0.2">
      <c r="B1414" s="32">
        <v>45828</v>
      </c>
      <c r="C1414" t="s">
        <v>142</v>
      </c>
      <c r="D1414" s="13" t="s">
        <v>633</v>
      </c>
      <c r="E1414" t="s">
        <v>1777</v>
      </c>
      <c r="F1414" s="11">
        <v>1</v>
      </c>
      <c r="G1414" s="11">
        <v>13445.38</v>
      </c>
    </row>
    <row r="1415" spans="2:7" x14ac:dyDescent="0.2">
      <c r="B1415" s="32">
        <v>45829</v>
      </c>
      <c r="C1415" t="s">
        <v>142</v>
      </c>
      <c r="D1415" s="13"/>
      <c r="E1415" t="s">
        <v>234</v>
      </c>
      <c r="F1415" s="11">
        <v>3</v>
      </c>
      <c r="G1415" s="11">
        <v>113445.37</v>
      </c>
    </row>
    <row r="1416" spans="2:7" x14ac:dyDescent="0.2">
      <c r="B1416" s="32">
        <v>45829</v>
      </c>
      <c r="C1416" t="s">
        <v>142</v>
      </c>
      <c r="D1416" s="13"/>
      <c r="E1416" t="s">
        <v>148</v>
      </c>
      <c r="F1416" s="11">
        <v>2</v>
      </c>
      <c r="G1416" s="11">
        <v>75630.259999999995</v>
      </c>
    </row>
    <row r="1417" spans="2:7" x14ac:dyDescent="0.2">
      <c r="B1417" s="32">
        <v>45829</v>
      </c>
      <c r="C1417" t="s">
        <v>142</v>
      </c>
      <c r="D1417" s="13"/>
      <c r="E1417" t="s">
        <v>330</v>
      </c>
      <c r="F1417" s="11">
        <v>2</v>
      </c>
      <c r="G1417" s="11">
        <v>75630.25</v>
      </c>
    </row>
    <row r="1418" spans="2:7" x14ac:dyDescent="0.2">
      <c r="B1418" s="32">
        <v>45829</v>
      </c>
      <c r="C1418" t="s">
        <v>142</v>
      </c>
      <c r="D1418" s="13"/>
      <c r="E1418" t="s">
        <v>1901</v>
      </c>
      <c r="F1418" s="11">
        <v>1</v>
      </c>
      <c r="G1418" s="11">
        <v>71428.570000000007</v>
      </c>
    </row>
    <row r="1419" spans="2:7" x14ac:dyDescent="0.2">
      <c r="B1419" s="32">
        <v>45829</v>
      </c>
      <c r="C1419" t="s">
        <v>142</v>
      </c>
      <c r="D1419" s="13"/>
      <c r="E1419" t="s">
        <v>616</v>
      </c>
      <c r="F1419" s="11">
        <v>1</v>
      </c>
      <c r="G1419" s="11">
        <v>54621.84</v>
      </c>
    </row>
    <row r="1420" spans="2:7" x14ac:dyDescent="0.2">
      <c r="B1420" s="32">
        <v>45829</v>
      </c>
      <c r="C1420" t="s">
        <v>142</v>
      </c>
      <c r="D1420" s="13"/>
      <c r="E1420" t="s">
        <v>491</v>
      </c>
      <c r="F1420" s="11">
        <v>1</v>
      </c>
      <c r="G1420" s="11">
        <v>50420.17</v>
      </c>
    </row>
    <row r="1421" spans="2:7" x14ac:dyDescent="0.2">
      <c r="B1421" s="32">
        <v>45829</v>
      </c>
      <c r="C1421" t="s">
        <v>142</v>
      </c>
      <c r="D1421" s="13"/>
      <c r="E1421" t="s">
        <v>303</v>
      </c>
      <c r="F1421" s="11">
        <v>1</v>
      </c>
      <c r="G1421" s="11">
        <v>50420.17</v>
      </c>
    </row>
    <row r="1422" spans="2:7" x14ac:dyDescent="0.2">
      <c r="B1422" s="32">
        <v>45829</v>
      </c>
      <c r="C1422" t="s">
        <v>142</v>
      </c>
      <c r="D1422" s="13"/>
      <c r="E1422" t="s">
        <v>198</v>
      </c>
      <c r="F1422" s="11">
        <v>1</v>
      </c>
      <c r="G1422" s="11">
        <v>46218.49</v>
      </c>
    </row>
    <row r="1423" spans="2:7" x14ac:dyDescent="0.2">
      <c r="B1423" s="32">
        <v>45829</v>
      </c>
      <c r="C1423" t="s">
        <v>142</v>
      </c>
      <c r="D1423" s="13"/>
      <c r="E1423" t="s">
        <v>238</v>
      </c>
      <c r="F1423" s="11">
        <v>1</v>
      </c>
      <c r="G1423" s="11">
        <v>46218.49</v>
      </c>
    </row>
    <row r="1424" spans="2:7" x14ac:dyDescent="0.2">
      <c r="B1424" s="32">
        <v>45829</v>
      </c>
      <c r="C1424" t="s">
        <v>142</v>
      </c>
      <c r="D1424" s="13"/>
      <c r="E1424" t="s">
        <v>1834</v>
      </c>
      <c r="F1424" s="11">
        <v>1</v>
      </c>
      <c r="G1424" s="11">
        <v>42016.81</v>
      </c>
    </row>
    <row r="1425" spans="2:7" x14ac:dyDescent="0.2">
      <c r="B1425" s="32">
        <v>45829</v>
      </c>
      <c r="C1425" t="s">
        <v>142</v>
      </c>
      <c r="D1425" s="13"/>
      <c r="E1425" t="s">
        <v>150</v>
      </c>
      <c r="F1425" s="11">
        <v>1</v>
      </c>
      <c r="G1425" s="11">
        <v>42016.800000000003</v>
      </c>
    </row>
    <row r="1426" spans="2:7" x14ac:dyDescent="0.2">
      <c r="B1426" s="32">
        <v>45829</v>
      </c>
      <c r="C1426" t="s">
        <v>142</v>
      </c>
      <c r="D1426" s="13"/>
      <c r="E1426" t="s">
        <v>328</v>
      </c>
      <c r="F1426" s="11">
        <v>1</v>
      </c>
      <c r="G1426" s="11">
        <v>37815.129999999997</v>
      </c>
    </row>
    <row r="1427" spans="2:7" x14ac:dyDescent="0.2">
      <c r="B1427" s="32">
        <v>45829</v>
      </c>
      <c r="C1427" t="s">
        <v>142</v>
      </c>
      <c r="D1427" s="13"/>
      <c r="F1427" s="11">
        <v>1</v>
      </c>
      <c r="G1427" s="11">
        <v>21008.400000000001</v>
      </c>
    </row>
    <row r="1428" spans="2:7" x14ac:dyDescent="0.2">
      <c r="B1428" s="32">
        <v>45829</v>
      </c>
      <c r="C1428" t="s">
        <v>142</v>
      </c>
      <c r="D1428" s="13" t="s">
        <v>634</v>
      </c>
      <c r="E1428" t="s">
        <v>1719</v>
      </c>
      <c r="F1428" s="11">
        <v>1</v>
      </c>
      <c r="G1428" s="11">
        <v>210084.03</v>
      </c>
    </row>
    <row r="1429" spans="2:7" x14ac:dyDescent="0.2">
      <c r="B1429" s="32">
        <v>45829</v>
      </c>
      <c r="C1429" t="s">
        <v>142</v>
      </c>
      <c r="D1429" s="13" t="s">
        <v>634</v>
      </c>
      <c r="E1429" t="s">
        <v>189</v>
      </c>
      <c r="F1429" s="11">
        <v>2</v>
      </c>
      <c r="G1429" s="11">
        <v>142857.14000000001</v>
      </c>
    </row>
    <row r="1430" spans="2:7" x14ac:dyDescent="0.2">
      <c r="B1430" s="32">
        <v>45829</v>
      </c>
      <c r="C1430" t="s">
        <v>142</v>
      </c>
      <c r="D1430" s="13" t="s">
        <v>634</v>
      </c>
      <c r="E1430" t="s">
        <v>330</v>
      </c>
      <c r="F1430" s="11">
        <v>3</v>
      </c>
      <c r="G1430" s="11">
        <v>113445.38</v>
      </c>
    </row>
    <row r="1431" spans="2:7" x14ac:dyDescent="0.2">
      <c r="B1431" s="32">
        <v>45829</v>
      </c>
      <c r="C1431" t="s">
        <v>142</v>
      </c>
      <c r="D1431" s="13" t="s">
        <v>634</v>
      </c>
      <c r="E1431" t="s">
        <v>148</v>
      </c>
      <c r="F1431" s="11">
        <v>3</v>
      </c>
      <c r="G1431" s="11">
        <v>113445.38</v>
      </c>
    </row>
    <row r="1432" spans="2:7" x14ac:dyDescent="0.2">
      <c r="B1432" s="32">
        <v>45829</v>
      </c>
      <c r="C1432" t="s">
        <v>142</v>
      </c>
      <c r="D1432" s="13" t="s">
        <v>634</v>
      </c>
      <c r="E1432" t="s">
        <v>1897</v>
      </c>
      <c r="F1432" s="11">
        <v>2</v>
      </c>
      <c r="G1432" s="11">
        <v>100840.34</v>
      </c>
    </row>
    <row r="1433" spans="2:7" x14ac:dyDescent="0.2">
      <c r="B1433" s="32">
        <v>45829</v>
      </c>
      <c r="C1433" t="s">
        <v>142</v>
      </c>
      <c r="D1433" s="13" t="s">
        <v>634</v>
      </c>
      <c r="E1433" t="s">
        <v>493</v>
      </c>
      <c r="F1433" s="11">
        <v>1</v>
      </c>
      <c r="G1433" s="11">
        <v>100840.34</v>
      </c>
    </row>
    <row r="1434" spans="2:7" x14ac:dyDescent="0.2">
      <c r="B1434" s="32">
        <v>45829</v>
      </c>
      <c r="C1434" t="s">
        <v>142</v>
      </c>
      <c r="D1434" s="13" t="s">
        <v>634</v>
      </c>
      <c r="F1434" s="11">
        <v>3</v>
      </c>
      <c r="G1434" s="11">
        <v>88235.29</v>
      </c>
    </row>
    <row r="1435" spans="2:7" x14ac:dyDescent="0.2">
      <c r="B1435" s="32">
        <v>45829</v>
      </c>
      <c r="C1435" t="s">
        <v>142</v>
      </c>
      <c r="D1435" s="13" t="s">
        <v>634</v>
      </c>
      <c r="E1435" t="s">
        <v>153</v>
      </c>
      <c r="F1435" s="11">
        <v>2</v>
      </c>
      <c r="G1435" s="11">
        <v>84033.62</v>
      </c>
    </row>
    <row r="1436" spans="2:7" x14ac:dyDescent="0.2">
      <c r="B1436" s="32">
        <v>45829</v>
      </c>
      <c r="C1436" t="s">
        <v>142</v>
      </c>
      <c r="D1436" s="13" t="s">
        <v>634</v>
      </c>
      <c r="E1436" t="s">
        <v>282</v>
      </c>
      <c r="F1436" s="11">
        <v>1</v>
      </c>
      <c r="G1436" s="11">
        <v>84033.61</v>
      </c>
    </row>
    <row r="1437" spans="2:7" x14ac:dyDescent="0.2">
      <c r="B1437" s="32">
        <v>45829</v>
      </c>
      <c r="C1437" t="s">
        <v>142</v>
      </c>
      <c r="D1437" s="13" t="s">
        <v>634</v>
      </c>
      <c r="E1437" t="s">
        <v>234</v>
      </c>
      <c r="F1437" s="11">
        <v>2</v>
      </c>
      <c r="G1437" s="11">
        <v>75630.259999999995</v>
      </c>
    </row>
    <row r="1438" spans="2:7" x14ac:dyDescent="0.2">
      <c r="B1438" s="32">
        <v>45829</v>
      </c>
      <c r="C1438" t="s">
        <v>142</v>
      </c>
      <c r="D1438" s="13" t="s">
        <v>634</v>
      </c>
      <c r="E1438" t="s">
        <v>681</v>
      </c>
      <c r="F1438" s="11">
        <v>1</v>
      </c>
      <c r="G1438" s="11">
        <v>75630.25</v>
      </c>
    </row>
    <row r="1439" spans="2:7" x14ac:dyDescent="0.2">
      <c r="B1439" s="32">
        <v>45829</v>
      </c>
      <c r="C1439" t="s">
        <v>142</v>
      </c>
      <c r="D1439" s="13" t="s">
        <v>634</v>
      </c>
      <c r="E1439" t="s">
        <v>534</v>
      </c>
      <c r="F1439" s="11">
        <v>1</v>
      </c>
      <c r="G1439" s="11">
        <v>71428.56</v>
      </c>
    </row>
    <row r="1440" spans="2:7" x14ac:dyDescent="0.2">
      <c r="B1440" s="32">
        <v>45829</v>
      </c>
      <c r="C1440" t="s">
        <v>142</v>
      </c>
      <c r="D1440" s="13" t="s">
        <v>634</v>
      </c>
      <c r="E1440" t="s">
        <v>306</v>
      </c>
      <c r="F1440" s="11">
        <v>1</v>
      </c>
      <c r="G1440" s="11">
        <v>58823.53</v>
      </c>
    </row>
    <row r="1441" spans="2:7" x14ac:dyDescent="0.2">
      <c r="B1441" s="32">
        <v>45829</v>
      </c>
      <c r="C1441" t="s">
        <v>142</v>
      </c>
      <c r="D1441" s="13" t="s">
        <v>634</v>
      </c>
      <c r="E1441" t="s">
        <v>163</v>
      </c>
      <c r="F1441" s="11">
        <v>1</v>
      </c>
      <c r="G1441" s="11">
        <v>58823.53</v>
      </c>
    </row>
    <row r="1442" spans="2:7" x14ac:dyDescent="0.2">
      <c r="B1442" s="32">
        <v>45829</v>
      </c>
      <c r="C1442" t="s">
        <v>142</v>
      </c>
      <c r="D1442" s="13" t="s">
        <v>634</v>
      </c>
      <c r="E1442" t="s">
        <v>318</v>
      </c>
      <c r="F1442" s="11">
        <v>1</v>
      </c>
      <c r="G1442" s="11">
        <v>58823.53</v>
      </c>
    </row>
    <row r="1443" spans="2:7" x14ac:dyDescent="0.2">
      <c r="B1443" s="32">
        <v>45829</v>
      </c>
      <c r="C1443" t="s">
        <v>142</v>
      </c>
      <c r="D1443" s="13" t="s">
        <v>634</v>
      </c>
      <c r="E1443" t="s">
        <v>219</v>
      </c>
      <c r="F1443" s="11">
        <v>1</v>
      </c>
      <c r="G1443" s="11">
        <v>58823.53</v>
      </c>
    </row>
    <row r="1444" spans="2:7" x14ac:dyDescent="0.2">
      <c r="B1444" s="32">
        <v>45829</v>
      </c>
      <c r="C1444" t="s">
        <v>142</v>
      </c>
      <c r="D1444" s="13" t="s">
        <v>634</v>
      </c>
      <c r="E1444" t="s">
        <v>654</v>
      </c>
      <c r="F1444" s="11">
        <v>1</v>
      </c>
      <c r="G1444" s="11">
        <v>54621.85</v>
      </c>
    </row>
    <row r="1445" spans="2:7" x14ac:dyDescent="0.2">
      <c r="B1445" s="32">
        <v>45829</v>
      </c>
      <c r="C1445" t="s">
        <v>142</v>
      </c>
      <c r="D1445" s="13" t="s">
        <v>634</v>
      </c>
      <c r="E1445" t="s">
        <v>619</v>
      </c>
      <c r="F1445" s="11">
        <v>1</v>
      </c>
      <c r="G1445" s="11">
        <v>50420.17</v>
      </c>
    </row>
    <row r="1446" spans="2:7" x14ac:dyDescent="0.2">
      <c r="B1446" s="32">
        <v>45829</v>
      </c>
      <c r="C1446" t="s">
        <v>142</v>
      </c>
      <c r="D1446" s="13" t="s">
        <v>634</v>
      </c>
      <c r="E1446" t="s">
        <v>269</v>
      </c>
      <c r="F1446" s="11">
        <v>1</v>
      </c>
      <c r="G1446" s="11">
        <v>50420.17</v>
      </c>
    </row>
    <row r="1447" spans="2:7" x14ac:dyDescent="0.2">
      <c r="B1447" s="32">
        <v>45829</v>
      </c>
      <c r="C1447" t="s">
        <v>142</v>
      </c>
      <c r="D1447" s="13" t="s">
        <v>634</v>
      </c>
      <c r="E1447" t="s">
        <v>158</v>
      </c>
      <c r="F1447" s="11">
        <v>1</v>
      </c>
      <c r="G1447" s="11">
        <v>46218.49</v>
      </c>
    </row>
    <row r="1448" spans="2:7" x14ac:dyDescent="0.2">
      <c r="B1448" s="32">
        <v>45829</v>
      </c>
      <c r="C1448" t="s">
        <v>142</v>
      </c>
      <c r="D1448" s="13" t="s">
        <v>634</v>
      </c>
      <c r="E1448" t="s">
        <v>238</v>
      </c>
      <c r="F1448" s="11">
        <v>1</v>
      </c>
      <c r="G1448" s="11">
        <v>46218.49</v>
      </c>
    </row>
    <row r="1449" spans="2:7" x14ac:dyDescent="0.2">
      <c r="B1449" s="32">
        <v>45829</v>
      </c>
      <c r="C1449" t="s">
        <v>142</v>
      </c>
      <c r="D1449" s="13" t="s">
        <v>634</v>
      </c>
      <c r="E1449" t="s">
        <v>160</v>
      </c>
      <c r="F1449" s="11">
        <v>1</v>
      </c>
      <c r="G1449" s="11">
        <v>46218.48</v>
      </c>
    </row>
    <row r="1450" spans="2:7" x14ac:dyDescent="0.2">
      <c r="B1450" s="32">
        <v>45829</v>
      </c>
      <c r="C1450" t="s">
        <v>142</v>
      </c>
      <c r="D1450" s="13" t="s">
        <v>634</v>
      </c>
      <c r="E1450" t="s">
        <v>1813</v>
      </c>
      <c r="F1450" s="11">
        <v>2</v>
      </c>
      <c r="G1450" s="11">
        <v>43697.48</v>
      </c>
    </row>
    <row r="1451" spans="2:7" x14ac:dyDescent="0.2">
      <c r="B1451" s="32">
        <v>45829</v>
      </c>
      <c r="C1451" t="s">
        <v>142</v>
      </c>
      <c r="D1451" s="13" t="s">
        <v>634</v>
      </c>
      <c r="E1451" t="s">
        <v>203</v>
      </c>
      <c r="F1451" s="11">
        <v>1</v>
      </c>
      <c r="G1451" s="11">
        <v>42016.81</v>
      </c>
    </row>
    <row r="1452" spans="2:7" x14ac:dyDescent="0.2">
      <c r="B1452" s="32">
        <v>45829</v>
      </c>
      <c r="C1452" t="s">
        <v>142</v>
      </c>
      <c r="D1452" s="13" t="s">
        <v>634</v>
      </c>
      <c r="E1452" t="s">
        <v>328</v>
      </c>
      <c r="F1452" s="11">
        <v>1</v>
      </c>
      <c r="G1452" s="11">
        <v>37815.129999999997</v>
      </c>
    </row>
    <row r="1453" spans="2:7" x14ac:dyDescent="0.2">
      <c r="B1453" s="32">
        <v>45829</v>
      </c>
      <c r="C1453" t="s">
        <v>142</v>
      </c>
      <c r="D1453" s="13" t="s">
        <v>634</v>
      </c>
      <c r="E1453" t="s">
        <v>1902</v>
      </c>
      <c r="F1453" s="11">
        <v>1</v>
      </c>
      <c r="G1453" s="11">
        <v>37815.120000000003</v>
      </c>
    </row>
    <row r="1454" spans="2:7" x14ac:dyDescent="0.2">
      <c r="B1454" s="32">
        <v>45829</v>
      </c>
      <c r="C1454" t="s">
        <v>142</v>
      </c>
      <c r="D1454" s="13" t="s">
        <v>634</v>
      </c>
      <c r="E1454" t="s">
        <v>1796</v>
      </c>
      <c r="F1454" s="11">
        <v>1</v>
      </c>
      <c r="G1454" s="11">
        <v>21008.400000000001</v>
      </c>
    </row>
    <row r="1455" spans="2:7" x14ac:dyDescent="0.2">
      <c r="B1455" s="32">
        <v>45829</v>
      </c>
      <c r="C1455" t="s">
        <v>142</v>
      </c>
      <c r="D1455" s="13" t="s">
        <v>633</v>
      </c>
      <c r="E1455" t="s">
        <v>1890</v>
      </c>
      <c r="F1455" s="11">
        <v>1</v>
      </c>
      <c r="G1455" s="11">
        <v>75630.25</v>
      </c>
    </row>
    <row r="1456" spans="2:7" x14ac:dyDescent="0.2">
      <c r="B1456" s="32">
        <v>45829</v>
      </c>
      <c r="C1456" t="s">
        <v>142</v>
      </c>
      <c r="D1456" s="13" t="s">
        <v>633</v>
      </c>
      <c r="E1456" t="s">
        <v>524</v>
      </c>
      <c r="F1456" s="11">
        <v>1</v>
      </c>
      <c r="G1456" s="11">
        <v>58823.53</v>
      </c>
    </row>
    <row r="1457" spans="2:7" x14ac:dyDescent="0.2">
      <c r="B1457" s="32">
        <v>45829</v>
      </c>
      <c r="C1457" t="s">
        <v>142</v>
      </c>
      <c r="D1457" s="13" t="s">
        <v>633</v>
      </c>
      <c r="E1457" t="s">
        <v>537</v>
      </c>
      <c r="F1457" s="11">
        <v>1</v>
      </c>
      <c r="G1457" s="11">
        <v>58823.53</v>
      </c>
    </row>
    <row r="1458" spans="2:7" x14ac:dyDescent="0.2">
      <c r="B1458" s="32">
        <v>45829</v>
      </c>
      <c r="C1458" t="s">
        <v>142</v>
      </c>
      <c r="D1458" s="13" t="s">
        <v>633</v>
      </c>
      <c r="E1458" t="s">
        <v>258</v>
      </c>
      <c r="F1458" s="11">
        <v>1</v>
      </c>
      <c r="G1458" s="11">
        <v>54621.85</v>
      </c>
    </row>
    <row r="1459" spans="2:7" x14ac:dyDescent="0.2">
      <c r="B1459" s="32">
        <v>45829</v>
      </c>
      <c r="C1459" t="s">
        <v>142</v>
      </c>
      <c r="D1459" s="13" t="s">
        <v>633</v>
      </c>
      <c r="E1459" t="s">
        <v>203</v>
      </c>
      <c r="F1459" s="11">
        <v>1</v>
      </c>
      <c r="G1459" s="11">
        <v>42016.81</v>
      </c>
    </row>
    <row r="1460" spans="2:7" x14ac:dyDescent="0.2">
      <c r="B1460" s="32">
        <v>45829</v>
      </c>
      <c r="C1460" t="s">
        <v>142</v>
      </c>
      <c r="D1460" s="13" t="s">
        <v>633</v>
      </c>
      <c r="E1460" t="s">
        <v>466</v>
      </c>
      <c r="F1460" s="11">
        <v>1</v>
      </c>
      <c r="G1460" s="11">
        <v>21848.74</v>
      </c>
    </row>
    <row r="1461" spans="2:7" x14ac:dyDescent="0.2">
      <c r="B1461" s="32">
        <v>45829</v>
      </c>
      <c r="C1461" t="s">
        <v>142</v>
      </c>
      <c r="D1461" s="13" t="s">
        <v>633</v>
      </c>
      <c r="F1461" s="11">
        <v>0</v>
      </c>
      <c r="G1461" s="11">
        <v>0</v>
      </c>
    </row>
    <row r="1462" spans="2:7" x14ac:dyDescent="0.2">
      <c r="B1462" s="32">
        <v>45830</v>
      </c>
      <c r="C1462" t="s">
        <v>142</v>
      </c>
      <c r="D1462" s="13"/>
      <c r="E1462" t="s">
        <v>1869</v>
      </c>
      <c r="F1462" s="11">
        <v>1</v>
      </c>
      <c r="G1462" s="11">
        <v>0</v>
      </c>
    </row>
    <row r="1463" spans="2:7" x14ac:dyDescent="0.2">
      <c r="B1463" s="32">
        <v>45830</v>
      </c>
      <c r="C1463" t="s">
        <v>142</v>
      </c>
      <c r="D1463" s="13"/>
      <c r="E1463" t="s">
        <v>489</v>
      </c>
      <c r="F1463" s="11">
        <v>1</v>
      </c>
      <c r="G1463" s="11">
        <v>0</v>
      </c>
    </row>
    <row r="1464" spans="2:7" x14ac:dyDescent="0.2">
      <c r="B1464" s="32">
        <v>45830</v>
      </c>
      <c r="C1464" t="s">
        <v>142</v>
      </c>
      <c r="D1464" s="13"/>
      <c r="E1464" t="s">
        <v>439</v>
      </c>
      <c r="F1464" s="11">
        <v>1</v>
      </c>
      <c r="G1464" s="11">
        <v>0</v>
      </c>
    </row>
    <row r="1465" spans="2:7" x14ac:dyDescent="0.2">
      <c r="B1465" s="32">
        <v>45830</v>
      </c>
      <c r="C1465" t="s">
        <v>142</v>
      </c>
      <c r="D1465" s="13"/>
      <c r="E1465" t="s">
        <v>212</v>
      </c>
      <c r="F1465" s="11">
        <v>1</v>
      </c>
      <c r="G1465" s="11">
        <v>0</v>
      </c>
    </row>
    <row r="1466" spans="2:7" x14ac:dyDescent="0.2">
      <c r="B1466" s="32">
        <v>45830</v>
      </c>
      <c r="C1466" t="s">
        <v>142</v>
      </c>
      <c r="D1466" s="13" t="s">
        <v>634</v>
      </c>
      <c r="E1466" t="s">
        <v>189</v>
      </c>
      <c r="F1466" s="11">
        <v>2</v>
      </c>
      <c r="G1466" s="11">
        <v>142857.14000000001</v>
      </c>
    </row>
    <row r="1467" spans="2:7" x14ac:dyDescent="0.2">
      <c r="B1467" s="32">
        <v>45830</v>
      </c>
      <c r="C1467" t="s">
        <v>142</v>
      </c>
      <c r="D1467" s="13" t="s">
        <v>634</v>
      </c>
      <c r="E1467" t="s">
        <v>439</v>
      </c>
      <c r="F1467" s="11">
        <v>1</v>
      </c>
      <c r="G1467" s="11">
        <v>126050.42</v>
      </c>
    </row>
    <row r="1468" spans="2:7" x14ac:dyDescent="0.2">
      <c r="B1468" s="32">
        <v>45830</v>
      </c>
      <c r="C1468" t="s">
        <v>142</v>
      </c>
      <c r="D1468" s="13" t="s">
        <v>634</v>
      </c>
      <c r="E1468" t="s">
        <v>489</v>
      </c>
      <c r="F1468" s="11">
        <v>1</v>
      </c>
      <c r="G1468" s="11">
        <v>126050.42</v>
      </c>
    </row>
    <row r="1469" spans="2:7" x14ac:dyDescent="0.2">
      <c r="B1469" s="32">
        <v>45830</v>
      </c>
      <c r="C1469" t="s">
        <v>142</v>
      </c>
      <c r="D1469" s="13" t="s">
        <v>634</v>
      </c>
      <c r="E1469" t="s">
        <v>1869</v>
      </c>
      <c r="F1469" s="11">
        <v>1</v>
      </c>
      <c r="G1469" s="11">
        <v>126050.42</v>
      </c>
    </row>
    <row r="1470" spans="2:7" x14ac:dyDescent="0.2">
      <c r="B1470" s="32">
        <v>45830</v>
      </c>
      <c r="C1470" t="s">
        <v>142</v>
      </c>
      <c r="D1470" s="13" t="s">
        <v>634</v>
      </c>
      <c r="E1470" t="s">
        <v>292</v>
      </c>
      <c r="F1470" s="11">
        <v>1</v>
      </c>
      <c r="G1470" s="11">
        <v>100840.34</v>
      </c>
    </row>
    <row r="1471" spans="2:7" x14ac:dyDescent="0.2">
      <c r="B1471" s="32">
        <v>45830</v>
      </c>
      <c r="C1471" t="s">
        <v>142</v>
      </c>
      <c r="D1471" s="13" t="s">
        <v>634</v>
      </c>
      <c r="E1471" t="s">
        <v>375</v>
      </c>
      <c r="F1471" s="11">
        <v>1</v>
      </c>
      <c r="G1471" s="11">
        <v>100840.34</v>
      </c>
    </row>
    <row r="1472" spans="2:7" x14ac:dyDescent="0.2">
      <c r="B1472" s="32">
        <v>45830</v>
      </c>
      <c r="C1472" t="s">
        <v>142</v>
      </c>
      <c r="D1472" s="13" t="s">
        <v>634</v>
      </c>
      <c r="E1472" t="s">
        <v>154</v>
      </c>
      <c r="F1472" s="11">
        <v>1</v>
      </c>
      <c r="G1472" s="11">
        <v>96638.66</v>
      </c>
    </row>
    <row r="1473" spans="2:7" x14ac:dyDescent="0.2">
      <c r="B1473" s="32">
        <v>45830</v>
      </c>
      <c r="C1473" t="s">
        <v>142</v>
      </c>
      <c r="D1473" s="13" t="s">
        <v>634</v>
      </c>
      <c r="E1473" t="s">
        <v>298</v>
      </c>
      <c r="F1473" s="11">
        <v>1</v>
      </c>
      <c r="G1473" s="11">
        <v>96638.66</v>
      </c>
    </row>
    <row r="1474" spans="2:7" x14ac:dyDescent="0.2">
      <c r="B1474" s="32">
        <v>45830</v>
      </c>
      <c r="C1474" t="s">
        <v>142</v>
      </c>
      <c r="D1474" s="13" t="s">
        <v>634</v>
      </c>
      <c r="E1474" t="s">
        <v>551</v>
      </c>
      <c r="F1474" s="11">
        <v>1</v>
      </c>
      <c r="G1474" s="11">
        <v>96638.66</v>
      </c>
    </row>
    <row r="1475" spans="2:7" x14ac:dyDescent="0.2">
      <c r="B1475" s="32">
        <v>45830</v>
      </c>
      <c r="C1475" t="s">
        <v>142</v>
      </c>
      <c r="D1475" s="13" t="s">
        <v>634</v>
      </c>
      <c r="E1475" t="s">
        <v>179</v>
      </c>
      <c r="F1475" s="11">
        <v>2</v>
      </c>
      <c r="G1475" s="11">
        <v>92436.98</v>
      </c>
    </row>
    <row r="1476" spans="2:7" x14ac:dyDescent="0.2">
      <c r="B1476" s="32">
        <v>45830</v>
      </c>
      <c r="C1476" t="s">
        <v>142</v>
      </c>
      <c r="D1476" s="13" t="s">
        <v>634</v>
      </c>
      <c r="E1476" t="s">
        <v>239</v>
      </c>
      <c r="F1476" s="11">
        <v>2</v>
      </c>
      <c r="G1476" s="11">
        <v>92436.97</v>
      </c>
    </row>
    <row r="1477" spans="2:7" x14ac:dyDescent="0.2">
      <c r="B1477" s="32">
        <v>45830</v>
      </c>
      <c r="C1477" t="s">
        <v>142</v>
      </c>
      <c r="D1477" s="13" t="s">
        <v>634</v>
      </c>
      <c r="E1477" t="s">
        <v>234</v>
      </c>
      <c r="F1477" s="11">
        <v>2</v>
      </c>
      <c r="G1477" s="11">
        <v>82815.13</v>
      </c>
    </row>
    <row r="1478" spans="2:7" x14ac:dyDescent="0.2">
      <c r="B1478" s="32">
        <v>45830</v>
      </c>
      <c r="C1478" t="s">
        <v>142</v>
      </c>
      <c r="D1478" s="13" t="s">
        <v>634</v>
      </c>
      <c r="E1478" t="s">
        <v>328</v>
      </c>
      <c r="F1478" s="11">
        <v>2</v>
      </c>
      <c r="G1478" s="11">
        <v>75630.259999999995</v>
      </c>
    </row>
    <row r="1479" spans="2:7" x14ac:dyDescent="0.2">
      <c r="B1479" s="32">
        <v>45830</v>
      </c>
      <c r="C1479" t="s">
        <v>142</v>
      </c>
      <c r="D1479" s="13" t="s">
        <v>634</v>
      </c>
      <c r="E1479" t="s">
        <v>152</v>
      </c>
      <c r="F1479" s="11">
        <v>1</v>
      </c>
      <c r="G1479" s="11">
        <v>75630.25</v>
      </c>
    </row>
    <row r="1480" spans="2:7" x14ac:dyDescent="0.2">
      <c r="B1480" s="32">
        <v>45830</v>
      </c>
      <c r="C1480" t="s">
        <v>142</v>
      </c>
      <c r="D1480" s="13" t="s">
        <v>634</v>
      </c>
      <c r="E1480" t="s">
        <v>475</v>
      </c>
      <c r="F1480" s="11">
        <v>1</v>
      </c>
      <c r="G1480" s="11">
        <v>71428.570000000007</v>
      </c>
    </row>
    <row r="1481" spans="2:7" x14ac:dyDescent="0.2">
      <c r="B1481" s="32">
        <v>45830</v>
      </c>
      <c r="C1481" t="s">
        <v>142</v>
      </c>
      <c r="D1481" s="13" t="s">
        <v>634</v>
      </c>
      <c r="E1481" t="s">
        <v>1903</v>
      </c>
      <c r="F1481" s="11">
        <v>1</v>
      </c>
      <c r="G1481" s="11">
        <v>58823.53</v>
      </c>
    </row>
    <row r="1482" spans="2:7" x14ac:dyDescent="0.2">
      <c r="B1482" s="32">
        <v>45830</v>
      </c>
      <c r="C1482" t="s">
        <v>142</v>
      </c>
      <c r="D1482" s="13" t="s">
        <v>634</v>
      </c>
      <c r="E1482" t="s">
        <v>213</v>
      </c>
      <c r="F1482" s="11">
        <v>1</v>
      </c>
      <c r="G1482" s="11">
        <v>58823.53</v>
      </c>
    </row>
    <row r="1483" spans="2:7" x14ac:dyDescent="0.2">
      <c r="B1483" s="32">
        <v>45830</v>
      </c>
      <c r="C1483" t="s">
        <v>142</v>
      </c>
      <c r="D1483" s="13" t="s">
        <v>634</v>
      </c>
      <c r="E1483" t="s">
        <v>285</v>
      </c>
      <c r="F1483" s="11">
        <v>1</v>
      </c>
      <c r="G1483" s="11">
        <v>58823.53</v>
      </c>
    </row>
    <row r="1484" spans="2:7" x14ac:dyDescent="0.2">
      <c r="B1484" s="32">
        <v>45830</v>
      </c>
      <c r="C1484" t="s">
        <v>142</v>
      </c>
      <c r="D1484" s="13" t="s">
        <v>634</v>
      </c>
      <c r="E1484" t="s">
        <v>165</v>
      </c>
      <c r="F1484" s="11">
        <v>1</v>
      </c>
      <c r="G1484" s="11">
        <v>58823.53</v>
      </c>
    </row>
    <row r="1485" spans="2:7" x14ac:dyDescent="0.2">
      <c r="B1485" s="32">
        <v>45830</v>
      </c>
      <c r="C1485" t="s">
        <v>142</v>
      </c>
      <c r="D1485" s="13" t="s">
        <v>634</v>
      </c>
      <c r="E1485" t="s">
        <v>315</v>
      </c>
      <c r="F1485" s="11">
        <v>1</v>
      </c>
      <c r="G1485" s="11">
        <v>58823.519999999997</v>
      </c>
    </row>
    <row r="1486" spans="2:7" x14ac:dyDescent="0.2">
      <c r="B1486" s="32">
        <v>45830</v>
      </c>
      <c r="C1486" t="s">
        <v>142</v>
      </c>
      <c r="D1486" s="13" t="s">
        <v>634</v>
      </c>
      <c r="E1486" t="s">
        <v>495</v>
      </c>
      <c r="F1486" s="11">
        <v>1</v>
      </c>
      <c r="G1486" s="11">
        <v>54621.85</v>
      </c>
    </row>
    <row r="1487" spans="2:7" x14ac:dyDescent="0.2">
      <c r="B1487" s="32">
        <v>45830</v>
      </c>
      <c r="C1487" t="s">
        <v>142</v>
      </c>
      <c r="D1487" s="13" t="s">
        <v>634</v>
      </c>
      <c r="E1487" t="s">
        <v>212</v>
      </c>
      <c r="F1487" s="11">
        <v>1</v>
      </c>
      <c r="G1487" s="11">
        <v>54621.85</v>
      </c>
    </row>
    <row r="1488" spans="2:7" x14ac:dyDescent="0.2">
      <c r="B1488" s="32">
        <v>45830</v>
      </c>
      <c r="C1488" t="s">
        <v>142</v>
      </c>
      <c r="D1488" s="13" t="s">
        <v>634</v>
      </c>
      <c r="E1488" t="s">
        <v>755</v>
      </c>
      <c r="F1488" s="11">
        <v>1</v>
      </c>
      <c r="G1488" s="11">
        <v>54621.85</v>
      </c>
    </row>
    <row r="1489" spans="2:7" x14ac:dyDescent="0.2">
      <c r="B1489" s="32">
        <v>45830</v>
      </c>
      <c r="C1489" t="s">
        <v>142</v>
      </c>
      <c r="D1489" s="13" t="s">
        <v>634</v>
      </c>
      <c r="E1489" t="s">
        <v>392</v>
      </c>
      <c r="F1489" s="11">
        <v>1</v>
      </c>
      <c r="G1489" s="11">
        <v>46218.49</v>
      </c>
    </row>
    <row r="1490" spans="2:7" x14ac:dyDescent="0.2">
      <c r="B1490" s="32">
        <v>45830</v>
      </c>
      <c r="C1490" t="s">
        <v>142</v>
      </c>
      <c r="D1490" s="13" t="s">
        <v>634</v>
      </c>
      <c r="E1490" t="s">
        <v>150</v>
      </c>
      <c r="F1490" s="11">
        <v>1</v>
      </c>
      <c r="G1490" s="11">
        <v>42016.81</v>
      </c>
    </row>
    <row r="1491" spans="2:7" x14ac:dyDescent="0.2">
      <c r="B1491" s="32">
        <v>45830</v>
      </c>
      <c r="C1491" t="s">
        <v>142</v>
      </c>
      <c r="D1491" s="13" t="s">
        <v>634</v>
      </c>
      <c r="E1491" t="s">
        <v>203</v>
      </c>
      <c r="F1491" s="11">
        <v>1</v>
      </c>
      <c r="G1491" s="11">
        <v>42016.800000000003</v>
      </c>
    </row>
    <row r="1492" spans="2:7" x14ac:dyDescent="0.2">
      <c r="B1492" s="32">
        <v>45830</v>
      </c>
      <c r="C1492" t="s">
        <v>142</v>
      </c>
      <c r="D1492" s="13" t="s">
        <v>634</v>
      </c>
      <c r="E1492" t="s">
        <v>452</v>
      </c>
      <c r="F1492" s="11">
        <v>1</v>
      </c>
      <c r="G1492" s="11">
        <v>37815.129999999997</v>
      </c>
    </row>
    <row r="1493" spans="2:7" x14ac:dyDescent="0.2">
      <c r="B1493" s="32">
        <v>45830</v>
      </c>
      <c r="C1493" t="s">
        <v>142</v>
      </c>
      <c r="D1493" s="13" t="s">
        <v>634</v>
      </c>
      <c r="E1493" t="s">
        <v>206</v>
      </c>
      <c r="F1493" s="11">
        <v>1</v>
      </c>
      <c r="G1493" s="11">
        <v>37815.120000000003</v>
      </c>
    </row>
    <row r="1494" spans="2:7" x14ac:dyDescent="0.2">
      <c r="B1494" s="32">
        <v>45830</v>
      </c>
      <c r="C1494" t="s">
        <v>142</v>
      </c>
      <c r="D1494" s="13" t="s">
        <v>634</v>
      </c>
      <c r="E1494" t="s">
        <v>263</v>
      </c>
      <c r="F1494" s="11">
        <v>1</v>
      </c>
      <c r="G1494" s="11">
        <v>21848.74</v>
      </c>
    </row>
    <row r="1495" spans="2:7" x14ac:dyDescent="0.2">
      <c r="B1495" s="32">
        <v>45830</v>
      </c>
      <c r="C1495" t="s">
        <v>142</v>
      </c>
      <c r="D1495" s="13" t="s">
        <v>634</v>
      </c>
      <c r="E1495" t="s">
        <v>162</v>
      </c>
      <c r="F1495" s="11">
        <v>1</v>
      </c>
      <c r="G1495" s="11">
        <v>0</v>
      </c>
    </row>
    <row r="1496" spans="2:7" x14ac:dyDescent="0.2">
      <c r="B1496" s="32">
        <v>45830</v>
      </c>
      <c r="C1496" t="s">
        <v>142</v>
      </c>
      <c r="D1496" s="13" t="s">
        <v>634</v>
      </c>
      <c r="F1496" s="11">
        <v>0</v>
      </c>
      <c r="G1496" s="11">
        <v>0</v>
      </c>
    </row>
    <row r="1497" spans="2:7" x14ac:dyDescent="0.2">
      <c r="B1497" s="32">
        <v>45830</v>
      </c>
      <c r="C1497" t="s">
        <v>142</v>
      </c>
      <c r="D1497" s="13" t="s">
        <v>633</v>
      </c>
      <c r="E1497" t="s">
        <v>268</v>
      </c>
      <c r="F1497" s="11">
        <v>1</v>
      </c>
      <c r="G1497" s="11">
        <v>142857.15</v>
      </c>
    </row>
    <row r="1498" spans="2:7" x14ac:dyDescent="0.2">
      <c r="B1498" s="32">
        <v>45830</v>
      </c>
      <c r="C1498" t="s">
        <v>142</v>
      </c>
      <c r="D1498" s="13" t="s">
        <v>633</v>
      </c>
      <c r="E1498" t="s">
        <v>1881</v>
      </c>
      <c r="F1498" s="11">
        <v>1</v>
      </c>
      <c r="G1498" s="11">
        <v>96638.66</v>
      </c>
    </row>
    <row r="1499" spans="2:7" x14ac:dyDescent="0.2">
      <c r="B1499" s="32">
        <v>45830</v>
      </c>
      <c r="C1499" t="s">
        <v>142</v>
      </c>
      <c r="D1499" s="13" t="s">
        <v>633</v>
      </c>
      <c r="E1499" t="s">
        <v>219</v>
      </c>
      <c r="F1499" s="11">
        <v>1</v>
      </c>
      <c r="G1499" s="11">
        <v>58823.53</v>
      </c>
    </row>
    <row r="1500" spans="2:7" x14ac:dyDescent="0.2">
      <c r="B1500" s="32">
        <v>45830</v>
      </c>
      <c r="C1500" t="s">
        <v>142</v>
      </c>
      <c r="D1500" s="13" t="s">
        <v>633</v>
      </c>
      <c r="E1500" t="s">
        <v>163</v>
      </c>
      <c r="F1500" s="11">
        <v>1</v>
      </c>
      <c r="G1500" s="11">
        <v>58823.53</v>
      </c>
    </row>
    <row r="1501" spans="2:7" x14ac:dyDescent="0.2">
      <c r="B1501" s="32">
        <v>45830</v>
      </c>
      <c r="C1501" t="s">
        <v>142</v>
      </c>
      <c r="D1501" s="13" t="s">
        <v>633</v>
      </c>
      <c r="E1501" t="s">
        <v>240</v>
      </c>
      <c r="F1501" s="11">
        <v>1</v>
      </c>
      <c r="G1501" s="11">
        <v>42016.81</v>
      </c>
    </row>
    <row r="1502" spans="2:7" x14ac:dyDescent="0.2">
      <c r="B1502" s="32">
        <v>45830</v>
      </c>
      <c r="C1502" t="s">
        <v>142</v>
      </c>
      <c r="D1502" s="13" t="s">
        <v>633</v>
      </c>
      <c r="E1502" t="s">
        <v>150</v>
      </c>
      <c r="F1502" s="11">
        <v>1</v>
      </c>
      <c r="G1502" s="11">
        <v>42016.800000000003</v>
      </c>
    </row>
    <row r="1503" spans="2:7" x14ac:dyDescent="0.2">
      <c r="B1503" s="32">
        <v>45830</v>
      </c>
      <c r="C1503" t="s">
        <v>142</v>
      </c>
      <c r="D1503" s="13" t="s">
        <v>633</v>
      </c>
      <c r="E1503" t="s">
        <v>441</v>
      </c>
      <c r="F1503" s="11">
        <v>1</v>
      </c>
      <c r="G1503" s="11">
        <v>29411.759999999998</v>
      </c>
    </row>
    <row r="1504" spans="2:7" x14ac:dyDescent="0.2">
      <c r="B1504" s="32">
        <v>45830</v>
      </c>
      <c r="C1504" t="s">
        <v>142</v>
      </c>
      <c r="D1504" s="13" t="s">
        <v>633</v>
      </c>
      <c r="F1504" s="11">
        <v>1</v>
      </c>
      <c r="G1504" s="11">
        <v>21008.400000000001</v>
      </c>
    </row>
    <row r="1505" spans="2:7" x14ac:dyDescent="0.2">
      <c r="B1505" s="32">
        <v>45831</v>
      </c>
      <c r="C1505" t="s">
        <v>142</v>
      </c>
      <c r="D1505" s="13"/>
      <c r="E1505" t="s">
        <v>470</v>
      </c>
      <c r="F1505" s="11">
        <v>4</v>
      </c>
      <c r="G1505" s="11">
        <v>151260.51</v>
      </c>
    </row>
    <row r="1506" spans="2:7" x14ac:dyDescent="0.2">
      <c r="B1506" s="32">
        <v>45831</v>
      </c>
      <c r="C1506" t="s">
        <v>142</v>
      </c>
      <c r="D1506" s="13"/>
      <c r="E1506" t="s">
        <v>395</v>
      </c>
      <c r="F1506" s="11">
        <v>1</v>
      </c>
      <c r="G1506" s="11">
        <v>75630.25</v>
      </c>
    </row>
    <row r="1507" spans="2:7" x14ac:dyDescent="0.2">
      <c r="B1507" s="32">
        <v>45831</v>
      </c>
      <c r="C1507" t="s">
        <v>142</v>
      </c>
      <c r="D1507" s="13"/>
      <c r="E1507" t="s">
        <v>654</v>
      </c>
      <c r="F1507" s="11">
        <v>1</v>
      </c>
      <c r="G1507" s="11">
        <v>54621.85</v>
      </c>
    </row>
    <row r="1508" spans="2:7" x14ac:dyDescent="0.2">
      <c r="B1508" s="32">
        <v>45831</v>
      </c>
      <c r="C1508" t="s">
        <v>142</v>
      </c>
      <c r="D1508" s="13"/>
      <c r="E1508" t="s">
        <v>1818</v>
      </c>
      <c r="F1508" s="11">
        <v>1</v>
      </c>
      <c r="G1508" s="11">
        <v>37815.129999999997</v>
      </c>
    </row>
    <row r="1509" spans="2:7" x14ac:dyDescent="0.2">
      <c r="B1509" s="32">
        <v>45831</v>
      </c>
      <c r="C1509" t="s">
        <v>142</v>
      </c>
      <c r="D1509" s="13"/>
      <c r="E1509" t="s">
        <v>234</v>
      </c>
      <c r="F1509" s="11">
        <v>1</v>
      </c>
      <c r="G1509" s="11">
        <v>37815.129999999997</v>
      </c>
    </row>
    <row r="1510" spans="2:7" x14ac:dyDescent="0.2">
      <c r="B1510" s="32">
        <v>45831</v>
      </c>
      <c r="C1510" t="s">
        <v>142</v>
      </c>
      <c r="D1510" s="13"/>
      <c r="E1510" t="s">
        <v>468</v>
      </c>
      <c r="F1510" s="11">
        <v>1</v>
      </c>
      <c r="G1510" s="11">
        <v>37815.129999999997</v>
      </c>
    </row>
    <row r="1511" spans="2:7" x14ac:dyDescent="0.2">
      <c r="B1511" s="32">
        <v>45831</v>
      </c>
      <c r="C1511" t="s">
        <v>142</v>
      </c>
      <c r="D1511" s="13"/>
      <c r="E1511" t="s">
        <v>330</v>
      </c>
      <c r="F1511" s="11">
        <v>1</v>
      </c>
      <c r="G1511" s="11">
        <v>37815.120000000003</v>
      </c>
    </row>
    <row r="1512" spans="2:7" x14ac:dyDescent="0.2">
      <c r="B1512" s="32">
        <v>45831</v>
      </c>
      <c r="C1512" t="s">
        <v>142</v>
      </c>
      <c r="D1512" s="13"/>
      <c r="F1512" s="11">
        <v>1</v>
      </c>
      <c r="G1512" s="11">
        <v>29411.759999999998</v>
      </c>
    </row>
    <row r="1513" spans="2:7" x14ac:dyDescent="0.2">
      <c r="B1513" s="32">
        <v>45831</v>
      </c>
      <c r="C1513" t="s">
        <v>142</v>
      </c>
      <c r="D1513" s="13" t="s">
        <v>634</v>
      </c>
      <c r="E1513" t="s">
        <v>1897</v>
      </c>
      <c r="F1513" s="11">
        <v>4</v>
      </c>
      <c r="G1513" s="11">
        <v>201680.67</v>
      </c>
    </row>
    <row r="1514" spans="2:7" x14ac:dyDescent="0.2">
      <c r="B1514" s="32">
        <v>45831</v>
      </c>
      <c r="C1514" t="s">
        <v>142</v>
      </c>
      <c r="D1514" s="13" t="s">
        <v>634</v>
      </c>
      <c r="E1514" t="s">
        <v>1904</v>
      </c>
      <c r="F1514" s="11">
        <v>1</v>
      </c>
      <c r="G1514" s="11">
        <v>197478.99</v>
      </c>
    </row>
    <row r="1515" spans="2:7" x14ac:dyDescent="0.2">
      <c r="B1515" s="32">
        <v>45831</v>
      </c>
      <c r="C1515" t="s">
        <v>142</v>
      </c>
      <c r="D1515" s="13" t="s">
        <v>634</v>
      </c>
      <c r="E1515" t="s">
        <v>1905</v>
      </c>
      <c r="F1515" s="11">
        <v>1</v>
      </c>
      <c r="G1515" s="11">
        <v>189075.63</v>
      </c>
    </row>
    <row r="1516" spans="2:7" x14ac:dyDescent="0.2">
      <c r="B1516" s="32">
        <v>45831</v>
      </c>
      <c r="C1516" t="s">
        <v>142</v>
      </c>
      <c r="D1516" s="13" t="s">
        <v>634</v>
      </c>
      <c r="E1516" t="s">
        <v>148</v>
      </c>
      <c r="F1516" s="11">
        <v>3</v>
      </c>
      <c r="G1516" s="11">
        <v>113445.39</v>
      </c>
    </row>
    <row r="1517" spans="2:7" x14ac:dyDescent="0.2">
      <c r="B1517" s="32">
        <v>45831</v>
      </c>
      <c r="C1517" t="s">
        <v>142</v>
      </c>
      <c r="D1517" s="13" t="s">
        <v>634</v>
      </c>
      <c r="E1517" t="s">
        <v>489</v>
      </c>
      <c r="F1517" s="11">
        <v>1</v>
      </c>
      <c r="G1517" s="11">
        <v>109243.7</v>
      </c>
    </row>
    <row r="1518" spans="2:7" x14ac:dyDescent="0.2">
      <c r="B1518" s="32">
        <v>45831</v>
      </c>
      <c r="C1518" t="s">
        <v>142</v>
      </c>
      <c r="D1518" s="13" t="s">
        <v>634</v>
      </c>
      <c r="E1518" t="s">
        <v>553</v>
      </c>
      <c r="F1518" s="11">
        <v>1</v>
      </c>
      <c r="G1518" s="11">
        <v>109243.7</v>
      </c>
    </row>
    <row r="1519" spans="2:7" x14ac:dyDescent="0.2">
      <c r="B1519" s="32">
        <v>45831</v>
      </c>
      <c r="C1519" t="s">
        <v>142</v>
      </c>
      <c r="D1519" s="13" t="s">
        <v>634</v>
      </c>
      <c r="E1519" t="s">
        <v>679</v>
      </c>
      <c r="F1519" s="11">
        <v>1</v>
      </c>
      <c r="G1519" s="11">
        <v>100840.34</v>
      </c>
    </row>
    <row r="1520" spans="2:7" x14ac:dyDescent="0.2">
      <c r="B1520" s="32">
        <v>45831</v>
      </c>
      <c r="C1520" t="s">
        <v>142</v>
      </c>
      <c r="D1520" s="13" t="s">
        <v>634</v>
      </c>
      <c r="E1520" t="s">
        <v>423</v>
      </c>
      <c r="F1520" s="11">
        <v>1</v>
      </c>
      <c r="G1520" s="11">
        <v>92436.97</v>
      </c>
    </row>
    <row r="1521" spans="2:7" x14ac:dyDescent="0.2">
      <c r="B1521" s="32">
        <v>45831</v>
      </c>
      <c r="C1521" t="s">
        <v>142</v>
      </c>
      <c r="D1521" s="13" t="s">
        <v>634</v>
      </c>
      <c r="E1521" t="s">
        <v>1763</v>
      </c>
      <c r="F1521" s="11">
        <v>1</v>
      </c>
      <c r="G1521" s="11">
        <v>84033.62</v>
      </c>
    </row>
    <row r="1522" spans="2:7" x14ac:dyDescent="0.2">
      <c r="B1522" s="32">
        <v>45831</v>
      </c>
      <c r="C1522" t="s">
        <v>142</v>
      </c>
      <c r="D1522" s="13" t="s">
        <v>634</v>
      </c>
      <c r="E1522" t="s">
        <v>251</v>
      </c>
      <c r="F1522" s="11">
        <v>1</v>
      </c>
      <c r="G1522" s="11">
        <v>84033.61</v>
      </c>
    </row>
    <row r="1523" spans="2:7" x14ac:dyDescent="0.2">
      <c r="B1523" s="32">
        <v>45831</v>
      </c>
      <c r="C1523" t="s">
        <v>142</v>
      </c>
      <c r="D1523" s="13" t="s">
        <v>634</v>
      </c>
      <c r="E1523" t="s">
        <v>681</v>
      </c>
      <c r="F1523" s="11">
        <v>1</v>
      </c>
      <c r="G1523" s="11">
        <v>75630.25</v>
      </c>
    </row>
    <row r="1524" spans="2:7" x14ac:dyDescent="0.2">
      <c r="B1524" s="32">
        <v>45831</v>
      </c>
      <c r="C1524" t="s">
        <v>142</v>
      </c>
      <c r="D1524" s="13" t="s">
        <v>634</v>
      </c>
      <c r="E1524" t="s">
        <v>395</v>
      </c>
      <c r="F1524" s="11">
        <v>1</v>
      </c>
      <c r="G1524" s="11">
        <v>75630.25</v>
      </c>
    </row>
    <row r="1525" spans="2:7" x14ac:dyDescent="0.2">
      <c r="B1525" s="32">
        <v>45831</v>
      </c>
      <c r="C1525" t="s">
        <v>142</v>
      </c>
      <c r="D1525" s="13" t="s">
        <v>634</v>
      </c>
      <c r="E1525" t="s">
        <v>1818</v>
      </c>
      <c r="F1525" s="11">
        <v>2</v>
      </c>
      <c r="G1525" s="11">
        <v>75630.25</v>
      </c>
    </row>
    <row r="1526" spans="2:7" x14ac:dyDescent="0.2">
      <c r="B1526" s="32">
        <v>45831</v>
      </c>
      <c r="C1526" t="s">
        <v>142</v>
      </c>
      <c r="D1526" s="13" t="s">
        <v>634</v>
      </c>
      <c r="E1526" t="s">
        <v>264</v>
      </c>
      <c r="F1526" s="11">
        <v>1</v>
      </c>
      <c r="G1526" s="11">
        <v>75630.25</v>
      </c>
    </row>
    <row r="1527" spans="2:7" x14ac:dyDescent="0.2">
      <c r="B1527" s="32">
        <v>45831</v>
      </c>
      <c r="C1527" t="s">
        <v>142</v>
      </c>
      <c r="D1527" s="13" t="s">
        <v>634</v>
      </c>
      <c r="E1527" t="s">
        <v>368</v>
      </c>
      <c r="F1527" s="11">
        <v>1</v>
      </c>
      <c r="G1527" s="11">
        <v>75630.25</v>
      </c>
    </row>
    <row r="1528" spans="2:7" x14ac:dyDescent="0.2">
      <c r="B1528" s="32">
        <v>45831</v>
      </c>
      <c r="C1528" t="s">
        <v>142</v>
      </c>
      <c r="D1528" s="13" t="s">
        <v>634</v>
      </c>
      <c r="E1528" t="s">
        <v>164</v>
      </c>
      <c r="F1528" s="11">
        <v>1</v>
      </c>
      <c r="G1528" s="11">
        <v>71428.570000000007</v>
      </c>
    </row>
    <row r="1529" spans="2:7" x14ac:dyDescent="0.2">
      <c r="B1529" s="32">
        <v>45831</v>
      </c>
      <c r="C1529" t="s">
        <v>142</v>
      </c>
      <c r="D1529" s="13" t="s">
        <v>634</v>
      </c>
      <c r="E1529" t="s">
        <v>352</v>
      </c>
      <c r="F1529" s="11">
        <v>1</v>
      </c>
      <c r="G1529" s="11">
        <v>71428.570000000007</v>
      </c>
    </row>
    <row r="1530" spans="2:7" x14ac:dyDescent="0.2">
      <c r="B1530" s="32">
        <v>45831</v>
      </c>
      <c r="C1530" t="s">
        <v>142</v>
      </c>
      <c r="D1530" s="13" t="s">
        <v>634</v>
      </c>
      <c r="F1530" s="11">
        <v>3</v>
      </c>
      <c r="G1530" s="11">
        <v>71428.56</v>
      </c>
    </row>
    <row r="1531" spans="2:7" x14ac:dyDescent="0.2">
      <c r="B1531" s="32">
        <v>45831</v>
      </c>
      <c r="C1531" t="s">
        <v>142</v>
      </c>
      <c r="D1531" s="13" t="s">
        <v>634</v>
      </c>
      <c r="E1531" t="s">
        <v>315</v>
      </c>
      <c r="F1531" s="11">
        <v>1</v>
      </c>
      <c r="G1531" s="11">
        <v>58823.53</v>
      </c>
    </row>
    <row r="1532" spans="2:7" x14ac:dyDescent="0.2">
      <c r="B1532" s="32">
        <v>45831</v>
      </c>
      <c r="C1532" t="s">
        <v>142</v>
      </c>
      <c r="D1532" s="13" t="s">
        <v>634</v>
      </c>
      <c r="E1532" t="s">
        <v>378</v>
      </c>
      <c r="F1532" s="11">
        <v>1</v>
      </c>
      <c r="G1532" s="11">
        <v>58823.53</v>
      </c>
    </row>
    <row r="1533" spans="2:7" x14ac:dyDescent="0.2">
      <c r="B1533" s="32">
        <v>45831</v>
      </c>
      <c r="C1533" t="s">
        <v>142</v>
      </c>
      <c r="D1533" s="13" t="s">
        <v>634</v>
      </c>
      <c r="E1533" t="s">
        <v>533</v>
      </c>
      <c r="F1533" s="11">
        <v>1</v>
      </c>
      <c r="G1533" s="11">
        <v>58823.53</v>
      </c>
    </row>
    <row r="1534" spans="2:7" x14ac:dyDescent="0.2">
      <c r="B1534" s="32">
        <v>45831</v>
      </c>
      <c r="C1534" t="s">
        <v>142</v>
      </c>
      <c r="D1534" s="13" t="s">
        <v>634</v>
      </c>
      <c r="E1534" t="s">
        <v>233</v>
      </c>
      <c r="F1534" s="11">
        <v>1</v>
      </c>
      <c r="G1534" s="11">
        <v>58823.53</v>
      </c>
    </row>
    <row r="1535" spans="2:7" x14ac:dyDescent="0.2">
      <c r="B1535" s="32">
        <v>45831</v>
      </c>
      <c r="C1535" t="s">
        <v>142</v>
      </c>
      <c r="D1535" s="13" t="s">
        <v>634</v>
      </c>
      <c r="E1535" t="s">
        <v>440</v>
      </c>
      <c r="F1535" s="11">
        <v>1</v>
      </c>
      <c r="G1535" s="11">
        <v>58823.53</v>
      </c>
    </row>
    <row r="1536" spans="2:7" x14ac:dyDescent="0.2">
      <c r="B1536" s="32">
        <v>45831</v>
      </c>
      <c r="C1536" t="s">
        <v>142</v>
      </c>
      <c r="D1536" s="13" t="s">
        <v>634</v>
      </c>
      <c r="E1536" t="s">
        <v>454</v>
      </c>
      <c r="F1536" s="11">
        <v>1</v>
      </c>
      <c r="G1536" s="11">
        <v>58823.53</v>
      </c>
    </row>
    <row r="1537" spans="2:7" x14ac:dyDescent="0.2">
      <c r="B1537" s="32">
        <v>45831</v>
      </c>
      <c r="C1537" t="s">
        <v>142</v>
      </c>
      <c r="D1537" s="13" t="s">
        <v>634</v>
      </c>
      <c r="E1537" t="s">
        <v>335</v>
      </c>
      <c r="F1537" s="11">
        <v>1</v>
      </c>
      <c r="G1537" s="11">
        <v>58823.53</v>
      </c>
    </row>
    <row r="1538" spans="2:7" x14ac:dyDescent="0.2">
      <c r="B1538" s="32">
        <v>45831</v>
      </c>
      <c r="C1538" t="s">
        <v>142</v>
      </c>
      <c r="D1538" s="13" t="s">
        <v>634</v>
      </c>
      <c r="E1538" t="s">
        <v>162</v>
      </c>
      <c r="F1538" s="11">
        <v>1</v>
      </c>
      <c r="G1538" s="11">
        <v>58823.53</v>
      </c>
    </row>
    <row r="1539" spans="2:7" x14ac:dyDescent="0.2">
      <c r="B1539" s="32">
        <v>45831</v>
      </c>
      <c r="C1539" t="s">
        <v>142</v>
      </c>
      <c r="D1539" s="13" t="s">
        <v>634</v>
      </c>
      <c r="E1539" t="s">
        <v>274</v>
      </c>
      <c r="F1539" s="11">
        <v>1</v>
      </c>
      <c r="G1539" s="11">
        <v>54621.85</v>
      </c>
    </row>
    <row r="1540" spans="2:7" x14ac:dyDescent="0.2">
      <c r="B1540" s="32">
        <v>45831</v>
      </c>
      <c r="C1540" t="s">
        <v>142</v>
      </c>
      <c r="D1540" s="13" t="s">
        <v>634</v>
      </c>
      <c r="E1540" t="s">
        <v>549</v>
      </c>
      <c r="F1540" s="11">
        <v>1</v>
      </c>
      <c r="G1540" s="11">
        <v>46218.49</v>
      </c>
    </row>
    <row r="1541" spans="2:7" x14ac:dyDescent="0.2">
      <c r="B1541" s="32">
        <v>45831</v>
      </c>
      <c r="C1541" t="s">
        <v>142</v>
      </c>
      <c r="D1541" s="13" t="s">
        <v>634</v>
      </c>
      <c r="E1541" t="s">
        <v>392</v>
      </c>
      <c r="F1541" s="11">
        <v>1</v>
      </c>
      <c r="G1541" s="11">
        <v>46218.49</v>
      </c>
    </row>
    <row r="1542" spans="2:7" x14ac:dyDescent="0.2">
      <c r="B1542" s="32">
        <v>45831</v>
      </c>
      <c r="C1542" t="s">
        <v>142</v>
      </c>
      <c r="D1542" s="13" t="s">
        <v>634</v>
      </c>
      <c r="E1542" t="s">
        <v>170</v>
      </c>
      <c r="F1542" s="11">
        <v>1</v>
      </c>
      <c r="G1542" s="11">
        <v>46218.49</v>
      </c>
    </row>
    <row r="1543" spans="2:7" x14ac:dyDescent="0.2">
      <c r="B1543" s="32">
        <v>45831</v>
      </c>
      <c r="C1543" t="s">
        <v>142</v>
      </c>
      <c r="D1543" s="13" t="s">
        <v>634</v>
      </c>
      <c r="E1543" t="s">
        <v>146</v>
      </c>
      <c r="F1543" s="11">
        <v>1</v>
      </c>
      <c r="G1543" s="11">
        <v>46218.49</v>
      </c>
    </row>
    <row r="1544" spans="2:7" x14ac:dyDescent="0.2">
      <c r="B1544" s="32">
        <v>45831</v>
      </c>
      <c r="C1544" t="s">
        <v>142</v>
      </c>
      <c r="D1544" s="13" t="s">
        <v>634</v>
      </c>
      <c r="E1544" t="s">
        <v>239</v>
      </c>
      <c r="F1544" s="11">
        <v>1</v>
      </c>
      <c r="G1544" s="11">
        <v>46218.49</v>
      </c>
    </row>
    <row r="1545" spans="2:7" x14ac:dyDescent="0.2">
      <c r="B1545" s="32">
        <v>45831</v>
      </c>
      <c r="C1545" t="s">
        <v>142</v>
      </c>
      <c r="D1545" s="13" t="s">
        <v>634</v>
      </c>
      <c r="E1545" t="s">
        <v>1834</v>
      </c>
      <c r="F1545" s="11">
        <v>1</v>
      </c>
      <c r="G1545" s="11">
        <v>42016.81</v>
      </c>
    </row>
    <row r="1546" spans="2:7" x14ac:dyDescent="0.2">
      <c r="B1546" s="32">
        <v>45831</v>
      </c>
      <c r="C1546" t="s">
        <v>142</v>
      </c>
      <c r="D1546" s="13" t="s">
        <v>634</v>
      </c>
      <c r="E1546" t="s">
        <v>206</v>
      </c>
      <c r="F1546" s="11">
        <v>1</v>
      </c>
      <c r="G1546" s="11">
        <v>37815.129999999997</v>
      </c>
    </row>
    <row r="1547" spans="2:7" x14ac:dyDescent="0.2">
      <c r="B1547" s="32">
        <v>45831</v>
      </c>
      <c r="C1547" t="s">
        <v>142</v>
      </c>
      <c r="D1547" s="13" t="s">
        <v>634</v>
      </c>
      <c r="E1547" t="s">
        <v>234</v>
      </c>
      <c r="F1547" s="11">
        <v>1</v>
      </c>
      <c r="G1547" s="11">
        <v>37815.129999999997</v>
      </c>
    </row>
    <row r="1548" spans="2:7" x14ac:dyDescent="0.2">
      <c r="B1548" s="32">
        <v>45831</v>
      </c>
      <c r="C1548" t="s">
        <v>142</v>
      </c>
      <c r="D1548" s="13" t="s">
        <v>634</v>
      </c>
      <c r="E1548" t="s">
        <v>452</v>
      </c>
      <c r="F1548" s="11">
        <v>1</v>
      </c>
      <c r="G1548" s="11">
        <v>37815.129999999997</v>
      </c>
    </row>
    <row r="1549" spans="2:7" x14ac:dyDescent="0.2">
      <c r="B1549" s="32">
        <v>45831</v>
      </c>
      <c r="C1549" t="s">
        <v>142</v>
      </c>
      <c r="D1549" s="13" t="s">
        <v>634</v>
      </c>
      <c r="E1549" t="s">
        <v>248</v>
      </c>
      <c r="F1549" s="11">
        <v>1</v>
      </c>
      <c r="G1549" s="11">
        <v>21848.74</v>
      </c>
    </row>
    <row r="1550" spans="2:7" x14ac:dyDescent="0.2">
      <c r="B1550" s="32">
        <v>45831</v>
      </c>
      <c r="C1550" t="s">
        <v>142</v>
      </c>
      <c r="D1550" s="13" t="s">
        <v>633</v>
      </c>
      <c r="E1550" t="s">
        <v>1839</v>
      </c>
      <c r="F1550" s="11">
        <v>1</v>
      </c>
      <c r="G1550" s="11">
        <v>130252.1</v>
      </c>
    </row>
    <row r="1551" spans="2:7" x14ac:dyDescent="0.2">
      <c r="B1551" s="32">
        <v>45831</v>
      </c>
      <c r="C1551" t="s">
        <v>142</v>
      </c>
      <c r="D1551" s="13" t="s">
        <v>633</v>
      </c>
      <c r="E1551" t="s">
        <v>1900</v>
      </c>
      <c r="F1551" s="11">
        <v>1</v>
      </c>
      <c r="G1551" s="11">
        <v>75630.25</v>
      </c>
    </row>
    <row r="1552" spans="2:7" x14ac:dyDescent="0.2">
      <c r="B1552" s="32">
        <v>45831</v>
      </c>
      <c r="C1552" t="s">
        <v>142</v>
      </c>
      <c r="D1552" s="13" t="s">
        <v>633</v>
      </c>
      <c r="E1552" t="s">
        <v>336</v>
      </c>
      <c r="F1552" s="11">
        <v>1</v>
      </c>
      <c r="G1552" s="11">
        <v>71428.570000000007</v>
      </c>
    </row>
    <row r="1553" spans="2:7" x14ac:dyDescent="0.2">
      <c r="B1553" s="32">
        <v>45831</v>
      </c>
      <c r="C1553" t="s">
        <v>142</v>
      </c>
      <c r="D1553" s="13" t="s">
        <v>633</v>
      </c>
      <c r="E1553" t="s">
        <v>827</v>
      </c>
      <c r="F1553" s="11">
        <v>1</v>
      </c>
      <c r="G1553" s="11">
        <v>67226.89</v>
      </c>
    </row>
    <row r="1554" spans="2:7" x14ac:dyDescent="0.2">
      <c r="B1554" s="32">
        <v>45831</v>
      </c>
      <c r="C1554" t="s">
        <v>142</v>
      </c>
      <c r="D1554" s="13" t="s">
        <v>633</v>
      </c>
      <c r="E1554" t="s">
        <v>537</v>
      </c>
      <c r="F1554" s="11">
        <v>1</v>
      </c>
      <c r="G1554" s="11">
        <v>58823.53</v>
      </c>
    </row>
    <row r="1555" spans="2:7" x14ac:dyDescent="0.2">
      <c r="B1555" s="32">
        <v>45831</v>
      </c>
      <c r="C1555" t="s">
        <v>142</v>
      </c>
      <c r="D1555" s="13" t="s">
        <v>633</v>
      </c>
      <c r="E1555" t="s">
        <v>279</v>
      </c>
      <c r="F1555" s="11">
        <v>1</v>
      </c>
      <c r="G1555" s="11">
        <v>58823.53</v>
      </c>
    </row>
    <row r="1556" spans="2:7" x14ac:dyDescent="0.2">
      <c r="B1556" s="32">
        <v>45831</v>
      </c>
      <c r="C1556" t="s">
        <v>142</v>
      </c>
      <c r="D1556" s="13" t="s">
        <v>633</v>
      </c>
      <c r="E1556" t="s">
        <v>619</v>
      </c>
      <c r="F1556" s="11">
        <v>1</v>
      </c>
      <c r="G1556" s="11">
        <v>50420.17</v>
      </c>
    </row>
    <row r="1557" spans="2:7" x14ac:dyDescent="0.2">
      <c r="B1557" s="32">
        <v>45831</v>
      </c>
      <c r="C1557" t="s">
        <v>142</v>
      </c>
      <c r="D1557" s="13" t="s">
        <v>633</v>
      </c>
      <c r="E1557" t="s">
        <v>764</v>
      </c>
      <c r="F1557" s="11">
        <v>1</v>
      </c>
      <c r="G1557" s="11">
        <v>50420.17</v>
      </c>
    </row>
    <row r="1558" spans="2:7" x14ac:dyDescent="0.2">
      <c r="B1558" s="32">
        <v>45831</v>
      </c>
      <c r="C1558" t="s">
        <v>142</v>
      </c>
      <c r="D1558" s="13" t="s">
        <v>633</v>
      </c>
      <c r="E1558" t="s">
        <v>148</v>
      </c>
      <c r="F1558" s="11">
        <v>1</v>
      </c>
      <c r="G1558" s="11">
        <v>37815.129999999997</v>
      </c>
    </row>
    <row r="1559" spans="2:7" x14ac:dyDescent="0.2">
      <c r="B1559" s="32">
        <v>45831</v>
      </c>
      <c r="C1559" t="s">
        <v>142</v>
      </c>
      <c r="D1559" s="13" t="s">
        <v>633</v>
      </c>
      <c r="E1559" t="s">
        <v>173</v>
      </c>
      <c r="F1559" s="11">
        <v>1</v>
      </c>
      <c r="G1559" s="11">
        <v>37815.129999999997</v>
      </c>
    </row>
    <row r="1560" spans="2:7" x14ac:dyDescent="0.2">
      <c r="B1560" s="32">
        <v>45832</v>
      </c>
      <c r="C1560" t="s">
        <v>142</v>
      </c>
      <c r="D1560" s="13"/>
      <c r="E1560" t="s">
        <v>298</v>
      </c>
      <c r="F1560" s="11">
        <v>88</v>
      </c>
      <c r="G1560" s="11">
        <v>7228571.4299999997</v>
      </c>
    </row>
    <row r="1561" spans="2:7" x14ac:dyDescent="0.2">
      <c r="B1561" s="32">
        <v>45832</v>
      </c>
      <c r="C1561" t="s">
        <v>142</v>
      </c>
      <c r="D1561" s="13" t="s">
        <v>634</v>
      </c>
      <c r="E1561" t="s">
        <v>535</v>
      </c>
      <c r="F1561" s="11">
        <v>3</v>
      </c>
      <c r="G1561" s="11">
        <v>196638.66</v>
      </c>
    </row>
    <row r="1562" spans="2:7" x14ac:dyDescent="0.2">
      <c r="B1562" s="32">
        <v>45832</v>
      </c>
      <c r="C1562" t="s">
        <v>142</v>
      </c>
      <c r="D1562" s="13" t="s">
        <v>634</v>
      </c>
      <c r="E1562" t="s">
        <v>207</v>
      </c>
      <c r="F1562" s="11">
        <v>1</v>
      </c>
      <c r="G1562" s="11">
        <v>96638.66</v>
      </c>
    </row>
    <row r="1563" spans="2:7" x14ac:dyDescent="0.2">
      <c r="B1563" s="32">
        <v>45832</v>
      </c>
      <c r="C1563" t="s">
        <v>142</v>
      </c>
      <c r="D1563" s="13" t="s">
        <v>634</v>
      </c>
      <c r="E1563" t="s">
        <v>185</v>
      </c>
      <c r="F1563" s="11">
        <v>1</v>
      </c>
      <c r="G1563" s="11">
        <v>96638.66</v>
      </c>
    </row>
    <row r="1564" spans="2:7" x14ac:dyDescent="0.2">
      <c r="B1564" s="32">
        <v>45832</v>
      </c>
      <c r="C1564" t="s">
        <v>142</v>
      </c>
      <c r="D1564" s="13" t="s">
        <v>634</v>
      </c>
      <c r="E1564" t="s">
        <v>452</v>
      </c>
      <c r="F1564" s="11">
        <v>2</v>
      </c>
      <c r="G1564" s="11">
        <v>75630.259999999995</v>
      </c>
    </row>
    <row r="1565" spans="2:7" x14ac:dyDescent="0.2">
      <c r="B1565" s="32">
        <v>45832</v>
      </c>
      <c r="C1565" t="s">
        <v>142</v>
      </c>
      <c r="D1565" s="13" t="s">
        <v>634</v>
      </c>
      <c r="E1565" t="s">
        <v>382</v>
      </c>
      <c r="F1565" s="11">
        <v>2</v>
      </c>
      <c r="G1565" s="11">
        <v>75630.25</v>
      </c>
    </row>
    <row r="1566" spans="2:7" x14ac:dyDescent="0.2">
      <c r="B1566" s="32">
        <v>45832</v>
      </c>
      <c r="C1566" t="s">
        <v>142</v>
      </c>
      <c r="D1566" s="13" t="s">
        <v>634</v>
      </c>
      <c r="E1566" t="s">
        <v>300</v>
      </c>
      <c r="F1566" s="11">
        <v>2</v>
      </c>
      <c r="G1566" s="11">
        <v>75630.25</v>
      </c>
    </row>
    <row r="1567" spans="2:7" x14ac:dyDescent="0.2">
      <c r="B1567" s="32">
        <v>45832</v>
      </c>
      <c r="C1567" t="s">
        <v>142</v>
      </c>
      <c r="D1567" s="13" t="s">
        <v>634</v>
      </c>
      <c r="E1567" t="s">
        <v>176</v>
      </c>
      <c r="F1567" s="11">
        <v>1</v>
      </c>
      <c r="G1567" s="11">
        <v>58823.53</v>
      </c>
    </row>
    <row r="1568" spans="2:7" x14ac:dyDescent="0.2">
      <c r="B1568" s="32">
        <v>45832</v>
      </c>
      <c r="C1568" t="s">
        <v>142</v>
      </c>
      <c r="D1568" s="13" t="s">
        <v>634</v>
      </c>
      <c r="E1568" t="s">
        <v>374</v>
      </c>
      <c r="F1568" s="11">
        <v>1</v>
      </c>
      <c r="G1568" s="11">
        <v>58823.519999999997</v>
      </c>
    </row>
    <row r="1569" spans="2:7" x14ac:dyDescent="0.2">
      <c r="B1569" s="32">
        <v>45832</v>
      </c>
      <c r="C1569" t="s">
        <v>142</v>
      </c>
      <c r="D1569" s="13" t="s">
        <v>634</v>
      </c>
      <c r="E1569" t="s">
        <v>160</v>
      </c>
      <c r="F1569" s="11">
        <v>1</v>
      </c>
      <c r="G1569" s="11">
        <v>46218.49</v>
      </c>
    </row>
    <row r="1570" spans="2:7" x14ac:dyDescent="0.2">
      <c r="B1570" s="32">
        <v>45832</v>
      </c>
      <c r="C1570" t="s">
        <v>142</v>
      </c>
      <c r="D1570" s="13" t="s">
        <v>634</v>
      </c>
      <c r="F1570" s="11">
        <v>0</v>
      </c>
      <c r="G1570" s="11">
        <v>0</v>
      </c>
    </row>
    <row r="1571" spans="2:7" x14ac:dyDescent="0.2">
      <c r="B1571" s="32">
        <v>45832</v>
      </c>
      <c r="C1571" t="s">
        <v>142</v>
      </c>
      <c r="D1571" s="13" t="s">
        <v>634</v>
      </c>
      <c r="E1571" t="s">
        <v>1719</v>
      </c>
      <c r="F1571" s="11">
        <v>0</v>
      </c>
      <c r="G1571" s="11">
        <v>-25210.080000000002</v>
      </c>
    </row>
    <row r="1572" spans="2:7" x14ac:dyDescent="0.2">
      <c r="B1572" s="32">
        <v>45832</v>
      </c>
      <c r="C1572" t="s">
        <v>142</v>
      </c>
      <c r="D1572" s="13" t="s">
        <v>633</v>
      </c>
      <c r="E1572" t="s">
        <v>1906</v>
      </c>
      <c r="F1572" s="11">
        <v>1</v>
      </c>
      <c r="G1572" s="11">
        <v>252100.84</v>
      </c>
    </row>
    <row r="1573" spans="2:7" x14ac:dyDescent="0.2">
      <c r="B1573" s="32">
        <v>45832</v>
      </c>
      <c r="C1573" t="s">
        <v>142</v>
      </c>
      <c r="D1573" s="13" t="s">
        <v>633</v>
      </c>
      <c r="E1573" t="s">
        <v>207</v>
      </c>
      <c r="F1573" s="11">
        <v>1</v>
      </c>
      <c r="G1573" s="11">
        <v>96638.66</v>
      </c>
    </row>
    <row r="1574" spans="2:7" x14ac:dyDescent="0.2">
      <c r="B1574" s="32">
        <v>45832</v>
      </c>
      <c r="C1574" t="s">
        <v>142</v>
      </c>
      <c r="D1574" s="13" t="s">
        <v>633</v>
      </c>
      <c r="E1574" t="s">
        <v>1799</v>
      </c>
      <c r="F1574" s="11">
        <v>1</v>
      </c>
      <c r="G1574" s="11">
        <v>54621.85</v>
      </c>
    </row>
    <row r="1575" spans="2:7" x14ac:dyDescent="0.2">
      <c r="B1575" s="32">
        <v>45832</v>
      </c>
      <c r="C1575" t="s">
        <v>142</v>
      </c>
      <c r="D1575" s="13" t="s">
        <v>633</v>
      </c>
      <c r="F1575" s="11">
        <v>0</v>
      </c>
      <c r="G1575" s="11">
        <v>0</v>
      </c>
    </row>
    <row r="1576" spans="2:7" x14ac:dyDescent="0.2">
      <c r="B1576" s="32">
        <v>45833</v>
      </c>
      <c r="C1576" t="s">
        <v>142</v>
      </c>
      <c r="D1576" s="13"/>
      <c r="F1576" s="11">
        <v>0</v>
      </c>
      <c r="G1576" s="11">
        <v>0</v>
      </c>
    </row>
    <row r="1577" spans="2:7" x14ac:dyDescent="0.2">
      <c r="B1577" s="32">
        <v>45833</v>
      </c>
      <c r="C1577" t="s">
        <v>142</v>
      </c>
      <c r="D1577" s="13"/>
      <c r="E1577" t="s">
        <v>298</v>
      </c>
      <c r="F1577" s="11">
        <v>0</v>
      </c>
      <c r="G1577" s="11">
        <v>-246428.58</v>
      </c>
    </row>
    <row r="1578" spans="2:7" x14ac:dyDescent="0.2">
      <c r="B1578" s="32">
        <v>45833</v>
      </c>
      <c r="C1578" t="s">
        <v>142</v>
      </c>
      <c r="D1578" s="13" t="s">
        <v>634</v>
      </c>
      <c r="E1578" t="s">
        <v>1759</v>
      </c>
      <c r="F1578" s="11">
        <v>2</v>
      </c>
      <c r="G1578" s="11">
        <v>184873.94</v>
      </c>
    </row>
    <row r="1579" spans="2:7" x14ac:dyDescent="0.2">
      <c r="B1579" s="32">
        <v>45833</v>
      </c>
      <c r="C1579" t="s">
        <v>142</v>
      </c>
      <c r="D1579" s="13" t="s">
        <v>634</v>
      </c>
      <c r="E1579" t="s">
        <v>521</v>
      </c>
      <c r="F1579" s="11">
        <v>1</v>
      </c>
      <c r="G1579" s="11">
        <v>79831.94</v>
      </c>
    </row>
    <row r="1580" spans="2:7" x14ac:dyDescent="0.2">
      <c r="B1580" s="32">
        <v>45833</v>
      </c>
      <c r="C1580" t="s">
        <v>142</v>
      </c>
      <c r="D1580" s="13" t="s">
        <v>634</v>
      </c>
      <c r="E1580" t="s">
        <v>281</v>
      </c>
      <c r="F1580" s="11">
        <v>1</v>
      </c>
      <c r="G1580" s="11">
        <v>58823.53</v>
      </c>
    </row>
    <row r="1581" spans="2:7" x14ac:dyDescent="0.2">
      <c r="B1581" s="32">
        <v>45833</v>
      </c>
      <c r="C1581" t="s">
        <v>142</v>
      </c>
      <c r="D1581" s="13" t="s">
        <v>634</v>
      </c>
      <c r="E1581" t="s">
        <v>1753</v>
      </c>
      <c r="F1581" s="11">
        <v>1</v>
      </c>
      <c r="G1581" s="11">
        <v>54621.85</v>
      </c>
    </row>
    <row r="1582" spans="2:7" x14ac:dyDescent="0.2">
      <c r="B1582" s="32">
        <v>45833</v>
      </c>
      <c r="C1582" t="s">
        <v>142</v>
      </c>
      <c r="D1582" s="13" t="s">
        <v>634</v>
      </c>
      <c r="E1582" t="s">
        <v>239</v>
      </c>
      <c r="F1582" s="11">
        <v>1</v>
      </c>
      <c r="G1582" s="11">
        <v>46218.49</v>
      </c>
    </row>
    <row r="1583" spans="2:7" x14ac:dyDescent="0.2">
      <c r="B1583" s="32">
        <v>45833</v>
      </c>
      <c r="C1583" t="s">
        <v>142</v>
      </c>
      <c r="D1583" s="13" t="s">
        <v>634</v>
      </c>
      <c r="E1583" t="s">
        <v>210</v>
      </c>
      <c r="F1583" s="11">
        <v>1</v>
      </c>
      <c r="G1583" s="11">
        <v>46218.49</v>
      </c>
    </row>
    <row r="1584" spans="2:7" x14ac:dyDescent="0.2">
      <c r="B1584" s="32">
        <v>45833</v>
      </c>
      <c r="C1584" t="s">
        <v>142</v>
      </c>
      <c r="D1584" s="13" t="s">
        <v>634</v>
      </c>
      <c r="E1584" t="s">
        <v>1907</v>
      </c>
      <c r="F1584" s="11">
        <v>1</v>
      </c>
      <c r="G1584" s="11">
        <v>35294.120000000003</v>
      </c>
    </row>
    <row r="1585" spans="2:7" x14ac:dyDescent="0.2">
      <c r="B1585" s="32">
        <v>45833</v>
      </c>
      <c r="C1585" t="s">
        <v>142</v>
      </c>
      <c r="D1585" s="13" t="s">
        <v>634</v>
      </c>
      <c r="F1585" s="11">
        <v>0</v>
      </c>
      <c r="G1585" s="11">
        <v>0</v>
      </c>
    </row>
    <row r="1586" spans="2:7" x14ac:dyDescent="0.2">
      <c r="B1586" s="32">
        <v>45833</v>
      </c>
      <c r="C1586" t="s">
        <v>142</v>
      </c>
      <c r="D1586" s="13" t="s">
        <v>633</v>
      </c>
      <c r="E1586" t="s">
        <v>780</v>
      </c>
      <c r="F1586" s="11">
        <v>1</v>
      </c>
      <c r="G1586" s="11">
        <v>294117.65000000002</v>
      </c>
    </row>
    <row r="1587" spans="2:7" x14ac:dyDescent="0.2">
      <c r="B1587" s="32">
        <v>45833</v>
      </c>
      <c r="C1587" t="s">
        <v>142</v>
      </c>
      <c r="D1587" s="13" t="s">
        <v>633</v>
      </c>
      <c r="E1587" t="s">
        <v>451</v>
      </c>
      <c r="F1587" s="11">
        <v>2</v>
      </c>
      <c r="G1587" s="11">
        <v>272268.90999999997</v>
      </c>
    </row>
    <row r="1588" spans="2:7" x14ac:dyDescent="0.2">
      <c r="B1588" s="32">
        <v>45833</v>
      </c>
      <c r="C1588" t="s">
        <v>142</v>
      </c>
      <c r="D1588" s="13" t="s">
        <v>633</v>
      </c>
      <c r="F1588" s="11">
        <v>0</v>
      </c>
      <c r="G1588" s="11">
        <v>124000</v>
      </c>
    </row>
    <row r="1589" spans="2:7" x14ac:dyDescent="0.2">
      <c r="B1589" s="32">
        <v>45833</v>
      </c>
      <c r="C1589" t="s">
        <v>142</v>
      </c>
      <c r="D1589" s="13" t="s">
        <v>633</v>
      </c>
      <c r="E1589" t="s">
        <v>352</v>
      </c>
      <c r="F1589" s="11">
        <v>1</v>
      </c>
      <c r="G1589" s="11">
        <v>71428.570000000007</v>
      </c>
    </row>
    <row r="1590" spans="2:7" x14ac:dyDescent="0.2">
      <c r="B1590" s="32">
        <v>45833</v>
      </c>
      <c r="C1590" t="s">
        <v>142</v>
      </c>
      <c r="D1590" s="13" t="s">
        <v>633</v>
      </c>
      <c r="E1590" t="s">
        <v>1819</v>
      </c>
      <c r="F1590" s="11">
        <v>1</v>
      </c>
      <c r="G1590" s="11">
        <v>58823.53</v>
      </c>
    </row>
    <row r="1591" spans="2:7" x14ac:dyDescent="0.2">
      <c r="B1591" s="32">
        <v>45833</v>
      </c>
      <c r="C1591" t="s">
        <v>142</v>
      </c>
      <c r="D1591" s="13" t="s">
        <v>633</v>
      </c>
      <c r="E1591" t="s">
        <v>378</v>
      </c>
      <c r="F1591" s="11">
        <v>1</v>
      </c>
      <c r="G1591" s="11">
        <v>58823.53</v>
      </c>
    </row>
    <row r="1592" spans="2:7" x14ac:dyDescent="0.2">
      <c r="B1592" s="32">
        <v>45833</v>
      </c>
      <c r="C1592" t="s">
        <v>142</v>
      </c>
      <c r="D1592" s="13" t="s">
        <v>633</v>
      </c>
      <c r="E1592" t="s">
        <v>315</v>
      </c>
      <c r="F1592" s="11">
        <v>1</v>
      </c>
      <c r="G1592" s="11">
        <v>58823.53</v>
      </c>
    </row>
    <row r="1593" spans="2:7" x14ac:dyDescent="0.2">
      <c r="B1593" s="32">
        <v>45833</v>
      </c>
      <c r="C1593" t="s">
        <v>142</v>
      </c>
      <c r="D1593" s="13" t="s">
        <v>633</v>
      </c>
      <c r="E1593" t="s">
        <v>342</v>
      </c>
      <c r="F1593" s="11">
        <v>1</v>
      </c>
      <c r="G1593" s="11">
        <v>21848.74</v>
      </c>
    </row>
    <row r="1594" spans="2:7" x14ac:dyDescent="0.2">
      <c r="B1594" s="32">
        <v>45833</v>
      </c>
      <c r="C1594" t="s">
        <v>142</v>
      </c>
      <c r="D1594" s="13" t="s">
        <v>633</v>
      </c>
      <c r="E1594" t="s">
        <v>1881</v>
      </c>
      <c r="F1594" s="11">
        <v>0</v>
      </c>
      <c r="G1594" s="11">
        <v>-96638.66</v>
      </c>
    </row>
    <row r="1595" spans="2:7" x14ac:dyDescent="0.2">
      <c r="B1595" s="32">
        <v>45834</v>
      </c>
      <c r="C1595" t="s">
        <v>142</v>
      </c>
      <c r="D1595" s="13" t="s">
        <v>634</v>
      </c>
      <c r="E1595" t="s">
        <v>154</v>
      </c>
      <c r="F1595" s="11">
        <v>1</v>
      </c>
      <c r="G1595" s="11">
        <v>96638.66</v>
      </c>
    </row>
    <row r="1596" spans="2:7" x14ac:dyDescent="0.2">
      <c r="B1596" s="32">
        <v>45834</v>
      </c>
      <c r="C1596" t="s">
        <v>142</v>
      </c>
      <c r="D1596" s="13" t="s">
        <v>634</v>
      </c>
      <c r="E1596" t="s">
        <v>167</v>
      </c>
      <c r="F1596" s="11">
        <v>1</v>
      </c>
      <c r="G1596" s="11">
        <v>96638.66</v>
      </c>
    </row>
    <row r="1597" spans="2:7" x14ac:dyDescent="0.2">
      <c r="B1597" s="32">
        <v>45834</v>
      </c>
      <c r="C1597" t="s">
        <v>142</v>
      </c>
      <c r="D1597" s="13" t="s">
        <v>634</v>
      </c>
      <c r="E1597" t="s">
        <v>169</v>
      </c>
      <c r="F1597" s="11">
        <v>1</v>
      </c>
      <c r="G1597" s="11">
        <v>96638.65</v>
      </c>
    </row>
    <row r="1598" spans="2:7" x14ac:dyDescent="0.2">
      <c r="B1598" s="32">
        <v>45834</v>
      </c>
      <c r="C1598" t="s">
        <v>142</v>
      </c>
      <c r="D1598" s="13" t="s">
        <v>634</v>
      </c>
      <c r="E1598" t="s">
        <v>1908</v>
      </c>
      <c r="F1598" s="11">
        <v>2</v>
      </c>
      <c r="G1598" s="11">
        <v>92436.97</v>
      </c>
    </row>
    <row r="1599" spans="2:7" x14ac:dyDescent="0.2">
      <c r="B1599" s="32">
        <v>45834</v>
      </c>
      <c r="C1599" t="s">
        <v>142</v>
      </c>
      <c r="D1599" s="13" t="s">
        <v>634</v>
      </c>
      <c r="E1599" t="s">
        <v>315</v>
      </c>
      <c r="F1599" s="11">
        <v>1</v>
      </c>
      <c r="G1599" s="11">
        <v>58823.53</v>
      </c>
    </row>
    <row r="1600" spans="2:7" x14ac:dyDescent="0.2">
      <c r="B1600" s="32">
        <v>45834</v>
      </c>
      <c r="C1600" t="s">
        <v>142</v>
      </c>
      <c r="D1600" s="13" t="s">
        <v>634</v>
      </c>
      <c r="E1600" t="s">
        <v>378</v>
      </c>
      <c r="F1600" s="11">
        <v>1</v>
      </c>
      <c r="G1600" s="11">
        <v>58823.53</v>
      </c>
    </row>
    <row r="1601" spans="2:7" x14ac:dyDescent="0.2">
      <c r="B1601" s="32">
        <v>45834</v>
      </c>
      <c r="C1601" t="s">
        <v>142</v>
      </c>
      <c r="D1601" s="13" t="s">
        <v>634</v>
      </c>
      <c r="E1601" t="s">
        <v>721</v>
      </c>
      <c r="F1601" s="11">
        <v>1</v>
      </c>
      <c r="G1601" s="11">
        <v>58823.53</v>
      </c>
    </row>
    <row r="1602" spans="2:7" x14ac:dyDescent="0.2">
      <c r="B1602" s="32">
        <v>45834</v>
      </c>
      <c r="C1602" t="s">
        <v>142</v>
      </c>
      <c r="D1602" s="13" t="s">
        <v>634</v>
      </c>
      <c r="E1602" t="s">
        <v>1819</v>
      </c>
      <c r="F1602" s="11">
        <v>1</v>
      </c>
      <c r="G1602" s="11">
        <v>58823.53</v>
      </c>
    </row>
    <row r="1603" spans="2:7" x14ac:dyDescent="0.2">
      <c r="B1603" s="32">
        <v>45834</v>
      </c>
      <c r="C1603" t="s">
        <v>142</v>
      </c>
      <c r="D1603" s="13" t="s">
        <v>634</v>
      </c>
      <c r="E1603" t="s">
        <v>166</v>
      </c>
      <c r="F1603" s="11">
        <v>1</v>
      </c>
      <c r="G1603" s="11">
        <v>42016.81</v>
      </c>
    </row>
    <row r="1604" spans="2:7" x14ac:dyDescent="0.2">
      <c r="B1604" s="32">
        <v>45834</v>
      </c>
      <c r="C1604" t="s">
        <v>142</v>
      </c>
      <c r="D1604" s="13" t="s">
        <v>634</v>
      </c>
      <c r="E1604" t="s">
        <v>342</v>
      </c>
      <c r="F1604" s="11">
        <v>1</v>
      </c>
      <c r="G1604" s="11">
        <v>21848.74</v>
      </c>
    </row>
    <row r="1605" spans="2:7" x14ac:dyDescent="0.2">
      <c r="B1605" s="32">
        <v>45834</v>
      </c>
      <c r="C1605" t="s">
        <v>142</v>
      </c>
      <c r="D1605" s="13" t="s">
        <v>634</v>
      </c>
      <c r="F1605" s="11">
        <v>0</v>
      </c>
      <c r="G1605" s="11">
        <v>0</v>
      </c>
    </row>
    <row r="1606" spans="2:7" x14ac:dyDescent="0.2">
      <c r="B1606" s="32">
        <v>45834</v>
      </c>
      <c r="C1606" t="s">
        <v>142</v>
      </c>
      <c r="D1606" s="13" t="s">
        <v>633</v>
      </c>
      <c r="E1606" t="s">
        <v>312</v>
      </c>
      <c r="F1606" s="11">
        <v>2</v>
      </c>
      <c r="G1606" s="11">
        <v>201680.67</v>
      </c>
    </row>
    <row r="1607" spans="2:7" x14ac:dyDescent="0.2">
      <c r="B1607" s="32">
        <v>45834</v>
      </c>
      <c r="C1607" t="s">
        <v>142</v>
      </c>
      <c r="D1607" s="13" t="s">
        <v>633</v>
      </c>
      <c r="E1607" t="s">
        <v>292</v>
      </c>
      <c r="F1607" s="11">
        <v>2</v>
      </c>
      <c r="G1607" s="11">
        <v>109243.7</v>
      </c>
    </row>
    <row r="1608" spans="2:7" x14ac:dyDescent="0.2">
      <c r="B1608" s="32">
        <v>45834</v>
      </c>
      <c r="C1608" t="s">
        <v>142</v>
      </c>
      <c r="D1608" s="13" t="s">
        <v>633</v>
      </c>
      <c r="E1608" t="s">
        <v>1909</v>
      </c>
      <c r="F1608" s="11">
        <v>1</v>
      </c>
      <c r="G1608" s="11">
        <v>100840.34</v>
      </c>
    </row>
    <row r="1609" spans="2:7" x14ac:dyDescent="0.2">
      <c r="B1609" s="32">
        <v>45834</v>
      </c>
      <c r="C1609" t="s">
        <v>142</v>
      </c>
      <c r="D1609" s="13" t="s">
        <v>633</v>
      </c>
      <c r="E1609" t="s">
        <v>438</v>
      </c>
      <c r="F1609" s="11">
        <v>1</v>
      </c>
      <c r="G1609" s="11">
        <v>65000</v>
      </c>
    </row>
    <row r="1610" spans="2:7" x14ac:dyDescent="0.2">
      <c r="B1610" s="32">
        <v>45834</v>
      </c>
      <c r="C1610" t="s">
        <v>142</v>
      </c>
      <c r="D1610" s="13" t="s">
        <v>633</v>
      </c>
      <c r="E1610" t="s">
        <v>218</v>
      </c>
      <c r="F1610" s="11">
        <v>3</v>
      </c>
      <c r="G1610" s="11">
        <v>63025.21</v>
      </c>
    </row>
    <row r="1611" spans="2:7" x14ac:dyDescent="0.2">
      <c r="B1611" s="32">
        <v>45834</v>
      </c>
      <c r="C1611" t="s">
        <v>142</v>
      </c>
      <c r="D1611" s="13" t="s">
        <v>633</v>
      </c>
      <c r="F1611" s="11">
        <v>0</v>
      </c>
      <c r="G1611" s="11">
        <v>0</v>
      </c>
    </row>
    <row r="1612" spans="2:7" x14ac:dyDescent="0.2">
      <c r="B1612" s="32">
        <v>45835</v>
      </c>
      <c r="C1612" t="s">
        <v>142</v>
      </c>
      <c r="D1612" s="13" t="s">
        <v>634</v>
      </c>
      <c r="E1612" t="s">
        <v>378</v>
      </c>
      <c r="F1612" s="11">
        <v>2</v>
      </c>
      <c r="G1612" s="11">
        <v>117647.06</v>
      </c>
    </row>
    <row r="1613" spans="2:7" x14ac:dyDescent="0.2">
      <c r="B1613" s="32">
        <v>45835</v>
      </c>
      <c r="C1613" t="s">
        <v>142</v>
      </c>
      <c r="D1613" s="13" t="s">
        <v>634</v>
      </c>
      <c r="E1613" t="s">
        <v>423</v>
      </c>
      <c r="F1613" s="11">
        <v>1</v>
      </c>
      <c r="G1613" s="11">
        <v>109243.7</v>
      </c>
    </row>
    <row r="1614" spans="2:7" x14ac:dyDescent="0.2">
      <c r="B1614" s="32">
        <v>45835</v>
      </c>
      <c r="C1614" t="s">
        <v>142</v>
      </c>
      <c r="D1614" s="13" t="s">
        <v>634</v>
      </c>
      <c r="E1614" t="s">
        <v>316</v>
      </c>
      <c r="F1614" s="11">
        <v>1</v>
      </c>
      <c r="G1614" s="11">
        <v>100840.34</v>
      </c>
    </row>
    <row r="1615" spans="2:7" x14ac:dyDescent="0.2">
      <c r="B1615" s="32">
        <v>45835</v>
      </c>
      <c r="C1615" t="s">
        <v>142</v>
      </c>
      <c r="D1615" s="13" t="s">
        <v>634</v>
      </c>
      <c r="E1615" t="s">
        <v>345</v>
      </c>
      <c r="F1615" s="11">
        <v>1</v>
      </c>
      <c r="G1615" s="11">
        <v>100840.33</v>
      </c>
    </row>
    <row r="1616" spans="2:7" x14ac:dyDescent="0.2">
      <c r="B1616" s="32">
        <v>45835</v>
      </c>
      <c r="C1616" t="s">
        <v>142</v>
      </c>
      <c r="D1616" s="13" t="s">
        <v>634</v>
      </c>
      <c r="E1616" t="s">
        <v>207</v>
      </c>
      <c r="F1616" s="11">
        <v>1</v>
      </c>
      <c r="G1616" s="11">
        <v>96638.66</v>
      </c>
    </row>
    <row r="1617" spans="2:7" x14ac:dyDescent="0.2">
      <c r="B1617" s="32">
        <v>45835</v>
      </c>
      <c r="C1617" t="s">
        <v>142</v>
      </c>
      <c r="D1617" s="13" t="s">
        <v>634</v>
      </c>
      <c r="E1617" t="s">
        <v>205</v>
      </c>
      <c r="F1617" s="11">
        <v>1</v>
      </c>
      <c r="G1617" s="11">
        <v>58823.53</v>
      </c>
    </row>
    <row r="1618" spans="2:7" x14ac:dyDescent="0.2">
      <c r="B1618" s="32">
        <v>45835</v>
      </c>
      <c r="C1618" t="s">
        <v>142</v>
      </c>
      <c r="D1618" s="13" t="s">
        <v>634</v>
      </c>
      <c r="E1618" t="s">
        <v>163</v>
      </c>
      <c r="F1618" s="11">
        <v>1</v>
      </c>
      <c r="G1618" s="11">
        <v>58823.53</v>
      </c>
    </row>
    <row r="1619" spans="2:7" x14ac:dyDescent="0.2">
      <c r="B1619" s="32">
        <v>45835</v>
      </c>
      <c r="C1619" t="s">
        <v>142</v>
      </c>
      <c r="D1619" s="13" t="s">
        <v>634</v>
      </c>
      <c r="E1619" t="s">
        <v>342</v>
      </c>
      <c r="F1619" s="11">
        <v>1</v>
      </c>
      <c r="G1619" s="11">
        <v>21848.74</v>
      </c>
    </row>
    <row r="1620" spans="2:7" x14ac:dyDescent="0.2">
      <c r="B1620" s="32">
        <v>45835</v>
      </c>
      <c r="C1620" t="s">
        <v>142</v>
      </c>
      <c r="D1620" s="13" t="s">
        <v>634</v>
      </c>
      <c r="F1620" s="11">
        <v>0</v>
      </c>
      <c r="G1620" s="11">
        <v>0</v>
      </c>
    </row>
    <row r="1621" spans="2:7" x14ac:dyDescent="0.2">
      <c r="B1621" s="32">
        <v>45835</v>
      </c>
      <c r="C1621" t="s">
        <v>142</v>
      </c>
      <c r="D1621" s="13" t="s">
        <v>633</v>
      </c>
      <c r="E1621" t="s">
        <v>251</v>
      </c>
      <c r="F1621" s="11">
        <v>1</v>
      </c>
      <c r="G1621" s="11">
        <v>58823.53</v>
      </c>
    </row>
    <row r="1622" spans="2:7" x14ac:dyDescent="0.2">
      <c r="B1622" s="32">
        <v>45835</v>
      </c>
      <c r="C1622" t="s">
        <v>142</v>
      </c>
      <c r="D1622" s="13" t="s">
        <v>633</v>
      </c>
      <c r="E1622" t="s">
        <v>372</v>
      </c>
      <c r="F1622" s="11">
        <v>1</v>
      </c>
      <c r="G1622" s="11">
        <v>58823.53</v>
      </c>
    </row>
    <row r="1623" spans="2:7" x14ac:dyDescent="0.2">
      <c r="B1623" s="32">
        <v>45835</v>
      </c>
      <c r="C1623" t="s">
        <v>142</v>
      </c>
      <c r="D1623" s="13" t="s">
        <v>633</v>
      </c>
      <c r="F1623" s="11">
        <v>0</v>
      </c>
      <c r="G1623" s="11">
        <v>0</v>
      </c>
    </row>
    <row r="1624" spans="2:7" x14ac:dyDescent="0.2">
      <c r="B1624" s="32">
        <v>45835</v>
      </c>
      <c r="C1624" t="s">
        <v>1739</v>
      </c>
      <c r="D1624" s="13" t="s">
        <v>633</v>
      </c>
      <c r="E1624" t="s">
        <v>1910</v>
      </c>
      <c r="F1624" s="11">
        <v>1</v>
      </c>
      <c r="G1624" s="11">
        <v>413445.38</v>
      </c>
    </row>
    <row r="1625" spans="2:7" x14ac:dyDescent="0.2">
      <c r="B1625" s="32">
        <v>45835</v>
      </c>
      <c r="C1625" t="s">
        <v>1739</v>
      </c>
      <c r="D1625" s="13" t="s">
        <v>633</v>
      </c>
      <c r="E1625" t="s">
        <v>732</v>
      </c>
      <c r="F1625" s="11">
        <v>20</v>
      </c>
      <c r="G1625" s="11">
        <v>58823.53</v>
      </c>
    </row>
    <row r="1626" spans="2:7" x14ac:dyDescent="0.2">
      <c r="B1626" s="32">
        <v>45835</v>
      </c>
      <c r="C1626" t="s">
        <v>1739</v>
      </c>
      <c r="D1626" s="13" t="s">
        <v>633</v>
      </c>
      <c r="E1626" t="s">
        <v>635</v>
      </c>
      <c r="F1626" s="11">
        <v>20</v>
      </c>
      <c r="G1626" s="11">
        <v>58823.53</v>
      </c>
    </row>
    <row r="1627" spans="2:7" x14ac:dyDescent="0.2">
      <c r="B1627" s="32">
        <v>45835</v>
      </c>
      <c r="C1627" t="s">
        <v>1739</v>
      </c>
      <c r="D1627" s="13" t="s">
        <v>633</v>
      </c>
      <c r="F1627" s="11">
        <v>0</v>
      </c>
      <c r="G1627" s="11">
        <v>0</v>
      </c>
    </row>
    <row r="1628" spans="2:7" x14ac:dyDescent="0.2">
      <c r="B1628" s="32">
        <v>45836</v>
      </c>
      <c r="C1628" t="s">
        <v>142</v>
      </c>
      <c r="D1628" s="13" t="s">
        <v>634</v>
      </c>
      <c r="E1628" t="s">
        <v>1911</v>
      </c>
      <c r="F1628" s="11">
        <v>1</v>
      </c>
      <c r="G1628" s="11">
        <v>285714.28000000003</v>
      </c>
    </row>
    <row r="1629" spans="2:7" x14ac:dyDescent="0.2">
      <c r="B1629" s="32">
        <v>45836</v>
      </c>
      <c r="C1629" t="s">
        <v>142</v>
      </c>
      <c r="D1629" s="13" t="s">
        <v>634</v>
      </c>
      <c r="E1629" t="s">
        <v>713</v>
      </c>
      <c r="F1629" s="11">
        <v>1</v>
      </c>
      <c r="G1629" s="11">
        <v>243697.48</v>
      </c>
    </row>
    <row r="1630" spans="2:7" x14ac:dyDescent="0.2">
      <c r="B1630" s="32">
        <v>45836</v>
      </c>
      <c r="C1630" t="s">
        <v>142</v>
      </c>
      <c r="D1630" s="13" t="s">
        <v>634</v>
      </c>
      <c r="E1630" t="s">
        <v>208</v>
      </c>
      <c r="F1630" s="11">
        <v>1</v>
      </c>
      <c r="G1630" s="11">
        <v>58823.53</v>
      </c>
    </row>
    <row r="1631" spans="2:7" x14ac:dyDescent="0.2">
      <c r="B1631" s="32">
        <v>45836</v>
      </c>
      <c r="C1631" t="s">
        <v>142</v>
      </c>
      <c r="D1631" s="13" t="s">
        <v>634</v>
      </c>
      <c r="E1631" t="s">
        <v>221</v>
      </c>
      <c r="F1631" s="11">
        <v>1</v>
      </c>
      <c r="G1631" s="11">
        <v>46218.49</v>
      </c>
    </row>
    <row r="1632" spans="2:7" x14ac:dyDescent="0.2">
      <c r="B1632" s="32">
        <v>45836</v>
      </c>
      <c r="C1632" t="s">
        <v>142</v>
      </c>
      <c r="D1632" s="13" t="s">
        <v>634</v>
      </c>
      <c r="E1632" t="s">
        <v>158</v>
      </c>
      <c r="F1632" s="11">
        <v>1</v>
      </c>
      <c r="G1632" s="11">
        <v>42016.81</v>
      </c>
    </row>
    <row r="1633" spans="2:7" x14ac:dyDescent="0.2">
      <c r="B1633" s="32">
        <v>45836</v>
      </c>
      <c r="C1633" t="s">
        <v>142</v>
      </c>
      <c r="D1633" s="13" t="s">
        <v>634</v>
      </c>
      <c r="F1633" s="11">
        <v>0</v>
      </c>
      <c r="G1633" s="11">
        <v>0</v>
      </c>
    </row>
    <row r="1634" spans="2:7" x14ac:dyDescent="0.2">
      <c r="B1634" s="32">
        <v>45836</v>
      </c>
      <c r="C1634" t="s">
        <v>142</v>
      </c>
      <c r="D1634" s="13" t="s">
        <v>633</v>
      </c>
      <c r="E1634" t="s">
        <v>563</v>
      </c>
      <c r="F1634" s="11">
        <v>1</v>
      </c>
      <c r="G1634" s="11">
        <v>79831.929999999993</v>
      </c>
    </row>
    <row r="1635" spans="2:7" x14ac:dyDescent="0.2">
      <c r="B1635" s="32">
        <v>45836</v>
      </c>
      <c r="C1635" t="s">
        <v>142</v>
      </c>
      <c r="D1635" s="13" t="s">
        <v>633</v>
      </c>
      <c r="E1635" t="s">
        <v>1796</v>
      </c>
      <c r="F1635" s="11">
        <v>1</v>
      </c>
      <c r="G1635" s="11">
        <v>21008.41</v>
      </c>
    </row>
    <row r="1636" spans="2:7" x14ac:dyDescent="0.2">
      <c r="B1636" s="32">
        <v>45836</v>
      </c>
      <c r="C1636" t="s">
        <v>142</v>
      </c>
      <c r="D1636" s="13" t="s">
        <v>633</v>
      </c>
      <c r="F1636" s="11">
        <v>0</v>
      </c>
      <c r="G1636" s="11">
        <v>0</v>
      </c>
    </row>
    <row r="1637" spans="2:7" x14ac:dyDescent="0.2">
      <c r="B1637" s="32">
        <v>45837</v>
      </c>
      <c r="C1637" t="s">
        <v>142</v>
      </c>
      <c r="D1637" s="13" t="s">
        <v>634</v>
      </c>
      <c r="E1637" t="s">
        <v>1912</v>
      </c>
      <c r="F1637" s="11">
        <v>1</v>
      </c>
      <c r="G1637" s="11">
        <v>100840.34</v>
      </c>
    </row>
    <row r="1638" spans="2:7" x14ac:dyDescent="0.2">
      <c r="B1638" s="32">
        <v>45837</v>
      </c>
      <c r="C1638" t="s">
        <v>142</v>
      </c>
      <c r="D1638" s="13" t="s">
        <v>634</v>
      </c>
      <c r="F1638" s="11">
        <v>0</v>
      </c>
      <c r="G1638" s="11">
        <v>0</v>
      </c>
    </row>
    <row r="1639" spans="2:7" x14ac:dyDescent="0.2">
      <c r="B1639" s="32">
        <v>45837</v>
      </c>
      <c r="C1639" t="s">
        <v>142</v>
      </c>
      <c r="D1639" s="13" t="s">
        <v>633</v>
      </c>
      <c r="E1639" t="s">
        <v>664</v>
      </c>
      <c r="F1639" s="11">
        <v>1</v>
      </c>
      <c r="G1639" s="11">
        <v>109243.7</v>
      </c>
    </row>
    <row r="1640" spans="2:7" x14ac:dyDescent="0.2">
      <c r="B1640" s="32">
        <v>45837</v>
      </c>
      <c r="C1640" t="s">
        <v>142</v>
      </c>
      <c r="D1640" s="13" t="s">
        <v>633</v>
      </c>
      <c r="E1640" t="s">
        <v>366</v>
      </c>
      <c r="F1640" s="11">
        <v>1</v>
      </c>
      <c r="G1640" s="11">
        <v>58823.53</v>
      </c>
    </row>
    <row r="1641" spans="2:7" x14ac:dyDescent="0.2">
      <c r="B1641" s="32">
        <v>45837</v>
      </c>
      <c r="C1641" t="s">
        <v>142</v>
      </c>
      <c r="D1641" s="13" t="s">
        <v>633</v>
      </c>
      <c r="F1641" s="11">
        <v>0</v>
      </c>
      <c r="G1641" s="11">
        <v>0</v>
      </c>
    </row>
    <row r="1642" spans="2:7" x14ac:dyDescent="0.2">
      <c r="B1642" s="32">
        <v>45838</v>
      </c>
      <c r="C1642" t="s">
        <v>142</v>
      </c>
      <c r="D1642" s="13" t="s">
        <v>634</v>
      </c>
      <c r="E1642" t="s">
        <v>354</v>
      </c>
      <c r="F1642" s="11">
        <v>2</v>
      </c>
      <c r="G1642" s="11">
        <v>117647.06</v>
      </c>
    </row>
    <row r="1643" spans="2:7" x14ac:dyDescent="0.2">
      <c r="B1643" s="32">
        <v>45838</v>
      </c>
      <c r="C1643" t="s">
        <v>142</v>
      </c>
      <c r="D1643" s="13" t="s">
        <v>634</v>
      </c>
      <c r="E1643" t="s">
        <v>227</v>
      </c>
      <c r="F1643" s="11">
        <v>1</v>
      </c>
      <c r="G1643" s="11">
        <v>96638.66</v>
      </c>
    </row>
    <row r="1644" spans="2:7" x14ac:dyDescent="0.2">
      <c r="B1644" s="32">
        <v>45838</v>
      </c>
      <c r="C1644" t="s">
        <v>142</v>
      </c>
      <c r="D1644" s="13" t="s">
        <v>634</v>
      </c>
      <c r="E1644" t="s">
        <v>169</v>
      </c>
      <c r="F1644" s="11">
        <v>1</v>
      </c>
      <c r="G1644" s="11">
        <v>96638.66</v>
      </c>
    </row>
    <row r="1645" spans="2:7" x14ac:dyDescent="0.2">
      <c r="B1645" s="32">
        <v>45838</v>
      </c>
      <c r="C1645" t="s">
        <v>142</v>
      </c>
      <c r="D1645" s="13" t="s">
        <v>634</v>
      </c>
      <c r="E1645" t="s">
        <v>308</v>
      </c>
      <c r="F1645" s="11">
        <v>1</v>
      </c>
      <c r="G1645" s="11">
        <v>96638.66</v>
      </c>
    </row>
    <row r="1646" spans="2:7" x14ac:dyDescent="0.2">
      <c r="B1646" s="32">
        <v>45838</v>
      </c>
      <c r="C1646" t="s">
        <v>142</v>
      </c>
      <c r="D1646" s="13" t="s">
        <v>634</v>
      </c>
      <c r="E1646" t="s">
        <v>185</v>
      </c>
      <c r="F1646" s="11">
        <v>1</v>
      </c>
      <c r="G1646" s="11">
        <v>96638.65</v>
      </c>
    </row>
    <row r="1647" spans="2:7" x14ac:dyDescent="0.2">
      <c r="B1647" s="32">
        <v>45838</v>
      </c>
      <c r="C1647" t="s">
        <v>142</v>
      </c>
      <c r="D1647" s="13" t="s">
        <v>634</v>
      </c>
      <c r="E1647" t="s">
        <v>1913</v>
      </c>
      <c r="F1647" s="11">
        <v>1</v>
      </c>
      <c r="G1647" s="11">
        <v>58823.53</v>
      </c>
    </row>
    <row r="1648" spans="2:7" x14ac:dyDescent="0.2">
      <c r="B1648" s="32">
        <v>45838</v>
      </c>
      <c r="C1648" t="s">
        <v>142</v>
      </c>
      <c r="D1648" s="13" t="s">
        <v>634</v>
      </c>
      <c r="E1648" t="s">
        <v>306</v>
      </c>
      <c r="F1648" s="11">
        <v>1</v>
      </c>
      <c r="G1648" s="11">
        <v>58823.53</v>
      </c>
    </row>
    <row r="1649" spans="2:7" x14ac:dyDescent="0.2">
      <c r="B1649" s="32">
        <v>45838</v>
      </c>
      <c r="C1649" t="s">
        <v>142</v>
      </c>
      <c r="D1649" s="13" t="s">
        <v>634</v>
      </c>
      <c r="E1649" t="s">
        <v>564</v>
      </c>
      <c r="F1649" s="11">
        <v>1</v>
      </c>
      <c r="G1649" s="11">
        <v>58823.53</v>
      </c>
    </row>
    <row r="1650" spans="2:7" x14ac:dyDescent="0.2">
      <c r="B1650" s="32">
        <v>45838</v>
      </c>
      <c r="C1650" t="s">
        <v>142</v>
      </c>
      <c r="D1650" s="13" t="s">
        <v>634</v>
      </c>
      <c r="E1650" t="s">
        <v>229</v>
      </c>
      <c r="F1650" s="11">
        <v>1</v>
      </c>
      <c r="G1650" s="11">
        <v>42016.800000000003</v>
      </c>
    </row>
    <row r="1651" spans="2:7" x14ac:dyDescent="0.2">
      <c r="B1651" s="32">
        <v>45838</v>
      </c>
      <c r="C1651" t="s">
        <v>142</v>
      </c>
      <c r="D1651" s="13" t="s">
        <v>634</v>
      </c>
      <c r="F1651" s="11">
        <v>0</v>
      </c>
      <c r="G1651" s="11">
        <v>0</v>
      </c>
    </row>
    <row r="1652" spans="2:7" x14ac:dyDescent="0.2">
      <c r="B1652" s="32">
        <v>45838</v>
      </c>
      <c r="C1652" t="s">
        <v>142</v>
      </c>
      <c r="D1652" s="13" t="s">
        <v>633</v>
      </c>
      <c r="E1652" t="s">
        <v>167</v>
      </c>
      <c r="F1652" s="11">
        <v>1</v>
      </c>
      <c r="G1652" s="11">
        <v>96638.66</v>
      </c>
    </row>
    <row r="1653" spans="2:7" x14ac:dyDescent="0.2">
      <c r="B1653" s="32">
        <v>45838</v>
      </c>
      <c r="C1653" t="s">
        <v>142</v>
      </c>
      <c r="D1653" s="13" t="s">
        <v>633</v>
      </c>
      <c r="E1653" t="s">
        <v>192</v>
      </c>
      <c r="F1653" s="11">
        <v>1</v>
      </c>
      <c r="G1653" s="11">
        <v>71428.570000000007</v>
      </c>
    </row>
    <row r="1654" spans="2:7" x14ac:dyDescent="0.2">
      <c r="B1654" s="32">
        <v>45838</v>
      </c>
      <c r="C1654" t="s">
        <v>142</v>
      </c>
      <c r="D1654" s="13" t="s">
        <v>633</v>
      </c>
      <c r="E1654" t="s">
        <v>240</v>
      </c>
      <c r="F1654" s="11">
        <v>1</v>
      </c>
      <c r="G1654" s="11">
        <v>42016.800000000003</v>
      </c>
    </row>
    <row r="1655" spans="2:7" x14ac:dyDescent="0.2">
      <c r="B1655" s="32">
        <v>45838</v>
      </c>
      <c r="C1655" t="s">
        <v>142</v>
      </c>
      <c r="D1655" s="13" t="s">
        <v>633</v>
      </c>
      <c r="F1655" s="11">
        <v>0</v>
      </c>
      <c r="G1655" s="11">
        <v>0</v>
      </c>
    </row>
    <row r="1656" spans="2:7" x14ac:dyDescent="0.2">
      <c r="B1656" s="32">
        <v>45839</v>
      </c>
      <c r="C1656" t="s">
        <v>1726</v>
      </c>
      <c r="D1656" s="13" t="s">
        <v>633</v>
      </c>
      <c r="E1656" t="s">
        <v>342</v>
      </c>
      <c r="F1656" s="11">
        <v>1</v>
      </c>
      <c r="G1656" s="11">
        <v>21848.74</v>
      </c>
    </row>
    <row r="1657" spans="2:7" x14ac:dyDescent="0.2">
      <c r="B1657" s="32">
        <v>45839</v>
      </c>
      <c r="C1657" t="s">
        <v>142</v>
      </c>
      <c r="D1657" s="13" t="s">
        <v>634</v>
      </c>
      <c r="E1657" t="s">
        <v>226</v>
      </c>
      <c r="F1657" s="11">
        <v>1</v>
      </c>
      <c r="G1657" s="11">
        <v>117647.06</v>
      </c>
    </row>
    <row r="1658" spans="2:7" x14ac:dyDescent="0.2">
      <c r="B1658" s="32">
        <v>45839</v>
      </c>
      <c r="C1658" t="s">
        <v>142</v>
      </c>
      <c r="D1658" s="13" t="s">
        <v>634</v>
      </c>
      <c r="E1658" t="s">
        <v>664</v>
      </c>
      <c r="F1658" s="11">
        <v>1</v>
      </c>
      <c r="G1658" s="11">
        <v>84033.61</v>
      </c>
    </row>
    <row r="1659" spans="2:7" x14ac:dyDescent="0.2">
      <c r="B1659" s="32">
        <v>45839</v>
      </c>
      <c r="C1659" t="s">
        <v>142</v>
      </c>
      <c r="D1659" s="13" t="s">
        <v>634</v>
      </c>
      <c r="E1659" t="s">
        <v>597</v>
      </c>
      <c r="F1659" s="11">
        <v>1</v>
      </c>
      <c r="G1659" s="11">
        <v>82352.94</v>
      </c>
    </row>
    <row r="1660" spans="2:7" x14ac:dyDescent="0.2">
      <c r="B1660" s="32">
        <v>45839</v>
      </c>
      <c r="C1660" t="s">
        <v>142</v>
      </c>
      <c r="D1660" s="13" t="s">
        <v>633</v>
      </c>
      <c r="E1660" t="s">
        <v>1914</v>
      </c>
      <c r="F1660" s="11">
        <v>1</v>
      </c>
      <c r="G1660" s="11">
        <v>130252.1</v>
      </c>
    </row>
    <row r="1661" spans="2:7" x14ac:dyDescent="0.2">
      <c r="B1661" s="32">
        <v>45839</v>
      </c>
      <c r="C1661" t="s">
        <v>1739</v>
      </c>
      <c r="D1661" s="13" t="s">
        <v>634</v>
      </c>
      <c r="E1661" t="s">
        <v>262</v>
      </c>
      <c r="F1661" s="11">
        <v>1</v>
      </c>
      <c r="G1661" s="11">
        <v>226890.76</v>
      </c>
    </row>
    <row r="1662" spans="2:7" x14ac:dyDescent="0.2">
      <c r="B1662" s="32">
        <v>45839</v>
      </c>
      <c r="C1662" t="s">
        <v>1739</v>
      </c>
      <c r="D1662" s="13" t="s">
        <v>633</v>
      </c>
      <c r="E1662" t="s">
        <v>154</v>
      </c>
      <c r="F1662" s="11">
        <v>1</v>
      </c>
      <c r="G1662" s="11">
        <v>96638.66</v>
      </c>
    </row>
    <row r="1663" spans="2:7" x14ac:dyDescent="0.2">
      <c r="B1663" s="32">
        <v>45839</v>
      </c>
      <c r="C1663" t="s">
        <v>1739</v>
      </c>
      <c r="D1663" s="13" t="s">
        <v>633</v>
      </c>
      <c r="E1663" t="s">
        <v>337</v>
      </c>
      <c r="F1663" s="11">
        <v>2</v>
      </c>
      <c r="G1663" s="11">
        <v>84033.61</v>
      </c>
    </row>
    <row r="1664" spans="2:7" x14ac:dyDescent="0.2">
      <c r="B1664" s="32">
        <v>45840</v>
      </c>
      <c r="C1664" t="s">
        <v>142</v>
      </c>
      <c r="D1664" s="13" t="s">
        <v>634</v>
      </c>
      <c r="E1664" t="s">
        <v>412</v>
      </c>
      <c r="F1664" s="11">
        <v>1</v>
      </c>
      <c r="G1664" s="11">
        <v>151260.5</v>
      </c>
    </row>
    <row r="1665" spans="2:7" x14ac:dyDescent="0.2">
      <c r="B1665" s="32">
        <v>45840</v>
      </c>
      <c r="C1665" t="s">
        <v>142</v>
      </c>
      <c r="D1665" s="13" t="s">
        <v>634</v>
      </c>
      <c r="E1665" t="s">
        <v>167</v>
      </c>
      <c r="F1665" s="11">
        <v>1</v>
      </c>
      <c r="G1665" s="11">
        <v>96638.66</v>
      </c>
    </row>
    <row r="1666" spans="2:7" x14ac:dyDescent="0.2">
      <c r="B1666" s="32">
        <v>45840</v>
      </c>
      <c r="C1666" t="s">
        <v>142</v>
      </c>
      <c r="D1666" s="13" t="s">
        <v>634</v>
      </c>
      <c r="E1666" t="s">
        <v>298</v>
      </c>
      <c r="F1666" s="11">
        <v>1</v>
      </c>
      <c r="G1666" s="11">
        <v>96638.66</v>
      </c>
    </row>
    <row r="1667" spans="2:7" x14ac:dyDescent="0.2">
      <c r="B1667" s="32">
        <v>45840</v>
      </c>
      <c r="C1667" t="s">
        <v>142</v>
      </c>
      <c r="D1667" s="13" t="s">
        <v>634</v>
      </c>
      <c r="E1667" t="s">
        <v>250</v>
      </c>
      <c r="F1667" s="11">
        <v>1</v>
      </c>
      <c r="G1667" s="11">
        <v>96638.65</v>
      </c>
    </row>
    <row r="1668" spans="2:7" x14ac:dyDescent="0.2">
      <c r="B1668" s="32">
        <v>45840</v>
      </c>
      <c r="C1668" t="s">
        <v>142</v>
      </c>
      <c r="D1668" s="13" t="s">
        <v>634</v>
      </c>
      <c r="E1668" t="s">
        <v>297</v>
      </c>
      <c r="F1668" s="11">
        <v>1</v>
      </c>
      <c r="G1668" s="11">
        <v>46218.49</v>
      </c>
    </row>
    <row r="1669" spans="2:7" x14ac:dyDescent="0.2">
      <c r="B1669" s="32">
        <v>45840</v>
      </c>
      <c r="C1669" t="s">
        <v>142</v>
      </c>
      <c r="D1669" s="13" t="s">
        <v>634</v>
      </c>
      <c r="F1669" s="11">
        <v>0</v>
      </c>
      <c r="G1669" s="11">
        <v>0</v>
      </c>
    </row>
    <row r="1670" spans="2:7" x14ac:dyDescent="0.2">
      <c r="B1670" s="32">
        <v>45840</v>
      </c>
      <c r="C1670" t="s">
        <v>142</v>
      </c>
      <c r="D1670" s="13" t="s">
        <v>633</v>
      </c>
      <c r="E1670" t="s">
        <v>233</v>
      </c>
      <c r="F1670" s="11">
        <v>1</v>
      </c>
      <c r="G1670" s="11">
        <v>58823.53</v>
      </c>
    </row>
    <row r="1671" spans="2:7" x14ac:dyDescent="0.2">
      <c r="B1671" s="32">
        <v>45840</v>
      </c>
      <c r="C1671" t="s">
        <v>110</v>
      </c>
      <c r="D1671" s="13" t="s">
        <v>634</v>
      </c>
      <c r="E1671" t="s">
        <v>427</v>
      </c>
      <c r="F1671" s="11">
        <v>1</v>
      </c>
      <c r="G1671" s="11">
        <v>54621.85</v>
      </c>
    </row>
    <row r="1672" spans="2:7" x14ac:dyDescent="0.2">
      <c r="B1672" s="32">
        <v>45840</v>
      </c>
      <c r="C1672" t="s">
        <v>110</v>
      </c>
      <c r="D1672" s="13" t="s">
        <v>634</v>
      </c>
      <c r="E1672" t="s">
        <v>342</v>
      </c>
      <c r="F1672" s="11">
        <v>1</v>
      </c>
      <c r="G1672" s="11">
        <v>21848.74</v>
      </c>
    </row>
    <row r="1673" spans="2:7" x14ac:dyDescent="0.2">
      <c r="B1673" s="32">
        <v>45840</v>
      </c>
      <c r="C1673" t="s">
        <v>110</v>
      </c>
      <c r="D1673" s="13" t="s">
        <v>633</v>
      </c>
      <c r="E1673" t="s">
        <v>342</v>
      </c>
      <c r="F1673" s="11">
        <v>1</v>
      </c>
      <c r="G1673" s="11">
        <v>21848.74</v>
      </c>
    </row>
    <row r="1674" spans="2:7" x14ac:dyDescent="0.2">
      <c r="B1674" s="32">
        <v>45840</v>
      </c>
      <c r="C1674" t="s">
        <v>1739</v>
      </c>
      <c r="D1674" s="13" t="s">
        <v>633</v>
      </c>
      <c r="E1674" t="s">
        <v>190</v>
      </c>
      <c r="F1674" s="11">
        <v>1</v>
      </c>
      <c r="G1674" s="11">
        <v>79831.92</v>
      </c>
    </row>
    <row r="1675" spans="2:7" x14ac:dyDescent="0.2">
      <c r="B1675" s="32">
        <v>45840</v>
      </c>
      <c r="C1675" t="s">
        <v>1739</v>
      </c>
      <c r="D1675" s="13" t="s">
        <v>633</v>
      </c>
      <c r="E1675" t="s">
        <v>1825</v>
      </c>
      <c r="F1675" s="11">
        <v>1</v>
      </c>
      <c r="G1675" s="11">
        <v>75630.25</v>
      </c>
    </row>
    <row r="1676" spans="2:7" x14ac:dyDescent="0.2">
      <c r="B1676" s="32">
        <v>45840</v>
      </c>
      <c r="C1676" t="s">
        <v>1739</v>
      </c>
      <c r="D1676" s="13" t="s">
        <v>633</v>
      </c>
      <c r="E1676" t="s">
        <v>430</v>
      </c>
      <c r="F1676" s="11">
        <v>1</v>
      </c>
      <c r="G1676" s="11">
        <v>58823.53</v>
      </c>
    </row>
    <row r="1677" spans="2:7" x14ac:dyDescent="0.2">
      <c r="B1677" s="32">
        <v>45840</v>
      </c>
      <c r="C1677" t="s">
        <v>1739</v>
      </c>
      <c r="D1677" s="13" t="s">
        <v>633</v>
      </c>
      <c r="E1677" t="s">
        <v>1845</v>
      </c>
      <c r="F1677" s="11">
        <v>1</v>
      </c>
      <c r="G1677" s="11">
        <v>58823.53</v>
      </c>
    </row>
    <row r="1678" spans="2:7" x14ac:dyDescent="0.2">
      <c r="B1678" s="32">
        <v>45840</v>
      </c>
      <c r="C1678" t="s">
        <v>1739</v>
      </c>
      <c r="D1678" s="13" t="s">
        <v>633</v>
      </c>
      <c r="E1678" t="s">
        <v>470</v>
      </c>
      <c r="F1678" s="11">
        <v>1</v>
      </c>
      <c r="G1678" s="11">
        <v>50420.17</v>
      </c>
    </row>
    <row r="1679" spans="2:7" x14ac:dyDescent="0.2">
      <c r="B1679" s="32">
        <v>45840</v>
      </c>
      <c r="C1679" t="s">
        <v>1739</v>
      </c>
      <c r="D1679" s="13" t="s">
        <v>633</v>
      </c>
      <c r="E1679" t="s">
        <v>455</v>
      </c>
      <c r="F1679" s="11">
        <v>1</v>
      </c>
      <c r="G1679" s="11">
        <v>50420.17</v>
      </c>
    </row>
    <row r="1680" spans="2:7" x14ac:dyDescent="0.2">
      <c r="B1680" s="32">
        <v>45840</v>
      </c>
      <c r="C1680" t="s">
        <v>1739</v>
      </c>
      <c r="D1680" s="13" t="s">
        <v>633</v>
      </c>
      <c r="E1680" t="s">
        <v>504</v>
      </c>
      <c r="F1680" s="11">
        <v>1</v>
      </c>
      <c r="G1680" s="11">
        <v>50420.17</v>
      </c>
    </row>
    <row r="1681" spans="2:7" x14ac:dyDescent="0.2">
      <c r="B1681" s="32">
        <v>45840</v>
      </c>
      <c r="C1681" t="s">
        <v>1739</v>
      </c>
      <c r="D1681" s="13" t="s">
        <v>633</v>
      </c>
      <c r="E1681" t="s">
        <v>160</v>
      </c>
      <c r="F1681" s="11">
        <v>1</v>
      </c>
      <c r="G1681" s="11">
        <v>46218.49</v>
      </c>
    </row>
    <row r="1682" spans="2:7" x14ac:dyDescent="0.2">
      <c r="B1682" s="32">
        <v>45840</v>
      </c>
      <c r="C1682" t="s">
        <v>1739</v>
      </c>
      <c r="D1682" s="13" t="s">
        <v>633</v>
      </c>
      <c r="F1682" s="11">
        <v>1</v>
      </c>
      <c r="G1682" s="11">
        <v>46218.48</v>
      </c>
    </row>
    <row r="1683" spans="2:7" x14ac:dyDescent="0.2">
      <c r="B1683" s="32">
        <v>45840</v>
      </c>
      <c r="C1683" t="s">
        <v>1739</v>
      </c>
      <c r="D1683" s="13" t="s">
        <v>633</v>
      </c>
      <c r="E1683" t="s">
        <v>150</v>
      </c>
      <c r="F1683" s="11">
        <v>1</v>
      </c>
      <c r="G1683" s="11">
        <v>42016.81</v>
      </c>
    </row>
    <row r="1684" spans="2:7" x14ac:dyDescent="0.2">
      <c r="B1684" s="32">
        <v>45840</v>
      </c>
      <c r="C1684" t="s">
        <v>1739</v>
      </c>
      <c r="D1684" s="13" t="s">
        <v>633</v>
      </c>
      <c r="E1684" t="s">
        <v>203</v>
      </c>
      <c r="F1684" s="11">
        <v>1</v>
      </c>
      <c r="G1684" s="11">
        <v>42016.81</v>
      </c>
    </row>
    <row r="1685" spans="2:7" x14ac:dyDescent="0.2">
      <c r="B1685" s="32">
        <v>45840</v>
      </c>
      <c r="C1685" t="s">
        <v>1739</v>
      </c>
      <c r="D1685" s="13" t="s">
        <v>633</v>
      </c>
      <c r="E1685" t="s">
        <v>468</v>
      </c>
      <c r="F1685" s="11">
        <v>1</v>
      </c>
      <c r="G1685" s="11">
        <v>37815.129999999997</v>
      </c>
    </row>
    <row r="1686" spans="2:7" x14ac:dyDescent="0.2">
      <c r="B1686" s="32">
        <v>45840</v>
      </c>
      <c r="C1686" t="s">
        <v>1739</v>
      </c>
      <c r="D1686" s="13" t="s">
        <v>633</v>
      </c>
      <c r="E1686" t="s">
        <v>173</v>
      </c>
      <c r="F1686" s="11">
        <v>1</v>
      </c>
      <c r="G1686" s="11">
        <v>37815.129999999997</v>
      </c>
    </row>
    <row r="1687" spans="2:7" x14ac:dyDescent="0.2">
      <c r="B1687" s="32">
        <v>45840</v>
      </c>
      <c r="C1687" t="s">
        <v>1739</v>
      </c>
      <c r="D1687" s="13" t="s">
        <v>633</v>
      </c>
      <c r="E1687" t="s">
        <v>234</v>
      </c>
      <c r="F1687" s="11">
        <v>1</v>
      </c>
      <c r="G1687" s="11">
        <v>37815.129999999997</v>
      </c>
    </row>
    <row r="1688" spans="2:7" x14ac:dyDescent="0.2">
      <c r="B1688" s="32">
        <v>45841</v>
      </c>
      <c r="C1688" t="s">
        <v>142</v>
      </c>
      <c r="D1688" s="13" t="s">
        <v>634</v>
      </c>
      <c r="E1688" t="s">
        <v>207</v>
      </c>
      <c r="F1688" s="11">
        <v>1</v>
      </c>
      <c r="G1688" s="11">
        <v>96638.65</v>
      </c>
    </row>
    <row r="1689" spans="2:7" x14ac:dyDescent="0.2">
      <c r="B1689" s="32">
        <v>45841</v>
      </c>
      <c r="C1689" t="s">
        <v>142</v>
      </c>
      <c r="D1689" s="13" t="s">
        <v>634</v>
      </c>
      <c r="E1689" t="s">
        <v>325</v>
      </c>
      <c r="F1689" s="11">
        <v>1</v>
      </c>
      <c r="G1689" s="11">
        <v>58823.53</v>
      </c>
    </row>
    <row r="1690" spans="2:7" x14ac:dyDescent="0.2">
      <c r="B1690" s="32">
        <v>45841</v>
      </c>
      <c r="C1690" t="s">
        <v>142</v>
      </c>
      <c r="D1690" s="13" t="s">
        <v>634</v>
      </c>
      <c r="E1690" t="s">
        <v>163</v>
      </c>
      <c r="F1690" s="11">
        <v>1</v>
      </c>
      <c r="G1690" s="11">
        <v>58823.53</v>
      </c>
    </row>
    <row r="1691" spans="2:7" x14ac:dyDescent="0.2">
      <c r="B1691" s="32">
        <v>45841</v>
      </c>
      <c r="C1691" t="s">
        <v>142</v>
      </c>
      <c r="D1691" s="13" t="s">
        <v>634</v>
      </c>
      <c r="E1691" t="s">
        <v>208</v>
      </c>
      <c r="F1691" s="11">
        <v>1</v>
      </c>
      <c r="G1691" s="11">
        <v>58823.53</v>
      </c>
    </row>
    <row r="1692" spans="2:7" x14ac:dyDescent="0.2">
      <c r="B1692" s="32">
        <v>45841</v>
      </c>
      <c r="C1692" t="s">
        <v>142</v>
      </c>
      <c r="D1692" s="13" t="s">
        <v>634</v>
      </c>
      <c r="F1692" s="11">
        <v>0</v>
      </c>
      <c r="G1692" s="11">
        <v>0</v>
      </c>
    </row>
    <row r="1693" spans="2:7" x14ac:dyDescent="0.2">
      <c r="B1693" s="32">
        <v>45841</v>
      </c>
      <c r="C1693" t="s">
        <v>142</v>
      </c>
      <c r="D1693" s="13" t="s">
        <v>633</v>
      </c>
      <c r="E1693" t="s">
        <v>1895</v>
      </c>
      <c r="F1693" s="11">
        <v>1</v>
      </c>
      <c r="G1693" s="11">
        <v>117647.06</v>
      </c>
    </row>
    <row r="1694" spans="2:7" x14ac:dyDescent="0.2">
      <c r="B1694" s="32">
        <v>45841</v>
      </c>
      <c r="C1694" t="s">
        <v>142</v>
      </c>
      <c r="D1694" s="13" t="s">
        <v>633</v>
      </c>
      <c r="E1694" t="s">
        <v>233</v>
      </c>
      <c r="F1694" s="11">
        <v>1</v>
      </c>
      <c r="G1694" s="11">
        <v>84033.61</v>
      </c>
    </row>
    <row r="1695" spans="2:7" x14ac:dyDescent="0.2">
      <c r="B1695" s="32">
        <v>45841</v>
      </c>
      <c r="C1695" t="s">
        <v>142</v>
      </c>
      <c r="D1695" s="13" t="s">
        <v>633</v>
      </c>
      <c r="E1695" t="s">
        <v>576</v>
      </c>
      <c r="F1695" s="11">
        <v>1</v>
      </c>
      <c r="G1695" s="11">
        <v>84033.61</v>
      </c>
    </row>
    <row r="1696" spans="2:7" x14ac:dyDescent="0.2">
      <c r="B1696" s="32">
        <v>45841</v>
      </c>
      <c r="C1696" t="s">
        <v>142</v>
      </c>
      <c r="D1696" s="13" t="s">
        <v>633</v>
      </c>
      <c r="E1696" t="s">
        <v>328</v>
      </c>
      <c r="F1696" s="11">
        <v>1</v>
      </c>
      <c r="G1696" s="11">
        <v>37815.129999999997</v>
      </c>
    </row>
    <row r="1697" spans="2:7" x14ac:dyDescent="0.2">
      <c r="B1697" s="32">
        <v>45841</v>
      </c>
      <c r="C1697" t="s">
        <v>142</v>
      </c>
      <c r="D1697" s="13" t="s">
        <v>633</v>
      </c>
      <c r="E1697" t="s">
        <v>330</v>
      </c>
      <c r="F1697" s="11">
        <v>1</v>
      </c>
      <c r="G1697" s="11">
        <v>37815.129999999997</v>
      </c>
    </row>
    <row r="1698" spans="2:7" x14ac:dyDescent="0.2">
      <c r="B1698" s="32">
        <v>45841</v>
      </c>
      <c r="C1698" t="s">
        <v>142</v>
      </c>
      <c r="D1698" s="13" t="s">
        <v>633</v>
      </c>
      <c r="E1698" t="s">
        <v>831</v>
      </c>
      <c r="F1698" s="11">
        <v>1</v>
      </c>
      <c r="G1698" s="11">
        <v>0.84</v>
      </c>
    </row>
    <row r="1699" spans="2:7" x14ac:dyDescent="0.2">
      <c r="B1699" s="32">
        <v>45841</v>
      </c>
      <c r="C1699" t="s">
        <v>110</v>
      </c>
      <c r="D1699" s="13" t="s">
        <v>634</v>
      </c>
      <c r="E1699" t="s">
        <v>342</v>
      </c>
      <c r="F1699" s="11">
        <v>1</v>
      </c>
      <c r="G1699" s="11">
        <v>21848.74</v>
      </c>
    </row>
    <row r="1700" spans="2:7" x14ac:dyDescent="0.2">
      <c r="B1700" s="32">
        <v>45841</v>
      </c>
      <c r="C1700" t="s">
        <v>1739</v>
      </c>
      <c r="D1700" s="13" t="s">
        <v>634</v>
      </c>
      <c r="E1700" t="s">
        <v>146</v>
      </c>
      <c r="F1700" s="11">
        <v>1</v>
      </c>
      <c r="G1700" s="11">
        <v>46218.49</v>
      </c>
    </row>
    <row r="1701" spans="2:7" x14ac:dyDescent="0.2">
      <c r="B1701" s="32">
        <v>45841</v>
      </c>
      <c r="C1701" t="s">
        <v>1739</v>
      </c>
      <c r="D1701" s="13" t="s">
        <v>634</v>
      </c>
      <c r="E1701" t="s">
        <v>382</v>
      </c>
      <c r="F1701" s="11">
        <v>1</v>
      </c>
      <c r="G1701" s="11">
        <v>37815.129999999997</v>
      </c>
    </row>
    <row r="1702" spans="2:7" x14ac:dyDescent="0.2">
      <c r="B1702" s="32">
        <v>45841</v>
      </c>
      <c r="C1702" t="s">
        <v>1739</v>
      </c>
      <c r="D1702" s="13" t="s">
        <v>634</v>
      </c>
      <c r="E1702" t="s">
        <v>173</v>
      </c>
      <c r="F1702" s="11">
        <v>1</v>
      </c>
      <c r="G1702" s="11">
        <v>37815.120000000003</v>
      </c>
    </row>
    <row r="1703" spans="2:7" x14ac:dyDescent="0.2">
      <c r="B1703" s="32">
        <v>45841</v>
      </c>
      <c r="C1703" t="s">
        <v>1739</v>
      </c>
      <c r="D1703" s="13" t="s">
        <v>634</v>
      </c>
      <c r="E1703" t="s">
        <v>206</v>
      </c>
      <c r="F1703" s="11">
        <v>1</v>
      </c>
      <c r="G1703" s="11">
        <v>37815.120000000003</v>
      </c>
    </row>
    <row r="1704" spans="2:7" x14ac:dyDescent="0.2">
      <c r="B1704" s="32">
        <v>45842</v>
      </c>
      <c r="C1704" t="s">
        <v>142</v>
      </c>
      <c r="D1704" s="13" t="s">
        <v>634</v>
      </c>
      <c r="E1704" t="s">
        <v>159</v>
      </c>
      <c r="F1704" s="11">
        <v>1</v>
      </c>
      <c r="G1704" s="11">
        <v>243697.48</v>
      </c>
    </row>
    <row r="1705" spans="2:7" x14ac:dyDescent="0.2">
      <c r="B1705" s="32">
        <v>45842</v>
      </c>
      <c r="C1705" t="s">
        <v>142</v>
      </c>
      <c r="D1705" s="13" t="s">
        <v>634</v>
      </c>
      <c r="F1705" s="11">
        <v>0</v>
      </c>
      <c r="G1705" s="11">
        <v>0</v>
      </c>
    </row>
    <row r="1706" spans="2:7" x14ac:dyDescent="0.2">
      <c r="B1706" s="32">
        <v>45842</v>
      </c>
      <c r="C1706" t="s">
        <v>142</v>
      </c>
      <c r="D1706" s="13" t="s">
        <v>633</v>
      </c>
      <c r="E1706" t="s">
        <v>824</v>
      </c>
      <c r="F1706" s="11">
        <v>1</v>
      </c>
      <c r="G1706" s="11">
        <v>46218.49</v>
      </c>
    </row>
    <row r="1707" spans="2:7" x14ac:dyDescent="0.2">
      <c r="B1707" s="32">
        <v>45842</v>
      </c>
      <c r="C1707" t="s">
        <v>142</v>
      </c>
      <c r="D1707" s="13" t="s">
        <v>633</v>
      </c>
      <c r="F1707" s="11">
        <v>0</v>
      </c>
      <c r="G1707" s="11">
        <v>0</v>
      </c>
    </row>
    <row r="1708" spans="2:7" x14ac:dyDescent="0.2">
      <c r="B1708" s="32">
        <v>45842</v>
      </c>
      <c r="C1708" t="s">
        <v>1739</v>
      </c>
      <c r="D1708" s="13" t="s">
        <v>634</v>
      </c>
      <c r="E1708" t="s">
        <v>1883</v>
      </c>
      <c r="F1708" s="11">
        <v>0</v>
      </c>
      <c r="G1708" s="11">
        <v>252100.84</v>
      </c>
    </row>
    <row r="1709" spans="2:7" x14ac:dyDescent="0.2">
      <c r="B1709" s="32">
        <v>45842</v>
      </c>
      <c r="C1709" t="s">
        <v>1739</v>
      </c>
      <c r="D1709" s="13" t="s">
        <v>634</v>
      </c>
      <c r="E1709" t="s">
        <v>698</v>
      </c>
      <c r="F1709" s="11">
        <v>1</v>
      </c>
      <c r="G1709" s="11">
        <v>75630.25</v>
      </c>
    </row>
    <row r="1710" spans="2:7" x14ac:dyDescent="0.2">
      <c r="B1710" s="32">
        <v>45842</v>
      </c>
      <c r="C1710" t="s">
        <v>1739</v>
      </c>
      <c r="D1710" s="13" t="s">
        <v>634</v>
      </c>
      <c r="E1710" t="s">
        <v>558</v>
      </c>
      <c r="F1710" s="11">
        <v>1</v>
      </c>
      <c r="G1710" s="11">
        <v>75630.25</v>
      </c>
    </row>
    <row r="1711" spans="2:7" x14ac:dyDescent="0.2">
      <c r="B1711" s="32">
        <v>45842</v>
      </c>
      <c r="C1711" t="s">
        <v>1739</v>
      </c>
      <c r="D1711" s="13" t="s">
        <v>634</v>
      </c>
      <c r="E1711" t="s">
        <v>495</v>
      </c>
      <c r="F1711" s="11">
        <v>1</v>
      </c>
      <c r="G1711" s="11">
        <v>54621.85</v>
      </c>
    </row>
    <row r="1712" spans="2:7" x14ac:dyDescent="0.2">
      <c r="B1712" s="32">
        <v>45842</v>
      </c>
      <c r="C1712" t="s">
        <v>1739</v>
      </c>
      <c r="D1712" s="13" t="s">
        <v>634</v>
      </c>
      <c r="E1712" t="s">
        <v>198</v>
      </c>
      <c r="F1712" s="11">
        <v>1</v>
      </c>
      <c r="G1712" s="11">
        <v>46218.49</v>
      </c>
    </row>
    <row r="1713" spans="2:7" x14ac:dyDescent="0.2">
      <c r="B1713" s="32">
        <v>45842</v>
      </c>
      <c r="C1713" t="s">
        <v>1739</v>
      </c>
      <c r="D1713" s="13" t="s">
        <v>634</v>
      </c>
      <c r="E1713" t="s">
        <v>146</v>
      </c>
      <c r="F1713" s="11">
        <v>1</v>
      </c>
      <c r="G1713" s="11">
        <v>46218.49</v>
      </c>
    </row>
    <row r="1714" spans="2:7" x14ac:dyDescent="0.2">
      <c r="B1714" s="32">
        <v>45842</v>
      </c>
      <c r="C1714" t="s">
        <v>1739</v>
      </c>
      <c r="D1714" s="13" t="s">
        <v>633</v>
      </c>
      <c r="E1714" t="s">
        <v>186</v>
      </c>
      <c r="F1714" s="11">
        <v>3</v>
      </c>
      <c r="G1714" s="11">
        <v>252100.84</v>
      </c>
    </row>
    <row r="1715" spans="2:7" x14ac:dyDescent="0.2">
      <c r="B1715" s="32">
        <v>45842</v>
      </c>
      <c r="C1715" t="s">
        <v>1739</v>
      </c>
      <c r="D1715" s="13" t="s">
        <v>633</v>
      </c>
      <c r="E1715" t="s">
        <v>158</v>
      </c>
      <c r="F1715" s="11">
        <v>1</v>
      </c>
      <c r="G1715" s="11">
        <v>46218.49</v>
      </c>
    </row>
    <row r="1716" spans="2:7" x14ac:dyDescent="0.2">
      <c r="B1716" s="32">
        <v>45842</v>
      </c>
      <c r="C1716" t="s">
        <v>1739</v>
      </c>
      <c r="D1716" s="13" t="s">
        <v>633</v>
      </c>
      <c r="E1716" t="s">
        <v>330</v>
      </c>
      <c r="F1716" s="11">
        <v>1</v>
      </c>
      <c r="G1716" s="11">
        <v>37815.129999999997</v>
      </c>
    </row>
    <row r="1717" spans="2:7" x14ac:dyDescent="0.2">
      <c r="B1717" s="32">
        <v>45842</v>
      </c>
      <c r="C1717" t="s">
        <v>1739</v>
      </c>
      <c r="D1717" s="13" t="s">
        <v>633</v>
      </c>
      <c r="E1717" t="s">
        <v>148</v>
      </c>
      <c r="F1717" s="11">
        <v>1</v>
      </c>
      <c r="G1717" s="11">
        <v>37815.120000000003</v>
      </c>
    </row>
    <row r="1718" spans="2:7" x14ac:dyDescent="0.2">
      <c r="B1718" s="32">
        <v>45843</v>
      </c>
      <c r="C1718" t="s">
        <v>142</v>
      </c>
      <c r="D1718" s="13" t="s">
        <v>634</v>
      </c>
      <c r="E1718" t="s">
        <v>328</v>
      </c>
      <c r="F1718" s="11">
        <v>3</v>
      </c>
      <c r="G1718" s="11">
        <v>113445.38</v>
      </c>
    </row>
    <row r="1719" spans="2:7" x14ac:dyDescent="0.2">
      <c r="B1719" s="32">
        <v>45843</v>
      </c>
      <c r="C1719" t="s">
        <v>142</v>
      </c>
      <c r="D1719" s="13" t="s">
        <v>634</v>
      </c>
      <c r="E1719" t="s">
        <v>167</v>
      </c>
      <c r="F1719" s="11">
        <v>1</v>
      </c>
      <c r="G1719" s="11">
        <v>96638.66</v>
      </c>
    </row>
    <row r="1720" spans="2:7" x14ac:dyDescent="0.2">
      <c r="B1720" s="32">
        <v>45843</v>
      </c>
      <c r="C1720" t="s">
        <v>142</v>
      </c>
      <c r="D1720" s="13" t="s">
        <v>634</v>
      </c>
      <c r="E1720" t="s">
        <v>154</v>
      </c>
      <c r="F1720" s="11">
        <v>1</v>
      </c>
      <c r="G1720" s="11">
        <v>96638.66</v>
      </c>
    </row>
    <row r="1721" spans="2:7" x14ac:dyDescent="0.2">
      <c r="B1721" s="32">
        <v>45843</v>
      </c>
      <c r="C1721" t="s">
        <v>142</v>
      </c>
      <c r="D1721" s="13" t="s">
        <v>634</v>
      </c>
      <c r="E1721" t="s">
        <v>169</v>
      </c>
      <c r="F1721" s="11">
        <v>1</v>
      </c>
      <c r="G1721" s="11">
        <v>96638.66</v>
      </c>
    </row>
    <row r="1722" spans="2:7" x14ac:dyDescent="0.2">
      <c r="B1722" s="32">
        <v>45843</v>
      </c>
      <c r="C1722" t="s">
        <v>142</v>
      </c>
      <c r="D1722" s="13" t="s">
        <v>634</v>
      </c>
      <c r="E1722" t="s">
        <v>335</v>
      </c>
      <c r="F1722" s="11">
        <v>1</v>
      </c>
      <c r="G1722" s="11">
        <v>58823.53</v>
      </c>
    </row>
    <row r="1723" spans="2:7" x14ac:dyDescent="0.2">
      <c r="B1723" s="32">
        <v>45843</v>
      </c>
      <c r="C1723" t="s">
        <v>142</v>
      </c>
      <c r="D1723" s="13" t="s">
        <v>634</v>
      </c>
      <c r="E1723" t="s">
        <v>163</v>
      </c>
      <c r="F1723" s="11">
        <v>1</v>
      </c>
      <c r="G1723" s="11">
        <v>58823.53</v>
      </c>
    </row>
    <row r="1724" spans="2:7" x14ac:dyDescent="0.2">
      <c r="B1724" s="32">
        <v>45843</v>
      </c>
      <c r="C1724" t="s">
        <v>142</v>
      </c>
      <c r="D1724" s="13" t="s">
        <v>634</v>
      </c>
      <c r="E1724" t="s">
        <v>218</v>
      </c>
      <c r="F1724" s="11">
        <v>2</v>
      </c>
      <c r="G1724" s="11">
        <v>42016.800000000003</v>
      </c>
    </row>
    <row r="1725" spans="2:7" x14ac:dyDescent="0.2">
      <c r="B1725" s="32">
        <v>45843</v>
      </c>
      <c r="C1725" t="s">
        <v>142</v>
      </c>
      <c r="D1725" s="13" t="s">
        <v>633</v>
      </c>
      <c r="E1725" t="s">
        <v>440</v>
      </c>
      <c r="F1725" s="11">
        <v>1</v>
      </c>
      <c r="G1725" s="11">
        <v>58823.53</v>
      </c>
    </row>
    <row r="1726" spans="2:7" x14ac:dyDescent="0.2">
      <c r="B1726" s="32">
        <v>45843</v>
      </c>
      <c r="C1726" t="s">
        <v>1739</v>
      </c>
      <c r="D1726" s="13" t="s">
        <v>634</v>
      </c>
      <c r="E1726" t="s">
        <v>1897</v>
      </c>
      <c r="F1726" s="11">
        <v>3</v>
      </c>
      <c r="G1726" s="11">
        <v>75630.25</v>
      </c>
    </row>
    <row r="1727" spans="2:7" x14ac:dyDescent="0.2">
      <c r="B1727" s="32">
        <v>45843</v>
      </c>
      <c r="C1727" t="s">
        <v>1739</v>
      </c>
      <c r="D1727" s="13" t="s">
        <v>634</v>
      </c>
      <c r="E1727" t="s">
        <v>150</v>
      </c>
      <c r="F1727" s="11">
        <v>1</v>
      </c>
      <c r="G1727" s="11">
        <v>42016.81</v>
      </c>
    </row>
    <row r="1728" spans="2:7" x14ac:dyDescent="0.2">
      <c r="B1728" s="32">
        <v>45843</v>
      </c>
      <c r="C1728" t="s">
        <v>1739</v>
      </c>
      <c r="D1728" s="13" t="s">
        <v>634</v>
      </c>
      <c r="E1728" t="s">
        <v>309</v>
      </c>
      <c r="F1728" s="11">
        <v>1</v>
      </c>
      <c r="G1728" s="11">
        <v>42016.800000000003</v>
      </c>
    </row>
    <row r="1729" spans="2:7" x14ac:dyDescent="0.2">
      <c r="B1729" s="32">
        <v>45843</v>
      </c>
      <c r="C1729" t="s">
        <v>1739</v>
      </c>
      <c r="D1729" s="13" t="s">
        <v>634</v>
      </c>
      <c r="E1729" t="s">
        <v>148</v>
      </c>
      <c r="F1729" s="11">
        <v>1</v>
      </c>
      <c r="G1729" s="11">
        <v>37815.129999999997</v>
      </c>
    </row>
    <row r="1730" spans="2:7" x14ac:dyDescent="0.2">
      <c r="B1730" s="32">
        <v>45843</v>
      </c>
      <c r="C1730" t="s">
        <v>1739</v>
      </c>
      <c r="D1730" s="13" t="s">
        <v>633</v>
      </c>
      <c r="E1730" t="s">
        <v>504</v>
      </c>
      <c r="F1730" s="11">
        <v>1</v>
      </c>
      <c r="G1730" s="11">
        <v>50420.17</v>
      </c>
    </row>
    <row r="1731" spans="2:7" x14ac:dyDescent="0.2">
      <c r="B1731" s="32">
        <v>45843</v>
      </c>
      <c r="C1731" t="s">
        <v>1739</v>
      </c>
      <c r="D1731" s="13" t="s">
        <v>633</v>
      </c>
      <c r="E1731" t="s">
        <v>240</v>
      </c>
      <c r="F1731" s="11">
        <v>1</v>
      </c>
      <c r="G1731" s="11">
        <v>42016.81</v>
      </c>
    </row>
    <row r="1732" spans="2:7" x14ac:dyDescent="0.2">
      <c r="B1732" s="32">
        <v>45844</v>
      </c>
      <c r="C1732" t="s">
        <v>142</v>
      </c>
      <c r="D1732" s="13" t="s">
        <v>633</v>
      </c>
      <c r="E1732" t="s">
        <v>165</v>
      </c>
      <c r="F1732" s="11">
        <v>1</v>
      </c>
      <c r="G1732" s="11">
        <v>58823.53</v>
      </c>
    </row>
    <row r="1733" spans="2:7" x14ac:dyDescent="0.2">
      <c r="B1733" s="32">
        <v>45844</v>
      </c>
      <c r="C1733" t="s">
        <v>142</v>
      </c>
      <c r="D1733" s="13" t="s">
        <v>633</v>
      </c>
      <c r="E1733" t="s">
        <v>162</v>
      </c>
      <c r="F1733" s="11">
        <v>1</v>
      </c>
      <c r="G1733" s="11">
        <v>58823.53</v>
      </c>
    </row>
    <row r="1734" spans="2:7" x14ac:dyDescent="0.2">
      <c r="B1734" s="32">
        <v>45844</v>
      </c>
      <c r="C1734" t="s">
        <v>142</v>
      </c>
      <c r="D1734" s="13" t="s">
        <v>633</v>
      </c>
      <c r="E1734" t="s">
        <v>272</v>
      </c>
      <c r="F1734" s="11">
        <v>1</v>
      </c>
      <c r="G1734" s="11">
        <v>58823.53</v>
      </c>
    </row>
    <row r="1735" spans="2:7" x14ac:dyDescent="0.2">
      <c r="B1735" s="32">
        <v>45844</v>
      </c>
      <c r="C1735" t="s">
        <v>142</v>
      </c>
      <c r="D1735" s="13" t="s">
        <v>633</v>
      </c>
      <c r="F1735" s="11">
        <v>0</v>
      </c>
      <c r="G1735" s="11">
        <v>0</v>
      </c>
    </row>
    <row r="1736" spans="2:7" x14ac:dyDescent="0.2">
      <c r="B1736" s="32">
        <v>45845</v>
      </c>
      <c r="C1736" t="s">
        <v>142</v>
      </c>
      <c r="D1736" s="13" t="s">
        <v>634</v>
      </c>
      <c r="E1736" t="s">
        <v>308</v>
      </c>
      <c r="F1736" s="11">
        <v>1</v>
      </c>
      <c r="G1736" s="11">
        <v>96638.66</v>
      </c>
    </row>
    <row r="1737" spans="2:7" x14ac:dyDescent="0.2">
      <c r="B1737" s="32">
        <v>45845</v>
      </c>
      <c r="C1737" t="s">
        <v>142</v>
      </c>
      <c r="D1737" s="13" t="s">
        <v>634</v>
      </c>
      <c r="E1737" t="s">
        <v>233</v>
      </c>
      <c r="F1737" s="11">
        <v>1</v>
      </c>
      <c r="G1737" s="11">
        <v>58823.53</v>
      </c>
    </row>
    <row r="1738" spans="2:7" x14ac:dyDescent="0.2">
      <c r="B1738" s="32">
        <v>45845</v>
      </c>
      <c r="C1738" t="s">
        <v>142</v>
      </c>
      <c r="D1738" s="13" t="s">
        <v>634</v>
      </c>
      <c r="E1738" t="s">
        <v>1915</v>
      </c>
      <c r="F1738" s="11">
        <v>1</v>
      </c>
      <c r="G1738" s="11">
        <v>58823.53</v>
      </c>
    </row>
    <row r="1739" spans="2:7" x14ac:dyDescent="0.2">
      <c r="B1739" s="32">
        <v>45845</v>
      </c>
      <c r="C1739" t="s">
        <v>142</v>
      </c>
      <c r="D1739" s="13" t="s">
        <v>634</v>
      </c>
      <c r="E1739" t="s">
        <v>263</v>
      </c>
      <c r="F1739" s="11">
        <v>1</v>
      </c>
      <c r="G1739" s="11">
        <v>43697.48</v>
      </c>
    </row>
    <row r="1740" spans="2:7" x14ac:dyDescent="0.2">
      <c r="B1740" s="32">
        <v>45845</v>
      </c>
      <c r="C1740" t="s">
        <v>142</v>
      </c>
      <c r="D1740" s="13" t="s">
        <v>634</v>
      </c>
      <c r="E1740" t="s">
        <v>240</v>
      </c>
      <c r="F1740" s="11">
        <v>1</v>
      </c>
      <c r="G1740" s="11">
        <v>42016.81</v>
      </c>
    </row>
    <row r="1741" spans="2:7" x14ac:dyDescent="0.2">
      <c r="B1741" s="32">
        <v>45845</v>
      </c>
      <c r="C1741" t="s">
        <v>142</v>
      </c>
      <c r="D1741" s="13" t="s">
        <v>634</v>
      </c>
      <c r="E1741" t="s">
        <v>218</v>
      </c>
      <c r="F1741" s="11">
        <v>1</v>
      </c>
      <c r="G1741" s="11">
        <v>21008.400000000001</v>
      </c>
    </row>
    <row r="1742" spans="2:7" x14ac:dyDescent="0.2">
      <c r="B1742" s="32">
        <v>45845</v>
      </c>
      <c r="C1742" t="s">
        <v>142</v>
      </c>
      <c r="D1742" s="13" t="s">
        <v>634</v>
      </c>
      <c r="F1742" s="11">
        <v>0</v>
      </c>
      <c r="G1742" s="11">
        <v>0</v>
      </c>
    </row>
    <row r="1743" spans="2:7" x14ac:dyDescent="0.2">
      <c r="B1743" s="32">
        <v>45845</v>
      </c>
      <c r="C1743" t="s">
        <v>142</v>
      </c>
      <c r="D1743" s="13" t="s">
        <v>633</v>
      </c>
      <c r="E1743" t="s">
        <v>651</v>
      </c>
      <c r="F1743" s="11">
        <v>4</v>
      </c>
      <c r="G1743" s="11">
        <v>235294.12</v>
      </c>
    </row>
    <row r="1744" spans="2:7" x14ac:dyDescent="0.2">
      <c r="B1744" s="32">
        <v>45845</v>
      </c>
      <c r="C1744" t="s">
        <v>142</v>
      </c>
      <c r="D1744" s="13" t="s">
        <v>633</v>
      </c>
      <c r="E1744" t="s">
        <v>1745</v>
      </c>
      <c r="F1744" s="11">
        <v>1</v>
      </c>
      <c r="G1744" s="11">
        <v>130252.1</v>
      </c>
    </row>
    <row r="1745" spans="2:7" x14ac:dyDescent="0.2">
      <c r="B1745" s="32">
        <v>45845</v>
      </c>
      <c r="C1745" t="s">
        <v>142</v>
      </c>
      <c r="D1745" s="13" t="s">
        <v>633</v>
      </c>
      <c r="E1745" t="s">
        <v>1916</v>
      </c>
      <c r="F1745" s="11">
        <v>1</v>
      </c>
      <c r="G1745" s="11">
        <v>92436.98</v>
      </c>
    </row>
    <row r="1746" spans="2:7" x14ac:dyDescent="0.2">
      <c r="B1746" s="32">
        <v>45845</v>
      </c>
      <c r="C1746" t="s">
        <v>142</v>
      </c>
      <c r="D1746" s="13" t="s">
        <v>633</v>
      </c>
      <c r="E1746" t="s">
        <v>444</v>
      </c>
      <c r="F1746" s="11">
        <v>1</v>
      </c>
      <c r="G1746" s="11">
        <v>92436.97</v>
      </c>
    </row>
    <row r="1747" spans="2:7" x14ac:dyDescent="0.2">
      <c r="B1747" s="32">
        <v>45845</v>
      </c>
      <c r="C1747" t="s">
        <v>142</v>
      </c>
      <c r="D1747" s="13" t="s">
        <v>633</v>
      </c>
      <c r="E1747" t="s">
        <v>406</v>
      </c>
      <c r="F1747" s="11">
        <v>1</v>
      </c>
      <c r="G1747" s="11">
        <v>58823.53</v>
      </c>
    </row>
    <row r="1748" spans="2:7" x14ac:dyDescent="0.2">
      <c r="B1748" s="32">
        <v>45845</v>
      </c>
      <c r="C1748" t="s">
        <v>142</v>
      </c>
      <c r="D1748" s="13" t="s">
        <v>633</v>
      </c>
      <c r="E1748" t="s">
        <v>208</v>
      </c>
      <c r="F1748" s="11">
        <v>1</v>
      </c>
      <c r="G1748" s="11">
        <v>58823.53</v>
      </c>
    </row>
    <row r="1749" spans="2:7" x14ac:dyDescent="0.2">
      <c r="B1749" s="32">
        <v>45845</v>
      </c>
      <c r="C1749" t="s">
        <v>142</v>
      </c>
      <c r="D1749" s="13" t="s">
        <v>633</v>
      </c>
      <c r="E1749" t="s">
        <v>293</v>
      </c>
      <c r="F1749" s="11">
        <v>1</v>
      </c>
      <c r="G1749" s="11">
        <v>37815.129999999997</v>
      </c>
    </row>
    <row r="1750" spans="2:7" x14ac:dyDescent="0.2">
      <c r="B1750" s="32">
        <v>45845</v>
      </c>
      <c r="C1750" t="s">
        <v>142</v>
      </c>
      <c r="D1750" s="13" t="s">
        <v>633</v>
      </c>
      <c r="E1750" t="s">
        <v>173</v>
      </c>
      <c r="F1750" s="11">
        <v>1</v>
      </c>
      <c r="G1750" s="11">
        <v>37815.129999999997</v>
      </c>
    </row>
    <row r="1751" spans="2:7" x14ac:dyDescent="0.2">
      <c r="B1751" s="32">
        <v>45845</v>
      </c>
      <c r="C1751" t="s">
        <v>142</v>
      </c>
      <c r="D1751" s="13" t="s">
        <v>633</v>
      </c>
      <c r="E1751" t="s">
        <v>206</v>
      </c>
      <c r="F1751" s="11">
        <v>1</v>
      </c>
      <c r="G1751" s="11">
        <v>37815.120000000003</v>
      </c>
    </row>
    <row r="1752" spans="2:7" x14ac:dyDescent="0.2">
      <c r="B1752" s="32">
        <v>45845</v>
      </c>
      <c r="C1752" t="s">
        <v>142</v>
      </c>
      <c r="D1752" s="13" t="s">
        <v>633</v>
      </c>
      <c r="E1752" t="s">
        <v>328</v>
      </c>
      <c r="F1752" s="11">
        <v>1</v>
      </c>
      <c r="G1752" s="11">
        <v>37815.120000000003</v>
      </c>
    </row>
    <row r="1753" spans="2:7" x14ac:dyDescent="0.2">
      <c r="B1753" s="32">
        <v>45845</v>
      </c>
      <c r="C1753" t="s">
        <v>142</v>
      </c>
      <c r="D1753" s="13" t="s">
        <v>633</v>
      </c>
      <c r="F1753" s="11">
        <v>0</v>
      </c>
      <c r="G1753" s="11">
        <v>0</v>
      </c>
    </row>
    <row r="1754" spans="2:7" x14ac:dyDescent="0.2">
      <c r="B1754" s="32">
        <v>45846</v>
      </c>
      <c r="C1754" t="s">
        <v>142</v>
      </c>
      <c r="D1754" s="13" t="s">
        <v>633</v>
      </c>
      <c r="E1754" t="s">
        <v>1873</v>
      </c>
      <c r="F1754" s="11">
        <v>1</v>
      </c>
      <c r="G1754" s="11">
        <v>206722.69</v>
      </c>
    </row>
    <row r="1755" spans="2:7" x14ac:dyDescent="0.2">
      <c r="B1755" s="32">
        <v>45846</v>
      </c>
      <c r="C1755" t="s">
        <v>142</v>
      </c>
      <c r="D1755" s="13" t="s">
        <v>633</v>
      </c>
      <c r="E1755" t="s">
        <v>170</v>
      </c>
      <c r="F1755" s="11">
        <v>1</v>
      </c>
      <c r="G1755" s="11">
        <v>46218.49</v>
      </c>
    </row>
    <row r="1756" spans="2:7" x14ac:dyDescent="0.2">
      <c r="B1756" s="32">
        <v>45846</v>
      </c>
      <c r="C1756" t="s">
        <v>142</v>
      </c>
      <c r="D1756" s="13" t="s">
        <v>633</v>
      </c>
      <c r="E1756" t="s">
        <v>1771</v>
      </c>
      <c r="F1756" s="11">
        <v>1</v>
      </c>
      <c r="G1756" s="11">
        <v>46218.48</v>
      </c>
    </row>
    <row r="1757" spans="2:7" x14ac:dyDescent="0.2">
      <c r="B1757" s="32">
        <v>45846</v>
      </c>
      <c r="C1757" t="s">
        <v>142</v>
      </c>
      <c r="D1757" s="13" t="s">
        <v>633</v>
      </c>
      <c r="E1757" t="s">
        <v>635</v>
      </c>
      <c r="F1757" s="11">
        <v>10</v>
      </c>
      <c r="G1757" s="11">
        <v>29411.77</v>
      </c>
    </row>
    <row r="1758" spans="2:7" x14ac:dyDescent="0.2">
      <c r="B1758" s="32">
        <v>45846</v>
      </c>
      <c r="C1758" t="s">
        <v>142</v>
      </c>
      <c r="D1758" s="13" t="s">
        <v>633</v>
      </c>
      <c r="E1758" t="s">
        <v>732</v>
      </c>
      <c r="F1758" s="11">
        <v>10</v>
      </c>
      <c r="G1758" s="11">
        <v>29411.759999999998</v>
      </c>
    </row>
    <row r="1759" spans="2:7" x14ac:dyDescent="0.2">
      <c r="B1759" s="32">
        <v>45846</v>
      </c>
      <c r="C1759" t="s">
        <v>142</v>
      </c>
      <c r="D1759" s="13" t="s">
        <v>633</v>
      </c>
      <c r="F1759" s="11">
        <v>0</v>
      </c>
      <c r="G1759" s="11">
        <v>0</v>
      </c>
    </row>
    <row r="1760" spans="2:7" x14ac:dyDescent="0.2">
      <c r="B1760" s="32">
        <v>45846</v>
      </c>
      <c r="C1760" t="s">
        <v>110</v>
      </c>
      <c r="D1760" s="13" t="s">
        <v>634</v>
      </c>
      <c r="E1760" t="s">
        <v>342</v>
      </c>
      <c r="F1760" s="11">
        <v>1</v>
      </c>
      <c r="G1760" s="11">
        <v>21848.74</v>
      </c>
    </row>
    <row r="1761" spans="2:7" x14ac:dyDescent="0.2">
      <c r="B1761" s="32">
        <v>45846</v>
      </c>
      <c r="C1761" t="s">
        <v>1739</v>
      </c>
      <c r="D1761" s="13" t="s">
        <v>634</v>
      </c>
      <c r="E1761" t="s">
        <v>181</v>
      </c>
      <c r="F1761" s="11">
        <v>1</v>
      </c>
      <c r="G1761" s="11">
        <v>58823.53</v>
      </c>
    </row>
    <row r="1762" spans="2:7" x14ac:dyDescent="0.2">
      <c r="B1762" s="32">
        <v>45846</v>
      </c>
      <c r="C1762" t="s">
        <v>1739</v>
      </c>
      <c r="D1762" s="13" t="s">
        <v>633</v>
      </c>
      <c r="E1762" t="s">
        <v>1829</v>
      </c>
      <c r="F1762" s="11">
        <v>1</v>
      </c>
      <c r="G1762" s="11">
        <v>54621.85</v>
      </c>
    </row>
    <row r="1763" spans="2:7" x14ac:dyDescent="0.2">
      <c r="B1763" s="32">
        <v>45846</v>
      </c>
      <c r="C1763" t="s">
        <v>1739</v>
      </c>
      <c r="D1763" s="13" t="s">
        <v>633</v>
      </c>
      <c r="E1763" t="s">
        <v>1897</v>
      </c>
      <c r="F1763" s="11">
        <v>2</v>
      </c>
      <c r="G1763" s="11">
        <v>50420.17</v>
      </c>
    </row>
    <row r="1764" spans="2:7" x14ac:dyDescent="0.2">
      <c r="B1764" s="32">
        <v>45846</v>
      </c>
      <c r="C1764" t="s">
        <v>1739</v>
      </c>
      <c r="D1764" s="13" t="s">
        <v>633</v>
      </c>
      <c r="E1764" t="s">
        <v>1847</v>
      </c>
      <c r="F1764" s="11">
        <v>1</v>
      </c>
      <c r="G1764" s="11">
        <v>21008.400000000001</v>
      </c>
    </row>
    <row r="1765" spans="2:7" x14ac:dyDescent="0.2">
      <c r="B1765" s="32">
        <v>45847</v>
      </c>
      <c r="C1765" t="s">
        <v>142</v>
      </c>
      <c r="D1765" s="13"/>
      <c r="E1765" t="s">
        <v>452</v>
      </c>
      <c r="F1765" s="11">
        <v>1</v>
      </c>
      <c r="G1765" s="11">
        <v>0</v>
      </c>
    </row>
    <row r="1766" spans="2:7" x14ac:dyDescent="0.2">
      <c r="B1766" s="32">
        <v>45847</v>
      </c>
      <c r="C1766" t="s">
        <v>142</v>
      </c>
      <c r="D1766" s="13"/>
      <c r="E1766" t="s">
        <v>164</v>
      </c>
      <c r="F1766" s="11">
        <v>1</v>
      </c>
      <c r="G1766" s="11">
        <v>0</v>
      </c>
    </row>
    <row r="1767" spans="2:7" x14ac:dyDescent="0.2">
      <c r="B1767" s="32">
        <v>45847</v>
      </c>
      <c r="C1767" t="s">
        <v>142</v>
      </c>
      <c r="D1767" s="13" t="s">
        <v>634</v>
      </c>
      <c r="E1767" t="s">
        <v>169</v>
      </c>
      <c r="F1767" s="11">
        <v>1</v>
      </c>
      <c r="G1767" s="11">
        <v>96638.66</v>
      </c>
    </row>
    <row r="1768" spans="2:7" x14ac:dyDescent="0.2">
      <c r="B1768" s="32">
        <v>45847</v>
      </c>
      <c r="C1768" t="s">
        <v>142</v>
      </c>
      <c r="D1768" s="13" t="s">
        <v>634</v>
      </c>
      <c r="E1768" t="s">
        <v>167</v>
      </c>
      <c r="F1768" s="11">
        <v>1</v>
      </c>
      <c r="G1768" s="11">
        <v>96638.65</v>
      </c>
    </row>
    <row r="1769" spans="2:7" x14ac:dyDescent="0.2">
      <c r="B1769" s="32">
        <v>45847</v>
      </c>
      <c r="C1769" t="s">
        <v>142</v>
      </c>
      <c r="D1769" s="13" t="s">
        <v>634</v>
      </c>
      <c r="E1769" t="s">
        <v>1797</v>
      </c>
      <c r="F1769" s="11">
        <v>1</v>
      </c>
      <c r="G1769" s="11">
        <v>92436.97</v>
      </c>
    </row>
    <row r="1770" spans="2:7" x14ac:dyDescent="0.2">
      <c r="B1770" s="32">
        <v>45847</v>
      </c>
      <c r="C1770" t="s">
        <v>142</v>
      </c>
      <c r="D1770" s="13" t="s">
        <v>634</v>
      </c>
      <c r="E1770" t="s">
        <v>251</v>
      </c>
      <c r="F1770" s="11">
        <v>1</v>
      </c>
      <c r="G1770" s="11">
        <v>58823.53</v>
      </c>
    </row>
    <row r="1771" spans="2:7" x14ac:dyDescent="0.2">
      <c r="B1771" s="32">
        <v>45847</v>
      </c>
      <c r="C1771" t="s">
        <v>142</v>
      </c>
      <c r="D1771" s="13" t="s">
        <v>634</v>
      </c>
      <c r="E1771" t="s">
        <v>276</v>
      </c>
      <c r="F1771" s="11">
        <v>1</v>
      </c>
      <c r="G1771" s="11">
        <v>58823.53</v>
      </c>
    </row>
    <row r="1772" spans="2:7" x14ac:dyDescent="0.2">
      <c r="B1772" s="32">
        <v>45847</v>
      </c>
      <c r="C1772" t="s">
        <v>142</v>
      </c>
      <c r="D1772" s="13" t="s">
        <v>634</v>
      </c>
      <c r="E1772" t="s">
        <v>447</v>
      </c>
      <c r="F1772" s="11">
        <v>1</v>
      </c>
      <c r="G1772" s="11">
        <v>58823.53</v>
      </c>
    </row>
    <row r="1773" spans="2:7" x14ac:dyDescent="0.2">
      <c r="B1773" s="32">
        <v>45847</v>
      </c>
      <c r="C1773" t="s">
        <v>142</v>
      </c>
      <c r="D1773" s="13" t="s">
        <v>634</v>
      </c>
      <c r="E1773" t="s">
        <v>341</v>
      </c>
      <c r="F1773" s="11">
        <v>1</v>
      </c>
      <c r="G1773" s="11">
        <v>58823.53</v>
      </c>
    </row>
    <row r="1774" spans="2:7" x14ac:dyDescent="0.2">
      <c r="B1774" s="32">
        <v>45847</v>
      </c>
      <c r="C1774" t="s">
        <v>142</v>
      </c>
      <c r="D1774" s="13" t="s">
        <v>634</v>
      </c>
      <c r="E1774" t="s">
        <v>793</v>
      </c>
      <c r="F1774" s="11">
        <v>1</v>
      </c>
      <c r="G1774" s="11">
        <v>46218.49</v>
      </c>
    </row>
    <row r="1775" spans="2:7" x14ac:dyDescent="0.2">
      <c r="B1775" s="32">
        <v>45847</v>
      </c>
      <c r="C1775" t="s">
        <v>142</v>
      </c>
      <c r="D1775" s="13" t="s">
        <v>634</v>
      </c>
      <c r="F1775" s="11">
        <v>0</v>
      </c>
      <c r="G1775" s="11">
        <v>0</v>
      </c>
    </row>
    <row r="1776" spans="2:7" x14ac:dyDescent="0.2">
      <c r="B1776" s="32">
        <v>45847</v>
      </c>
      <c r="C1776" t="s">
        <v>142</v>
      </c>
      <c r="D1776" s="13" t="s">
        <v>633</v>
      </c>
      <c r="E1776" t="s">
        <v>602</v>
      </c>
      <c r="F1776" s="11">
        <v>1</v>
      </c>
      <c r="G1776" s="11">
        <v>184873.95</v>
      </c>
    </row>
    <row r="1777" spans="2:7" x14ac:dyDescent="0.2">
      <c r="B1777" s="32">
        <v>45847</v>
      </c>
      <c r="C1777" t="s">
        <v>142</v>
      </c>
      <c r="D1777" s="13" t="s">
        <v>633</v>
      </c>
      <c r="E1777" t="s">
        <v>274</v>
      </c>
      <c r="F1777" s="11">
        <v>1</v>
      </c>
      <c r="G1777" s="11">
        <v>100840.34</v>
      </c>
    </row>
    <row r="1778" spans="2:7" x14ac:dyDescent="0.2">
      <c r="B1778" s="32">
        <v>45847</v>
      </c>
      <c r="C1778" t="s">
        <v>142</v>
      </c>
      <c r="D1778" s="13" t="s">
        <v>633</v>
      </c>
      <c r="E1778" t="s">
        <v>430</v>
      </c>
      <c r="F1778" s="11">
        <v>1</v>
      </c>
      <c r="G1778" s="11">
        <v>58823.53</v>
      </c>
    </row>
    <row r="1779" spans="2:7" x14ac:dyDescent="0.2">
      <c r="B1779" s="32">
        <v>45847</v>
      </c>
      <c r="C1779" t="s">
        <v>142</v>
      </c>
      <c r="D1779" s="13" t="s">
        <v>633</v>
      </c>
      <c r="F1779" s="11">
        <v>0</v>
      </c>
      <c r="G1779" s="11">
        <v>0</v>
      </c>
    </row>
    <row r="1780" spans="2:7" x14ac:dyDescent="0.2">
      <c r="B1780" s="32">
        <v>45847</v>
      </c>
      <c r="C1780" t="s">
        <v>1739</v>
      </c>
      <c r="D1780" s="13" t="s">
        <v>634</v>
      </c>
      <c r="E1780" t="s">
        <v>167</v>
      </c>
      <c r="F1780" s="11">
        <v>3</v>
      </c>
      <c r="G1780" s="11">
        <v>275420.17</v>
      </c>
    </row>
    <row r="1781" spans="2:7" x14ac:dyDescent="0.2">
      <c r="B1781" s="32">
        <v>45847</v>
      </c>
      <c r="C1781" t="s">
        <v>1739</v>
      </c>
      <c r="D1781" s="13" t="s">
        <v>634</v>
      </c>
      <c r="E1781" t="s">
        <v>1843</v>
      </c>
      <c r="F1781" s="11">
        <v>1</v>
      </c>
      <c r="G1781" s="11">
        <v>131722.69</v>
      </c>
    </row>
    <row r="1782" spans="2:7" x14ac:dyDescent="0.2">
      <c r="B1782" s="32">
        <v>45847</v>
      </c>
      <c r="C1782" t="s">
        <v>1739</v>
      </c>
      <c r="D1782" s="13" t="s">
        <v>634</v>
      </c>
      <c r="E1782" t="s">
        <v>194</v>
      </c>
      <c r="F1782" s="11">
        <v>1</v>
      </c>
      <c r="G1782" s="11">
        <v>91806.720000000001</v>
      </c>
    </row>
    <row r="1783" spans="2:7" x14ac:dyDescent="0.2">
      <c r="B1783" s="32">
        <v>45847</v>
      </c>
      <c r="C1783" t="s">
        <v>1739</v>
      </c>
      <c r="D1783" s="13" t="s">
        <v>634</v>
      </c>
      <c r="E1783" t="s">
        <v>551</v>
      </c>
      <c r="F1783" s="11">
        <v>1</v>
      </c>
      <c r="G1783" s="11">
        <v>91806.720000000001</v>
      </c>
    </row>
    <row r="1784" spans="2:7" x14ac:dyDescent="0.2">
      <c r="B1784" s="32">
        <v>45847</v>
      </c>
      <c r="C1784" t="s">
        <v>1739</v>
      </c>
      <c r="D1784" s="13" t="s">
        <v>634</v>
      </c>
      <c r="E1784" t="s">
        <v>308</v>
      </c>
      <c r="F1784" s="11">
        <v>1</v>
      </c>
      <c r="G1784" s="11">
        <v>91806.720000000001</v>
      </c>
    </row>
    <row r="1785" spans="2:7" x14ac:dyDescent="0.2">
      <c r="B1785" s="32">
        <v>45847</v>
      </c>
      <c r="C1785" t="s">
        <v>1739</v>
      </c>
      <c r="D1785" s="13" t="s">
        <v>634</v>
      </c>
      <c r="E1785" t="s">
        <v>567</v>
      </c>
      <c r="F1785" s="11">
        <v>1</v>
      </c>
      <c r="G1785" s="11">
        <v>55882.36</v>
      </c>
    </row>
    <row r="1786" spans="2:7" x14ac:dyDescent="0.2">
      <c r="B1786" s="32">
        <v>45847</v>
      </c>
      <c r="C1786" t="s">
        <v>1739</v>
      </c>
      <c r="D1786" s="13" t="s">
        <v>634</v>
      </c>
      <c r="E1786" t="s">
        <v>439</v>
      </c>
      <c r="F1786" s="11">
        <v>1</v>
      </c>
      <c r="G1786" s="11">
        <v>55882.35</v>
      </c>
    </row>
    <row r="1787" spans="2:7" x14ac:dyDescent="0.2">
      <c r="B1787" s="32">
        <v>45847</v>
      </c>
      <c r="C1787" t="s">
        <v>1739</v>
      </c>
      <c r="D1787" s="13" t="s">
        <v>634</v>
      </c>
      <c r="E1787" t="s">
        <v>1829</v>
      </c>
      <c r="F1787" s="11">
        <v>1</v>
      </c>
      <c r="G1787" s="11">
        <v>54621.85</v>
      </c>
    </row>
    <row r="1788" spans="2:7" x14ac:dyDescent="0.2">
      <c r="B1788" s="32">
        <v>45847</v>
      </c>
      <c r="C1788" t="s">
        <v>1739</v>
      </c>
      <c r="D1788" s="13" t="s">
        <v>634</v>
      </c>
      <c r="E1788" t="s">
        <v>549</v>
      </c>
      <c r="F1788" s="11">
        <v>1</v>
      </c>
      <c r="G1788" s="11">
        <v>43907.56</v>
      </c>
    </row>
    <row r="1789" spans="2:7" x14ac:dyDescent="0.2">
      <c r="B1789" s="32">
        <v>45847</v>
      </c>
      <c r="C1789" t="s">
        <v>1739</v>
      </c>
      <c r="D1789" s="13" t="s">
        <v>634</v>
      </c>
      <c r="E1789" t="s">
        <v>206</v>
      </c>
      <c r="F1789" s="11">
        <v>1</v>
      </c>
      <c r="G1789" s="11">
        <v>35924.370000000003</v>
      </c>
    </row>
    <row r="1790" spans="2:7" x14ac:dyDescent="0.2">
      <c r="B1790" s="32">
        <v>45847</v>
      </c>
      <c r="C1790" t="s">
        <v>1739</v>
      </c>
      <c r="D1790" s="13" t="s">
        <v>633</v>
      </c>
      <c r="E1790" t="s">
        <v>1917</v>
      </c>
      <c r="F1790" s="11">
        <v>1</v>
      </c>
      <c r="G1790" s="11">
        <v>155462.18</v>
      </c>
    </row>
    <row r="1791" spans="2:7" x14ac:dyDescent="0.2">
      <c r="B1791" s="32">
        <v>45847</v>
      </c>
      <c r="C1791" t="s">
        <v>1739</v>
      </c>
      <c r="D1791" s="13" t="s">
        <v>633</v>
      </c>
      <c r="E1791" t="s">
        <v>268</v>
      </c>
      <c r="F1791" s="11">
        <v>1</v>
      </c>
      <c r="G1791" s="11">
        <v>142857.14000000001</v>
      </c>
    </row>
    <row r="1792" spans="2:7" x14ac:dyDescent="0.2">
      <c r="B1792" s="32">
        <v>45847</v>
      </c>
      <c r="C1792" t="s">
        <v>1739</v>
      </c>
      <c r="D1792" s="13" t="s">
        <v>633</v>
      </c>
      <c r="E1792" t="s">
        <v>242</v>
      </c>
      <c r="F1792" s="11">
        <v>1</v>
      </c>
      <c r="G1792" s="11">
        <v>130252.1</v>
      </c>
    </row>
    <row r="1793" spans="2:7" x14ac:dyDescent="0.2">
      <c r="B1793" s="32">
        <v>45847</v>
      </c>
      <c r="C1793" t="s">
        <v>1739</v>
      </c>
      <c r="D1793" s="13" t="s">
        <v>633</v>
      </c>
      <c r="E1793" t="s">
        <v>148</v>
      </c>
      <c r="F1793" s="11">
        <v>2</v>
      </c>
      <c r="G1793" s="11">
        <v>75630.25</v>
      </c>
    </row>
    <row r="1794" spans="2:7" x14ac:dyDescent="0.2">
      <c r="B1794" s="32">
        <v>45847</v>
      </c>
      <c r="C1794" t="s">
        <v>1739</v>
      </c>
      <c r="D1794" s="13" t="s">
        <v>633</v>
      </c>
      <c r="E1794" t="s">
        <v>234</v>
      </c>
      <c r="F1794" s="11">
        <v>2</v>
      </c>
      <c r="G1794" s="11">
        <v>75630.25</v>
      </c>
    </row>
    <row r="1795" spans="2:7" x14ac:dyDescent="0.2">
      <c r="B1795" s="32">
        <v>45847</v>
      </c>
      <c r="C1795" t="s">
        <v>109</v>
      </c>
      <c r="D1795" s="13" t="s">
        <v>634</v>
      </c>
      <c r="E1795" t="s">
        <v>191</v>
      </c>
      <c r="F1795" s="11">
        <v>1</v>
      </c>
      <c r="G1795" s="11">
        <v>151260.5</v>
      </c>
    </row>
    <row r="1796" spans="2:7" x14ac:dyDescent="0.2">
      <c r="B1796" s="32">
        <v>45847</v>
      </c>
      <c r="C1796" t="s">
        <v>109</v>
      </c>
      <c r="D1796" s="13" t="s">
        <v>634</v>
      </c>
      <c r="E1796" t="s">
        <v>446</v>
      </c>
      <c r="F1796" s="11">
        <v>1</v>
      </c>
      <c r="G1796" s="11">
        <v>100840.34</v>
      </c>
    </row>
    <row r="1797" spans="2:7" x14ac:dyDescent="0.2">
      <c r="B1797" s="32">
        <v>45847</v>
      </c>
      <c r="C1797" t="s">
        <v>109</v>
      </c>
      <c r="D1797" s="13" t="s">
        <v>634</v>
      </c>
      <c r="E1797" t="s">
        <v>476</v>
      </c>
      <c r="F1797" s="11">
        <v>1</v>
      </c>
      <c r="G1797" s="11">
        <v>96638.66</v>
      </c>
    </row>
    <row r="1798" spans="2:7" x14ac:dyDescent="0.2">
      <c r="B1798" s="32">
        <v>45847</v>
      </c>
      <c r="C1798" t="s">
        <v>109</v>
      </c>
      <c r="D1798" s="13" t="s">
        <v>634</v>
      </c>
      <c r="E1798" t="s">
        <v>207</v>
      </c>
      <c r="F1798" s="11">
        <v>1</v>
      </c>
      <c r="G1798" s="11">
        <v>96638.65</v>
      </c>
    </row>
    <row r="1799" spans="2:7" x14ac:dyDescent="0.2">
      <c r="B1799" s="32">
        <v>45847</v>
      </c>
      <c r="C1799" t="s">
        <v>109</v>
      </c>
      <c r="D1799" s="13" t="s">
        <v>634</v>
      </c>
      <c r="E1799" t="s">
        <v>1713</v>
      </c>
      <c r="F1799" s="11">
        <v>1</v>
      </c>
      <c r="G1799" s="11">
        <v>79831.929999999993</v>
      </c>
    </row>
    <row r="1800" spans="2:7" x14ac:dyDescent="0.2">
      <c r="B1800" s="32">
        <v>45847</v>
      </c>
      <c r="C1800" t="s">
        <v>109</v>
      </c>
      <c r="D1800" s="13" t="s">
        <v>634</v>
      </c>
      <c r="E1800" t="s">
        <v>152</v>
      </c>
      <c r="F1800" s="11">
        <v>1</v>
      </c>
      <c r="G1800" s="11">
        <v>75630.25</v>
      </c>
    </row>
    <row r="1801" spans="2:7" x14ac:dyDescent="0.2">
      <c r="B1801" s="32">
        <v>45847</v>
      </c>
      <c r="C1801" t="s">
        <v>109</v>
      </c>
      <c r="D1801" s="13" t="s">
        <v>634</v>
      </c>
      <c r="E1801" t="s">
        <v>174</v>
      </c>
      <c r="F1801" s="11">
        <v>1</v>
      </c>
      <c r="G1801" s="11">
        <v>75630.25</v>
      </c>
    </row>
    <row r="1802" spans="2:7" x14ac:dyDescent="0.2">
      <c r="B1802" s="32">
        <v>45847</v>
      </c>
      <c r="C1802" t="s">
        <v>109</v>
      </c>
      <c r="D1802" s="13" t="s">
        <v>634</v>
      </c>
      <c r="E1802" t="s">
        <v>164</v>
      </c>
      <c r="F1802" s="11">
        <v>1</v>
      </c>
      <c r="G1802" s="11">
        <v>67226.89</v>
      </c>
    </row>
    <row r="1803" spans="2:7" x14ac:dyDescent="0.2">
      <c r="B1803" s="32">
        <v>45847</v>
      </c>
      <c r="C1803" t="s">
        <v>109</v>
      </c>
      <c r="D1803" s="13" t="s">
        <v>634</v>
      </c>
      <c r="E1803" t="s">
        <v>162</v>
      </c>
      <c r="F1803" s="11">
        <v>1</v>
      </c>
      <c r="G1803" s="11">
        <v>58823.53</v>
      </c>
    </row>
    <row r="1804" spans="2:7" x14ac:dyDescent="0.2">
      <c r="B1804" s="32">
        <v>45847</v>
      </c>
      <c r="C1804" t="s">
        <v>109</v>
      </c>
      <c r="D1804" s="13" t="s">
        <v>634</v>
      </c>
      <c r="E1804" t="s">
        <v>269</v>
      </c>
      <c r="F1804" s="11">
        <v>1</v>
      </c>
      <c r="G1804" s="11">
        <v>50420.17</v>
      </c>
    </row>
    <row r="1805" spans="2:7" x14ac:dyDescent="0.2">
      <c r="B1805" s="32">
        <v>45847</v>
      </c>
      <c r="C1805" t="s">
        <v>109</v>
      </c>
      <c r="D1805" s="13" t="s">
        <v>634</v>
      </c>
      <c r="E1805" t="s">
        <v>473</v>
      </c>
      <c r="F1805" s="11">
        <v>1</v>
      </c>
      <c r="G1805" s="11">
        <v>50420.17</v>
      </c>
    </row>
    <row r="1806" spans="2:7" x14ac:dyDescent="0.2">
      <c r="B1806" s="32">
        <v>45847</v>
      </c>
      <c r="C1806" t="s">
        <v>109</v>
      </c>
      <c r="D1806" s="13" t="s">
        <v>634</v>
      </c>
      <c r="F1806" s="11">
        <v>1</v>
      </c>
      <c r="G1806" s="11">
        <v>46218.48</v>
      </c>
    </row>
    <row r="1807" spans="2:7" x14ac:dyDescent="0.2">
      <c r="B1807" s="32">
        <v>45847</v>
      </c>
      <c r="C1807" t="s">
        <v>109</v>
      </c>
      <c r="D1807" s="13" t="s">
        <v>634</v>
      </c>
      <c r="E1807" t="s">
        <v>166</v>
      </c>
      <c r="F1807" s="11">
        <v>1</v>
      </c>
      <c r="G1807" s="11">
        <v>42016.81</v>
      </c>
    </row>
    <row r="1808" spans="2:7" x14ac:dyDescent="0.2">
      <c r="B1808" s="32">
        <v>45847</v>
      </c>
      <c r="C1808" t="s">
        <v>109</v>
      </c>
      <c r="D1808" s="13" t="s">
        <v>634</v>
      </c>
      <c r="E1808" t="s">
        <v>328</v>
      </c>
      <c r="F1808" s="11">
        <v>1</v>
      </c>
      <c r="G1808" s="11">
        <v>37815.129999999997</v>
      </c>
    </row>
    <row r="1809" spans="2:7" x14ac:dyDescent="0.2">
      <c r="B1809" s="32">
        <v>45847</v>
      </c>
      <c r="C1809" t="s">
        <v>109</v>
      </c>
      <c r="D1809" s="13" t="s">
        <v>634</v>
      </c>
      <c r="E1809" t="s">
        <v>452</v>
      </c>
      <c r="F1809" s="11">
        <v>1</v>
      </c>
      <c r="G1809" s="11">
        <v>37815.129999999997</v>
      </c>
    </row>
    <row r="1810" spans="2:7" x14ac:dyDescent="0.2">
      <c r="B1810" s="32">
        <v>45847</v>
      </c>
      <c r="C1810" t="s">
        <v>109</v>
      </c>
      <c r="D1810" s="13" t="s">
        <v>634</v>
      </c>
      <c r="E1810" t="s">
        <v>1918</v>
      </c>
      <c r="F1810" s="11">
        <v>1</v>
      </c>
      <c r="G1810" s="11">
        <v>33613.449999999997</v>
      </c>
    </row>
    <row r="1811" spans="2:7" x14ac:dyDescent="0.2">
      <c r="B1811" s="32">
        <v>45847</v>
      </c>
      <c r="C1811" t="s">
        <v>109</v>
      </c>
      <c r="D1811" s="13" t="s">
        <v>633</v>
      </c>
      <c r="E1811" t="s">
        <v>476</v>
      </c>
      <c r="F1811" s="11">
        <v>1</v>
      </c>
      <c r="G1811" s="11">
        <v>96638.66</v>
      </c>
    </row>
    <row r="1812" spans="2:7" x14ac:dyDescent="0.2">
      <c r="B1812" s="32">
        <v>45847</v>
      </c>
      <c r="C1812" t="s">
        <v>109</v>
      </c>
      <c r="D1812" s="13" t="s">
        <v>633</v>
      </c>
      <c r="E1812" t="s">
        <v>233</v>
      </c>
      <c r="F1812" s="11">
        <v>1</v>
      </c>
      <c r="G1812" s="11">
        <v>58823.53</v>
      </c>
    </row>
    <row r="1813" spans="2:7" x14ac:dyDescent="0.2">
      <c r="B1813" s="32">
        <v>45848</v>
      </c>
      <c r="C1813" t="s">
        <v>142</v>
      </c>
      <c r="D1813" s="13" t="s">
        <v>634</v>
      </c>
      <c r="E1813" t="s">
        <v>502</v>
      </c>
      <c r="F1813" s="11">
        <v>1</v>
      </c>
      <c r="G1813" s="11">
        <v>252100.84</v>
      </c>
    </row>
    <row r="1814" spans="2:7" x14ac:dyDescent="0.2">
      <c r="B1814" s="32">
        <v>45848</v>
      </c>
      <c r="C1814" t="s">
        <v>142</v>
      </c>
      <c r="D1814" s="13" t="s">
        <v>634</v>
      </c>
      <c r="E1814" t="s">
        <v>489</v>
      </c>
      <c r="F1814" s="11">
        <v>1</v>
      </c>
      <c r="G1814" s="11">
        <v>126050.43</v>
      </c>
    </row>
    <row r="1815" spans="2:7" x14ac:dyDescent="0.2">
      <c r="B1815" s="32">
        <v>45848</v>
      </c>
      <c r="C1815" t="s">
        <v>142</v>
      </c>
      <c r="D1815" s="13" t="s">
        <v>634</v>
      </c>
      <c r="E1815" t="s">
        <v>207</v>
      </c>
      <c r="F1815" s="11">
        <v>1</v>
      </c>
      <c r="G1815" s="11">
        <v>96638.66</v>
      </c>
    </row>
    <row r="1816" spans="2:7" x14ac:dyDescent="0.2">
      <c r="B1816" s="32">
        <v>45848</v>
      </c>
      <c r="C1816" t="s">
        <v>142</v>
      </c>
      <c r="D1816" s="13" t="s">
        <v>634</v>
      </c>
      <c r="E1816" t="s">
        <v>154</v>
      </c>
      <c r="F1816" s="11">
        <v>1</v>
      </c>
      <c r="G1816" s="11">
        <v>96638.66</v>
      </c>
    </row>
    <row r="1817" spans="2:7" x14ac:dyDescent="0.2">
      <c r="B1817" s="32">
        <v>45848</v>
      </c>
      <c r="C1817" t="s">
        <v>142</v>
      </c>
      <c r="D1817" s="13" t="s">
        <v>634</v>
      </c>
      <c r="E1817" t="s">
        <v>315</v>
      </c>
      <c r="F1817" s="11">
        <v>1</v>
      </c>
      <c r="G1817" s="11">
        <v>84033.61</v>
      </c>
    </row>
    <row r="1818" spans="2:7" x14ac:dyDescent="0.2">
      <c r="B1818" s="32">
        <v>45848</v>
      </c>
      <c r="C1818" t="s">
        <v>142</v>
      </c>
      <c r="D1818" s="13" t="s">
        <v>634</v>
      </c>
      <c r="E1818" t="s">
        <v>165</v>
      </c>
      <c r="F1818" s="11">
        <v>1</v>
      </c>
      <c r="G1818" s="11">
        <v>58823.53</v>
      </c>
    </row>
    <row r="1819" spans="2:7" x14ac:dyDescent="0.2">
      <c r="B1819" s="32">
        <v>45848</v>
      </c>
      <c r="C1819" t="s">
        <v>142</v>
      </c>
      <c r="D1819" s="13" t="s">
        <v>634</v>
      </c>
      <c r="E1819" t="s">
        <v>258</v>
      </c>
      <c r="F1819" s="11">
        <v>1</v>
      </c>
      <c r="G1819" s="11">
        <v>54621.85</v>
      </c>
    </row>
    <row r="1820" spans="2:7" x14ac:dyDescent="0.2">
      <c r="B1820" s="32">
        <v>45848</v>
      </c>
      <c r="C1820" t="s">
        <v>142</v>
      </c>
      <c r="D1820" s="13" t="s">
        <v>634</v>
      </c>
      <c r="E1820" t="s">
        <v>218</v>
      </c>
      <c r="F1820" s="11">
        <v>2</v>
      </c>
      <c r="G1820" s="11">
        <v>42016.800000000003</v>
      </c>
    </row>
    <row r="1821" spans="2:7" x14ac:dyDescent="0.2">
      <c r="B1821" s="32">
        <v>45848</v>
      </c>
      <c r="C1821" t="s">
        <v>142</v>
      </c>
      <c r="D1821" s="13" t="s">
        <v>633</v>
      </c>
      <c r="E1821" t="s">
        <v>1919</v>
      </c>
      <c r="F1821" s="11">
        <v>2</v>
      </c>
      <c r="G1821" s="11">
        <v>92436.97</v>
      </c>
    </row>
    <row r="1822" spans="2:7" x14ac:dyDescent="0.2">
      <c r="B1822" s="32">
        <v>45848</v>
      </c>
      <c r="C1822" t="s">
        <v>142</v>
      </c>
      <c r="D1822" s="13" t="s">
        <v>633</v>
      </c>
      <c r="E1822" t="s">
        <v>318</v>
      </c>
      <c r="F1822" s="11">
        <v>1</v>
      </c>
      <c r="G1822" s="11">
        <v>92436.97</v>
      </c>
    </row>
    <row r="1823" spans="2:7" x14ac:dyDescent="0.2">
      <c r="B1823" s="32">
        <v>45848</v>
      </c>
      <c r="C1823" t="s">
        <v>142</v>
      </c>
      <c r="D1823" s="13" t="s">
        <v>633</v>
      </c>
      <c r="E1823" t="s">
        <v>361</v>
      </c>
      <c r="F1823" s="11">
        <v>1</v>
      </c>
      <c r="G1823" s="11">
        <v>79831.929999999993</v>
      </c>
    </row>
    <row r="1824" spans="2:7" x14ac:dyDescent="0.2">
      <c r="B1824" s="32">
        <v>45848</v>
      </c>
      <c r="C1824" t="s">
        <v>142</v>
      </c>
      <c r="D1824" s="13" t="s">
        <v>633</v>
      </c>
      <c r="E1824" t="s">
        <v>218</v>
      </c>
      <c r="F1824" s="11">
        <v>1</v>
      </c>
      <c r="G1824" s="11">
        <v>21008.41</v>
      </c>
    </row>
    <row r="1825" spans="2:7" x14ac:dyDescent="0.2">
      <c r="B1825" s="32">
        <v>45848</v>
      </c>
      <c r="C1825" t="s">
        <v>142</v>
      </c>
      <c r="D1825" s="13" t="s">
        <v>633</v>
      </c>
      <c r="F1825" s="11">
        <v>0</v>
      </c>
      <c r="G1825" s="11">
        <v>0</v>
      </c>
    </row>
    <row r="1826" spans="2:7" x14ac:dyDescent="0.2">
      <c r="B1826" s="32">
        <v>45848</v>
      </c>
      <c r="C1826" t="s">
        <v>110</v>
      </c>
      <c r="D1826" s="13" t="s">
        <v>634</v>
      </c>
      <c r="E1826" t="s">
        <v>1813</v>
      </c>
      <c r="F1826" s="11">
        <v>1</v>
      </c>
      <c r="G1826" s="11">
        <v>21848.74</v>
      </c>
    </row>
    <row r="1827" spans="2:7" x14ac:dyDescent="0.2">
      <c r="B1827" s="32">
        <v>45848</v>
      </c>
      <c r="C1827" t="s">
        <v>1739</v>
      </c>
      <c r="D1827" s="13"/>
      <c r="E1827" t="s">
        <v>193</v>
      </c>
      <c r="F1827" s="11">
        <v>1</v>
      </c>
      <c r="G1827" s="11">
        <v>21848.74</v>
      </c>
    </row>
    <row r="1828" spans="2:7" x14ac:dyDescent="0.2">
      <c r="B1828" s="32">
        <v>45848</v>
      </c>
      <c r="C1828" t="s">
        <v>1739</v>
      </c>
      <c r="D1828" s="13"/>
      <c r="E1828" t="s">
        <v>1777</v>
      </c>
      <c r="F1828" s="11">
        <v>1</v>
      </c>
      <c r="G1828" s="11">
        <v>13445.38</v>
      </c>
    </row>
    <row r="1829" spans="2:7" x14ac:dyDescent="0.2">
      <c r="B1829" s="32">
        <v>45848</v>
      </c>
      <c r="C1829" t="s">
        <v>1739</v>
      </c>
      <c r="D1829" s="13" t="s">
        <v>634</v>
      </c>
      <c r="E1829" t="s">
        <v>780</v>
      </c>
      <c r="F1829" s="11">
        <v>1</v>
      </c>
      <c r="G1829" s="11">
        <v>285714.28999999998</v>
      </c>
    </row>
    <row r="1830" spans="2:7" x14ac:dyDescent="0.2">
      <c r="B1830" s="32">
        <v>45848</v>
      </c>
      <c r="C1830" t="s">
        <v>1739</v>
      </c>
      <c r="D1830" s="13" t="s">
        <v>634</v>
      </c>
      <c r="E1830" t="s">
        <v>448</v>
      </c>
      <c r="F1830" s="11">
        <v>1</v>
      </c>
      <c r="G1830" s="11">
        <v>142857.14000000001</v>
      </c>
    </row>
    <row r="1831" spans="2:7" x14ac:dyDescent="0.2">
      <c r="B1831" s="32">
        <v>45848</v>
      </c>
      <c r="C1831" t="s">
        <v>1739</v>
      </c>
      <c r="D1831" s="13" t="s">
        <v>634</v>
      </c>
      <c r="E1831" t="s">
        <v>440</v>
      </c>
      <c r="F1831" s="11">
        <v>1</v>
      </c>
      <c r="G1831" s="11">
        <v>84033.61</v>
      </c>
    </row>
    <row r="1832" spans="2:7" x14ac:dyDescent="0.2">
      <c r="B1832" s="32">
        <v>45848</v>
      </c>
      <c r="C1832" t="s">
        <v>1739</v>
      </c>
      <c r="D1832" s="13" t="s">
        <v>634</v>
      </c>
      <c r="E1832" t="s">
        <v>164</v>
      </c>
      <c r="F1832" s="11">
        <v>1</v>
      </c>
      <c r="G1832" s="11">
        <v>67226.89</v>
      </c>
    </row>
    <row r="1833" spans="2:7" x14ac:dyDescent="0.2">
      <c r="B1833" s="32">
        <v>45848</v>
      </c>
      <c r="C1833" t="s">
        <v>1739</v>
      </c>
      <c r="D1833" s="13" t="s">
        <v>634</v>
      </c>
      <c r="E1833" t="s">
        <v>150</v>
      </c>
      <c r="F1833" s="11">
        <v>1</v>
      </c>
      <c r="G1833" s="11">
        <v>42016.81</v>
      </c>
    </row>
    <row r="1834" spans="2:7" x14ac:dyDescent="0.2">
      <c r="B1834" s="32">
        <v>45848</v>
      </c>
      <c r="C1834" t="s">
        <v>1739</v>
      </c>
      <c r="D1834" s="13" t="s">
        <v>634</v>
      </c>
      <c r="E1834" t="s">
        <v>218</v>
      </c>
      <c r="F1834" s="11">
        <v>1</v>
      </c>
      <c r="G1834" s="11">
        <v>21008.400000000001</v>
      </c>
    </row>
    <row r="1835" spans="2:7" x14ac:dyDescent="0.2">
      <c r="B1835" s="32">
        <v>45848</v>
      </c>
      <c r="C1835" t="s">
        <v>1739</v>
      </c>
      <c r="D1835" s="13" t="s">
        <v>634</v>
      </c>
      <c r="F1835" s="11">
        <v>0</v>
      </c>
      <c r="G1835" s="11">
        <v>0</v>
      </c>
    </row>
    <row r="1836" spans="2:7" x14ac:dyDescent="0.2">
      <c r="B1836" s="32">
        <v>45848</v>
      </c>
      <c r="C1836" t="s">
        <v>1739</v>
      </c>
      <c r="D1836" s="13" t="s">
        <v>633</v>
      </c>
      <c r="E1836" t="s">
        <v>1775</v>
      </c>
      <c r="F1836" s="11">
        <v>1</v>
      </c>
      <c r="G1836" s="11">
        <v>46218.49</v>
      </c>
    </row>
    <row r="1837" spans="2:7" x14ac:dyDescent="0.2">
      <c r="B1837" s="32">
        <v>45848</v>
      </c>
      <c r="C1837" t="s">
        <v>109</v>
      </c>
      <c r="D1837" s="13" t="s">
        <v>634</v>
      </c>
      <c r="E1837" t="s">
        <v>685</v>
      </c>
      <c r="F1837" s="11">
        <v>2</v>
      </c>
      <c r="G1837" s="11">
        <v>310924.37</v>
      </c>
    </row>
    <row r="1838" spans="2:7" x14ac:dyDescent="0.2">
      <c r="B1838" s="32">
        <v>45848</v>
      </c>
      <c r="C1838" t="s">
        <v>109</v>
      </c>
      <c r="D1838" s="13" t="s">
        <v>634</v>
      </c>
      <c r="E1838" t="s">
        <v>298</v>
      </c>
      <c r="F1838" s="11">
        <v>1</v>
      </c>
      <c r="G1838" s="11">
        <v>96638.65</v>
      </c>
    </row>
    <row r="1839" spans="2:7" x14ac:dyDescent="0.2">
      <c r="B1839" s="32">
        <v>45848</v>
      </c>
      <c r="C1839" t="s">
        <v>109</v>
      </c>
      <c r="D1839" s="13" t="s">
        <v>634</v>
      </c>
      <c r="E1839" t="s">
        <v>206</v>
      </c>
      <c r="F1839" s="11">
        <v>2</v>
      </c>
      <c r="G1839" s="11">
        <v>75630.259999999995</v>
      </c>
    </row>
    <row r="1840" spans="2:7" x14ac:dyDescent="0.2">
      <c r="B1840" s="32">
        <v>45848</v>
      </c>
      <c r="C1840" t="s">
        <v>109</v>
      </c>
      <c r="D1840" s="13" t="s">
        <v>634</v>
      </c>
      <c r="E1840" t="s">
        <v>1920</v>
      </c>
      <c r="F1840" s="11">
        <v>1</v>
      </c>
      <c r="G1840" s="11">
        <v>63865.55</v>
      </c>
    </row>
    <row r="1841" spans="2:7" x14ac:dyDescent="0.2">
      <c r="B1841" s="32">
        <v>45848</v>
      </c>
      <c r="C1841" t="s">
        <v>109</v>
      </c>
      <c r="D1841" s="13" t="s">
        <v>634</v>
      </c>
      <c r="E1841" t="s">
        <v>423</v>
      </c>
      <c r="F1841" s="11">
        <v>1</v>
      </c>
      <c r="G1841" s="11">
        <v>58823.53</v>
      </c>
    </row>
    <row r="1842" spans="2:7" x14ac:dyDescent="0.2">
      <c r="B1842" s="32">
        <v>45848</v>
      </c>
      <c r="C1842" t="s">
        <v>109</v>
      </c>
      <c r="D1842" s="13" t="s">
        <v>634</v>
      </c>
      <c r="E1842" t="s">
        <v>440</v>
      </c>
      <c r="F1842" s="11">
        <v>1</v>
      </c>
      <c r="G1842" s="11">
        <v>58823.53</v>
      </c>
    </row>
    <row r="1843" spans="2:7" x14ac:dyDescent="0.2">
      <c r="B1843" s="32">
        <v>45848</v>
      </c>
      <c r="C1843" t="s">
        <v>109</v>
      </c>
      <c r="D1843" s="13" t="s">
        <v>634</v>
      </c>
      <c r="E1843" t="s">
        <v>160</v>
      </c>
      <c r="F1843" s="11">
        <v>1</v>
      </c>
      <c r="G1843" s="11">
        <v>46218.48</v>
      </c>
    </row>
    <row r="1844" spans="2:7" x14ac:dyDescent="0.2">
      <c r="B1844" s="32">
        <v>45848</v>
      </c>
      <c r="C1844" t="s">
        <v>109</v>
      </c>
      <c r="D1844" s="13" t="s">
        <v>634</v>
      </c>
      <c r="E1844" t="s">
        <v>240</v>
      </c>
      <c r="F1844" s="11">
        <v>1</v>
      </c>
      <c r="G1844" s="11">
        <v>42016.81</v>
      </c>
    </row>
    <row r="1845" spans="2:7" x14ac:dyDescent="0.2">
      <c r="B1845" s="32">
        <v>45848</v>
      </c>
      <c r="C1845" t="s">
        <v>109</v>
      </c>
      <c r="D1845" s="13" t="s">
        <v>634</v>
      </c>
      <c r="E1845" t="s">
        <v>150</v>
      </c>
      <c r="F1845" s="11">
        <v>1</v>
      </c>
      <c r="G1845" s="11">
        <v>42016.800000000003</v>
      </c>
    </row>
    <row r="1846" spans="2:7" x14ac:dyDescent="0.2">
      <c r="B1846" s="32">
        <v>45848</v>
      </c>
      <c r="C1846" t="s">
        <v>109</v>
      </c>
      <c r="D1846" s="13" t="s">
        <v>634</v>
      </c>
      <c r="E1846" t="s">
        <v>328</v>
      </c>
      <c r="F1846" s="11">
        <v>1</v>
      </c>
      <c r="G1846" s="11">
        <v>37815.129999999997</v>
      </c>
    </row>
    <row r="1847" spans="2:7" x14ac:dyDescent="0.2">
      <c r="B1847" s="32">
        <v>45848</v>
      </c>
      <c r="C1847" t="s">
        <v>109</v>
      </c>
      <c r="D1847" s="13" t="s">
        <v>634</v>
      </c>
      <c r="E1847" t="s">
        <v>293</v>
      </c>
      <c r="F1847" s="11">
        <v>1</v>
      </c>
      <c r="G1847" s="11">
        <v>37815.120000000003</v>
      </c>
    </row>
    <row r="1848" spans="2:7" x14ac:dyDescent="0.2">
      <c r="B1848" s="32">
        <v>45848</v>
      </c>
      <c r="C1848" t="s">
        <v>109</v>
      </c>
      <c r="D1848" s="13" t="s">
        <v>634</v>
      </c>
      <c r="F1848" s="11">
        <v>1</v>
      </c>
      <c r="G1848" s="11">
        <v>21848.74</v>
      </c>
    </row>
    <row r="1849" spans="2:7" x14ac:dyDescent="0.2">
      <c r="B1849" s="32">
        <v>45848</v>
      </c>
      <c r="C1849" t="s">
        <v>109</v>
      </c>
      <c r="D1849" s="13" t="s">
        <v>633</v>
      </c>
      <c r="E1849" t="s">
        <v>1921</v>
      </c>
      <c r="F1849" s="11">
        <v>1</v>
      </c>
      <c r="G1849" s="11">
        <v>155462.18</v>
      </c>
    </row>
    <row r="1850" spans="2:7" x14ac:dyDescent="0.2">
      <c r="B1850" s="32">
        <v>45849</v>
      </c>
      <c r="C1850" t="s">
        <v>142</v>
      </c>
      <c r="D1850" s="13" t="s">
        <v>634</v>
      </c>
      <c r="E1850" t="s">
        <v>169</v>
      </c>
      <c r="F1850" s="11">
        <v>1</v>
      </c>
      <c r="G1850" s="11">
        <v>96638.66</v>
      </c>
    </row>
    <row r="1851" spans="2:7" x14ac:dyDescent="0.2">
      <c r="B1851" s="32">
        <v>45849</v>
      </c>
      <c r="C1851" t="s">
        <v>142</v>
      </c>
      <c r="D1851" s="13" t="s">
        <v>633</v>
      </c>
      <c r="E1851" t="s">
        <v>250</v>
      </c>
      <c r="F1851" s="11">
        <v>1</v>
      </c>
      <c r="G1851" s="11">
        <v>96638.66</v>
      </c>
    </row>
    <row r="1852" spans="2:7" x14ac:dyDescent="0.2">
      <c r="B1852" s="32">
        <v>45849</v>
      </c>
      <c r="C1852" t="s">
        <v>142</v>
      </c>
      <c r="D1852" s="13" t="s">
        <v>633</v>
      </c>
      <c r="E1852" t="s">
        <v>185</v>
      </c>
      <c r="F1852" s="11">
        <v>1</v>
      </c>
      <c r="G1852" s="11">
        <v>96638.65</v>
      </c>
    </row>
    <row r="1853" spans="2:7" x14ac:dyDescent="0.2">
      <c r="B1853" s="32">
        <v>45849</v>
      </c>
      <c r="C1853" t="s">
        <v>142</v>
      </c>
      <c r="D1853" s="13" t="s">
        <v>633</v>
      </c>
      <c r="E1853" t="s">
        <v>275</v>
      </c>
      <c r="F1853" s="11">
        <v>1</v>
      </c>
      <c r="G1853" s="11">
        <v>58823.53</v>
      </c>
    </row>
    <row r="1854" spans="2:7" x14ac:dyDescent="0.2">
      <c r="B1854" s="32">
        <v>45849</v>
      </c>
      <c r="C1854" t="s">
        <v>142</v>
      </c>
      <c r="D1854" s="13" t="s">
        <v>633</v>
      </c>
      <c r="E1854" t="s">
        <v>411</v>
      </c>
      <c r="F1854" s="11">
        <v>1</v>
      </c>
      <c r="G1854" s="11">
        <v>58823.53</v>
      </c>
    </row>
    <row r="1855" spans="2:7" x14ac:dyDescent="0.2">
      <c r="B1855" s="32">
        <v>45849</v>
      </c>
      <c r="C1855" t="s">
        <v>142</v>
      </c>
      <c r="D1855" s="13" t="s">
        <v>633</v>
      </c>
      <c r="E1855" t="s">
        <v>320</v>
      </c>
      <c r="F1855" s="11">
        <v>1</v>
      </c>
      <c r="G1855" s="11">
        <v>58823.53</v>
      </c>
    </row>
    <row r="1856" spans="2:7" x14ac:dyDescent="0.2">
      <c r="B1856" s="32">
        <v>45849</v>
      </c>
      <c r="C1856" t="s">
        <v>142</v>
      </c>
      <c r="D1856" s="13" t="s">
        <v>633</v>
      </c>
      <c r="E1856" t="s">
        <v>468</v>
      </c>
      <c r="F1856" s="11">
        <v>1</v>
      </c>
      <c r="G1856" s="11">
        <v>37815.129999999997</v>
      </c>
    </row>
    <row r="1857" spans="2:7" x14ac:dyDescent="0.2">
      <c r="B1857" s="32">
        <v>45849</v>
      </c>
      <c r="C1857" t="s">
        <v>142</v>
      </c>
      <c r="D1857" s="13" t="s">
        <v>633</v>
      </c>
      <c r="F1857" s="11">
        <v>0</v>
      </c>
      <c r="G1857" s="11">
        <v>0</v>
      </c>
    </row>
    <row r="1858" spans="2:7" x14ac:dyDescent="0.2">
      <c r="B1858" s="32">
        <v>45849</v>
      </c>
      <c r="C1858" t="s">
        <v>1739</v>
      </c>
      <c r="D1858" s="13" t="s">
        <v>633</v>
      </c>
      <c r="E1858" t="s">
        <v>1890</v>
      </c>
      <c r="F1858" s="11">
        <v>1</v>
      </c>
      <c r="G1858" s="11">
        <v>75630.25</v>
      </c>
    </row>
    <row r="1859" spans="2:7" x14ac:dyDescent="0.2">
      <c r="B1859" s="32">
        <v>45849</v>
      </c>
      <c r="C1859" t="s">
        <v>1739</v>
      </c>
      <c r="D1859" s="13" t="s">
        <v>633</v>
      </c>
      <c r="E1859" t="s">
        <v>1871</v>
      </c>
      <c r="F1859" s="11">
        <v>1</v>
      </c>
      <c r="G1859" s="11">
        <v>58823.53</v>
      </c>
    </row>
    <row r="1860" spans="2:7" x14ac:dyDescent="0.2">
      <c r="B1860" s="32">
        <v>45849</v>
      </c>
      <c r="C1860" t="s">
        <v>109</v>
      </c>
      <c r="D1860" s="13" t="s">
        <v>634</v>
      </c>
      <c r="E1860" t="s">
        <v>619</v>
      </c>
      <c r="F1860" s="11">
        <v>4</v>
      </c>
      <c r="G1860" s="11">
        <v>201680.67</v>
      </c>
    </row>
    <row r="1861" spans="2:7" x14ac:dyDescent="0.2">
      <c r="B1861" s="32">
        <v>45849</v>
      </c>
      <c r="C1861" t="s">
        <v>109</v>
      </c>
      <c r="D1861" s="13" t="s">
        <v>634</v>
      </c>
      <c r="E1861" t="s">
        <v>533</v>
      </c>
      <c r="F1861" s="11">
        <v>1</v>
      </c>
      <c r="G1861" s="11">
        <v>84033.61</v>
      </c>
    </row>
    <row r="1862" spans="2:7" x14ac:dyDescent="0.2">
      <c r="B1862" s="32">
        <v>45849</v>
      </c>
      <c r="C1862" t="s">
        <v>109</v>
      </c>
      <c r="D1862" s="13" t="s">
        <v>634</v>
      </c>
      <c r="E1862" t="s">
        <v>152</v>
      </c>
      <c r="F1862" s="11">
        <v>1</v>
      </c>
      <c r="G1862" s="11">
        <v>75630.25</v>
      </c>
    </row>
    <row r="1863" spans="2:7" x14ac:dyDescent="0.2">
      <c r="B1863" s="32">
        <v>45849</v>
      </c>
      <c r="C1863" t="s">
        <v>109</v>
      </c>
      <c r="D1863" s="13" t="s">
        <v>634</v>
      </c>
      <c r="E1863" t="s">
        <v>206</v>
      </c>
      <c r="F1863" s="11">
        <v>2</v>
      </c>
      <c r="G1863" s="11">
        <v>75630.25</v>
      </c>
    </row>
    <row r="1864" spans="2:7" x14ac:dyDescent="0.2">
      <c r="B1864" s="32">
        <v>45849</v>
      </c>
      <c r="C1864" t="s">
        <v>109</v>
      </c>
      <c r="D1864" s="13" t="s">
        <v>634</v>
      </c>
      <c r="E1864" t="s">
        <v>654</v>
      </c>
      <c r="F1864" s="11">
        <v>1</v>
      </c>
      <c r="G1864" s="11">
        <v>54621.85</v>
      </c>
    </row>
    <row r="1865" spans="2:7" x14ac:dyDescent="0.2">
      <c r="B1865" s="32">
        <v>45849</v>
      </c>
      <c r="C1865" t="s">
        <v>109</v>
      </c>
      <c r="D1865" s="13" t="s">
        <v>634</v>
      </c>
      <c r="E1865" t="s">
        <v>560</v>
      </c>
      <c r="F1865" s="11">
        <v>1</v>
      </c>
      <c r="G1865" s="11">
        <v>46218.49</v>
      </c>
    </row>
    <row r="1866" spans="2:7" x14ac:dyDescent="0.2">
      <c r="B1866" s="32">
        <v>45849</v>
      </c>
      <c r="C1866" t="s">
        <v>109</v>
      </c>
      <c r="D1866" s="13" t="s">
        <v>634</v>
      </c>
      <c r="E1866" t="s">
        <v>240</v>
      </c>
      <c r="F1866" s="11">
        <v>1</v>
      </c>
      <c r="G1866" s="11">
        <v>42016.81</v>
      </c>
    </row>
    <row r="1867" spans="2:7" x14ac:dyDescent="0.2">
      <c r="B1867" s="32">
        <v>45849</v>
      </c>
      <c r="C1867" t="s">
        <v>109</v>
      </c>
      <c r="D1867" s="13" t="s">
        <v>633</v>
      </c>
      <c r="E1867" t="s">
        <v>1922</v>
      </c>
      <c r="F1867" s="11">
        <v>1</v>
      </c>
      <c r="G1867" s="11">
        <v>155462.18</v>
      </c>
    </row>
    <row r="1868" spans="2:7" x14ac:dyDescent="0.2">
      <c r="B1868" s="32">
        <v>45849</v>
      </c>
      <c r="C1868" t="s">
        <v>109</v>
      </c>
      <c r="D1868" s="13" t="s">
        <v>633</v>
      </c>
      <c r="E1868" t="s">
        <v>308</v>
      </c>
      <c r="F1868" s="11">
        <v>1</v>
      </c>
      <c r="G1868" s="11">
        <v>96638.66</v>
      </c>
    </row>
    <row r="1869" spans="2:7" x14ac:dyDescent="0.2">
      <c r="B1869" s="32">
        <v>45849</v>
      </c>
      <c r="C1869" t="s">
        <v>109</v>
      </c>
      <c r="D1869" s="13" t="s">
        <v>633</v>
      </c>
      <c r="E1869" t="s">
        <v>227</v>
      </c>
      <c r="F1869" s="11">
        <v>1</v>
      </c>
      <c r="G1869" s="11">
        <v>96638.65</v>
      </c>
    </row>
    <row r="1870" spans="2:7" x14ac:dyDescent="0.2">
      <c r="B1870" s="32">
        <v>45849</v>
      </c>
      <c r="C1870" t="s">
        <v>109</v>
      </c>
      <c r="D1870" s="13" t="s">
        <v>633</v>
      </c>
      <c r="E1870" t="s">
        <v>173</v>
      </c>
      <c r="F1870" s="11">
        <v>2</v>
      </c>
      <c r="G1870" s="11">
        <v>75630.259999999995</v>
      </c>
    </row>
    <row r="1871" spans="2:7" x14ac:dyDescent="0.2">
      <c r="B1871" s="32">
        <v>45849</v>
      </c>
      <c r="C1871" t="s">
        <v>109</v>
      </c>
      <c r="D1871" s="13" t="s">
        <v>633</v>
      </c>
      <c r="E1871" t="s">
        <v>475</v>
      </c>
      <c r="F1871" s="11">
        <v>1</v>
      </c>
      <c r="G1871" s="11">
        <v>71428.570000000007</v>
      </c>
    </row>
    <row r="1872" spans="2:7" x14ac:dyDescent="0.2">
      <c r="B1872" s="32">
        <v>45849</v>
      </c>
      <c r="C1872" t="s">
        <v>109</v>
      </c>
      <c r="D1872" s="13" t="s">
        <v>633</v>
      </c>
      <c r="E1872" t="s">
        <v>534</v>
      </c>
      <c r="F1872" s="11">
        <v>1</v>
      </c>
      <c r="G1872" s="11">
        <v>71428.570000000007</v>
      </c>
    </row>
    <row r="1873" spans="2:7" x14ac:dyDescent="0.2">
      <c r="B1873" s="32">
        <v>45849</v>
      </c>
      <c r="C1873" t="s">
        <v>109</v>
      </c>
      <c r="D1873" s="13" t="s">
        <v>633</v>
      </c>
      <c r="E1873" t="s">
        <v>149</v>
      </c>
      <c r="F1873" s="11">
        <v>1</v>
      </c>
      <c r="G1873" s="11">
        <v>67226.89</v>
      </c>
    </row>
    <row r="1874" spans="2:7" x14ac:dyDescent="0.2">
      <c r="B1874" s="32">
        <v>45849</v>
      </c>
      <c r="C1874" t="s">
        <v>109</v>
      </c>
      <c r="D1874" s="13" t="s">
        <v>633</v>
      </c>
      <c r="E1874" t="s">
        <v>1923</v>
      </c>
      <c r="F1874" s="11">
        <v>1</v>
      </c>
      <c r="G1874" s="11">
        <v>58823.53</v>
      </c>
    </row>
    <row r="1875" spans="2:7" x14ac:dyDescent="0.2">
      <c r="B1875" s="32">
        <v>45849</v>
      </c>
      <c r="C1875" t="s">
        <v>109</v>
      </c>
      <c r="D1875" s="13" t="s">
        <v>633</v>
      </c>
      <c r="E1875" t="s">
        <v>332</v>
      </c>
      <c r="F1875" s="11">
        <v>1</v>
      </c>
      <c r="G1875" s="11">
        <v>58823.53</v>
      </c>
    </row>
    <row r="1876" spans="2:7" x14ac:dyDescent="0.2">
      <c r="B1876" s="32">
        <v>45849</v>
      </c>
      <c r="C1876" t="s">
        <v>109</v>
      </c>
      <c r="D1876" s="13" t="s">
        <v>633</v>
      </c>
      <c r="E1876" t="s">
        <v>1924</v>
      </c>
      <c r="F1876" s="11">
        <v>1</v>
      </c>
      <c r="G1876" s="11">
        <v>58823.53</v>
      </c>
    </row>
    <row r="1877" spans="2:7" x14ac:dyDescent="0.2">
      <c r="B1877" s="32">
        <v>45849</v>
      </c>
      <c r="C1877" t="s">
        <v>109</v>
      </c>
      <c r="D1877" s="13" t="s">
        <v>633</v>
      </c>
      <c r="E1877" t="s">
        <v>247</v>
      </c>
      <c r="F1877" s="11">
        <v>1</v>
      </c>
      <c r="G1877" s="11">
        <v>58823.519999999997</v>
      </c>
    </row>
    <row r="1878" spans="2:7" x14ac:dyDescent="0.2">
      <c r="B1878" s="32">
        <v>45849</v>
      </c>
      <c r="C1878" t="s">
        <v>109</v>
      </c>
      <c r="D1878" s="13" t="s">
        <v>633</v>
      </c>
      <c r="E1878" t="s">
        <v>1829</v>
      </c>
      <c r="F1878" s="11">
        <v>1</v>
      </c>
      <c r="G1878" s="11">
        <v>54621.85</v>
      </c>
    </row>
    <row r="1879" spans="2:7" x14ac:dyDescent="0.2">
      <c r="B1879" s="32">
        <v>45849</v>
      </c>
      <c r="C1879" t="s">
        <v>109</v>
      </c>
      <c r="D1879" s="13" t="s">
        <v>633</v>
      </c>
      <c r="E1879" t="s">
        <v>350</v>
      </c>
      <c r="F1879" s="11">
        <v>1</v>
      </c>
      <c r="G1879" s="11">
        <v>46218.48</v>
      </c>
    </row>
    <row r="1880" spans="2:7" x14ac:dyDescent="0.2">
      <c r="B1880" s="32">
        <v>45849</v>
      </c>
      <c r="C1880" t="s">
        <v>109</v>
      </c>
      <c r="D1880" s="13" t="s">
        <v>633</v>
      </c>
      <c r="E1880" t="s">
        <v>330</v>
      </c>
      <c r="F1880" s="11">
        <v>1</v>
      </c>
      <c r="G1880" s="11">
        <v>37815.129999999997</v>
      </c>
    </row>
    <row r="1881" spans="2:7" x14ac:dyDescent="0.2">
      <c r="B1881" s="32">
        <v>45850</v>
      </c>
      <c r="C1881" t="s">
        <v>142</v>
      </c>
      <c r="D1881" s="13" t="s">
        <v>634</v>
      </c>
      <c r="E1881" t="s">
        <v>194</v>
      </c>
      <c r="F1881" s="11">
        <v>1</v>
      </c>
      <c r="G1881" s="11">
        <v>96638.66</v>
      </c>
    </row>
    <row r="1882" spans="2:7" x14ac:dyDescent="0.2">
      <c r="B1882" s="32">
        <v>45850</v>
      </c>
      <c r="C1882" t="s">
        <v>142</v>
      </c>
      <c r="D1882" s="13" t="s">
        <v>634</v>
      </c>
      <c r="E1882" t="s">
        <v>233</v>
      </c>
      <c r="F1882" s="11">
        <v>1</v>
      </c>
      <c r="G1882" s="11">
        <v>58823.53</v>
      </c>
    </row>
    <row r="1883" spans="2:7" x14ac:dyDescent="0.2">
      <c r="B1883" s="32">
        <v>45850</v>
      </c>
      <c r="C1883" t="s">
        <v>142</v>
      </c>
      <c r="D1883" s="13" t="s">
        <v>634</v>
      </c>
      <c r="E1883" t="s">
        <v>315</v>
      </c>
      <c r="F1883" s="11">
        <v>1</v>
      </c>
      <c r="G1883" s="11">
        <v>58823.53</v>
      </c>
    </row>
    <row r="1884" spans="2:7" x14ac:dyDescent="0.2">
      <c r="B1884" s="32">
        <v>45850</v>
      </c>
      <c r="C1884" t="s">
        <v>142</v>
      </c>
      <c r="D1884" s="13" t="s">
        <v>634</v>
      </c>
      <c r="E1884" t="s">
        <v>224</v>
      </c>
      <c r="F1884" s="11">
        <v>1</v>
      </c>
      <c r="G1884" s="11">
        <v>58823.519999999997</v>
      </c>
    </row>
    <row r="1885" spans="2:7" x14ac:dyDescent="0.2">
      <c r="B1885" s="32">
        <v>45850</v>
      </c>
      <c r="C1885" t="s">
        <v>142</v>
      </c>
      <c r="D1885" s="13" t="s">
        <v>633</v>
      </c>
      <c r="E1885" t="s">
        <v>191</v>
      </c>
      <c r="F1885" s="11">
        <v>1</v>
      </c>
      <c r="G1885" s="11">
        <v>130252.1</v>
      </c>
    </row>
    <row r="1886" spans="2:7" x14ac:dyDescent="0.2">
      <c r="B1886" s="32">
        <v>45850</v>
      </c>
      <c r="C1886" t="s">
        <v>142</v>
      </c>
      <c r="D1886" s="13" t="s">
        <v>633</v>
      </c>
      <c r="F1886" s="11">
        <v>1</v>
      </c>
      <c r="G1886" s="11">
        <v>1</v>
      </c>
    </row>
    <row r="1887" spans="2:7" x14ac:dyDescent="0.2">
      <c r="B1887" s="32">
        <v>45850</v>
      </c>
      <c r="C1887" t="s">
        <v>110</v>
      </c>
      <c r="D1887" s="13" t="s">
        <v>633</v>
      </c>
      <c r="E1887" t="s">
        <v>300</v>
      </c>
      <c r="F1887" s="11">
        <v>1</v>
      </c>
      <c r="G1887" s="11">
        <v>37815.129999999997</v>
      </c>
    </row>
    <row r="1888" spans="2:7" x14ac:dyDescent="0.2">
      <c r="B1888" s="32">
        <v>45850</v>
      </c>
      <c r="C1888" t="s">
        <v>1739</v>
      </c>
      <c r="D1888" s="13" t="s">
        <v>633</v>
      </c>
      <c r="E1888" t="s">
        <v>212</v>
      </c>
      <c r="F1888" s="11">
        <v>1</v>
      </c>
      <c r="G1888" s="11">
        <v>54621.85</v>
      </c>
    </row>
    <row r="1889" spans="2:7" x14ac:dyDescent="0.2">
      <c r="B1889" s="32">
        <v>45850</v>
      </c>
      <c r="C1889" t="s">
        <v>1739</v>
      </c>
      <c r="D1889" s="13" t="s">
        <v>633</v>
      </c>
      <c r="E1889" t="s">
        <v>764</v>
      </c>
      <c r="F1889" s="11">
        <v>1</v>
      </c>
      <c r="G1889" s="11">
        <v>50420.160000000003</v>
      </c>
    </row>
    <row r="1890" spans="2:7" x14ac:dyDescent="0.2">
      <c r="B1890" s="32">
        <v>45850</v>
      </c>
      <c r="C1890" t="s">
        <v>1739</v>
      </c>
      <c r="D1890" s="13" t="s">
        <v>633</v>
      </c>
      <c r="E1890" t="s">
        <v>158</v>
      </c>
      <c r="F1890" s="11">
        <v>1</v>
      </c>
      <c r="G1890" s="11">
        <v>46218.49</v>
      </c>
    </row>
    <row r="1891" spans="2:7" x14ac:dyDescent="0.2">
      <c r="B1891" s="32">
        <v>45850</v>
      </c>
      <c r="C1891" t="s">
        <v>109</v>
      </c>
      <c r="D1891" s="13"/>
      <c r="E1891" t="s">
        <v>203</v>
      </c>
      <c r="F1891" s="11">
        <v>1</v>
      </c>
      <c r="G1891" s="11">
        <v>42016.81</v>
      </c>
    </row>
    <row r="1892" spans="2:7" x14ac:dyDescent="0.2">
      <c r="B1892" s="32">
        <v>45850</v>
      </c>
      <c r="C1892" t="s">
        <v>109</v>
      </c>
      <c r="D1892" s="13" t="s">
        <v>634</v>
      </c>
      <c r="E1892" t="s">
        <v>446</v>
      </c>
      <c r="F1892" s="11">
        <v>3</v>
      </c>
      <c r="G1892" s="11">
        <v>302521</v>
      </c>
    </row>
    <row r="1893" spans="2:7" x14ac:dyDescent="0.2">
      <c r="B1893" s="32">
        <v>45850</v>
      </c>
      <c r="C1893" t="s">
        <v>109</v>
      </c>
      <c r="D1893" s="13" t="s">
        <v>634</v>
      </c>
      <c r="E1893" t="s">
        <v>1925</v>
      </c>
      <c r="F1893" s="11">
        <v>1</v>
      </c>
      <c r="G1893" s="11">
        <v>285714.28999999998</v>
      </c>
    </row>
    <row r="1894" spans="2:7" x14ac:dyDescent="0.2">
      <c r="B1894" s="32">
        <v>45850</v>
      </c>
      <c r="C1894" t="s">
        <v>109</v>
      </c>
      <c r="D1894" s="13" t="s">
        <v>634</v>
      </c>
      <c r="E1894" t="s">
        <v>197</v>
      </c>
      <c r="F1894" s="11">
        <v>2</v>
      </c>
      <c r="G1894" s="11">
        <v>201680.67</v>
      </c>
    </row>
    <row r="1895" spans="2:7" x14ac:dyDescent="0.2">
      <c r="B1895" s="32">
        <v>45850</v>
      </c>
      <c r="C1895" t="s">
        <v>109</v>
      </c>
      <c r="D1895" s="13" t="s">
        <v>634</v>
      </c>
      <c r="E1895" t="s">
        <v>606</v>
      </c>
      <c r="F1895" s="11">
        <v>1</v>
      </c>
      <c r="G1895" s="11">
        <v>184873.95</v>
      </c>
    </row>
    <row r="1896" spans="2:7" x14ac:dyDescent="0.2">
      <c r="B1896" s="32">
        <v>45850</v>
      </c>
      <c r="C1896" t="s">
        <v>109</v>
      </c>
      <c r="D1896" s="13" t="s">
        <v>634</v>
      </c>
      <c r="E1896" t="s">
        <v>767</v>
      </c>
      <c r="F1896" s="11">
        <v>1</v>
      </c>
      <c r="G1896" s="11">
        <v>130252.1</v>
      </c>
    </row>
    <row r="1897" spans="2:7" x14ac:dyDescent="0.2">
      <c r="B1897" s="32">
        <v>45850</v>
      </c>
      <c r="C1897" t="s">
        <v>109</v>
      </c>
      <c r="D1897" s="13" t="s">
        <v>634</v>
      </c>
      <c r="E1897" t="s">
        <v>679</v>
      </c>
      <c r="F1897" s="11">
        <v>1</v>
      </c>
      <c r="G1897" s="11">
        <v>100840.34</v>
      </c>
    </row>
    <row r="1898" spans="2:7" x14ac:dyDescent="0.2">
      <c r="B1898" s="32">
        <v>45850</v>
      </c>
      <c r="C1898" t="s">
        <v>109</v>
      </c>
      <c r="D1898" s="13" t="s">
        <v>634</v>
      </c>
      <c r="E1898" t="s">
        <v>1897</v>
      </c>
      <c r="F1898" s="11">
        <v>2</v>
      </c>
      <c r="G1898" s="11">
        <v>100840.34</v>
      </c>
    </row>
    <row r="1899" spans="2:7" x14ac:dyDescent="0.2">
      <c r="B1899" s="32">
        <v>45850</v>
      </c>
      <c r="C1899" t="s">
        <v>109</v>
      </c>
      <c r="D1899" s="13" t="s">
        <v>634</v>
      </c>
      <c r="E1899" t="s">
        <v>243</v>
      </c>
      <c r="F1899" s="11">
        <v>1</v>
      </c>
      <c r="G1899" s="11">
        <v>100840.33</v>
      </c>
    </row>
    <row r="1900" spans="2:7" x14ac:dyDescent="0.2">
      <c r="B1900" s="32">
        <v>45850</v>
      </c>
      <c r="C1900" t="s">
        <v>109</v>
      </c>
      <c r="D1900" s="13" t="s">
        <v>634</v>
      </c>
      <c r="E1900" t="s">
        <v>308</v>
      </c>
      <c r="F1900" s="11">
        <v>1</v>
      </c>
      <c r="G1900" s="11">
        <v>96638.66</v>
      </c>
    </row>
    <row r="1901" spans="2:7" x14ac:dyDescent="0.2">
      <c r="B1901" s="32">
        <v>45850</v>
      </c>
      <c r="C1901" t="s">
        <v>109</v>
      </c>
      <c r="D1901" s="13" t="s">
        <v>634</v>
      </c>
      <c r="E1901" t="s">
        <v>167</v>
      </c>
      <c r="F1901" s="11">
        <v>1</v>
      </c>
      <c r="G1901" s="11">
        <v>96638.66</v>
      </c>
    </row>
    <row r="1902" spans="2:7" x14ac:dyDescent="0.2">
      <c r="B1902" s="32">
        <v>45850</v>
      </c>
      <c r="C1902" t="s">
        <v>109</v>
      </c>
      <c r="D1902" s="13" t="s">
        <v>634</v>
      </c>
      <c r="E1902" t="s">
        <v>169</v>
      </c>
      <c r="F1902" s="11">
        <v>1</v>
      </c>
      <c r="G1902" s="11">
        <v>96638.66</v>
      </c>
    </row>
    <row r="1903" spans="2:7" x14ac:dyDescent="0.2">
      <c r="B1903" s="32">
        <v>45850</v>
      </c>
      <c r="C1903" t="s">
        <v>109</v>
      </c>
      <c r="D1903" s="13" t="s">
        <v>634</v>
      </c>
      <c r="E1903" t="s">
        <v>185</v>
      </c>
      <c r="F1903" s="11">
        <v>1</v>
      </c>
      <c r="G1903" s="11">
        <v>96638.66</v>
      </c>
    </row>
    <row r="1904" spans="2:7" x14ac:dyDescent="0.2">
      <c r="B1904" s="32">
        <v>45850</v>
      </c>
      <c r="C1904" t="s">
        <v>109</v>
      </c>
      <c r="D1904" s="13" t="s">
        <v>634</v>
      </c>
      <c r="E1904" t="s">
        <v>203</v>
      </c>
      <c r="F1904" s="11">
        <v>2</v>
      </c>
      <c r="G1904" s="11">
        <v>84033.62</v>
      </c>
    </row>
    <row r="1905" spans="2:7" x14ac:dyDescent="0.2">
      <c r="B1905" s="32">
        <v>45850</v>
      </c>
      <c r="C1905" t="s">
        <v>109</v>
      </c>
      <c r="D1905" s="13" t="s">
        <v>634</v>
      </c>
      <c r="E1905" t="s">
        <v>293</v>
      </c>
      <c r="F1905" s="11">
        <v>2</v>
      </c>
      <c r="G1905" s="11">
        <v>75630.25</v>
      </c>
    </row>
    <row r="1906" spans="2:7" x14ac:dyDescent="0.2">
      <c r="B1906" s="32">
        <v>45850</v>
      </c>
      <c r="C1906" t="s">
        <v>109</v>
      </c>
      <c r="D1906" s="13" t="s">
        <v>634</v>
      </c>
      <c r="E1906" t="s">
        <v>368</v>
      </c>
      <c r="F1906" s="11">
        <v>1</v>
      </c>
      <c r="G1906" s="11">
        <v>75630.25</v>
      </c>
    </row>
    <row r="1907" spans="2:7" x14ac:dyDescent="0.2">
      <c r="B1907" s="32">
        <v>45850</v>
      </c>
      <c r="C1907" t="s">
        <v>109</v>
      </c>
      <c r="D1907" s="13" t="s">
        <v>634</v>
      </c>
      <c r="E1907" t="s">
        <v>189</v>
      </c>
      <c r="F1907" s="11">
        <v>1</v>
      </c>
      <c r="G1907" s="11">
        <v>71428.570000000007</v>
      </c>
    </row>
    <row r="1908" spans="2:7" x14ac:dyDescent="0.2">
      <c r="B1908" s="32">
        <v>45850</v>
      </c>
      <c r="C1908" t="s">
        <v>109</v>
      </c>
      <c r="D1908" s="13" t="s">
        <v>634</v>
      </c>
      <c r="E1908" t="s">
        <v>475</v>
      </c>
      <c r="F1908" s="11">
        <v>1</v>
      </c>
      <c r="G1908" s="11">
        <v>71428.570000000007</v>
      </c>
    </row>
    <row r="1909" spans="2:7" x14ac:dyDescent="0.2">
      <c r="B1909" s="32">
        <v>45850</v>
      </c>
      <c r="C1909" t="s">
        <v>109</v>
      </c>
      <c r="D1909" s="13" t="s">
        <v>634</v>
      </c>
      <c r="E1909" t="s">
        <v>164</v>
      </c>
      <c r="F1909" s="11">
        <v>1</v>
      </c>
      <c r="G1909" s="11">
        <v>67226.89</v>
      </c>
    </row>
    <row r="1910" spans="2:7" x14ac:dyDescent="0.2">
      <c r="B1910" s="32">
        <v>45850</v>
      </c>
      <c r="C1910" t="s">
        <v>109</v>
      </c>
      <c r="D1910" s="13" t="s">
        <v>634</v>
      </c>
      <c r="F1910" s="11">
        <v>2</v>
      </c>
      <c r="G1910" s="11">
        <v>58823.53</v>
      </c>
    </row>
    <row r="1911" spans="2:7" x14ac:dyDescent="0.2">
      <c r="B1911" s="32">
        <v>45850</v>
      </c>
      <c r="C1911" t="s">
        <v>109</v>
      </c>
      <c r="D1911" s="13" t="s">
        <v>634</v>
      </c>
      <c r="E1911" t="s">
        <v>654</v>
      </c>
      <c r="F1911" s="11">
        <v>1</v>
      </c>
      <c r="G1911" s="11">
        <v>54621.85</v>
      </c>
    </row>
    <row r="1912" spans="2:7" x14ac:dyDescent="0.2">
      <c r="B1912" s="32">
        <v>45850</v>
      </c>
      <c r="C1912" t="s">
        <v>109</v>
      </c>
      <c r="D1912" s="13" t="s">
        <v>634</v>
      </c>
      <c r="E1912" t="s">
        <v>258</v>
      </c>
      <c r="F1912" s="11">
        <v>1</v>
      </c>
      <c r="G1912" s="11">
        <v>54621.85</v>
      </c>
    </row>
    <row r="1913" spans="2:7" x14ac:dyDescent="0.2">
      <c r="B1913" s="32">
        <v>45850</v>
      </c>
      <c r="C1913" t="s">
        <v>109</v>
      </c>
      <c r="D1913" s="13" t="s">
        <v>634</v>
      </c>
      <c r="E1913" t="s">
        <v>426</v>
      </c>
      <c r="F1913" s="11">
        <v>1</v>
      </c>
      <c r="G1913" s="11">
        <v>50420.17</v>
      </c>
    </row>
    <row r="1914" spans="2:7" x14ac:dyDescent="0.2">
      <c r="B1914" s="32">
        <v>45850</v>
      </c>
      <c r="C1914" t="s">
        <v>109</v>
      </c>
      <c r="D1914" s="13" t="s">
        <v>634</v>
      </c>
      <c r="E1914" t="s">
        <v>254</v>
      </c>
      <c r="F1914" s="11">
        <v>1</v>
      </c>
      <c r="G1914" s="11">
        <v>50420.17</v>
      </c>
    </row>
    <row r="1915" spans="2:7" x14ac:dyDescent="0.2">
      <c r="B1915" s="32">
        <v>45850</v>
      </c>
      <c r="C1915" t="s">
        <v>109</v>
      </c>
      <c r="D1915" s="13" t="s">
        <v>634</v>
      </c>
      <c r="E1915" t="s">
        <v>678</v>
      </c>
      <c r="F1915" s="11">
        <v>1</v>
      </c>
      <c r="G1915" s="11">
        <v>50420.17</v>
      </c>
    </row>
    <row r="1916" spans="2:7" x14ac:dyDescent="0.2">
      <c r="B1916" s="32">
        <v>45850</v>
      </c>
      <c r="C1916" t="s">
        <v>109</v>
      </c>
      <c r="D1916" s="13" t="s">
        <v>634</v>
      </c>
      <c r="E1916" t="s">
        <v>172</v>
      </c>
      <c r="F1916" s="11">
        <v>1</v>
      </c>
      <c r="G1916" s="11">
        <v>46218.49</v>
      </c>
    </row>
    <row r="1917" spans="2:7" x14ac:dyDescent="0.2">
      <c r="B1917" s="32">
        <v>45850</v>
      </c>
      <c r="C1917" t="s">
        <v>109</v>
      </c>
      <c r="D1917" s="13" t="s">
        <v>634</v>
      </c>
      <c r="E1917" t="s">
        <v>337</v>
      </c>
      <c r="F1917" s="11">
        <v>1</v>
      </c>
      <c r="G1917" s="11">
        <v>46218.49</v>
      </c>
    </row>
    <row r="1918" spans="2:7" x14ac:dyDescent="0.2">
      <c r="B1918" s="32">
        <v>45850</v>
      </c>
      <c r="C1918" t="s">
        <v>109</v>
      </c>
      <c r="D1918" s="13" t="s">
        <v>634</v>
      </c>
      <c r="E1918" t="s">
        <v>1818</v>
      </c>
      <c r="F1918" s="11">
        <v>1</v>
      </c>
      <c r="G1918" s="11">
        <v>37815.129999999997</v>
      </c>
    </row>
    <row r="1919" spans="2:7" x14ac:dyDescent="0.2">
      <c r="B1919" s="32">
        <v>45850</v>
      </c>
      <c r="C1919" t="s">
        <v>109</v>
      </c>
      <c r="D1919" s="13" t="s">
        <v>634</v>
      </c>
      <c r="E1919" t="s">
        <v>173</v>
      </c>
      <c r="F1919" s="11">
        <v>1</v>
      </c>
      <c r="G1919" s="11">
        <v>37815.129999999997</v>
      </c>
    </row>
    <row r="1920" spans="2:7" x14ac:dyDescent="0.2">
      <c r="B1920" s="32">
        <v>45850</v>
      </c>
      <c r="C1920" t="s">
        <v>109</v>
      </c>
      <c r="D1920" s="13" t="s">
        <v>634</v>
      </c>
      <c r="E1920" t="s">
        <v>330</v>
      </c>
      <c r="F1920" s="11">
        <v>1</v>
      </c>
      <c r="G1920" s="11">
        <v>37815.120000000003</v>
      </c>
    </row>
    <row r="1921" spans="2:7" x14ac:dyDescent="0.2">
      <c r="B1921" s="32">
        <v>45850</v>
      </c>
      <c r="C1921" t="s">
        <v>109</v>
      </c>
      <c r="D1921" s="13" t="s">
        <v>634</v>
      </c>
      <c r="E1921" t="s">
        <v>1813</v>
      </c>
      <c r="F1921" s="11">
        <v>1</v>
      </c>
      <c r="G1921" s="11">
        <v>21848.74</v>
      </c>
    </row>
    <row r="1922" spans="2:7" x14ac:dyDescent="0.2">
      <c r="B1922" s="32">
        <v>45850</v>
      </c>
      <c r="C1922" t="s">
        <v>109</v>
      </c>
      <c r="D1922" s="13" t="s">
        <v>633</v>
      </c>
      <c r="E1922" t="s">
        <v>457</v>
      </c>
      <c r="F1922" s="11">
        <v>1</v>
      </c>
      <c r="G1922" s="11">
        <v>79831.929999999993</v>
      </c>
    </row>
    <row r="1923" spans="2:7" x14ac:dyDescent="0.2">
      <c r="B1923" s="32">
        <v>45850</v>
      </c>
      <c r="C1923" t="s">
        <v>109</v>
      </c>
      <c r="D1923" s="13" t="s">
        <v>633</v>
      </c>
      <c r="E1923" t="s">
        <v>1926</v>
      </c>
      <c r="F1923" s="11">
        <v>1</v>
      </c>
      <c r="G1923" s="11">
        <v>79831.929999999993</v>
      </c>
    </row>
    <row r="1924" spans="2:7" x14ac:dyDescent="0.2">
      <c r="B1924" s="32">
        <v>45850</v>
      </c>
      <c r="C1924" t="s">
        <v>109</v>
      </c>
      <c r="D1924" s="13" t="s">
        <v>633</v>
      </c>
      <c r="E1924" t="s">
        <v>549</v>
      </c>
      <c r="F1924" s="11">
        <v>1</v>
      </c>
      <c r="G1924" s="11">
        <v>46218.49</v>
      </c>
    </row>
    <row r="1925" spans="2:7" x14ac:dyDescent="0.2">
      <c r="B1925" s="32">
        <v>45850</v>
      </c>
      <c r="C1925" t="s">
        <v>109</v>
      </c>
      <c r="D1925" s="13" t="s">
        <v>633</v>
      </c>
      <c r="E1925" t="s">
        <v>148</v>
      </c>
      <c r="F1925" s="11">
        <v>1</v>
      </c>
      <c r="G1925" s="11">
        <v>37815.120000000003</v>
      </c>
    </row>
    <row r="1926" spans="2:7" x14ac:dyDescent="0.2">
      <c r="B1926" s="32">
        <v>45850</v>
      </c>
      <c r="C1926" t="s">
        <v>109</v>
      </c>
      <c r="D1926" s="13" t="s">
        <v>633</v>
      </c>
      <c r="E1926" t="s">
        <v>1918</v>
      </c>
      <c r="F1926" s="11">
        <v>1</v>
      </c>
      <c r="G1926" s="11">
        <v>33613.449999999997</v>
      </c>
    </row>
    <row r="1927" spans="2:7" x14ac:dyDescent="0.2">
      <c r="B1927" s="32">
        <v>45851</v>
      </c>
      <c r="C1927" t="s">
        <v>142</v>
      </c>
      <c r="D1927" s="13" t="s">
        <v>633</v>
      </c>
      <c r="E1927" t="s">
        <v>620</v>
      </c>
      <c r="F1927" s="11">
        <v>1</v>
      </c>
      <c r="G1927" s="11">
        <v>142857.14000000001</v>
      </c>
    </row>
    <row r="1928" spans="2:7" x14ac:dyDescent="0.2">
      <c r="B1928" s="32">
        <v>45851</v>
      </c>
      <c r="C1928" t="s">
        <v>142</v>
      </c>
      <c r="D1928" s="13" t="s">
        <v>633</v>
      </c>
      <c r="F1928" s="11">
        <v>0</v>
      </c>
      <c r="G1928" s="11">
        <v>0</v>
      </c>
    </row>
    <row r="1929" spans="2:7" x14ac:dyDescent="0.2">
      <c r="B1929" s="32">
        <v>45851</v>
      </c>
      <c r="C1929" t="s">
        <v>110</v>
      </c>
      <c r="D1929" s="13" t="s">
        <v>634</v>
      </c>
      <c r="E1929" t="s">
        <v>151</v>
      </c>
      <c r="F1929" s="11">
        <v>1</v>
      </c>
      <c r="G1929" s="11">
        <v>46218.49</v>
      </c>
    </row>
    <row r="1930" spans="2:7" x14ac:dyDescent="0.2">
      <c r="B1930" s="32">
        <v>45851</v>
      </c>
      <c r="C1930" t="s">
        <v>109</v>
      </c>
      <c r="D1930" s="13" t="s">
        <v>634</v>
      </c>
      <c r="E1930" t="s">
        <v>1839</v>
      </c>
      <c r="F1930" s="11">
        <v>1</v>
      </c>
      <c r="G1930" s="11">
        <v>130252.1</v>
      </c>
    </row>
    <row r="1931" spans="2:7" x14ac:dyDescent="0.2">
      <c r="B1931" s="32">
        <v>45851</v>
      </c>
      <c r="C1931" t="s">
        <v>109</v>
      </c>
      <c r="D1931" s="13" t="s">
        <v>634</v>
      </c>
      <c r="E1931" t="s">
        <v>1927</v>
      </c>
      <c r="F1931" s="11">
        <v>1</v>
      </c>
      <c r="G1931" s="11">
        <v>100840.34</v>
      </c>
    </row>
    <row r="1932" spans="2:7" x14ac:dyDescent="0.2">
      <c r="B1932" s="32">
        <v>45851</v>
      </c>
      <c r="C1932" t="s">
        <v>109</v>
      </c>
      <c r="D1932" s="13" t="s">
        <v>634</v>
      </c>
      <c r="E1932" t="s">
        <v>444</v>
      </c>
      <c r="F1932" s="11">
        <v>1</v>
      </c>
      <c r="G1932" s="11">
        <v>92436.97</v>
      </c>
    </row>
    <row r="1933" spans="2:7" x14ac:dyDescent="0.2">
      <c r="B1933" s="32">
        <v>45851</v>
      </c>
      <c r="C1933" t="s">
        <v>109</v>
      </c>
      <c r="D1933" s="13" t="s">
        <v>634</v>
      </c>
      <c r="E1933" t="s">
        <v>496</v>
      </c>
      <c r="F1933" s="11">
        <v>1</v>
      </c>
      <c r="G1933" s="11">
        <v>58823.53</v>
      </c>
    </row>
    <row r="1934" spans="2:7" x14ac:dyDescent="0.2">
      <c r="B1934" s="32">
        <v>45851</v>
      </c>
      <c r="C1934" t="s">
        <v>109</v>
      </c>
      <c r="D1934" s="13" t="s">
        <v>634</v>
      </c>
      <c r="E1934" t="s">
        <v>477</v>
      </c>
      <c r="F1934" s="11">
        <v>1</v>
      </c>
      <c r="G1934" s="11">
        <v>58823.53</v>
      </c>
    </row>
    <row r="1935" spans="2:7" x14ac:dyDescent="0.2">
      <c r="B1935" s="32">
        <v>45851</v>
      </c>
      <c r="C1935" t="s">
        <v>109</v>
      </c>
      <c r="D1935" s="13" t="s">
        <v>634</v>
      </c>
      <c r="E1935" t="s">
        <v>290</v>
      </c>
      <c r="F1935" s="11">
        <v>1</v>
      </c>
      <c r="G1935" s="11">
        <v>58823.519999999997</v>
      </c>
    </row>
    <row r="1936" spans="2:7" x14ac:dyDescent="0.2">
      <c r="B1936" s="32">
        <v>45851</v>
      </c>
      <c r="C1936" t="s">
        <v>109</v>
      </c>
      <c r="D1936" s="13" t="s">
        <v>634</v>
      </c>
      <c r="E1936" t="s">
        <v>258</v>
      </c>
      <c r="F1936" s="11">
        <v>1</v>
      </c>
      <c r="G1936" s="11">
        <v>54621.85</v>
      </c>
    </row>
    <row r="1937" spans="2:7" x14ac:dyDescent="0.2">
      <c r="B1937" s="32">
        <v>45851</v>
      </c>
      <c r="C1937" t="s">
        <v>109</v>
      </c>
      <c r="D1937" s="13" t="s">
        <v>634</v>
      </c>
      <c r="E1937" t="s">
        <v>1749</v>
      </c>
      <c r="F1937" s="11">
        <v>1</v>
      </c>
      <c r="G1937" s="11">
        <v>46218.49</v>
      </c>
    </row>
    <row r="1938" spans="2:7" x14ac:dyDescent="0.2">
      <c r="B1938" s="32">
        <v>45851</v>
      </c>
      <c r="C1938" t="s">
        <v>109</v>
      </c>
      <c r="D1938" s="13" t="s">
        <v>634</v>
      </c>
      <c r="E1938" t="s">
        <v>793</v>
      </c>
      <c r="F1938" s="11">
        <v>1</v>
      </c>
      <c r="G1938" s="11">
        <v>46218.49</v>
      </c>
    </row>
    <row r="1939" spans="2:7" x14ac:dyDescent="0.2">
      <c r="B1939" s="32">
        <v>45851</v>
      </c>
      <c r="C1939" t="s">
        <v>109</v>
      </c>
      <c r="D1939" s="13" t="s">
        <v>634</v>
      </c>
      <c r="E1939" t="s">
        <v>173</v>
      </c>
      <c r="F1939" s="11">
        <v>1</v>
      </c>
      <c r="G1939" s="11">
        <v>37815.129999999997</v>
      </c>
    </row>
    <row r="1940" spans="2:7" x14ac:dyDescent="0.2">
      <c r="B1940" s="32">
        <v>45851</v>
      </c>
      <c r="C1940" t="s">
        <v>109</v>
      </c>
      <c r="D1940" s="13" t="s">
        <v>634</v>
      </c>
      <c r="E1940" t="s">
        <v>148</v>
      </c>
      <c r="F1940" s="11">
        <v>1</v>
      </c>
      <c r="G1940" s="11">
        <v>37815.120000000003</v>
      </c>
    </row>
    <row r="1941" spans="2:7" x14ac:dyDescent="0.2">
      <c r="B1941" s="32">
        <v>45851</v>
      </c>
      <c r="C1941" t="s">
        <v>109</v>
      </c>
      <c r="D1941" s="13" t="s">
        <v>634</v>
      </c>
      <c r="F1941" s="11">
        <v>0</v>
      </c>
      <c r="G1941" s="11">
        <v>0</v>
      </c>
    </row>
    <row r="1942" spans="2:7" x14ac:dyDescent="0.2">
      <c r="B1942" s="32">
        <v>45851</v>
      </c>
      <c r="C1942" t="s">
        <v>109</v>
      </c>
      <c r="D1942" s="13" t="s">
        <v>633</v>
      </c>
      <c r="E1942" t="s">
        <v>740</v>
      </c>
      <c r="F1942" s="11">
        <v>1</v>
      </c>
      <c r="G1942" s="11">
        <v>126050.42</v>
      </c>
    </row>
    <row r="1943" spans="2:7" x14ac:dyDescent="0.2">
      <c r="B1943" s="32">
        <v>45851</v>
      </c>
      <c r="C1943" t="s">
        <v>109</v>
      </c>
      <c r="D1943" s="13" t="s">
        <v>633</v>
      </c>
      <c r="E1943" t="s">
        <v>439</v>
      </c>
      <c r="F1943" s="11">
        <v>1</v>
      </c>
      <c r="G1943" s="11">
        <v>109243.7</v>
      </c>
    </row>
    <row r="1944" spans="2:7" x14ac:dyDescent="0.2">
      <c r="B1944" s="32">
        <v>45851</v>
      </c>
      <c r="C1944" t="s">
        <v>109</v>
      </c>
      <c r="D1944" s="13" t="s">
        <v>633</v>
      </c>
      <c r="E1944" t="s">
        <v>169</v>
      </c>
      <c r="F1944" s="11">
        <v>1</v>
      </c>
      <c r="G1944" s="11">
        <v>96638.65</v>
      </c>
    </row>
    <row r="1945" spans="2:7" x14ac:dyDescent="0.2">
      <c r="B1945" s="32">
        <v>45851</v>
      </c>
      <c r="C1945" t="s">
        <v>109</v>
      </c>
      <c r="D1945" s="13" t="s">
        <v>633</v>
      </c>
      <c r="E1945" t="s">
        <v>167</v>
      </c>
      <c r="F1945" s="11">
        <v>1</v>
      </c>
      <c r="G1945" s="11">
        <v>96638.65</v>
      </c>
    </row>
    <row r="1946" spans="2:7" x14ac:dyDescent="0.2">
      <c r="B1946" s="32">
        <v>45851</v>
      </c>
      <c r="C1946" t="s">
        <v>109</v>
      </c>
      <c r="D1946" s="13" t="s">
        <v>633</v>
      </c>
      <c r="E1946" t="s">
        <v>218</v>
      </c>
      <c r="F1946" s="11">
        <v>4</v>
      </c>
      <c r="G1946" s="11">
        <v>84033.62</v>
      </c>
    </row>
    <row r="1947" spans="2:7" x14ac:dyDescent="0.2">
      <c r="B1947" s="32">
        <v>45851</v>
      </c>
      <c r="C1947" t="s">
        <v>109</v>
      </c>
      <c r="D1947" s="13" t="s">
        <v>633</v>
      </c>
      <c r="E1947" t="s">
        <v>1928</v>
      </c>
      <c r="F1947" s="11">
        <v>1</v>
      </c>
      <c r="G1947" s="11">
        <v>71428.570000000007</v>
      </c>
    </row>
    <row r="1948" spans="2:7" x14ac:dyDescent="0.2">
      <c r="B1948" s="32">
        <v>45851</v>
      </c>
      <c r="C1948" t="s">
        <v>109</v>
      </c>
      <c r="D1948" s="13" t="s">
        <v>633</v>
      </c>
      <c r="E1948" t="s">
        <v>276</v>
      </c>
      <c r="F1948" s="11">
        <v>1</v>
      </c>
      <c r="G1948" s="11">
        <v>58823.53</v>
      </c>
    </row>
    <row r="1949" spans="2:7" x14ac:dyDescent="0.2">
      <c r="B1949" s="32">
        <v>45851</v>
      </c>
      <c r="C1949" t="s">
        <v>109</v>
      </c>
      <c r="D1949" s="13" t="s">
        <v>633</v>
      </c>
      <c r="E1949" t="s">
        <v>307</v>
      </c>
      <c r="F1949" s="11">
        <v>1</v>
      </c>
      <c r="G1949" s="11">
        <v>50420.17</v>
      </c>
    </row>
    <row r="1950" spans="2:7" x14ac:dyDescent="0.2">
      <c r="B1950" s="32">
        <v>45851</v>
      </c>
      <c r="C1950" t="s">
        <v>109</v>
      </c>
      <c r="D1950" s="13" t="s">
        <v>633</v>
      </c>
      <c r="E1950" t="s">
        <v>1834</v>
      </c>
      <c r="F1950" s="11">
        <v>1</v>
      </c>
      <c r="G1950" s="11">
        <v>42016.81</v>
      </c>
    </row>
    <row r="1951" spans="2:7" x14ac:dyDescent="0.2">
      <c r="B1951" s="32">
        <v>45852</v>
      </c>
      <c r="C1951" t="s">
        <v>142</v>
      </c>
      <c r="D1951" s="13" t="s">
        <v>633</v>
      </c>
      <c r="E1951" t="s">
        <v>163</v>
      </c>
      <c r="F1951" s="11">
        <v>1</v>
      </c>
      <c r="G1951" s="11">
        <v>58823.53</v>
      </c>
    </row>
    <row r="1952" spans="2:7" x14ac:dyDescent="0.2">
      <c r="B1952" s="32">
        <v>45852</v>
      </c>
      <c r="C1952" t="s">
        <v>142</v>
      </c>
      <c r="D1952" s="13" t="s">
        <v>633</v>
      </c>
      <c r="E1952" t="s">
        <v>1929</v>
      </c>
      <c r="F1952" s="11">
        <v>1</v>
      </c>
      <c r="G1952" s="11">
        <v>54621.85</v>
      </c>
    </row>
    <row r="1953" spans="2:7" x14ac:dyDescent="0.2">
      <c r="B1953" s="32">
        <v>45852</v>
      </c>
      <c r="C1953" t="s">
        <v>142</v>
      </c>
      <c r="D1953" s="13" t="s">
        <v>633</v>
      </c>
      <c r="E1953" t="s">
        <v>831</v>
      </c>
      <c r="F1953" s="11">
        <v>1</v>
      </c>
      <c r="G1953" s="11">
        <v>0.84</v>
      </c>
    </row>
    <row r="1954" spans="2:7" x14ac:dyDescent="0.2">
      <c r="B1954" s="32">
        <v>45852</v>
      </c>
      <c r="C1954" t="s">
        <v>142</v>
      </c>
      <c r="D1954" s="13" t="s">
        <v>633</v>
      </c>
      <c r="F1954" s="11">
        <v>0</v>
      </c>
      <c r="G1954" s="11">
        <v>0</v>
      </c>
    </row>
    <row r="1955" spans="2:7" x14ac:dyDescent="0.2">
      <c r="B1955" s="32">
        <v>45852</v>
      </c>
      <c r="C1955" t="s">
        <v>110</v>
      </c>
      <c r="D1955" s="13" t="s">
        <v>633</v>
      </c>
      <c r="E1955" t="s">
        <v>248</v>
      </c>
      <c r="F1955" s="11">
        <v>1</v>
      </c>
      <c r="G1955" s="11">
        <v>21848.74</v>
      </c>
    </row>
    <row r="1956" spans="2:7" x14ac:dyDescent="0.2">
      <c r="B1956" s="32">
        <v>45852</v>
      </c>
      <c r="C1956" t="s">
        <v>1739</v>
      </c>
      <c r="D1956" s="13" t="s">
        <v>633</v>
      </c>
      <c r="E1956" t="s">
        <v>267</v>
      </c>
      <c r="F1956" s="11">
        <v>1</v>
      </c>
      <c r="G1956" s="11">
        <v>100840.34</v>
      </c>
    </row>
    <row r="1957" spans="2:7" x14ac:dyDescent="0.2">
      <c r="B1957" s="32">
        <v>45852</v>
      </c>
      <c r="C1957" t="s">
        <v>1739</v>
      </c>
      <c r="D1957" s="13" t="s">
        <v>633</v>
      </c>
      <c r="E1957" t="s">
        <v>621</v>
      </c>
      <c r="F1957" s="11">
        <v>1</v>
      </c>
      <c r="G1957" s="11">
        <v>100840.33</v>
      </c>
    </row>
    <row r="1958" spans="2:7" x14ac:dyDescent="0.2">
      <c r="B1958" s="32">
        <v>45852</v>
      </c>
      <c r="C1958" t="s">
        <v>1739</v>
      </c>
      <c r="D1958" s="13" t="s">
        <v>633</v>
      </c>
      <c r="E1958" t="s">
        <v>350</v>
      </c>
      <c r="F1958" s="11">
        <v>2</v>
      </c>
      <c r="G1958" s="11">
        <v>92436.97</v>
      </c>
    </row>
    <row r="1959" spans="2:7" x14ac:dyDescent="0.2">
      <c r="B1959" s="32">
        <v>45852</v>
      </c>
      <c r="C1959" t="s">
        <v>1739</v>
      </c>
      <c r="D1959" s="13" t="s">
        <v>633</v>
      </c>
      <c r="E1959" t="s">
        <v>309</v>
      </c>
      <c r="F1959" s="11">
        <v>1</v>
      </c>
      <c r="G1959" s="11">
        <v>42016.81</v>
      </c>
    </row>
    <row r="1960" spans="2:7" x14ac:dyDescent="0.2">
      <c r="B1960" s="32">
        <v>45852</v>
      </c>
      <c r="C1960" t="s">
        <v>1739</v>
      </c>
      <c r="D1960" s="13" t="s">
        <v>633</v>
      </c>
      <c r="E1960" t="s">
        <v>203</v>
      </c>
      <c r="F1960" s="11">
        <v>1</v>
      </c>
      <c r="G1960" s="11">
        <v>42016.81</v>
      </c>
    </row>
    <row r="1961" spans="2:7" x14ac:dyDescent="0.2">
      <c r="B1961" s="32">
        <v>45852</v>
      </c>
      <c r="C1961" t="s">
        <v>109</v>
      </c>
      <c r="D1961" s="13"/>
      <c r="E1961" t="s">
        <v>227</v>
      </c>
      <c r="F1961" s="11">
        <v>1</v>
      </c>
      <c r="G1961" s="11">
        <v>96638.66</v>
      </c>
    </row>
    <row r="1962" spans="2:7" x14ac:dyDescent="0.2">
      <c r="B1962" s="32">
        <v>45852</v>
      </c>
      <c r="C1962" t="s">
        <v>109</v>
      </c>
      <c r="D1962" s="13"/>
      <c r="E1962" t="s">
        <v>534</v>
      </c>
      <c r="F1962" s="11">
        <v>1</v>
      </c>
      <c r="G1962" s="11">
        <v>71428.570000000007</v>
      </c>
    </row>
    <row r="1963" spans="2:7" x14ac:dyDescent="0.2">
      <c r="B1963" s="32">
        <v>45852</v>
      </c>
      <c r="C1963" t="s">
        <v>109</v>
      </c>
      <c r="D1963" s="13"/>
      <c r="E1963" t="s">
        <v>146</v>
      </c>
      <c r="F1963" s="11">
        <v>1</v>
      </c>
      <c r="G1963" s="11">
        <v>46218.49</v>
      </c>
    </row>
    <row r="1964" spans="2:7" x14ac:dyDescent="0.2">
      <c r="B1964" s="32">
        <v>45852</v>
      </c>
      <c r="C1964" t="s">
        <v>109</v>
      </c>
      <c r="D1964" s="13"/>
      <c r="E1964" t="s">
        <v>328</v>
      </c>
      <c r="F1964" s="11">
        <v>1</v>
      </c>
      <c r="G1964" s="11">
        <v>37815.120000000003</v>
      </c>
    </row>
    <row r="1965" spans="2:7" x14ac:dyDescent="0.2">
      <c r="B1965" s="32">
        <v>45852</v>
      </c>
      <c r="C1965" t="s">
        <v>109</v>
      </c>
      <c r="D1965" s="13" t="s">
        <v>634</v>
      </c>
      <c r="E1965" t="s">
        <v>194</v>
      </c>
      <c r="F1965" s="11">
        <v>1</v>
      </c>
      <c r="G1965" s="11">
        <v>96638.66</v>
      </c>
    </row>
    <row r="1966" spans="2:7" x14ac:dyDescent="0.2">
      <c r="B1966" s="32">
        <v>45852</v>
      </c>
      <c r="C1966" t="s">
        <v>109</v>
      </c>
      <c r="D1966" s="13" t="s">
        <v>634</v>
      </c>
      <c r="E1966" t="s">
        <v>152</v>
      </c>
      <c r="F1966" s="11">
        <v>1</v>
      </c>
      <c r="G1966" s="11">
        <v>75630.25</v>
      </c>
    </row>
    <row r="1967" spans="2:7" x14ac:dyDescent="0.2">
      <c r="B1967" s="32">
        <v>45852</v>
      </c>
      <c r="C1967" t="s">
        <v>109</v>
      </c>
      <c r="D1967" s="13" t="s">
        <v>634</v>
      </c>
      <c r="E1967" t="s">
        <v>534</v>
      </c>
      <c r="F1967" s="11">
        <v>1</v>
      </c>
      <c r="G1967" s="11">
        <v>71428.570000000007</v>
      </c>
    </row>
    <row r="1968" spans="2:7" x14ac:dyDescent="0.2">
      <c r="B1968" s="32">
        <v>45852</v>
      </c>
      <c r="C1968" t="s">
        <v>109</v>
      </c>
      <c r="D1968" s="13" t="s">
        <v>634</v>
      </c>
      <c r="E1968" t="s">
        <v>149</v>
      </c>
      <c r="F1968" s="11">
        <v>1</v>
      </c>
      <c r="G1968" s="11">
        <v>67226.89</v>
      </c>
    </row>
    <row r="1969" spans="2:7" x14ac:dyDescent="0.2">
      <c r="B1969" s="32">
        <v>45852</v>
      </c>
      <c r="C1969" t="s">
        <v>109</v>
      </c>
      <c r="D1969" s="13" t="s">
        <v>634</v>
      </c>
      <c r="E1969" t="s">
        <v>233</v>
      </c>
      <c r="F1969" s="11">
        <v>1</v>
      </c>
      <c r="G1969" s="11">
        <v>58823.53</v>
      </c>
    </row>
    <row r="1970" spans="2:7" x14ac:dyDescent="0.2">
      <c r="B1970" s="32">
        <v>45852</v>
      </c>
      <c r="C1970" t="s">
        <v>109</v>
      </c>
      <c r="D1970" s="13" t="s">
        <v>634</v>
      </c>
      <c r="E1970" t="s">
        <v>306</v>
      </c>
      <c r="F1970" s="11">
        <v>1</v>
      </c>
      <c r="G1970" s="11">
        <v>58823.53</v>
      </c>
    </row>
    <row r="1971" spans="2:7" x14ac:dyDescent="0.2">
      <c r="B1971" s="32">
        <v>45852</v>
      </c>
      <c r="C1971" t="s">
        <v>109</v>
      </c>
      <c r="D1971" s="13" t="s">
        <v>634</v>
      </c>
      <c r="E1971" t="s">
        <v>236</v>
      </c>
      <c r="F1971" s="11">
        <v>1</v>
      </c>
      <c r="G1971" s="11">
        <v>58823.53</v>
      </c>
    </row>
    <row r="1972" spans="2:7" x14ac:dyDescent="0.2">
      <c r="B1972" s="32">
        <v>45852</v>
      </c>
      <c r="C1972" t="s">
        <v>109</v>
      </c>
      <c r="D1972" s="13" t="s">
        <v>634</v>
      </c>
      <c r="E1972" t="s">
        <v>1784</v>
      </c>
      <c r="F1972" s="11">
        <v>1</v>
      </c>
      <c r="G1972" s="11">
        <v>58823.519999999997</v>
      </c>
    </row>
    <row r="1973" spans="2:7" x14ac:dyDescent="0.2">
      <c r="B1973" s="32">
        <v>45852</v>
      </c>
      <c r="C1973" t="s">
        <v>109</v>
      </c>
      <c r="D1973" s="13" t="s">
        <v>634</v>
      </c>
      <c r="E1973" t="s">
        <v>193</v>
      </c>
      <c r="F1973" s="11">
        <v>1</v>
      </c>
      <c r="G1973" s="11">
        <v>21848.74</v>
      </c>
    </row>
    <row r="1974" spans="2:7" x14ac:dyDescent="0.2">
      <c r="B1974" s="32">
        <v>45852</v>
      </c>
      <c r="C1974" t="s">
        <v>109</v>
      </c>
      <c r="D1974" s="13" t="s">
        <v>633</v>
      </c>
      <c r="E1974" t="s">
        <v>534</v>
      </c>
      <c r="F1974" s="11">
        <v>1</v>
      </c>
      <c r="G1974" s="11">
        <v>71428.570000000007</v>
      </c>
    </row>
    <row r="1975" spans="2:7" x14ac:dyDescent="0.2">
      <c r="B1975" s="32">
        <v>45853</v>
      </c>
      <c r="C1975" t="s">
        <v>142</v>
      </c>
      <c r="D1975" s="13" t="s">
        <v>634</v>
      </c>
      <c r="E1975" t="s">
        <v>1930</v>
      </c>
      <c r="F1975" s="11">
        <v>1</v>
      </c>
      <c r="G1975" s="11">
        <v>100840.34</v>
      </c>
    </row>
    <row r="1976" spans="2:7" x14ac:dyDescent="0.2">
      <c r="B1976" s="32">
        <v>45853</v>
      </c>
      <c r="C1976" t="s">
        <v>142</v>
      </c>
      <c r="D1976" s="13" t="s">
        <v>634</v>
      </c>
      <c r="E1976" t="s">
        <v>1887</v>
      </c>
      <c r="F1976" s="11">
        <v>1</v>
      </c>
      <c r="G1976" s="11">
        <v>75630.25</v>
      </c>
    </row>
    <row r="1977" spans="2:7" x14ac:dyDescent="0.2">
      <c r="B1977" s="32">
        <v>45853</v>
      </c>
      <c r="C1977" t="s">
        <v>142</v>
      </c>
      <c r="D1977" s="13" t="s">
        <v>634</v>
      </c>
      <c r="E1977" t="s">
        <v>751</v>
      </c>
      <c r="F1977" s="11">
        <v>1</v>
      </c>
      <c r="G1977" s="11">
        <v>58823.53</v>
      </c>
    </row>
    <row r="1978" spans="2:7" x14ac:dyDescent="0.2">
      <c r="B1978" s="32">
        <v>45853</v>
      </c>
      <c r="C1978" t="s">
        <v>142</v>
      </c>
      <c r="D1978" s="13" t="s">
        <v>634</v>
      </c>
      <c r="E1978" t="s">
        <v>165</v>
      </c>
      <c r="F1978" s="11">
        <v>1</v>
      </c>
      <c r="G1978" s="11">
        <v>58823.53</v>
      </c>
    </row>
    <row r="1979" spans="2:7" x14ac:dyDescent="0.2">
      <c r="B1979" s="32">
        <v>45853</v>
      </c>
      <c r="C1979" t="s">
        <v>142</v>
      </c>
      <c r="D1979" s="13" t="s">
        <v>634</v>
      </c>
      <c r="E1979" t="s">
        <v>162</v>
      </c>
      <c r="F1979" s="11">
        <v>1</v>
      </c>
      <c r="G1979" s="11">
        <v>58823.53</v>
      </c>
    </row>
    <row r="1980" spans="2:7" x14ac:dyDescent="0.2">
      <c r="B1980" s="32">
        <v>45853</v>
      </c>
      <c r="C1980" t="s">
        <v>142</v>
      </c>
      <c r="D1980" s="13" t="s">
        <v>634</v>
      </c>
      <c r="E1980" t="s">
        <v>181</v>
      </c>
      <c r="F1980" s="11">
        <v>1</v>
      </c>
      <c r="G1980" s="11">
        <v>58823.53</v>
      </c>
    </row>
    <row r="1981" spans="2:7" x14ac:dyDescent="0.2">
      <c r="B1981" s="32">
        <v>45853</v>
      </c>
      <c r="C1981" t="s">
        <v>142</v>
      </c>
      <c r="D1981" s="13" t="s">
        <v>634</v>
      </c>
      <c r="E1981" t="s">
        <v>1796</v>
      </c>
      <c r="F1981" s="11">
        <v>1</v>
      </c>
      <c r="G1981" s="11">
        <v>21008.400000000001</v>
      </c>
    </row>
    <row r="1982" spans="2:7" x14ac:dyDescent="0.2">
      <c r="B1982" s="32">
        <v>45853</v>
      </c>
      <c r="C1982" t="s">
        <v>110</v>
      </c>
      <c r="D1982" s="13" t="s">
        <v>634</v>
      </c>
      <c r="E1982" t="s">
        <v>475</v>
      </c>
      <c r="F1982" s="11">
        <v>1</v>
      </c>
      <c r="G1982" s="11">
        <v>71428.570000000007</v>
      </c>
    </row>
    <row r="1983" spans="2:7" x14ac:dyDescent="0.2">
      <c r="B1983" s="32">
        <v>45853</v>
      </c>
      <c r="C1983" t="s">
        <v>1739</v>
      </c>
      <c r="D1983" s="13" t="s">
        <v>634</v>
      </c>
      <c r="E1983" t="s">
        <v>1931</v>
      </c>
      <c r="F1983" s="11">
        <v>1</v>
      </c>
      <c r="G1983" s="11">
        <v>155462.18</v>
      </c>
    </row>
    <row r="1984" spans="2:7" x14ac:dyDescent="0.2">
      <c r="B1984" s="32">
        <v>45853</v>
      </c>
      <c r="C1984" t="s">
        <v>1739</v>
      </c>
      <c r="D1984" s="13" t="s">
        <v>634</v>
      </c>
      <c r="E1984" t="s">
        <v>423</v>
      </c>
      <c r="F1984" s="11">
        <v>1</v>
      </c>
      <c r="G1984" s="11">
        <v>126050.42</v>
      </c>
    </row>
    <row r="1985" spans="2:7" x14ac:dyDescent="0.2">
      <c r="B1985" s="32">
        <v>45853</v>
      </c>
      <c r="C1985" t="s">
        <v>1739</v>
      </c>
      <c r="D1985" s="13" t="s">
        <v>634</v>
      </c>
      <c r="F1985" s="11">
        <v>0</v>
      </c>
      <c r="G1985" s="11">
        <v>0</v>
      </c>
    </row>
    <row r="1986" spans="2:7" x14ac:dyDescent="0.2">
      <c r="B1986" s="32">
        <v>45853</v>
      </c>
      <c r="C1986" t="s">
        <v>109</v>
      </c>
      <c r="D1986" s="13"/>
      <c r="E1986" t="s">
        <v>1932</v>
      </c>
      <c r="F1986" s="11">
        <v>3</v>
      </c>
      <c r="G1986" s="11">
        <v>99000</v>
      </c>
    </row>
    <row r="1987" spans="2:7" x14ac:dyDescent="0.2">
      <c r="B1987" s="32">
        <v>45853</v>
      </c>
      <c r="C1987" t="s">
        <v>109</v>
      </c>
      <c r="D1987" s="13"/>
      <c r="F1987" s="11">
        <v>1</v>
      </c>
      <c r="G1987" s="11">
        <v>21848.74</v>
      </c>
    </row>
    <row r="1988" spans="2:7" x14ac:dyDescent="0.2">
      <c r="B1988" s="32">
        <v>45853</v>
      </c>
      <c r="C1988" t="s">
        <v>109</v>
      </c>
      <c r="D1988" s="13" t="s">
        <v>634</v>
      </c>
      <c r="F1988" s="11">
        <v>7</v>
      </c>
      <c r="G1988" s="11">
        <v>500840.34</v>
      </c>
    </row>
    <row r="1989" spans="2:7" x14ac:dyDescent="0.2">
      <c r="B1989" s="32">
        <v>45853</v>
      </c>
      <c r="C1989" t="s">
        <v>109</v>
      </c>
      <c r="D1989" s="13" t="s">
        <v>634</v>
      </c>
      <c r="E1989" t="s">
        <v>159</v>
      </c>
      <c r="F1989" s="11">
        <v>1</v>
      </c>
      <c r="G1989" s="11">
        <v>243697.48</v>
      </c>
    </row>
    <row r="1990" spans="2:7" x14ac:dyDescent="0.2">
      <c r="B1990" s="32">
        <v>45853</v>
      </c>
      <c r="C1990" t="s">
        <v>109</v>
      </c>
      <c r="D1990" s="13" t="s">
        <v>634</v>
      </c>
      <c r="E1990" t="s">
        <v>234</v>
      </c>
      <c r="F1990" s="11">
        <v>6</v>
      </c>
      <c r="G1990" s="11">
        <v>226890.76</v>
      </c>
    </row>
    <row r="1991" spans="2:7" x14ac:dyDescent="0.2">
      <c r="B1991" s="32">
        <v>45853</v>
      </c>
      <c r="C1991" t="s">
        <v>109</v>
      </c>
      <c r="D1991" s="13" t="s">
        <v>634</v>
      </c>
      <c r="E1991" t="s">
        <v>602</v>
      </c>
      <c r="F1991" s="11">
        <v>1</v>
      </c>
      <c r="G1991" s="11">
        <v>162464.99</v>
      </c>
    </row>
    <row r="1992" spans="2:7" x14ac:dyDescent="0.2">
      <c r="B1992" s="32">
        <v>45853</v>
      </c>
      <c r="C1992" t="s">
        <v>109</v>
      </c>
      <c r="D1992" s="13" t="s">
        <v>634</v>
      </c>
      <c r="E1992" t="s">
        <v>1829</v>
      </c>
      <c r="F1992" s="11">
        <v>1</v>
      </c>
      <c r="G1992" s="11">
        <v>54621.84</v>
      </c>
    </row>
    <row r="1993" spans="2:7" x14ac:dyDescent="0.2">
      <c r="B1993" s="32">
        <v>45853</v>
      </c>
      <c r="C1993" t="s">
        <v>109</v>
      </c>
      <c r="D1993" s="13" t="s">
        <v>634</v>
      </c>
      <c r="E1993" t="s">
        <v>534</v>
      </c>
      <c r="F1993" s="11">
        <v>1</v>
      </c>
      <c r="G1993" s="11">
        <v>53113.55</v>
      </c>
    </row>
    <row r="1994" spans="2:7" x14ac:dyDescent="0.2">
      <c r="B1994" s="32">
        <v>45853</v>
      </c>
      <c r="C1994" t="s">
        <v>109</v>
      </c>
      <c r="D1994" s="13" t="s">
        <v>634</v>
      </c>
      <c r="E1994" t="s">
        <v>179</v>
      </c>
      <c r="F1994" s="11">
        <v>1</v>
      </c>
      <c r="G1994" s="11">
        <v>46218.49</v>
      </c>
    </row>
    <row r="1995" spans="2:7" x14ac:dyDescent="0.2">
      <c r="B1995" s="32">
        <v>45853</v>
      </c>
      <c r="C1995" t="s">
        <v>109</v>
      </c>
      <c r="D1995" s="13" t="s">
        <v>634</v>
      </c>
      <c r="E1995" t="s">
        <v>206</v>
      </c>
      <c r="F1995" s="11">
        <v>1</v>
      </c>
      <c r="G1995" s="11">
        <v>37815.129999999997</v>
      </c>
    </row>
    <row r="1996" spans="2:7" x14ac:dyDescent="0.2">
      <c r="B1996" s="32">
        <v>45853</v>
      </c>
      <c r="C1996" t="s">
        <v>109</v>
      </c>
      <c r="D1996" s="13" t="s">
        <v>634</v>
      </c>
      <c r="E1996" t="s">
        <v>328</v>
      </c>
      <c r="F1996" s="11">
        <v>1</v>
      </c>
      <c r="G1996" s="11">
        <v>28118.94</v>
      </c>
    </row>
    <row r="1997" spans="2:7" x14ac:dyDescent="0.2">
      <c r="B1997" s="32">
        <v>45853</v>
      </c>
      <c r="C1997" t="s">
        <v>109</v>
      </c>
      <c r="D1997" s="13" t="s">
        <v>633</v>
      </c>
      <c r="E1997" t="s">
        <v>453</v>
      </c>
      <c r="F1997" s="11">
        <v>1</v>
      </c>
      <c r="G1997" s="11">
        <v>155462.18</v>
      </c>
    </row>
    <row r="1998" spans="2:7" x14ac:dyDescent="0.2">
      <c r="B1998" s="32">
        <v>45853</v>
      </c>
      <c r="C1998" t="s">
        <v>109</v>
      </c>
      <c r="D1998" s="13" t="s">
        <v>633</v>
      </c>
      <c r="E1998" t="s">
        <v>350</v>
      </c>
      <c r="F1998" s="11">
        <v>1</v>
      </c>
      <c r="G1998" s="11">
        <v>46218.49</v>
      </c>
    </row>
    <row r="1999" spans="2:7" x14ac:dyDescent="0.2">
      <c r="B1999" s="32">
        <v>45853</v>
      </c>
      <c r="C1999" t="s">
        <v>109</v>
      </c>
      <c r="D1999" s="13" t="s">
        <v>633</v>
      </c>
      <c r="E1999" t="s">
        <v>1933</v>
      </c>
      <c r="F1999" s="11">
        <v>1</v>
      </c>
      <c r="G1999" s="11">
        <v>15000</v>
      </c>
    </row>
    <row r="2000" spans="2:7" x14ac:dyDescent="0.2">
      <c r="B2000" s="32">
        <v>45853</v>
      </c>
      <c r="C2000" t="s">
        <v>109</v>
      </c>
      <c r="D2000" s="13" t="s">
        <v>633</v>
      </c>
      <c r="F2000" s="11">
        <v>0</v>
      </c>
      <c r="G2000" s="11">
        <v>0</v>
      </c>
    </row>
    <row r="2001" spans="2:7" x14ac:dyDescent="0.2">
      <c r="B2001" s="32">
        <v>45854</v>
      </c>
      <c r="C2001" t="s">
        <v>142</v>
      </c>
      <c r="D2001" s="13" t="s">
        <v>634</v>
      </c>
      <c r="E2001" t="s">
        <v>1873</v>
      </c>
      <c r="F2001" s="11">
        <v>2</v>
      </c>
      <c r="G2001" s="11">
        <v>413445.38</v>
      </c>
    </row>
    <row r="2002" spans="2:7" x14ac:dyDescent="0.2">
      <c r="B2002" s="32">
        <v>45854</v>
      </c>
      <c r="C2002" t="s">
        <v>142</v>
      </c>
      <c r="D2002" s="13" t="s">
        <v>634</v>
      </c>
      <c r="E2002" t="s">
        <v>165</v>
      </c>
      <c r="F2002" s="11">
        <v>1</v>
      </c>
      <c r="G2002" s="11">
        <v>71428.570000000007</v>
      </c>
    </row>
    <row r="2003" spans="2:7" x14ac:dyDescent="0.2">
      <c r="B2003" s="32">
        <v>45854</v>
      </c>
      <c r="C2003" t="s">
        <v>142</v>
      </c>
      <c r="D2003" s="13" t="s">
        <v>634</v>
      </c>
      <c r="E2003" t="s">
        <v>635</v>
      </c>
      <c r="F2003" s="11">
        <v>20</v>
      </c>
      <c r="G2003" s="11">
        <v>58823.53</v>
      </c>
    </row>
    <row r="2004" spans="2:7" x14ac:dyDescent="0.2">
      <c r="B2004" s="32">
        <v>45854</v>
      </c>
      <c r="C2004" t="s">
        <v>142</v>
      </c>
      <c r="D2004" s="13" t="s">
        <v>634</v>
      </c>
      <c r="E2004" t="s">
        <v>732</v>
      </c>
      <c r="F2004" s="11">
        <v>20</v>
      </c>
      <c r="G2004" s="11">
        <v>58823.53</v>
      </c>
    </row>
    <row r="2005" spans="2:7" x14ac:dyDescent="0.2">
      <c r="B2005" s="32">
        <v>45854</v>
      </c>
      <c r="C2005" t="s">
        <v>142</v>
      </c>
      <c r="D2005" s="13" t="s">
        <v>634</v>
      </c>
      <c r="E2005" t="s">
        <v>184</v>
      </c>
      <c r="F2005" s="11">
        <v>1</v>
      </c>
      <c r="G2005" s="11">
        <v>54621.85</v>
      </c>
    </row>
    <row r="2006" spans="2:7" x14ac:dyDescent="0.2">
      <c r="B2006" s="32">
        <v>45854</v>
      </c>
      <c r="C2006" t="s">
        <v>142</v>
      </c>
      <c r="D2006" s="13" t="s">
        <v>634</v>
      </c>
      <c r="E2006" t="s">
        <v>341</v>
      </c>
      <c r="F2006" s="11">
        <v>1</v>
      </c>
      <c r="G2006" s="11">
        <v>50000</v>
      </c>
    </row>
    <row r="2007" spans="2:7" x14ac:dyDescent="0.2">
      <c r="B2007" s="32">
        <v>45854</v>
      </c>
      <c r="C2007" t="s">
        <v>142</v>
      </c>
      <c r="D2007" s="13" t="s">
        <v>634</v>
      </c>
      <c r="E2007" t="s">
        <v>372</v>
      </c>
      <c r="F2007" s="11">
        <v>1</v>
      </c>
      <c r="G2007" s="11">
        <v>50000</v>
      </c>
    </row>
    <row r="2008" spans="2:7" x14ac:dyDescent="0.2">
      <c r="B2008" s="32">
        <v>45854</v>
      </c>
      <c r="C2008" t="s">
        <v>142</v>
      </c>
      <c r="D2008" s="13" t="s">
        <v>634</v>
      </c>
      <c r="F2008" s="11">
        <v>0</v>
      </c>
      <c r="G2008" s="11">
        <v>0</v>
      </c>
    </row>
    <row r="2009" spans="2:7" x14ac:dyDescent="0.2">
      <c r="B2009" s="32">
        <v>45854</v>
      </c>
      <c r="C2009" t="s">
        <v>142</v>
      </c>
      <c r="D2009" s="13" t="s">
        <v>633</v>
      </c>
      <c r="E2009" t="s">
        <v>176</v>
      </c>
      <c r="F2009" s="11">
        <v>3</v>
      </c>
      <c r="G2009" s="11">
        <v>192857.14</v>
      </c>
    </row>
    <row r="2010" spans="2:7" x14ac:dyDescent="0.2">
      <c r="B2010" s="32">
        <v>45854</v>
      </c>
      <c r="C2010" t="s">
        <v>142</v>
      </c>
      <c r="D2010" s="13" t="s">
        <v>633</v>
      </c>
      <c r="E2010" t="s">
        <v>302</v>
      </c>
      <c r="F2010" s="11">
        <v>1</v>
      </c>
      <c r="G2010" s="11">
        <v>96638.66</v>
      </c>
    </row>
    <row r="2011" spans="2:7" x14ac:dyDescent="0.2">
      <c r="B2011" s="32">
        <v>45854</v>
      </c>
      <c r="C2011" t="s">
        <v>142</v>
      </c>
      <c r="D2011" s="13" t="s">
        <v>633</v>
      </c>
      <c r="E2011" t="s">
        <v>419</v>
      </c>
      <c r="F2011" s="11">
        <v>1</v>
      </c>
      <c r="G2011" s="11">
        <v>50000</v>
      </c>
    </row>
    <row r="2012" spans="2:7" x14ac:dyDescent="0.2">
      <c r="B2012" s="32">
        <v>45854</v>
      </c>
      <c r="C2012" t="s">
        <v>142</v>
      </c>
      <c r="D2012" s="13" t="s">
        <v>633</v>
      </c>
      <c r="E2012" t="s">
        <v>229</v>
      </c>
      <c r="F2012" s="11">
        <v>1</v>
      </c>
      <c r="G2012" s="11">
        <v>42016.800000000003</v>
      </c>
    </row>
    <row r="2013" spans="2:7" x14ac:dyDescent="0.2">
      <c r="B2013" s="32">
        <v>45854</v>
      </c>
      <c r="C2013" t="s">
        <v>1739</v>
      </c>
      <c r="D2013" s="13" t="s">
        <v>634</v>
      </c>
      <c r="E2013" t="s">
        <v>1847</v>
      </c>
      <c r="F2013" s="11">
        <v>1</v>
      </c>
      <c r="G2013" s="11">
        <v>21008.400000000001</v>
      </c>
    </row>
    <row r="2014" spans="2:7" x14ac:dyDescent="0.2">
      <c r="B2014" s="32">
        <v>45854</v>
      </c>
      <c r="C2014" t="s">
        <v>109</v>
      </c>
      <c r="D2014" s="13"/>
      <c r="E2014" t="s">
        <v>330</v>
      </c>
      <c r="F2014" s="11">
        <v>1</v>
      </c>
      <c r="G2014" s="11">
        <v>37815.129999999997</v>
      </c>
    </row>
    <row r="2015" spans="2:7" x14ac:dyDescent="0.2">
      <c r="B2015" s="32">
        <v>45854</v>
      </c>
      <c r="C2015" t="s">
        <v>109</v>
      </c>
      <c r="D2015" s="13"/>
      <c r="E2015" t="s">
        <v>293</v>
      </c>
      <c r="F2015" s="11">
        <v>1</v>
      </c>
      <c r="G2015" s="11">
        <v>37815.120000000003</v>
      </c>
    </row>
    <row r="2016" spans="2:7" x14ac:dyDescent="0.2">
      <c r="B2016" s="32">
        <v>45854</v>
      </c>
      <c r="C2016" t="s">
        <v>109</v>
      </c>
      <c r="D2016" s="13" t="s">
        <v>634</v>
      </c>
      <c r="E2016" t="s">
        <v>192</v>
      </c>
      <c r="F2016" s="11">
        <v>4</v>
      </c>
      <c r="G2016" s="11">
        <v>285714.28000000003</v>
      </c>
    </row>
    <row r="2017" spans="2:7" x14ac:dyDescent="0.2">
      <c r="B2017" s="32">
        <v>45854</v>
      </c>
      <c r="C2017" t="s">
        <v>109</v>
      </c>
      <c r="D2017" s="13" t="s">
        <v>634</v>
      </c>
      <c r="E2017" t="s">
        <v>307</v>
      </c>
      <c r="F2017" s="11">
        <v>3</v>
      </c>
      <c r="G2017" s="11">
        <v>151260.5</v>
      </c>
    </row>
    <row r="2018" spans="2:7" x14ac:dyDescent="0.2">
      <c r="B2018" s="32">
        <v>45854</v>
      </c>
      <c r="C2018" t="s">
        <v>109</v>
      </c>
      <c r="D2018" s="13" t="s">
        <v>634</v>
      </c>
      <c r="E2018" t="s">
        <v>173</v>
      </c>
      <c r="F2018" s="11">
        <v>2</v>
      </c>
      <c r="G2018" s="11">
        <v>75630.25</v>
      </c>
    </row>
    <row r="2019" spans="2:7" x14ac:dyDescent="0.2">
      <c r="B2019" s="32">
        <v>45854</v>
      </c>
      <c r="C2019" t="s">
        <v>109</v>
      </c>
      <c r="D2019" s="13" t="s">
        <v>634</v>
      </c>
      <c r="E2019" t="s">
        <v>271</v>
      </c>
      <c r="F2019" s="11">
        <v>1</v>
      </c>
      <c r="G2019" s="11">
        <v>71428.570000000007</v>
      </c>
    </row>
    <row r="2020" spans="2:7" x14ac:dyDescent="0.2">
      <c r="B2020" s="32">
        <v>45854</v>
      </c>
      <c r="C2020" t="s">
        <v>109</v>
      </c>
      <c r="D2020" s="13" t="s">
        <v>634</v>
      </c>
      <c r="E2020" t="s">
        <v>352</v>
      </c>
      <c r="F2020" s="11">
        <v>1</v>
      </c>
      <c r="G2020" s="11">
        <v>67226.89</v>
      </c>
    </row>
    <row r="2021" spans="2:7" x14ac:dyDescent="0.2">
      <c r="B2021" s="32">
        <v>45854</v>
      </c>
      <c r="C2021" t="s">
        <v>109</v>
      </c>
      <c r="D2021" s="13" t="s">
        <v>634</v>
      </c>
      <c r="E2021" t="s">
        <v>348</v>
      </c>
      <c r="F2021" s="11">
        <v>1</v>
      </c>
      <c r="G2021" s="11">
        <v>54621.85</v>
      </c>
    </row>
    <row r="2022" spans="2:7" x14ac:dyDescent="0.2">
      <c r="B2022" s="32">
        <v>45854</v>
      </c>
      <c r="C2022" t="s">
        <v>109</v>
      </c>
      <c r="D2022" s="13" t="s">
        <v>634</v>
      </c>
      <c r="E2022" t="s">
        <v>427</v>
      </c>
      <c r="F2022" s="11">
        <v>1</v>
      </c>
      <c r="G2022" s="11">
        <v>54621.84</v>
      </c>
    </row>
    <row r="2023" spans="2:7" x14ac:dyDescent="0.2">
      <c r="B2023" s="32">
        <v>45854</v>
      </c>
      <c r="C2023" t="s">
        <v>109</v>
      </c>
      <c r="D2023" s="13" t="s">
        <v>634</v>
      </c>
      <c r="E2023" t="s">
        <v>150</v>
      </c>
      <c r="F2023" s="11">
        <v>1</v>
      </c>
      <c r="G2023" s="11">
        <v>42016.81</v>
      </c>
    </row>
    <row r="2024" spans="2:7" x14ac:dyDescent="0.2">
      <c r="B2024" s="32">
        <v>45854</v>
      </c>
      <c r="C2024" t="s">
        <v>109</v>
      </c>
      <c r="D2024" s="13" t="s">
        <v>634</v>
      </c>
      <c r="E2024" t="s">
        <v>148</v>
      </c>
      <c r="F2024" s="11">
        <v>1</v>
      </c>
      <c r="G2024" s="11">
        <v>37815.129999999997</v>
      </c>
    </row>
    <row r="2025" spans="2:7" x14ac:dyDescent="0.2">
      <c r="B2025" s="32">
        <v>45854</v>
      </c>
      <c r="C2025" t="s">
        <v>109</v>
      </c>
      <c r="D2025" s="13" t="s">
        <v>634</v>
      </c>
      <c r="E2025" t="s">
        <v>206</v>
      </c>
      <c r="F2025" s="11">
        <v>1</v>
      </c>
      <c r="G2025" s="11">
        <v>37815.129999999997</v>
      </c>
    </row>
    <row r="2026" spans="2:7" x14ac:dyDescent="0.2">
      <c r="B2026" s="32">
        <v>45855</v>
      </c>
      <c r="C2026" t="s">
        <v>142</v>
      </c>
      <c r="D2026" s="13" t="s">
        <v>634</v>
      </c>
      <c r="E2026" t="s">
        <v>283</v>
      </c>
      <c r="F2026" s="11">
        <v>0</v>
      </c>
      <c r="G2026" s="11">
        <v>232142.85</v>
      </c>
    </row>
    <row r="2027" spans="2:7" x14ac:dyDescent="0.2">
      <c r="B2027" s="32">
        <v>45855</v>
      </c>
      <c r="C2027" t="s">
        <v>142</v>
      </c>
      <c r="D2027" s="13" t="s">
        <v>634</v>
      </c>
      <c r="F2027" s="11">
        <v>1</v>
      </c>
      <c r="G2027" s="11">
        <v>96638.66</v>
      </c>
    </row>
    <row r="2028" spans="2:7" x14ac:dyDescent="0.2">
      <c r="B2028" s="32">
        <v>45855</v>
      </c>
      <c r="C2028" t="s">
        <v>142</v>
      </c>
      <c r="D2028" s="13" t="s">
        <v>634</v>
      </c>
      <c r="E2028" t="s">
        <v>243</v>
      </c>
      <c r="F2028" s="11">
        <v>0</v>
      </c>
      <c r="G2028" s="11">
        <v>92857.15</v>
      </c>
    </row>
    <row r="2029" spans="2:7" x14ac:dyDescent="0.2">
      <c r="B2029" s="32">
        <v>45855</v>
      </c>
      <c r="C2029" t="s">
        <v>142</v>
      </c>
      <c r="D2029" s="13" t="s">
        <v>634</v>
      </c>
      <c r="E2029" t="s">
        <v>489</v>
      </c>
      <c r="F2029" s="11">
        <v>1</v>
      </c>
      <c r="G2029" s="11">
        <v>71428.570000000007</v>
      </c>
    </row>
    <row r="2030" spans="2:7" x14ac:dyDescent="0.2">
      <c r="B2030" s="32">
        <v>45855</v>
      </c>
      <c r="C2030" t="s">
        <v>142</v>
      </c>
      <c r="D2030" s="13" t="s">
        <v>634</v>
      </c>
      <c r="E2030" t="s">
        <v>378</v>
      </c>
      <c r="F2030" s="11">
        <v>1</v>
      </c>
      <c r="G2030" s="11">
        <v>50000</v>
      </c>
    </row>
    <row r="2031" spans="2:7" x14ac:dyDescent="0.2">
      <c r="B2031" s="32">
        <v>45855</v>
      </c>
      <c r="C2031" t="s">
        <v>142</v>
      </c>
      <c r="D2031" s="13" t="s">
        <v>634</v>
      </c>
      <c r="E2031" t="s">
        <v>233</v>
      </c>
      <c r="F2031" s="11">
        <v>1</v>
      </c>
      <c r="G2031" s="11">
        <v>50000</v>
      </c>
    </row>
    <row r="2032" spans="2:7" x14ac:dyDescent="0.2">
      <c r="B2032" s="32">
        <v>45855</v>
      </c>
      <c r="C2032" t="s">
        <v>142</v>
      </c>
      <c r="D2032" s="13" t="s">
        <v>633</v>
      </c>
      <c r="E2032" t="s">
        <v>282</v>
      </c>
      <c r="F2032" s="11">
        <v>2</v>
      </c>
      <c r="G2032" s="11">
        <v>100000</v>
      </c>
    </row>
    <row r="2033" spans="2:7" x14ac:dyDescent="0.2">
      <c r="B2033" s="32">
        <v>45855</v>
      </c>
      <c r="C2033" t="s">
        <v>142</v>
      </c>
      <c r="D2033" s="13" t="s">
        <v>633</v>
      </c>
      <c r="E2033" t="s">
        <v>249</v>
      </c>
      <c r="F2033" s="11">
        <v>1</v>
      </c>
      <c r="G2033" s="11">
        <v>78571.429999999993</v>
      </c>
    </row>
    <row r="2034" spans="2:7" x14ac:dyDescent="0.2">
      <c r="B2034" s="32">
        <v>45855</v>
      </c>
      <c r="C2034" t="s">
        <v>142</v>
      </c>
      <c r="D2034" s="13" t="s">
        <v>633</v>
      </c>
      <c r="E2034" t="s">
        <v>1916</v>
      </c>
      <c r="F2034" s="11">
        <v>1</v>
      </c>
      <c r="G2034" s="11">
        <v>78571.429999999993</v>
      </c>
    </row>
    <row r="2035" spans="2:7" x14ac:dyDescent="0.2">
      <c r="B2035" s="32">
        <v>45855</v>
      </c>
      <c r="C2035" t="s">
        <v>142</v>
      </c>
      <c r="D2035" s="13" t="s">
        <v>633</v>
      </c>
      <c r="E2035" t="s">
        <v>457</v>
      </c>
      <c r="F2035" s="11">
        <v>1</v>
      </c>
      <c r="G2035" s="11">
        <v>67857.14</v>
      </c>
    </row>
    <row r="2036" spans="2:7" x14ac:dyDescent="0.2">
      <c r="B2036" s="32">
        <v>45855</v>
      </c>
      <c r="C2036" t="s">
        <v>142</v>
      </c>
      <c r="D2036" s="13" t="s">
        <v>633</v>
      </c>
      <c r="E2036" t="s">
        <v>1934</v>
      </c>
      <c r="F2036" s="11">
        <v>1</v>
      </c>
      <c r="G2036" s="11">
        <v>50000</v>
      </c>
    </row>
    <row r="2037" spans="2:7" x14ac:dyDescent="0.2">
      <c r="B2037" s="32">
        <v>45855</v>
      </c>
      <c r="C2037" t="s">
        <v>142</v>
      </c>
      <c r="D2037" s="13" t="s">
        <v>633</v>
      </c>
      <c r="E2037" t="s">
        <v>411</v>
      </c>
      <c r="F2037" s="11">
        <v>1</v>
      </c>
      <c r="G2037" s="11">
        <v>50000</v>
      </c>
    </row>
    <row r="2038" spans="2:7" x14ac:dyDescent="0.2">
      <c r="B2038" s="32">
        <v>45855</v>
      </c>
      <c r="C2038" t="s">
        <v>142</v>
      </c>
      <c r="D2038" s="13" t="s">
        <v>633</v>
      </c>
      <c r="E2038" t="s">
        <v>233</v>
      </c>
      <c r="F2038" s="11">
        <v>1</v>
      </c>
      <c r="G2038" s="11">
        <v>50000</v>
      </c>
    </row>
    <row r="2039" spans="2:7" x14ac:dyDescent="0.2">
      <c r="B2039" s="32">
        <v>45855</v>
      </c>
      <c r="C2039" t="s">
        <v>142</v>
      </c>
      <c r="D2039" s="13" t="s">
        <v>633</v>
      </c>
      <c r="E2039" t="s">
        <v>1753</v>
      </c>
      <c r="F2039" s="11">
        <v>1</v>
      </c>
      <c r="G2039" s="11">
        <v>46428.57</v>
      </c>
    </row>
    <row r="2040" spans="2:7" x14ac:dyDescent="0.2">
      <c r="B2040" s="32">
        <v>45855</v>
      </c>
      <c r="C2040" t="s">
        <v>142</v>
      </c>
      <c r="D2040" s="13" t="s">
        <v>633</v>
      </c>
      <c r="E2040" t="s">
        <v>292</v>
      </c>
      <c r="F2040" s="11">
        <v>1</v>
      </c>
      <c r="G2040" s="11">
        <v>46428.57</v>
      </c>
    </row>
    <row r="2041" spans="2:7" x14ac:dyDescent="0.2">
      <c r="B2041" s="32">
        <v>45855</v>
      </c>
      <c r="C2041" t="s">
        <v>142</v>
      </c>
      <c r="D2041" s="13" t="s">
        <v>633</v>
      </c>
      <c r="E2041" t="s">
        <v>215</v>
      </c>
      <c r="F2041" s="11">
        <v>1</v>
      </c>
      <c r="G2041" s="11">
        <v>46218.49</v>
      </c>
    </row>
    <row r="2042" spans="2:7" x14ac:dyDescent="0.2">
      <c r="B2042" s="32">
        <v>45855</v>
      </c>
      <c r="C2042" t="s">
        <v>142</v>
      </c>
      <c r="D2042" s="13" t="s">
        <v>633</v>
      </c>
      <c r="E2042" t="s">
        <v>328</v>
      </c>
      <c r="F2042" s="11">
        <v>1</v>
      </c>
      <c r="G2042" s="11">
        <v>37815.129999999997</v>
      </c>
    </row>
    <row r="2043" spans="2:7" x14ac:dyDescent="0.2">
      <c r="B2043" s="32">
        <v>45855</v>
      </c>
      <c r="C2043" t="s">
        <v>142</v>
      </c>
      <c r="D2043" s="13" t="s">
        <v>633</v>
      </c>
      <c r="E2043" t="s">
        <v>831</v>
      </c>
      <c r="F2043" s="11">
        <v>1</v>
      </c>
      <c r="G2043" s="11">
        <v>0.84</v>
      </c>
    </row>
    <row r="2044" spans="2:7" x14ac:dyDescent="0.2">
      <c r="B2044" s="32">
        <v>45855</v>
      </c>
      <c r="C2044" t="s">
        <v>142</v>
      </c>
      <c r="D2044" s="13" t="s">
        <v>633</v>
      </c>
      <c r="F2044" s="11">
        <v>0</v>
      </c>
      <c r="G2044" s="11">
        <v>0</v>
      </c>
    </row>
    <row r="2045" spans="2:7" x14ac:dyDescent="0.2">
      <c r="B2045" s="32">
        <v>45855</v>
      </c>
      <c r="C2045" t="s">
        <v>110</v>
      </c>
      <c r="D2045" s="13" t="s">
        <v>634</v>
      </c>
      <c r="E2045" t="s">
        <v>151</v>
      </c>
      <c r="F2045" s="11">
        <v>1</v>
      </c>
      <c r="G2045" s="11">
        <v>46218.49</v>
      </c>
    </row>
    <row r="2046" spans="2:7" x14ac:dyDescent="0.2">
      <c r="B2046" s="32">
        <v>45855</v>
      </c>
      <c r="C2046" t="s">
        <v>110</v>
      </c>
      <c r="D2046" s="13" t="s">
        <v>633</v>
      </c>
      <c r="E2046" t="s">
        <v>198</v>
      </c>
      <c r="F2046" s="11">
        <v>1</v>
      </c>
      <c r="G2046" s="11">
        <v>46218.49</v>
      </c>
    </row>
    <row r="2047" spans="2:7" x14ac:dyDescent="0.2">
      <c r="B2047" s="32">
        <v>45855</v>
      </c>
      <c r="C2047" t="s">
        <v>109</v>
      </c>
      <c r="D2047" s="13"/>
      <c r="E2047" t="s">
        <v>1834</v>
      </c>
      <c r="F2047" s="11">
        <v>2</v>
      </c>
      <c r="G2047" s="11">
        <v>84033.61</v>
      </c>
    </row>
    <row r="2048" spans="2:7" x14ac:dyDescent="0.2">
      <c r="B2048" s="32">
        <v>45855</v>
      </c>
      <c r="C2048" t="s">
        <v>109</v>
      </c>
      <c r="D2048" s="13" t="s">
        <v>634</v>
      </c>
      <c r="E2048" t="s">
        <v>223</v>
      </c>
      <c r="F2048" s="11">
        <v>4</v>
      </c>
      <c r="G2048" s="11">
        <v>285714.28999999998</v>
      </c>
    </row>
    <row r="2049" spans="2:7" x14ac:dyDescent="0.2">
      <c r="B2049" s="32">
        <v>45855</v>
      </c>
      <c r="C2049" t="s">
        <v>109</v>
      </c>
      <c r="D2049" s="13" t="s">
        <v>634</v>
      </c>
      <c r="E2049" t="s">
        <v>423</v>
      </c>
      <c r="F2049" s="11">
        <v>1</v>
      </c>
      <c r="G2049" s="11">
        <v>107142.86</v>
      </c>
    </row>
    <row r="2050" spans="2:7" x14ac:dyDescent="0.2">
      <c r="B2050" s="32">
        <v>45855</v>
      </c>
      <c r="C2050" t="s">
        <v>109</v>
      </c>
      <c r="D2050" s="13" t="s">
        <v>634</v>
      </c>
      <c r="E2050" t="s">
        <v>271</v>
      </c>
      <c r="F2050" s="11">
        <v>1</v>
      </c>
      <c r="G2050" s="11">
        <v>107142.86</v>
      </c>
    </row>
    <row r="2051" spans="2:7" x14ac:dyDescent="0.2">
      <c r="B2051" s="32">
        <v>45855</v>
      </c>
      <c r="C2051" t="s">
        <v>109</v>
      </c>
      <c r="D2051" s="13" t="s">
        <v>634</v>
      </c>
      <c r="E2051" t="s">
        <v>740</v>
      </c>
      <c r="F2051" s="11">
        <v>1</v>
      </c>
      <c r="G2051" s="11">
        <v>92857.14</v>
      </c>
    </row>
    <row r="2052" spans="2:7" x14ac:dyDescent="0.2">
      <c r="B2052" s="32">
        <v>45855</v>
      </c>
      <c r="C2052" t="s">
        <v>109</v>
      </c>
      <c r="D2052" s="13" t="s">
        <v>634</v>
      </c>
      <c r="E2052" t="s">
        <v>152</v>
      </c>
      <c r="F2052" s="11">
        <v>1</v>
      </c>
      <c r="G2052" s="11">
        <v>75630.25</v>
      </c>
    </row>
    <row r="2053" spans="2:7" x14ac:dyDescent="0.2">
      <c r="B2053" s="32">
        <v>45855</v>
      </c>
      <c r="C2053" t="s">
        <v>109</v>
      </c>
      <c r="D2053" s="13" t="s">
        <v>634</v>
      </c>
      <c r="E2053" t="s">
        <v>681</v>
      </c>
      <c r="F2053" s="11">
        <v>1</v>
      </c>
      <c r="G2053" s="11">
        <v>75630.25</v>
      </c>
    </row>
    <row r="2054" spans="2:7" x14ac:dyDescent="0.2">
      <c r="B2054" s="32">
        <v>45855</v>
      </c>
      <c r="C2054" t="s">
        <v>109</v>
      </c>
      <c r="D2054" s="13" t="s">
        <v>634</v>
      </c>
      <c r="E2054" t="s">
        <v>212</v>
      </c>
      <c r="F2054" s="11">
        <v>1</v>
      </c>
      <c r="G2054" s="11">
        <v>54621.85</v>
      </c>
    </row>
    <row r="2055" spans="2:7" x14ac:dyDescent="0.2">
      <c r="B2055" s="32">
        <v>45855</v>
      </c>
      <c r="C2055" t="s">
        <v>109</v>
      </c>
      <c r="D2055" s="13" t="s">
        <v>634</v>
      </c>
      <c r="E2055" t="s">
        <v>1829</v>
      </c>
      <c r="F2055" s="11">
        <v>1</v>
      </c>
      <c r="G2055" s="11">
        <v>54621.85</v>
      </c>
    </row>
    <row r="2056" spans="2:7" x14ac:dyDescent="0.2">
      <c r="B2056" s="32">
        <v>45855</v>
      </c>
      <c r="C2056" t="s">
        <v>109</v>
      </c>
      <c r="D2056" s="13" t="s">
        <v>634</v>
      </c>
      <c r="E2056" t="s">
        <v>341</v>
      </c>
      <c r="F2056" s="11">
        <v>1</v>
      </c>
      <c r="G2056" s="11">
        <v>50000</v>
      </c>
    </row>
    <row r="2057" spans="2:7" x14ac:dyDescent="0.2">
      <c r="B2057" s="32">
        <v>45855</v>
      </c>
      <c r="C2057" t="s">
        <v>109</v>
      </c>
      <c r="D2057" s="13" t="s">
        <v>634</v>
      </c>
      <c r="E2057" t="s">
        <v>251</v>
      </c>
      <c r="F2057" s="11">
        <v>1</v>
      </c>
      <c r="G2057" s="11">
        <v>50000</v>
      </c>
    </row>
    <row r="2058" spans="2:7" x14ac:dyDescent="0.2">
      <c r="B2058" s="32">
        <v>45855</v>
      </c>
      <c r="C2058" t="s">
        <v>109</v>
      </c>
      <c r="D2058" s="13" t="s">
        <v>634</v>
      </c>
      <c r="E2058" t="s">
        <v>320</v>
      </c>
      <c r="F2058" s="11">
        <v>1</v>
      </c>
      <c r="G2058" s="11">
        <v>50000</v>
      </c>
    </row>
    <row r="2059" spans="2:7" x14ac:dyDescent="0.2">
      <c r="B2059" s="32">
        <v>45855</v>
      </c>
      <c r="C2059" t="s">
        <v>109</v>
      </c>
      <c r="D2059" s="13" t="s">
        <v>634</v>
      </c>
      <c r="E2059" t="s">
        <v>492</v>
      </c>
      <c r="F2059" s="11">
        <v>1</v>
      </c>
      <c r="G2059" s="11">
        <v>50000</v>
      </c>
    </row>
    <row r="2060" spans="2:7" x14ac:dyDescent="0.2">
      <c r="B2060" s="32">
        <v>45855</v>
      </c>
      <c r="C2060" t="s">
        <v>109</v>
      </c>
      <c r="D2060" s="13" t="s">
        <v>634</v>
      </c>
      <c r="E2060" t="s">
        <v>219</v>
      </c>
      <c r="F2060" s="11">
        <v>1</v>
      </c>
      <c r="G2060" s="11">
        <v>50000</v>
      </c>
    </row>
    <row r="2061" spans="2:7" x14ac:dyDescent="0.2">
      <c r="B2061" s="32">
        <v>45855</v>
      </c>
      <c r="C2061" t="s">
        <v>109</v>
      </c>
      <c r="D2061" s="13" t="s">
        <v>634</v>
      </c>
      <c r="E2061" t="s">
        <v>628</v>
      </c>
      <c r="F2061" s="11">
        <v>1</v>
      </c>
      <c r="G2061" s="11">
        <v>46428.57</v>
      </c>
    </row>
    <row r="2062" spans="2:7" x14ac:dyDescent="0.2">
      <c r="B2062" s="32">
        <v>45855</v>
      </c>
      <c r="C2062" t="s">
        <v>109</v>
      </c>
      <c r="D2062" s="13" t="s">
        <v>634</v>
      </c>
      <c r="E2062" t="s">
        <v>173</v>
      </c>
      <c r="F2062" s="11">
        <v>1</v>
      </c>
      <c r="G2062" s="11">
        <v>37815.129999999997</v>
      </c>
    </row>
    <row r="2063" spans="2:7" x14ac:dyDescent="0.2">
      <c r="B2063" s="32">
        <v>45855</v>
      </c>
      <c r="C2063" t="s">
        <v>109</v>
      </c>
      <c r="D2063" s="13" t="s">
        <v>634</v>
      </c>
      <c r="E2063" t="s">
        <v>234</v>
      </c>
      <c r="F2063" s="11">
        <v>1</v>
      </c>
      <c r="G2063" s="11">
        <v>37815.120000000003</v>
      </c>
    </row>
    <row r="2064" spans="2:7" x14ac:dyDescent="0.2">
      <c r="B2064" s="32">
        <v>45855</v>
      </c>
      <c r="C2064" t="s">
        <v>109</v>
      </c>
      <c r="D2064" s="13" t="s">
        <v>634</v>
      </c>
      <c r="E2064" t="s">
        <v>1813</v>
      </c>
      <c r="F2064" s="11">
        <v>1</v>
      </c>
      <c r="G2064" s="11">
        <v>21848.74</v>
      </c>
    </row>
    <row r="2065" spans="2:7" x14ac:dyDescent="0.2">
      <c r="B2065" s="32">
        <v>45855</v>
      </c>
      <c r="C2065" t="s">
        <v>109</v>
      </c>
      <c r="D2065" s="13" t="s">
        <v>634</v>
      </c>
      <c r="E2065" t="s">
        <v>342</v>
      </c>
      <c r="F2065" s="11">
        <v>1</v>
      </c>
      <c r="G2065" s="11">
        <v>21848.74</v>
      </c>
    </row>
    <row r="2066" spans="2:7" x14ac:dyDescent="0.2">
      <c r="B2066" s="32">
        <v>45855</v>
      </c>
      <c r="C2066" t="s">
        <v>109</v>
      </c>
      <c r="D2066" s="13" t="s">
        <v>633</v>
      </c>
      <c r="E2066" t="s">
        <v>553</v>
      </c>
      <c r="F2066" s="11">
        <v>1</v>
      </c>
      <c r="G2066" s="11">
        <v>92857.14</v>
      </c>
    </row>
    <row r="2067" spans="2:7" x14ac:dyDescent="0.2">
      <c r="B2067" s="32">
        <v>45855</v>
      </c>
      <c r="C2067" t="s">
        <v>109</v>
      </c>
      <c r="D2067" s="13" t="s">
        <v>633</v>
      </c>
      <c r="E2067" t="s">
        <v>210</v>
      </c>
      <c r="F2067" s="11">
        <v>2</v>
      </c>
      <c r="G2067" s="11">
        <v>92436.97</v>
      </c>
    </row>
    <row r="2068" spans="2:7" x14ac:dyDescent="0.2">
      <c r="B2068" s="32">
        <v>45855</v>
      </c>
      <c r="C2068" t="s">
        <v>109</v>
      </c>
      <c r="D2068" s="13" t="s">
        <v>633</v>
      </c>
      <c r="E2068" t="s">
        <v>539</v>
      </c>
      <c r="F2068" s="11">
        <v>1</v>
      </c>
      <c r="G2068" s="11">
        <v>85714.29</v>
      </c>
    </row>
    <row r="2069" spans="2:7" x14ac:dyDescent="0.2">
      <c r="B2069" s="32">
        <v>45855</v>
      </c>
      <c r="C2069" t="s">
        <v>109</v>
      </c>
      <c r="D2069" s="13" t="s">
        <v>633</v>
      </c>
      <c r="E2069" t="s">
        <v>295</v>
      </c>
      <c r="F2069" s="11">
        <v>1</v>
      </c>
      <c r="G2069" s="11">
        <v>85714.29</v>
      </c>
    </row>
    <row r="2070" spans="2:7" x14ac:dyDescent="0.2">
      <c r="B2070" s="32">
        <v>45855</v>
      </c>
      <c r="C2070" t="s">
        <v>109</v>
      </c>
      <c r="D2070" s="13" t="s">
        <v>633</v>
      </c>
      <c r="E2070" t="s">
        <v>534</v>
      </c>
      <c r="F2070" s="11">
        <v>1</v>
      </c>
      <c r="G2070" s="11">
        <v>71428.570000000007</v>
      </c>
    </row>
    <row r="2071" spans="2:7" x14ac:dyDescent="0.2">
      <c r="B2071" s="32">
        <v>45855</v>
      </c>
      <c r="C2071" t="s">
        <v>109</v>
      </c>
      <c r="D2071" s="13" t="s">
        <v>633</v>
      </c>
      <c r="E2071" t="s">
        <v>478</v>
      </c>
      <c r="F2071" s="11">
        <v>1</v>
      </c>
      <c r="G2071" s="11">
        <v>64285.71</v>
      </c>
    </row>
    <row r="2072" spans="2:7" x14ac:dyDescent="0.2">
      <c r="B2072" s="32">
        <v>45855</v>
      </c>
      <c r="C2072" t="s">
        <v>109</v>
      </c>
      <c r="D2072" s="13" t="s">
        <v>633</v>
      </c>
      <c r="E2072" t="s">
        <v>306</v>
      </c>
      <c r="F2072" s="11">
        <v>1</v>
      </c>
      <c r="G2072" s="11">
        <v>50000</v>
      </c>
    </row>
    <row r="2073" spans="2:7" x14ac:dyDescent="0.2">
      <c r="B2073" s="32">
        <v>45855</v>
      </c>
      <c r="C2073" t="s">
        <v>109</v>
      </c>
      <c r="D2073" s="13" t="s">
        <v>633</v>
      </c>
      <c r="E2073" t="s">
        <v>1818</v>
      </c>
      <c r="F2073" s="11">
        <v>1</v>
      </c>
      <c r="G2073" s="11">
        <v>37815.129999999997</v>
      </c>
    </row>
    <row r="2074" spans="2:7" x14ac:dyDescent="0.2">
      <c r="B2074" s="32">
        <v>45855</v>
      </c>
      <c r="C2074" t="s">
        <v>109</v>
      </c>
      <c r="D2074" s="13" t="s">
        <v>633</v>
      </c>
      <c r="E2074" t="s">
        <v>662</v>
      </c>
      <c r="F2074" s="11">
        <v>1</v>
      </c>
      <c r="G2074" s="11">
        <v>37815.129999999997</v>
      </c>
    </row>
    <row r="2075" spans="2:7" x14ac:dyDescent="0.2">
      <c r="B2075" s="32">
        <v>45855</v>
      </c>
      <c r="C2075" t="s">
        <v>109</v>
      </c>
      <c r="D2075" s="13" t="s">
        <v>633</v>
      </c>
      <c r="E2075" t="s">
        <v>468</v>
      </c>
      <c r="F2075" s="11">
        <v>1</v>
      </c>
      <c r="G2075" s="11">
        <v>37815.129999999997</v>
      </c>
    </row>
    <row r="2076" spans="2:7" x14ac:dyDescent="0.2">
      <c r="B2076" s="32">
        <v>45855</v>
      </c>
      <c r="C2076" t="s">
        <v>109</v>
      </c>
      <c r="D2076" s="13" t="s">
        <v>633</v>
      </c>
      <c r="E2076" t="s">
        <v>293</v>
      </c>
      <c r="F2076" s="11">
        <v>1</v>
      </c>
      <c r="G2076" s="11">
        <v>37815.129999999997</v>
      </c>
    </row>
    <row r="2077" spans="2:7" x14ac:dyDescent="0.2">
      <c r="B2077" s="32">
        <v>45855</v>
      </c>
      <c r="C2077" t="s">
        <v>109</v>
      </c>
      <c r="D2077" s="13" t="s">
        <v>633</v>
      </c>
      <c r="E2077" t="s">
        <v>148</v>
      </c>
      <c r="F2077" s="11">
        <v>1</v>
      </c>
      <c r="G2077" s="11">
        <v>37815.129999999997</v>
      </c>
    </row>
    <row r="2078" spans="2:7" x14ac:dyDescent="0.2">
      <c r="B2078" s="32">
        <v>45855</v>
      </c>
      <c r="C2078" t="s">
        <v>109</v>
      </c>
      <c r="D2078" s="13" t="s">
        <v>633</v>
      </c>
      <c r="E2078" t="s">
        <v>234</v>
      </c>
      <c r="F2078" s="11">
        <v>1</v>
      </c>
      <c r="G2078" s="11">
        <v>37815.120000000003</v>
      </c>
    </row>
    <row r="2079" spans="2:7" x14ac:dyDescent="0.2">
      <c r="B2079" s="32">
        <v>45855</v>
      </c>
      <c r="C2079" t="s">
        <v>109</v>
      </c>
      <c r="D2079" s="13" t="s">
        <v>633</v>
      </c>
      <c r="E2079" t="s">
        <v>1837</v>
      </c>
      <c r="F2079" s="11">
        <v>1</v>
      </c>
      <c r="G2079" s="11">
        <v>21848.74</v>
      </c>
    </row>
    <row r="2080" spans="2:7" x14ac:dyDescent="0.2">
      <c r="B2080" s="32">
        <v>45856</v>
      </c>
      <c r="C2080" t="s">
        <v>142</v>
      </c>
      <c r="D2080" s="13" t="s">
        <v>634</v>
      </c>
      <c r="E2080" t="s">
        <v>752</v>
      </c>
      <c r="F2080" s="11">
        <v>0</v>
      </c>
      <c r="G2080" s="11">
        <v>67226.89</v>
      </c>
    </row>
    <row r="2081" spans="2:7" x14ac:dyDescent="0.2">
      <c r="B2081" s="32">
        <v>45856</v>
      </c>
      <c r="C2081" t="s">
        <v>142</v>
      </c>
      <c r="D2081" s="13" t="s">
        <v>634</v>
      </c>
      <c r="E2081" t="s">
        <v>163</v>
      </c>
      <c r="F2081" s="11">
        <v>1</v>
      </c>
      <c r="G2081" s="11">
        <v>50000</v>
      </c>
    </row>
    <row r="2082" spans="2:7" x14ac:dyDescent="0.2">
      <c r="B2082" s="32">
        <v>45856</v>
      </c>
      <c r="C2082" t="s">
        <v>142</v>
      </c>
      <c r="D2082" s="13" t="s">
        <v>634</v>
      </c>
      <c r="E2082" t="s">
        <v>201</v>
      </c>
      <c r="F2082" s="11">
        <v>0</v>
      </c>
      <c r="G2082" s="11">
        <v>32773.11</v>
      </c>
    </row>
    <row r="2083" spans="2:7" x14ac:dyDescent="0.2">
      <c r="B2083" s="32">
        <v>45856</v>
      </c>
      <c r="C2083" t="s">
        <v>142</v>
      </c>
      <c r="D2083" s="13" t="s">
        <v>634</v>
      </c>
      <c r="E2083" t="s">
        <v>1935</v>
      </c>
      <c r="F2083" s="11">
        <v>1</v>
      </c>
      <c r="G2083" s="11">
        <v>0</v>
      </c>
    </row>
    <row r="2084" spans="2:7" x14ac:dyDescent="0.2">
      <c r="B2084" s="32">
        <v>45856</v>
      </c>
      <c r="C2084" t="s">
        <v>142</v>
      </c>
      <c r="D2084" s="13" t="s">
        <v>634</v>
      </c>
      <c r="F2084" s="11">
        <v>0</v>
      </c>
      <c r="G2084" s="11">
        <v>0</v>
      </c>
    </row>
    <row r="2085" spans="2:7" x14ac:dyDescent="0.2">
      <c r="B2085" s="32">
        <v>45856</v>
      </c>
      <c r="C2085" t="s">
        <v>142</v>
      </c>
      <c r="D2085" s="13" t="s">
        <v>633</v>
      </c>
      <c r="E2085" t="s">
        <v>212</v>
      </c>
      <c r="F2085" s="11">
        <v>1</v>
      </c>
      <c r="G2085" s="11">
        <v>54621.85</v>
      </c>
    </row>
    <row r="2086" spans="2:7" x14ac:dyDescent="0.2">
      <c r="B2086" s="32">
        <v>45856</v>
      </c>
      <c r="C2086" t="s">
        <v>142</v>
      </c>
      <c r="D2086" s="13" t="s">
        <v>633</v>
      </c>
      <c r="F2086" s="11">
        <v>0</v>
      </c>
      <c r="G2086" s="11">
        <v>0</v>
      </c>
    </row>
    <row r="2087" spans="2:7" x14ac:dyDescent="0.2">
      <c r="B2087" s="32">
        <v>45856</v>
      </c>
      <c r="C2087" t="s">
        <v>1739</v>
      </c>
      <c r="D2087" s="13"/>
      <c r="E2087" t="s">
        <v>283</v>
      </c>
      <c r="F2087" s="11">
        <v>1</v>
      </c>
      <c r="G2087" s="11">
        <v>46428.57</v>
      </c>
    </row>
    <row r="2088" spans="2:7" x14ac:dyDescent="0.2">
      <c r="B2088" s="32">
        <v>45856</v>
      </c>
      <c r="C2088" t="s">
        <v>1739</v>
      </c>
      <c r="D2088" s="13"/>
      <c r="E2088" t="s">
        <v>399</v>
      </c>
      <c r="F2088" s="11">
        <v>1</v>
      </c>
      <c r="G2088" s="11">
        <v>46428.57</v>
      </c>
    </row>
    <row r="2089" spans="2:7" x14ac:dyDescent="0.2">
      <c r="B2089" s="32">
        <v>45856</v>
      </c>
      <c r="C2089" t="s">
        <v>1739</v>
      </c>
      <c r="D2089" s="13"/>
      <c r="E2089" t="s">
        <v>692</v>
      </c>
      <c r="F2089" s="11">
        <v>1</v>
      </c>
      <c r="G2089" s="11">
        <v>37815.129999999997</v>
      </c>
    </row>
    <row r="2090" spans="2:7" x14ac:dyDescent="0.2">
      <c r="B2090" s="32">
        <v>45856</v>
      </c>
      <c r="C2090" t="s">
        <v>1739</v>
      </c>
      <c r="D2090" s="13" t="s">
        <v>633</v>
      </c>
      <c r="E2090" t="s">
        <v>307</v>
      </c>
      <c r="F2090" s="11">
        <v>1</v>
      </c>
      <c r="G2090" s="11">
        <v>50420.17</v>
      </c>
    </row>
    <row r="2091" spans="2:7" x14ac:dyDescent="0.2">
      <c r="B2091" s="32">
        <v>45856</v>
      </c>
      <c r="C2091" t="s">
        <v>1739</v>
      </c>
      <c r="D2091" s="13" t="s">
        <v>633</v>
      </c>
      <c r="F2091" s="11">
        <v>2</v>
      </c>
      <c r="G2091" s="11">
        <v>42016.81</v>
      </c>
    </row>
    <row r="2092" spans="2:7" x14ac:dyDescent="0.2">
      <c r="B2092" s="32">
        <v>45856</v>
      </c>
      <c r="C2092" t="s">
        <v>109</v>
      </c>
      <c r="D2092" s="13"/>
      <c r="E2092" t="s">
        <v>234</v>
      </c>
      <c r="F2092" s="11">
        <v>1</v>
      </c>
      <c r="G2092" s="11">
        <v>37815.129999999997</v>
      </c>
    </row>
    <row r="2093" spans="2:7" x14ac:dyDescent="0.2">
      <c r="B2093" s="32">
        <v>45856</v>
      </c>
      <c r="C2093" t="s">
        <v>109</v>
      </c>
      <c r="D2093" s="13" t="s">
        <v>634</v>
      </c>
      <c r="E2093" t="s">
        <v>446</v>
      </c>
      <c r="F2093" s="11">
        <v>2</v>
      </c>
      <c r="G2093" s="11">
        <v>201680.67</v>
      </c>
    </row>
    <row r="2094" spans="2:7" x14ac:dyDescent="0.2">
      <c r="B2094" s="32">
        <v>45856</v>
      </c>
      <c r="C2094" t="s">
        <v>109</v>
      </c>
      <c r="D2094" s="13" t="s">
        <v>634</v>
      </c>
      <c r="E2094" t="s">
        <v>341</v>
      </c>
      <c r="F2094" s="11">
        <v>2</v>
      </c>
      <c r="G2094" s="11">
        <v>100000</v>
      </c>
    </row>
    <row r="2095" spans="2:7" x14ac:dyDescent="0.2">
      <c r="B2095" s="32">
        <v>45856</v>
      </c>
      <c r="C2095" t="s">
        <v>109</v>
      </c>
      <c r="D2095" s="13" t="s">
        <v>634</v>
      </c>
      <c r="E2095" t="s">
        <v>551</v>
      </c>
      <c r="F2095" s="11">
        <v>1</v>
      </c>
      <c r="G2095" s="11">
        <v>96638.66</v>
      </c>
    </row>
    <row r="2096" spans="2:7" x14ac:dyDescent="0.2">
      <c r="B2096" s="32">
        <v>45856</v>
      </c>
      <c r="C2096" t="s">
        <v>109</v>
      </c>
      <c r="D2096" s="13" t="s">
        <v>634</v>
      </c>
      <c r="E2096" t="s">
        <v>302</v>
      </c>
      <c r="F2096" s="11">
        <v>1</v>
      </c>
      <c r="G2096" s="11">
        <v>96638.65</v>
      </c>
    </row>
    <row r="2097" spans="2:7" x14ac:dyDescent="0.2">
      <c r="B2097" s="32">
        <v>45856</v>
      </c>
      <c r="C2097" t="s">
        <v>109</v>
      </c>
      <c r="D2097" s="13" t="s">
        <v>634</v>
      </c>
      <c r="E2097" t="s">
        <v>340</v>
      </c>
      <c r="F2097" s="11">
        <v>1</v>
      </c>
      <c r="G2097" s="11">
        <v>75630.25</v>
      </c>
    </row>
    <row r="2098" spans="2:7" x14ac:dyDescent="0.2">
      <c r="B2098" s="32">
        <v>45856</v>
      </c>
      <c r="C2098" t="s">
        <v>109</v>
      </c>
      <c r="D2098" s="13" t="s">
        <v>634</v>
      </c>
      <c r="E2098" t="s">
        <v>1890</v>
      </c>
      <c r="F2098" s="11">
        <v>1</v>
      </c>
      <c r="G2098" s="11">
        <v>75630.25</v>
      </c>
    </row>
    <row r="2099" spans="2:7" x14ac:dyDescent="0.2">
      <c r="B2099" s="32">
        <v>45856</v>
      </c>
      <c r="C2099" t="s">
        <v>109</v>
      </c>
      <c r="D2099" s="13" t="s">
        <v>634</v>
      </c>
      <c r="E2099" t="s">
        <v>164</v>
      </c>
      <c r="F2099" s="11">
        <v>1</v>
      </c>
      <c r="G2099" s="11">
        <v>67226.89</v>
      </c>
    </row>
    <row r="2100" spans="2:7" x14ac:dyDescent="0.2">
      <c r="B2100" s="32">
        <v>45856</v>
      </c>
      <c r="C2100" t="s">
        <v>109</v>
      </c>
      <c r="D2100" s="13" t="s">
        <v>634</v>
      </c>
      <c r="E2100" t="s">
        <v>149</v>
      </c>
      <c r="F2100" s="11">
        <v>1</v>
      </c>
      <c r="G2100" s="11">
        <v>67226.89</v>
      </c>
    </row>
    <row r="2101" spans="2:7" x14ac:dyDescent="0.2">
      <c r="B2101" s="32">
        <v>45856</v>
      </c>
      <c r="C2101" t="s">
        <v>109</v>
      </c>
      <c r="D2101" s="13" t="s">
        <v>634</v>
      </c>
      <c r="E2101" t="s">
        <v>440</v>
      </c>
      <c r="F2101" s="11">
        <v>1</v>
      </c>
      <c r="G2101" s="11">
        <v>50000</v>
      </c>
    </row>
    <row r="2102" spans="2:7" x14ac:dyDescent="0.2">
      <c r="B2102" s="32">
        <v>45856</v>
      </c>
      <c r="C2102" t="s">
        <v>109</v>
      </c>
      <c r="D2102" s="13" t="s">
        <v>634</v>
      </c>
      <c r="E2102" t="s">
        <v>281</v>
      </c>
      <c r="F2102" s="11">
        <v>1</v>
      </c>
      <c r="G2102" s="11">
        <v>50000</v>
      </c>
    </row>
    <row r="2103" spans="2:7" x14ac:dyDescent="0.2">
      <c r="B2103" s="32">
        <v>45856</v>
      </c>
      <c r="C2103" t="s">
        <v>109</v>
      </c>
      <c r="D2103" s="13" t="s">
        <v>634</v>
      </c>
      <c r="E2103" t="s">
        <v>260</v>
      </c>
      <c r="F2103" s="11">
        <v>1</v>
      </c>
      <c r="G2103" s="11">
        <v>46218.49</v>
      </c>
    </row>
    <row r="2104" spans="2:7" x14ac:dyDescent="0.2">
      <c r="B2104" s="32">
        <v>45856</v>
      </c>
      <c r="C2104" t="s">
        <v>109</v>
      </c>
      <c r="D2104" s="13" t="s">
        <v>634</v>
      </c>
      <c r="E2104" t="s">
        <v>238</v>
      </c>
      <c r="F2104" s="11">
        <v>1</v>
      </c>
      <c r="G2104" s="11">
        <v>46218.49</v>
      </c>
    </row>
    <row r="2105" spans="2:7" x14ac:dyDescent="0.2">
      <c r="B2105" s="32">
        <v>45856</v>
      </c>
      <c r="C2105" t="s">
        <v>109</v>
      </c>
      <c r="D2105" s="13" t="s">
        <v>634</v>
      </c>
      <c r="E2105" t="s">
        <v>246</v>
      </c>
      <c r="F2105" s="11">
        <v>1</v>
      </c>
      <c r="G2105" s="11">
        <v>42016.81</v>
      </c>
    </row>
    <row r="2106" spans="2:7" x14ac:dyDescent="0.2">
      <c r="B2106" s="32">
        <v>45856</v>
      </c>
      <c r="C2106" t="s">
        <v>109</v>
      </c>
      <c r="D2106" s="13" t="s">
        <v>634</v>
      </c>
      <c r="E2106" t="s">
        <v>203</v>
      </c>
      <c r="F2106" s="11">
        <v>1</v>
      </c>
      <c r="G2106" s="11">
        <v>42016.81</v>
      </c>
    </row>
    <row r="2107" spans="2:7" x14ac:dyDescent="0.2">
      <c r="B2107" s="32">
        <v>45856</v>
      </c>
      <c r="C2107" t="s">
        <v>109</v>
      </c>
      <c r="D2107" s="13" t="s">
        <v>634</v>
      </c>
      <c r="E2107" t="s">
        <v>330</v>
      </c>
      <c r="F2107" s="11">
        <v>1</v>
      </c>
      <c r="G2107" s="11">
        <v>37815.129999999997</v>
      </c>
    </row>
    <row r="2108" spans="2:7" x14ac:dyDescent="0.2">
      <c r="B2108" s="32">
        <v>45856</v>
      </c>
      <c r="C2108" t="s">
        <v>109</v>
      </c>
      <c r="D2108" s="13" t="s">
        <v>634</v>
      </c>
      <c r="E2108" t="s">
        <v>234</v>
      </c>
      <c r="F2108" s="11">
        <v>1</v>
      </c>
      <c r="G2108" s="11">
        <v>37815.120000000003</v>
      </c>
    </row>
    <row r="2109" spans="2:7" x14ac:dyDescent="0.2">
      <c r="B2109" s="32">
        <v>45856</v>
      </c>
      <c r="C2109" t="s">
        <v>109</v>
      </c>
      <c r="D2109" s="13" t="s">
        <v>634</v>
      </c>
      <c r="E2109" t="s">
        <v>1918</v>
      </c>
      <c r="F2109" s="11">
        <v>1</v>
      </c>
      <c r="G2109" s="11">
        <v>33613.449999999997</v>
      </c>
    </row>
    <row r="2110" spans="2:7" x14ac:dyDescent="0.2">
      <c r="B2110" s="32">
        <v>45856</v>
      </c>
      <c r="C2110" t="s">
        <v>109</v>
      </c>
      <c r="D2110" s="13" t="s">
        <v>634</v>
      </c>
      <c r="E2110" t="s">
        <v>193</v>
      </c>
      <c r="F2110" s="11">
        <v>1</v>
      </c>
      <c r="G2110" s="11">
        <v>21848.74</v>
      </c>
    </row>
    <row r="2111" spans="2:7" x14ac:dyDescent="0.2">
      <c r="B2111" s="32">
        <v>45856</v>
      </c>
      <c r="C2111" t="s">
        <v>109</v>
      </c>
      <c r="D2111" s="13" t="s">
        <v>634</v>
      </c>
      <c r="E2111" t="s">
        <v>675</v>
      </c>
      <c r="F2111" s="11">
        <v>1</v>
      </c>
      <c r="G2111" s="11">
        <v>0</v>
      </c>
    </row>
    <row r="2112" spans="2:7" x14ac:dyDescent="0.2">
      <c r="B2112" s="32">
        <v>45856</v>
      </c>
      <c r="C2112" t="s">
        <v>109</v>
      </c>
      <c r="D2112" s="13" t="s">
        <v>634</v>
      </c>
      <c r="E2112" t="s">
        <v>322</v>
      </c>
      <c r="F2112" s="11">
        <v>1</v>
      </c>
      <c r="G2112" s="11">
        <v>0</v>
      </c>
    </row>
    <row r="2113" spans="2:7" x14ac:dyDescent="0.2">
      <c r="B2113" s="32">
        <v>45856</v>
      </c>
      <c r="C2113" t="s">
        <v>109</v>
      </c>
      <c r="D2113" s="13" t="s">
        <v>633</v>
      </c>
      <c r="E2113" t="s">
        <v>418</v>
      </c>
      <c r="F2113" s="11">
        <v>2</v>
      </c>
      <c r="G2113" s="11">
        <v>357142.86</v>
      </c>
    </row>
    <row r="2114" spans="2:7" x14ac:dyDescent="0.2">
      <c r="B2114" s="32">
        <v>45856</v>
      </c>
      <c r="C2114" t="s">
        <v>109</v>
      </c>
      <c r="D2114" s="13" t="s">
        <v>633</v>
      </c>
      <c r="E2114" t="s">
        <v>532</v>
      </c>
      <c r="F2114" s="11">
        <v>1</v>
      </c>
      <c r="G2114" s="11">
        <v>178571.43</v>
      </c>
    </row>
    <row r="2115" spans="2:7" x14ac:dyDescent="0.2">
      <c r="B2115" s="32">
        <v>45856</v>
      </c>
      <c r="C2115" t="s">
        <v>109</v>
      </c>
      <c r="D2115" s="13" t="s">
        <v>633</v>
      </c>
      <c r="E2115" t="s">
        <v>341</v>
      </c>
      <c r="F2115" s="11">
        <v>2</v>
      </c>
      <c r="G2115" s="11">
        <v>100000</v>
      </c>
    </row>
    <row r="2116" spans="2:7" x14ac:dyDescent="0.2">
      <c r="B2116" s="32">
        <v>45856</v>
      </c>
      <c r="C2116" t="s">
        <v>109</v>
      </c>
      <c r="D2116" s="13" t="s">
        <v>633</v>
      </c>
      <c r="E2116" t="s">
        <v>675</v>
      </c>
      <c r="F2116" s="11">
        <v>1</v>
      </c>
      <c r="G2116" s="11">
        <v>98000</v>
      </c>
    </row>
    <row r="2117" spans="2:7" x14ac:dyDescent="0.2">
      <c r="B2117" s="32">
        <v>45856</v>
      </c>
      <c r="C2117" t="s">
        <v>109</v>
      </c>
      <c r="D2117" s="13" t="s">
        <v>633</v>
      </c>
      <c r="E2117" t="s">
        <v>210</v>
      </c>
      <c r="F2117" s="11">
        <v>2</v>
      </c>
      <c r="G2117" s="11">
        <v>92436.97</v>
      </c>
    </row>
    <row r="2118" spans="2:7" x14ac:dyDescent="0.2">
      <c r="B2118" s="32">
        <v>45856</v>
      </c>
      <c r="C2118" t="s">
        <v>109</v>
      </c>
      <c r="D2118" s="13" t="s">
        <v>633</v>
      </c>
      <c r="E2118" t="s">
        <v>258</v>
      </c>
      <c r="F2118" s="11">
        <v>1</v>
      </c>
      <c r="G2118" s="11">
        <v>54621.85</v>
      </c>
    </row>
    <row r="2119" spans="2:7" x14ac:dyDescent="0.2">
      <c r="B2119" s="32">
        <v>45856</v>
      </c>
      <c r="C2119" t="s">
        <v>109</v>
      </c>
      <c r="D2119" s="13" t="s">
        <v>633</v>
      </c>
      <c r="E2119" t="s">
        <v>203</v>
      </c>
      <c r="F2119" s="11">
        <v>1</v>
      </c>
      <c r="G2119" s="11">
        <v>42016.81</v>
      </c>
    </row>
    <row r="2120" spans="2:7" x14ac:dyDescent="0.2">
      <c r="B2120" s="32">
        <v>45856</v>
      </c>
      <c r="C2120" t="s">
        <v>109</v>
      </c>
      <c r="D2120" s="13" t="s">
        <v>633</v>
      </c>
      <c r="E2120" t="s">
        <v>322</v>
      </c>
      <c r="F2120" s="11">
        <v>1</v>
      </c>
      <c r="G2120" s="11">
        <v>29000</v>
      </c>
    </row>
    <row r="2121" spans="2:7" x14ac:dyDescent="0.2">
      <c r="B2121" s="32">
        <v>45857</v>
      </c>
      <c r="C2121" t="s">
        <v>142</v>
      </c>
      <c r="D2121" s="13" t="s">
        <v>634</v>
      </c>
      <c r="E2121" t="s">
        <v>694</v>
      </c>
      <c r="F2121" s="11">
        <v>1</v>
      </c>
      <c r="G2121" s="11">
        <v>110714.29</v>
      </c>
    </row>
    <row r="2122" spans="2:7" x14ac:dyDescent="0.2">
      <c r="B2122" s="32">
        <v>45857</v>
      </c>
      <c r="C2122" t="s">
        <v>142</v>
      </c>
      <c r="D2122" s="13" t="s">
        <v>634</v>
      </c>
      <c r="E2122" t="s">
        <v>1900</v>
      </c>
      <c r="F2122" s="11">
        <v>1</v>
      </c>
      <c r="G2122" s="11">
        <v>75630.25</v>
      </c>
    </row>
    <row r="2123" spans="2:7" x14ac:dyDescent="0.2">
      <c r="B2123" s="32">
        <v>45857</v>
      </c>
      <c r="C2123" t="s">
        <v>142</v>
      </c>
      <c r="D2123" s="13" t="s">
        <v>633</v>
      </c>
      <c r="E2123" t="s">
        <v>227</v>
      </c>
      <c r="F2123" s="11">
        <v>1</v>
      </c>
      <c r="G2123" s="11">
        <v>96638.65</v>
      </c>
    </row>
    <row r="2124" spans="2:7" x14ac:dyDescent="0.2">
      <c r="B2124" s="32">
        <v>45857</v>
      </c>
      <c r="C2124" t="s">
        <v>142</v>
      </c>
      <c r="D2124" s="13" t="s">
        <v>633</v>
      </c>
      <c r="E2124" t="s">
        <v>653</v>
      </c>
      <c r="F2124" s="11">
        <v>1</v>
      </c>
      <c r="G2124" s="11">
        <v>58823.53</v>
      </c>
    </row>
    <row r="2125" spans="2:7" x14ac:dyDescent="0.2">
      <c r="B2125" s="32">
        <v>45857</v>
      </c>
      <c r="C2125" t="s">
        <v>142</v>
      </c>
      <c r="D2125" s="13" t="s">
        <v>633</v>
      </c>
      <c r="E2125" t="s">
        <v>224</v>
      </c>
      <c r="F2125" s="11">
        <v>1</v>
      </c>
      <c r="G2125" s="11">
        <v>58823.53</v>
      </c>
    </row>
    <row r="2126" spans="2:7" x14ac:dyDescent="0.2">
      <c r="B2126" s="32">
        <v>45857</v>
      </c>
      <c r="C2126" t="s">
        <v>142</v>
      </c>
      <c r="D2126" s="13" t="s">
        <v>633</v>
      </c>
      <c r="E2126" t="s">
        <v>259</v>
      </c>
      <c r="F2126" s="11">
        <v>1</v>
      </c>
      <c r="G2126" s="11">
        <v>58823.53</v>
      </c>
    </row>
    <row r="2127" spans="2:7" x14ac:dyDescent="0.2">
      <c r="B2127" s="32">
        <v>45857</v>
      </c>
      <c r="C2127" t="s">
        <v>142</v>
      </c>
      <c r="D2127" s="13" t="s">
        <v>633</v>
      </c>
      <c r="E2127" t="s">
        <v>239</v>
      </c>
      <c r="F2127" s="11">
        <v>1</v>
      </c>
      <c r="G2127" s="11">
        <v>46218.49</v>
      </c>
    </row>
    <row r="2128" spans="2:7" x14ac:dyDescent="0.2">
      <c r="B2128" s="32">
        <v>45857</v>
      </c>
      <c r="C2128" t="s">
        <v>142</v>
      </c>
      <c r="D2128" s="13" t="s">
        <v>633</v>
      </c>
      <c r="E2128" t="s">
        <v>753</v>
      </c>
      <c r="F2128" s="11">
        <v>1</v>
      </c>
      <c r="G2128" s="11">
        <v>46218.49</v>
      </c>
    </row>
    <row r="2129" spans="2:7" x14ac:dyDescent="0.2">
      <c r="B2129" s="32">
        <v>45857</v>
      </c>
      <c r="C2129" t="s">
        <v>109</v>
      </c>
      <c r="D2129" s="13" t="s">
        <v>634</v>
      </c>
      <c r="E2129" t="s">
        <v>446</v>
      </c>
      <c r="F2129" s="11">
        <v>3</v>
      </c>
      <c r="G2129" s="11">
        <v>302521.01</v>
      </c>
    </row>
    <row r="2130" spans="2:7" x14ac:dyDescent="0.2">
      <c r="B2130" s="32">
        <v>45857</v>
      </c>
      <c r="C2130" t="s">
        <v>109</v>
      </c>
      <c r="D2130" s="13" t="s">
        <v>634</v>
      </c>
      <c r="E2130" t="s">
        <v>1936</v>
      </c>
      <c r="F2130" s="11">
        <v>1</v>
      </c>
      <c r="G2130" s="11">
        <v>132142.85</v>
      </c>
    </row>
    <row r="2131" spans="2:7" x14ac:dyDescent="0.2">
      <c r="B2131" s="32">
        <v>45857</v>
      </c>
      <c r="C2131" t="s">
        <v>109</v>
      </c>
      <c r="D2131" s="13" t="s">
        <v>634</v>
      </c>
      <c r="E2131" t="s">
        <v>1937</v>
      </c>
      <c r="F2131" s="11">
        <v>1</v>
      </c>
      <c r="G2131" s="11">
        <v>129000</v>
      </c>
    </row>
    <row r="2132" spans="2:7" x14ac:dyDescent="0.2">
      <c r="B2132" s="32">
        <v>45857</v>
      </c>
      <c r="C2132" t="s">
        <v>109</v>
      </c>
      <c r="D2132" s="13" t="s">
        <v>634</v>
      </c>
      <c r="E2132" t="s">
        <v>173</v>
      </c>
      <c r="F2132" s="11">
        <v>2</v>
      </c>
      <c r="G2132" s="11">
        <v>75630.259999999995</v>
      </c>
    </row>
    <row r="2133" spans="2:7" x14ac:dyDescent="0.2">
      <c r="B2133" s="32">
        <v>45857</v>
      </c>
      <c r="C2133" t="s">
        <v>109</v>
      </c>
      <c r="D2133" s="13" t="s">
        <v>634</v>
      </c>
      <c r="E2133" t="s">
        <v>731</v>
      </c>
      <c r="F2133" s="11">
        <v>1</v>
      </c>
      <c r="G2133" s="11">
        <v>74000</v>
      </c>
    </row>
    <row r="2134" spans="2:7" x14ac:dyDescent="0.2">
      <c r="B2134" s="32">
        <v>45857</v>
      </c>
      <c r="C2134" t="s">
        <v>109</v>
      </c>
      <c r="D2134" s="13" t="s">
        <v>634</v>
      </c>
      <c r="E2134" t="s">
        <v>336</v>
      </c>
      <c r="F2134" s="11">
        <v>1</v>
      </c>
      <c r="G2134" s="11">
        <v>67226.89</v>
      </c>
    </row>
    <row r="2135" spans="2:7" x14ac:dyDescent="0.2">
      <c r="B2135" s="32">
        <v>45857</v>
      </c>
      <c r="C2135" t="s">
        <v>109</v>
      </c>
      <c r="D2135" s="13" t="s">
        <v>634</v>
      </c>
      <c r="E2135" t="s">
        <v>259</v>
      </c>
      <c r="F2135" s="11">
        <v>1</v>
      </c>
      <c r="G2135" s="11">
        <v>58823.54</v>
      </c>
    </row>
    <row r="2136" spans="2:7" x14ac:dyDescent="0.2">
      <c r="B2136" s="32">
        <v>45857</v>
      </c>
      <c r="C2136" t="s">
        <v>109</v>
      </c>
      <c r="D2136" s="13" t="s">
        <v>634</v>
      </c>
      <c r="E2136" t="s">
        <v>258</v>
      </c>
      <c r="F2136" s="11">
        <v>1</v>
      </c>
      <c r="G2136" s="11">
        <v>54621.85</v>
      </c>
    </row>
    <row r="2137" spans="2:7" x14ac:dyDescent="0.2">
      <c r="B2137" s="32">
        <v>45857</v>
      </c>
      <c r="C2137" t="s">
        <v>109</v>
      </c>
      <c r="D2137" s="13" t="s">
        <v>634</v>
      </c>
      <c r="E2137" t="s">
        <v>654</v>
      </c>
      <c r="F2137" s="11">
        <v>1</v>
      </c>
      <c r="G2137" s="11">
        <v>54621.85</v>
      </c>
    </row>
    <row r="2138" spans="2:7" x14ac:dyDescent="0.2">
      <c r="B2138" s="32">
        <v>45857</v>
      </c>
      <c r="C2138" t="s">
        <v>109</v>
      </c>
      <c r="D2138" s="13" t="s">
        <v>634</v>
      </c>
      <c r="E2138" t="s">
        <v>458</v>
      </c>
      <c r="F2138" s="11">
        <v>1</v>
      </c>
      <c r="G2138" s="11">
        <v>50000</v>
      </c>
    </row>
    <row r="2139" spans="2:7" x14ac:dyDescent="0.2">
      <c r="B2139" s="32">
        <v>45857</v>
      </c>
      <c r="C2139" t="s">
        <v>109</v>
      </c>
      <c r="D2139" s="13" t="s">
        <v>634</v>
      </c>
      <c r="E2139" t="s">
        <v>537</v>
      </c>
      <c r="F2139" s="11">
        <v>1</v>
      </c>
      <c r="G2139" s="11">
        <v>50000</v>
      </c>
    </row>
    <row r="2140" spans="2:7" x14ac:dyDescent="0.2">
      <c r="B2140" s="32">
        <v>45857</v>
      </c>
      <c r="C2140" t="s">
        <v>109</v>
      </c>
      <c r="D2140" s="13" t="s">
        <v>634</v>
      </c>
      <c r="E2140" t="s">
        <v>228</v>
      </c>
      <c r="F2140" s="11">
        <v>1</v>
      </c>
      <c r="G2140" s="11">
        <v>46428.57</v>
      </c>
    </row>
    <row r="2141" spans="2:7" x14ac:dyDescent="0.2">
      <c r="B2141" s="32">
        <v>45857</v>
      </c>
      <c r="C2141" t="s">
        <v>109</v>
      </c>
      <c r="D2141" s="13" t="s">
        <v>634</v>
      </c>
      <c r="E2141" t="s">
        <v>243</v>
      </c>
      <c r="F2141" s="11">
        <v>1</v>
      </c>
      <c r="G2141" s="11">
        <v>46428.57</v>
      </c>
    </row>
    <row r="2142" spans="2:7" x14ac:dyDescent="0.2">
      <c r="B2142" s="32">
        <v>45857</v>
      </c>
      <c r="C2142" t="s">
        <v>109</v>
      </c>
      <c r="D2142" s="13" t="s">
        <v>634</v>
      </c>
      <c r="E2142" t="s">
        <v>283</v>
      </c>
      <c r="F2142" s="11">
        <v>1</v>
      </c>
      <c r="G2142" s="11">
        <v>46428.57</v>
      </c>
    </row>
    <row r="2143" spans="2:7" x14ac:dyDescent="0.2">
      <c r="B2143" s="32">
        <v>45857</v>
      </c>
      <c r="C2143" t="s">
        <v>109</v>
      </c>
      <c r="D2143" s="13" t="s">
        <v>634</v>
      </c>
      <c r="E2143" t="s">
        <v>292</v>
      </c>
      <c r="F2143" s="11">
        <v>1</v>
      </c>
      <c r="G2143" s="11">
        <v>46428.57</v>
      </c>
    </row>
    <row r="2144" spans="2:7" x14ac:dyDescent="0.2">
      <c r="B2144" s="32">
        <v>45857</v>
      </c>
      <c r="C2144" t="s">
        <v>109</v>
      </c>
      <c r="D2144" s="13" t="s">
        <v>634</v>
      </c>
      <c r="E2144" t="s">
        <v>1818</v>
      </c>
      <c r="F2144" s="11">
        <v>1</v>
      </c>
      <c r="G2144" s="11">
        <v>37815.129999999997</v>
      </c>
    </row>
    <row r="2145" spans="2:7" x14ac:dyDescent="0.2">
      <c r="B2145" s="32">
        <v>45857</v>
      </c>
      <c r="C2145" t="s">
        <v>109</v>
      </c>
      <c r="D2145" s="13" t="s">
        <v>634</v>
      </c>
      <c r="E2145" t="s">
        <v>234</v>
      </c>
      <c r="F2145" s="11">
        <v>1</v>
      </c>
      <c r="G2145" s="11">
        <v>37815.129999999997</v>
      </c>
    </row>
    <row r="2146" spans="2:7" x14ac:dyDescent="0.2">
      <c r="B2146" s="32">
        <v>45857</v>
      </c>
      <c r="C2146" t="s">
        <v>109</v>
      </c>
      <c r="D2146" s="13" t="s">
        <v>634</v>
      </c>
      <c r="E2146" t="s">
        <v>328</v>
      </c>
      <c r="F2146" s="11">
        <v>1</v>
      </c>
      <c r="G2146" s="11">
        <v>37815.129999999997</v>
      </c>
    </row>
    <row r="2147" spans="2:7" x14ac:dyDescent="0.2">
      <c r="B2147" s="32">
        <v>45857</v>
      </c>
      <c r="C2147" t="s">
        <v>109</v>
      </c>
      <c r="D2147" s="13" t="s">
        <v>634</v>
      </c>
      <c r="F2147" s="11">
        <v>1</v>
      </c>
      <c r="G2147" s="11">
        <v>21848.74</v>
      </c>
    </row>
    <row r="2148" spans="2:7" x14ac:dyDescent="0.2">
      <c r="B2148" s="32">
        <v>45858</v>
      </c>
      <c r="C2148" t="s">
        <v>142</v>
      </c>
      <c r="D2148" s="13" t="s">
        <v>634</v>
      </c>
      <c r="E2148" t="s">
        <v>521</v>
      </c>
      <c r="F2148" s="11">
        <v>1</v>
      </c>
      <c r="G2148" s="11">
        <v>78571.429999999993</v>
      </c>
    </row>
    <row r="2149" spans="2:7" x14ac:dyDescent="0.2">
      <c r="B2149" s="32">
        <v>45858</v>
      </c>
      <c r="C2149" t="s">
        <v>142</v>
      </c>
      <c r="D2149" s="13" t="s">
        <v>634</v>
      </c>
      <c r="E2149" t="s">
        <v>219</v>
      </c>
      <c r="F2149" s="11">
        <v>1</v>
      </c>
      <c r="G2149" s="11">
        <v>50000</v>
      </c>
    </row>
    <row r="2150" spans="2:7" x14ac:dyDescent="0.2">
      <c r="B2150" s="32">
        <v>45858</v>
      </c>
      <c r="C2150" t="s">
        <v>142</v>
      </c>
      <c r="D2150" s="13" t="s">
        <v>634</v>
      </c>
      <c r="E2150" t="s">
        <v>239</v>
      </c>
      <c r="F2150" s="11">
        <v>1</v>
      </c>
      <c r="G2150" s="11">
        <v>46218.49</v>
      </c>
    </row>
    <row r="2151" spans="2:7" x14ac:dyDescent="0.2">
      <c r="B2151" s="32">
        <v>45858</v>
      </c>
      <c r="C2151" t="s">
        <v>142</v>
      </c>
      <c r="D2151" s="13" t="s">
        <v>634</v>
      </c>
      <c r="F2151" s="11">
        <v>0</v>
      </c>
      <c r="G2151" s="11">
        <v>0</v>
      </c>
    </row>
    <row r="2152" spans="2:7" x14ac:dyDescent="0.2">
      <c r="B2152" s="32">
        <v>45858</v>
      </c>
      <c r="C2152" t="s">
        <v>142</v>
      </c>
      <c r="D2152" s="13" t="s">
        <v>633</v>
      </c>
      <c r="E2152" t="s">
        <v>440</v>
      </c>
      <c r="F2152" s="11">
        <v>2</v>
      </c>
      <c r="G2152" s="11">
        <v>100000</v>
      </c>
    </row>
    <row r="2153" spans="2:7" x14ac:dyDescent="0.2">
      <c r="B2153" s="32">
        <v>45858</v>
      </c>
      <c r="C2153" t="s">
        <v>142</v>
      </c>
      <c r="D2153" s="13" t="s">
        <v>633</v>
      </c>
      <c r="E2153" t="s">
        <v>1855</v>
      </c>
      <c r="F2153" s="11">
        <v>1</v>
      </c>
      <c r="G2153" s="11">
        <v>67857.149999999994</v>
      </c>
    </row>
    <row r="2154" spans="2:7" x14ac:dyDescent="0.2">
      <c r="B2154" s="32">
        <v>45858</v>
      </c>
      <c r="C2154" t="s">
        <v>142</v>
      </c>
      <c r="D2154" s="13" t="s">
        <v>633</v>
      </c>
      <c r="E2154" t="s">
        <v>529</v>
      </c>
      <c r="F2154" s="11">
        <v>1</v>
      </c>
      <c r="G2154" s="11">
        <v>67857.14</v>
      </c>
    </row>
    <row r="2155" spans="2:7" x14ac:dyDescent="0.2">
      <c r="B2155" s="32">
        <v>45858</v>
      </c>
      <c r="C2155" t="s">
        <v>142</v>
      </c>
      <c r="D2155" s="13" t="s">
        <v>633</v>
      </c>
      <c r="E2155" t="s">
        <v>411</v>
      </c>
      <c r="F2155" s="11">
        <v>1</v>
      </c>
      <c r="G2155" s="11">
        <v>50000</v>
      </c>
    </row>
    <row r="2156" spans="2:7" x14ac:dyDescent="0.2">
      <c r="B2156" s="32">
        <v>45858</v>
      </c>
      <c r="C2156" t="s">
        <v>142</v>
      </c>
      <c r="D2156" s="13" t="s">
        <v>633</v>
      </c>
      <c r="E2156" t="s">
        <v>431</v>
      </c>
      <c r="F2156" s="11">
        <v>1</v>
      </c>
      <c r="G2156" s="11">
        <v>50000</v>
      </c>
    </row>
    <row r="2157" spans="2:7" x14ac:dyDescent="0.2">
      <c r="B2157" s="32">
        <v>45858</v>
      </c>
      <c r="C2157" t="s">
        <v>142</v>
      </c>
      <c r="D2157" s="13" t="s">
        <v>633</v>
      </c>
      <c r="E2157" t="s">
        <v>533</v>
      </c>
      <c r="F2157" s="11">
        <v>1</v>
      </c>
      <c r="G2157" s="11">
        <v>50000</v>
      </c>
    </row>
    <row r="2158" spans="2:7" x14ac:dyDescent="0.2">
      <c r="B2158" s="32">
        <v>45858</v>
      </c>
      <c r="C2158" t="s">
        <v>142</v>
      </c>
      <c r="D2158" s="13" t="s">
        <v>633</v>
      </c>
      <c r="E2158" t="s">
        <v>282</v>
      </c>
      <c r="F2158" s="11">
        <v>1</v>
      </c>
      <c r="G2158" s="11">
        <v>50000</v>
      </c>
    </row>
    <row r="2159" spans="2:7" x14ac:dyDescent="0.2">
      <c r="B2159" s="32">
        <v>45858</v>
      </c>
      <c r="C2159" t="s">
        <v>142</v>
      </c>
      <c r="D2159" s="13" t="s">
        <v>633</v>
      </c>
      <c r="F2159" s="11">
        <v>0</v>
      </c>
      <c r="G2159" s="11">
        <v>0</v>
      </c>
    </row>
    <row r="2160" spans="2:7" x14ac:dyDescent="0.2">
      <c r="B2160" s="32">
        <v>45858</v>
      </c>
      <c r="C2160" t="s">
        <v>109</v>
      </c>
      <c r="D2160" s="13" t="s">
        <v>634</v>
      </c>
      <c r="E2160" t="s">
        <v>602</v>
      </c>
      <c r="F2160" s="11">
        <v>3</v>
      </c>
      <c r="G2160" s="11">
        <v>542857.15</v>
      </c>
    </row>
    <row r="2161" spans="2:7" x14ac:dyDescent="0.2">
      <c r="B2161" s="32">
        <v>45858</v>
      </c>
      <c r="C2161" t="s">
        <v>109</v>
      </c>
      <c r="D2161" s="13" t="s">
        <v>634</v>
      </c>
      <c r="E2161" t="s">
        <v>446</v>
      </c>
      <c r="F2161" s="11">
        <v>3</v>
      </c>
      <c r="G2161" s="11">
        <v>302521.01</v>
      </c>
    </row>
    <row r="2162" spans="2:7" x14ac:dyDescent="0.2">
      <c r="B2162" s="32">
        <v>45858</v>
      </c>
      <c r="C2162" t="s">
        <v>109</v>
      </c>
      <c r="D2162" s="13" t="s">
        <v>634</v>
      </c>
      <c r="E2162" t="s">
        <v>1938</v>
      </c>
      <c r="F2162" s="11">
        <v>1</v>
      </c>
      <c r="G2162" s="11">
        <v>178571.43</v>
      </c>
    </row>
    <row r="2163" spans="2:7" x14ac:dyDescent="0.2">
      <c r="B2163" s="32">
        <v>45858</v>
      </c>
      <c r="C2163" t="s">
        <v>109</v>
      </c>
      <c r="D2163" s="13" t="s">
        <v>634</v>
      </c>
      <c r="E2163" t="s">
        <v>301</v>
      </c>
      <c r="F2163" s="11">
        <v>1</v>
      </c>
      <c r="G2163" s="11">
        <v>169000</v>
      </c>
    </row>
    <row r="2164" spans="2:7" x14ac:dyDescent="0.2">
      <c r="B2164" s="32">
        <v>45858</v>
      </c>
      <c r="C2164" t="s">
        <v>109</v>
      </c>
      <c r="D2164" s="13" t="s">
        <v>634</v>
      </c>
      <c r="E2164" t="s">
        <v>312</v>
      </c>
      <c r="F2164" s="11">
        <v>1</v>
      </c>
      <c r="G2164" s="11">
        <v>85714.29</v>
      </c>
    </row>
    <row r="2165" spans="2:7" x14ac:dyDescent="0.2">
      <c r="B2165" s="32">
        <v>45858</v>
      </c>
      <c r="C2165" t="s">
        <v>109</v>
      </c>
      <c r="D2165" s="13" t="s">
        <v>634</v>
      </c>
      <c r="E2165" t="s">
        <v>1819</v>
      </c>
      <c r="F2165" s="11">
        <v>1</v>
      </c>
      <c r="G2165" s="11">
        <v>71428.570000000007</v>
      </c>
    </row>
    <row r="2166" spans="2:7" x14ac:dyDescent="0.2">
      <c r="B2166" s="32">
        <v>45858</v>
      </c>
      <c r="C2166" t="s">
        <v>109</v>
      </c>
      <c r="D2166" s="13" t="s">
        <v>634</v>
      </c>
      <c r="E2166" t="s">
        <v>247</v>
      </c>
      <c r="F2166" s="11">
        <v>1</v>
      </c>
      <c r="G2166" s="11">
        <v>71428.570000000007</v>
      </c>
    </row>
    <row r="2167" spans="2:7" x14ac:dyDescent="0.2">
      <c r="B2167" s="32">
        <v>45858</v>
      </c>
      <c r="C2167" t="s">
        <v>109</v>
      </c>
      <c r="D2167" s="13" t="s">
        <v>634</v>
      </c>
      <c r="E2167" t="s">
        <v>1939</v>
      </c>
      <c r="F2167" s="11">
        <v>1</v>
      </c>
      <c r="G2167" s="11">
        <v>67226.89</v>
      </c>
    </row>
    <row r="2168" spans="2:7" x14ac:dyDescent="0.2">
      <c r="B2168" s="32">
        <v>45858</v>
      </c>
      <c r="C2168" t="s">
        <v>109</v>
      </c>
      <c r="D2168" s="13" t="s">
        <v>634</v>
      </c>
      <c r="E2168" t="s">
        <v>764</v>
      </c>
      <c r="F2168" s="11">
        <v>1</v>
      </c>
      <c r="G2168" s="11">
        <v>50420.17</v>
      </c>
    </row>
    <row r="2169" spans="2:7" x14ac:dyDescent="0.2">
      <c r="B2169" s="32">
        <v>45858</v>
      </c>
      <c r="C2169" t="s">
        <v>109</v>
      </c>
      <c r="D2169" s="13" t="s">
        <v>634</v>
      </c>
      <c r="E2169" t="s">
        <v>491</v>
      </c>
      <c r="F2169" s="11">
        <v>1</v>
      </c>
      <c r="G2169" s="11">
        <v>50420.17</v>
      </c>
    </row>
    <row r="2170" spans="2:7" x14ac:dyDescent="0.2">
      <c r="B2170" s="32">
        <v>45858</v>
      </c>
      <c r="C2170" t="s">
        <v>109</v>
      </c>
      <c r="D2170" s="13" t="s">
        <v>634</v>
      </c>
      <c r="E2170" t="s">
        <v>306</v>
      </c>
      <c r="F2170" s="11">
        <v>1</v>
      </c>
      <c r="G2170" s="11">
        <v>50000</v>
      </c>
    </row>
    <row r="2171" spans="2:7" x14ac:dyDescent="0.2">
      <c r="B2171" s="32">
        <v>45858</v>
      </c>
      <c r="C2171" t="s">
        <v>109</v>
      </c>
      <c r="D2171" s="13" t="s">
        <v>634</v>
      </c>
      <c r="E2171" t="s">
        <v>500</v>
      </c>
      <c r="F2171" s="11">
        <v>1</v>
      </c>
      <c r="G2171" s="11">
        <v>49999.99</v>
      </c>
    </row>
    <row r="2172" spans="2:7" x14ac:dyDescent="0.2">
      <c r="B2172" s="32">
        <v>45858</v>
      </c>
      <c r="C2172" t="s">
        <v>109</v>
      </c>
      <c r="D2172" s="13" t="s">
        <v>634</v>
      </c>
      <c r="E2172" t="s">
        <v>195</v>
      </c>
      <c r="F2172" s="11">
        <v>1</v>
      </c>
      <c r="G2172" s="11">
        <v>46218.49</v>
      </c>
    </row>
    <row r="2173" spans="2:7" x14ac:dyDescent="0.2">
      <c r="B2173" s="32">
        <v>45858</v>
      </c>
      <c r="C2173" t="s">
        <v>109</v>
      </c>
      <c r="D2173" s="13" t="s">
        <v>634</v>
      </c>
      <c r="E2173" t="s">
        <v>238</v>
      </c>
      <c r="F2173" s="11">
        <v>1</v>
      </c>
      <c r="G2173" s="11">
        <v>46218.49</v>
      </c>
    </row>
    <row r="2174" spans="2:7" x14ac:dyDescent="0.2">
      <c r="B2174" s="32">
        <v>45858</v>
      </c>
      <c r="C2174" t="s">
        <v>109</v>
      </c>
      <c r="D2174" s="13" t="s">
        <v>634</v>
      </c>
      <c r="E2174" t="s">
        <v>1818</v>
      </c>
      <c r="F2174" s="11">
        <v>1</v>
      </c>
      <c r="G2174" s="11">
        <v>37815.129999999997</v>
      </c>
    </row>
    <row r="2175" spans="2:7" x14ac:dyDescent="0.2">
      <c r="B2175" s="32">
        <v>45858</v>
      </c>
      <c r="C2175" t="s">
        <v>109</v>
      </c>
      <c r="D2175" s="13" t="s">
        <v>634</v>
      </c>
      <c r="E2175" t="s">
        <v>173</v>
      </c>
      <c r="F2175" s="11">
        <v>1</v>
      </c>
      <c r="G2175" s="11">
        <v>37815.129999999997</v>
      </c>
    </row>
    <row r="2176" spans="2:7" x14ac:dyDescent="0.2">
      <c r="B2176" s="32">
        <v>45858</v>
      </c>
      <c r="C2176" t="s">
        <v>109</v>
      </c>
      <c r="D2176" s="13" t="s">
        <v>634</v>
      </c>
      <c r="E2176" t="s">
        <v>293</v>
      </c>
      <c r="F2176" s="11">
        <v>1</v>
      </c>
      <c r="G2176" s="11">
        <v>37815.120000000003</v>
      </c>
    </row>
    <row r="2177" spans="2:7" x14ac:dyDescent="0.2">
      <c r="B2177" s="32">
        <v>45858</v>
      </c>
      <c r="C2177" t="s">
        <v>109</v>
      </c>
      <c r="D2177" s="13" t="s">
        <v>634</v>
      </c>
      <c r="E2177" t="s">
        <v>342</v>
      </c>
      <c r="F2177" s="11">
        <v>1</v>
      </c>
      <c r="G2177" s="11">
        <v>21848.73</v>
      </c>
    </row>
    <row r="2178" spans="2:7" x14ac:dyDescent="0.2">
      <c r="B2178" s="32">
        <v>45858</v>
      </c>
      <c r="C2178" t="s">
        <v>109</v>
      </c>
      <c r="D2178" s="13" t="s">
        <v>633</v>
      </c>
      <c r="E2178" t="s">
        <v>446</v>
      </c>
      <c r="F2178" s="11">
        <v>1</v>
      </c>
      <c r="G2178" s="11">
        <v>100840.34</v>
      </c>
    </row>
    <row r="2179" spans="2:7" x14ac:dyDescent="0.2">
      <c r="B2179" s="32">
        <v>45858</v>
      </c>
      <c r="C2179" t="s">
        <v>109</v>
      </c>
      <c r="D2179" s="13" t="s">
        <v>633</v>
      </c>
      <c r="E2179" t="s">
        <v>731</v>
      </c>
      <c r="F2179" s="11">
        <v>1</v>
      </c>
      <c r="G2179" s="11">
        <v>74000</v>
      </c>
    </row>
    <row r="2180" spans="2:7" x14ac:dyDescent="0.2">
      <c r="B2180" s="32">
        <v>45858</v>
      </c>
      <c r="C2180" t="s">
        <v>109</v>
      </c>
      <c r="D2180" s="13" t="s">
        <v>633</v>
      </c>
      <c r="E2180" t="s">
        <v>223</v>
      </c>
      <c r="F2180" s="11">
        <v>1</v>
      </c>
      <c r="G2180" s="11">
        <v>50000</v>
      </c>
    </row>
    <row r="2181" spans="2:7" x14ac:dyDescent="0.2">
      <c r="B2181" s="32">
        <v>45858</v>
      </c>
      <c r="C2181" t="s">
        <v>109</v>
      </c>
      <c r="D2181" s="13" t="s">
        <v>633</v>
      </c>
      <c r="E2181" t="s">
        <v>213</v>
      </c>
      <c r="F2181" s="11">
        <v>1</v>
      </c>
      <c r="G2181" s="11">
        <v>50000</v>
      </c>
    </row>
    <row r="2182" spans="2:7" x14ac:dyDescent="0.2">
      <c r="B2182" s="32">
        <v>45858</v>
      </c>
      <c r="C2182" t="s">
        <v>109</v>
      </c>
      <c r="D2182" s="13" t="s">
        <v>633</v>
      </c>
      <c r="E2182" t="s">
        <v>203</v>
      </c>
      <c r="F2182" s="11">
        <v>1</v>
      </c>
      <c r="G2182" s="11">
        <v>42016.81</v>
      </c>
    </row>
    <row r="2183" spans="2:7" x14ac:dyDescent="0.2">
      <c r="B2183" s="32">
        <v>45858</v>
      </c>
      <c r="C2183" t="s">
        <v>109</v>
      </c>
      <c r="D2183" s="13" t="s">
        <v>633</v>
      </c>
      <c r="E2183" t="s">
        <v>1818</v>
      </c>
      <c r="F2183" s="11">
        <v>1</v>
      </c>
      <c r="G2183" s="11">
        <v>37815.129999999997</v>
      </c>
    </row>
    <row r="2184" spans="2:7" x14ac:dyDescent="0.2">
      <c r="B2184" s="32">
        <v>45858</v>
      </c>
      <c r="C2184" t="s">
        <v>109</v>
      </c>
      <c r="D2184" s="13" t="s">
        <v>633</v>
      </c>
      <c r="E2184" t="s">
        <v>1940</v>
      </c>
      <c r="F2184" s="11">
        <v>1</v>
      </c>
      <c r="G2184" s="11">
        <v>37815.120000000003</v>
      </c>
    </row>
    <row r="2185" spans="2:7" x14ac:dyDescent="0.2">
      <c r="B2185" s="32">
        <v>45858</v>
      </c>
      <c r="C2185" t="s">
        <v>109</v>
      </c>
      <c r="D2185" s="13" t="s">
        <v>633</v>
      </c>
      <c r="F2185" s="11">
        <v>0</v>
      </c>
      <c r="G2185" s="11">
        <v>0</v>
      </c>
    </row>
    <row r="2186" spans="2:7" x14ac:dyDescent="0.2">
      <c r="B2186" s="32">
        <v>45859</v>
      </c>
      <c r="C2186" t="s">
        <v>142</v>
      </c>
      <c r="D2186" s="13" t="s">
        <v>634</v>
      </c>
      <c r="E2186" t="s">
        <v>1941</v>
      </c>
      <c r="F2186" s="11">
        <v>1</v>
      </c>
      <c r="G2186" s="11">
        <v>136134.45000000001</v>
      </c>
    </row>
    <row r="2187" spans="2:7" x14ac:dyDescent="0.2">
      <c r="B2187" s="32">
        <v>45859</v>
      </c>
      <c r="C2187" t="s">
        <v>142</v>
      </c>
      <c r="D2187" s="13" t="s">
        <v>634</v>
      </c>
      <c r="E2187" t="s">
        <v>1942</v>
      </c>
      <c r="F2187" s="11">
        <v>1</v>
      </c>
      <c r="G2187" s="11">
        <v>100000</v>
      </c>
    </row>
    <row r="2188" spans="2:7" x14ac:dyDescent="0.2">
      <c r="B2188" s="32">
        <v>45859</v>
      </c>
      <c r="C2188" t="s">
        <v>142</v>
      </c>
      <c r="D2188" s="13" t="s">
        <v>634</v>
      </c>
      <c r="E2188" t="s">
        <v>261</v>
      </c>
      <c r="F2188" s="11">
        <v>1</v>
      </c>
      <c r="G2188" s="11">
        <v>100000</v>
      </c>
    </row>
    <row r="2189" spans="2:7" x14ac:dyDescent="0.2">
      <c r="B2189" s="32">
        <v>45859</v>
      </c>
      <c r="C2189" t="s">
        <v>142</v>
      </c>
      <c r="D2189" s="13" t="s">
        <v>634</v>
      </c>
      <c r="E2189" t="s">
        <v>169</v>
      </c>
      <c r="F2189" s="11">
        <v>1</v>
      </c>
      <c r="G2189" s="11">
        <v>96638.65</v>
      </c>
    </row>
    <row r="2190" spans="2:7" x14ac:dyDescent="0.2">
      <c r="B2190" s="32">
        <v>45859</v>
      </c>
      <c r="C2190" t="s">
        <v>142</v>
      </c>
      <c r="D2190" s="13" t="s">
        <v>634</v>
      </c>
      <c r="E2190" t="s">
        <v>788</v>
      </c>
      <c r="F2190" s="11">
        <v>1</v>
      </c>
      <c r="G2190" s="11">
        <v>85714.29</v>
      </c>
    </row>
    <row r="2191" spans="2:7" x14ac:dyDescent="0.2">
      <c r="B2191" s="32">
        <v>45859</v>
      </c>
      <c r="C2191" t="s">
        <v>142</v>
      </c>
      <c r="D2191" s="13" t="s">
        <v>634</v>
      </c>
      <c r="E2191" t="s">
        <v>165</v>
      </c>
      <c r="F2191" s="11">
        <v>1</v>
      </c>
      <c r="G2191" s="11">
        <v>71428.56</v>
      </c>
    </row>
    <row r="2192" spans="2:7" x14ac:dyDescent="0.2">
      <c r="B2192" s="32">
        <v>45859</v>
      </c>
      <c r="C2192" t="s">
        <v>142</v>
      </c>
      <c r="D2192" s="13" t="s">
        <v>634</v>
      </c>
      <c r="E2192" t="s">
        <v>222</v>
      </c>
      <c r="F2192" s="11">
        <v>1</v>
      </c>
      <c r="G2192" s="11">
        <v>46428.57</v>
      </c>
    </row>
    <row r="2193" spans="2:7" x14ac:dyDescent="0.2">
      <c r="B2193" s="32">
        <v>45859</v>
      </c>
      <c r="C2193" t="s">
        <v>142</v>
      </c>
      <c r="D2193" s="13" t="s">
        <v>634</v>
      </c>
      <c r="E2193" t="s">
        <v>239</v>
      </c>
      <c r="F2193" s="11">
        <v>1</v>
      </c>
      <c r="G2193" s="11">
        <v>46218.49</v>
      </c>
    </row>
    <row r="2194" spans="2:7" x14ac:dyDescent="0.2">
      <c r="B2194" s="32">
        <v>45859</v>
      </c>
      <c r="C2194" t="s">
        <v>142</v>
      </c>
      <c r="D2194" s="13" t="s">
        <v>634</v>
      </c>
      <c r="E2194" t="s">
        <v>210</v>
      </c>
      <c r="F2194" s="11">
        <v>1</v>
      </c>
      <c r="G2194" s="11">
        <v>46218.49</v>
      </c>
    </row>
    <row r="2195" spans="2:7" x14ac:dyDescent="0.2">
      <c r="B2195" s="32">
        <v>45859</v>
      </c>
      <c r="C2195" t="s">
        <v>142</v>
      </c>
      <c r="D2195" s="13" t="s">
        <v>634</v>
      </c>
      <c r="E2195" t="s">
        <v>229</v>
      </c>
      <c r="F2195" s="11">
        <v>1</v>
      </c>
      <c r="G2195" s="11">
        <v>42016.81</v>
      </c>
    </row>
    <row r="2196" spans="2:7" x14ac:dyDescent="0.2">
      <c r="B2196" s="32">
        <v>45859</v>
      </c>
      <c r="C2196" t="s">
        <v>142</v>
      </c>
      <c r="D2196" s="13" t="s">
        <v>634</v>
      </c>
      <c r="E2196" t="s">
        <v>201</v>
      </c>
      <c r="F2196" s="11">
        <v>0</v>
      </c>
      <c r="G2196" s="11">
        <v>32773.11</v>
      </c>
    </row>
    <row r="2197" spans="2:7" x14ac:dyDescent="0.2">
      <c r="B2197" s="32">
        <v>45859</v>
      </c>
      <c r="C2197" t="s">
        <v>142</v>
      </c>
      <c r="D2197" s="13" t="s">
        <v>634</v>
      </c>
      <c r="F2197" s="11">
        <v>0</v>
      </c>
      <c r="G2197" s="11">
        <v>0</v>
      </c>
    </row>
    <row r="2198" spans="2:7" x14ac:dyDescent="0.2">
      <c r="B2198" s="32">
        <v>45859</v>
      </c>
      <c r="C2198" t="s">
        <v>142</v>
      </c>
      <c r="D2198" s="13" t="s">
        <v>633</v>
      </c>
      <c r="E2198" t="s">
        <v>554</v>
      </c>
      <c r="F2198" s="11">
        <v>1</v>
      </c>
      <c r="G2198" s="11">
        <v>242857.14</v>
      </c>
    </row>
    <row r="2199" spans="2:7" x14ac:dyDescent="0.2">
      <c r="B2199" s="32">
        <v>45859</v>
      </c>
      <c r="C2199" t="s">
        <v>142</v>
      </c>
      <c r="D2199" s="13" t="s">
        <v>633</v>
      </c>
      <c r="E2199" t="s">
        <v>1911</v>
      </c>
      <c r="F2199" s="11">
        <v>1</v>
      </c>
      <c r="G2199" s="11">
        <v>242857.14</v>
      </c>
    </row>
    <row r="2200" spans="2:7" x14ac:dyDescent="0.2">
      <c r="B2200" s="32">
        <v>45859</v>
      </c>
      <c r="C2200" t="s">
        <v>142</v>
      </c>
      <c r="D2200" s="13" t="s">
        <v>633</v>
      </c>
      <c r="E2200" t="s">
        <v>701</v>
      </c>
      <c r="F2200" s="11">
        <v>1</v>
      </c>
      <c r="G2200" s="11">
        <v>235294.12</v>
      </c>
    </row>
    <row r="2201" spans="2:7" x14ac:dyDescent="0.2">
      <c r="B2201" s="32">
        <v>45859</v>
      </c>
      <c r="C2201" t="s">
        <v>142</v>
      </c>
      <c r="D2201" s="13" t="s">
        <v>633</v>
      </c>
      <c r="E2201" t="s">
        <v>502</v>
      </c>
      <c r="F2201" s="11">
        <v>1</v>
      </c>
      <c r="G2201" s="11">
        <v>214285.71</v>
      </c>
    </row>
    <row r="2202" spans="2:7" x14ac:dyDescent="0.2">
      <c r="B2202" s="32">
        <v>45859</v>
      </c>
      <c r="C2202" t="s">
        <v>142</v>
      </c>
      <c r="D2202" s="13" t="s">
        <v>633</v>
      </c>
      <c r="E2202" t="s">
        <v>218</v>
      </c>
      <c r="F2202" s="11">
        <v>5</v>
      </c>
      <c r="G2202" s="11">
        <v>105042.02</v>
      </c>
    </row>
    <row r="2203" spans="2:7" x14ac:dyDescent="0.2">
      <c r="B2203" s="32">
        <v>45859</v>
      </c>
      <c r="C2203" t="s">
        <v>142</v>
      </c>
      <c r="D2203" s="13" t="s">
        <v>633</v>
      </c>
      <c r="E2203" t="s">
        <v>418</v>
      </c>
      <c r="F2203" s="11">
        <v>1</v>
      </c>
      <c r="G2203" s="11">
        <v>100000</v>
      </c>
    </row>
    <row r="2204" spans="2:7" x14ac:dyDescent="0.2">
      <c r="B2204" s="32">
        <v>45859</v>
      </c>
      <c r="C2204" t="s">
        <v>142</v>
      </c>
      <c r="D2204" s="13" t="s">
        <v>633</v>
      </c>
      <c r="E2204" t="s">
        <v>154</v>
      </c>
      <c r="F2204" s="11">
        <v>1</v>
      </c>
      <c r="G2204" s="11">
        <v>96638.66</v>
      </c>
    </row>
    <row r="2205" spans="2:7" x14ac:dyDescent="0.2">
      <c r="B2205" s="32">
        <v>45859</v>
      </c>
      <c r="C2205" t="s">
        <v>142</v>
      </c>
      <c r="D2205" s="13" t="s">
        <v>633</v>
      </c>
      <c r="E2205" t="s">
        <v>258</v>
      </c>
      <c r="F2205" s="11">
        <v>1</v>
      </c>
      <c r="G2205" s="11">
        <v>54621.85</v>
      </c>
    </row>
    <row r="2206" spans="2:7" x14ac:dyDescent="0.2">
      <c r="B2206" s="32">
        <v>45859</v>
      </c>
      <c r="C2206" t="s">
        <v>142</v>
      </c>
      <c r="D2206" s="13" t="s">
        <v>633</v>
      </c>
      <c r="E2206" t="s">
        <v>454</v>
      </c>
      <c r="F2206" s="11">
        <v>1</v>
      </c>
      <c r="G2206" s="11">
        <v>50000</v>
      </c>
    </row>
    <row r="2207" spans="2:7" x14ac:dyDescent="0.2">
      <c r="B2207" s="32">
        <v>45859</v>
      </c>
      <c r="C2207" t="s">
        <v>142</v>
      </c>
      <c r="D2207" s="13" t="s">
        <v>633</v>
      </c>
      <c r="E2207" t="s">
        <v>178</v>
      </c>
      <c r="F2207" s="11">
        <v>1</v>
      </c>
      <c r="G2207" s="11">
        <v>46428.57</v>
      </c>
    </row>
    <row r="2208" spans="2:7" x14ac:dyDescent="0.2">
      <c r="B2208" s="32">
        <v>45859</v>
      </c>
      <c r="C2208" t="s">
        <v>142</v>
      </c>
      <c r="D2208" s="13" t="s">
        <v>633</v>
      </c>
      <c r="E2208" t="s">
        <v>151</v>
      </c>
      <c r="F2208" s="11">
        <v>1</v>
      </c>
      <c r="G2208" s="11">
        <v>46218.49</v>
      </c>
    </row>
    <row r="2209" spans="2:7" x14ac:dyDescent="0.2">
      <c r="B2209" s="32">
        <v>45859</v>
      </c>
      <c r="C2209" t="s">
        <v>142</v>
      </c>
      <c r="D2209" s="13" t="s">
        <v>633</v>
      </c>
      <c r="E2209" t="s">
        <v>831</v>
      </c>
      <c r="F2209" s="11">
        <v>1</v>
      </c>
      <c r="G2209" s="11">
        <v>0.84</v>
      </c>
    </row>
    <row r="2210" spans="2:7" x14ac:dyDescent="0.2">
      <c r="B2210" s="32">
        <v>45859</v>
      </c>
      <c r="C2210" t="s">
        <v>142</v>
      </c>
      <c r="D2210" s="13" t="s">
        <v>633</v>
      </c>
      <c r="F2210" s="11">
        <v>0</v>
      </c>
      <c r="G2210" s="11">
        <v>0</v>
      </c>
    </row>
    <row r="2211" spans="2:7" x14ac:dyDescent="0.2">
      <c r="B2211" s="32">
        <v>45859</v>
      </c>
      <c r="C2211" t="s">
        <v>110</v>
      </c>
      <c r="D2211" s="13" t="s">
        <v>633</v>
      </c>
      <c r="E2211" t="s">
        <v>195</v>
      </c>
      <c r="F2211" s="11">
        <v>1</v>
      </c>
      <c r="G2211" s="11">
        <v>46218.49</v>
      </c>
    </row>
    <row r="2212" spans="2:7" x14ac:dyDescent="0.2">
      <c r="B2212" s="32">
        <v>45859</v>
      </c>
      <c r="C2212" t="s">
        <v>1739</v>
      </c>
      <c r="D2212" s="13" t="s">
        <v>634</v>
      </c>
      <c r="E2212" t="s">
        <v>191</v>
      </c>
      <c r="F2212" s="11">
        <v>1</v>
      </c>
      <c r="G2212" s="11">
        <v>110714.29</v>
      </c>
    </row>
    <row r="2213" spans="2:7" x14ac:dyDescent="0.2">
      <c r="B2213" s="32">
        <v>45859</v>
      </c>
      <c r="C2213" t="s">
        <v>1739</v>
      </c>
      <c r="D2213" s="13" t="s">
        <v>634</v>
      </c>
      <c r="E2213" t="s">
        <v>1898</v>
      </c>
      <c r="F2213" s="11">
        <v>2</v>
      </c>
      <c r="G2213" s="11">
        <v>84033.61</v>
      </c>
    </row>
    <row r="2214" spans="2:7" x14ac:dyDescent="0.2">
      <c r="B2214" s="32">
        <v>45859</v>
      </c>
      <c r="C2214" t="s">
        <v>1739</v>
      </c>
      <c r="D2214" s="13" t="s">
        <v>633</v>
      </c>
      <c r="E2214" t="s">
        <v>199</v>
      </c>
      <c r="F2214" s="11">
        <v>1</v>
      </c>
      <c r="G2214" s="11">
        <v>75630.25</v>
      </c>
    </row>
    <row r="2215" spans="2:7" x14ac:dyDescent="0.2">
      <c r="B2215" s="32">
        <v>45859</v>
      </c>
      <c r="C2215" t="s">
        <v>109</v>
      </c>
      <c r="D2215" s="13"/>
      <c r="E2215" t="s">
        <v>504</v>
      </c>
      <c r="F2215" s="11">
        <v>1</v>
      </c>
      <c r="G2215" s="11">
        <v>50420.17</v>
      </c>
    </row>
    <row r="2216" spans="2:7" x14ac:dyDescent="0.2">
      <c r="B2216" s="32">
        <v>45859</v>
      </c>
      <c r="C2216" t="s">
        <v>109</v>
      </c>
      <c r="D2216" s="13"/>
      <c r="E2216" t="s">
        <v>303</v>
      </c>
      <c r="F2216" s="11">
        <v>1</v>
      </c>
      <c r="G2216" s="11">
        <v>50420.17</v>
      </c>
    </row>
    <row r="2217" spans="2:7" x14ac:dyDescent="0.2">
      <c r="B2217" s="32">
        <v>45859</v>
      </c>
      <c r="C2217" t="s">
        <v>109</v>
      </c>
      <c r="D2217" s="13" t="s">
        <v>634</v>
      </c>
      <c r="E2217" t="s">
        <v>331</v>
      </c>
      <c r="F2217" s="11">
        <v>2</v>
      </c>
      <c r="G2217" s="11">
        <v>185714.29</v>
      </c>
    </row>
    <row r="2218" spans="2:7" x14ac:dyDescent="0.2">
      <c r="B2218" s="32">
        <v>45859</v>
      </c>
      <c r="C2218" t="s">
        <v>109</v>
      </c>
      <c r="D2218" s="13" t="s">
        <v>634</v>
      </c>
      <c r="E2218" t="s">
        <v>249</v>
      </c>
      <c r="F2218" s="11">
        <v>1</v>
      </c>
      <c r="G2218" s="11">
        <v>78571.429999999993</v>
      </c>
    </row>
    <row r="2219" spans="2:7" x14ac:dyDescent="0.2">
      <c r="B2219" s="32">
        <v>45859</v>
      </c>
      <c r="C2219" t="s">
        <v>109</v>
      </c>
      <c r="D2219" s="13" t="s">
        <v>634</v>
      </c>
      <c r="E2219" t="s">
        <v>457</v>
      </c>
      <c r="F2219" s="11">
        <v>1</v>
      </c>
      <c r="G2219" s="11">
        <v>78571.429999999993</v>
      </c>
    </row>
    <row r="2220" spans="2:7" x14ac:dyDescent="0.2">
      <c r="B2220" s="32">
        <v>45859</v>
      </c>
      <c r="C2220" t="s">
        <v>109</v>
      </c>
      <c r="D2220" s="13" t="s">
        <v>634</v>
      </c>
      <c r="E2220" t="s">
        <v>413</v>
      </c>
      <c r="F2220" s="11">
        <v>1</v>
      </c>
      <c r="G2220" s="11">
        <v>78571.429999999993</v>
      </c>
    </row>
    <row r="2221" spans="2:7" x14ac:dyDescent="0.2">
      <c r="B2221" s="32">
        <v>45859</v>
      </c>
      <c r="C2221" t="s">
        <v>109</v>
      </c>
      <c r="D2221" s="13" t="s">
        <v>634</v>
      </c>
      <c r="E2221" t="s">
        <v>616</v>
      </c>
      <c r="F2221" s="11">
        <v>1</v>
      </c>
      <c r="G2221" s="11">
        <v>54621.85</v>
      </c>
    </row>
    <row r="2222" spans="2:7" x14ac:dyDescent="0.2">
      <c r="B2222" s="32">
        <v>45859</v>
      </c>
      <c r="C2222" t="s">
        <v>109</v>
      </c>
      <c r="D2222" s="13" t="s">
        <v>634</v>
      </c>
      <c r="E2222" t="s">
        <v>348</v>
      </c>
      <c r="F2222" s="11">
        <v>1</v>
      </c>
      <c r="G2222" s="11">
        <v>54621.85</v>
      </c>
    </row>
    <row r="2223" spans="2:7" x14ac:dyDescent="0.2">
      <c r="B2223" s="32">
        <v>45859</v>
      </c>
      <c r="C2223" t="s">
        <v>109</v>
      </c>
      <c r="D2223" s="13" t="s">
        <v>634</v>
      </c>
      <c r="E2223" t="s">
        <v>195</v>
      </c>
      <c r="F2223" s="11">
        <v>1</v>
      </c>
      <c r="G2223" s="11">
        <v>46218.48</v>
      </c>
    </row>
    <row r="2224" spans="2:7" x14ac:dyDescent="0.2">
      <c r="B2224" s="32">
        <v>45859</v>
      </c>
      <c r="C2224" t="s">
        <v>109</v>
      </c>
      <c r="D2224" s="13" t="s">
        <v>633</v>
      </c>
      <c r="E2224" t="s">
        <v>829</v>
      </c>
      <c r="F2224" s="11">
        <v>1</v>
      </c>
      <c r="G2224" s="11">
        <v>78571.429999999993</v>
      </c>
    </row>
    <row r="2225" spans="2:7" x14ac:dyDescent="0.2">
      <c r="B2225" s="32">
        <v>45859</v>
      </c>
      <c r="C2225" t="s">
        <v>109</v>
      </c>
      <c r="D2225" s="13" t="s">
        <v>633</v>
      </c>
      <c r="E2225" t="s">
        <v>148</v>
      </c>
      <c r="F2225" s="11">
        <v>1</v>
      </c>
      <c r="G2225" s="11">
        <v>37815.129999999997</v>
      </c>
    </row>
    <row r="2226" spans="2:7" x14ac:dyDescent="0.2">
      <c r="B2226" s="32">
        <v>45860</v>
      </c>
      <c r="C2226" t="s">
        <v>142</v>
      </c>
      <c r="D2226" s="13" t="s">
        <v>634</v>
      </c>
      <c r="E2226" t="s">
        <v>1943</v>
      </c>
      <c r="F2226" s="11">
        <v>1</v>
      </c>
      <c r="G2226" s="11">
        <v>214285.72</v>
      </c>
    </row>
    <row r="2227" spans="2:7" x14ac:dyDescent="0.2">
      <c r="B2227" s="32">
        <v>45860</v>
      </c>
      <c r="C2227" t="s">
        <v>142</v>
      </c>
      <c r="D2227" s="13" t="s">
        <v>634</v>
      </c>
      <c r="E2227" t="s">
        <v>554</v>
      </c>
      <c r="F2227" s="11">
        <v>1</v>
      </c>
      <c r="G2227" s="11">
        <v>214285.71</v>
      </c>
    </row>
    <row r="2228" spans="2:7" x14ac:dyDescent="0.2">
      <c r="B2228" s="32">
        <v>45860</v>
      </c>
      <c r="C2228" t="s">
        <v>142</v>
      </c>
      <c r="D2228" s="13" t="s">
        <v>634</v>
      </c>
      <c r="E2228" t="s">
        <v>261</v>
      </c>
      <c r="F2228" s="11">
        <v>2</v>
      </c>
      <c r="G2228" s="11">
        <v>171428.57</v>
      </c>
    </row>
    <row r="2229" spans="2:7" x14ac:dyDescent="0.2">
      <c r="B2229" s="32">
        <v>45860</v>
      </c>
      <c r="C2229" t="s">
        <v>142</v>
      </c>
      <c r="D2229" s="13" t="s">
        <v>634</v>
      </c>
      <c r="E2229" t="s">
        <v>167</v>
      </c>
      <c r="F2229" s="11">
        <v>1</v>
      </c>
      <c r="G2229" s="11">
        <v>96638.66</v>
      </c>
    </row>
    <row r="2230" spans="2:7" x14ac:dyDescent="0.2">
      <c r="B2230" s="32">
        <v>45860</v>
      </c>
      <c r="C2230" t="s">
        <v>142</v>
      </c>
      <c r="D2230" s="13" t="s">
        <v>634</v>
      </c>
      <c r="E2230" t="s">
        <v>227</v>
      </c>
      <c r="F2230" s="11">
        <v>1</v>
      </c>
      <c r="G2230" s="11">
        <v>96638.66</v>
      </c>
    </row>
    <row r="2231" spans="2:7" x14ac:dyDescent="0.2">
      <c r="B2231" s="32">
        <v>45860</v>
      </c>
      <c r="C2231" t="s">
        <v>142</v>
      </c>
      <c r="D2231" s="13" t="s">
        <v>634</v>
      </c>
      <c r="E2231" t="s">
        <v>154</v>
      </c>
      <c r="F2231" s="11">
        <v>1</v>
      </c>
      <c r="G2231" s="11">
        <v>96638.65</v>
      </c>
    </row>
    <row r="2232" spans="2:7" x14ac:dyDescent="0.2">
      <c r="B2232" s="32">
        <v>45860</v>
      </c>
      <c r="C2232" t="s">
        <v>142</v>
      </c>
      <c r="D2232" s="13" t="s">
        <v>634</v>
      </c>
      <c r="E2232" t="s">
        <v>545</v>
      </c>
      <c r="F2232" s="11">
        <v>1</v>
      </c>
      <c r="G2232" s="11">
        <v>46428.57</v>
      </c>
    </row>
    <row r="2233" spans="2:7" x14ac:dyDescent="0.2">
      <c r="B2233" s="32">
        <v>45860</v>
      </c>
      <c r="C2233" t="s">
        <v>142</v>
      </c>
      <c r="D2233" s="13" t="s">
        <v>634</v>
      </c>
      <c r="E2233" t="s">
        <v>218</v>
      </c>
      <c r="F2233" s="11">
        <v>1</v>
      </c>
      <c r="G2233" s="11">
        <v>21008.400000000001</v>
      </c>
    </row>
    <row r="2234" spans="2:7" x14ac:dyDescent="0.2">
      <c r="B2234" s="32">
        <v>45860</v>
      </c>
      <c r="C2234" t="s">
        <v>142</v>
      </c>
      <c r="D2234" s="13" t="s">
        <v>634</v>
      </c>
      <c r="F2234" s="11">
        <v>0</v>
      </c>
      <c r="G2234" s="11">
        <v>0</v>
      </c>
    </row>
    <row r="2235" spans="2:7" x14ac:dyDescent="0.2">
      <c r="B2235" s="32">
        <v>45860</v>
      </c>
      <c r="C2235" t="s">
        <v>142</v>
      </c>
      <c r="D2235" s="13" t="s">
        <v>633</v>
      </c>
      <c r="F2235" s="11">
        <v>1</v>
      </c>
      <c r="G2235" s="11">
        <v>192857.14</v>
      </c>
    </row>
    <row r="2236" spans="2:7" x14ac:dyDescent="0.2">
      <c r="B2236" s="32">
        <v>45860</v>
      </c>
      <c r="C2236" t="s">
        <v>142</v>
      </c>
      <c r="D2236" s="13" t="s">
        <v>633</v>
      </c>
      <c r="E2236" t="s">
        <v>567</v>
      </c>
      <c r="F2236" s="11">
        <v>2</v>
      </c>
      <c r="G2236" s="11">
        <v>142857.14000000001</v>
      </c>
    </row>
    <row r="2237" spans="2:7" x14ac:dyDescent="0.2">
      <c r="B2237" s="32">
        <v>45860</v>
      </c>
      <c r="C2237" t="s">
        <v>142</v>
      </c>
      <c r="D2237" s="13" t="s">
        <v>633</v>
      </c>
      <c r="E2237" t="s">
        <v>477</v>
      </c>
      <c r="F2237" s="11">
        <v>1</v>
      </c>
      <c r="G2237" s="11">
        <v>71428.570000000007</v>
      </c>
    </row>
    <row r="2238" spans="2:7" x14ac:dyDescent="0.2">
      <c r="B2238" s="32">
        <v>45860</v>
      </c>
      <c r="C2238" t="s">
        <v>142</v>
      </c>
      <c r="D2238" s="13" t="s">
        <v>633</v>
      </c>
      <c r="E2238" t="s">
        <v>439</v>
      </c>
      <c r="F2238" s="11">
        <v>1</v>
      </c>
      <c r="G2238" s="11">
        <v>50000</v>
      </c>
    </row>
    <row r="2239" spans="2:7" x14ac:dyDescent="0.2">
      <c r="B2239" s="32">
        <v>45860</v>
      </c>
      <c r="C2239" t="s">
        <v>142</v>
      </c>
      <c r="D2239" s="13" t="s">
        <v>633</v>
      </c>
      <c r="E2239" t="s">
        <v>751</v>
      </c>
      <c r="F2239" s="11">
        <v>1</v>
      </c>
      <c r="G2239" s="11">
        <v>50000</v>
      </c>
    </row>
    <row r="2240" spans="2:7" x14ac:dyDescent="0.2">
      <c r="B2240" s="32">
        <v>45860</v>
      </c>
      <c r="C2240" t="s">
        <v>142</v>
      </c>
      <c r="D2240" s="13" t="s">
        <v>633</v>
      </c>
      <c r="E2240" t="s">
        <v>335</v>
      </c>
      <c r="F2240" s="11">
        <v>1</v>
      </c>
      <c r="G2240" s="11">
        <v>50000</v>
      </c>
    </row>
    <row r="2241" spans="2:7" x14ac:dyDescent="0.2">
      <c r="B2241" s="32">
        <v>45860</v>
      </c>
      <c r="C2241" t="s">
        <v>142</v>
      </c>
      <c r="D2241" s="13" t="s">
        <v>633</v>
      </c>
      <c r="E2241" t="s">
        <v>1819</v>
      </c>
      <c r="F2241" s="11">
        <v>1</v>
      </c>
      <c r="G2241" s="11">
        <v>50000</v>
      </c>
    </row>
    <row r="2242" spans="2:7" x14ac:dyDescent="0.2">
      <c r="B2242" s="32">
        <v>45860</v>
      </c>
      <c r="C2242" t="s">
        <v>142</v>
      </c>
      <c r="D2242" s="13" t="s">
        <v>633</v>
      </c>
      <c r="E2242" t="s">
        <v>576</v>
      </c>
      <c r="F2242" s="11">
        <v>1</v>
      </c>
      <c r="G2242" s="11">
        <v>50000</v>
      </c>
    </row>
    <row r="2243" spans="2:7" x14ac:dyDescent="0.2">
      <c r="B2243" s="32">
        <v>45860</v>
      </c>
      <c r="C2243" t="s">
        <v>142</v>
      </c>
      <c r="D2243" s="13" t="s">
        <v>633</v>
      </c>
      <c r="E2243" t="s">
        <v>454</v>
      </c>
      <c r="F2243" s="11">
        <v>1</v>
      </c>
      <c r="G2243" s="11">
        <v>50000</v>
      </c>
    </row>
    <row r="2244" spans="2:7" x14ac:dyDescent="0.2">
      <c r="B2244" s="32">
        <v>45860</v>
      </c>
      <c r="C2244" t="s">
        <v>142</v>
      </c>
      <c r="D2244" s="13" t="s">
        <v>633</v>
      </c>
      <c r="E2244" t="s">
        <v>311</v>
      </c>
      <c r="F2244" s="11">
        <v>1</v>
      </c>
      <c r="G2244" s="11">
        <v>46428.57</v>
      </c>
    </row>
    <row r="2245" spans="2:7" x14ac:dyDescent="0.2">
      <c r="B2245" s="32">
        <v>45860</v>
      </c>
      <c r="C2245" t="s">
        <v>142</v>
      </c>
      <c r="D2245" s="13" t="s">
        <v>633</v>
      </c>
      <c r="E2245" t="s">
        <v>229</v>
      </c>
      <c r="F2245" s="11">
        <v>1</v>
      </c>
      <c r="G2245" s="11">
        <v>42016.81</v>
      </c>
    </row>
    <row r="2246" spans="2:7" x14ac:dyDescent="0.2">
      <c r="B2246" s="32">
        <v>45860</v>
      </c>
      <c r="C2246" t="s">
        <v>142</v>
      </c>
      <c r="D2246" s="13" t="s">
        <v>633</v>
      </c>
      <c r="E2246" t="s">
        <v>300</v>
      </c>
      <c r="F2246" s="11">
        <v>1</v>
      </c>
      <c r="G2246" s="11">
        <v>37815.129999999997</v>
      </c>
    </row>
    <row r="2247" spans="2:7" x14ac:dyDescent="0.2">
      <c r="B2247" s="32">
        <v>45860</v>
      </c>
      <c r="C2247" t="s">
        <v>142</v>
      </c>
      <c r="D2247" s="13" t="s">
        <v>633</v>
      </c>
      <c r="E2247" t="s">
        <v>1796</v>
      </c>
      <c r="F2247" s="11">
        <v>1</v>
      </c>
      <c r="G2247" s="11">
        <v>21008.400000000001</v>
      </c>
    </row>
    <row r="2248" spans="2:7" x14ac:dyDescent="0.2">
      <c r="B2248" s="32">
        <v>45860</v>
      </c>
      <c r="C2248" t="s">
        <v>142</v>
      </c>
      <c r="D2248" s="13" t="s">
        <v>633</v>
      </c>
      <c r="E2248" t="s">
        <v>831</v>
      </c>
      <c r="F2248" s="11">
        <v>4</v>
      </c>
      <c r="G2248" s="11">
        <v>3.36</v>
      </c>
    </row>
    <row r="2249" spans="2:7" x14ac:dyDescent="0.2">
      <c r="B2249" s="32">
        <v>45860</v>
      </c>
      <c r="C2249" t="s">
        <v>110</v>
      </c>
      <c r="D2249" s="13" t="s">
        <v>634</v>
      </c>
      <c r="E2249" t="s">
        <v>212</v>
      </c>
      <c r="F2249" s="11">
        <v>1</v>
      </c>
      <c r="G2249" s="11">
        <v>54621.85</v>
      </c>
    </row>
    <row r="2250" spans="2:7" x14ac:dyDescent="0.2">
      <c r="B2250" s="32">
        <v>45860</v>
      </c>
      <c r="C2250" t="s">
        <v>110</v>
      </c>
      <c r="D2250" s="13" t="s">
        <v>634</v>
      </c>
      <c r="E2250" t="s">
        <v>328</v>
      </c>
      <c r="F2250" s="11">
        <v>1</v>
      </c>
      <c r="G2250" s="11">
        <v>37815.120000000003</v>
      </c>
    </row>
    <row r="2251" spans="2:7" x14ac:dyDescent="0.2">
      <c r="B2251" s="32">
        <v>45860</v>
      </c>
      <c r="C2251" t="s">
        <v>1739</v>
      </c>
      <c r="D2251" s="13" t="s">
        <v>634</v>
      </c>
      <c r="E2251" t="s">
        <v>191</v>
      </c>
      <c r="F2251" s="11">
        <v>2</v>
      </c>
      <c r="G2251" s="11">
        <v>221428.57</v>
      </c>
    </row>
    <row r="2252" spans="2:7" x14ac:dyDescent="0.2">
      <c r="B2252" s="32">
        <v>45860</v>
      </c>
      <c r="C2252" t="s">
        <v>1739</v>
      </c>
      <c r="D2252" s="13" t="s">
        <v>634</v>
      </c>
      <c r="E2252" t="s">
        <v>318</v>
      </c>
      <c r="F2252" s="11">
        <v>3</v>
      </c>
      <c r="G2252" s="11">
        <v>150000</v>
      </c>
    </row>
    <row r="2253" spans="2:7" x14ac:dyDescent="0.2">
      <c r="B2253" s="32">
        <v>45860</v>
      </c>
      <c r="C2253" t="s">
        <v>1739</v>
      </c>
      <c r="D2253" s="13" t="s">
        <v>634</v>
      </c>
      <c r="E2253" t="s">
        <v>567</v>
      </c>
      <c r="F2253" s="11">
        <v>2</v>
      </c>
      <c r="G2253" s="11">
        <v>100000</v>
      </c>
    </row>
    <row r="2254" spans="2:7" x14ac:dyDescent="0.2">
      <c r="B2254" s="32">
        <v>45860</v>
      </c>
      <c r="C2254" t="s">
        <v>1739</v>
      </c>
      <c r="D2254" s="13" t="s">
        <v>634</v>
      </c>
      <c r="E2254" t="s">
        <v>320</v>
      </c>
      <c r="F2254" s="11">
        <v>1</v>
      </c>
      <c r="G2254" s="11">
        <v>50000</v>
      </c>
    </row>
    <row r="2255" spans="2:7" x14ac:dyDescent="0.2">
      <c r="B2255" s="32">
        <v>45860</v>
      </c>
      <c r="C2255" t="s">
        <v>1739</v>
      </c>
      <c r="D2255" s="13" t="s">
        <v>634</v>
      </c>
      <c r="F2255" s="11">
        <v>0</v>
      </c>
      <c r="G2255" s="11">
        <v>0</v>
      </c>
    </row>
    <row r="2256" spans="2:7" x14ac:dyDescent="0.2">
      <c r="B2256" s="32">
        <v>45860</v>
      </c>
      <c r="C2256" t="s">
        <v>109</v>
      </c>
      <c r="D2256" s="13" t="s">
        <v>634</v>
      </c>
      <c r="E2256" t="s">
        <v>736</v>
      </c>
      <c r="F2256" s="11">
        <v>2</v>
      </c>
      <c r="G2256" s="11">
        <v>101680.67</v>
      </c>
    </row>
    <row r="2257" spans="2:7" x14ac:dyDescent="0.2">
      <c r="B2257" s="32">
        <v>45860</v>
      </c>
      <c r="C2257" t="s">
        <v>109</v>
      </c>
      <c r="D2257" s="13" t="s">
        <v>634</v>
      </c>
      <c r="E2257" t="s">
        <v>303</v>
      </c>
      <c r="F2257" s="11">
        <v>1</v>
      </c>
      <c r="G2257" s="11">
        <v>50420.17</v>
      </c>
    </row>
    <row r="2258" spans="2:7" x14ac:dyDescent="0.2">
      <c r="B2258" s="32">
        <v>45860</v>
      </c>
      <c r="C2258" t="s">
        <v>109</v>
      </c>
      <c r="D2258" s="13" t="s">
        <v>633</v>
      </c>
      <c r="E2258" t="s">
        <v>1900</v>
      </c>
      <c r="F2258" s="11">
        <v>1</v>
      </c>
      <c r="G2258" s="11">
        <v>75630.25</v>
      </c>
    </row>
    <row r="2259" spans="2:7" x14ac:dyDescent="0.2">
      <c r="B2259" s="32">
        <v>45861</v>
      </c>
      <c r="C2259" t="s">
        <v>142</v>
      </c>
      <c r="D2259" s="13" t="s">
        <v>634</v>
      </c>
      <c r="E2259" t="s">
        <v>563</v>
      </c>
      <c r="F2259" s="11">
        <v>1</v>
      </c>
      <c r="G2259" s="11">
        <v>67857.14</v>
      </c>
    </row>
    <row r="2260" spans="2:7" x14ac:dyDescent="0.2">
      <c r="B2260" s="32">
        <v>45861</v>
      </c>
      <c r="C2260" t="s">
        <v>142</v>
      </c>
      <c r="D2260" s="13" t="s">
        <v>634</v>
      </c>
      <c r="E2260" t="s">
        <v>282</v>
      </c>
      <c r="F2260" s="11">
        <v>1</v>
      </c>
      <c r="G2260" s="11">
        <v>50000</v>
      </c>
    </row>
    <row r="2261" spans="2:7" x14ac:dyDescent="0.2">
      <c r="B2261" s="32">
        <v>45861</v>
      </c>
      <c r="C2261" t="s">
        <v>142</v>
      </c>
      <c r="D2261" s="13" t="s">
        <v>634</v>
      </c>
      <c r="E2261" t="s">
        <v>181</v>
      </c>
      <c r="F2261" s="11">
        <v>1</v>
      </c>
      <c r="G2261" s="11">
        <v>50000</v>
      </c>
    </row>
    <row r="2262" spans="2:7" x14ac:dyDescent="0.2">
      <c r="B2262" s="32">
        <v>45861</v>
      </c>
      <c r="C2262" t="s">
        <v>142</v>
      </c>
      <c r="D2262" s="13" t="s">
        <v>634</v>
      </c>
      <c r="F2262" s="11">
        <v>0</v>
      </c>
      <c r="G2262" s="11">
        <v>0</v>
      </c>
    </row>
    <row r="2263" spans="2:7" x14ac:dyDescent="0.2">
      <c r="B2263" s="32">
        <v>45861</v>
      </c>
      <c r="C2263" t="s">
        <v>142</v>
      </c>
      <c r="D2263" s="13" t="s">
        <v>633</v>
      </c>
      <c r="E2263" t="s">
        <v>1914</v>
      </c>
      <c r="F2263" s="11">
        <v>2</v>
      </c>
      <c r="G2263" s="11">
        <v>221428.57</v>
      </c>
    </row>
    <row r="2264" spans="2:7" x14ac:dyDescent="0.2">
      <c r="B2264" s="32">
        <v>45861</v>
      </c>
      <c r="C2264" t="s">
        <v>142</v>
      </c>
      <c r="D2264" s="13" t="s">
        <v>633</v>
      </c>
      <c r="E2264" t="s">
        <v>341</v>
      </c>
      <c r="F2264" s="11">
        <v>2</v>
      </c>
      <c r="G2264" s="11">
        <v>100000</v>
      </c>
    </row>
    <row r="2265" spans="2:7" x14ac:dyDescent="0.2">
      <c r="B2265" s="32">
        <v>45861</v>
      </c>
      <c r="C2265" t="s">
        <v>142</v>
      </c>
      <c r="D2265" s="13" t="s">
        <v>633</v>
      </c>
      <c r="E2265" t="s">
        <v>411</v>
      </c>
      <c r="F2265" s="11">
        <v>1</v>
      </c>
      <c r="G2265" s="11">
        <v>71428.570000000007</v>
      </c>
    </row>
    <row r="2266" spans="2:7" x14ac:dyDescent="0.2">
      <c r="B2266" s="32">
        <v>45861</v>
      </c>
      <c r="C2266" t="s">
        <v>142</v>
      </c>
      <c r="D2266" s="13" t="s">
        <v>633</v>
      </c>
      <c r="E2266" t="s">
        <v>398</v>
      </c>
      <c r="F2266" s="11">
        <v>1</v>
      </c>
      <c r="G2266" s="11">
        <v>71428.570000000007</v>
      </c>
    </row>
    <row r="2267" spans="2:7" x14ac:dyDescent="0.2">
      <c r="B2267" s="32">
        <v>45861</v>
      </c>
      <c r="C2267" t="s">
        <v>142</v>
      </c>
      <c r="D2267" s="13" t="s">
        <v>633</v>
      </c>
      <c r="E2267" t="s">
        <v>372</v>
      </c>
      <c r="F2267" s="11">
        <v>1</v>
      </c>
      <c r="G2267" s="11">
        <v>50000</v>
      </c>
    </row>
    <row r="2268" spans="2:7" x14ac:dyDescent="0.2">
      <c r="B2268" s="32">
        <v>45861</v>
      </c>
      <c r="C2268" t="s">
        <v>142</v>
      </c>
      <c r="D2268" s="13" t="s">
        <v>633</v>
      </c>
      <c r="E2268" t="s">
        <v>287</v>
      </c>
      <c r="F2268" s="11">
        <v>1</v>
      </c>
      <c r="G2268" s="11">
        <v>50000</v>
      </c>
    </row>
    <row r="2269" spans="2:7" x14ac:dyDescent="0.2">
      <c r="B2269" s="32">
        <v>45861</v>
      </c>
      <c r="C2269" t="s">
        <v>142</v>
      </c>
      <c r="D2269" s="13" t="s">
        <v>633</v>
      </c>
      <c r="E2269" t="s">
        <v>282</v>
      </c>
      <c r="F2269" s="11">
        <v>1</v>
      </c>
      <c r="G2269" s="11">
        <v>50000</v>
      </c>
    </row>
    <row r="2270" spans="2:7" x14ac:dyDescent="0.2">
      <c r="B2270" s="32">
        <v>45861</v>
      </c>
      <c r="C2270" t="s">
        <v>142</v>
      </c>
      <c r="D2270" s="13" t="s">
        <v>633</v>
      </c>
      <c r="E2270" t="s">
        <v>163</v>
      </c>
      <c r="F2270" s="11">
        <v>1</v>
      </c>
      <c r="G2270" s="11">
        <v>50000</v>
      </c>
    </row>
    <row r="2271" spans="2:7" x14ac:dyDescent="0.2">
      <c r="B2271" s="32">
        <v>45861</v>
      </c>
      <c r="C2271" t="s">
        <v>142</v>
      </c>
      <c r="D2271" s="13" t="s">
        <v>633</v>
      </c>
      <c r="E2271" t="s">
        <v>371</v>
      </c>
      <c r="F2271" s="11">
        <v>1</v>
      </c>
      <c r="G2271" s="11">
        <v>50000</v>
      </c>
    </row>
    <row r="2272" spans="2:7" x14ac:dyDescent="0.2">
      <c r="B2272" s="32">
        <v>45861</v>
      </c>
      <c r="C2272" t="s">
        <v>142</v>
      </c>
      <c r="D2272" s="13" t="s">
        <v>633</v>
      </c>
      <c r="F2272" s="11">
        <v>0</v>
      </c>
      <c r="G2272" s="11">
        <v>0</v>
      </c>
    </row>
    <row r="2273" spans="2:7" x14ac:dyDescent="0.2">
      <c r="B2273" s="32">
        <v>45861</v>
      </c>
      <c r="C2273" t="s">
        <v>1739</v>
      </c>
      <c r="D2273" s="13" t="s">
        <v>634</v>
      </c>
      <c r="E2273" t="s">
        <v>602</v>
      </c>
      <c r="F2273" s="11">
        <v>1</v>
      </c>
      <c r="G2273" s="11">
        <v>157142.85999999999</v>
      </c>
    </row>
    <row r="2274" spans="2:7" x14ac:dyDescent="0.2">
      <c r="B2274" s="32">
        <v>45861</v>
      </c>
      <c r="C2274" t="s">
        <v>1739</v>
      </c>
      <c r="D2274" s="13" t="s">
        <v>634</v>
      </c>
      <c r="E2274" t="s">
        <v>1944</v>
      </c>
      <c r="F2274" s="11">
        <v>1</v>
      </c>
      <c r="G2274" s="11">
        <v>67226.89</v>
      </c>
    </row>
    <row r="2275" spans="2:7" x14ac:dyDescent="0.2">
      <c r="B2275" s="32">
        <v>45861</v>
      </c>
      <c r="C2275" t="s">
        <v>1739</v>
      </c>
      <c r="D2275" s="13" t="s">
        <v>633</v>
      </c>
      <c r="E2275" t="s">
        <v>567</v>
      </c>
      <c r="F2275" s="11">
        <v>1</v>
      </c>
      <c r="G2275" s="11">
        <v>50000</v>
      </c>
    </row>
    <row r="2276" spans="2:7" x14ac:dyDescent="0.2">
      <c r="B2276" s="32">
        <v>45861</v>
      </c>
      <c r="C2276" t="s">
        <v>1739</v>
      </c>
      <c r="D2276" s="13" t="s">
        <v>633</v>
      </c>
      <c r="E2276" t="s">
        <v>318</v>
      </c>
      <c r="F2276" s="11">
        <v>1</v>
      </c>
      <c r="G2276" s="11">
        <v>50000</v>
      </c>
    </row>
    <row r="2277" spans="2:7" x14ac:dyDescent="0.2">
      <c r="B2277" s="32">
        <v>45861</v>
      </c>
      <c r="C2277" t="s">
        <v>1739</v>
      </c>
      <c r="D2277" s="13" t="s">
        <v>633</v>
      </c>
      <c r="E2277" t="s">
        <v>376</v>
      </c>
      <c r="F2277" s="11">
        <v>1</v>
      </c>
      <c r="G2277" s="11">
        <v>50000</v>
      </c>
    </row>
    <row r="2278" spans="2:7" x14ac:dyDescent="0.2">
      <c r="B2278" s="32">
        <v>45861</v>
      </c>
      <c r="C2278" t="s">
        <v>1739</v>
      </c>
      <c r="D2278" s="13" t="s">
        <v>633</v>
      </c>
      <c r="E2278" t="s">
        <v>283</v>
      </c>
      <c r="F2278" s="11">
        <v>1</v>
      </c>
      <c r="G2278" s="11">
        <v>46428.57</v>
      </c>
    </row>
    <row r="2279" spans="2:7" x14ac:dyDescent="0.2">
      <c r="B2279" s="32">
        <v>45861</v>
      </c>
      <c r="C2279" t="s">
        <v>1739</v>
      </c>
      <c r="D2279" s="13" t="s">
        <v>633</v>
      </c>
      <c r="E2279" t="s">
        <v>628</v>
      </c>
      <c r="F2279" s="11">
        <v>1</v>
      </c>
      <c r="G2279" s="11">
        <v>46428.57</v>
      </c>
    </row>
    <row r="2280" spans="2:7" x14ac:dyDescent="0.2">
      <c r="B2280" s="32">
        <v>45861</v>
      </c>
      <c r="C2280" t="s">
        <v>1739</v>
      </c>
      <c r="D2280" s="13" t="s">
        <v>633</v>
      </c>
      <c r="E2280" t="s">
        <v>172</v>
      </c>
      <c r="F2280" s="11">
        <v>1</v>
      </c>
      <c r="G2280" s="11">
        <v>46218.49</v>
      </c>
    </row>
    <row r="2281" spans="2:7" x14ac:dyDescent="0.2">
      <c r="B2281" s="32">
        <v>45861</v>
      </c>
      <c r="C2281" t="s">
        <v>1739</v>
      </c>
      <c r="D2281" s="13" t="s">
        <v>633</v>
      </c>
      <c r="F2281" s="11">
        <v>0</v>
      </c>
      <c r="G2281" s="11">
        <v>0</v>
      </c>
    </row>
    <row r="2282" spans="2:7" x14ac:dyDescent="0.2">
      <c r="B2282" s="32">
        <v>45861</v>
      </c>
      <c r="C2282" t="s">
        <v>109</v>
      </c>
      <c r="D2282" s="13" t="s">
        <v>634</v>
      </c>
      <c r="E2282" t="s">
        <v>1862</v>
      </c>
      <c r="F2282" s="11">
        <v>4</v>
      </c>
      <c r="G2282" s="11">
        <v>303571.43</v>
      </c>
    </row>
    <row r="2283" spans="2:7" x14ac:dyDescent="0.2">
      <c r="B2283" s="32">
        <v>45861</v>
      </c>
      <c r="C2283" t="s">
        <v>109</v>
      </c>
      <c r="D2283" s="13" t="s">
        <v>634</v>
      </c>
      <c r="E2283" t="s">
        <v>194</v>
      </c>
      <c r="F2283" s="11">
        <v>3</v>
      </c>
      <c r="G2283" s="11">
        <v>246428.57</v>
      </c>
    </row>
    <row r="2284" spans="2:7" x14ac:dyDescent="0.2">
      <c r="B2284" s="32">
        <v>45861</v>
      </c>
      <c r="C2284" t="s">
        <v>109</v>
      </c>
      <c r="D2284" s="13" t="s">
        <v>634</v>
      </c>
      <c r="E2284" t="s">
        <v>1896</v>
      </c>
      <c r="F2284" s="11">
        <v>3</v>
      </c>
      <c r="G2284" s="11">
        <v>138655.46</v>
      </c>
    </row>
    <row r="2285" spans="2:7" x14ac:dyDescent="0.2">
      <c r="B2285" s="32">
        <v>45861</v>
      </c>
      <c r="C2285" t="s">
        <v>109</v>
      </c>
      <c r="D2285" s="13" t="s">
        <v>634</v>
      </c>
      <c r="E2285" t="s">
        <v>675</v>
      </c>
      <c r="F2285" s="11">
        <v>1</v>
      </c>
      <c r="G2285" s="11">
        <v>98000</v>
      </c>
    </row>
    <row r="2286" spans="2:7" x14ac:dyDescent="0.2">
      <c r="B2286" s="32">
        <v>45861</v>
      </c>
      <c r="C2286" t="s">
        <v>109</v>
      </c>
      <c r="D2286" s="13" t="s">
        <v>634</v>
      </c>
      <c r="E2286" t="s">
        <v>227</v>
      </c>
      <c r="F2286" s="11">
        <v>1</v>
      </c>
      <c r="G2286" s="11">
        <v>96638.66</v>
      </c>
    </row>
    <row r="2287" spans="2:7" x14ac:dyDescent="0.2">
      <c r="B2287" s="32">
        <v>45861</v>
      </c>
      <c r="C2287" t="s">
        <v>109</v>
      </c>
      <c r="D2287" s="13" t="s">
        <v>634</v>
      </c>
      <c r="E2287" t="s">
        <v>149</v>
      </c>
      <c r="F2287" s="11">
        <v>1</v>
      </c>
      <c r="G2287" s="11">
        <v>67226.89</v>
      </c>
    </row>
    <row r="2288" spans="2:7" x14ac:dyDescent="0.2">
      <c r="B2288" s="32">
        <v>45861</v>
      </c>
      <c r="C2288" t="s">
        <v>109</v>
      </c>
      <c r="D2288" s="13" t="s">
        <v>634</v>
      </c>
      <c r="E2288" t="s">
        <v>352</v>
      </c>
      <c r="F2288" s="11">
        <v>1</v>
      </c>
      <c r="G2288" s="11">
        <v>67226.89</v>
      </c>
    </row>
    <row r="2289" spans="2:7" x14ac:dyDescent="0.2">
      <c r="B2289" s="32">
        <v>45861</v>
      </c>
      <c r="C2289" t="s">
        <v>109</v>
      </c>
      <c r="D2289" s="13" t="s">
        <v>634</v>
      </c>
      <c r="E2289" t="s">
        <v>427</v>
      </c>
      <c r="F2289" s="11">
        <v>1</v>
      </c>
      <c r="G2289" s="11">
        <v>54621.85</v>
      </c>
    </row>
    <row r="2290" spans="2:7" x14ac:dyDescent="0.2">
      <c r="B2290" s="32">
        <v>45861</v>
      </c>
      <c r="C2290" t="s">
        <v>109</v>
      </c>
      <c r="D2290" s="13" t="s">
        <v>634</v>
      </c>
      <c r="E2290" t="s">
        <v>1924</v>
      </c>
      <c r="F2290" s="11">
        <v>1</v>
      </c>
      <c r="G2290" s="11">
        <v>50000</v>
      </c>
    </row>
    <row r="2291" spans="2:7" x14ac:dyDescent="0.2">
      <c r="B2291" s="32">
        <v>45861</v>
      </c>
      <c r="C2291" t="s">
        <v>109</v>
      </c>
      <c r="D2291" s="13" t="s">
        <v>634</v>
      </c>
      <c r="E2291" t="s">
        <v>173</v>
      </c>
      <c r="F2291" s="11">
        <v>1</v>
      </c>
      <c r="G2291" s="11">
        <v>37815.129999999997</v>
      </c>
    </row>
    <row r="2292" spans="2:7" x14ac:dyDescent="0.2">
      <c r="B2292" s="32">
        <v>45861</v>
      </c>
      <c r="C2292" t="s">
        <v>109</v>
      </c>
      <c r="D2292" s="13" t="s">
        <v>634</v>
      </c>
      <c r="E2292" t="s">
        <v>342</v>
      </c>
      <c r="F2292" s="11">
        <v>1</v>
      </c>
      <c r="G2292" s="11">
        <v>21848.74</v>
      </c>
    </row>
    <row r="2293" spans="2:7" x14ac:dyDescent="0.2">
      <c r="B2293" s="32">
        <v>45861</v>
      </c>
      <c r="C2293" t="s">
        <v>109</v>
      </c>
      <c r="D2293" s="13" t="s">
        <v>634</v>
      </c>
      <c r="E2293" t="s">
        <v>1847</v>
      </c>
      <c r="F2293" s="11">
        <v>1</v>
      </c>
      <c r="G2293" s="11">
        <v>16806.72</v>
      </c>
    </row>
    <row r="2294" spans="2:7" x14ac:dyDescent="0.2">
      <c r="B2294" s="32">
        <v>45861</v>
      </c>
      <c r="C2294" t="s">
        <v>109</v>
      </c>
      <c r="D2294" s="13" t="s">
        <v>633</v>
      </c>
      <c r="E2294" t="s">
        <v>215</v>
      </c>
      <c r="F2294" s="11">
        <v>6</v>
      </c>
      <c r="G2294" s="11">
        <v>277310.93</v>
      </c>
    </row>
    <row r="2295" spans="2:7" x14ac:dyDescent="0.2">
      <c r="B2295" s="32">
        <v>45861</v>
      </c>
      <c r="C2295" t="s">
        <v>109</v>
      </c>
      <c r="D2295" s="13" t="s">
        <v>633</v>
      </c>
      <c r="E2295" t="s">
        <v>1859</v>
      </c>
      <c r="F2295" s="11">
        <v>2</v>
      </c>
      <c r="G2295" s="11">
        <v>171428.57</v>
      </c>
    </row>
    <row r="2296" spans="2:7" x14ac:dyDescent="0.2">
      <c r="B2296" s="32">
        <v>45861</v>
      </c>
      <c r="C2296" t="s">
        <v>109</v>
      </c>
      <c r="D2296" s="13" t="s">
        <v>633</v>
      </c>
      <c r="E2296" t="s">
        <v>212</v>
      </c>
      <c r="F2296" s="11">
        <v>3</v>
      </c>
      <c r="G2296" s="11">
        <v>163865.54999999999</v>
      </c>
    </row>
    <row r="2297" spans="2:7" x14ac:dyDescent="0.2">
      <c r="B2297" s="32">
        <v>45861</v>
      </c>
      <c r="C2297" t="s">
        <v>109</v>
      </c>
      <c r="D2297" s="13" t="s">
        <v>633</v>
      </c>
      <c r="E2297" t="s">
        <v>205</v>
      </c>
      <c r="F2297" s="11">
        <v>2</v>
      </c>
      <c r="G2297" s="11">
        <v>100000</v>
      </c>
    </row>
    <row r="2298" spans="2:7" x14ac:dyDescent="0.2">
      <c r="B2298" s="32">
        <v>45861</v>
      </c>
      <c r="C2298" t="s">
        <v>109</v>
      </c>
      <c r="D2298" s="13" t="s">
        <v>633</v>
      </c>
      <c r="E2298" t="s">
        <v>420</v>
      </c>
      <c r="F2298" s="11">
        <v>1</v>
      </c>
      <c r="G2298" s="11">
        <v>96638.66</v>
      </c>
    </row>
    <row r="2299" spans="2:7" x14ac:dyDescent="0.2">
      <c r="B2299" s="32">
        <v>45861</v>
      </c>
      <c r="C2299" t="s">
        <v>109</v>
      </c>
      <c r="D2299" s="13" t="s">
        <v>633</v>
      </c>
      <c r="E2299" t="s">
        <v>313</v>
      </c>
      <c r="F2299" s="11">
        <v>1</v>
      </c>
      <c r="G2299" s="11">
        <v>96638.65</v>
      </c>
    </row>
    <row r="2300" spans="2:7" x14ac:dyDescent="0.2">
      <c r="B2300" s="32">
        <v>45861</v>
      </c>
      <c r="C2300" t="s">
        <v>109</v>
      </c>
      <c r="D2300" s="13" t="s">
        <v>633</v>
      </c>
      <c r="E2300" t="s">
        <v>158</v>
      </c>
      <c r="F2300" s="11">
        <v>2</v>
      </c>
      <c r="G2300" s="11">
        <v>92436.98</v>
      </c>
    </row>
    <row r="2301" spans="2:7" x14ac:dyDescent="0.2">
      <c r="B2301" s="32">
        <v>45861</v>
      </c>
      <c r="C2301" t="s">
        <v>109</v>
      </c>
      <c r="D2301" s="13" t="s">
        <v>633</v>
      </c>
      <c r="E2301" t="s">
        <v>148</v>
      </c>
      <c r="F2301" s="11">
        <v>2</v>
      </c>
      <c r="G2301" s="11">
        <v>75630.259999999995</v>
      </c>
    </row>
    <row r="2302" spans="2:7" x14ac:dyDescent="0.2">
      <c r="B2302" s="32">
        <v>45861</v>
      </c>
      <c r="C2302" t="s">
        <v>109</v>
      </c>
      <c r="D2302" s="13" t="s">
        <v>633</v>
      </c>
      <c r="E2302" t="s">
        <v>152</v>
      </c>
      <c r="F2302" s="11">
        <v>1</v>
      </c>
      <c r="G2302" s="11">
        <v>75630.25</v>
      </c>
    </row>
    <row r="2303" spans="2:7" x14ac:dyDescent="0.2">
      <c r="B2303" s="32">
        <v>45861</v>
      </c>
      <c r="C2303" t="s">
        <v>109</v>
      </c>
      <c r="D2303" s="13" t="s">
        <v>633</v>
      </c>
      <c r="E2303" t="s">
        <v>189</v>
      </c>
      <c r="F2303" s="11">
        <v>1</v>
      </c>
      <c r="G2303" s="11">
        <v>71428.570000000007</v>
      </c>
    </row>
    <row r="2304" spans="2:7" x14ac:dyDescent="0.2">
      <c r="B2304" s="32">
        <v>45861</v>
      </c>
      <c r="C2304" t="s">
        <v>109</v>
      </c>
      <c r="D2304" s="13" t="s">
        <v>633</v>
      </c>
      <c r="E2304" t="s">
        <v>1945</v>
      </c>
      <c r="F2304" s="11">
        <v>1</v>
      </c>
      <c r="G2304" s="11">
        <v>67226.89</v>
      </c>
    </row>
    <row r="2305" spans="2:7" x14ac:dyDescent="0.2">
      <c r="B2305" s="32">
        <v>45861</v>
      </c>
      <c r="C2305" t="s">
        <v>109</v>
      </c>
      <c r="D2305" s="13" t="s">
        <v>633</v>
      </c>
      <c r="E2305" t="s">
        <v>677</v>
      </c>
      <c r="F2305" s="11">
        <v>1</v>
      </c>
      <c r="G2305" s="11">
        <v>58823.53</v>
      </c>
    </row>
    <row r="2306" spans="2:7" x14ac:dyDescent="0.2">
      <c r="B2306" s="32">
        <v>45861</v>
      </c>
      <c r="C2306" t="s">
        <v>109</v>
      </c>
      <c r="D2306" s="13" t="s">
        <v>633</v>
      </c>
      <c r="E2306" t="s">
        <v>1946</v>
      </c>
      <c r="F2306" s="11">
        <v>1</v>
      </c>
      <c r="G2306" s="11">
        <v>58823.53</v>
      </c>
    </row>
    <row r="2307" spans="2:7" x14ac:dyDescent="0.2">
      <c r="B2307" s="32">
        <v>45861</v>
      </c>
      <c r="C2307" t="s">
        <v>109</v>
      </c>
      <c r="D2307" s="13" t="s">
        <v>633</v>
      </c>
      <c r="E2307" t="s">
        <v>1947</v>
      </c>
      <c r="F2307" s="11">
        <v>1</v>
      </c>
      <c r="G2307" s="11">
        <v>54621.85</v>
      </c>
    </row>
    <row r="2308" spans="2:7" x14ac:dyDescent="0.2">
      <c r="B2308" s="32">
        <v>45861</v>
      </c>
      <c r="C2308" t="s">
        <v>109</v>
      </c>
      <c r="D2308" s="13" t="s">
        <v>633</v>
      </c>
      <c r="E2308" t="s">
        <v>1948</v>
      </c>
      <c r="F2308" s="11">
        <v>1</v>
      </c>
      <c r="G2308" s="11">
        <v>50000</v>
      </c>
    </row>
    <row r="2309" spans="2:7" x14ac:dyDescent="0.2">
      <c r="B2309" s="32">
        <v>45861</v>
      </c>
      <c r="C2309" t="s">
        <v>109</v>
      </c>
      <c r="D2309" s="13" t="s">
        <v>633</v>
      </c>
      <c r="E2309" t="s">
        <v>567</v>
      </c>
      <c r="F2309" s="11">
        <v>1</v>
      </c>
      <c r="G2309" s="11">
        <v>50000</v>
      </c>
    </row>
    <row r="2310" spans="2:7" x14ac:dyDescent="0.2">
      <c r="B2310" s="32">
        <v>45861</v>
      </c>
      <c r="C2310" t="s">
        <v>109</v>
      </c>
      <c r="D2310" s="13" t="s">
        <v>633</v>
      </c>
      <c r="E2310" t="s">
        <v>315</v>
      </c>
      <c r="F2310" s="11">
        <v>1</v>
      </c>
      <c r="G2310" s="11">
        <v>50000</v>
      </c>
    </row>
    <row r="2311" spans="2:7" x14ac:dyDescent="0.2">
      <c r="B2311" s="32">
        <v>45861</v>
      </c>
      <c r="C2311" t="s">
        <v>109</v>
      </c>
      <c r="D2311" s="13" t="s">
        <v>633</v>
      </c>
      <c r="E2311" t="s">
        <v>267</v>
      </c>
      <c r="F2311" s="11">
        <v>1</v>
      </c>
      <c r="G2311" s="11">
        <v>46428.57</v>
      </c>
    </row>
    <row r="2312" spans="2:7" x14ac:dyDescent="0.2">
      <c r="B2312" s="32">
        <v>45861</v>
      </c>
      <c r="C2312" t="s">
        <v>109</v>
      </c>
      <c r="D2312" s="13" t="s">
        <v>633</v>
      </c>
      <c r="E2312" t="s">
        <v>312</v>
      </c>
      <c r="F2312" s="11">
        <v>1</v>
      </c>
      <c r="G2312" s="11">
        <v>46428.56</v>
      </c>
    </row>
    <row r="2313" spans="2:7" x14ac:dyDescent="0.2">
      <c r="B2313" s="32">
        <v>45861</v>
      </c>
      <c r="C2313" t="s">
        <v>109</v>
      </c>
      <c r="D2313" s="13" t="s">
        <v>633</v>
      </c>
      <c r="E2313" t="s">
        <v>151</v>
      </c>
      <c r="F2313" s="11">
        <v>1</v>
      </c>
      <c r="G2313" s="11">
        <v>46218.49</v>
      </c>
    </row>
    <row r="2314" spans="2:7" x14ac:dyDescent="0.2">
      <c r="B2314" s="32">
        <v>45861</v>
      </c>
      <c r="C2314" t="s">
        <v>109</v>
      </c>
      <c r="D2314" s="13" t="s">
        <v>633</v>
      </c>
      <c r="E2314" t="s">
        <v>195</v>
      </c>
      <c r="F2314" s="11">
        <v>1</v>
      </c>
      <c r="G2314" s="11">
        <v>46218.49</v>
      </c>
    </row>
    <row r="2315" spans="2:7" x14ac:dyDescent="0.2">
      <c r="B2315" s="32">
        <v>45861</v>
      </c>
      <c r="C2315" t="s">
        <v>109</v>
      </c>
      <c r="D2315" s="13" t="s">
        <v>633</v>
      </c>
      <c r="E2315" t="s">
        <v>522</v>
      </c>
      <c r="F2315" s="11">
        <v>1</v>
      </c>
      <c r="G2315" s="11">
        <v>35000</v>
      </c>
    </row>
    <row r="2316" spans="2:7" x14ac:dyDescent="0.2">
      <c r="B2316" s="32">
        <v>45861</v>
      </c>
      <c r="C2316" t="s">
        <v>109</v>
      </c>
      <c r="D2316" s="13" t="s">
        <v>633</v>
      </c>
      <c r="F2316" s="11">
        <v>0</v>
      </c>
      <c r="G2316" s="11">
        <v>0</v>
      </c>
    </row>
    <row r="2317" spans="2:7" x14ac:dyDescent="0.2">
      <c r="B2317" s="32">
        <v>45862</v>
      </c>
      <c r="C2317" t="s">
        <v>142</v>
      </c>
      <c r="D2317" s="13" t="s">
        <v>634</v>
      </c>
      <c r="E2317" t="s">
        <v>143</v>
      </c>
      <c r="F2317" s="11">
        <v>1</v>
      </c>
      <c r="G2317" s="11">
        <v>242857.14</v>
      </c>
    </row>
    <row r="2318" spans="2:7" x14ac:dyDescent="0.2">
      <c r="B2318" s="32">
        <v>45862</v>
      </c>
      <c r="C2318" t="s">
        <v>142</v>
      </c>
      <c r="D2318" s="13" t="s">
        <v>634</v>
      </c>
      <c r="E2318" t="s">
        <v>233</v>
      </c>
      <c r="F2318" s="11">
        <v>2</v>
      </c>
      <c r="G2318" s="11">
        <v>100000</v>
      </c>
    </row>
    <row r="2319" spans="2:7" x14ac:dyDescent="0.2">
      <c r="B2319" s="32">
        <v>45862</v>
      </c>
      <c r="C2319" t="s">
        <v>142</v>
      </c>
      <c r="D2319" s="13" t="s">
        <v>634</v>
      </c>
      <c r="E2319" t="s">
        <v>163</v>
      </c>
      <c r="F2319" s="11">
        <v>2</v>
      </c>
      <c r="G2319" s="11">
        <v>100000</v>
      </c>
    </row>
    <row r="2320" spans="2:7" x14ac:dyDescent="0.2">
      <c r="B2320" s="32">
        <v>45862</v>
      </c>
      <c r="C2320" t="s">
        <v>142</v>
      </c>
      <c r="D2320" s="13" t="s">
        <v>634</v>
      </c>
      <c r="E2320" t="s">
        <v>1949</v>
      </c>
      <c r="F2320" s="11">
        <v>1</v>
      </c>
      <c r="G2320" s="11">
        <v>100000</v>
      </c>
    </row>
    <row r="2321" spans="2:7" x14ac:dyDescent="0.2">
      <c r="B2321" s="32">
        <v>45862</v>
      </c>
      <c r="C2321" t="s">
        <v>142</v>
      </c>
      <c r="D2321" s="13" t="s">
        <v>634</v>
      </c>
      <c r="E2321" t="s">
        <v>698</v>
      </c>
      <c r="F2321" s="11">
        <v>1</v>
      </c>
      <c r="G2321" s="11">
        <v>75630.25</v>
      </c>
    </row>
    <row r="2322" spans="2:7" x14ac:dyDescent="0.2">
      <c r="B2322" s="32">
        <v>45862</v>
      </c>
      <c r="C2322" t="s">
        <v>142</v>
      </c>
      <c r="D2322" s="13" t="s">
        <v>634</v>
      </c>
      <c r="E2322" t="s">
        <v>341</v>
      </c>
      <c r="F2322" s="11">
        <v>1</v>
      </c>
      <c r="G2322" s="11">
        <v>50000</v>
      </c>
    </row>
    <row r="2323" spans="2:7" x14ac:dyDescent="0.2">
      <c r="B2323" s="32">
        <v>45862</v>
      </c>
      <c r="C2323" t="s">
        <v>142</v>
      </c>
      <c r="D2323" s="13" t="s">
        <v>634</v>
      </c>
      <c r="E2323" t="s">
        <v>378</v>
      </c>
      <c r="F2323" s="11">
        <v>1</v>
      </c>
      <c r="G2323" s="11">
        <v>50000</v>
      </c>
    </row>
    <row r="2324" spans="2:7" x14ac:dyDescent="0.2">
      <c r="B2324" s="32">
        <v>45862</v>
      </c>
      <c r="C2324" t="s">
        <v>142</v>
      </c>
      <c r="D2324" s="13" t="s">
        <v>634</v>
      </c>
      <c r="E2324" t="s">
        <v>454</v>
      </c>
      <c r="F2324" s="11">
        <v>1</v>
      </c>
      <c r="G2324" s="11">
        <v>50000</v>
      </c>
    </row>
    <row r="2325" spans="2:7" x14ac:dyDescent="0.2">
      <c r="B2325" s="32">
        <v>45862</v>
      </c>
      <c r="C2325" t="s">
        <v>142</v>
      </c>
      <c r="D2325" s="13" t="s">
        <v>634</v>
      </c>
      <c r="E2325" t="s">
        <v>1753</v>
      </c>
      <c r="F2325" s="11">
        <v>1</v>
      </c>
      <c r="G2325" s="11">
        <v>46428.57</v>
      </c>
    </row>
    <row r="2326" spans="2:7" x14ac:dyDescent="0.2">
      <c r="B2326" s="32">
        <v>45862</v>
      </c>
      <c r="C2326" t="s">
        <v>142</v>
      </c>
      <c r="D2326" s="13" t="s">
        <v>634</v>
      </c>
      <c r="E2326" t="s">
        <v>1772</v>
      </c>
      <c r="F2326" s="11">
        <v>1</v>
      </c>
      <c r="G2326" s="11">
        <v>46218.49</v>
      </c>
    </row>
    <row r="2327" spans="2:7" x14ac:dyDescent="0.2">
      <c r="B2327" s="32">
        <v>45862</v>
      </c>
      <c r="C2327" t="s">
        <v>142</v>
      </c>
      <c r="D2327" s="13" t="s">
        <v>634</v>
      </c>
      <c r="E2327" t="s">
        <v>239</v>
      </c>
      <c r="F2327" s="11">
        <v>1</v>
      </c>
      <c r="G2327" s="11">
        <v>46218.49</v>
      </c>
    </row>
    <row r="2328" spans="2:7" x14ac:dyDescent="0.2">
      <c r="B2328" s="32">
        <v>45862</v>
      </c>
      <c r="C2328" t="s">
        <v>142</v>
      </c>
      <c r="D2328" s="13" t="s">
        <v>634</v>
      </c>
      <c r="E2328" t="s">
        <v>1796</v>
      </c>
      <c r="F2328" s="11">
        <v>2</v>
      </c>
      <c r="G2328" s="11">
        <v>42016.81</v>
      </c>
    </row>
    <row r="2329" spans="2:7" x14ac:dyDescent="0.2">
      <c r="B2329" s="32">
        <v>45862</v>
      </c>
      <c r="C2329" t="s">
        <v>142</v>
      </c>
      <c r="D2329" s="13" t="s">
        <v>633</v>
      </c>
      <c r="E2329" t="s">
        <v>268</v>
      </c>
      <c r="F2329" s="11">
        <v>1</v>
      </c>
      <c r="G2329" s="11">
        <v>121428.57</v>
      </c>
    </row>
    <row r="2330" spans="2:7" x14ac:dyDescent="0.2">
      <c r="B2330" s="32">
        <v>45862</v>
      </c>
      <c r="C2330" t="s">
        <v>142</v>
      </c>
      <c r="D2330" s="13" t="s">
        <v>633</v>
      </c>
      <c r="E2330" t="s">
        <v>684</v>
      </c>
      <c r="F2330" s="11">
        <v>1</v>
      </c>
      <c r="G2330" s="11">
        <v>110714.29</v>
      </c>
    </row>
    <row r="2331" spans="2:7" x14ac:dyDescent="0.2">
      <c r="B2331" s="32">
        <v>45862</v>
      </c>
      <c r="C2331" t="s">
        <v>142</v>
      </c>
      <c r="D2331" s="13" t="s">
        <v>633</v>
      </c>
      <c r="E2331" t="s">
        <v>281</v>
      </c>
      <c r="F2331" s="11">
        <v>2</v>
      </c>
      <c r="G2331" s="11">
        <v>100000</v>
      </c>
    </row>
    <row r="2332" spans="2:7" x14ac:dyDescent="0.2">
      <c r="B2332" s="32">
        <v>45862</v>
      </c>
      <c r="C2332" t="s">
        <v>142</v>
      </c>
      <c r="D2332" s="13" t="s">
        <v>633</v>
      </c>
      <c r="E2332" t="s">
        <v>1814</v>
      </c>
      <c r="F2332" s="11">
        <v>1</v>
      </c>
      <c r="G2332" s="11">
        <v>78571.429999999993</v>
      </c>
    </row>
    <row r="2333" spans="2:7" x14ac:dyDescent="0.2">
      <c r="B2333" s="32">
        <v>45862</v>
      </c>
      <c r="C2333" t="s">
        <v>142</v>
      </c>
      <c r="D2333" s="13" t="s">
        <v>633</v>
      </c>
      <c r="E2333" t="s">
        <v>709</v>
      </c>
      <c r="F2333" s="11">
        <v>1</v>
      </c>
      <c r="G2333" s="11">
        <v>50000</v>
      </c>
    </row>
    <row r="2334" spans="2:7" x14ac:dyDescent="0.2">
      <c r="B2334" s="32">
        <v>45862</v>
      </c>
      <c r="C2334" t="s">
        <v>142</v>
      </c>
      <c r="D2334" s="13" t="s">
        <v>633</v>
      </c>
      <c r="E2334" t="s">
        <v>831</v>
      </c>
      <c r="F2334" s="11">
        <v>1</v>
      </c>
      <c r="G2334" s="11">
        <v>0.84</v>
      </c>
    </row>
    <row r="2335" spans="2:7" x14ac:dyDescent="0.2">
      <c r="B2335" s="32">
        <v>45862</v>
      </c>
      <c r="C2335" t="s">
        <v>1739</v>
      </c>
      <c r="D2335" s="13" t="s">
        <v>634</v>
      </c>
      <c r="E2335" t="s">
        <v>553</v>
      </c>
      <c r="F2335" s="11">
        <v>0</v>
      </c>
      <c r="G2335" s="11">
        <v>50000</v>
      </c>
    </row>
    <row r="2336" spans="2:7" x14ac:dyDescent="0.2">
      <c r="B2336" s="32">
        <v>45862</v>
      </c>
      <c r="C2336" t="s">
        <v>1739</v>
      </c>
      <c r="D2336" s="13" t="s">
        <v>634</v>
      </c>
      <c r="E2336" t="s">
        <v>320</v>
      </c>
      <c r="F2336" s="11">
        <v>0</v>
      </c>
      <c r="G2336" s="11">
        <v>-50000</v>
      </c>
    </row>
    <row r="2337" spans="2:7" x14ac:dyDescent="0.2">
      <c r="B2337" s="32">
        <v>45862</v>
      </c>
      <c r="C2337" t="s">
        <v>109</v>
      </c>
      <c r="D2337" s="13"/>
      <c r="E2337" t="s">
        <v>368</v>
      </c>
      <c r="F2337" s="11">
        <v>1</v>
      </c>
      <c r="G2337" s="11">
        <v>75630.25</v>
      </c>
    </row>
    <row r="2338" spans="2:7" x14ac:dyDescent="0.2">
      <c r="B2338" s="32">
        <v>45862</v>
      </c>
      <c r="C2338" t="s">
        <v>109</v>
      </c>
      <c r="D2338" s="13"/>
      <c r="E2338" t="s">
        <v>534</v>
      </c>
      <c r="F2338" s="11">
        <v>1</v>
      </c>
      <c r="G2338" s="11">
        <v>71428.570000000007</v>
      </c>
    </row>
    <row r="2339" spans="2:7" x14ac:dyDescent="0.2">
      <c r="B2339" s="32">
        <v>45862</v>
      </c>
      <c r="C2339" t="s">
        <v>109</v>
      </c>
      <c r="D2339" s="13"/>
      <c r="E2339" t="s">
        <v>203</v>
      </c>
      <c r="F2339" s="11">
        <v>1</v>
      </c>
      <c r="G2339" s="11">
        <v>42016.81</v>
      </c>
    </row>
    <row r="2340" spans="2:7" x14ac:dyDescent="0.2">
      <c r="B2340" s="32">
        <v>45862</v>
      </c>
      <c r="C2340" t="s">
        <v>109</v>
      </c>
      <c r="D2340" s="13"/>
      <c r="E2340" t="s">
        <v>293</v>
      </c>
      <c r="F2340" s="11">
        <v>1</v>
      </c>
      <c r="G2340" s="11">
        <v>37815.129999999997</v>
      </c>
    </row>
    <row r="2341" spans="2:7" x14ac:dyDescent="0.2">
      <c r="B2341" s="32">
        <v>45862</v>
      </c>
      <c r="C2341" t="s">
        <v>109</v>
      </c>
      <c r="D2341" s="13" t="s">
        <v>634</v>
      </c>
      <c r="E2341" t="s">
        <v>1950</v>
      </c>
      <c r="F2341" s="11">
        <v>2</v>
      </c>
      <c r="G2341" s="11">
        <v>204201.68</v>
      </c>
    </row>
    <row r="2342" spans="2:7" x14ac:dyDescent="0.2">
      <c r="B2342" s="32">
        <v>45862</v>
      </c>
      <c r="C2342" t="s">
        <v>109</v>
      </c>
      <c r="D2342" s="13" t="s">
        <v>634</v>
      </c>
      <c r="E2342" t="s">
        <v>1860</v>
      </c>
      <c r="F2342" s="11">
        <v>1</v>
      </c>
      <c r="G2342" s="11">
        <v>153571.43</v>
      </c>
    </row>
    <row r="2343" spans="2:7" x14ac:dyDescent="0.2">
      <c r="B2343" s="32">
        <v>45862</v>
      </c>
      <c r="C2343" t="s">
        <v>109</v>
      </c>
      <c r="D2343" s="13" t="s">
        <v>634</v>
      </c>
      <c r="E2343" t="s">
        <v>192</v>
      </c>
      <c r="F2343" s="11">
        <v>2</v>
      </c>
      <c r="G2343" s="11">
        <v>142857.14000000001</v>
      </c>
    </row>
    <row r="2344" spans="2:7" x14ac:dyDescent="0.2">
      <c r="B2344" s="32">
        <v>45862</v>
      </c>
      <c r="C2344" t="s">
        <v>109</v>
      </c>
      <c r="D2344" s="13" t="s">
        <v>634</v>
      </c>
      <c r="E2344" t="s">
        <v>649</v>
      </c>
      <c r="F2344" s="11">
        <v>1</v>
      </c>
      <c r="G2344" s="11">
        <v>132142.85999999999</v>
      </c>
    </row>
    <row r="2345" spans="2:7" x14ac:dyDescent="0.2">
      <c r="B2345" s="32">
        <v>45862</v>
      </c>
      <c r="C2345" t="s">
        <v>109</v>
      </c>
      <c r="D2345" s="13" t="s">
        <v>634</v>
      </c>
      <c r="E2345" t="s">
        <v>498</v>
      </c>
      <c r="F2345" s="11">
        <v>2</v>
      </c>
      <c r="G2345" s="11">
        <v>117647.06</v>
      </c>
    </row>
    <row r="2346" spans="2:7" x14ac:dyDescent="0.2">
      <c r="B2346" s="32">
        <v>45862</v>
      </c>
      <c r="C2346" t="s">
        <v>109</v>
      </c>
      <c r="D2346" s="13" t="s">
        <v>634</v>
      </c>
      <c r="E2346" t="s">
        <v>525</v>
      </c>
      <c r="F2346" s="11">
        <v>1</v>
      </c>
      <c r="G2346" s="11">
        <v>107142.85</v>
      </c>
    </row>
    <row r="2347" spans="2:7" x14ac:dyDescent="0.2">
      <c r="B2347" s="32">
        <v>45862</v>
      </c>
      <c r="C2347" t="s">
        <v>109</v>
      </c>
      <c r="D2347" s="13" t="s">
        <v>634</v>
      </c>
      <c r="E2347" t="s">
        <v>264</v>
      </c>
      <c r="F2347" s="11">
        <v>1</v>
      </c>
      <c r="G2347" s="11">
        <v>75630.25</v>
      </c>
    </row>
    <row r="2348" spans="2:7" x14ac:dyDescent="0.2">
      <c r="B2348" s="32">
        <v>45862</v>
      </c>
      <c r="C2348" t="s">
        <v>109</v>
      </c>
      <c r="D2348" s="13" t="s">
        <v>634</v>
      </c>
      <c r="E2348" t="s">
        <v>398</v>
      </c>
      <c r="F2348" s="11">
        <v>1</v>
      </c>
      <c r="G2348" s="11">
        <v>71428.570000000007</v>
      </c>
    </row>
    <row r="2349" spans="2:7" x14ac:dyDescent="0.2">
      <c r="B2349" s="32">
        <v>45862</v>
      </c>
      <c r="C2349" t="s">
        <v>109</v>
      </c>
      <c r="D2349" s="13" t="s">
        <v>634</v>
      </c>
      <c r="E2349" t="s">
        <v>1928</v>
      </c>
      <c r="F2349" s="11">
        <v>1</v>
      </c>
      <c r="G2349" s="11">
        <v>71428.570000000007</v>
      </c>
    </row>
    <row r="2350" spans="2:7" x14ac:dyDescent="0.2">
      <c r="B2350" s="32">
        <v>45862</v>
      </c>
      <c r="C2350" t="s">
        <v>109</v>
      </c>
      <c r="D2350" s="13" t="s">
        <v>634</v>
      </c>
      <c r="E2350" t="s">
        <v>205</v>
      </c>
      <c r="F2350" s="11">
        <v>1</v>
      </c>
      <c r="G2350" s="11">
        <v>71428.570000000007</v>
      </c>
    </row>
    <row r="2351" spans="2:7" x14ac:dyDescent="0.2">
      <c r="B2351" s="32">
        <v>45862</v>
      </c>
      <c r="C2351" t="s">
        <v>109</v>
      </c>
      <c r="D2351" s="13" t="s">
        <v>634</v>
      </c>
      <c r="E2351" t="s">
        <v>176</v>
      </c>
      <c r="F2351" s="11">
        <v>1</v>
      </c>
      <c r="G2351" s="11">
        <v>50000</v>
      </c>
    </row>
    <row r="2352" spans="2:7" x14ac:dyDescent="0.2">
      <c r="B2352" s="32">
        <v>45862</v>
      </c>
      <c r="C2352" t="s">
        <v>109</v>
      </c>
      <c r="D2352" s="13" t="s">
        <v>634</v>
      </c>
      <c r="E2352" t="s">
        <v>325</v>
      </c>
      <c r="F2352" s="11">
        <v>1</v>
      </c>
      <c r="G2352" s="11">
        <v>49999.99</v>
      </c>
    </row>
    <row r="2353" spans="2:7" x14ac:dyDescent="0.2">
      <c r="B2353" s="32">
        <v>45862</v>
      </c>
      <c r="C2353" t="s">
        <v>109</v>
      </c>
      <c r="D2353" s="13" t="s">
        <v>634</v>
      </c>
      <c r="E2353" t="s">
        <v>203</v>
      </c>
      <c r="F2353" s="11">
        <v>1</v>
      </c>
      <c r="G2353" s="11">
        <v>42016.81</v>
      </c>
    </row>
    <row r="2354" spans="2:7" x14ac:dyDescent="0.2">
      <c r="B2354" s="32">
        <v>45862</v>
      </c>
      <c r="C2354" t="s">
        <v>109</v>
      </c>
      <c r="D2354" s="13" t="s">
        <v>634</v>
      </c>
      <c r="E2354" t="s">
        <v>166</v>
      </c>
      <c r="F2354" s="11">
        <v>1</v>
      </c>
      <c r="G2354" s="11">
        <v>42016.81</v>
      </c>
    </row>
    <row r="2355" spans="2:7" x14ac:dyDescent="0.2">
      <c r="B2355" s="32">
        <v>45862</v>
      </c>
      <c r="C2355" t="s">
        <v>109</v>
      </c>
      <c r="D2355" s="13" t="s">
        <v>634</v>
      </c>
      <c r="E2355" t="s">
        <v>246</v>
      </c>
      <c r="F2355" s="11">
        <v>1</v>
      </c>
      <c r="G2355" s="11">
        <v>42016.81</v>
      </c>
    </row>
    <row r="2356" spans="2:7" x14ac:dyDescent="0.2">
      <c r="B2356" s="32">
        <v>45862</v>
      </c>
      <c r="C2356" t="s">
        <v>109</v>
      </c>
      <c r="D2356" s="13" t="s">
        <v>634</v>
      </c>
      <c r="E2356" t="s">
        <v>161</v>
      </c>
      <c r="F2356" s="11">
        <v>1</v>
      </c>
      <c r="G2356" s="11">
        <v>42016.81</v>
      </c>
    </row>
    <row r="2357" spans="2:7" x14ac:dyDescent="0.2">
      <c r="B2357" s="32">
        <v>45862</v>
      </c>
      <c r="C2357" t="s">
        <v>109</v>
      </c>
      <c r="D2357" s="13" t="s">
        <v>634</v>
      </c>
      <c r="E2357" t="s">
        <v>234</v>
      </c>
      <c r="F2357" s="11">
        <v>1</v>
      </c>
      <c r="G2357" s="11">
        <v>37815.129999999997</v>
      </c>
    </row>
    <row r="2358" spans="2:7" x14ac:dyDescent="0.2">
      <c r="B2358" s="32">
        <v>45862</v>
      </c>
      <c r="C2358" t="s">
        <v>109</v>
      </c>
      <c r="D2358" s="13" t="s">
        <v>634</v>
      </c>
      <c r="E2358" t="s">
        <v>452</v>
      </c>
      <c r="F2358" s="11">
        <v>1</v>
      </c>
      <c r="G2358" s="11">
        <v>37815.129999999997</v>
      </c>
    </row>
    <row r="2359" spans="2:7" x14ac:dyDescent="0.2">
      <c r="B2359" s="32">
        <v>45862</v>
      </c>
      <c r="C2359" t="s">
        <v>109</v>
      </c>
      <c r="D2359" s="13" t="s">
        <v>633</v>
      </c>
      <c r="E2359" t="s">
        <v>1951</v>
      </c>
      <c r="F2359" s="11">
        <v>1</v>
      </c>
      <c r="G2359" s="11">
        <v>343697.48</v>
      </c>
    </row>
    <row r="2360" spans="2:7" x14ac:dyDescent="0.2">
      <c r="B2360" s="32">
        <v>45862</v>
      </c>
      <c r="C2360" t="s">
        <v>109</v>
      </c>
      <c r="D2360" s="13" t="s">
        <v>633</v>
      </c>
      <c r="E2360" t="s">
        <v>301</v>
      </c>
      <c r="F2360" s="11">
        <v>1</v>
      </c>
      <c r="G2360" s="11">
        <v>169000</v>
      </c>
    </row>
    <row r="2361" spans="2:7" x14ac:dyDescent="0.2">
      <c r="B2361" s="32">
        <v>45862</v>
      </c>
      <c r="C2361" t="s">
        <v>109</v>
      </c>
      <c r="D2361" s="13" t="s">
        <v>633</v>
      </c>
      <c r="E2361" t="s">
        <v>1702</v>
      </c>
      <c r="F2361" s="11">
        <v>1</v>
      </c>
      <c r="G2361" s="11">
        <v>108403.36</v>
      </c>
    </row>
    <row r="2362" spans="2:7" x14ac:dyDescent="0.2">
      <c r="B2362" s="32">
        <v>45862</v>
      </c>
      <c r="C2362" t="s">
        <v>109</v>
      </c>
      <c r="D2362" s="13" t="s">
        <v>633</v>
      </c>
      <c r="E2362" t="s">
        <v>642</v>
      </c>
      <c r="F2362" s="11">
        <v>2</v>
      </c>
      <c r="G2362" s="11">
        <v>98000</v>
      </c>
    </row>
    <row r="2363" spans="2:7" x14ac:dyDescent="0.2">
      <c r="B2363" s="32">
        <v>45862</v>
      </c>
      <c r="C2363" t="s">
        <v>109</v>
      </c>
      <c r="D2363" s="13" t="s">
        <v>633</v>
      </c>
      <c r="E2363" t="s">
        <v>227</v>
      </c>
      <c r="F2363" s="11">
        <v>1</v>
      </c>
      <c r="G2363" s="11">
        <v>96638.66</v>
      </c>
    </row>
    <row r="2364" spans="2:7" x14ac:dyDescent="0.2">
      <c r="B2364" s="32">
        <v>45862</v>
      </c>
      <c r="C2364" t="s">
        <v>109</v>
      </c>
      <c r="D2364" s="13" t="s">
        <v>633</v>
      </c>
      <c r="E2364" t="s">
        <v>234</v>
      </c>
      <c r="F2364" s="11">
        <v>2</v>
      </c>
      <c r="G2364" s="11">
        <v>75630.259999999995</v>
      </c>
    </row>
    <row r="2365" spans="2:7" x14ac:dyDescent="0.2">
      <c r="B2365" s="32">
        <v>45862</v>
      </c>
      <c r="C2365" t="s">
        <v>109</v>
      </c>
      <c r="D2365" s="13" t="s">
        <v>633</v>
      </c>
      <c r="E2365" t="s">
        <v>352</v>
      </c>
      <c r="F2365" s="11">
        <v>1</v>
      </c>
      <c r="G2365" s="11">
        <v>67226.880000000005</v>
      </c>
    </row>
    <row r="2366" spans="2:7" x14ac:dyDescent="0.2">
      <c r="B2366" s="32">
        <v>45862</v>
      </c>
      <c r="C2366" t="s">
        <v>109</v>
      </c>
      <c r="D2366" s="13" t="s">
        <v>633</v>
      </c>
      <c r="E2366" t="s">
        <v>282</v>
      </c>
      <c r="F2366" s="11">
        <v>1</v>
      </c>
      <c r="G2366" s="11">
        <v>50000</v>
      </c>
    </row>
    <row r="2367" spans="2:7" x14ac:dyDescent="0.2">
      <c r="B2367" s="32">
        <v>45862</v>
      </c>
      <c r="C2367" t="s">
        <v>109</v>
      </c>
      <c r="D2367" s="13" t="s">
        <v>633</v>
      </c>
      <c r="E2367" t="s">
        <v>440</v>
      </c>
      <c r="F2367" s="11">
        <v>1</v>
      </c>
      <c r="G2367" s="11">
        <v>50000</v>
      </c>
    </row>
    <row r="2368" spans="2:7" x14ac:dyDescent="0.2">
      <c r="B2368" s="32">
        <v>45862</v>
      </c>
      <c r="C2368" t="s">
        <v>109</v>
      </c>
      <c r="D2368" s="13" t="s">
        <v>633</v>
      </c>
      <c r="E2368" t="s">
        <v>431</v>
      </c>
      <c r="F2368" s="11">
        <v>1</v>
      </c>
      <c r="G2368" s="11">
        <v>50000</v>
      </c>
    </row>
    <row r="2369" spans="2:7" x14ac:dyDescent="0.2">
      <c r="B2369" s="32">
        <v>45862</v>
      </c>
      <c r="C2369" t="s">
        <v>109</v>
      </c>
      <c r="D2369" s="13" t="s">
        <v>633</v>
      </c>
      <c r="E2369" t="s">
        <v>248</v>
      </c>
      <c r="F2369" s="11">
        <v>1</v>
      </c>
      <c r="G2369" s="11">
        <v>21848.74</v>
      </c>
    </row>
    <row r="2370" spans="2:7" x14ac:dyDescent="0.2">
      <c r="B2370" s="32">
        <v>45862</v>
      </c>
      <c r="C2370" t="s">
        <v>109</v>
      </c>
      <c r="D2370" s="13" t="s">
        <v>633</v>
      </c>
      <c r="F2370" s="11">
        <v>1</v>
      </c>
      <c r="G2370" s="11">
        <v>1</v>
      </c>
    </row>
    <row r="2371" spans="2:7" x14ac:dyDescent="0.2">
      <c r="B2371" s="32">
        <v>45863</v>
      </c>
      <c r="C2371" t="s">
        <v>142</v>
      </c>
      <c r="D2371" s="13" t="s">
        <v>634</v>
      </c>
      <c r="E2371" t="s">
        <v>1952</v>
      </c>
      <c r="F2371" s="11">
        <v>2</v>
      </c>
      <c r="G2371" s="11">
        <v>100000</v>
      </c>
    </row>
    <row r="2372" spans="2:7" x14ac:dyDescent="0.2">
      <c r="B2372" s="32">
        <v>45863</v>
      </c>
      <c r="C2372" t="s">
        <v>142</v>
      </c>
      <c r="D2372" s="13" t="s">
        <v>634</v>
      </c>
      <c r="E2372" t="s">
        <v>551</v>
      </c>
      <c r="F2372" s="11">
        <v>1</v>
      </c>
      <c r="G2372" s="11">
        <v>96638.66</v>
      </c>
    </row>
    <row r="2373" spans="2:7" x14ac:dyDescent="0.2">
      <c r="B2373" s="32">
        <v>45863</v>
      </c>
      <c r="C2373" t="s">
        <v>142</v>
      </c>
      <c r="D2373" s="13" t="s">
        <v>634</v>
      </c>
      <c r="E2373" t="s">
        <v>533</v>
      </c>
      <c r="F2373" s="11">
        <v>1</v>
      </c>
      <c r="G2373" s="11">
        <v>50000</v>
      </c>
    </row>
    <row r="2374" spans="2:7" x14ac:dyDescent="0.2">
      <c r="B2374" s="32">
        <v>45863</v>
      </c>
      <c r="C2374" t="s">
        <v>142</v>
      </c>
      <c r="D2374" s="13" t="s">
        <v>634</v>
      </c>
      <c r="E2374" t="s">
        <v>398</v>
      </c>
      <c r="F2374" s="11">
        <v>1</v>
      </c>
      <c r="G2374" s="11">
        <v>50000</v>
      </c>
    </row>
    <row r="2375" spans="2:7" x14ac:dyDescent="0.2">
      <c r="B2375" s="32">
        <v>45863</v>
      </c>
      <c r="C2375" t="s">
        <v>142</v>
      </c>
      <c r="D2375" s="13" t="s">
        <v>634</v>
      </c>
      <c r="E2375" t="s">
        <v>550</v>
      </c>
      <c r="F2375" s="11">
        <v>1</v>
      </c>
      <c r="G2375" s="11">
        <v>50000</v>
      </c>
    </row>
    <row r="2376" spans="2:7" x14ac:dyDescent="0.2">
      <c r="B2376" s="32">
        <v>45863</v>
      </c>
      <c r="C2376" t="s">
        <v>142</v>
      </c>
      <c r="D2376" s="13" t="s">
        <v>634</v>
      </c>
      <c r="E2376" t="s">
        <v>320</v>
      </c>
      <c r="F2376" s="11">
        <v>1</v>
      </c>
      <c r="G2376" s="11">
        <v>50000</v>
      </c>
    </row>
    <row r="2377" spans="2:7" x14ac:dyDescent="0.2">
      <c r="B2377" s="32">
        <v>45863</v>
      </c>
      <c r="C2377" t="s">
        <v>142</v>
      </c>
      <c r="D2377" s="13" t="s">
        <v>634</v>
      </c>
      <c r="E2377" t="s">
        <v>247</v>
      </c>
      <c r="F2377" s="11">
        <v>1</v>
      </c>
      <c r="G2377" s="11">
        <v>50000</v>
      </c>
    </row>
    <row r="2378" spans="2:7" x14ac:dyDescent="0.2">
      <c r="B2378" s="32">
        <v>45863</v>
      </c>
      <c r="C2378" t="s">
        <v>142</v>
      </c>
      <c r="D2378" s="13" t="s">
        <v>634</v>
      </c>
      <c r="E2378" t="s">
        <v>215</v>
      </c>
      <c r="F2378" s="11">
        <v>1</v>
      </c>
      <c r="G2378" s="11">
        <v>46218.49</v>
      </c>
    </row>
    <row r="2379" spans="2:7" x14ac:dyDescent="0.2">
      <c r="B2379" s="32">
        <v>45863</v>
      </c>
      <c r="C2379" t="s">
        <v>142</v>
      </c>
      <c r="D2379" s="13" t="s">
        <v>634</v>
      </c>
      <c r="F2379" s="11">
        <v>1</v>
      </c>
      <c r="G2379" s="11">
        <v>21008.400000000001</v>
      </c>
    </row>
    <row r="2380" spans="2:7" x14ac:dyDescent="0.2">
      <c r="B2380" s="32">
        <v>45863</v>
      </c>
      <c r="C2380" t="s">
        <v>142</v>
      </c>
      <c r="D2380" s="13" t="s">
        <v>634</v>
      </c>
      <c r="E2380" t="s">
        <v>1796</v>
      </c>
      <c r="F2380" s="11">
        <v>1</v>
      </c>
      <c r="G2380" s="11">
        <v>21008.400000000001</v>
      </c>
    </row>
    <row r="2381" spans="2:7" x14ac:dyDescent="0.2">
      <c r="B2381" s="32">
        <v>45863</v>
      </c>
      <c r="C2381" t="s">
        <v>142</v>
      </c>
      <c r="D2381" s="13" t="s">
        <v>633</v>
      </c>
      <c r="E2381" t="s">
        <v>191</v>
      </c>
      <c r="F2381" s="11">
        <v>1</v>
      </c>
      <c r="G2381" s="11">
        <v>121428.57</v>
      </c>
    </row>
    <row r="2382" spans="2:7" x14ac:dyDescent="0.2">
      <c r="B2382" s="32">
        <v>45863</v>
      </c>
      <c r="C2382" t="s">
        <v>142</v>
      </c>
      <c r="D2382" s="13" t="s">
        <v>633</v>
      </c>
      <c r="E2382" t="s">
        <v>169</v>
      </c>
      <c r="F2382" s="11">
        <v>1</v>
      </c>
      <c r="G2382" s="11">
        <v>94117.65</v>
      </c>
    </row>
    <row r="2383" spans="2:7" x14ac:dyDescent="0.2">
      <c r="B2383" s="32">
        <v>45863</v>
      </c>
      <c r="C2383" t="s">
        <v>142</v>
      </c>
      <c r="D2383" s="13" t="s">
        <v>633</v>
      </c>
      <c r="E2383" t="s">
        <v>475</v>
      </c>
      <c r="F2383" s="11">
        <v>1</v>
      </c>
      <c r="G2383" s="11">
        <v>71428.570000000007</v>
      </c>
    </row>
    <row r="2384" spans="2:7" x14ac:dyDescent="0.2">
      <c r="B2384" s="32">
        <v>45863</v>
      </c>
      <c r="C2384" t="s">
        <v>142</v>
      </c>
      <c r="D2384" s="13" t="s">
        <v>633</v>
      </c>
      <c r="E2384" t="s">
        <v>427</v>
      </c>
      <c r="F2384" s="11">
        <v>1</v>
      </c>
      <c r="G2384" s="11">
        <v>54621.85</v>
      </c>
    </row>
    <row r="2385" spans="2:7" x14ac:dyDescent="0.2">
      <c r="B2385" s="32">
        <v>45863</v>
      </c>
      <c r="C2385" t="s">
        <v>142</v>
      </c>
      <c r="D2385" s="13" t="s">
        <v>633</v>
      </c>
      <c r="E2385" t="s">
        <v>234</v>
      </c>
      <c r="F2385" s="11">
        <v>1</v>
      </c>
      <c r="G2385" s="11">
        <v>37815.129999999997</v>
      </c>
    </row>
    <row r="2386" spans="2:7" x14ac:dyDescent="0.2">
      <c r="B2386" s="32">
        <v>45863</v>
      </c>
      <c r="C2386" t="s">
        <v>142</v>
      </c>
      <c r="D2386" s="13" t="s">
        <v>633</v>
      </c>
      <c r="F2386" s="11">
        <v>0</v>
      </c>
      <c r="G2386" s="11">
        <v>0</v>
      </c>
    </row>
    <row r="2387" spans="2:7" x14ac:dyDescent="0.2">
      <c r="B2387" s="32">
        <v>45863</v>
      </c>
      <c r="C2387" t="s">
        <v>109</v>
      </c>
      <c r="D2387" s="13" t="s">
        <v>634</v>
      </c>
      <c r="E2387" t="s">
        <v>818</v>
      </c>
      <c r="F2387" s="11">
        <v>1</v>
      </c>
      <c r="G2387" s="11">
        <v>214285.71</v>
      </c>
    </row>
    <row r="2388" spans="2:7" x14ac:dyDescent="0.2">
      <c r="B2388" s="32">
        <v>45863</v>
      </c>
      <c r="C2388" t="s">
        <v>109</v>
      </c>
      <c r="D2388" s="13" t="s">
        <v>634</v>
      </c>
      <c r="E2388" t="s">
        <v>736</v>
      </c>
      <c r="F2388" s="11">
        <v>0</v>
      </c>
      <c r="G2388" s="11">
        <v>49579.83</v>
      </c>
    </row>
    <row r="2389" spans="2:7" x14ac:dyDescent="0.2">
      <c r="B2389" s="32">
        <v>45863</v>
      </c>
      <c r="C2389" t="s">
        <v>109</v>
      </c>
      <c r="D2389" s="13" t="s">
        <v>634</v>
      </c>
      <c r="E2389" t="s">
        <v>193</v>
      </c>
      <c r="F2389" s="11">
        <v>1</v>
      </c>
      <c r="G2389" s="11">
        <v>21848.74</v>
      </c>
    </row>
    <row r="2390" spans="2:7" x14ac:dyDescent="0.2">
      <c r="B2390" s="32">
        <v>45863</v>
      </c>
      <c r="C2390" t="s">
        <v>109</v>
      </c>
      <c r="D2390" s="13" t="s">
        <v>633</v>
      </c>
      <c r="E2390" t="s">
        <v>778</v>
      </c>
      <c r="F2390" s="11">
        <v>1</v>
      </c>
      <c r="G2390" s="11">
        <v>119000</v>
      </c>
    </row>
    <row r="2391" spans="2:7" x14ac:dyDescent="0.2">
      <c r="B2391" s="32">
        <v>45863</v>
      </c>
      <c r="C2391" t="s">
        <v>109</v>
      </c>
      <c r="D2391" s="13" t="s">
        <v>633</v>
      </c>
      <c r="E2391" t="s">
        <v>524</v>
      </c>
      <c r="F2391" s="11">
        <v>1</v>
      </c>
      <c r="G2391" s="11">
        <v>107142.86</v>
      </c>
    </row>
    <row r="2392" spans="2:7" x14ac:dyDescent="0.2">
      <c r="B2392" s="32">
        <v>45863</v>
      </c>
      <c r="C2392" t="s">
        <v>109</v>
      </c>
      <c r="D2392" s="13" t="s">
        <v>633</v>
      </c>
      <c r="E2392" t="s">
        <v>292</v>
      </c>
      <c r="F2392" s="11">
        <v>1</v>
      </c>
      <c r="G2392" s="11">
        <v>85714.29</v>
      </c>
    </row>
    <row r="2393" spans="2:7" x14ac:dyDescent="0.2">
      <c r="B2393" s="32">
        <v>45863</v>
      </c>
      <c r="C2393" t="s">
        <v>109</v>
      </c>
      <c r="D2393" s="13" t="s">
        <v>633</v>
      </c>
      <c r="E2393" t="s">
        <v>1953</v>
      </c>
      <c r="F2393" s="11">
        <v>1</v>
      </c>
      <c r="G2393" s="11">
        <v>85714.29</v>
      </c>
    </row>
    <row r="2394" spans="2:7" x14ac:dyDescent="0.2">
      <c r="B2394" s="32">
        <v>45863</v>
      </c>
      <c r="C2394" t="s">
        <v>109</v>
      </c>
      <c r="D2394" s="13" t="s">
        <v>633</v>
      </c>
      <c r="E2394" t="s">
        <v>428</v>
      </c>
      <c r="F2394" s="11">
        <v>1</v>
      </c>
      <c r="G2394" s="11">
        <v>85714.29</v>
      </c>
    </row>
    <row r="2395" spans="2:7" x14ac:dyDescent="0.2">
      <c r="B2395" s="32">
        <v>45863</v>
      </c>
      <c r="C2395" t="s">
        <v>109</v>
      </c>
      <c r="D2395" s="13" t="s">
        <v>633</v>
      </c>
      <c r="E2395" t="s">
        <v>638</v>
      </c>
      <c r="F2395" s="11">
        <v>1</v>
      </c>
      <c r="G2395" s="11">
        <v>85714.29</v>
      </c>
    </row>
    <row r="2396" spans="2:7" x14ac:dyDescent="0.2">
      <c r="B2396" s="32">
        <v>45863</v>
      </c>
      <c r="C2396" t="s">
        <v>109</v>
      </c>
      <c r="D2396" s="13" t="s">
        <v>633</v>
      </c>
      <c r="E2396" t="s">
        <v>282</v>
      </c>
      <c r="F2396" s="11">
        <v>1</v>
      </c>
      <c r="G2396" s="11">
        <v>71428.570000000007</v>
      </c>
    </row>
    <row r="2397" spans="2:7" x14ac:dyDescent="0.2">
      <c r="B2397" s="32">
        <v>45863</v>
      </c>
      <c r="C2397" t="s">
        <v>109</v>
      </c>
      <c r="D2397" s="13" t="s">
        <v>633</v>
      </c>
      <c r="E2397" t="s">
        <v>318</v>
      </c>
      <c r="F2397" s="11">
        <v>1</v>
      </c>
      <c r="G2397" s="11">
        <v>71428.56</v>
      </c>
    </row>
    <row r="2398" spans="2:7" x14ac:dyDescent="0.2">
      <c r="B2398" s="32">
        <v>45863</v>
      </c>
      <c r="C2398" t="s">
        <v>109</v>
      </c>
      <c r="D2398" s="13" t="s">
        <v>633</v>
      </c>
      <c r="E2398" t="s">
        <v>224</v>
      </c>
      <c r="F2398" s="11">
        <v>1</v>
      </c>
      <c r="G2398" s="11">
        <v>58823.53</v>
      </c>
    </row>
    <row r="2399" spans="2:7" x14ac:dyDescent="0.2">
      <c r="B2399" s="32">
        <v>45863</v>
      </c>
      <c r="C2399" t="s">
        <v>109</v>
      </c>
      <c r="D2399" s="13" t="s">
        <v>633</v>
      </c>
      <c r="E2399" t="s">
        <v>1845</v>
      </c>
      <c r="F2399" s="11">
        <v>1</v>
      </c>
      <c r="G2399" s="11">
        <v>58823.53</v>
      </c>
    </row>
    <row r="2400" spans="2:7" x14ac:dyDescent="0.2">
      <c r="B2400" s="32">
        <v>45863</v>
      </c>
      <c r="C2400" t="s">
        <v>109</v>
      </c>
      <c r="D2400" s="13" t="s">
        <v>633</v>
      </c>
      <c r="E2400" t="s">
        <v>259</v>
      </c>
      <c r="F2400" s="11">
        <v>1</v>
      </c>
      <c r="G2400" s="11">
        <v>58823.53</v>
      </c>
    </row>
    <row r="2401" spans="2:7" x14ac:dyDescent="0.2">
      <c r="B2401" s="32">
        <v>45863</v>
      </c>
      <c r="C2401" t="s">
        <v>109</v>
      </c>
      <c r="D2401" s="13" t="s">
        <v>633</v>
      </c>
      <c r="E2401" t="s">
        <v>1946</v>
      </c>
      <c r="F2401" s="11">
        <v>1</v>
      </c>
      <c r="G2401" s="11">
        <v>58823.53</v>
      </c>
    </row>
    <row r="2402" spans="2:7" x14ac:dyDescent="0.2">
      <c r="B2402" s="32">
        <v>45863</v>
      </c>
      <c r="C2402" t="s">
        <v>109</v>
      </c>
      <c r="D2402" s="13" t="s">
        <v>633</v>
      </c>
      <c r="E2402" t="s">
        <v>208</v>
      </c>
      <c r="F2402" s="11">
        <v>1</v>
      </c>
      <c r="G2402" s="11">
        <v>58823.53</v>
      </c>
    </row>
    <row r="2403" spans="2:7" x14ac:dyDescent="0.2">
      <c r="B2403" s="32">
        <v>45863</v>
      </c>
      <c r="C2403" t="s">
        <v>109</v>
      </c>
      <c r="D2403" s="13" t="s">
        <v>633</v>
      </c>
      <c r="E2403" t="s">
        <v>653</v>
      </c>
      <c r="F2403" s="11">
        <v>1</v>
      </c>
      <c r="G2403" s="11">
        <v>58823.53</v>
      </c>
    </row>
    <row r="2404" spans="2:7" x14ac:dyDescent="0.2">
      <c r="B2404" s="32">
        <v>45863</v>
      </c>
      <c r="C2404" t="s">
        <v>109</v>
      </c>
      <c r="D2404" s="13" t="s">
        <v>633</v>
      </c>
      <c r="E2404" t="s">
        <v>374</v>
      </c>
      <c r="F2404" s="11">
        <v>1</v>
      </c>
      <c r="G2404" s="11">
        <v>58823.53</v>
      </c>
    </row>
    <row r="2405" spans="2:7" x14ac:dyDescent="0.2">
      <c r="B2405" s="32">
        <v>45863</v>
      </c>
      <c r="C2405" t="s">
        <v>109</v>
      </c>
      <c r="D2405" s="13" t="s">
        <v>633</v>
      </c>
      <c r="E2405" t="s">
        <v>677</v>
      </c>
      <c r="F2405" s="11">
        <v>1</v>
      </c>
      <c r="G2405" s="11">
        <v>58823.519999999997</v>
      </c>
    </row>
    <row r="2406" spans="2:7" x14ac:dyDescent="0.2">
      <c r="B2406" s="32">
        <v>45863</v>
      </c>
      <c r="C2406" t="s">
        <v>109</v>
      </c>
      <c r="D2406" s="13" t="s">
        <v>633</v>
      </c>
      <c r="E2406" t="s">
        <v>533</v>
      </c>
      <c r="F2406" s="11">
        <v>1</v>
      </c>
      <c r="G2406" s="11">
        <v>50000</v>
      </c>
    </row>
    <row r="2407" spans="2:7" x14ac:dyDescent="0.2">
      <c r="B2407" s="32">
        <v>45863</v>
      </c>
      <c r="C2407" t="s">
        <v>109</v>
      </c>
      <c r="D2407" s="13" t="s">
        <v>633</v>
      </c>
      <c r="E2407" t="s">
        <v>243</v>
      </c>
      <c r="F2407" s="11">
        <v>1</v>
      </c>
      <c r="G2407" s="11">
        <v>46428.57</v>
      </c>
    </row>
    <row r="2408" spans="2:7" x14ac:dyDescent="0.2">
      <c r="B2408" s="32">
        <v>45863</v>
      </c>
      <c r="C2408" t="s">
        <v>109</v>
      </c>
      <c r="D2408" s="13" t="s">
        <v>633</v>
      </c>
      <c r="E2408" t="s">
        <v>218</v>
      </c>
      <c r="F2408" s="11">
        <v>2</v>
      </c>
      <c r="G2408" s="11">
        <v>42016.81</v>
      </c>
    </row>
    <row r="2409" spans="2:7" x14ac:dyDescent="0.2">
      <c r="B2409" s="32">
        <v>45863</v>
      </c>
      <c r="C2409" t="s">
        <v>109</v>
      </c>
      <c r="D2409" s="13" t="s">
        <v>633</v>
      </c>
      <c r="F2409" s="11">
        <v>0</v>
      </c>
      <c r="G2409" s="11">
        <v>0</v>
      </c>
    </row>
    <row r="2410" spans="2:7" x14ac:dyDescent="0.2">
      <c r="B2410" s="32">
        <v>45864</v>
      </c>
      <c r="C2410" t="s">
        <v>142</v>
      </c>
      <c r="D2410" s="13" t="s">
        <v>634</v>
      </c>
      <c r="E2410" t="s">
        <v>308</v>
      </c>
      <c r="F2410" s="11">
        <v>1</v>
      </c>
      <c r="G2410" s="11">
        <v>96638.66</v>
      </c>
    </row>
    <row r="2411" spans="2:7" x14ac:dyDescent="0.2">
      <c r="B2411" s="32">
        <v>45864</v>
      </c>
      <c r="C2411" t="s">
        <v>142</v>
      </c>
      <c r="D2411" s="13" t="s">
        <v>634</v>
      </c>
      <c r="E2411" t="s">
        <v>169</v>
      </c>
      <c r="F2411" s="11">
        <v>1</v>
      </c>
      <c r="G2411" s="11">
        <v>96638.66</v>
      </c>
    </row>
    <row r="2412" spans="2:7" x14ac:dyDescent="0.2">
      <c r="B2412" s="32">
        <v>45864</v>
      </c>
      <c r="C2412" t="s">
        <v>142</v>
      </c>
      <c r="D2412" s="13" t="s">
        <v>634</v>
      </c>
      <c r="E2412" t="s">
        <v>228</v>
      </c>
      <c r="F2412" s="11">
        <v>1</v>
      </c>
      <c r="G2412" s="11">
        <v>85714.29</v>
      </c>
    </row>
    <row r="2413" spans="2:7" x14ac:dyDescent="0.2">
      <c r="B2413" s="32">
        <v>45864</v>
      </c>
      <c r="C2413" t="s">
        <v>142</v>
      </c>
      <c r="D2413" s="13" t="s">
        <v>634</v>
      </c>
      <c r="E2413" t="s">
        <v>440</v>
      </c>
      <c r="F2413" s="11">
        <v>1</v>
      </c>
      <c r="G2413" s="11">
        <v>50000</v>
      </c>
    </row>
    <row r="2414" spans="2:7" x14ac:dyDescent="0.2">
      <c r="B2414" s="32">
        <v>45864</v>
      </c>
      <c r="C2414" t="s">
        <v>142</v>
      </c>
      <c r="D2414" s="13" t="s">
        <v>634</v>
      </c>
      <c r="E2414" t="s">
        <v>257</v>
      </c>
      <c r="F2414" s="11">
        <v>1</v>
      </c>
      <c r="G2414" s="11">
        <v>50000</v>
      </c>
    </row>
    <row r="2415" spans="2:7" x14ac:dyDescent="0.2">
      <c r="B2415" s="32">
        <v>45864</v>
      </c>
      <c r="C2415" t="s">
        <v>142</v>
      </c>
      <c r="D2415" s="13" t="s">
        <v>634</v>
      </c>
      <c r="E2415" t="s">
        <v>492</v>
      </c>
      <c r="F2415" s="11">
        <v>1</v>
      </c>
      <c r="G2415" s="11">
        <v>50000</v>
      </c>
    </row>
    <row r="2416" spans="2:7" x14ac:dyDescent="0.2">
      <c r="B2416" s="32">
        <v>45864</v>
      </c>
      <c r="C2416" t="s">
        <v>142</v>
      </c>
      <c r="D2416" s="13" t="s">
        <v>634</v>
      </c>
      <c r="E2416" t="s">
        <v>181</v>
      </c>
      <c r="F2416" s="11">
        <v>1</v>
      </c>
      <c r="G2416" s="11">
        <v>50000</v>
      </c>
    </row>
    <row r="2417" spans="2:7" x14ac:dyDescent="0.2">
      <c r="B2417" s="32">
        <v>45864</v>
      </c>
      <c r="C2417" t="s">
        <v>142</v>
      </c>
      <c r="D2417" s="13" t="s">
        <v>634</v>
      </c>
      <c r="E2417" t="s">
        <v>1704</v>
      </c>
      <c r="F2417" s="11">
        <v>1</v>
      </c>
      <c r="G2417" s="11">
        <v>46428.56</v>
      </c>
    </row>
    <row r="2418" spans="2:7" x14ac:dyDescent="0.2">
      <c r="B2418" s="32">
        <v>45864</v>
      </c>
      <c r="C2418" t="s">
        <v>142</v>
      </c>
      <c r="D2418" s="13" t="s">
        <v>634</v>
      </c>
      <c r="F2418" s="11">
        <v>0</v>
      </c>
      <c r="G2418" s="11">
        <v>0</v>
      </c>
    </row>
    <row r="2419" spans="2:7" x14ac:dyDescent="0.2">
      <c r="B2419" s="32">
        <v>45864</v>
      </c>
      <c r="C2419" t="s">
        <v>142</v>
      </c>
      <c r="D2419" s="13" t="s">
        <v>633</v>
      </c>
      <c r="E2419" t="s">
        <v>243</v>
      </c>
      <c r="F2419" s="11">
        <v>2</v>
      </c>
      <c r="G2419" s="11">
        <v>171428.57</v>
      </c>
    </row>
    <row r="2420" spans="2:7" x14ac:dyDescent="0.2">
      <c r="B2420" s="32">
        <v>45864</v>
      </c>
      <c r="C2420" t="s">
        <v>142</v>
      </c>
      <c r="D2420" s="13" t="s">
        <v>633</v>
      </c>
      <c r="E2420" t="s">
        <v>242</v>
      </c>
      <c r="F2420" s="11">
        <v>1</v>
      </c>
      <c r="G2420" s="11">
        <v>110714.29</v>
      </c>
    </row>
    <row r="2421" spans="2:7" x14ac:dyDescent="0.2">
      <c r="B2421" s="32">
        <v>45864</v>
      </c>
      <c r="C2421" t="s">
        <v>142</v>
      </c>
      <c r="D2421" s="13" t="s">
        <v>633</v>
      </c>
      <c r="F2421" s="11">
        <v>0</v>
      </c>
      <c r="G2421" s="11">
        <v>0</v>
      </c>
    </row>
    <row r="2422" spans="2:7" x14ac:dyDescent="0.2">
      <c r="B2422" s="32">
        <v>45864</v>
      </c>
      <c r="C2422" t="s">
        <v>1739</v>
      </c>
      <c r="D2422" s="13" t="s">
        <v>633</v>
      </c>
      <c r="E2422" t="s">
        <v>628</v>
      </c>
      <c r="F2422" s="11">
        <v>1</v>
      </c>
      <c r="G2422" s="11">
        <v>46428.58</v>
      </c>
    </row>
    <row r="2423" spans="2:7" x14ac:dyDescent="0.2">
      <c r="B2423" s="32">
        <v>45864</v>
      </c>
      <c r="C2423" t="s">
        <v>1739</v>
      </c>
      <c r="D2423" s="13" t="s">
        <v>633</v>
      </c>
      <c r="E2423" t="s">
        <v>679</v>
      </c>
      <c r="F2423" s="11">
        <v>1</v>
      </c>
      <c r="G2423" s="11">
        <v>46428.57</v>
      </c>
    </row>
    <row r="2424" spans="2:7" x14ac:dyDescent="0.2">
      <c r="B2424" s="32">
        <v>45864</v>
      </c>
      <c r="C2424" t="s">
        <v>1739</v>
      </c>
      <c r="D2424" s="13" t="s">
        <v>633</v>
      </c>
      <c r="E2424" t="s">
        <v>1847</v>
      </c>
      <c r="F2424" s="11">
        <v>1</v>
      </c>
      <c r="G2424" s="11">
        <v>21008.400000000001</v>
      </c>
    </row>
    <row r="2425" spans="2:7" x14ac:dyDescent="0.2">
      <c r="B2425" s="32">
        <v>45864</v>
      </c>
      <c r="C2425" t="s">
        <v>109</v>
      </c>
      <c r="D2425" s="13" t="s">
        <v>634</v>
      </c>
      <c r="E2425" t="s">
        <v>501</v>
      </c>
      <c r="F2425" s="11">
        <v>1</v>
      </c>
      <c r="G2425" s="11">
        <v>100000</v>
      </c>
    </row>
    <row r="2426" spans="2:7" x14ac:dyDescent="0.2">
      <c r="B2426" s="32">
        <v>45864</v>
      </c>
      <c r="C2426" t="s">
        <v>109</v>
      </c>
      <c r="D2426" s="13" t="s">
        <v>634</v>
      </c>
      <c r="E2426" t="s">
        <v>764</v>
      </c>
      <c r="F2426" s="11">
        <v>1</v>
      </c>
      <c r="G2426" s="11">
        <v>50420.17</v>
      </c>
    </row>
    <row r="2427" spans="2:7" x14ac:dyDescent="0.2">
      <c r="B2427" s="32">
        <v>45864</v>
      </c>
      <c r="C2427" t="s">
        <v>109</v>
      </c>
      <c r="D2427" s="13" t="s">
        <v>634</v>
      </c>
      <c r="E2427" t="s">
        <v>619</v>
      </c>
      <c r="F2427" s="11">
        <v>1</v>
      </c>
      <c r="G2427" s="11">
        <v>50420.17</v>
      </c>
    </row>
    <row r="2428" spans="2:7" x14ac:dyDescent="0.2">
      <c r="B2428" s="32">
        <v>45864</v>
      </c>
      <c r="C2428" t="s">
        <v>109</v>
      </c>
      <c r="D2428" s="13" t="s">
        <v>634</v>
      </c>
      <c r="E2428" t="s">
        <v>254</v>
      </c>
      <c r="F2428" s="11">
        <v>1</v>
      </c>
      <c r="G2428" s="11">
        <v>50420.160000000003</v>
      </c>
    </row>
    <row r="2429" spans="2:7" x14ac:dyDescent="0.2">
      <c r="B2429" s="32">
        <v>45864</v>
      </c>
      <c r="C2429" t="s">
        <v>109</v>
      </c>
      <c r="D2429" s="13" t="s">
        <v>634</v>
      </c>
      <c r="E2429" t="s">
        <v>306</v>
      </c>
      <c r="F2429" s="11">
        <v>1</v>
      </c>
      <c r="G2429" s="11">
        <v>50000</v>
      </c>
    </row>
    <row r="2430" spans="2:7" x14ac:dyDescent="0.2">
      <c r="B2430" s="32">
        <v>45864</v>
      </c>
      <c r="C2430" t="s">
        <v>109</v>
      </c>
      <c r="D2430" s="13" t="s">
        <v>634</v>
      </c>
      <c r="E2430" t="s">
        <v>233</v>
      </c>
      <c r="F2430" s="11">
        <v>1</v>
      </c>
      <c r="G2430" s="11">
        <v>50000</v>
      </c>
    </row>
    <row r="2431" spans="2:7" x14ac:dyDescent="0.2">
      <c r="B2431" s="32">
        <v>45864</v>
      </c>
      <c r="C2431" t="s">
        <v>109</v>
      </c>
      <c r="D2431" s="13" t="s">
        <v>634</v>
      </c>
      <c r="E2431" t="s">
        <v>1749</v>
      </c>
      <c r="F2431" s="11">
        <v>1</v>
      </c>
      <c r="G2431" s="11">
        <v>46218.49</v>
      </c>
    </row>
    <row r="2432" spans="2:7" x14ac:dyDescent="0.2">
      <c r="B2432" s="32">
        <v>45864</v>
      </c>
      <c r="C2432" t="s">
        <v>109</v>
      </c>
      <c r="D2432" s="13" t="s">
        <v>634</v>
      </c>
      <c r="E2432" t="s">
        <v>238</v>
      </c>
      <c r="F2432" s="11">
        <v>1</v>
      </c>
      <c r="G2432" s="11">
        <v>46218.49</v>
      </c>
    </row>
    <row r="2433" spans="2:7" x14ac:dyDescent="0.2">
      <c r="B2433" s="32">
        <v>45864</v>
      </c>
      <c r="C2433" t="s">
        <v>109</v>
      </c>
      <c r="D2433" s="13" t="s">
        <v>634</v>
      </c>
      <c r="E2433" t="s">
        <v>206</v>
      </c>
      <c r="F2433" s="11">
        <v>1</v>
      </c>
      <c r="G2433" s="11">
        <v>37815.129999999997</v>
      </c>
    </row>
    <row r="2434" spans="2:7" x14ac:dyDescent="0.2">
      <c r="B2434" s="32">
        <v>45864</v>
      </c>
      <c r="C2434" t="s">
        <v>109</v>
      </c>
      <c r="D2434" s="13" t="s">
        <v>634</v>
      </c>
      <c r="E2434" t="s">
        <v>148</v>
      </c>
      <c r="F2434" s="11">
        <v>1</v>
      </c>
      <c r="G2434" s="11">
        <v>37815.129999999997</v>
      </c>
    </row>
    <row r="2435" spans="2:7" x14ac:dyDescent="0.2">
      <c r="B2435" s="32">
        <v>45864</v>
      </c>
      <c r="C2435" t="s">
        <v>109</v>
      </c>
      <c r="D2435" s="13" t="s">
        <v>634</v>
      </c>
      <c r="E2435" t="s">
        <v>293</v>
      </c>
      <c r="F2435" s="11">
        <v>1</v>
      </c>
      <c r="G2435" s="11">
        <v>37815.120000000003</v>
      </c>
    </row>
    <row r="2436" spans="2:7" x14ac:dyDescent="0.2">
      <c r="B2436" s="32">
        <v>45864</v>
      </c>
      <c r="C2436" t="s">
        <v>109</v>
      </c>
      <c r="D2436" s="13" t="s">
        <v>634</v>
      </c>
      <c r="E2436" t="s">
        <v>234</v>
      </c>
      <c r="F2436" s="11">
        <v>1</v>
      </c>
      <c r="G2436" s="11">
        <v>37815.120000000003</v>
      </c>
    </row>
    <row r="2437" spans="2:7" x14ac:dyDescent="0.2">
      <c r="B2437" s="32">
        <v>45864</v>
      </c>
      <c r="C2437" t="s">
        <v>109</v>
      </c>
      <c r="D2437" s="13" t="s">
        <v>633</v>
      </c>
      <c r="E2437" t="s">
        <v>318</v>
      </c>
      <c r="F2437" s="11">
        <v>1</v>
      </c>
      <c r="G2437" s="11">
        <v>107142.86</v>
      </c>
    </row>
    <row r="2438" spans="2:7" x14ac:dyDescent="0.2">
      <c r="B2438" s="32">
        <v>45864</v>
      </c>
      <c r="C2438" t="s">
        <v>109</v>
      </c>
      <c r="D2438" s="13" t="s">
        <v>633</v>
      </c>
      <c r="E2438" t="s">
        <v>342</v>
      </c>
      <c r="F2438" s="11">
        <v>2</v>
      </c>
      <c r="G2438" s="11">
        <v>43697.48</v>
      </c>
    </row>
    <row r="2439" spans="2:7" x14ac:dyDescent="0.2">
      <c r="B2439" s="32">
        <v>45865</v>
      </c>
      <c r="C2439" t="s">
        <v>142</v>
      </c>
      <c r="D2439" s="13" t="s">
        <v>634</v>
      </c>
      <c r="E2439" t="s">
        <v>620</v>
      </c>
      <c r="F2439" s="11">
        <v>1</v>
      </c>
      <c r="G2439" s="11">
        <v>121428.57</v>
      </c>
    </row>
    <row r="2440" spans="2:7" x14ac:dyDescent="0.2">
      <c r="B2440" s="32">
        <v>45865</v>
      </c>
      <c r="C2440" t="s">
        <v>142</v>
      </c>
      <c r="D2440" s="13" t="s">
        <v>634</v>
      </c>
      <c r="E2440" t="s">
        <v>200</v>
      </c>
      <c r="F2440" s="11">
        <v>1</v>
      </c>
      <c r="G2440" s="11">
        <v>121428.57</v>
      </c>
    </row>
    <row r="2441" spans="2:7" x14ac:dyDescent="0.2">
      <c r="B2441" s="32">
        <v>45865</v>
      </c>
      <c r="C2441" t="s">
        <v>142</v>
      </c>
      <c r="D2441" s="13" t="s">
        <v>634</v>
      </c>
      <c r="E2441" t="s">
        <v>190</v>
      </c>
      <c r="F2441" s="11">
        <v>1</v>
      </c>
      <c r="G2441" s="11">
        <v>67857.14</v>
      </c>
    </row>
    <row r="2442" spans="2:7" x14ac:dyDescent="0.2">
      <c r="B2442" s="32">
        <v>45865</v>
      </c>
      <c r="C2442" t="s">
        <v>142</v>
      </c>
      <c r="D2442" s="13" t="s">
        <v>634</v>
      </c>
      <c r="E2442" t="s">
        <v>275</v>
      </c>
      <c r="F2442" s="11">
        <v>1</v>
      </c>
      <c r="G2442" s="11">
        <v>50000</v>
      </c>
    </row>
    <row r="2443" spans="2:7" x14ac:dyDescent="0.2">
      <c r="B2443" s="32">
        <v>45865</v>
      </c>
      <c r="C2443" t="s">
        <v>142</v>
      </c>
      <c r="D2443" s="13" t="s">
        <v>634</v>
      </c>
      <c r="E2443" t="s">
        <v>757</v>
      </c>
      <c r="F2443" s="11">
        <v>1</v>
      </c>
      <c r="G2443" s="11">
        <v>50000</v>
      </c>
    </row>
    <row r="2444" spans="2:7" x14ac:dyDescent="0.2">
      <c r="B2444" s="32">
        <v>45865</v>
      </c>
      <c r="C2444" t="s">
        <v>142</v>
      </c>
      <c r="D2444" s="13" t="s">
        <v>634</v>
      </c>
      <c r="E2444" t="s">
        <v>251</v>
      </c>
      <c r="F2444" s="11">
        <v>1</v>
      </c>
      <c r="G2444" s="11">
        <v>50000</v>
      </c>
    </row>
    <row r="2445" spans="2:7" x14ac:dyDescent="0.2">
      <c r="B2445" s="32">
        <v>45865</v>
      </c>
      <c r="C2445" t="s">
        <v>142</v>
      </c>
      <c r="D2445" s="13" t="s">
        <v>634</v>
      </c>
      <c r="E2445" t="s">
        <v>281</v>
      </c>
      <c r="F2445" s="11">
        <v>1</v>
      </c>
      <c r="G2445" s="11">
        <v>50000</v>
      </c>
    </row>
    <row r="2446" spans="2:7" x14ac:dyDescent="0.2">
      <c r="B2446" s="32">
        <v>45865</v>
      </c>
      <c r="C2446" t="s">
        <v>142</v>
      </c>
      <c r="D2446" s="13" t="s">
        <v>634</v>
      </c>
      <c r="E2446" t="s">
        <v>1891</v>
      </c>
      <c r="F2446" s="11">
        <v>1</v>
      </c>
      <c r="G2446" s="11">
        <v>46428.57</v>
      </c>
    </row>
    <row r="2447" spans="2:7" x14ac:dyDescent="0.2">
      <c r="B2447" s="32">
        <v>45865</v>
      </c>
      <c r="C2447" t="s">
        <v>142</v>
      </c>
      <c r="D2447" s="13" t="s">
        <v>634</v>
      </c>
      <c r="E2447" t="s">
        <v>788</v>
      </c>
      <c r="F2447" s="11">
        <v>1</v>
      </c>
      <c r="G2447" s="11">
        <v>46428.57</v>
      </c>
    </row>
    <row r="2448" spans="2:7" x14ac:dyDescent="0.2">
      <c r="B2448" s="32">
        <v>45865</v>
      </c>
      <c r="C2448" t="s">
        <v>142</v>
      </c>
      <c r="D2448" s="13" t="s">
        <v>634</v>
      </c>
      <c r="F2448" s="11">
        <v>0</v>
      </c>
      <c r="G2448" s="11">
        <v>0</v>
      </c>
    </row>
    <row r="2449" spans="2:7" x14ac:dyDescent="0.2">
      <c r="B2449" s="32">
        <v>45865</v>
      </c>
      <c r="C2449" t="s">
        <v>142</v>
      </c>
      <c r="D2449" s="13" t="s">
        <v>633</v>
      </c>
      <c r="E2449" t="s">
        <v>1928</v>
      </c>
      <c r="F2449" s="11">
        <v>1</v>
      </c>
      <c r="G2449" s="11">
        <v>71428.570000000007</v>
      </c>
    </row>
    <row r="2450" spans="2:7" x14ac:dyDescent="0.2">
      <c r="B2450" s="32">
        <v>45865</v>
      </c>
      <c r="C2450" t="s">
        <v>142</v>
      </c>
      <c r="D2450" s="13" t="s">
        <v>633</v>
      </c>
      <c r="E2450" t="s">
        <v>1901</v>
      </c>
      <c r="F2450" s="11">
        <v>1</v>
      </c>
      <c r="G2450" s="11">
        <v>71428.570000000007</v>
      </c>
    </row>
    <row r="2451" spans="2:7" x14ac:dyDescent="0.2">
      <c r="B2451" s="32">
        <v>45865</v>
      </c>
      <c r="C2451" t="s">
        <v>142</v>
      </c>
      <c r="D2451" s="13" t="s">
        <v>633</v>
      </c>
      <c r="E2451" t="s">
        <v>1845</v>
      </c>
      <c r="F2451" s="11">
        <v>1</v>
      </c>
      <c r="G2451" s="11">
        <v>58823.53</v>
      </c>
    </row>
    <row r="2452" spans="2:7" x14ac:dyDescent="0.2">
      <c r="B2452" s="32">
        <v>45865</v>
      </c>
      <c r="C2452" t="s">
        <v>142</v>
      </c>
      <c r="D2452" s="13" t="s">
        <v>633</v>
      </c>
      <c r="E2452" t="s">
        <v>259</v>
      </c>
      <c r="F2452" s="11">
        <v>1</v>
      </c>
      <c r="G2452" s="11">
        <v>58823.53</v>
      </c>
    </row>
    <row r="2453" spans="2:7" x14ac:dyDescent="0.2">
      <c r="B2453" s="32">
        <v>45865</v>
      </c>
      <c r="C2453" t="s">
        <v>142</v>
      </c>
      <c r="D2453" s="13" t="s">
        <v>633</v>
      </c>
      <c r="E2453" t="s">
        <v>374</v>
      </c>
      <c r="F2453" s="11">
        <v>1</v>
      </c>
      <c r="G2453" s="11">
        <v>58823.53</v>
      </c>
    </row>
    <row r="2454" spans="2:7" x14ac:dyDescent="0.2">
      <c r="B2454" s="32">
        <v>45865</v>
      </c>
      <c r="C2454" t="s">
        <v>142</v>
      </c>
      <c r="D2454" s="13" t="s">
        <v>633</v>
      </c>
      <c r="E2454" t="s">
        <v>236</v>
      </c>
      <c r="F2454" s="11">
        <v>1</v>
      </c>
      <c r="G2454" s="11">
        <v>50000</v>
      </c>
    </row>
    <row r="2455" spans="2:7" x14ac:dyDescent="0.2">
      <c r="B2455" s="32">
        <v>45865</v>
      </c>
      <c r="C2455" t="s">
        <v>142</v>
      </c>
      <c r="D2455" s="13" t="s">
        <v>633</v>
      </c>
      <c r="E2455" t="s">
        <v>494</v>
      </c>
      <c r="F2455" s="11">
        <v>1</v>
      </c>
      <c r="G2455" s="11">
        <v>50000</v>
      </c>
    </row>
    <row r="2456" spans="2:7" x14ac:dyDescent="0.2">
      <c r="B2456" s="32">
        <v>45865</v>
      </c>
      <c r="C2456" t="s">
        <v>142</v>
      </c>
      <c r="D2456" s="13" t="s">
        <v>633</v>
      </c>
      <c r="E2456" t="s">
        <v>163</v>
      </c>
      <c r="F2456" s="11">
        <v>1</v>
      </c>
      <c r="G2456" s="11">
        <v>50000</v>
      </c>
    </row>
    <row r="2457" spans="2:7" x14ac:dyDescent="0.2">
      <c r="B2457" s="32">
        <v>45865</v>
      </c>
      <c r="C2457" t="s">
        <v>142</v>
      </c>
      <c r="D2457" s="13" t="s">
        <v>633</v>
      </c>
      <c r="E2457" t="s">
        <v>315</v>
      </c>
      <c r="F2457" s="11">
        <v>1</v>
      </c>
      <c r="G2457" s="11">
        <v>50000</v>
      </c>
    </row>
    <row r="2458" spans="2:7" x14ac:dyDescent="0.2">
      <c r="B2458" s="32">
        <v>45865</v>
      </c>
      <c r="C2458" t="s">
        <v>142</v>
      </c>
      <c r="D2458" s="13" t="s">
        <v>633</v>
      </c>
      <c r="E2458" t="s">
        <v>440</v>
      </c>
      <c r="F2458" s="11">
        <v>1</v>
      </c>
      <c r="G2458" s="11">
        <v>50000</v>
      </c>
    </row>
    <row r="2459" spans="2:7" x14ac:dyDescent="0.2">
      <c r="B2459" s="32">
        <v>45865</v>
      </c>
      <c r="C2459" t="s">
        <v>142</v>
      </c>
      <c r="D2459" s="13" t="s">
        <v>633</v>
      </c>
      <c r="E2459" t="s">
        <v>328</v>
      </c>
      <c r="F2459" s="11">
        <v>1</v>
      </c>
      <c r="G2459" s="11">
        <v>37815.129999999997</v>
      </c>
    </row>
    <row r="2460" spans="2:7" x14ac:dyDescent="0.2">
      <c r="B2460" s="32">
        <v>45865</v>
      </c>
      <c r="C2460" t="s">
        <v>142</v>
      </c>
      <c r="D2460" s="13" t="s">
        <v>633</v>
      </c>
      <c r="E2460" t="s">
        <v>293</v>
      </c>
      <c r="F2460" s="11">
        <v>1</v>
      </c>
      <c r="G2460" s="11">
        <v>37815.120000000003</v>
      </c>
    </row>
    <row r="2461" spans="2:7" x14ac:dyDescent="0.2">
      <c r="B2461" s="32">
        <v>45865</v>
      </c>
      <c r="C2461" t="s">
        <v>142</v>
      </c>
      <c r="D2461" s="13" t="s">
        <v>633</v>
      </c>
      <c r="F2461" s="11">
        <v>0</v>
      </c>
      <c r="G2461" s="11">
        <v>0</v>
      </c>
    </row>
    <row r="2462" spans="2:7" x14ac:dyDescent="0.2">
      <c r="B2462" s="32">
        <v>45865</v>
      </c>
      <c r="C2462" t="s">
        <v>110</v>
      </c>
      <c r="D2462" s="13"/>
      <c r="E2462" t="s">
        <v>348</v>
      </c>
      <c r="F2462" s="11">
        <v>1</v>
      </c>
      <c r="G2462" s="11">
        <v>54621.84</v>
      </c>
    </row>
    <row r="2463" spans="2:7" x14ac:dyDescent="0.2">
      <c r="B2463" s="32">
        <v>45865</v>
      </c>
      <c r="C2463" t="s">
        <v>110</v>
      </c>
      <c r="D2463" s="13"/>
      <c r="E2463" t="s">
        <v>662</v>
      </c>
      <c r="F2463" s="11">
        <v>1</v>
      </c>
      <c r="G2463" s="11">
        <v>37815.129999999997</v>
      </c>
    </row>
    <row r="2464" spans="2:7" x14ac:dyDescent="0.2">
      <c r="B2464" s="32">
        <v>45865</v>
      </c>
      <c r="C2464" t="s">
        <v>109</v>
      </c>
      <c r="D2464" s="13"/>
      <c r="E2464" t="s">
        <v>329</v>
      </c>
      <c r="F2464" s="11">
        <v>1</v>
      </c>
      <c r="G2464" s="11">
        <v>201680.67</v>
      </c>
    </row>
    <row r="2465" spans="2:7" x14ac:dyDescent="0.2">
      <c r="B2465" s="32">
        <v>45865</v>
      </c>
      <c r="C2465" t="s">
        <v>109</v>
      </c>
      <c r="D2465" s="13" t="s">
        <v>634</v>
      </c>
      <c r="E2465" t="s">
        <v>181</v>
      </c>
      <c r="F2465" s="11">
        <v>4</v>
      </c>
      <c r="G2465" s="11">
        <v>200000</v>
      </c>
    </row>
    <row r="2466" spans="2:7" x14ac:dyDescent="0.2">
      <c r="B2466" s="32">
        <v>45865</v>
      </c>
      <c r="C2466" t="s">
        <v>109</v>
      </c>
      <c r="D2466" s="13" t="s">
        <v>634</v>
      </c>
      <c r="E2466" t="s">
        <v>454</v>
      </c>
      <c r="F2466" s="11">
        <v>2</v>
      </c>
      <c r="G2466" s="11">
        <v>100000</v>
      </c>
    </row>
    <row r="2467" spans="2:7" x14ac:dyDescent="0.2">
      <c r="B2467" s="32">
        <v>45865</v>
      </c>
      <c r="C2467" t="s">
        <v>109</v>
      </c>
      <c r="D2467" s="13" t="s">
        <v>634</v>
      </c>
      <c r="F2467" s="11">
        <v>3</v>
      </c>
      <c r="G2467" s="11">
        <v>97478.99</v>
      </c>
    </row>
    <row r="2468" spans="2:7" x14ac:dyDescent="0.2">
      <c r="B2468" s="32">
        <v>45865</v>
      </c>
      <c r="C2468" t="s">
        <v>109</v>
      </c>
      <c r="D2468" s="13" t="s">
        <v>634</v>
      </c>
      <c r="E2468" t="s">
        <v>511</v>
      </c>
      <c r="F2468" s="11">
        <v>1</v>
      </c>
      <c r="G2468" s="11">
        <v>85714.29</v>
      </c>
    </row>
    <row r="2469" spans="2:7" x14ac:dyDescent="0.2">
      <c r="B2469" s="32">
        <v>45865</v>
      </c>
      <c r="C2469" t="s">
        <v>109</v>
      </c>
      <c r="D2469" s="13" t="s">
        <v>634</v>
      </c>
      <c r="E2469" t="s">
        <v>1797</v>
      </c>
      <c r="F2469" s="11">
        <v>1</v>
      </c>
      <c r="G2469" s="11">
        <v>67857.14</v>
      </c>
    </row>
    <row r="2470" spans="2:7" x14ac:dyDescent="0.2">
      <c r="B2470" s="32">
        <v>45865</v>
      </c>
      <c r="C2470" t="s">
        <v>109</v>
      </c>
      <c r="D2470" s="13" t="s">
        <v>634</v>
      </c>
      <c r="E2470" t="s">
        <v>406</v>
      </c>
      <c r="F2470" s="11">
        <v>1</v>
      </c>
      <c r="G2470" s="11">
        <v>58823.53</v>
      </c>
    </row>
    <row r="2471" spans="2:7" x14ac:dyDescent="0.2">
      <c r="B2471" s="32">
        <v>45865</v>
      </c>
      <c r="C2471" t="s">
        <v>109</v>
      </c>
      <c r="D2471" s="13" t="s">
        <v>634</v>
      </c>
      <c r="E2471" t="s">
        <v>224</v>
      </c>
      <c r="F2471" s="11">
        <v>1</v>
      </c>
      <c r="G2471" s="11">
        <v>58823.53</v>
      </c>
    </row>
    <row r="2472" spans="2:7" x14ac:dyDescent="0.2">
      <c r="B2472" s="32">
        <v>45865</v>
      </c>
      <c r="C2472" t="s">
        <v>109</v>
      </c>
      <c r="D2472" s="13" t="s">
        <v>634</v>
      </c>
      <c r="E2472" t="s">
        <v>494</v>
      </c>
      <c r="F2472" s="11">
        <v>1</v>
      </c>
      <c r="G2472" s="11">
        <v>50000</v>
      </c>
    </row>
    <row r="2473" spans="2:7" x14ac:dyDescent="0.2">
      <c r="B2473" s="32">
        <v>45865</v>
      </c>
      <c r="C2473" t="s">
        <v>109</v>
      </c>
      <c r="D2473" s="13" t="s">
        <v>634</v>
      </c>
      <c r="E2473" t="s">
        <v>440</v>
      </c>
      <c r="F2473" s="11">
        <v>1</v>
      </c>
      <c r="G2473" s="11">
        <v>50000</v>
      </c>
    </row>
    <row r="2474" spans="2:7" x14ac:dyDescent="0.2">
      <c r="B2474" s="32">
        <v>45865</v>
      </c>
      <c r="C2474" t="s">
        <v>109</v>
      </c>
      <c r="D2474" s="13" t="s">
        <v>634</v>
      </c>
      <c r="E2474" t="s">
        <v>213</v>
      </c>
      <c r="F2474" s="11">
        <v>1</v>
      </c>
      <c r="G2474" s="11">
        <v>50000</v>
      </c>
    </row>
    <row r="2475" spans="2:7" x14ac:dyDescent="0.2">
      <c r="B2475" s="32">
        <v>45865</v>
      </c>
      <c r="C2475" t="s">
        <v>109</v>
      </c>
      <c r="D2475" s="13" t="s">
        <v>634</v>
      </c>
      <c r="E2475" t="s">
        <v>378</v>
      </c>
      <c r="F2475" s="11">
        <v>1</v>
      </c>
      <c r="G2475" s="11">
        <v>50000</v>
      </c>
    </row>
    <row r="2476" spans="2:7" x14ac:dyDescent="0.2">
      <c r="B2476" s="32">
        <v>45865</v>
      </c>
      <c r="C2476" t="s">
        <v>109</v>
      </c>
      <c r="D2476" s="13" t="s">
        <v>634</v>
      </c>
      <c r="E2476" t="s">
        <v>295</v>
      </c>
      <c r="F2476" s="11">
        <v>1</v>
      </c>
      <c r="G2476" s="11">
        <v>46428.57</v>
      </c>
    </row>
    <row r="2477" spans="2:7" x14ac:dyDescent="0.2">
      <c r="B2477" s="32">
        <v>45865</v>
      </c>
      <c r="C2477" t="s">
        <v>109</v>
      </c>
      <c r="D2477" s="13" t="s">
        <v>634</v>
      </c>
      <c r="E2477" t="s">
        <v>172</v>
      </c>
      <c r="F2477" s="11">
        <v>1</v>
      </c>
      <c r="G2477" s="11">
        <v>46218.49</v>
      </c>
    </row>
    <row r="2478" spans="2:7" x14ac:dyDescent="0.2">
      <c r="B2478" s="32">
        <v>45865</v>
      </c>
      <c r="C2478" t="s">
        <v>109</v>
      </c>
      <c r="D2478" s="13" t="s">
        <v>634</v>
      </c>
      <c r="E2478" t="s">
        <v>1749</v>
      </c>
      <c r="F2478" s="11">
        <v>1</v>
      </c>
      <c r="G2478" s="11">
        <v>46218.49</v>
      </c>
    </row>
    <row r="2479" spans="2:7" x14ac:dyDescent="0.2">
      <c r="B2479" s="32">
        <v>45865</v>
      </c>
      <c r="C2479" t="s">
        <v>109</v>
      </c>
      <c r="D2479" s="13" t="s">
        <v>634</v>
      </c>
      <c r="E2479" t="s">
        <v>210</v>
      </c>
      <c r="F2479" s="11">
        <v>1</v>
      </c>
      <c r="G2479" s="11">
        <v>46218.49</v>
      </c>
    </row>
    <row r="2480" spans="2:7" x14ac:dyDescent="0.2">
      <c r="B2480" s="32">
        <v>45865</v>
      </c>
      <c r="C2480" t="s">
        <v>109</v>
      </c>
      <c r="D2480" s="13" t="s">
        <v>634</v>
      </c>
      <c r="E2480" t="s">
        <v>173</v>
      </c>
      <c r="F2480" s="11">
        <v>1</v>
      </c>
      <c r="G2480" s="11">
        <v>37815.129999999997</v>
      </c>
    </row>
    <row r="2481" spans="2:7" x14ac:dyDescent="0.2">
      <c r="B2481" s="32">
        <v>45865</v>
      </c>
      <c r="C2481" t="s">
        <v>109</v>
      </c>
      <c r="D2481" s="13" t="s">
        <v>634</v>
      </c>
      <c r="E2481" t="s">
        <v>204</v>
      </c>
      <c r="F2481" s="11">
        <v>1</v>
      </c>
      <c r="G2481" s="11">
        <v>37815.129999999997</v>
      </c>
    </row>
    <row r="2482" spans="2:7" x14ac:dyDescent="0.2">
      <c r="B2482" s="32">
        <v>45865</v>
      </c>
      <c r="C2482" t="s">
        <v>109</v>
      </c>
      <c r="D2482" s="13" t="s">
        <v>633</v>
      </c>
      <c r="E2482" t="s">
        <v>738</v>
      </c>
      <c r="F2482" s="11">
        <v>2</v>
      </c>
      <c r="G2482" s="11">
        <v>252100.84</v>
      </c>
    </row>
    <row r="2483" spans="2:7" x14ac:dyDescent="0.2">
      <c r="B2483" s="32">
        <v>45865</v>
      </c>
      <c r="C2483" t="s">
        <v>109</v>
      </c>
      <c r="D2483" s="13" t="s">
        <v>633</v>
      </c>
      <c r="E2483" t="s">
        <v>1954</v>
      </c>
      <c r="F2483" s="11">
        <v>3</v>
      </c>
      <c r="G2483" s="11">
        <v>151260.51</v>
      </c>
    </row>
    <row r="2484" spans="2:7" x14ac:dyDescent="0.2">
      <c r="B2484" s="32">
        <v>45865</v>
      </c>
      <c r="C2484" t="s">
        <v>109</v>
      </c>
      <c r="D2484" s="13" t="s">
        <v>633</v>
      </c>
      <c r="E2484" t="s">
        <v>1955</v>
      </c>
      <c r="F2484" s="11">
        <v>6</v>
      </c>
      <c r="G2484" s="11">
        <v>151260.5</v>
      </c>
    </row>
    <row r="2485" spans="2:7" x14ac:dyDescent="0.2">
      <c r="B2485" s="32">
        <v>45865</v>
      </c>
      <c r="C2485" t="s">
        <v>109</v>
      </c>
      <c r="D2485" s="13" t="s">
        <v>633</v>
      </c>
      <c r="E2485" t="s">
        <v>603</v>
      </c>
      <c r="F2485" s="11">
        <v>1</v>
      </c>
      <c r="G2485" s="11">
        <v>104000</v>
      </c>
    </row>
    <row r="2486" spans="2:7" x14ac:dyDescent="0.2">
      <c r="B2486" s="32">
        <v>45865</v>
      </c>
      <c r="C2486" t="s">
        <v>109</v>
      </c>
      <c r="D2486" s="13" t="s">
        <v>633</v>
      </c>
      <c r="E2486" t="s">
        <v>446</v>
      </c>
      <c r="F2486" s="11">
        <v>1</v>
      </c>
      <c r="G2486" s="11">
        <v>100840.34</v>
      </c>
    </row>
    <row r="2487" spans="2:7" x14ac:dyDescent="0.2">
      <c r="B2487" s="32">
        <v>45865</v>
      </c>
      <c r="C2487" t="s">
        <v>109</v>
      </c>
      <c r="D2487" s="13" t="s">
        <v>633</v>
      </c>
      <c r="E2487" t="s">
        <v>484</v>
      </c>
      <c r="F2487" s="11">
        <v>1</v>
      </c>
      <c r="G2487" s="11">
        <v>97478.99</v>
      </c>
    </row>
    <row r="2488" spans="2:7" x14ac:dyDescent="0.2">
      <c r="B2488" s="32">
        <v>45865</v>
      </c>
      <c r="C2488" t="s">
        <v>109</v>
      </c>
      <c r="D2488" s="13" t="s">
        <v>633</v>
      </c>
      <c r="E2488" t="s">
        <v>308</v>
      </c>
      <c r="F2488" s="11">
        <v>1</v>
      </c>
      <c r="G2488" s="11">
        <v>96638.65</v>
      </c>
    </row>
    <row r="2489" spans="2:7" x14ac:dyDescent="0.2">
      <c r="B2489" s="32">
        <v>45865</v>
      </c>
      <c r="C2489" t="s">
        <v>109</v>
      </c>
      <c r="D2489" s="13" t="s">
        <v>633</v>
      </c>
      <c r="E2489" t="s">
        <v>1932</v>
      </c>
      <c r="F2489" s="11">
        <v>2</v>
      </c>
      <c r="G2489" s="11">
        <v>66000</v>
      </c>
    </row>
    <row r="2490" spans="2:7" x14ac:dyDescent="0.2">
      <c r="B2490" s="32">
        <v>45865</v>
      </c>
      <c r="C2490" t="s">
        <v>109</v>
      </c>
      <c r="D2490" s="13" t="s">
        <v>633</v>
      </c>
      <c r="E2490" t="s">
        <v>404</v>
      </c>
      <c r="F2490" s="11">
        <v>1</v>
      </c>
      <c r="G2490" s="11">
        <v>65000</v>
      </c>
    </row>
    <row r="2491" spans="2:7" x14ac:dyDescent="0.2">
      <c r="B2491" s="32">
        <v>45865</v>
      </c>
      <c r="C2491" t="s">
        <v>109</v>
      </c>
      <c r="D2491" s="13" t="s">
        <v>633</v>
      </c>
      <c r="E2491" t="s">
        <v>1920</v>
      </c>
      <c r="F2491" s="11">
        <v>1</v>
      </c>
      <c r="G2491" s="11">
        <v>58823.53</v>
      </c>
    </row>
    <row r="2492" spans="2:7" x14ac:dyDescent="0.2">
      <c r="B2492" s="32">
        <v>45865</v>
      </c>
      <c r="C2492" t="s">
        <v>109</v>
      </c>
      <c r="D2492" s="13" t="s">
        <v>633</v>
      </c>
      <c r="E2492" t="s">
        <v>1923</v>
      </c>
      <c r="F2492" s="11">
        <v>1</v>
      </c>
      <c r="G2492" s="11">
        <v>58823.53</v>
      </c>
    </row>
    <row r="2493" spans="2:7" x14ac:dyDescent="0.2">
      <c r="B2493" s="32">
        <v>45865</v>
      </c>
      <c r="C2493" t="s">
        <v>109</v>
      </c>
      <c r="D2493" s="13" t="s">
        <v>633</v>
      </c>
      <c r="E2493" t="s">
        <v>322</v>
      </c>
      <c r="F2493" s="11">
        <v>2</v>
      </c>
      <c r="G2493" s="11">
        <v>58000</v>
      </c>
    </row>
    <row r="2494" spans="2:7" x14ac:dyDescent="0.2">
      <c r="B2494" s="32">
        <v>45865</v>
      </c>
      <c r="C2494" t="s">
        <v>109</v>
      </c>
      <c r="D2494" s="13" t="s">
        <v>633</v>
      </c>
      <c r="E2494" t="s">
        <v>160</v>
      </c>
      <c r="F2494" s="11">
        <v>1</v>
      </c>
      <c r="G2494" s="11">
        <v>46218.49</v>
      </c>
    </row>
    <row r="2495" spans="2:7" x14ac:dyDescent="0.2">
      <c r="B2495" s="32">
        <v>45865</v>
      </c>
      <c r="C2495" t="s">
        <v>109</v>
      </c>
      <c r="D2495" s="13" t="s">
        <v>633</v>
      </c>
      <c r="E2495" t="s">
        <v>151</v>
      </c>
      <c r="F2495" s="11">
        <v>1</v>
      </c>
      <c r="G2495" s="11">
        <v>46218.49</v>
      </c>
    </row>
    <row r="2496" spans="2:7" x14ac:dyDescent="0.2">
      <c r="B2496" s="32">
        <v>45865</v>
      </c>
      <c r="C2496" t="s">
        <v>109</v>
      </c>
      <c r="D2496" s="13" t="s">
        <v>633</v>
      </c>
      <c r="E2496" t="s">
        <v>198</v>
      </c>
      <c r="F2496" s="11">
        <v>1</v>
      </c>
      <c r="G2496" s="11">
        <v>46218.49</v>
      </c>
    </row>
    <row r="2497" spans="2:7" x14ac:dyDescent="0.2">
      <c r="B2497" s="32">
        <v>45865</v>
      </c>
      <c r="C2497" t="s">
        <v>109</v>
      </c>
      <c r="D2497" s="13" t="s">
        <v>633</v>
      </c>
      <c r="E2497" t="s">
        <v>193</v>
      </c>
      <c r="F2497" s="11">
        <v>2</v>
      </c>
      <c r="G2497" s="11">
        <v>43697.47</v>
      </c>
    </row>
    <row r="2498" spans="2:7" x14ac:dyDescent="0.2">
      <c r="B2498" s="32">
        <v>45865</v>
      </c>
      <c r="C2498" t="s">
        <v>109</v>
      </c>
      <c r="D2498" s="13" t="s">
        <v>633</v>
      </c>
      <c r="E2498" t="s">
        <v>1818</v>
      </c>
      <c r="F2498" s="11">
        <v>1</v>
      </c>
      <c r="G2498" s="11">
        <v>37815.129999999997</v>
      </c>
    </row>
    <row r="2499" spans="2:7" x14ac:dyDescent="0.2">
      <c r="B2499" s="32">
        <v>45865</v>
      </c>
      <c r="C2499" t="s">
        <v>109</v>
      </c>
      <c r="D2499" s="13" t="s">
        <v>633</v>
      </c>
      <c r="E2499" t="s">
        <v>522</v>
      </c>
      <c r="F2499" s="11">
        <v>1</v>
      </c>
      <c r="G2499" s="11">
        <v>35000</v>
      </c>
    </row>
    <row r="2500" spans="2:7" x14ac:dyDescent="0.2">
      <c r="B2500" s="32">
        <v>45865</v>
      </c>
      <c r="C2500" t="s">
        <v>109</v>
      </c>
      <c r="D2500" s="13" t="s">
        <v>633</v>
      </c>
      <c r="E2500" t="s">
        <v>144</v>
      </c>
      <c r="F2500" s="11">
        <v>1</v>
      </c>
      <c r="G2500" s="11">
        <v>3781.51</v>
      </c>
    </row>
    <row r="2501" spans="2:7" x14ac:dyDescent="0.2">
      <c r="B2501" s="32">
        <v>45866</v>
      </c>
      <c r="C2501" t="s">
        <v>142</v>
      </c>
      <c r="D2501" s="13" t="s">
        <v>634</v>
      </c>
      <c r="E2501" t="s">
        <v>354</v>
      </c>
      <c r="F2501" s="11">
        <v>1</v>
      </c>
      <c r="G2501" s="11">
        <v>58823.53</v>
      </c>
    </row>
    <row r="2502" spans="2:7" x14ac:dyDescent="0.2">
      <c r="B2502" s="32">
        <v>45866</v>
      </c>
      <c r="C2502" t="s">
        <v>142</v>
      </c>
      <c r="D2502" s="13" t="s">
        <v>634</v>
      </c>
      <c r="E2502" t="s">
        <v>537</v>
      </c>
      <c r="F2502" s="11">
        <v>1</v>
      </c>
      <c r="G2502" s="11">
        <v>58823.53</v>
      </c>
    </row>
    <row r="2503" spans="2:7" x14ac:dyDescent="0.2">
      <c r="B2503" s="32">
        <v>45866</v>
      </c>
      <c r="C2503" t="s">
        <v>142</v>
      </c>
      <c r="D2503" s="13" t="s">
        <v>634</v>
      </c>
      <c r="E2503" t="s">
        <v>251</v>
      </c>
      <c r="F2503" s="11">
        <v>1</v>
      </c>
      <c r="G2503" s="11">
        <v>58823.53</v>
      </c>
    </row>
    <row r="2504" spans="2:7" x14ac:dyDescent="0.2">
      <c r="B2504" s="32">
        <v>45866</v>
      </c>
      <c r="C2504" t="s">
        <v>142</v>
      </c>
      <c r="D2504" s="13" t="s">
        <v>634</v>
      </c>
      <c r="E2504" t="s">
        <v>228</v>
      </c>
      <c r="F2504" s="11">
        <v>1</v>
      </c>
      <c r="G2504" s="11">
        <v>54621.85</v>
      </c>
    </row>
    <row r="2505" spans="2:7" x14ac:dyDescent="0.2">
      <c r="B2505" s="32">
        <v>45866</v>
      </c>
      <c r="C2505" t="s">
        <v>142</v>
      </c>
      <c r="D2505" s="13" t="s">
        <v>634</v>
      </c>
      <c r="E2505" t="s">
        <v>438</v>
      </c>
      <c r="F2505" s="11">
        <v>1</v>
      </c>
      <c r="G2505" s="11">
        <v>54621.85</v>
      </c>
    </row>
    <row r="2506" spans="2:7" x14ac:dyDescent="0.2">
      <c r="B2506" s="32">
        <v>45866</v>
      </c>
      <c r="C2506" t="s">
        <v>142</v>
      </c>
      <c r="D2506" s="13" t="s">
        <v>634</v>
      </c>
      <c r="E2506" t="s">
        <v>292</v>
      </c>
      <c r="F2506" s="11">
        <v>1</v>
      </c>
      <c r="G2506" s="11">
        <v>54621.85</v>
      </c>
    </row>
    <row r="2507" spans="2:7" x14ac:dyDescent="0.2">
      <c r="B2507" s="32">
        <v>45866</v>
      </c>
      <c r="C2507" t="s">
        <v>142</v>
      </c>
      <c r="D2507" s="13" t="s">
        <v>634</v>
      </c>
      <c r="E2507" t="s">
        <v>1796</v>
      </c>
      <c r="F2507" s="11">
        <v>1</v>
      </c>
      <c r="G2507" s="11">
        <v>21008.400000000001</v>
      </c>
    </row>
    <row r="2508" spans="2:7" x14ac:dyDescent="0.2">
      <c r="B2508" s="32">
        <v>45866</v>
      </c>
      <c r="C2508" t="s">
        <v>142</v>
      </c>
      <c r="D2508" s="13" t="s">
        <v>633</v>
      </c>
      <c r="E2508" t="s">
        <v>231</v>
      </c>
      <c r="F2508" s="11">
        <v>1</v>
      </c>
      <c r="G2508" s="11">
        <v>285714.28999999998</v>
      </c>
    </row>
    <row r="2509" spans="2:7" x14ac:dyDescent="0.2">
      <c r="B2509" s="32">
        <v>45866</v>
      </c>
      <c r="C2509" t="s">
        <v>142</v>
      </c>
      <c r="D2509" s="13" t="s">
        <v>633</v>
      </c>
      <c r="E2509" t="s">
        <v>446</v>
      </c>
      <c r="F2509" s="11">
        <v>2</v>
      </c>
      <c r="G2509" s="11">
        <v>201680.67</v>
      </c>
    </row>
    <row r="2510" spans="2:7" x14ac:dyDescent="0.2">
      <c r="B2510" s="32">
        <v>45866</v>
      </c>
      <c r="C2510" t="s">
        <v>142</v>
      </c>
      <c r="D2510" s="13" t="s">
        <v>633</v>
      </c>
      <c r="E2510" t="s">
        <v>251</v>
      </c>
      <c r="F2510" s="11">
        <v>2</v>
      </c>
      <c r="G2510" s="11">
        <v>121428.57</v>
      </c>
    </row>
    <row r="2511" spans="2:7" x14ac:dyDescent="0.2">
      <c r="B2511" s="32">
        <v>45866</v>
      </c>
      <c r="C2511" t="s">
        <v>142</v>
      </c>
      <c r="D2511" s="13" t="s">
        <v>633</v>
      </c>
      <c r="E2511" t="s">
        <v>205</v>
      </c>
      <c r="F2511" s="11">
        <v>1</v>
      </c>
      <c r="G2511" s="11">
        <v>58823.53</v>
      </c>
    </row>
    <row r="2512" spans="2:7" x14ac:dyDescent="0.2">
      <c r="B2512" s="32">
        <v>45866</v>
      </c>
      <c r="C2512" t="s">
        <v>142</v>
      </c>
      <c r="D2512" s="13" t="s">
        <v>633</v>
      </c>
      <c r="E2512" t="s">
        <v>680</v>
      </c>
      <c r="F2512" s="11">
        <v>1</v>
      </c>
      <c r="G2512" s="11">
        <v>58823.53</v>
      </c>
    </row>
    <row r="2513" spans="2:7" x14ac:dyDescent="0.2">
      <c r="B2513" s="32">
        <v>45866</v>
      </c>
      <c r="C2513" t="s">
        <v>142</v>
      </c>
      <c r="D2513" s="13" t="s">
        <v>633</v>
      </c>
      <c r="E2513" t="s">
        <v>788</v>
      </c>
      <c r="F2513" s="11">
        <v>1</v>
      </c>
      <c r="G2513" s="11">
        <v>54621.85</v>
      </c>
    </row>
    <row r="2514" spans="2:7" x14ac:dyDescent="0.2">
      <c r="B2514" s="32">
        <v>45866</v>
      </c>
      <c r="C2514" t="s">
        <v>110</v>
      </c>
      <c r="D2514" s="13" t="s">
        <v>633</v>
      </c>
      <c r="E2514" t="s">
        <v>382</v>
      </c>
      <c r="F2514" s="11">
        <v>2</v>
      </c>
      <c r="G2514" s="11">
        <v>75630.25</v>
      </c>
    </row>
    <row r="2515" spans="2:7" x14ac:dyDescent="0.2">
      <c r="B2515" s="32">
        <v>45866</v>
      </c>
      <c r="C2515" t="s">
        <v>110</v>
      </c>
      <c r="D2515" s="13" t="s">
        <v>633</v>
      </c>
      <c r="E2515" t="s">
        <v>746</v>
      </c>
      <c r="F2515" s="11">
        <v>1</v>
      </c>
      <c r="G2515" s="11">
        <v>54621.85</v>
      </c>
    </row>
    <row r="2516" spans="2:7" x14ac:dyDescent="0.2">
      <c r="B2516" s="32">
        <v>45866</v>
      </c>
      <c r="C2516" t="s">
        <v>1739</v>
      </c>
      <c r="D2516" s="13" t="s">
        <v>633</v>
      </c>
      <c r="E2516" t="s">
        <v>282</v>
      </c>
      <c r="F2516" s="11">
        <v>1</v>
      </c>
      <c r="G2516" s="11">
        <v>58823.53</v>
      </c>
    </row>
    <row r="2517" spans="2:7" x14ac:dyDescent="0.2">
      <c r="B2517" s="32">
        <v>45866</v>
      </c>
      <c r="C2517" t="s">
        <v>109</v>
      </c>
      <c r="D2517" s="13"/>
      <c r="E2517" t="s">
        <v>1900</v>
      </c>
      <c r="F2517" s="11">
        <v>1</v>
      </c>
      <c r="G2517" s="11">
        <v>75630.25</v>
      </c>
    </row>
    <row r="2518" spans="2:7" x14ac:dyDescent="0.2">
      <c r="B2518" s="32">
        <v>45866</v>
      </c>
      <c r="C2518" t="s">
        <v>109</v>
      </c>
      <c r="D2518" s="13" t="s">
        <v>634</v>
      </c>
      <c r="E2518" t="s">
        <v>242</v>
      </c>
      <c r="F2518" s="11">
        <v>24</v>
      </c>
      <c r="G2518" s="11">
        <v>2852100.84</v>
      </c>
    </row>
    <row r="2519" spans="2:7" x14ac:dyDescent="0.2">
      <c r="B2519" s="32">
        <v>45866</v>
      </c>
      <c r="C2519" t="s">
        <v>109</v>
      </c>
      <c r="D2519" s="13" t="s">
        <v>634</v>
      </c>
      <c r="E2519" t="s">
        <v>189</v>
      </c>
      <c r="F2519" s="11">
        <v>15</v>
      </c>
      <c r="G2519" s="11">
        <v>964285.71</v>
      </c>
    </row>
    <row r="2520" spans="2:7" x14ac:dyDescent="0.2">
      <c r="B2520" s="32">
        <v>45866</v>
      </c>
      <c r="C2520" t="s">
        <v>109</v>
      </c>
      <c r="D2520" s="13" t="s">
        <v>634</v>
      </c>
      <c r="F2520" s="11">
        <v>4</v>
      </c>
      <c r="G2520" s="11">
        <v>201680.67</v>
      </c>
    </row>
    <row r="2521" spans="2:7" x14ac:dyDescent="0.2">
      <c r="B2521" s="32">
        <v>45866</v>
      </c>
      <c r="C2521" t="s">
        <v>109</v>
      </c>
      <c r="D2521" s="13" t="s">
        <v>634</v>
      </c>
      <c r="E2521" t="s">
        <v>376</v>
      </c>
      <c r="F2521" s="11">
        <v>1</v>
      </c>
      <c r="G2521" s="11">
        <v>126050.42</v>
      </c>
    </row>
    <row r="2522" spans="2:7" x14ac:dyDescent="0.2">
      <c r="B2522" s="32">
        <v>45866</v>
      </c>
      <c r="C2522" t="s">
        <v>109</v>
      </c>
      <c r="D2522" s="13" t="s">
        <v>634</v>
      </c>
      <c r="E2522" t="s">
        <v>158</v>
      </c>
      <c r="F2522" s="11">
        <v>2</v>
      </c>
      <c r="G2522" s="11">
        <v>92436.97</v>
      </c>
    </row>
    <row r="2523" spans="2:7" x14ac:dyDescent="0.2">
      <c r="B2523" s="32">
        <v>45866</v>
      </c>
      <c r="C2523" t="s">
        <v>109</v>
      </c>
      <c r="D2523" s="13" t="s">
        <v>634</v>
      </c>
      <c r="E2523" t="s">
        <v>478</v>
      </c>
      <c r="F2523" s="11">
        <v>1</v>
      </c>
      <c r="G2523" s="11">
        <v>75630.25</v>
      </c>
    </row>
    <row r="2524" spans="2:7" x14ac:dyDescent="0.2">
      <c r="B2524" s="32">
        <v>45866</v>
      </c>
      <c r="C2524" t="s">
        <v>109</v>
      </c>
      <c r="D2524" s="13" t="s">
        <v>634</v>
      </c>
      <c r="E2524" t="s">
        <v>1923</v>
      </c>
      <c r="F2524" s="11">
        <v>1</v>
      </c>
      <c r="G2524" s="11">
        <v>58823.53</v>
      </c>
    </row>
    <row r="2525" spans="2:7" x14ac:dyDescent="0.2">
      <c r="B2525" s="32">
        <v>45866</v>
      </c>
      <c r="C2525" t="s">
        <v>109</v>
      </c>
      <c r="D2525" s="13" t="s">
        <v>634</v>
      </c>
      <c r="E2525" t="s">
        <v>215</v>
      </c>
      <c r="F2525" s="11">
        <v>1</v>
      </c>
      <c r="G2525" s="11">
        <v>46218.49</v>
      </c>
    </row>
    <row r="2526" spans="2:7" x14ac:dyDescent="0.2">
      <c r="B2526" s="32">
        <v>45866</v>
      </c>
      <c r="C2526" t="s">
        <v>109</v>
      </c>
      <c r="D2526" s="13" t="s">
        <v>634</v>
      </c>
      <c r="E2526" t="s">
        <v>144</v>
      </c>
      <c r="F2526" s="11">
        <v>1</v>
      </c>
      <c r="G2526" s="11">
        <v>35294.120000000003</v>
      </c>
    </row>
    <row r="2527" spans="2:7" x14ac:dyDescent="0.2">
      <c r="B2527" s="32">
        <v>45866</v>
      </c>
      <c r="C2527" t="s">
        <v>109</v>
      </c>
      <c r="D2527" s="13" t="s">
        <v>633</v>
      </c>
      <c r="E2527" t="s">
        <v>1740</v>
      </c>
      <c r="F2527" s="11">
        <v>1</v>
      </c>
      <c r="G2527" s="11">
        <v>130252.1</v>
      </c>
    </row>
    <row r="2528" spans="2:7" x14ac:dyDescent="0.2">
      <c r="B2528" s="32">
        <v>45866</v>
      </c>
      <c r="C2528" t="s">
        <v>109</v>
      </c>
      <c r="D2528" s="13" t="s">
        <v>633</v>
      </c>
      <c r="E2528" t="s">
        <v>1815</v>
      </c>
      <c r="F2528" s="11">
        <v>1</v>
      </c>
      <c r="G2528" s="11">
        <v>126050.42</v>
      </c>
    </row>
    <row r="2529" spans="2:7" x14ac:dyDescent="0.2">
      <c r="B2529" s="32">
        <v>45866</v>
      </c>
      <c r="C2529" t="s">
        <v>109</v>
      </c>
      <c r="D2529" s="13" t="s">
        <v>633</v>
      </c>
      <c r="E2529" t="s">
        <v>477</v>
      </c>
      <c r="F2529" s="11">
        <v>1</v>
      </c>
      <c r="G2529" s="11">
        <v>126050.41</v>
      </c>
    </row>
    <row r="2530" spans="2:7" x14ac:dyDescent="0.2">
      <c r="B2530" s="32">
        <v>45866</v>
      </c>
      <c r="C2530" t="s">
        <v>109</v>
      </c>
      <c r="D2530" s="13" t="s">
        <v>633</v>
      </c>
      <c r="E2530" t="s">
        <v>646</v>
      </c>
      <c r="F2530" s="11">
        <v>1</v>
      </c>
      <c r="G2530" s="11">
        <v>113445.38</v>
      </c>
    </row>
    <row r="2531" spans="2:7" x14ac:dyDescent="0.2">
      <c r="B2531" s="32">
        <v>45866</v>
      </c>
      <c r="C2531" t="s">
        <v>109</v>
      </c>
      <c r="D2531" s="13" t="s">
        <v>633</v>
      </c>
      <c r="E2531" t="s">
        <v>368</v>
      </c>
      <c r="F2531" s="11">
        <v>1</v>
      </c>
      <c r="G2531" s="11">
        <v>75630.25</v>
      </c>
    </row>
    <row r="2532" spans="2:7" x14ac:dyDescent="0.2">
      <c r="B2532" s="32">
        <v>45866</v>
      </c>
      <c r="C2532" t="s">
        <v>109</v>
      </c>
      <c r="D2532" s="13" t="s">
        <v>633</v>
      </c>
      <c r="E2532" t="s">
        <v>642</v>
      </c>
      <c r="F2532" s="11">
        <v>1</v>
      </c>
      <c r="G2532" s="11">
        <v>49000</v>
      </c>
    </row>
    <row r="2533" spans="2:7" x14ac:dyDescent="0.2">
      <c r="B2533" s="32">
        <v>45866</v>
      </c>
      <c r="C2533" t="s">
        <v>109</v>
      </c>
      <c r="D2533" s="13" t="s">
        <v>633</v>
      </c>
      <c r="E2533" t="s">
        <v>1818</v>
      </c>
      <c r="F2533" s="11">
        <v>1</v>
      </c>
      <c r="G2533" s="11">
        <v>37815.129999999997</v>
      </c>
    </row>
    <row r="2534" spans="2:7" x14ac:dyDescent="0.2">
      <c r="B2534" s="32">
        <v>45866</v>
      </c>
      <c r="C2534" t="s">
        <v>109</v>
      </c>
      <c r="D2534" s="13" t="s">
        <v>633</v>
      </c>
      <c r="E2534" t="s">
        <v>173</v>
      </c>
      <c r="F2534" s="11">
        <v>1</v>
      </c>
      <c r="G2534" s="11">
        <v>37815.129999999997</v>
      </c>
    </row>
    <row r="2535" spans="2:7" x14ac:dyDescent="0.2">
      <c r="B2535" s="32">
        <v>45866</v>
      </c>
      <c r="C2535" t="s">
        <v>109</v>
      </c>
      <c r="D2535" s="13" t="s">
        <v>633</v>
      </c>
      <c r="E2535" t="s">
        <v>1813</v>
      </c>
      <c r="F2535" s="11">
        <v>1</v>
      </c>
      <c r="G2535" s="11">
        <v>21848.74</v>
      </c>
    </row>
    <row r="2536" spans="2:7" x14ac:dyDescent="0.2">
      <c r="B2536" s="32">
        <v>45867</v>
      </c>
      <c r="C2536" t="s">
        <v>142</v>
      </c>
      <c r="D2536" s="13" t="s">
        <v>634</v>
      </c>
      <c r="E2536" t="s">
        <v>154</v>
      </c>
      <c r="F2536" s="11">
        <v>1</v>
      </c>
      <c r="G2536" s="11">
        <v>96638.66</v>
      </c>
    </row>
    <row r="2537" spans="2:7" x14ac:dyDescent="0.2">
      <c r="B2537" s="32">
        <v>45867</v>
      </c>
      <c r="C2537" t="s">
        <v>142</v>
      </c>
      <c r="D2537" s="13" t="s">
        <v>634</v>
      </c>
      <c r="E2537" t="s">
        <v>820</v>
      </c>
      <c r="F2537" s="11">
        <v>1</v>
      </c>
      <c r="G2537" s="11">
        <v>92436.97</v>
      </c>
    </row>
    <row r="2538" spans="2:7" x14ac:dyDescent="0.2">
      <c r="B2538" s="32">
        <v>45867</v>
      </c>
      <c r="C2538" t="s">
        <v>142</v>
      </c>
      <c r="D2538" s="13" t="s">
        <v>634</v>
      </c>
      <c r="E2538" t="s">
        <v>479</v>
      </c>
      <c r="F2538" s="11">
        <v>1</v>
      </c>
      <c r="G2538" s="11">
        <v>58823.53</v>
      </c>
    </row>
    <row r="2539" spans="2:7" x14ac:dyDescent="0.2">
      <c r="B2539" s="32">
        <v>45867</v>
      </c>
      <c r="C2539" t="s">
        <v>142</v>
      </c>
      <c r="D2539" s="13" t="s">
        <v>634</v>
      </c>
      <c r="E2539" t="s">
        <v>533</v>
      </c>
      <c r="F2539" s="11">
        <v>1</v>
      </c>
      <c r="G2539" s="11">
        <v>58823.53</v>
      </c>
    </row>
    <row r="2540" spans="2:7" x14ac:dyDescent="0.2">
      <c r="B2540" s="32">
        <v>45867</v>
      </c>
      <c r="C2540" t="s">
        <v>142</v>
      </c>
      <c r="D2540" s="13" t="s">
        <v>633</v>
      </c>
      <c r="E2540" t="s">
        <v>1914</v>
      </c>
      <c r="F2540" s="11">
        <v>1</v>
      </c>
      <c r="G2540" s="11">
        <v>142857.14000000001</v>
      </c>
    </row>
    <row r="2541" spans="2:7" x14ac:dyDescent="0.2">
      <c r="B2541" s="32">
        <v>45867</v>
      </c>
      <c r="C2541" t="s">
        <v>142</v>
      </c>
      <c r="D2541" s="13" t="s">
        <v>633</v>
      </c>
      <c r="E2541" t="s">
        <v>468</v>
      </c>
      <c r="F2541" s="11">
        <v>2</v>
      </c>
      <c r="G2541" s="11">
        <v>75630.25</v>
      </c>
    </row>
    <row r="2542" spans="2:7" x14ac:dyDescent="0.2">
      <c r="B2542" s="32">
        <v>45867</v>
      </c>
      <c r="C2542" t="s">
        <v>142</v>
      </c>
      <c r="D2542" s="13" t="s">
        <v>633</v>
      </c>
      <c r="E2542" t="s">
        <v>1815</v>
      </c>
      <c r="F2542" s="11">
        <v>1</v>
      </c>
      <c r="G2542" s="11">
        <v>50000</v>
      </c>
    </row>
    <row r="2543" spans="2:7" x14ac:dyDescent="0.2">
      <c r="B2543" s="32">
        <v>45867</v>
      </c>
      <c r="C2543" t="s">
        <v>142</v>
      </c>
      <c r="D2543" s="13" t="s">
        <v>633</v>
      </c>
      <c r="E2543" t="s">
        <v>525</v>
      </c>
      <c r="F2543" s="11">
        <v>1</v>
      </c>
      <c r="G2543" s="11">
        <v>50000</v>
      </c>
    </row>
    <row r="2544" spans="2:7" x14ac:dyDescent="0.2">
      <c r="B2544" s="32">
        <v>45867</v>
      </c>
      <c r="C2544" t="s">
        <v>142</v>
      </c>
      <c r="D2544" s="13" t="s">
        <v>633</v>
      </c>
      <c r="F2544" s="11">
        <v>0</v>
      </c>
      <c r="G2544" s="11">
        <v>0</v>
      </c>
    </row>
    <row r="2545" spans="2:7" x14ac:dyDescent="0.2">
      <c r="B2545" s="32">
        <v>45867</v>
      </c>
      <c r="C2545" t="s">
        <v>110</v>
      </c>
      <c r="D2545" s="13" t="s">
        <v>634</v>
      </c>
      <c r="E2545" t="s">
        <v>198</v>
      </c>
      <c r="F2545" s="11">
        <v>1</v>
      </c>
      <c r="G2545" s="11">
        <v>46218.49</v>
      </c>
    </row>
    <row r="2546" spans="2:7" x14ac:dyDescent="0.2">
      <c r="B2546" s="32">
        <v>45867</v>
      </c>
      <c r="C2546" t="s">
        <v>110</v>
      </c>
      <c r="D2546" s="13" t="s">
        <v>634</v>
      </c>
      <c r="E2546" t="s">
        <v>195</v>
      </c>
      <c r="F2546" s="11">
        <v>1</v>
      </c>
      <c r="G2546" s="11">
        <v>46218.48</v>
      </c>
    </row>
    <row r="2547" spans="2:7" x14ac:dyDescent="0.2">
      <c r="B2547" s="32">
        <v>45867</v>
      </c>
      <c r="C2547" t="s">
        <v>1739</v>
      </c>
      <c r="D2547" s="13" t="s">
        <v>634</v>
      </c>
      <c r="E2547" t="s">
        <v>203</v>
      </c>
      <c r="F2547" s="11">
        <v>1</v>
      </c>
      <c r="G2547" s="11">
        <v>42016.81</v>
      </c>
    </row>
    <row r="2548" spans="2:7" x14ac:dyDescent="0.2">
      <c r="B2548" s="32">
        <v>45867</v>
      </c>
      <c r="C2548" t="s">
        <v>1739</v>
      </c>
      <c r="D2548" s="13" t="s">
        <v>634</v>
      </c>
      <c r="E2548" t="s">
        <v>234</v>
      </c>
      <c r="F2548" s="11">
        <v>1</v>
      </c>
      <c r="G2548" s="11">
        <v>37815.120000000003</v>
      </c>
    </row>
    <row r="2549" spans="2:7" x14ac:dyDescent="0.2">
      <c r="B2549" s="32">
        <v>45867</v>
      </c>
      <c r="C2549" t="s">
        <v>109</v>
      </c>
      <c r="D2549" s="13" t="s">
        <v>634</v>
      </c>
      <c r="E2549" t="s">
        <v>602</v>
      </c>
      <c r="F2549" s="11">
        <v>1</v>
      </c>
      <c r="G2549" s="11">
        <v>218487.39</v>
      </c>
    </row>
    <row r="2550" spans="2:7" x14ac:dyDescent="0.2">
      <c r="B2550" s="32">
        <v>45867</v>
      </c>
      <c r="C2550" t="s">
        <v>109</v>
      </c>
      <c r="D2550" s="13" t="s">
        <v>634</v>
      </c>
      <c r="E2550" t="s">
        <v>149</v>
      </c>
      <c r="F2550" s="11">
        <v>2</v>
      </c>
      <c r="G2550" s="11">
        <v>134453.78</v>
      </c>
    </row>
    <row r="2551" spans="2:7" x14ac:dyDescent="0.2">
      <c r="B2551" s="32">
        <v>45867</v>
      </c>
      <c r="C2551" t="s">
        <v>109</v>
      </c>
      <c r="D2551" s="13" t="s">
        <v>634</v>
      </c>
      <c r="E2551" t="s">
        <v>1953</v>
      </c>
      <c r="F2551" s="11">
        <v>1</v>
      </c>
      <c r="G2551" s="11">
        <v>100840.34</v>
      </c>
    </row>
    <row r="2552" spans="2:7" x14ac:dyDescent="0.2">
      <c r="B2552" s="32">
        <v>45867</v>
      </c>
      <c r="C2552" t="s">
        <v>109</v>
      </c>
      <c r="D2552" s="13" t="s">
        <v>634</v>
      </c>
      <c r="E2552" t="s">
        <v>194</v>
      </c>
      <c r="F2552" s="11">
        <v>1</v>
      </c>
      <c r="G2552" s="11">
        <v>96638.66</v>
      </c>
    </row>
    <row r="2553" spans="2:7" x14ac:dyDescent="0.2">
      <c r="B2553" s="32">
        <v>45867</v>
      </c>
      <c r="C2553" t="s">
        <v>109</v>
      </c>
      <c r="D2553" s="13" t="s">
        <v>634</v>
      </c>
      <c r="E2553" t="s">
        <v>205</v>
      </c>
      <c r="F2553" s="11">
        <v>1</v>
      </c>
      <c r="G2553" s="11">
        <v>84033.600000000006</v>
      </c>
    </row>
    <row r="2554" spans="2:7" x14ac:dyDescent="0.2">
      <c r="B2554" s="32">
        <v>45867</v>
      </c>
      <c r="C2554" t="s">
        <v>109</v>
      </c>
      <c r="D2554" s="13" t="s">
        <v>634</v>
      </c>
      <c r="E2554" t="s">
        <v>148</v>
      </c>
      <c r="F2554" s="11">
        <v>2</v>
      </c>
      <c r="G2554" s="11">
        <v>75630.259999999995</v>
      </c>
    </row>
    <row r="2555" spans="2:7" x14ac:dyDescent="0.2">
      <c r="B2555" s="32">
        <v>45867</v>
      </c>
      <c r="C2555" t="s">
        <v>109</v>
      </c>
      <c r="D2555" s="13" t="s">
        <v>634</v>
      </c>
      <c r="E2555" t="s">
        <v>1956</v>
      </c>
      <c r="F2555" s="11">
        <v>1</v>
      </c>
      <c r="G2555" s="11">
        <v>69000</v>
      </c>
    </row>
    <row r="2556" spans="2:7" x14ac:dyDescent="0.2">
      <c r="B2556" s="32">
        <v>45867</v>
      </c>
      <c r="C2556" t="s">
        <v>109</v>
      </c>
      <c r="D2556" s="13" t="s">
        <v>634</v>
      </c>
      <c r="E2556" t="s">
        <v>335</v>
      </c>
      <c r="F2556" s="11">
        <v>1</v>
      </c>
      <c r="G2556" s="11">
        <v>58823.53</v>
      </c>
    </row>
    <row r="2557" spans="2:7" x14ac:dyDescent="0.2">
      <c r="B2557" s="32">
        <v>45867</v>
      </c>
      <c r="C2557" t="s">
        <v>109</v>
      </c>
      <c r="D2557" s="13" t="s">
        <v>634</v>
      </c>
      <c r="E2557" t="s">
        <v>223</v>
      </c>
      <c r="F2557" s="11">
        <v>1</v>
      </c>
      <c r="G2557" s="11">
        <v>58823.519999999997</v>
      </c>
    </row>
    <row r="2558" spans="2:7" x14ac:dyDescent="0.2">
      <c r="B2558" s="32">
        <v>45867</v>
      </c>
      <c r="C2558" t="s">
        <v>109</v>
      </c>
      <c r="D2558" s="13" t="s">
        <v>634</v>
      </c>
      <c r="E2558" t="s">
        <v>173</v>
      </c>
      <c r="F2558" s="11">
        <v>1</v>
      </c>
      <c r="G2558" s="11">
        <v>37815.129999999997</v>
      </c>
    </row>
    <row r="2559" spans="2:7" x14ac:dyDescent="0.2">
      <c r="B2559" s="32">
        <v>45867</v>
      </c>
      <c r="C2559" t="s">
        <v>109</v>
      </c>
      <c r="D2559" s="13" t="s">
        <v>634</v>
      </c>
      <c r="F2559" s="11">
        <v>1</v>
      </c>
      <c r="G2559" s="11">
        <v>21008.400000000001</v>
      </c>
    </row>
    <row r="2560" spans="2:7" x14ac:dyDescent="0.2">
      <c r="B2560" s="32">
        <v>45867</v>
      </c>
      <c r="C2560" t="s">
        <v>109</v>
      </c>
      <c r="D2560" s="13" t="s">
        <v>634</v>
      </c>
      <c r="E2560" t="s">
        <v>144</v>
      </c>
      <c r="F2560" s="11">
        <v>1</v>
      </c>
      <c r="G2560" s="11">
        <v>13865.55</v>
      </c>
    </row>
    <row r="2561" spans="2:7" x14ac:dyDescent="0.2">
      <c r="B2561" s="32">
        <v>45867</v>
      </c>
      <c r="C2561" t="s">
        <v>109</v>
      </c>
      <c r="D2561" s="13" t="s">
        <v>633</v>
      </c>
      <c r="E2561" t="s">
        <v>158</v>
      </c>
      <c r="F2561" s="11">
        <v>1</v>
      </c>
      <c r="G2561" s="11">
        <v>46218.49</v>
      </c>
    </row>
    <row r="2562" spans="2:7" x14ac:dyDescent="0.2">
      <c r="B2562" s="32">
        <v>45867</v>
      </c>
      <c r="C2562" t="s">
        <v>109</v>
      </c>
      <c r="D2562" s="13" t="s">
        <v>633</v>
      </c>
      <c r="E2562" t="s">
        <v>144</v>
      </c>
      <c r="F2562" s="11">
        <v>1</v>
      </c>
      <c r="G2562" s="11">
        <v>7983.19</v>
      </c>
    </row>
    <row r="2563" spans="2:7" x14ac:dyDescent="0.2">
      <c r="B2563" s="32">
        <v>45868</v>
      </c>
      <c r="C2563" t="s">
        <v>142</v>
      </c>
      <c r="D2563" s="13" t="s">
        <v>634</v>
      </c>
      <c r="E2563" t="s">
        <v>1853</v>
      </c>
      <c r="F2563" s="11">
        <v>4</v>
      </c>
      <c r="G2563" s="11">
        <v>181512.61</v>
      </c>
    </row>
    <row r="2564" spans="2:7" x14ac:dyDescent="0.2">
      <c r="B2564" s="32">
        <v>45868</v>
      </c>
      <c r="C2564" t="s">
        <v>142</v>
      </c>
      <c r="D2564" s="13" t="s">
        <v>634</v>
      </c>
      <c r="E2564" t="s">
        <v>1957</v>
      </c>
      <c r="F2564" s="11">
        <v>55</v>
      </c>
      <c r="G2564" s="11">
        <v>101680.66</v>
      </c>
    </row>
    <row r="2565" spans="2:7" x14ac:dyDescent="0.2">
      <c r="B2565" s="32">
        <v>45868</v>
      </c>
      <c r="C2565" t="s">
        <v>142</v>
      </c>
      <c r="D2565" s="13" t="s">
        <v>634</v>
      </c>
      <c r="E2565" t="s">
        <v>302</v>
      </c>
      <c r="F2565" s="11">
        <v>1</v>
      </c>
      <c r="G2565" s="11">
        <v>96638.66</v>
      </c>
    </row>
    <row r="2566" spans="2:7" x14ac:dyDescent="0.2">
      <c r="B2566" s="32">
        <v>45868</v>
      </c>
      <c r="C2566" t="s">
        <v>142</v>
      </c>
      <c r="D2566" s="13" t="s">
        <v>634</v>
      </c>
      <c r="E2566" t="s">
        <v>207</v>
      </c>
      <c r="F2566" s="11">
        <v>1</v>
      </c>
      <c r="G2566" s="11">
        <v>96638.66</v>
      </c>
    </row>
    <row r="2567" spans="2:7" x14ac:dyDescent="0.2">
      <c r="B2567" s="32">
        <v>45868</v>
      </c>
      <c r="C2567" t="s">
        <v>142</v>
      </c>
      <c r="D2567" s="13" t="s">
        <v>634</v>
      </c>
      <c r="E2567" t="s">
        <v>154</v>
      </c>
      <c r="F2567" s="11">
        <v>1</v>
      </c>
      <c r="G2567" s="11">
        <v>96638.65</v>
      </c>
    </row>
    <row r="2568" spans="2:7" x14ac:dyDescent="0.2">
      <c r="B2568" s="32">
        <v>45868</v>
      </c>
      <c r="C2568" t="s">
        <v>142</v>
      </c>
      <c r="D2568" s="13" t="s">
        <v>634</v>
      </c>
      <c r="E2568" t="s">
        <v>743</v>
      </c>
      <c r="F2568" s="11">
        <v>3</v>
      </c>
      <c r="G2568" s="11">
        <v>79865.55</v>
      </c>
    </row>
    <row r="2569" spans="2:7" x14ac:dyDescent="0.2">
      <c r="B2569" s="32">
        <v>45868</v>
      </c>
      <c r="C2569" t="s">
        <v>142</v>
      </c>
      <c r="D2569" s="13" t="s">
        <v>634</v>
      </c>
      <c r="E2569" t="s">
        <v>757</v>
      </c>
      <c r="F2569" s="11">
        <v>1</v>
      </c>
      <c r="G2569" s="11">
        <v>58823.53</v>
      </c>
    </row>
    <row r="2570" spans="2:7" x14ac:dyDescent="0.2">
      <c r="B2570" s="32">
        <v>45868</v>
      </c>
      <c r="C2570" t="s">
        <v>142</v>
      </c>
      <c r="D2570" s="13" t="s">
        <v>634</v>
      </c>
      <c r="E2570" t="s">
        <v>208</v>
      </c>
      <c r="F2570" s="11">
        <v>1</v>
      </c>
      <c r="G2570" s="11">
        <v>58823.53</v>
      </c>
    </row>
    <row r="2571" spans="2:7" x14ac:dyDescent="0.2">
      <c r="B2571" s="32">
        <v>45868</v>
      </c>
      <c r="C2571" t="s">
        <v>142</v>
      </c>
      <c r="D2571" s="13" t="s">
        <v>634</v>
      </c>
      <c r="E2571" t="s">
        <v>239</v>
      </c>
      <c r="F2571" s="11">
        <v>1</v>
      </c>
      <c r="G2571" s="11">
        <v>46218.49</v>
      </c>
    </row>
    <row r="2572" spans="2:7" x14ac:dyDescent="0.2">
      <c r="B2572" s="32">
        <v>45868</v>
      </c>
      <c r="C2572" t="s">
        <v>142</v>
      </c>
      <c r="D2572" s="13" t="s">
        <v>634</v>
      </c>
      <c r="E2572" t="s">
        <v>229</v>
      </c>
      <c r="F2572" s="11">
        <v>1</v>
      </c>
      <c r="G2572" s="11">
        <v>42016.81</v>
      </c>
    </row>
    <row r="2573" spans="2:7" x14ac:dyDescent="0.2">
      <c r="B2573" s="32">
        <v>45868</v>
      </c>
      <c r="C2573" t="s">
        <v>142</v>
      </c>
      <c r="D2573" s="13" t="s">
        <v>634</v>
      </c>
      <c r="F2573" s="11">
        <v>0</v>
      </c>
      <c r="G2573" s="11">
        <v>0</v>
      </c>
    </row>
    <row r="2574" spans="2:7" x14ac:dyDescent="0.2">
      <c r="B2574" s="32">
        <v>45868</v>
      </c>
      <c r="C2574" t="s">
        <v>142</v>
      </c>
      <c r="D2574" s="13" t="s">
        <v>633</v>
      </c>
      <c r="E2574" t="s">
        <v>483</v>
      </c>
      <c r="F2574" s="11">
        <v>1</v>
      </c>
      <c r="G2574" s="11">
        <v>58823.53</v>
      </c>
    </row>
    <row r="2575" spans="2:7" x14ac:dyDescent="0.2">
      <c r="B2575" s="32">
        <v>45868</v>
      </c>
      <c r="C2575" t="s">
        <v>142</v>
      </c>
      <c r="D2575" s="13" t="s">
        <v>633</v>
      </c>
      <c r="E2575" t="s">
        <v>290</v>
      </c>
      <c r="F2575" s="11">
        <v>1</v>
      </c>
      <c r="G2575" s="11">
        <v>58823.53</v>
      </c>
    </row>
    <row r="2576" spans="2:7" x14ac:dyDescent="0.2">
      <c r="B2576" s="32">
        <v>45868</v>
      </c>
      <c r="C2576" t="s">
        <v>142</v>
      </c>
      <c r="D2576" s="13" t="s">
        <v>633</v>
      </c>
      <c r="E2576" t="s">
        <v>236</v>
      </c>
      <c r="F2576" s="11">
        <v>1</v>
      </c>
      <c r="G2576" s="11">
        <v>58823.53</v>
      </c>
    </row>
    <row r="2577" spans="2:7" x14ac:dyDescent="0.2">
      <c r="B2577" s="32">
        <v>45868</v>
      </c>
      <c r="C2577" t="s">
        <v>142</v>
      </c>
      <c r="D2577" s="13" t="s">
        <v>633</v>
      </c>
      <c r="F2577" s="11">
        <v>0</v>
      </c>
      <c r="G2577" s="11">
        <v>0</v>
      </c>
    </row>
    <row r="2578" spans="2:7" x14ac:dyDescent="0.2">
      <c r="B2578" s="32">
        <v>45868</v>
      </c>
      <c r="C2578" t="s">
        <v>110</v>
      </c>
      <c r="D2578" s="13" t="s">
        <v>633</v>
      </c>
      <c r="E2578" t="s">
        <v>189</v>
      </c>
      <c r="F2578" s="11">
        <v>1</v>
      </c>
      <c r="G2578" s="11">
        <v>71428.570000000007</v>
      </c>
    </row>
    <row r="2579" spans="2:7" x14ac:dyDescent="0.2">
      <c r="B2579" s="32">
        <v>45868</v>
      </c>
      <c r="C2579" t="s">
        <v>110</v>
      </c>
      <c r="D2579" s="13" t="s">
        <v>633</v>
      </c>
      <c r="E2579" t="s">
        <v>195</v>
      </c>
      <c r="F2579" s="11">
        <v>1</v>
      </c>
      <c r="G2579" s="11">
        <v>46218.49</v>
      </c>
    </row>
    <row r="2580" spans="2:7" x14ac:dyDescent="0.2">
      <c r="B2580" s="32">
        <v>45868</v>
      </c>
      <c r="C2580" t="s">
        <v>1739</v>
      </c>
      <c r="D2580" s="13" t="s">
        <v>633</v>
      </c>
      <c r="E2580" t="s">
        <v>1860</v>
      </c>
      <c r="F2580" s="11">
        <v>1</v>
      </c>
      <c r="G2580" s="11">
        <v>153571.43</v>
      </c>
    </row>
    <row r="2581" spans="2:7" x14ac:dyDescent="0.2">
      <c r="B2581" s="32">
        <v>45868</v>
      </c>
      <c r="C2581" t="s">
        <v>1739</v>
      </c>
      <c r="D2581" s="13" t="s">
        <v>633</v>
      </c>
      <c r="E2581" t="s">
        <v>368</v>
      </c>
      <c r="F2581" s="11">
        <v>0</v>
      </c>
      <c r="G2581" s="11">
        <v>75630.25</v>
      </c>
    </row>
    <row r="2582" spans="2:7" x14ac:dyDescent="0.2">
      <c r="B2582" s="32">
        <v>45868</v>
      </c>
      <c r="C2582" t="s">
        <v>1739</v>
      </c>
      <c r="D2582" s="13" t="s">
        <v>633</v>
      </c>
      <c r="E2582" t="s">
        <v>1896</v>
      </c>
      <c r="F2582" s="11">
        <v>1</v>
      </c>
      <c r="G2582" s="11">
        <v>46218.49</v>
      </c>
    </row>
    <row r="2583" spans="2:7" x14ac:dyDescent="0.2">
      <c r="B2583" s="32">
        <v>45868</v>
      </c>
      <c r="C2583" t="s">
        <v>1739</v>
      </c>
      <c r="D2583" s="13" t="s">
        <v>633</v>
      </c>
      <c r="E2583" t="s">
        <v>234</v>
      </c>
      <c r="F2583" s="11">
        <v>1</v>
      </c>
      <c r="G2583" s="11">
        <v>37815.129999999997</v>
      </c>
    </row>
    <row r="2584" spans="2:7" x14ac:dyDescent="0.2">
      <c r="B2584" s="32">
        <v>45868</v>
      </c>
      <c r="C2584" t="s">
        <v>1739</v>
      </c>
      <c r="D2584" s="13" t="s">
        <v>633</v>
      </c>
      <c r="E2584" t="s">
        <v>152</v>
      </c>
      <c r="F2584" s="11">
        <v>1</v>
      </c>
      <c r="G2584" s="11">
        <v>0</v>
      </c>
    </row>
    <row r="2585" spans="2:7" x14ac:dyDescent="0.2">
      <c r="B2585" s="32">
        <v>45868</v>
      </c>
      <c r="C2585" t="s">
        <v>109</v>
      </c>
      <c r="D2585" s="13" t="s">
        <v>634</v>
      </c>
      <c r="E2585" t="s">
        <v>602</v>
      </c>
      <c r="F2585" s="11">
        <v>1</v>
      </c>
      <c r="G2585" s="11">
        <v>184873.95</v>
      </c>
    </row>
    <row r="2586" spans="2:7" x14ac:dyDescent="0.2">
      <c r="B2586" s="32">
        <v>45868</v>
      </c>
      <c r="C2586" t="s">
        <v>109</v>
      </c>
      <c r="D2586" s="13" t="s">
        <v>634</v>
      </c>
      <c r="E2586" t="s">
        <v>226</v>
      </c>
      <c r="F2586" s="11">
        <v>1</v>
      </c>
      <c r="G2586" s="11">
        <v>100840.34</v>
      </c>
    </row>
    <row r="2587" spans="2:7" x14ac:dyDescent="0.2">
      <c r="B2587" s="32">
        <v>45868</v>
      </c>
      <c r="C2587" t="s">
        <v>109</v>
      </c>
      <c r="D2587" s="13" t="s">
        <v>634</v>
      </c>
      <c r="E2587" t="s">
        <v>144</v>
      </c>
      <c r="F2587" s="11">
        <v>4</v>
      </c>
      <c r="G2587" s="11">
        <v>87815.13</v>
      </c>
    </row>
    <row r="2588" spans="2:7" x14ac:dyDescent="0.2">
      <c r="B2588" s="32">
        <v>45868</v>
      </c>
      <c r="C2588" t="s">
        <v>109</v>
      </c>
      <c r="D2588" s="13" t="s">
        <v>634</v>
      </c>
      <c r="E2588" t="s">
        <v>213</v>
      </c>
      <c r="F2588" s="11">
        <v>1</v>
      </c>
      <c r="G2588" s="11">
        <v>58823.53</v>
      </c>
    </row>
    <row r="2589" spans="2:7" x14ac:dyDescent="0.2">
      <c r="B2589" s="32">
        <v>45868</v>
      </c>
      <c r="C2589" t="s">
        <v>109</v>
      </c>
      <c r="D2589" s="13" t="s">
        <v>634</v>
      </c>
      <c r="E2589" t="s">
        <v>1946</v>
      </c>
      <c r="F2589" s="11">
        <v>1</v>
      </c>
      <c r="G2589" s="11">
        <v>58823.53</v>
      </c>
    </row>
    <row r="2590" spans="2:7" x14ac:dyDescent="0.2">
      <c r="B2590" s="32">
        <v>45868</v>
      </c>
      <c r="C2590" t="s">
        <v>109</v>
      </c>
      <c r="D2590" s="13" t="s">
        <v>634</v>
      </c>
      <c r="E2590" t="s">
        <v>809</v>
      </c>
      <c r="F2590" s="11">
        <v>1</v>
      </c>
      <c r="G2590" s="11">
        <v>58823.53</v>
      </c>
    </row>
    <row r="2591" spans="2:7" x14ac:dyDescent="0.2">
      <c r="B2591" s="32">
        <v>45868</v>
      </c>
      <c r="C2591" t="s">
        <v>109</v>
      </c>
      <c r="D2591" s="13" t="s">
        <v>634</v>
      </c>
      <c r="E2591" t="s">
        <v>366</v>
      </c>
      <c r="F2591" s="11">
        <v>1</v>
      </c>
      <c r="G2591" s="11">
        <v>58823.53</v>
      </c>
    </row>
    <row r="2592" spans="2:7" x14ac:dyDescent="0.2">
      <c r="B2592" s="32">
        <v>45868</v>
      </c>
      <c r="C2592" t="s">
        <v>109</v>
      </c>
      <c r="D2592" s="13" t="s">
        <v>634</v>
      </c>
      <c r="E2592" t="s">
        <v>679</v>
      </c>
      <c r="F2592" s="11">
        <v>1</v>
      </c>
      <c r="G2592" s="11">
        <v>54621.84</v>
      </c>
    </row>
    <row r="2593" spans="2:7" x14ac:dyDescent="0.2">
      <c r="B2593" s="32">
        <v>45868</v>
      </c>
      <c r="C2593" t="s">
        <v>109</v>
      </c>
      <c r="D2593" s="13" t="s">
        <v>634</v>
      </c>
      <c r="E2593" t="s">
        <v>642</v>
      </c>
      <c r="F2593" s="11">
        <v>1</v>
      </c>
      <c r="G2593" s="11">
        <v>49000</v>
      </c>
    </row>
    <row r="2594" spans="2:7" x14ac:dyDescent="0.2">
      <c r="B2594" s="32">
        <v>45868</v>
      </c>
      <c r="C2594" t="s">
        <v>109</v>
      </c>
      <c r="D2594" s="13" t="s">
        <v>634</v>
      </c>
      <c r="E2594" t="s">
        <v>173</v>
      </c>
      <c r="F2594" s="11">
        <v>1</v>
      </c>
      <c r="G2594" s="11">
        <v>37815.129999999997</v>
      </c>
    </row>
    <row r="2595" spans="2:7" x14ac:dyDescent="0.2">
      <c r="B2595" s="32">
        <v>45868</v>
      </c>
      <c r="C2595" t="s">
        <v>109</v>
      </c>
      <c r="D2595" s="13" t="s">
        <v>634</v>
      </c>
      <c r="E2595" t="s">
        <v>293</v>
      </c>
      <c r="F2595" s="11">
        <v>1</v>
      </c>
      <c r="G2595" s="11">
        <v>37815.129999999997</v>
      </c>
    </row>
    <row r="2596" spans="2:7" x14ac:dyDescent="0.2">
      <c r="B2596" s="32">
        <v>45868</v>
      </c>
      <c r="C2596" t="s">
        <v>109</v>
      </c>
      <c r="D2596" s="13" t="s">
        <v>634</v>
      </c>
      <c r="E2596" t="s">
        <v>1813</v>
      </c>
      <c r="F2596" s="11">
        <v>1</v>
      </c>
      <c r="G2596" s="11">
        <v>21848.74</v>
      </c>
    </row>
    <row r="2597" spans="2:7" x14ac:dyDescent="0.2">
      <c r="B2597" s="32">
        <v>45868</v>
      </c>
      <c r="C2597" t="s">
        <v>109</v>
      </c>
      <c r="D2597" s="13" t="s">
        <v>633</v>
      </c>
      <c r="E2597" t="s">
        <v>301</v>
      </c>
      <c r="F2597" s="11">
        <v>1</v>
      </c>
      <c r="G2597" s="11">
        <v>139000</v>
      </c>
    </row>
    <row r="2598" spans="2:7" x14ac:dyDescent="0.2">
      <c r="B2598" s="32">
        <v>45868</v>
      </c>
      <c r="C2598" t="s">
        <v>109</v>
      </c>
      <c r="D2598" s="13" t="s">
        <v>633</v>
      </c>
      <c r="E2598" t="s">
        <v>680</v>
      </c>
      <c r="F2598" s="11">
        <v>1</v>
      </c>
      <c r="G2598" s="11">
        <v>58823.53</v>
      </c>
    </row>
    <row r="2599" spans="2:7" x14ac:dyDescent="0.2">
      <c r="B2599" s="32">
        <v>45868</v>
      </c>
      <c r="C2599" t="s">
        <v>109</v>
      </c>
      <c r="D2599" s="13" t="s">
        <v>633</v>
      </c>
      <c r="E2599" t="s">
        <v>392</v>
      </c>
      <c r="F2599" s="11">
        <v>1</v>
      </c>
      <c r="G2599" s="11">
        <v>46218.49</v>
      </c>
    </row>
    <row r="2600" spans="2:7" x14ac:dyDescent="0.2">
      <c r="B2600" s="32">
        <v>45868</v>
      </c>
      <c r="C2600" t="s">
        <v>109</v>
      </c>
      <c r="D2600" s="13" t="s">
        <v>633</v>
      </c>
      <c r="E2600" t="s">
        <v>540</v>
      </c>
      <c r="F2600" s="11">
        <v>1</v>
      </c>
      <c r="G2600" s="11">
        <v>46218.48</v>
      </c>
    </row>
    <row r="2601" spans="2:7" x14ac:dyDescent="0.2">
      <c r="B2601" s="32">
        <v>45868</v>
      </c>
      <c r="C2601" t="s">
        <v>109</v>
      </c>
      <c r="D2601" s="13" t="s">
        <v>633</v>
      </c>
      <c r="F2601" s="11">
        <v>1</v>
      </c>
      <c r="G2601" s="11">
        <v>37815.129999999997</v>
      </c>
    </row>
    <row r="2602" spans="2:7" x14ac:dyDescent="0.2">
      <c r="B2602" s="32">
        <v>45869</v>
      </c>
      <c r="C2602" t="s">
        <v>142</v>
      </c>
      <c r="D2602" s="13" t="s">
        <v>633</v>
      </c>
      <c r="E2602" t="s">
        <v>152</v>
      </c>
      <c r="F2602" s="11">
        <v>1</v>
      </c>
      <c r="G2602" s="11">
        <v>75630.25</v>
      </c>
    </row>
    <row r="2603" spans="2:7" x14ac:dyDescent="0.2">
      <c r="B2603" s="32">
        <v>45869</v>
      </c>
      <c r="C2603" t="s">
        <v>142</v>
      </c>
      <c r="D2603" s="13" t="s">
        <v>633</v>
      </c>
      <c r="E2603" t="s">
        <v>831</v>
      </c>
      <c r="F2603" s="11">
        <v>1</v>
      </c>
      <c r="G2603" s="11">
        <v>0.84</v>
      </c>
    </row>
    <row r="2604" spans="2:7" x14ac:dyDescent="0.2">
      <c r="B2604" s="32">
        <v>45869</v>
      </c>
      <c r="C2604" t="s">
        <v>109</v>
      </c>
      <c r="D2604" s="13" t="s">
        <v>634</v>
      </c>
      <c r="E2604" t="s">
        <v>610</v>
      </c>
      <c r="F2604" s="11">
        <v>1</v>
      </c>
      <c r="G2604" s="11">
        <v>285714.28000000003</v>
      </c>
    </row>
    <row r="2605" spans="2:7" x14ac:dyDescent="0.2">
      <c r="B2605" s="32">
        <v>45869</v>
      </c>
      <c r="C2605" t="s">
        <v>109</v>
      </c>
      <c r="D2605" s="13" t="s">
        <v>634</v>
      </c>
      <c r="E2605" t="s">
        <v>301</v>
      </c>
      <c r="F2605" s="11">
        <v>1</v>
      </c>
      <c r="G2605" s="11">
        <v>169000</v>
      </c>
    </row>
    <row r="2606" spans="2:7" x14ac:dyDescent="0.2">
      <c r="B2606" s="32">
        <v>45869</v>
      </c>
      <c r="C2606" t="s">
        <v>109</v>
      </c>
      <c r="D2606" s="13" t="s">
        <v>634</v>
      </c>
      <c r="E2606" t="s">
        <v>199</v>
      </c>
      <c r="F2606" s="11">
        <v>2</v>
      </c>
      <c r="G2606" s="11">
        <v>151260.5</v>
      </c>
    </row>
    <row r="2607" spans="2:7" x14ac:dyDescent="0.2">
      <c r="B2607" s="32">
        <v>45869</v>
      </c>
      <c r="C2607" t="s">
        <v>109</v>
      </c>
      <c r="D2607" s="13" t="s">
        <v>634</v>
      </c>
      <c r="E2607" t="s">
        <v>191</v>
      </c>
      <c r="F2607" s="11">
        <v>1</v>
      </c>
      <c r="G2607" s="11">
        <v>151260.5</v>
      </c>
    </row>
    <row r="2608" spans="2:7" x14ac:dyDescent="0.2">
      <c r="B2608" s="32">
        <v>45869</v>
      </c>
      <c r="C2608" t="s">
        <v>109</v>
      </c>
      <c r="D2608" s="13" t="s">
        <v>634</v>
      </c>
      <c r="E2608" t="s">
        <v>669</v>
      </c>
      <c r="F2608" s="11">
        <v>1</v>
      </c>
      <c r="G2608" s="11">
        <v>102000</v>
      </c>
    </row>
    <row r="2609" spans="2:7" x14ac:dyDescent="0.2">
      <c r="B2609" s="32">
        <v>45869</v>
      </c>
      <c r="C2609" t="s">
        <v>109</v>
      </c>
      <c r="D2609" s="13" t="s">
        <v>634</v>
      </c>
      <c r="E2609" t="s">
        <v>446</v>
      </c>
      <c r="F2609" s="11">
        <v>1</v>
      </c>
      <c r="G2609" s="11">
        <v>100840.33</v>
      </c>
    </row>
    <row r="2610" spans="2:7" x14ac:dyDescent="0.2">
      <c r="B2610" s="32">
        <v>45869</v>
      </c>
      <c r="C2610" t="s">
        <v>109</v>
      </c>
      <c r="D2610" s="13" t="s">
        <v>634</v>
      </c>
      <c r="E2610" t="s">
        <v>144</v>
      </c>
      <c r="F2610" s="11">
        <v>5</v>
      </c>
      <c r="G2610" s="11">
        <v>94957.98</v>
      </c>
    </row>
    <row r="2611" spans="2:7" x14ac:dyDescent="0.2">
      <c r="B2611" s="32">
        <v>45869</v>
      </c>
      <c r="C2611" t="s">
        <v>109</v>
      </c>
      <c r="D2611" s="13" t="s">
        <v>634</v>
      </c>
      <c r="E2611" t="s">
        <v>1837</v>
      </c>
      <c r="F2611" s="11">
        <v>4</v>
      </c>
      <c r="G2611" s="11">
        <v>87394.96</v>
      </c>
    </row>
    <row r="2612" spans="2:7" x14ac:dyDescent="0.2">
      <c r="B2612" s="32">
        <v>45869</v>
      </c>
      <c r="C2612" t="s">
        <v>109</v>
      </c>
      <c r="D2612" s="13" t="s">
        <v>634</v>
      </c>
      <c r="F2612" s="11">
        <v>2</v>
      </c>
      <c r="G2612" s="11">
        <v>84033.62</v>
      </c>
    </row>
    <row r="2613" spans="2:7" x14ac:dyDescent="0.2">
      <c r="B2613" s="32">
        <v>45869</v>
      </c>
      <c r="C2613" t="s">
        <v>109</v>
      </c>
      <c r="D2613" s="13" t="s">
        <v>634</v>
      </c>
      <c r="E2613" t="s">
        <v>173</v>
      </c>
      <c r="F2613" s="11">
        <v>2</v>
      </c>
      <c r="G2613" s="11">
        <v>75630.259999999995</v>
      </c>
    </row>
    <row r="2614" spans="2:7" x14ac:dyDescent="0.2">
      <c r="B2614" s="32">
        <v>45869</v>
      </c>
      <c r="C2614" t="s">
        <v>109</v>
      </c>
      <c r="D2614" s="13" t="s">
        <v>634</v>
      </c>
      <c r="E2614" t="s">
        <v>558</v>
      </c>
      <c r="F2614" s="11">
        <v>1</v>
      </c>
      <c r="G2614" s="11">
        <v>75630.25</v>
      </c>
    </row>
    <row r="2615" spans="2:7" x14ac:dyDescent="0.2">
      <c r="B2615" s="32">
        <v>45869</v>
      </c>
      <c r="C2615" t="s">
        <v>109</v>
      </c>
      <c r="D2615" s="13" t="s">
        <v>634</v>
      </c>
      <c r="E2615" t="s">
        <v>681</v>
      </c>
      <c r="F2615" s="11">
        <v>1</v>
      </c>
      <c r="G2615" s="11">
        <v>75630.25</v>
      </c>
    </row>
    <row r="2616" spans="2:7" x14ac:dyDescent="0.2">
      <c r="B2616" s="32">
        <v>45869</v>
      </c>
      <c r="C2616" t="s">
        <v>109</v>
      </c>
      <c r="D2616" s="13" t="s">
        <v>634</v>
      </c>
      <c r="E2616" t="s">
        <v>731</v>
      </c>
      <c r="F2616" s="11">
        <v>1</v>
      </c>
      <c r="G2616" s="11">
        <v>74000</v>
      </c>
    </row>
    <row r="2617" spans="2:7" x14ac:dyDescent="0.2">
      <c r="B2617" s="32">
        <v>45869</v>
      </c>
      <c r="C2617" t="s">
        <v>109</v>
      </c>
      <c r="D2617" s="13" t="s">
        <v>634</v>
      </c>
      <c r="E2617" t="s">
        <v>534</v>
      </c>
      <c r="F2617" s="11">
        <v>1</v>
      </c>
      <c r="G2617" s="11">
        <v>71428.570000000007</v>
      </c>
    </row>
    <row r="2618" spans="2:7" x14ac:dyDescent="0.2">
      <c r="B2618" s="32">
        <v>45869</v>
      </c>
      <c r="C2618" t="s">
        <v>109</v>
      </c>
      <c r="D2618" s="13" t="s">
        <v>634</v>
      </c>
      <c r="E2618" t="s">
        <v>533</v>
      </c>
      <c r="F2618" s="11">
        <v>1</v>
      </c>
      <c r="G2618" s="11">
        <v>58823.53</v>
      </c>
    </row>
    <row r="2619" spans="2:7" x14ac:dyDescent="0.2">
      <c r="B2619" s="32">
        <v>45869</v>
      </c>
      <c r="C2619" t="s">
        <v>109</v>
      </c>
      <c r="D2619" s="13" t="s">
        <v>634</v>
      </c>
      <c r="E2619" t="s">
        <v>751</v>
      </c>
      <c r="F2619" s="11">
        <v>1</v>
      </c>
      <c r="G2619" s="11">
        <v>58823.53</v>
      </c>
    </row>
    <row r="2620" spans="2:7" x14ac:dyDescent="0.2">
      <c r="B2620" s="32">
        <v>45869</v>
      </c>
      <c r="C2620" t="s">
        <v>109</v>
      </c>
      <c r="D2620" s="13" t="s">
        <v>634</v>
      </c>
      <c r="E2620" t="s">
        <v>378</v>
      </c>
      <c r="F2620" s="11">
        <v>1</v>
      </c>
      <c r="G2620" s="11">
        <v>58823.53</v>
      </c>
    </row>
    <row r="2621" spans="2:7" x14ac:dyDescent="0.2">
      <c r="B2621" s="32">
        <v>45869</v>
      </c>
      <c r="C2621" t="s">
        <v>109</v>
      </c>
      <c r="D2621" s="13" t="s">
        <v>634</v>
      </c>
      <c r="E2621" t="s">
        <v>613</v>
      </c>
      <c r="F2621" s="11">
        <v>1</v>
      </c>
      <c r="G2621" s="11">
        <v>55000</v>
      </c>
    </row>
    <row r="2622" spans="2:7" x14ac:dyDescent="0.2">
      <c r="B2622" s="32">
        <v>45869</v>
      </c>
      <c r="C2622" t="s">
        <v>109</v>
      </c>
      <c r="D2622" s="13" t="s">
        <v>634</v>
      </c>
      <c r="E2622" t="s">
        <v>1829</v>
      </c>
      <c r="F2622" s="11">
        <v>1</v>
      </c>
      <c r="G2622" s="11">
        <v>54621.85</v>
      </c>
    </row>
    <row r="2623" spans="2:7" x14ac:dyDescent="0.2">
      <c r="B2623" s="32">
        <v>45869</v>
      </c>
      <c r="C2623" t="s">
        <v>109</v>
      </c>
      <c r="D2623" s="13" t="s">
        <v>634</v>
      </c>
      <c r="E2623" t="s">
        <v>1947</v>
      </c>
      <c r="F2623" s="11">
        <v>1</v>
      </c>
      <c r="G2623" s="11">
        <v>54621.85</v>
      </c>
    </row>
    <row r="2624" spans="2:7" x14ac:dyDescent="0.2">
      <c r="B2624" s="32">
        <v>45869</v>
      </c>
      <c r="C2624" t="s">
        <v>109</v>
      </c>
      <c r="D2624" s="13" t="s">
        <v>634</v>
      </c>
      <c r="E2624" t="s">
        <v>348</v>
      </c>
      <c r="F2624" s="11">
        <v>1</v>
      </c>
      <c r="G2624" s="11">
        <v>54621.85</v>
      </c>
    </row>
    <row r="2625" spans="2:7" x14ac:dyDescent="0.2">
      <c r="B2625" s="32">
        <v>45869</v>
      </c>
      <c r="C2625" t="s">
        <v>109</v>
      </c>
      <c r="D2625" s="13" t="s">
        <v>634</v>
      </c>
      <c r="E2625" t="s">
        <v>493</v>
      </c>
      <c r="F2625" s="11">
        <v>1</v>
      </c>
      <c r="G2625" s="11">
        <v>54621.84</v>
      </c>
    </row>
    <row r="2626" spans="2:7" x14ac:dyDescent="0.2">
      <c r="B2626" s="32">
        <v>45869</v>
      </c>
      <c r="C2626" t="s">
        <v>109</v>
      </c>
      <c r="D2626" s="13" t="s">
        <v>634</v>
      </c>
      <c r="E2626" t="s">
        <v>213</v>
      </c>
      <c r="F2626" s="11">
        <v>1</v>
      </c>
      <c r="G2626" s="11">
        <v>49999.99</v>
      </c>
    </row>
    <row r="2627" spans="2:7" x14ac:dyDescent="0.2">
      <c r="B2627" s="32">
        <v>45869</v>
      </c>
      <c r="C2627" t="s">
        <v>109</v>
      </c>
      <c r="D2627" s="13" t="s">
        <v>634</v>
      </c>
      <c r="E2627" t="s">
        <v>1896</v>
      </c>
      <c r="F2627" s="11">
        <v>1</v>
      </c>
      <c r="G2627" s="11">
        <v>46218.49</v>
      </c>
    </row>
    <row r="2628" spans="2:7" x14ac:dyDescent="0.2">
      <c r="B2628" s="32">
        <v>45869</v>
      </c>
      <c r="C2628" t="s">
        <v>109</v>
      </c>
      <c r="D2628" s="13" t="s">
        <v>634</v>
      </c>
      <c r="E2628" t="s">
        <v>158</v>
      </c>
      <c r="F2628" s="11">
        <v>1</v>
      </c>
      <c r="G2628" s="11">
        <v>46218.49</v>
      </c>
    </row>
    <row r="2629" spans="2:7" x14ac:dyDescent="0.2">
      <c r="B2629" s="32">
        <v>45869</v>
      </c>
      <c r="C2629" t="s">
        <v>109</v>
      </c>
      <c r="D2629" s="13" t="s">
        <v>634</v>
      </c>
      <c r="E2629" t="s">
        <v>195</v>
      </c>
      <c r="F2629" s="11">
        <v>1</v>
      </c>
      <c r="G2629" s="11">
        <v>46218.49</v>
      </c>
    </row>
    <row r="2630" spans="2:7" x14ac:dyDescent="0.2">
      <c r="B2630" s="32">
        <v>45869</v>
      </c>
      <c r="C2630" t="s">
        <v>109</v>
      </c>
      <c r="D2630" s="13" t="s">
        <v>634</v>
      </c>
      <c r="E2630" t="s">
        <v>337</v>
      </c>
      <c r="F2630" s="11">
        <v>1</v>
      </c>
      <c r="G2630" s="11">
        <v>46218.49</v>
      </c>
    </row>
    <row r="2631" spans="2:7" x14ac:dyDescent="0.2">
      <c r="B2631" s="32">
        <v>45869</v>
      </c>
      <c r="C2631" t="s">
        <v>109</v>
      </c>
      <c r="D2631" s="13" t="s">
        <v>634</v>
      </c>
      <c r="E2631" t="s">
        <v>166</v>
      </c>
      <c r="F2631" s="11">
        <v>1</v>
      </c>
      <c r="G2631" s="11">
        <v>42016.81</v>
      </c>
    </row>
    <row r="2632" spans="2:7" x14ac:dyDescent="0.2">
      <c r="B2632" s="32">
        <v>45869</v>
      </c>
      <c r="C2632" t="s">
        <v>109</v>
      </c>
      <c r="D2632" s="13" t="s">
        <v>634</v>
      </c>
      <c r="E2632" t="s">
        <v>229</v>
      </c>
      <c r="F2632" s="11">
        <v>1</v>
      </c>
      <c r="G2632" s="11">
        <v>42016.81</v>
      </c>
    </row>
    <row r="2633" spans="2:7" x14ac:dyDescent="0.2">
      <c r="B2633" s="32">
        <v>45869</v>
      </c>
      <c r="C2633" t="s">
        <v>109</v>
      </c>
      <c r="D2633" s="13" t="s">
        <v>634</v>
      </c>
      <c r="E2633" t="s">
        <v>293</v>
      </c>
      <c r="F2633" s="11">
        <v>1</v>
      </c>
      <c r="G2633" s="11">
        <v>37815.129999999997</v>
      </c>
    </row>
    <row r="2634" spans="2:7" x14ac:dyDescent="0.2">
      <c r="B2634" s="32">
        <v>45869</v>
      </c>
      <c r="C2634" t="s">
        <v>109</v>
      </c>
      <c r="D2634" s="13" t="s">
        <v>634</v>
      </c>
      <c r="E2634" t="s">
        <v>234</v>
      </c>
      <c r="F2634" s="11">
        <v>1</v>
      </c>
      <c r="G2634" s="11">
        <v>37815.129999999997</v>
      </c>
    </row>
    <row r="2635" spans="2:7" x14ac:dyDescent="0.2">
      <c r="B2635" s="32">
        <v>45869</v>
      </c>
      <c r="C2635" t="s">
        <v>109</v>
      </c>
      <c r="D2635" s="13" t="s">
        <v>634</v>
      </c>
      <c r="E2635" t="s">
        <v>1818</v>
      </c>
      <c r="F2635" s="11">
        <v>1</v>
      </c>
      <c r="G2635" s="11">
        <v>37815.129999999997</v>
      </c>
    </row>
    <row r="2636" spans="2:7" x14ac:dyDescent="0.2">
      <c r="B2636" s="32">
        <v>45869</v>
      </c>
      <c r="C2636" t="s">
        <v>109</v>
      </c>
      <c r="D2636" s="13" t="s">
        <v>634</v>
      </c>
      <c r="E2636" t="s">
        <v>328</v>
      </c>
      <c r="F2636" s="11">
        <v>1</v>
      </c>
      <c r="G2636" s="11">
        <v>37815.120000000003</v>
      </c>
    </row>
    <row r="2637" spans="2:7" x14ac:dyDescent="0.2">
      <c r="B2637" s="32">
        <v>45869</v>
      </c>
      <c r="C2637" t="s">
        <v>109</v>
      </c>
      <c r="D2637" s="13" t="s">
        <v>634</v>
      </c>
      <c r="E2637" t="s">
        <v>447</v>
      </c>
      <c r="F2637" s="11">
        <v>1</v>
      </c>
      <c r="G2637" s="11">
        <v>0</v>
      </c>
    </row>
    <row r="2638" spans="2:7" x14ac:dyDescent="0.2">
      <c r="B2638" s="32">
        <v>45869</v>
      </c>
      <c r="C2638" t="s">
        <v>109</v>
      </c>
      <c r="D2638" s="13" t="s">
        <v>633</v>
      </c>
      <c r="E2638" t="s">
        <v>1804</v>
      </c>
      <c r="F2638" s="11">
        <v>0</v>
      </c>
      <c r="G2638" s="11">
        <v>376470.59</v>
      </c>
    </row>
    <row r="2639" spans="2:7" x14ac:dyDescent="0.2">
      <c r="B2639" s="32">
        <v>45869</v>
      </c>
      <c r="C2639" t="s">
        <v>109</v>
      </c>
      <c r="D2639" s="13" t="s">
        <v>633</v>
      </c>
      <c r="E2639" t="s">
        <v>1958</v>
      </c>
      <c r="F2639" s="11">
        <v>2</v>
      </c>
      <c r="G2639" s="11">
        <v>324369.75</v>
      </c>
    </row>
    <row r="2640" spans="2:7" x14ac:dyDescent="0.2">
      <c r="B2640" s="32">
        <v>45869</v>
      </c>
      <c r="C2640" t="s">
        <v>109</v>
      </c>
      <c r="D2640" s="13" t="s">
        <v>633</v>
      </c>
      <c r="E2640" t="s">
        <v>1780</v>
      </c>
      <c r="F2640" s="11">
        <v>1</v>
      </c>
      <c r="G2640" s="11">
        <v>226890.76</v>
      </c>
    </row>
    <row r="2641" spans="2:7" x14ac:dyDescent="0.2">
      <c r="B2641" s="32">
        <v>45869</v>
      </c>
      <c r="C2641" t="s">
        <v>109</v>
      </c>
      <c r="D2641" s="13" t="s">
        <v>633</v>
      </c>
      <c r="E2641" t="s">
        <v>483</v>
      </c>
      <c r="F2641" s="11">
        <v>2</v>
      </c>
      <c r="G2641" s="11">
        <v>218487.39</v>
      </c>
    </row>
    <row r="2642" spans="2:7" x14ac:dyDescent="0.2">
      <c r="B2642" s="32">
        <v>45869</v>
      </c>
      <c r="C2642" t="s">
        <v>109</v>
      </c>
      <c r="D2642" s="13" t="s">
        <v>633</v>
      </c>
      <c r="E2642" t="s">
        <v>446</v>
      </c>
      <c r="F2642" s="11">
        <v>2</v>
      </c>
      <c r="G2642" s="11">
        <v>201680.67</v>
      </c>
    </row>
    <row r="2643" spans="2:7" x14ac:dyDescent="0.2">
      <c r="B2643" s="32">
        <v>45869</v>
      </c>
      <c r="C2643" t="s">
        <v>109</v>
      </c>
      <c r="D2643" s="13" t="s">
        <v>633</v>
      </c>
      <c r="E2643" t="s">
        <v>822</v>
      </c>
      <c r="F2643" s="11">
        <v>2</v>
      </c>
      <c r="G2643" s="11">
        <v>117647.06</v>
      </c>
    </row>
    <row r="2644" spans="2:7" x14ac:dyDescent="0.2">
      <c r="B2644" s="32">
        <v>45869</v>
      </c>
      <c r="C2644" t="s">
        <v>109</v>
      </c>
      <c r="D2644" s="13" t="s">
        <v>633</v>
      </c>
      <c r="E2644" t="s">
        <v>700</v>
      </c>
      <c r="F2644" s="11">
        <v>2</v>
      </c>
      <c r="G2644" s="11">
        <v>117647.06</v>
      </c>
    </row>
    <row r="2645" spans="2:7" x14ac:dyDescent="0.2">
      <c r="B2645" s="32">
        <v>45869</v>
      </c>
      <c r="C2645" t="s">
        <v>109</v>
      </c>
      <c r="D2645" s="13" t="s">
        <v>633</v>
      </c>
      <c r="E2645" t="s">
        <v>1787</v>
      </c>
      <c r="F2645" s="11">
        <v>1</v>
      </c>
      <c r="G2645" s="11">
        <v>100840.34</v>
      </c>
    </row>
    <row r="2646" spans="2:7" x14ac:dyDescent="0.2">
      <c r="B2646" s="32">
        <v>45869</v>
      </c>
      <c r="C2646" t="s">
        <v>109</v>
      </c>
      <c r="D2646" s="13" t="s">
        <v>633</v>
      </c>
      <c r="E2646" t="s">
        <v>681</v>
      </c>
      <c r="F2646" s="11">
        <v>1</v>
      </c>
      <c r="G2646" s="11">
        <v>75630.25</v>
      </c>
    </row>
    <row r="2647" spans="2:7" x14ac:dyDescent="0.2">
      <c r="B2647" s="32">
        <v>45869</v>
      </c>
      <c r="C2647" t="s">
        <v>109</v>
      </c>
      <c r="D2647" s="13" t="s">
        <v>633</v>
      </c>
      <c r="E2647" t="s">
        <v>473</v>
      </c>
      <c r="F2647" s="11">
        <v>1</v>
      </c>
      <c r="G2647" s="11">
        <v>50420.17</v>
      </c>
    </row>
    <row r="2648" spans="2:7" x14ac:dyDescent="0.2">
      <c r="B2648" s="32">
        <v>45869</v>
      </c>
      <c r="C2648" t="s">
        <v>109</v>
      </c>
      <c r="D2648" s="13" t="s">
        <v>633</v>
      </c>
      <c r="E2648" t="s">
        <v>426</v>
      </c>
      <c r="F2648" s="11">
        <v>1</v>
      </c>
      <c r="G2648" s="11">
        <v>50420.17</v>
      </c>
    </row>
    <row r="2649" spans="2:7" x14ac:dyDescent="0.2">
      <c r="B2649" s="32">
        <v>45869</v>
      </c>
      <c r="C2649" t="s">
        <v>109</v>
      </c>
      <c r="D2649" s="13" t="s">
        <v>633</v>
      </c>
      <c r="E2649" t="s">
        <v>179</v>
      </c>
      <c r="F2649" s="11">
        <v>1</v>
      </c>
      <c r="G2649" s="11">
        <v>46218.49</v>
      </c>
    </row>
    <row r="2650" spans="2:7" x14ac:dyDescent="0.2">
      <c r="B2650" s="32">
        <v>45869</v>
      </c>
      <c r="C2650" t="s">
        <v>109</v>
      </c>
      <c r="D2650" s="13" t="s">
        <v>633</v>
      </c>
      <c r="E2650" t="s">
        <v>1771</v>
      </c>
      <c r="F2650" s="11">
        <v>1</v>
      </c>
      <c r="G2650" s="11">
        <v>46218.48</v>
      </c>
    </row>
    <row r="2651" spans="2:7" x14ac:dyDescent="0.2">
      <c r="B2651" s="32">
        <v>45869</v>
      </c>
      <c r="C2651" t="s">
        <v>109</v>
      </c>
      <c r="D2651" s="13" t="s">
        <v>633</v>
      </c>
      <c r="E2651" t="s">
        <v>173</v>
      </c>
      <c r="F2651" s="11">
        <v>1</v>
      </c>
      <c r="G2651" s="11">
        <v>37815.129999999997</v>
      </c>
    </row>
    <row r="2652" spans="2:7" x14ac:dyDescent="0.2">
      <c r="B2652" s="32">
        <v>45869</v>
      </c>
      <c r="C2652" t="s">
        <v>109</v>
      </c>
      <c r="D2652" s="13" t="s">
        <v>633</v>
      </c>
      <c r="E2652" t="s">
        <v>148</v>
      </c>
      <c r="F2652" s="11">
        <v>1</v>
      </c>
      <c r="G2652" s="11">
        <v>37815.129999999997</v>
      </c>
    </row>
    <row r="2653" spans="2:7" x14ac:dyDescent="0.2">
      <c r="B2653" s="32">
        <v>45869</v>
      </c>
      <c r="C2653" t="s">
        <v>109</v>
      </c>
      <c r="D2653" s="13" t="s">
        <v>633</v>
      </c>
      <c r="E2653" t="s">
        <v>1959</v>
      </c>
      <c r="F2653" s="11">
        <v>2</v>
      </c>
      <c r="G2653" s="11">
        <v>31092.44</v>
      </c>
    </row>
    <row r="2654" spans="2:7" x14ac:dyDescent="0.2">
      <c r="B2654" s="32">
        <v>45869</v>
      </c>
      <c r="C2654" t="s">
        <v>109</v>
      </c>
      <c r="D2654" s="13" t="s">
        <v>633</v>
      </c>
      <c r="E2654" t="s">
        <v>144</v>
      </c>
      <c r="F2654" s="11">
        <v>1</v>
      </c>
      <c r="G2654" s="11">
        <v>13865.54</v>
      </c>
    </row>
    <row r="2655" spans="2:7" x14ac:dyDescent="0.2">
      <c r="B2655" s="32">
        <v>45869</v>
      </c>
      <c r="C2655" t="s">
        <v>109</v>
      </c>
      <c r="D2655" s="13" t="s">
        <v>633</v>
      </c>
      <c r="E2655" t="s">
        <v>535</v>
      </c>
      <c r="F2655" s="11">
        <v>2</v>
      </c>
      <c r="G2655" s="11">
        <v>0</v>
      </c>
    </row>
    <row r="2656" spans="2:7" x14ac:dyDescent="0.2">
      <c r="B2656" s="32">
        <v>45870</v>
      </c>
      <c r="C2656" t="s">
        <v>142</v>
      </c>
      <c r="D2656" s="13" t="s">
        <v>634</v>
      </c>
      <c r="E2656" t="s">
        <v>1911</v>
      </c>
      <c r="F2656" s="11">
        <v>1</v>
      </c>
      <c r="G2656" s="11">
        <v>252100.84</v>
      </c>
    </row>
    <row r="2657" spans="2:7" x14ac:dyDescent="0.2">
      <c r="B2657" s="32">
        <v>45870</v>
      </c>
      <c r="C2657" t="s">
        <v>142</v>
      </c>
      <c r="D2657" s="13" t="s">
        <v>634</v>
      </c>
      <c r="E2657" t="s">
        <v>1898</v>
      </c>
      <c r="F2657" s="11">
        <v>4</v>
      </c>
      <c r="G2657" s="11">
        <v>218487.39</v>
      </c>
    </row>
    <row r="2658" spans="2:7" x14ac:dyDescent="0.2">
      <c r="B2658" s="32">
        <v>45870</v>
      </c>
      <c r="C2658" t="s">
        <v>142</v>
      </c>
      <c r="D2658" s="13" t="s">
        <v>634</v>
      </c>
      <c r="E2658" t="s">
        <v>308</v>
      </c>
      <c r="F2658" s="11">
        <v>1</v>
      </c>
      <c r="G2658" s="11">
        <v>96638.66</v>
      </c>
    </row>
    <row r="2659" spans="2:7" x14ac:dyDescent="0.2">
      <c r="B2659" s="32">
        <v>45870</v>
      </c>
      <c r="C2659" t="s">
        <v>142</v>
      </c>
      <c r="D2659" s="13" t="s">
        <v>634</v>
      </c>
      <c r="E2659" t="s">
        <v>167</v>
      </c>
      <c r="F2659" s="11">
        <v>1</v>
      </c>
      <c r="G2659" s="11">
        <v>96638.66</v>
      </c>
    </row>
    <row r="2660" spans="2:7" x14ac:dyDescent="0.2">
      <c r="B2660" s="32">
        <v>45870</v>
      </c>
      <c r="C2660" t="s">
        <v>142</v>
      </c>
      <c r="D2660" s="13" t="s">
        <v>634</v>
      </c>
      <c r="E2660" t="s">
        <v>190</v>
      </c>
      <c r="F2660" s="11">
        <v>1</v>
      </c>
      <c r="G2660" s="11">
        <v>79831.94</v>
      </c>
    </row>
    <row r="2661" spans="2:7" x14ac:dyDescent="0.2">
      <c r="B2661" s="32">
        <v>45870</v>
      </c>
      <c r="C2661" t="s">
        <v>142</v>
      </c>
      <c r="D2661" s="13" t="s">
        <v>634</v>
      </c>
      <c r="E2661" t="s">
        <v>229</v>
      </c>
      <c r="F2661" s="11">
        <v>1</v>
      </c>
      <c r="G2661" s="11">
        <v>42016.81</v>
      </c>
    </row>
    <row r="2662" spans="2:7" x14ac:dyDescent="0.2">
      <c r="B2662" s="32">
        <v>45870</v>
      </c>
      <c r="C2662" t="s">
        <v>142</v>
      </c>
      <c r="D2662" s="13" t="s">
        <v>634</v>
      </c>
      <c r="E2662" t="s">
        <v>1796</v>
      </c>
      <c r="F2662" s="11">
        <v>1</v>
      </c>
      <c r="G2662" s="11">
        <v>21008.400000000001</v>
      </c>
    </row>
    <row r="2663" spans="2:7" x14ac:dyDescent="0.2">
      <c r="B2663" s="32">
        <v>45870</v>
      </c>
      <c r="C2663" t="s">
        <v>142</v>
      </c>
      <c r="D2663" s="13" t="s">
        <v>634</v>
      </c>
      <c r="F2663" s="11">
        <v>0</v>
      </c>
      <c r="G2663" s="11">
        <v>0</v>
      </c>
    </row>
    <row r="2664" spans="2:7" x14ac:dyDescent="0.2">
      <c r="B2664" s="32">
        <v>45870</v>
      </c>
      <c r="C2664" t="s">
        <v>142</v>
      </c>
      <c r="D2664" s="13" t="s">
        <v>633</v>
      </c>
      <c r="F2664" s="11">
        <v>0</v>
      </c>
      <c r="G2664" s="11">
        <v>1400</v>
      </c>
    </row>
    <row r="2665" spans="2:7" x14ac:dyDescent="0.2">
      <c r="B2665" s="32">
        <v>45870</v>
      </c>
      <c r="C2665" t="s">
        <v>142</v>
      </c>
      <c r="D2665" s="13" t="s">
        <v>633</v>
      </c>
      <c r="E2665" t="s">
        <v>700</v>
      </c>
      <c r="F2665" s="11">
        <v>1</v>
      </c>
      <c r="G2665" s="11">
        <v>0</v>
      </c>
    </row>
    <row r="2666" spans="2:7" x14ac:dyDescent="0.2">
      <c r="B2666" s="32">
        <v>45870</v>
      </c>
      <c r="C2666" t="s">
        <v>110</v>
      </c>
      <c r="D2666" s="13" t="s">
        <v>633</v>
      </c>
      <c r="E2666" t="s">
        <v>151</v>
      </c>
      <c r="F2666" s="11">
        <v>1</v>
      </c>
      <c r="G2666" s="11">
        <v>46218.49</v>
      </c>
    </row>
    <row r="2667" spans="2:7" x14ac:dyDescent="0.2">
      <c r="B2667" s="32">
        <v>45870</v>
      </c>
      <c r="C2667" t="s">
        <v>1739</v>
      </c>
      <c r="D2667" s="13" t="s">
        <v>634</v>
      </c>
      <c r="E2667" t="s">
        <v>1902</v>
      </c>
      <c r="F2667" s="11">
        <v>1</v>
      </c>
      <c r="G2667" s="11">
        <v>37815.129999999997</v>
      </c>
    </row>
    <row r="2668" spans="2:7" x14ac:dyDescent="0.2">
      <c r="B2668" s="32">
        <v>45870</v>
      </c>
      <c r="C2668" t="s">
        <v>1739</v>
      </c>
      <c r="D2668" s="13" t="s">
        <v>634</v>
      </c>
      <c r="E2668" t="s">
        <v>468</v>
      </c>
      <c r="F2668" s="11">
        <v>1</v>
      </c>
      <c r="G2668" s="11">
        <v>37815.129999999997</v>
      </c>
    </row>
    <row r="2669" spans="2:7" x14ac:dyDescent="0.2">
      <c r="B2669" s="32">
        <v>45870</v>
      </c>
      <c r="C2669" t="s">
        <v>1739</v>
      </c>
      <c r="D2669" s="13" t="s">
        <v>634</v>
      </c>
      <c r="E2669" t="s">
        <v>1960</v>
      </c>
      <c r="F2669" s="11">
        <v>1</v>
      </c>
      <c r="G2669" s="11">
        <v>37815.120000000003</v>
      </c>
    </row>
    <row r="2670" spans="2:7" x14ac:dyDescent="0.2">
      <c r="B2670" s="32">
        <v>45870</v>
      </c>
      <c r="C2670" t="s">
        <v>1739</v>
      </c>
      <c r="D2670" s="13" t="s">
        <v>634</v>
      </c>
      <c r="F2670" s="11">
        <v>0</v>
      </c>
      <c r="G2670" s="11">
        <v>0</v>
      </c>
    </row>
    <row r="2671" spans="2:7" x14ac:dyDescent="0.2">
      <c r="B2671" s="32">
        <v>45870</v>
      </c>
      <c r="C2671" t="s">
        <v>109</v>
      </c>
      <c r="D2671" s="13" t="s">
        <v>634</v>
      </c>
      <c r="E2671" t="s">
        <v>648</v>
      </c>
      <c r="F2671" s="11">
        <v>2</v>
      </c>
      <c r="G2671" s="11">
        <v>109243.7</v>
      </c>
    </row>
    <row r="2672" spans="2:7" x14ac:dyDescent="0.2">
      <c r="B2672" s="32">
        <v>45870</v>
      </c>
      <c r="C2672" t="s">
        <v>109</v>
      </c>
      <c r="D2672" s="13" t="s">
        <v>634</v>
      </c>
      <c r="E2672" t="s">
        <v>446</v>
      </c>
      <c r="F2672" s="11">
        <v>1</v>
      </c>
      <c r="G2672" s="11">
        <v>100840.34</v>
      </c>
    </row>
    <row r="2673" spans="2:7" x14ac:dyDescent="0.2">
      <c r="B2673" s="32">
        <v>45870</v>
      </c>
      <c r="C2673" t="s">
        <v>109</v>
      </c>
      <c r="D2673" s="13" t="s">
        <v>634</v>
      </c>
      <c r="E2673" t="s">
        <v>206</v>
      </c>
      <c r="F2673" s="11">
        <v>1</v>
      </c>
      <c r="G2673" s="11">
        <v>37815.129999999997</v>
      </c>
    </row>
    <row r="2674" spans="2:7" x14ac:dyDescent="0.2">
      <c r="B2674" s="32">
        <v>45870</v>
      </c>
      <c r="C2674" t="s">
        <v>109</v>
      </c>
      <c r="D2674" s="13" t="s">
        <v>634</v>
      </c>
      <c r="E2674" t="s">
        <v>193</v>
      </c>
      <c r="F2674" s="11">
        <v>1</v>
      </c>
      <c r="G2674" s="11">
        <v>21848.74</v>
      </c>
    </row>
    <row r="2675" spans="2:7" x14ac:dyDescent="0.2">
      <c r="B2675" s="32">
        <v>45870</v>
      </c>
      <c r="C2675" t="s">
        <v>109</v>
      </c>
      <c r="D2675" s="13" t="s">
        <v>634</v>
      </c>
      <c r="F2675" s="11">
        <v>1</v>
      </c>
      <c r="G2675" s="11">
        <v>21008.400000000001</v>
      </c>
    </row>
    <row r="2676" spans="2:7" x14ac:dyDescent="0.2">
      <c r="B2676" s="32">
        <v>45870</v>
      </c>
      <c r="C2676" t="s">
        <v>109</v>
      </c>
      <c r="D2676" s="13" t="s">
        <v>633</v>
      </c>
      <c r="E2676" t="s">
        <v>675</v>
      </c>
      <c r="F2676" s="11">
        <v>1</v>
      </c>
      <c r="G2676" s="11">
        <v>98000</v>
      </c>
    </row>
    <row r="2677" spans="2:7" x14ac:dyDescent="0.2">
      <c r="B2677" s="32">
        <v>45870</v>
      </c>
      <c r="C2677" t="s">
        <v>109</v>
      </c>
      <c r="D2677" s="13" t="s">
        <v>633</v>
      </c>
      <c r="E2677" t="s">
        <v>258</v>
      </c>
      <c r="F2677" s="11">
        <v>1</v>
      </c>
      <c r="G2677" s="11">
        <v>54621.85</v>
      </c>
    </row>
    <row r="2678" spans="2:7" x14ac:dyDescent="0.2">
      <c r="B2678" s="32">
        <v>45870</v>
      </c>
      <c r="C2678" t="s">
        <v>109</v>
      </c>
      <c r="D2678" s="13" t="s">
        <v>633</v>
      </c>
      <c r="F2678" s="11">
        <v>1</v>
      </c>
      <c r="G2678" s="11">
        <v>21848.74</v>
      </c>
    </row>
    <row r="2679" spans="2:7" x14ac:dyDescent="0.2">
      <c r="B2679" s="32">
        <v>45870</v>
      </c>
      <c r="C2679" t="s">
        <v>109</v>
      </c>
      <c r="D2679" s="13" t="s">
        <v>633</v>
      </c>
      <c r="E2679" t="s">
        <v>263</v>
      </c>
      <c r="F2679" s="11">
        <v>1</v>
      </c>
      <c r="G2679" s="11">
        <v>21848.74</v>
      </c>
    </row>
    <row r="2680" spans="2:7" x14ac:dyDescent="0.2">
      <c r="B2680" s="32">
        <v>45870</v>
      </c>
      <c r="C2680" t="s">
        <v>109</v>
      </c>
      <c r="D2680" s="13" t="s">
        <v>633</v>
      </c>
      <c r="E2680" t="s">
        <v>1837</v>
      </c>
      <c r="F2680" s="11">
        <v>1</v>
      </c>
      <c r="G2680" s="11">
        <v>21848.74</v>
      </c>
    </row>
    <row r="2681" spans="2:7" x14ac:dyDescent="0.2">
      <c r="B2681" s="32">
        <v>45870</v>
      </c>
      <c r="C2681" t="s">
        <v>109</v>
      </c>
      <c r="D2681" s="13" t="s">
        <v>633</v>
      </c>
      <c r="E2681" t="s">
        <v>248</v>
      </c>
      <c r="F2681" s="11">
        <v>1</v>
      </c>
      <c r="G2681" s="11">
        <v>21848.74</v>
      </c>
    </row>
    <row r="2682" spans="2:7" x14ac:dyDescent="0.2">
      <c r="B2682" s="32">
        <v>45870</v>
      </c>
      <c r="C2682" t="s">
        <v>109</v>
      </c>
      <c r="D2682" s="13" t="s">
        <v>633</v>
      </c>
      <c r="E2682" t="s">
        <v>144</v>
      </c>
      <c r="F2682" s="11">
        <v>1</v>
      </c>
      <c r="G2682" s="11">
        <v>13445.38</v>
      </c>
    </row>
    <row r="2683" spans="2:7" x14ac:dyDescent="0.2">
      <c r="B2683" s="32">
        <v>45871</v>
      </c>
      <c r="C2683" t="s">
        <v>142</v>
      </c>
      <c r="D2683" s="13" t="s">
        <v>634</v>
      </c>
      <c r="E2683" t="s">
        <v>185</v>
      </c>
      <c r="F2683" s="11">
        <v>1</v>
      </c>
      <c r="G2683" s="11">
        <v>96638.66</v>
      </c>
    </row>
    <row r="2684" spans="2:7" x14ac:dyDescent="0.2">
      <c r="B2684" s="32">
        <v>45871</v>
      </c>
      <c r="C2684" t="s">
        <v>142</v>
      </c>
      <c r="D2684" s="13" t="s">
        <v>634</v>
      </c>
      <c r="E2684" t="s">
        <v>579</v>
      </c>
      <c r="F2684" s="11">
        <v>1</v>
      </c>
      <c r="G2684" s="11">
        <v>96638.66</v>
      </c>
    </row>
    <row r="2685" spans="2:7" x14ac:dyDescent="0.2">
      <c r="B2685" s="32">
        <v>45871</v>
      </c>
      <c r="C2685" t="s">
        <v>142</v>
      </c>
      <c r="D2685" s="13" t="s">
        <v>634</v>
      </c>
      <c r="E2685" t="s">
        <v>154</v>
      </c>
      <c r="F2685" s="11">
        <v>1</v>
      </c>
      <c r="G2685" s="11">
        <v>96638.66</v>
      </c>
    </row>
    <row r="2686" spans="2:7" x14ac:dyDescent="0.2">
      <c r="B2686" s="32">
        <v>45871</v>
      </c>
      <c r="C2686" t="s">
        <v>142</v>
      </c>
      <c r="D2686" s="13" t="s">
        <v>634</v>
      </c>
      <c r="E2686" t="s">
        <v>298</v>
      </c>
      <c r="F2686" s="11">
        <v>1</v>
      </c>
      <c r="G2686" s="11">
        <v>96638.65</v>
      </c>
    </row>
    <row r="2687" spans="2:7" x14ac:dyDescent="0.2">
      <c r="B2687" s="32">
        <v>45871</v>
      </c>
      <c r="C2687" t="s">
        <v>142</v>
      </c>
      <c r="D2687" s="13" t="s">
        <v>634</v>
      </c>
      <c r="E2687" t="s">
        <v>233</v>
      </c>
      <c r="F2687" s="11">
        <v>1</v>
      </c>
      <c r="G2687" s="11">
        <v>58823.53</v>
      </c>
    </row>
    <row r="2688" spans="2:7" x14ac:dyDescent="0.2">
      <c r="B2688" s="32">
        <v>45871</v>
      </c>
      <c r="C2688" t="s">
        <v>142</v>
      </c>
      <c r="D2688" s="13" t="s">
        <v>634</v>
      </c>
      <c r="E2688" t="s">
        <v>497</v>
      </c>
      <c r="F2688" s="11">
        <v>1</v>
      </c>
      <c r="G2688" s="11">
        <v>54621.84</v>
      </c>
    </row>
    <row r="2689" spans="2:7" x14ac:dyDescent="0.2">
      <c r="B2689" s="32">
        <v>45871</v>
      </c>
      <c r="C2689" t="s">
        <v>142</v>
      </c>
      <c r="D2689" s="13" t="s">
        <v>634</v>
      </c>
      <c r="E2689" t="s">
        <v>215</v>
      </c>
      <c r="F2689" s="11">
        <v>1</v>
      </c>
      <c r="G2689" s="11">
        <v>46218.49</v>
      </c>
    </row>
    <row r="2690" spans="2:7" x14ac:dyDescent="0.2">
      <c r="B2690" s="32">
        <v>45871</v>
      </c>
      <c r="C2690" t="s">
        <v>142</v>
      </c>
      <c r="D2690" s="13" t="s">
        <v>634</v>
      </c>
      <c r="E2690" t="s">
        <v>229</v>
      </c>
      <c r="F2690" s="11">
        <v>1</v>
      </c>
      <c r="G2690" s="11">
        <v>42016.81</v>
      </c>
    </row>
    <row r="2691" spans="2:7" x14ac:dyDescent="0.2">
      <c r="B2691" s="32">
        <v>45871</v>
      </c>
      <c r="C2691" t="s">
        <v>142</v>
      </c>
      <c r="D2691" s="13" t="s">
        <v>634</v>
      </c>
      <c r="F2691" s="11">
        <v>0</v>
      </c>
      <c r="G2691" s="11">
        <v>0</v>
      </c>
    </row>
    <row r="2692" spans="2:7" x14ac:dyDescent="0.2">
      <c r="B2692" s="32">
        <v>45871</v>
      </c>
      <c r="C2692" t="s">
        <v>142</v>
      </c>
      <c r="D2692" s="13" t="s">
        <v>633</v>
      </c>
      <c r="E2692" t="s">
        <v>736</v>
      </c>
      <c r="F2692" s="11">
        <v>6</v>
      </c>
      <c r="G2692" s="11">
        <v>156302.51999999999</v>
      </c>
    </row>
    <row r="2693" spans="2:7" x14ac:dyDescent="0.2">
      <c r="B2693" s="32">
        <v>45871</v>
      </c>
      <c r="C2693" t="s">
        <v>142</v>
      </c>
      <c r="D2693" s="13" t="s">
        <v>633</v>
      </c>
      <c r="E2693" t="s">
        <v>727</v>
      </c>
      <c r="F2693" s="11">
        <v>1</v>
      </c>
      <c r="G2693" s="11">
        <v>58823.53</v>
      </c>
    </row>
    <row r="2694" spans="2:7" x14ac:dyDescent="0.2">
      <c r="B2694" s="32">
        <v>45871</v>
      </c>
      <c r="C2694" t="s">
        <v>142</v>
      </c>
      <c r="D2694" s="13" t="s">
        <v>633</v>
      </c>
      <c r="E2694" t="s">
        <v>290</v>
      </c>
      <c r="F2694" s="11">
        <v>1</v>
      </c>
      <c r="G2694" s="11">
        <v>58823.53</v>
      </c>
    </row>
    <row r="2695" spans="2:7" x14ac:dyDescent="0.2">
      <c r="B2695" s="32">
        <v>45871</v>
      </c>
      <c r="C2695" t="s">
        <v>142</v>
      </c>
      <c r="D2695" s="13" t="s">
        <v>633</v>
      </c>
      <c r="F2695" s="11">
        <v>0</v>
      </c>
      <c r="G2695" s="11">
        <v>0</v>
      </c>
    </row>
    <row r="2696" spans="2:7" x14ac:dyDescent="0.2">
      <c r="B2696" s="32">
        <v>45871</v>
      </c>
      <c r="C2696" t="s">
        <v>1739</v>
      </c>
      <c r="D2696" s="13" t="s">
        <v>634</v>
      </c>
      <c r="E2696" t="s">
        <v>1896</v>
      </c>
      <c r="F2696" s="11">
        <v>1</v>
      </c>
      <c r="G2696" s="11">
        <v>46218.49</v>
      </c>
    </row>
    <row r="2697" spans="2:7" x14ac:dyDescent="0.2">
      <c r="B2697" s="32">
        <v>45871</v>
      </c>
      <c r="C2697" t="s">
        <v>1739</v>
      </c>
      <c r="D2697" s="13" t="s">
        <v>634</v>
      </c>
      <c r="E2697" t="s">
        <v>204</v>
      </c>
      <c r="F2697" s="11">
        <v>1</v>
      </c>
      <c r="G2697" s="11">
        <v>37815.129999999997</v>
      </c>
    </row>
    <row r="2698" spans="2:7" x14ac:dyDescent="0.2">
      <c r="B2698" s="32">
        <v>45871</v>
      </c>
      <c r="C2698" t="s">
        <v>1739</v>
      </c>
      <c r="D2698" s="13" t="s">
        <v>634</v>
      </c>
      <c r="E2698" t="s">
        <v>144</v>
      </c>
      <c r="F2698" s="11">
        <v>3</v>
      </c>
      <c r="G2698" s="11">
        <v>15966.38</v>
      </c>
    </row>
    <row r="2699" spans="2:7" x14ac:dyDescent="0.2">
      <c r="B2699" s="32">
        <v>45871</v>
      </c>
      <c r="C2699" t="s">
        <v>109</v>
      </c>
      <c r="D2699" s="13" t="s">
        <v>634</v>
      </c>
      <c r="E2699" t="s">
        <v>610</v>
      </c>
      <c r="F2699" s="11">
        <v>1</v>
      </c>
      <c r="G2699" s="11">
        <v>252100.84</v>
      </c>
    </row>
    <row r="2700" spans="2:7" x14ac:dyDescent="0.2">
      <c r="B2700" s="32">
        <v>45871</v>
      </c>
      <c r="C2700" t="s">
        <v>109</v>
      </c>
      <c r="D2700" s="13" t="s">
        <v>634</v>
      </c>
      <c r="E2700" t="s">
        <v>245</v>
      </c>
      <c r="F2700" s="11">
        <v>1</v>
      </c>
      <c r="G2700" s="11">
        <v>126050.42</v>
      </c>
    </row>
    <row r="2701" spans="2:7" x14ac:dyDescent="0.2">
      <c r="B2701" s="32">
        <v>45871</v>
      </c>
      <c r="C2701" t="s">
        <v>109</v>
      </c>
      <c r="D2701" s="13" t="s">
        <v>634</v>
      </c>
      <c r="E2701" t="s">
        <v>426</v>
      </c>
      <c r="F2701" s="11">
        <v>2</v>
      </c>
      <c r="G2701" s="11">
        <v>100840.34</v>
      </c>
    </row>
    <row r="2702" spans="2:7" x14ac:dyDescent="0.2">
      <c r="B2702" s="32">
        <v>45871</v>
      </c>
      <c r="C2702" t="s">
        <v>109</v>
      </c>
      <c r="D2702" s="13" t="s">
        <v>634</v>
      </c>
      <c r="E2702" t="s">
        <v>148</v>
      </c>
      <c r="F2702" s="11">
        <v>2</v>
      </c>
      <c r="G2702" s="11">
        <v>75630.259999999995</v>
      </c>
    </row>
    <row r="2703" spans="2:7" x14ac:dyDescent="0.2">
      <c r="B2703" s="32">
        <v>45871</v>
      </c>
      <c r="C2703" t="s">
        <v>109</v>
      </c>
      <c r="D2703" s="13" t="s">
        <v>634</v>
      </c>
      <c r="E2703" t="s">
        <v>192</v>
      </c>
      <c r="F2703" s="11">
        <v>1</v>
      </c>
      <c r="G2703" s="11">
        <v>71428.570000000007</v>
      </c>
    </row>
    <row r="2704" spans="2:7" x14ac:dyDescent="0.2">
      <c r="B2704" s="32">
        <v>45871</v>
      </c>
      <c r="C2704" t="s">
        <v>109</v>
      </c>
      <c r="D2704" s="13" t="s">
        <v>634</v>
      </c>
      <c r="E2704" t="s">
        <v>430</v>
      </c>
      <c r="F2704" s="11">
        <v>0</v>
      </c>
      <c r="G2704" s="11">
        <v>58823.53</v>
      </c>
    </row>
    <row r="2705" spans="2:7" x14ac:dyDescent="0.2">
      <c r="B2705" s="32">
        <v>45871</v>
      </c>
      <c r="C2705" t="s">
        <v>109</v>
      </c>
      <c r="D2705" s="13" t="s">
        <v>634</v>
      </c>
      <c r="E2705" t="s">
        <v>399</v>
      </c>
      <c r="F2705" s="11">
        <v>1</v>
      </c>
      <c r="G2705" s="11">
        <v>54621.85</v>
      </c>
    </row>
    <row r="2706" spans="2:7" x14ac:dyDescent="0.2">
      <c r="B2706" s="32">
        <v>45871</v>
      </c>
      <c r="C2706" t="s">
        <v>109</v>
      </c>
      <c r="D2706" s="13" t="s">
        <v>634</v>
      </c>
      <c r="E2706" t="s">
        <v>151</v>
      </c>
      <c r="F2706" s="11">
        <v>1</v>
      </c>
      <c r="G2706" s="11">
        <v>46218.49</v>
      </c>
    </row>
    <row r="2707" spans="2:7" x14ac:dyDescent="0.2">
      <c r="B2707" s="32">
        <v>45871</v>
      </c>
      <c r="C2707" t="s">
        <v>109</v>
      </c>
      <c r="D2707" s="13" t="s">
        <v>634</v>
      </c>
      <c r="E2707" t="s">
        <v>1771</v>
      </c>
      <c r="F2707" s="11">
        <v>1</v>
      </c>
      <c r="G2707" s="11">
        <v>46218.49</v>
      </c>
    </row>
    <row r="2708" spans="2:7" x14ac:dyDescent="0.2">
      <c r="B2708" s="32">
        <v>45871</v>
      </c>
      <c r="C2708" t="s">
        <v>109</v>
      </c>
      <c r="D2708" s="13" t="s">
        <v>634</v>
      </c>
      <c r="E2708" t="s">
        <v>166</v>
      </c>
      <c r="F2708" s="11">
        <v>1</v>
      </c>
      <c r="G2708" s="11">
        <v>42016.81</v>
      </c>
    </row>
    <row r="2709" spans="2:7" x14ac:dyDescent="0.2">
      <c r="B2709" s="32">
        <v>45871</v>
      </c>
      <c r="C2709" t="s">
        <v>109</v>
      </c>
      <c r="D2709" s="13" t="s">
        <v>634</v>
      </c>
      <c r="E2709" t="s">
        <v>1818</v>
      </c>
      <c r="F2709" s="11">
        <v>1</v>
      </c>
      <c r="G2709" s="11">
        <v>37815.129999999997</v>
      </c>
    </row>
    <row r="2710" spans="2:7" x14ac:dyDescent="0.2">
      <c r="B2710" s="32">
        <v>45871</v>
      </c>
      <c r="C2710" t="s">
        <v>109</v>
      </c>
      <c r="D2710" s="13" t="s">
        <v>634</v>
      </c>
      <c r="E2710" t="s">
        <v>173</v>
      </c>
      <c r="F2710" s="11">
        <v>1</v>
      </c>
      <c r="G2710" s="11">
        <v>37815.129999999997</v>
      </c>
    </row>
    <row r="2711" spans="2:7" x14ac:dyDescent="0.2">
      <c r="B2711" s="32">
        <v>45871</v>
      </c>
      <c r="C2711" t="s">
        <v>109</v>
      </c>
      <c r="D2711" s="13" t="s">
        <v>634</v>
      </c>
      <c r="E2711" t="s">
        <v>1813</v>
      </c>
      <c r="F2711" s="11">
        <v>1</v>
      </c>
      <c r="G2711" s="11">
        <v>21848.74</v>
      </c>
    </row>
    <row r="2712" spans="2:7" x14ac:dyDescent="0.2">
      <c r="B2712" s="32">
        <v>45871</v>
      </c>
      <c r="C2712" t="s">
        <v>109</v>
      </c>
      <c r="D2712" s="13" t="s">
        <v>634</v>
      </c>
      <c r="E2712" t="s">
        <v>144</v>
      </c>
      <c r="F2712" s="11">
        <v>1</v>
      </c>
      <c r="G2712" s="11">
        <v>18487.39</v>
      </c>
    </row>
    <row r="2713" spans="2:7" x14ac:dyDescent="0.2">
      <c r="B2713" s="32">
        <v>45871</v>
      </c>
      <c r="C2713" t="s">
        <v>109</v>
      </c>
      <c r="D2713" s="13" t="s">
        <v>634</v>
      </c>
      <c r="E2713" t="s">
        <v>210</v>
      </c>
      <c r="F2713" s="11">
        <v>1</v>
      </c>
      <c r="G2713" s="11">
        <v>0</v>
      </c>
    </row>
    <row r="2714" spans="2:7" x14ac:dyDescent="0.2">
      <c r="B2714" s="32">
        <v>45871</v>
      </c>
      <c r="C2714" t="s">
        <v>109</v>
      </c>
      <c r="D2714" s="13" t="s">
        <v>634</v>
      </c>
      <c r="E2714" t="s">
        <v>378</v>
      </c>
      <c r="F2714" s="11">
        <v>1</v>
      </c>
      <c r="G2714" s="11">
        <v>0</v>
      </c>
    </row>
    <row r="2715" spans="2:7" x14ac:dyDescent="0.2">
      <c r="B2715" s="32">
        <v>45871</v>
      </c>
      <c r="C2715" t="s">
        <v>109</v>
      </c>
      <c r="D2715" s="13" t="s">
        <v>633</v>
      </c>
      <c r="E2715" t="s">
        <v>1922</v>
      </c>
      <c r="F2715" s="11">
        <v>1</v>
      </c>
      <c r="G2715" s="11">
        <v>155462.18</v>
      </c>
    </row>
    <row r="2716" spans="2:7" x14ac:dyDescent="0.2">
      <c r="B2716" s="32">
        <v>45871</v>
      </c>
      <c r="C2716" t="s">
        <v>109</v>
      </c>
      <c r="D2716" s="13" t="s">
        <v>633</v>
      </c>
      <c r="E2716" t="s">
        <v>517</v>
      </c>
      <c r="F2716" s="11">
        <v>1</v>
      </c>
      <c r="G2716" s="11">
        <v>126050.42</v>
      </c>
    </row>
    <row r="2717" spans="2:7" x14ac:dyDescent="0.2">
      <c r="B2717" s="32">
        <v>45871</v>
      </c>
      <c r="C2717" t="s">
        <v>109</v>
      </c>
      <c r="D2717" s="13" t="s">
        <v>633</v>
      </c>
      <c r="E2717" t="s">
        <v>602</v>
      </c>
      <c r="F2717" s="11">
        <v>1</v>
      </c>
      <c r="G2717" s="11">
        <v>117647.06</v>
      </c>
    </row>
    <row r="2718" spans="2:7" x14ac:dyDescent="0.2">
      <c r="B2718" s="32">
        <v>45871</v>
      </c>
      <c r="C2718" t="s">
        <v>109</v>
      </c>
      <c r="D2718" s="13" t="s">
        <v>633</v>
      </c>
      <c r="E2718" t="s">
        <v>311</v>
      </c>
      <c r="F2718" s="11">
        <v>1</v>
      </c>
      <c r="G2718" s="11">
        <v>54621.85</v>
      </c>
    </row>
    <row r="2719" spans="2:7" x14ac:dyDescent="0.2">
      <c r="B2719" s="32">
        <v>45871</v>
      </c>
      <c r="C2719" t="s">
        <v>109</v>
      </c>
      <c r="D2719" s="13" t="s">
        <v>633</v>
      </c>
      <c r="E2719" t="s">
        <v>144</v>
      </c>
      <c r="F2719" s="11">
        <v>4</v>
      </c>
      <c r="G2719" s="11">
        <v>51260.51</v>
      </c>
    </row>
    <row r="2720" spans="2:7" x14ac:dyDescent="0.2">
      <c r="B2720" s="32">
        <v>45871</v>
      </c>
      <c r="C2720" t="s">
        <v>109</v>
      </c>
      <c r="D2720" s="13" t="s">
        <v>633</v>
      </c>
      <c r="E2720" t="s">
        <v>168</v>
      </c>
      <c r="F2720" s="11">
        <v>1</v>
      </c>
      <c r="G2720" s="11">
        <v>42016.81</v>
      </c>
    </row>
    <row r="2721" spans="2:7" x14ac:dyDescent="0.2">
      <c r="B2721" s="32">
        <v>45871</v>
      </c>
      <c r="C2721" t="s">
        <v>109</v>
      </c>
      <c r="D2721" s="13" t="s">
        <v>633</v>
      </c>
      <c r="E2721" t="s">
        <v>206</v>
      </c>
      <c r="F2721" s="11">
        <v>1</v>
      </c>
      <c r="G2721" s="11">
        <v>37815.129999999997</v>
      </c>
    </row>
    <row r="2722" spans="2:7" x14ac:dyDescent="0.2">
      <c r="B2722" s="32">
        <v>45871</v>
      </c>
      <c r="C2722" t="s">
        <v>109</v>
      </c>
      <c r="D2722" s="13" t="s">
        <v>633</v>
      </c>
      <c r="E2722" t="s">
        <v>193</v>
      </c>
      <c r="F2722" s="11">
        <v>1</v>
      </c>
      <c r="G2722" s="11">
        <v>21848.74</v>
      </c>
    </row>
    <row r="2723" spans="2:7" x14ac:dyDescent="0.2">
      <c r="B2723" s="32">
        <v>45872</v>
      </c>
      <c r="C2723" t="s">
        <v>142</v>
      </c>
      <c r="D2723" s="13" t="s">
        <v>634</v>
      </c>
      <c r="E2723" t="s">
        <v>394</v>
      </c>
      <c r="F2723" s="11">
        <v>1</v>
      </c>
      <c r="G2723" s="11">
        <v>79831.929999999993</v>
      </c>
    </row>
    <row r="2724" spans="2:7" x14ac:dyDescent="0.2">
      <c r="B2724" s="32">
        <v>45872</v>
      </c>
      <c r="C2724" t="s">
        <v>142</v>
      </c>
      <c r="D2724" s="13" t="s">
        <v>634</v>
      </c>
      <c r="F2724" s="11">
        <v>0</v>
      </c>
      <c r="G2724" s="11">
        <v>0</v>
      </c>
    </row>
    <row r="2725" spans="2:7" x14ac:dyDescent="0.2">
      <c r="B2725" s="32">
        <v>45872</v>
      </c>
      <c r="C2725" t="s">
        <v>109</v>
      </c>
      <c r="D2725" s="13" t="s">
        <v>634</v>
      </c>
      <c r="E2725" t="s">
        <v>226</v>
      </c>
      <c r="F2725" s="11">
        <v>1</v>
      </c>
      <c r="G2725" s="11">
        <v>100840.34</v>
      </c>
    </row>
    <row r="2726" spans="2:7" x14ac:dyDescent="0.2">
      <c r="B2726" s="32">
        <v>45872</v>
      </c>
      <c r="C2726" t="s">
        <v>109</v>
      </c>
      <c r="D2726" s="13" t="s">
        <v>634</v>
      </c>
      <c r="E2726" t="s">
        <v>642</v>
      </c>
      <c r="F2726" s="11">
        <v>2</v>
      </c>
      <c r="G2726" s="11">
        <v>98000</v>
      </c>
    </row>
    <row r="2727" spans="2:7" x14ac:dyDescent="0.2">
      <c r="B2727" s="32">
        <v>45872</v>
      </c>
      <c r="C2727" t="s">
        <v>109</v>
      </c>
      <c r="D2727" s="13" t="s">
        <v>634</v>
      </c>
      <c r="E2727" t="s">
        <v>1961</v>
      </c>
      <c r="F2727" s="11">
        <v>1</v>
      </c>
      <c r="G2727" s="11">
        <v>85000</v>
      </c>
    </row>
    <row r="2728" spans="2:7" x14ac:dyDescent="0.2">
      <c r="B2728" s="32">
        <v>45872</v>
      </c>
      <c r="C2728" t="s">
        <v>109</v>
      </c>
      <c r="D2728" s="13" t="s">
        <v>634</v>
      </c>
      <c r="E2728" t="s">
        <v>318</v>
      </c>
      <c r="F2728" s="11">
        <v>1</v>
      </c>
      <c r="G2728" s="11">
        <v>58823.53</v>
      </c>
    </row>
    <row r="2729" spans="2:7" x14ac:dyDescent="0.2">
      <c r="B2729" s="32">
        <v>45872</v>
      </c>
      <c r="C2729" t="s">
        <v>109</v>
      </c>
      <c r="D2729" s="13" t="s">
        <v>634</v>
      </c>
      <c r="E2729" t="s">
        <v>240</v>
      </c>
      <c r="F2729" s="11">
        <v>1</v>
      </c>
      <c r="G2729" s="11">
        <v>42016.81</v>
      </c>
    </row>
    <row r="2730" spans="2:7" x14ac:dyDescent="0.2">
      <c r="B2730" s="32">
        <v>45872</v>
      </c>
      <c r="C2730" t="s">
        <v>109</v>
      </c>
      <c r="D2730" s="13" t="s">
        <v>634</v>
      </c>
      <c r="E2730" t="s">
        <v>153</v>
      </c>
      <c r="F2730" s="11">
        <v>1</v>
      </c>
      <c r="G2730" s="11">
        <v>42016.81</v>
      </c>
    </row>
    <row r="2731" spans="2:7" x14ac:dyDescent="0.2">
      <c r="B2731" s="32">
        <v>45872</v>
      </c>
      <c r="C2731" t="s">
        <v>109</v>
      </c>
      <c r="D2731" s="13" t="s">
        <v>634</v>
      </c>
      <c r="E2731" t="s">
        <v>168</v>
      </c>
      <c r="F2731" s="11">
        <v>1</v>
      </c>
      <c r="G2731" s="11">
        <v>42016.800000000003</v>
      </c>
    </row>
    <row r="2732" spans="2:7" x14ac:dyDescent="0.2">
      <c r="B2732" s="32">
        <v>45872</v>
      </c>
      <c r="C2732" t="s">
        <v>109</v>
      </c>
      <c r="D2732" s="13" t="s">
        <v>634</v>
      </c>
      <c r="E2732" t="s">
        <v>144</v>
      </c>
      <c r="F2732" s="11">
        <v>1</v>
      </c>
      <c r="G2732" s="11">
        <v>35294.120000000003</v>
      </c>
    </row>
    <row r="2733" spans="2:7" x14ac:dyDescent="0.2">
      <c r="B2733" s="32">
        <v>45872</v>
      </c>
      <c r="C2733" t="s">
        <v>109</v>
      </c>
      <c r="D2733" s="13" t="s">
        <v>633</v>
      </c>
      <c r="E2733" t="s">
        <v>377</v>
      </c>
      <c r="F2733" s="11">
        <v>1</v>
      </c>
      <c r="G2733" s="11">
        <v>58823.53</v>
      </c>
    </row>
    <row r="2734" spans="2:7" x14ac:dyDescent="0.2">
      <c r="B2734" s="32">
        <v>45872</v>
      </c>
      <c r="C2734" t="s">
        <v>109</v>
      </c>
      <c r="D2734" s="13" t="s">
        <v>633</v>
      </c>
      <c r="E2734" t="s">
        <v>346</v>
      </c>
      <c r="F2734" s="11">
        <v>1</v>
      </c>
      <c r="G2734" s="11">
        <v>58823.53</v>
      </c>
    </row>
    <row r="2735" spans="2:7" x14ac:dyDescent="0.2">
      <c r="B2735" s="32">
        <v>45872</v>
      </c>
      <c r="C2735" t="s">
        <v>109</v>
      </c>
      <c r="D2735" s="13" t="s">
        <v>633</v>
      </c>
      <c r="E2735" t="s">
        <v>1946</v>
      </c>
      <c r="F2735" s="11">
        <v>1</v>
      </c>
      <c r="G2735" s="11">
        <v>58823.53</v>
      </c>
    </row>
    <row r="2736" spans="2:7" x14ac:dyDescent="0.2">
      <c r="B2736" s="32">
        <v>45872</v>
      </c>
      <c r="C2736" t="s">
        <v>109</v>
      </c>
      <c r="D2736" s="13" t="s">
        <v>633</v>
      </c>
      <c r="E2736" t="s">
        <v>292</v>
      </c>
      <c r="F2736" s="11">
        <v>1</v>
      </c>
      <c r="G2736" s="11">
        <v>54621.85</v>
      </c>
    </row>
    <row r="2737" spans="2:7" x14ac:dyDescent="0.2">
      <c r="B2737" s="32">
        <v>45873</v>
      </c>
      <c r="C2737" t="s">
        <v>142</v>
      </c>
      <c r="D2737" s="13" t="s">
        <v>634</v>
      </c>
      <c r="E2737" t="s">
        <v>194</v>
      </c>
      <c r="F2737" s="11">
        <v>1</v>
      </c>
      <c r="G2737" s="11">
        <v>96638.66</v>
      </c>
    </row>
    <row r="2738" spans="2:7" x14ac:dyDescent="0.2">
      <c r="B2738" s="32">
        <v>45873</v>
      </c>
      <c r="C2738" t="s">
        <v>142</v>
      </c>
      <c r="D2738" s="13" t="s">
        <v>634</v>
      </c>
      <c r="E2738" t="s">
        <v>154</v>
      </c>
      <c r="F2738" s="11">
        <v>1</v>
      </c>
      <c r="G2738" s="11">
        <v>96638.66</v>
      </c>
    </row>
    <row r="2739" spans="2:7" x14ac:dyDescent="0.2">
      <c r="B2739" s="32">
        <v>45873</v>
      </c>
      <c r="C2739" t="s">
        <v>142</v>
      </c>
      <c r="D2739" s="13" t="s">
        <v>634</v>
      </c>
      <c r="E2739" t="s">
        <v>302</v>
      </c>
      <c r="F2739" s="11">
        <v>1</v>
      </c>
      <c r="G2739" s="11">
        <v>96638.65</v>
      </c>
    </row>
    <row r="2740" spans="2:7" x14ac:dyDescent="0.2">
      <c r="B2740" s="32">
        <v>45873</v>
      </c>
      <c r="C2740" t="s">
        <v>142</v>
      </c>
      <c r="D2740" s="13" t="s">
        <v>634</v>
      </c>
      <c r="E2740" t="s">
        <v>169</v>
      </c>
      <c r="F2740" s="11">
        <v>1</v>
      </c>
      <c r="G2740" s="11">
        <v>96638.65</v>
      </c>
    </row>
    <row r="2741" spans="2:7" x14ac:dyDescent="0.2">
      <c r="B2741" s="32">
        <v>45873</v>
      </c>
      <c r="C2741" t="s">
        <v>142</v>
      </c>
      <c r="D2741" s="13" t="s">
        <v>634</v>
      </c>
      <c r="E2741" t="s">
        <v>411</v>
      </c>
      <c r="F2741" s="11">
        <v>1</v>
      </c>
      <c r="G2741" s="11">
        <v>84033.61</v>
      </c>
    </row>
    <row r="2742" spans="2:7" x14ac:dyDescent="0.2">
      <c r="B2742" s="32">
        <v>45873</v>
      </c>
      <c r="C2742" t="s">
        <v>142</v>
      </c>
      <c r="D2742" s="13" t="s">
        <v>634</v>
      </c>
      <c r="F2742" s="11">
        <v>0</v>
      </c>
      <c r="G2742" s="11">
        <v>0</v>
      </c>
    </row>
    <row r="2743" spans="2:7" x14ac:dyDescent="0.2">
      <c r="B2743" s="32">
        <v>45873</v>
      </c>
      <c r="C2743" t="s">
        <v>142</v>
      </c>
      <c r="D2743" s="13" t="s">
        <v>633</v>
      </c>
      <c r="E2743" t="s">
        <v>652</v>
      </c>
      <c r="F2743" s="11">
        <v>1</v>
      </c>
      <c r="G2743" s="11">
        <v>130252.1</v>
      </c>
    </row>
    <row r="2744" spans="2:7" x14ac:dyDescent="0.2">
      <c r="B2744" s="32">
        <v>45873</v>
      </c>
      <c r="C2744" t="s">
        <v>142</v>
      </c>
      <c r="D2744" s="13" t="s">
        <v>633</v>
      </c>
      <c r="E2744" t="s">
        <v>267</v>
      </c>
      <c r="F2744" s="11">
        <v>1</v>
      </c>
      <c r="G2744" s="11">
        <v>100840.34</v>
      </c>
    </row>
    <row r="2745" spans="2:7" x14ac:dyDescent="0.2">
      <c r="B2745" s="32">
        <v>45873</v>
      </c>
      <c r="C2745" t="s">
        <v>142</v>
      </c>
      <c r="D2745" s="13" t="s">
        <v>633</v>
      </c>
      <c r="E2745" t="s">
        <v>207</v>
      </c>
      <c r="F2745" s="11">
        <v>1</v>
      </c>
      <c r="G2745" s="11">
        <v>96638.66</v>
      </c>
    </row>
    <row r="2746" spans="2:7" x14ac:dyDescent="0.2">
      <c r="B2746" s="32">
        <v>45873</v>
      </c>
      <c r="C2746" t="s">
        <v>142</v>
      </c>
      <c r="D2746" s="13" t="s">
        <v>633</v>
      </c>
      <c r="E2746" t="s">
        <v>727</v>
      </c>
      <c r="F2746" s="11">
        <v>1</v>
      </c>
      <c r="G2746" s="11">
        <v>58823.53</v>
      </c>
    </row>
    <row r="2747" spans="2:7" x14ac:dyDescent="0.2">
      <c r="B2747" s="32">
        <v>45873</v>
      </c>
      <c r="C2747" t="s">
        <v>142</v>
      </c>
      <c r="D2747" s="13" t="s">
        <v>633</v>
      </c>
      <c r="E2747" t="s">
        <v>1763</v>
      </c>
      <c r="F2747" s="11">
        <v>1</v>
      </c>
      <c r="G2747" s="11">
        <v>58823.53</v>
      </c>
    </row>
    <row r="2748" spans="2:7" x14ac:dyDescent="0.2">
      <c r="B2748" s="32">
        <v>45873</v>
      </c>
      <c r="C2748" t="s">
        <v>142</v>
      </c>
      <c r="D2748" s="13" t="s">
        <v>633</v>
      </c>
      <c r="E2748" t="s">
        <v>172</v>
      </c>
      <c r="F2748" s="11">
        <v>1</v>
      </c>
      <c r="G2748" s="11">
        <v>46218.48</v>
      </c>
    </row>
    <row r="2749" spans="2:7" x14ac:dyDescent="0.2">
      <c r="B2749" s="32">
        <v>45873</v>
      </c>
      <c r="C2749" t="s">
        <v>142</v>
      </c>
      <c r="D2749" s="13" t="s">
        <v>633</v>
      </c>
      <c r="F2749" s="11">
        <v>0</v>
      </c>
      <c r="G2749" s="11">
        <v>0</v>
      </c>
    </row>
    <row r="2750" spans="2:7" x14ac:dyDescent="0.2">
      <c r="B2750" s="32">
        <v>45873</v>
      </c>
      <c r="C2750" t="s">
        <v>1739</v>
      </c>
      <c r="D2750" s="13"/>
      <c r="E2750" t="s">
        <v>195</v>
      </c>
      <c r="F2750" s="11">
        <v>1</v>
      </c>
      <c r="G2750" s="11">
        <v>46218.49</v>
      </c>
    </row>
    <row r="2751" spans="2:7" x14ac:dyDescent="0.2">
      <c r="B2751" s="32">
        <v>45873</v>
      </c>
      <c r="C2751" t="s">
        <v>1739</v>
      </c>
      <c r="D2751" s="13"/>
      <c r="E2751" t="s">
        <v>151</v>
      </c>
      <c r="F2751" s="11">
        <v>1</v>
      </c>
      <c r="G2751" s="11">
        <v>46218.48</v>
      </c>
    </row>
    <row r="2752" spans="2:7" x14ac:dyDescent="0.2">
      <c r="B2752" s="32">
        <v>45873</v>
      </c>
      <c r="C2752" t="s">
        <v>109</v>
      </c>
      <c r="D2752" s="13" t="s">
        <v>634</v>
      </c>
      <c r="E2752" t="s">
        <v>661</v>
      </c>
      <c r="F2752" s="11">
        <v>2</v>
      </c>
      <c r="G2752" s="11">
        <v>117647.06</v>
      </c>
    </row>
    <row r="2753" spans="2:7" x14ac:dyDescent="0.2">
      <c r="B2753" s="32">
        <v>45873</v>
      </c>
      <c r="C2753" t="s">
        <v>109</v>
      </c>
      <c r="D2753" s="13" t="s">
        <v>634</v>
      </c>
      <c r="E2753" t="s">
        <v>368</v>
      </c>
      <c r="F2753" s="11">
        <v>1</v>
      </c>
      <c r="G2753" s="11">
        <v>75630.25</v>
      </c>
    </row>
    <row r="2754" spans="2:7" x14ac:dyDescent="0.2">
      <c r="B2754" s="32">
        <v>45873</v>
      </c>
      <c r="C2754" t="s">
        <v>109</v>
      </c>
      <c r="D2754" s="13" t="s">
        <v>634</v>
      </c>
      <c r="E2754" t="s">
        <v>782</v>
      </c>
      <c r="F2754" s="11">
        <v>1</v>
      </c>
      <c r="G2754" s="11">
        <v>46218.49</v>
      </c>
    </row>
    <row r="2755" spans="2:7" x14ac:dyDescent="0.2">
      <c r="B2755" s="32">
        <v>45873</v>
      </c>
      <c r="C2755" t="s">
        <v>109</v>
      </c>
      <c r="D2755" s="13" t="s">
        <v>634</v>
      </c>
      <c r="E2755" t="s">
        <v>173</v>
      </c>
      <c r="F2755" s="11">
        <v>1</v>
      </c>
      <c r="G2755" s="11">
        <v>37815.129999999997</v>
      </c>
    </row>
    <row r="2756" spans="2:7" x14ac:dyDescent="0.2">
      <c r="B2756" s="32">
        <v>45873</v>
      </c>
      <c r="C2756" t="s">
        <v>109</v>
      </c>
      <c r="D2756" s="13" t="s">
        <v>634</v>
      </c>
      <c r="F2756" s="11">
        <v>1</v>
      </c>
      <c r="G2756" s="11">
        <v>21848.74</v>
      </c>
    </row>
    <row r="2757" spans="2:7" x14ac:dyDescent="0.2">
      <c r="B2757" s="32">
        <v>45873</v>
      </c>
      <c r="C2757" t="s">
        <v>109</v>
      </c>
      <c r="D2757" s="13" t="s">
        <v>634</v>
      </c>
      <c r="E2757" t="s">
        <v>1813</v>
      </c>
      <c r="F2757" s="11">
        <v>0</v>
      </c>
      <c r="G2757" s="11">
        <v>3361.34</v>
      </c>
    </row>
    <row r="2758" spans="2:7" x14ac:dyDescent="0.2">
      <c r="B2758" s="32">
        <v>45873</v>
      </c>
      <c r="C2758" t="s">
        <v>109</v>
      </c>
      <c r="D2758" s="13" t="s">
        <v>633</v>
      </c>
      <c r="E2758" t="s">
        <v>1928</v>
      </c>
      <c r="F2758" s="11">
        <v>1</v>
      </c>
      <c r="G2758" s="11">
        <v>71428.570000000007</v>
      </c>
    </row>
    <row r="2759" spans="2:7" x14ac:dyDescent="0.2">
      <c r="B2759" s="32">
        <v>45873</v>
      </c>
      <c r="C2759" t="s">
        <v>109</v>
      </c>
      <c r="D2759" s="13" t="s">
        <v>633</v>
      </c>
      <c r="F2759" s="11">
        <v>1</v>
      </c>
      <c r="G2759" s="11">
        <v>46218.49</v>
      </c>
    </row>
    <row r="2760" spans="2:7" x14ac:dyDescent="0.2">
      <c r="B2760" s="32">
        <v>45874</v>
      </c>
      <c r="C2760" t="s">
        <v>142</v>
      </c>
      <c r="D2760" s="13" t="s">
        <v>634</v>
      </c>
      <c r="E2760" t="s">
        <v>1962</v>
      </c>
      <c r="F2760" s="11">
        <v>1</v>
      </c>
      <c r="G2760" s="11">
        <v>138655.46</v>
      </c>
    </row>
    <row r="2761" spans="2:7" x14ac:dyDescent="0.2">
      <c r="B2761" s="32">
        <v>45874</v>
      </c>
      <c r="C2761" t="s">
        <v>142</v>
      </c>
      <c r="D2761" s="13" t="s">
        <v>634</v>
      </c>
      <c r="E2761" t="s">
        <v>781</v>
      </c>
      <c r="F2761" s="11">
        <v>1</v>
      </c>
      <c r="G2761" s="11">
        <v>124369.75</v>
      </c>
    </row>
    <row r="2762" spans="2:7" x14ac:dyDescent="0.2">
      <c r="B2762" s="32">
        <v>45874</v>
      </c>
      <c r="C2762" t="s">
        <v>142</v>
      </c>
      <c r="D2762" s="13" t="s">
        <v>634</v>
      </c>
      <c r="E2762" t="s">
        <v>154</v>
      </c>
      <c r="F2762" s="11">
        <v>1</v>
      </c>
      <c r="G2762" s="11">
        <v>96638.66</v>
      </c>
    </row>
    <row r="2763" spans="2:7" x14ac:dyDescent="0.2">
      <c r="B2763" s="32">
        <v>45874</v>
      </c>
      <c r="C2763" t="s">
        <v>142</v>
      </c>
      <c r="D2763" s="13" t="s">
        <v>634</v>
      </c>
      <c r="E2763" t="s">
        <v>1871</v>
      </c>
      <c r="F2763" s="11">
        <v>1</v>
      </c>
      <c r="G2763" s="11">
        <v>58823.53</v>
      </c>
    </row>
    <row r="2764" spans="2:7" x14ac:dyDescent="0.2">
      <c r="B2764" s="32">
        <v>45874</v>
      </c>
      <c r="C2764" t="s">
        <v>142</v>
      </c>
      <c r="D2764" s="13" t="s">
        <v>634</v>
      </c>
      <c r="E2764" t="s">
        <v>524</v>
      </c>
      <c r="F2764" s="11">
        <v>1</v>
      </c>
      <c r="G2764" s="11">
        <v>58823.53</v>
      </c>
    </row>
    <row r="2765" spans="2:7" x14ac:dyDescent="0.2">
      <c r="B2765" s="32">
        <v>45874</v>
      </c>
      <c r="C2765" t="s">
        <v>142</v>
      </c>
      <c r="D2765" s="13" t="s">
        <v>634</v>
      </c>
      <c r="E2765" t="s">
        <v>1865</v>
      </c>
      <c r="F2765" s="11">
        <v>1</v>
      </c>
      <c r="G2765" s="11">
        <v>54621.85</v>
      </c>
    </row>
    <row r="2766" spans="2:7" x14ac:dyDescent="0.2">
      <c r="B2766" s="32">
        <v>45874</v>
      </c>
      <c r="C2766" t="s">
        <v>142</v>
      </c>
      <c r="D2766" s="13" t="s">
        <v>634</v>
      </c>
      <c r="E2766" t="s">
        <v>1796</v>
      </c>
      <c r="F2766" s="11">
        <v>2</v>
      </c>
      <c r="G2766" s="11">
        <v>42016.81</v>
      </c>
    </row>
    <row r="2767" spans="2:7" x14ac:dyDescent="0.2">
      <c r="B2767" s="32">
        <v>45874</v>
      </c>
      <c r="C2767" t="s">
        <v>142</v>
      </c>
      <c r="D2767" s="13" t="s">
        <v>633</v>
      </c>
      <c r="E2767" t="s">
        <v>143</v>
      </c>
      <c r="F2767" s="11">
        <v>1</v>
      </c>
      <c r="G2767" s="11">
        <v>285714.28999999998</v>
      </c>
    </row>
    <row r="2768" spans="2:7" x14ac:dyDescent="0.2">
      <c r="B2768" s="32">
        <v>45874</v>
      </c>
      <c r="C2768" t="s">
        <v>142</v>
      </c>
      <c r="D2768" s="13" t="s">
        <v>633</v>
      </c>
      <c r="E2768" t="s">
        <v>1816</v>
      </c>
      <c r="F2768" s="11">
        <v>1</v>
      </c>
      <c r="G2768" s="11">
        <v>142857.14000000001</v>
      </c>
    </row>
    <row r="2769" spans="2:7" x14ac:dyDescent="0.2">
      <c r="B2769" s="32">
        <v>45874</v>
      </c>
      <c r="C2769" t="s">
        <v>142</v>
      </c>
      <c r="D2769" s="13" t="s">
        <v>633</v>
      </c>
      <c r="E2769" t="s">
        <v>1868</v>
      </c>
      <c r="F2769" s="11">
        <v>1</v>
      </c>
      <c r="G2769" s="11">
        <v>58823.53</v>
      </c>
    </row>
    <row r="2770" spans="2:7" x14ac:dyDescent="0.2">
      <c r="B2770" s="32">
        <v>45874</v>
      </c>
      <c r="C2770" t="s">
        <v>142</v>
      </c>
      <c r="D2770" s="13" t="s">
        <v>633</v>
      </c>
      <c r="E2770" t="s">
        <v>272</v>
      </c>
      <c r="F2770" s="11">
        <v>1</v>
      </c>
      <c r="G2770" s="11">
        <v>58823.53</v>
      </c>
    </row>
    <row r="2771" spans="2:7" x14ac:dyDescent="0.2">
      <c r="B2771" s="32">
        <v>45874</v>
      </c>
      <c r="C2771" t="s">
        <v>142</v>
      </c>
      <c r="D2771" s="13" t="s">
        <v>633</v>
      </c>
      <c r="E2771" t="s">
        <v>440</v>
      </c>
      <c r="F2771" s="11">
        <v>1</v>
      </c>
      <c r="G2771" s="11">
        <v>58823.53</v>
      </c>
    </row>
    <row r="2772" spans="2:7" x14ac:dyDescent="0.2">
      <c r="B2772" s="32">
        <v>45874</v>
      </c>
      <c r="C2772" t="s">
        <v>142</v>
      </c>
      <c r="D2772" s="13" t="s">
        <v>633</v>
      </c>
      <c r="E2772" t="s">
        <v>247</v>
      </c>
      <c r="F2772" s="11">
        <v>1</v>
      </c>
      <c r="G2772" s="11">
        <v>58823.53</v>
      </c>
    </row>
    <row r="2773" spans="2:7" x14ac:dyDescent="0.2">
      <c r="B2773" s="32">
        <v>45874</v>
      </c>
      <c r="C2773" t="s">
        <v>142</v>
      </c>
      <c r="D2773" s="13" t="s">
        <v>633</v>
      </c>
      <c r="E2773" t="s">
        <v>341</v>
      </c>
      <c r="F2773" s="11">
        <v>1</v>
      </c>
      <c r="G2773" s="11">
        <v>58823.53</v>
      </c>
    </row>
    <row r="2774" spans="2:7" x14ac:dyDescent="0.2">
      <c r="B2774" s="32">
        <v>45874</v>
      </c>
      <c r="C2774" t="s">
        <v>142</v>
      </c>
      <c r="D2774" s="13" t="s">
        <v>633</v>
      </c>
      <c r="E2774" t="s">
        <v>311</v>
      </c>
      <c r="F2774" s="11">
        <v>1</v>
      </c>
      <c r="G2774" s="11">
        <v>54621.85</v>
      </c>
    </row>
    <row r="2775" spans="2:7" x14ac:dyDescent="0.2">
      <c r="B2775" s="32">
        <v>45874</v>
      </c>
      <c r="C2775" t="s">
        <v>1739</v>
      </c>
      <c r="D2775" s="13" t="s">
        <v>634</v>
      </c>
      <c r="E2775" t="s">
        <v>328</v>
      </c>
      <c r="F2775" s="11">
        <v>1</v>
      </c>
      <c r="G2775" s="11">
        <v>37815.129999999997</v>
      </c>
    </row>
    <row r="2776" spans="2:7" x14ac:dyDescent="0.2">
      <c r="B2776" s="32">
        <v>45874</v>
      </c>
      <c r="C2776" t="s">
        <v>1739</v>
      </c>
      <c r="D2776" s="13" t="s">
        <v>634</v>
      </c>
      <c r="E2776" t="s">
        <v>234</v>
      </c>
      <c r="F2776" s="11">
        <v>1</v>
      </c>
      <c r="G2776" s="11">
        <v>37815.129999999997</v>
      </c>
    </row>
    <row r="2777" spans="2:7" x14ac:dyDescent="0.2">
      <c r="B2777" s="32">
        <v>45874</v>
      </c>
      <c r="C2777" t="s">
        <v>1739</v>
      </c>
      <c r="D2777" s="13" t="s">
        <v>634</v>
      </c>
      <c r="E2777" t="s">
        <v>293</v>
      </c>
      <c r="F2777" s="11">
        <v>1</v>
      </c>
      <c r="G2777" s="11">
        <v>37815.120000000003</v>
      </c>
    </row>
    <row r="2778" spans="2:7" x14ac:dyDescent="0.2">
      <c r="B2778" s="32">
        <v>45874</v>
      </c>
      <c r="C2778" t="s">
        <v>1739</v>
      </c>
      <c r="D2778" s="13" t="s">
        <v>633</v>
      </c>
      <c r="E2778" t="s">
        <v>200</v>
      </c>
      <c r="F2778" s="11">
        <v>1</v>
      </c>
      <c r="G2778" s="11">
        <v>142857.13</v>
      </c>
    </row>
    <row r="2779" spans="2:7" x14ac:dyDescent="0.2">
      <c r="B2779" s="32">
        <v>45874</v>
      </c>
      <c r="C2779" t="s">
        <v>1739</v>
      </c>
      <c r="D2779" s="13" t="s">
        <v>633</v>
      </c>
      <c r="E2779" t="s">
        <v>455</v>
      </c>
      <c r="F2779" s="11">
        <v>2</v>
      </c>
      <c r="G2779" s="11">
        <v>100840.34</v>
      </c>
    </row>
    <row r="2780" spans="2:7" x14ac:dyDescent="0.2">
      <c r="B2780" s="32">
        <v>45874</v>
      </c>
      <c r="C2780" t="s">
        <v>1739</v>
      </c>
      <c r="D2780" s="13" t="s">
        <v>633</v>
      </c>
      <c r="E2780" t="s">
        <v>307</v>
      </c>
      <c r="F2780" s="11">
        <v>1</v>
      </c>
      <c r="G2780" s="11">
        <v>50420.17</v>
      </c>
    </row>
    <row r="2781" spans="2:7" x14ac:dyDescent="0.2">
      <c r="B2781" s="32">
        <v>45874</v>
      </c>
      <c r="C2781" t="s">
        <v>1739</v>
      </c>
      <c r="D2781" s="13" t="s">
        <v>633</v>
      </c>
      <c r="E2781" t="s">
        <v>504</v>
      </c>
      <c r="F2781" s="11">
        <v>1</v>
      </c>
      <c r="G2781" s="11">
        <v>50420.17</v>
      </c>
    </row>
    <row r="2782" spans="2:7" x14ac:dyDescent="0.2">
      <c r="B2782" s="32">
        <v>45874</v>
      </c>
      <c r="C2782" t="s">
        <v>1739</v>
      </c>
      <c r="D2782" s="13" t="s">
        <v>633</v>
      </c>
      <c r="E2782" t="s">
        <v>470</v>
      </c>
      <c r="F2782" s="11">
        <v>1</v>
      </c>
      <c r="G2782" s="11">
        <v>50420.17</v>
      </c>
    </row>
    <row r="2783" spans="2:7" x14ac:dyDescent="0.2">
      <c r="B2783" s="32">
        <v>45874</v>
      </c>
      <c r="C2783" t="s">
        <v>1739</v>
      </c>
      <c r="D2783" s="13" t="s">
        <v>633</v>
      </c>
      <c r="E2783" t="s">
        <v>1963</v>
      </c>
      <c r="F2783" s="11">
        <v>1</v>
      </c>
      <c r="G2783" s="11">
        <v>42016.81</v>
      </c>
    </row>
    <row r="2784" spans="2:7" x14ac:dyDescent="0.2">
      <c r="B2784" s="32">
        <v>45874</v>
      </c>
      <c r="C2784" t="s">
        <v>1739</v>
      </c>
      <c r="D2784" s="13" t="s">
        <v>633</v>
      </c>
      <c r="E2784" t="s">
        <v>293</v>
      </c>
      <c r="F2784" s="11">
        <v>1</v>
      </c>
      <c r="G2784" s="11">
        <v>37815.120000000003</v>
      </c>
    </row>
    <row r="2785" spans="2:7" x14ac:dyDescent="0.2">
      <c r="B2785" s="32">
        <v>45874</v>
      </c>
      <c r="C2785" t="s">
        <v>1739</v>
      </c>
      <c r="D2785" s="13" t="s">
        <v>633</v>
      </c>
      <c r="F2785" s="11">
        <v>0</v>
      </c>
      <c r="G2785" s="11">
        <v>0</v>
      </c>
    </row>
    <row r="2786" spans="2:7" x14ac:dyDescent="0.2">
      <c r="B2786" s="32">
        <v>45874</v>
      </c>
      <c r="C2786" t="s">
        <v>109</v>
      </c>
      <c r="D2786" s="13" t="s">
        <v>634</v>
      </c>
      <c r="E2786" t="s">
        <v>1899</v>
      </c>
      <c r="F2786" s="11">
        <v>2</v>
      </c>
      <c r="G2786" s="11">
        <v>184873.95</v>
      </c>
    </row>
    <row r="2787" spans="2:7" x14ac:dyDescent="0.2">
      <c r="B2787" s="32">
        <v>45874</v>
      </c>
      <c r="C2787" t="s">
        <v>109</v>
      </c>
      <c r="D2787" s="13" t="s">
        <v>634</v>
      </c>
      <c r="E2787" t="s">
        <v>227</v>
      </c>
      <c r="F2787" s="11">
        <v>1</v>
      </c>
      <c r="G2787" s="11">
        <v>96638.66</v>
      </c>
    </row>
    <row r="2788" spans="2:7" x14ac:dyDescent="0.2">
      <c r="B2788" s="32">
        <v>45874</v>
      </c>
      <c r="C2788" t="s">
        <v>109</v>
      </c>
      <c r="D2788" s="13" t="s">
        <v>634</v>
      </c>
      <c r="E2788" t="s">
        <v>493</v>
      </c>
      <c r="F2788" s="11">
        <v>1</v>
      </c>
      <c r="G2788" s="11">
        <v>54621.85</v>
      </c>
    </row>
    <row r="2789" spans="2:7" x14ac:dyDescent="0.2">
      <c r="B2789" s="32">
        <v>45874</v>
      </c>
      <c r="C2789" t="s">
        <v>109</v>
      </c>
      <c r="D2789" s="13" t="s">
        <v>634</v>
      </c>
      <c r="E2789" t="s">
        <v>309</v>
      </c>
      <c r="F2789" s="11">
        <v>1</v>
      </c>
      <c r="G2789" s="11">
        <v>42016.81</v>
      </c>
    </row>
    <row r="2790" spans="2:7" x14ac:dyDescent="0.2">
      <c r="B2790" s="32">
        <v>45874</v>
      </c>
      <c r="C2790" t="s">
        <v>109</v>
      </c>
      <c r="D2790" s="13" t="s">
        <v>634</v>
      </c>
      <c r="E2790" t="s">
        <v>153</v>
      </c>
      <c r="F2790" s="11">
        <v>1</v>
      </c>
      <c r="G2790" s="11">
        <v>42016.81</v>
      </c>
    </row>
    <row r="2791" spans="2:7" x14ac:dyDescent="0.2">
      <c r="B2791" s="32">
        <v>45874</v>
      </c>
      <c r="C2791" t="s">
        <v>109</v>
      </c>
      <c r="D2791" s="13" t="s">
        <v>634</v>
      </c>
      <c r="E2791" t="s">
        <v>173</v>
      </c>
      <c r="F2791" s="11">
        <v>1</v>
      </c>
      <c r="G2791" s="11">
        <v>37815.129999999997</v>
      </c>
    </row>
    <row r="2792" spans="2:7" x14ac:dyDescent="0.2">
      <c r="B2792" s="32">
        <v>45874</v>
      </c>
      <c r="C2792" t="s">
        <v>109</v>
      </c>
      <c r="D2792" s="13" t="s">
        <v>634</v>
      </c>
      <c r="E2792" t="s">
        <v>148</v>
      </c>
      <c r="F2792" s="11">
        <v>1</v>
      </c>
      <c r="G2792" s="11">
        <v>37815.120000000003</v>
      </c>
    </row>
    <row r="2793" spans="2:7" x14ac:dyDescent="0.2">
      <c r="B2793" s="32">
        <v>45874</v>
      </c>
      <c r="C2793" t="s">
        <v>109</v>
      </c>
      <c r="D2793" s="13" t="s">
        <v>634</v>
      </c>
      <c r="E2793" t="s">
        <v>330</v>
      </c>
      <c r="F2793" s="11">
        <v>1</v>
      </c>
      <c r="G2793" s="11">
        <v>37815.120000000003</v>
      </c>
    </row>
    <row r="2794" spans="2:7" x14ac:dyDescent="0.2">
      <c r="B2794" s="32">
        <v>45874</v>
      </c>
      <c r="C2794" t="s">
        <v>109</v>
      </c>
      <c r="D2794" s="13" t="s">
        <v>633</v>
      </c>
      <c r="E2794" t="s">
        <v>153</v>
      </c>
      <c r="F2794" s="11">
        <v>15</v>
      </c>
      <c r="G2794" s="11">
        <v>567226.89</v>
      </c>
    </row>
    <row r="2795" spans="2:7" x14ac:dyDescent="0.2">
      <c r="B2795" s="32">
        <v>45874</v>
      </c>
      <c r="C2795" t="s">
        <v>109</v>
      </c>
      <c r="D2795" s="13" t="s">
        <v>633</v>
      </c>
      <c r="E2795" t="s">
        <v>1740</v>
      </c>
      <c r="F2795" s="11">
        <v>1</v>
      </c>
      <c r="G2795" s="11">
        <v>142857.14000000001</v>
      </c>
    </row>
    <row r="2796" spans="2:7" x14ac:dyDescent="0.2">
      <c r="B2796" s="32">
        <v>45874</v>
      </c>
      <c r="C2796" t="s">
        <v>109</v>
      </c>
      <c r="D2796" s="13" t="s">
        <v>633</v>
      </c>
      <c r="E2796" t="s">
        <v>216</v>
      </c>
      <c r="F2796" s="11">
        <v>1</v>
      </c>
      <c r="G2796" s="11">
        <v>115000</v>
      </c>
    </row>
    <row r="2797" spans="2:7" x14ac:dyDescent="0.2">
      <c r="B2797" s="32">
        <v>45874</v>
      </c>
      <c r="C2797" t="s">
        <v>109</v>
      </c>
      <c r="D2797" s="13" t="s">
        <v>633</v>
      </c>
      <c r="E2797" t="s">
        <v>278</v>
      </c>
      <c r="F2797" s="11">
        <v>1</v>
      </c>
      <c r="G2797" s="11">
        <v>96638.66</v>
      </c>
    </row>
    <row r="2798" spans="2:7" x14ac:dyDescent="0.2">
      <c r="B2798" s="32">
        <v>45874</v>
      </c>
      <c r="C2798" t="s">
        <v>109</v>
      </c>
      <c r="D2798" s="13" t="s">
        <v>633</v>
      </c>
      <c r="E2798" t="s">
        <v>167</v>
      </c>
      <c r="F2798" s="11">
        <v>1</v>
      </c>
      <c r="G2798" s="11">
        <v>96638.66</v>
      </c>
    </row>
    <row r="2799" spans="2:7" x14ac:dyDescent="0.2">
      <c r="B2799" s="32">
        <v>45874</v>
      </c>
      <c r="C2799" t="s">
        <v>109</v>
      </c>
      <c r="D2799" s="13" t="s">
        <v>633</v>
      </c>
      <c r="E2799" t="s">
        <v>1818</v>
      </c>
      <c r="F2799" s="11">
        <v>2</v>
      </c>
      <c r="G2799" s="11">
        <v>75630.25</v>
      </c>
    </row>
    <row r="2800" spans="2:7" x14ac:dyDescent="0.2">
      <c r="B2800" s="32">
        <v>45874</v>
      </c>
      <c r="C2800" t="s">
        <v>109</v>
      </c>
      <c r="D2800" s="13" t="s">
        <v>633</v>
      </c>
      <c r="E2800" t="s">
        <v>164</v>
      </c>
      <c r="F2800" s="11">
        <v>1</v>
      </c>
      <c r="G2800" s="11">
        <v>67226.89</v>
      </c>
    </row>
    <row r="2801" spans="2:7" x14ac:dyDescent="0.2">
      <c r="B2801" s="32">
        <v>45874</v>
      </c>
      <c r="C2801" t="s">
        <v>109</v>
      </c>
      <c r="D2801" s="13" t="s">
        <v>633</v>
      </c>
      <c r="E2801" t="s">
        <v>149</v>
      </c>
      <c r="F2801" s="11">
        <v>1</v>
      </c>
      <c r="G2801" s="11">
        <v>67226.89</v>
      </c>
    </row>
    <row r="2802" spans="2:7" x14ac:dyDescent="0.2">
      <c r="B2802" s="32">
        <v>45874</v>
      </c>
      <c r="C2802" t="s">
        <v>109</v>
      </c>
      <c r="D2802" s="13" t="s">
        <v>633</v>
      </c>
      <c r="E2802" t="s">
        <v>144</v>
      </c>
      <c r="F2802" s="11">
        <v>2</v>
      </c>
      <c r="G2802" s="11">
        <v>50420.17</v>
      </c>
    </row>
    <row r="2803" spans="2:7" x14ac:dyDescent="0.2">
      <c r="B2803" s="32">
        <v>45874</v>
      </c>
      <c r="C2803" t="s">
        <v>109</v>
      </c>
      <c r="D2803" s="13" t="s">
        <v>633</v>
      </c>
      <c r="E2803" t="s">
        <v>284</v>
      </c>
      <c r="F2803" s="11">
        <v>1</v>
      </c>
      <c r="G2803" s="11">
        <v>37815.129999999997</v>
      </c>
    </row>
    <row r="2804" spans="2:7" x14ac:dyDescent="0.2">
      <c r="B2804" s="32">
        <v>45874</v>
      </c>
      <c r="C2804" t="s">
        <v>109</v>
      </c>
      <c r="D2804" s="13" t="s">
        <v>633</v>
      </c>
      <c r="E2804" t="s">
        <v>234</v>
      </c>
      <c r="F2804" s="11">
        <v>1</v>
      </c>
      <c r="G2804" s="11">
        <v>37815.129999999997</v>
      </c>
    </row>
    <row r="2805" spans="2:7" x14ac:dyDescent="0.2">
      <c r="B2805" s="32">
        <v>45874</v>
      </c>
      <c r="C2805" t="s">
        <v>109</v>
      </c>
      <c r="D2805" s="13" t="s">
        <v>633</v>
      </c>
      <c r="E2805" t="s">
        <v>330</v>
      </c>
      <c r="F2805" s="11">
        <v>1</v>
      </c>
      <c r="G2805" s="11">
        <v>37815.129999999997</v>
      </c>
    </row>
    <row r="2806" spans="2:7" x14ac:dyDescent="0.2">
      <c r="B2806" s="32">
        <v>45874</v>
      </c>
      <c r="C2806" t="s">
        <v>109</v>
      </c>
      <c r="D2806" s="13" t="s">
        <v>633</v>
      </c>
      <c r="E2806" t="s">
        <v>322</v>
      </c>
      <c r="F2806" s="11">
        <v>1</v>
      </c>
      <c r="G2806" s="11">
        <v>29000</v>
      </c>
    </row>
    <row r="2807" spans="2:7" x14ac:dyDescent="0.2">
      <c r="B2807" s="32">
        <v>45874</v>
      </c>
      <c r="C2807" t="s">
        <v>109</v>
      </c>
      <c r="D2807" s="13" t="s">
        <v>633</v>
      </c>
      <c r="E2807" t="s">
        <v>193</v>
      </c>
      <c r="F2807" s="11">
        <v>1</v>
      </c>
      <c r="G2807" s="11">
        <v>21848.74</v>
      </c>
    </row>
    <row r="2808" spans="2:7" x14ac:dyDescent="0.2">
      <c r="B2808" s="32">
        <v>45875</v>
      </c>
      <c r="C2808" t="s">
        <v>142</v>
      </c>
      <c r="D2808" s="13" t="s">
        <v>634</v>
      </c>
      <c r="E2808" t="s">
        <v>1964</v>
      </c>
      <c r="F2808" s="11">
        <v>1</v>
      </c>
      <c r="G2808" s="11">
        <v>201680.68</v>
      </c>
    </row>
    <row r="2809" spans="2:7" x14ac:dyDescent="0.2">
      <c r="B2809" s="32">
        <v>45875</v>
      </c>
      <c r="C2809" t="s">
        <v>142</v>
      </c>
      <c r="D2809" s="13" t="s">
        <v>634</v>
      </c>
      <c r="E2809" t="s">
        <v>1831</v>
      </c>
      <c r="F2809" s="11">
        <v>1</v>
      </c>
      <c r="G2809" s="11">
        <v>136134.45000000001</v>
      </c>
    </row>
    <row r="2810" spans="2:7" x14ac:dyDescent="0.2">
      <c r="B2810" s="32">
        <v>45875</v>
      </c>
      <c r="C2810" t="s">
        <v>142</v>
      </c>
      <c r="D2810" s="13" t="s">
        <v>634</v>
      </c>
      <c r="E2810" t="s">
        <v>1871</v>
      </c>
      <c r="F2810" s="11">
        <v>1</v>
      </c>
      <c r="G2810" s="11">
        <v>58823.53</v>
      </c>
    </row>
    <row r="2811" spans="2:7" x14ac:dyDescent="0.2">
      <c r="B2811" s="32">
        <v>45875</v>
      </c>
      <c r="C2811" t="s">
        <v>142</v>
      </c>
      <c r="D2811" s="13" t="s">
        <v>634</v>
      </c>
      <c r="E2811" t="s">
        <v>234</v>
      </c>
      <c r="F2811" s="11">
        <v>1</v>
      </c>
      <c r="G2811" s="11">
        <v>37815.129999999997</v>
      </c>
    </row>
    <row r="2812" spans="2:7" x14ac:dyDescent="0.2">
      <c r="B2812" s="32">
        <v>45875</v>
      </c>
      <c r="C2812" t="s">
        <v>142</v>
      </c>
      <c r="D2812" s="13" t="s">
        <v>634</v>
      </c>
      <c r="F2812" s="11">
        <v>0</v>
      </c>
      <c r="G2812" s="11">
        <v>0</v>
      </c>
    </row>
    <row r="2813" spans="2:7" x14ac:dyDescent="0.2">
      <c r="B2813" s="32">
        <v>45875</v>
      </c>
      <c r="C2813" t="s">
        <v>142</v>
      </c>
      <c r="D2813" s="13" t="s">
        <v>633</v>
      </c>
      <c r="E2813" t="s">
        <v>692</v>
      </c>
      <c r="F2813" s="11">
        <v>1</v>
      </c>
      <c r="G2813" s="11">
        <v>75630.25</v>
      </c>
    </row>
    <row r="2814" spans="2:7" x14ac:dyDescent="0.2">
      <c r="B2814" s="32">
        <v>45875</v>
      </c>
      <c r="C2814" t="s">
        <v>142</v>
      </c>
      <c r="D2814" s="13" t="s">
        <v>633</v>
      </c>
      <c r="E2814" t="s">
        <v>653</v>
      </c>
      <c r="F2814" s="11">
        <v>1</v>
      </c>
      <c r="G2814" s="11">
        <v>58823.53</v>
      </c>
    </row>
    <row r="2815" spans="2:7" x14ac:dyDescent="0.2">
      <c r="B2815" s="32">
        <v>45875</v>
      </c>
      <c r="C2815" t="s">
        <v>142</v>
      </c>
      <c r="D2815" s="13" t="s">
        <v>633</v>
      </c>
      <c r="F2815" s="11">
        <v>0</v>
      </c>
      <c r="G2815" s="11">
        <v>0</v>
      </c>
    </row>
    <row r="2816" spans="2:7" x14ac:dyDescent="0.2">
      <c r="B2816" s="32">
        <v>45875</v>
      </c>
      <c r="C2816" t="s">
        <v>1739</v>
      </c>
      <c r="D2816" s="13" t="s">
        <v>634</v>
      </c>
      <c r="E2816" t="s">
        <v>1883</v>
      </c>
      <c r="F2816" s="11">
        <v>0</v>
      </c>
      <c r="G2816" s="11">
        <v>336134.45</v>
      </c>
    </row>
    <row r="2817" spans="2:7" x14ac:dyDescent="0.2">
      <c r="B2817" s="32">
        <v>45875</v>
      </c>
      <c r="C2817" t="s">
        <v>1739</v>
      </c>
      <c r="D2817" s="13" t="s">
        <v>634</v>
      </c>
      <c r="E2817" t="s">
        <v>1832</v>
      </c>
      <c r="F2817" s="11">
        <v>0</v>
      </c>
      <c r="G2817" s="11">
        <v>6554.63</v>
      </c>
    </row>
    <row r="2818" spans="2:7" x14ac:dyDescent="0.2">
      <c r="B2818" s="32">
        <v>45875</v>
      </c>
      <c r="C2818" t="s">
        <v>1739</v>
      </c>
      <c r="D2818" s="13" t="s">
        <v>634</v>
      </c>
      <c r="E2818" t="s">
        <v>732</v>
      </c>
      <c r="F2818" s="11">
        <v>0</v>
      </c>
      <c r="G2818" s="11">
        <v>-64705.89</v>
      </c>
    </row>
    <row r="2819" spans="2:7" x14ac:dyDescent="0.2">
      <c r="B2819" s="32">
        <v>45875</v>
      </c>
      <c r="C2819" t="s">
        <v>1739</v>
      </c>
      <c r="D2819" s="13" t="s">
        <v>634</v>
      </c>
      <c r="E2819" t="s">
        <v>635</v>
      </c>
      <c r="F2819" s="11">
        <v>0</v>
      </c>
      <c r="G2819" s="11">
        <v>-67647.06</v>
      </c>
    </row>
    <row r="2820" spans="2:7" x14ac:dyDescent="0.2">
      <c r="B2820" s="32">
        <v>45875</v>
      </c>
      <c r="C2820" t="s">
        <v>109</v>
      </c>
      <c r="D2820" s="13" t="s">
        <v>634</v>
      </c>
      <c r="E2820" t="s">
        <v>567</v>
      </c>
      <c r="F2820" s="11">
        <v>5</v>
      </c>
      <c r="G2820" s="11">
        <v>597478.99</v>
      </c>
    </row>
    <row r="2821" spans="2:7" x14ac:dyDescent="0.2">
      <c r="B2821" s="32">
        <v>45875</v>
      </c>
      <c r="C2821" t="s">
        <v>109</v>
      </c>
      <c r="D2821" s="13" t="s">
        <v>634</v>
      </c>
      <c r="E2821" t="s">
        <v>1951</v>
      </c>
      <c r="F2821" s="11">
        <v>1</v>
      </c>
      <c r="G2821" s="11">
        <v>343697.48</v>
      </c>
    </row>
    <row r="2822" spans="2:7" x14ac:dyDescent="0.2">
      <c r="B2822" s="32">
        <v>45875</v>
      </c>
      <c r="C2822" t="s">
        <v>109</v>
      </c>
      <c r="D2822" s="13" t="s">
        <v>634</v>
      </c>
      <c r="E2822" t="s">
        <v>1965</v>
      </c>
      <c r="F2822" s="11">
        <v>1</v>
      </c>
      <c r="G2822" s="11">
        <v>184873.95</v>
      </c>
    </row>
    <row r="2823" spans="2:7" x14ac:dyDescent="0.2">
      <c r="B2823" s="32">
        <v>45875</v>
      </c>
      <c r="C2823" t="s">
        <v>109</v>
      </c>
      <c r="D2823" s="13" t="s">
        <v>634</v>
      </c>
      <c r="E2823" t="s">
        <v>1966</v>
      </c>
      <c r="F2823" s="11">
        <v>2</v>
      </c>
      <c r="G2823" s="11">
        <v>164705.88</v>
      </c>
    </row>
    <row r="2824" spans="2:7" x14ac:dyDescent="0.2">
      <c r="B2824" s="32">
        <v>45875</v>
      </c>
      <c r="C2824" t="s">
        <v>109</v>
      </c>
      <c r="D2824" s="13" t="s">
        <v>634</v>
      </c>
      <c r="E2824" t="s">
        <v>1843</v>
      </c>
      <c r="F2824" s="11">
        <v>1</v>
      </c>
      <c r="G2824" s="11">
        <v>138655.46</v>
      </c>
    </row>
    <row r="2825" spans="2:7" x14ac:dyDescent="0.2">
      <c r="B2825" s="32">
        <v>45875</v>
      </c>
      <c r="C2825" t="s">
        <v>109</v>
      </c>
      <c r="D2825" s="13" t="s">
        <v>634</v>
      </c>
      <c r="E2825" t="s">
        <v>1914</v>
      </c>
      <c r="F2825" s="11">
        <v>1</v>
      </c>
      <c r="G2825" s="11">
        <v>130252.1</v>
      </c>
    </row>
    <row r="2826" spans="2:7" x14ac:dyDescent="0.2">
      <c r="B2826" s="32">
        <v>45875</v>
      </c>
      <c r="C2826" t="s">
        <v>109</v>
      </c>
      <c r="D2826" s="13" t="s">
        <v>634</v>
      </c>
      <c r="E2826" t="s">
        <v>207</v>
      </c>
      <c r="F2826" s="11">
        <v>1</v>
      </c>
      <c r="G2826" s="11">
        <v>96638.66</v>
      </c>
    </row>
    <row r="2827" spans="2:7" x14ac:dyDescent="0.2">
      <c r="B2827" s="32">
        <v>45875</v>
      </c>
      <c r="C2827" t="s">
        <v>109</v>
      </c>
      <c r="D2827" s="13" t="s">
        <v>634</v>
      </c>
      <c r="E2827" t="s">
        <v>558</v>
      </c>
      <c r="F2827" s="11">
        <v>1</v>
      </c>
      <c r="G2827" s="11">
        <v>75630.25</v>
      </c>
    </row>
    <row r="2828" spans="2:7" x14ac:dyDescent="0.2">
      <c r="B2828" s="32">
        <v>45875</v>
      </c>
      <c r="C2828" t="s">
        <v>109</v>
      </c>
      <c r="D2828" s="13" t="s">
        <v>634</v>
      </c>
      <c r="E2828" t="s">
        <v>1967</v>
      </c>
      <c r="F2828" s="11">
        <v>1</v>
      </c>
      <c r="G2828" s="11">
        <v>67226.89</v>
      </c>
    </row>
    <row r="2829" spans="2:7" x14ac:dyDescent="0.2">
      <c r="B2829" s="32">
        <v>45875</v>
      </c>
      <c r="C2829" t="s">
        <v>109</v>
      </c>
      <c r="D2829" s="13" t="s">
        <v>634</v>
      </c>
      <c r="E2829" t="s">
        <v>727</v>
      </c>
      <c r="F2829" s="11">
        <v>1</v>
      </c>
      <c r="G2829" s="11">
        <v>58823.53</v>
      </c>
    </row>
    <row r="2830" spans="2:7" x14ac:dyDescent="0.2">
      <c r="B2830" s="32">
        <v>45875</v>
      </c>
      <c r="C2830" t="s">
        <v>109</v>
      </c>
      <c r="D2830" s="13" t="s">
        <v>634</v>
      </c>
      <c r="E2830" t="s">
        <v>233</v>
      </c>
      <c r="F2830" s="11">
        <v>1</v>
      </c>
      <c r="G2830" s="11">
        <v>58823.53</v>
      </c>
    </row>
    <row r="2831" spans="2:7" x14ac:dyDescent="0.2">
      <c r="B2831" s="32">
        <v>45875</v>
      </c>
      <c r="C2831" t="s">
        <v>109</v>
      </c>
      <c r="D2831" s="13" t="s">
        <v>634</v>
      </c>
      <c r="E2831" t="s">
        <v>1795</v>
      </c>
      <c r="F2831" s="11">
        <v>1</v>
      </c>
      <c r="G2831" s="11">
        <v>58823.53</v>
      </c>
    </row>
    <row r="2832" spans="2:7" x14ac:dyDescent="0.2">
      <c r="B2832" s="32">
        <v>45875</v>
      </c>
      <c r="C2832" t="s">
        <v>109</v>
      </c>
      <c r="D2832" s="13" t="s">
        <v>634</v>
      </c>
      <c r="E2832" t="s">
        <v>236</v>
      </c>
      <c r="F2832" s="11">
        <v>1</v>
      </c>
      <c r="G2832" s="11">
        <v>58823.53</v>
      </c>
    </row>
    <row r="2833" spans="2:7" x14ac:dyDescent="0.2">
      <c r="B2833" s="32">
        <v>45875</v>
      </c>
      <c r="C2833" t="s">
        <v>109</v>
      </c>
      <c r="D2833" s="13" t="s">
        <v>634</v>
      </c>
      <c r="E2833" t="s">
        <v>290</v>
      </c>
      <c r="F2833" s="11">
        <v>1</v>
      </c>
      <c r="G2833" s="11">
        <v>58823.53</v>
      </c>
    </row>
    <row r="2834" spans="2:7" x14ac:dyDescent="0.2">
      <c r="B2834" s="32">
        <v>45875</v>
      </c>
      <c r="C2834" t="s">
        <v>109</v>
      </c>
      <c r="D2834" s="13" t="s">
        <v>634</v>
      </c>
      <c r="E2834" t="s">
        <v>287</v>
      </c>
      <c r="F2834" s="11">
        <v>1</v>
      </c>
      <c r="G2834" s="11">
        <v>58823.53</v>
      </c>
    </row>
    <row r="2835" spans="2:7" x14ac:dyDescent="0.2">
      <c r="B2835" s="32">
        <v>45875</v>
      </c>
      <c r="C2835" t="s">
        <v>109</v>
      </c>
      <c r="D2835" s="13" t="s">
        <v>634</v>
      </c>
      <c r="E2835" t="s">
        <v>163</v>
      </c>
      <c r="F2835" s="11">
        <v>1</v>
      </c>
      <c r="G2835" s="11">
        <v>58823.53</v>
      </c>
    </row>
    <row r="2836" spans="2:7" x14ac:dyDescent="0.2">
      <c r="B2836" s="32">
        <v>45875</v>
      </c>
      <c r="C2836" t="s">
        <v>109</v>
      </c>
      <c r="D2836" s="13" t="s">
        <v>634</v>
      </c>
      <c r="E2836" t="s">
        <v>426</v>
      </c>
      <c r="F2836" s="11">
        <v>1</v>
      </c>
      <c r="G2836" s="11">
        <v>50420.17</v>
      </c>
    </row>
    <row r="2837" spans="2:7" x14ac:dyDescent="0.2">
      <c r="B2837" s="32">
        <v>45875</v>
      </c>
      <c r="C2837" t="s">
        <v>109</v>
      </c>
      <c r="D2837" s="13" t="s">
        <v>634</v>
      </c>
      <c r="E2837" t="s">
        <v>810</v>
      </c>
      <c r="F2837" s="11">
        <v>1</v>
      </c>
      <c r="G2837" s="11">
        <v>50420.17</v>
      </c>
    </row>
    <row r="2838" spans="2:7" x14ac:dyDescent="0.2">
      <c r="B2838" s="32">
        <v>45875</v>
      </c>
      <c r="C2838" t="s">
        <v>109</v>
      </c>
      <c r="D2838" s="13" t="s">
        <v>634</v>
      </c>
      <c r="E2838" t="s">
        <v>672</v>
      </c>
      <c r="F2838" s="11">
        <v>1</v>
      </c>
      <c r="G2838" s="11">
        <v>50420.160000000003</v>
      </c>
    </row>
    <row r="2839" spans="2:7" x14ac:dyDescent="0.2">
      <c r="B2839" s="32">
        <v>45875</v>
      </c>
      <c r="C2839" t="s">
        <v>109</v>
      </c>
      <c r="D2839" s="13" t="s">
        <v>634</v>
      </c>
      <c r="F2839" s="11">
        <v>1</v>
      </c>
      <c r="G2839" s="11">
        <v>46218.49</v>
      </c>
    </row>
    <row r="2840" spans="2:7" x14ac:dyDescent="0.2">
      <c r="B2840" s="32">
        <v>45875</v>
      </c>
      <c r="C2840" t="s">
        <v>109</v>
      </c>
      <c r="D2840" s="13" t="s">
        <v>634</v>
      </c>
      <c r="E2840" t="s">
        <v>1968</v>
      </c>
      <c r="F2840" s="11">
        <v>1</v>
      </c>
      <c r="G2840" s="11">
        <v>42016.800000000003</v>
      </c>
    </row>
    <row r="2841" spans="2:7" x14ac:dyDescent="0.2">
      <c r="B2841" s="32">
        <v>45875</v>
      </c>
      <c r="C2841" t="s">
        <v>109</v>
      </c>
      <c r="D2841" s="13" t="s">
        <v>634</v>
      </c>
      <c r="E2841" t="s">
        <v>1932</v>
      </c>
      <c r="F2841" s="11">
        <v>1</v>
      </c>
      <c r="G2841" s="11">
        <v>33000</v>
      </c>
    </row>
    <row r="2842" spans="2:7" x14ac:dyDescent="0.2">
      <c r="B2842" s="32">
        <v>45875</v>
      </c>
      <c r="C2842" t="s">
        <v>109</v>
      </c>
      <c r="D2842" s="13" t="s">
        <v>633</v>
      </c>
      <c r="E2842" t="s">
        <v>669</v>
      </c>
      <c r="F2842" s="11">
        <v>1</v>
      </c>
      <c r="G2842" s="11">
        <v>102000</v>
      </c>
    </row>
    <row r="2843" spans="2:7" x14ac:dyDescent="0.2">
      <c r="B2843" s="32">
        <v>45875</v>
      </c>
      <c r="C2843" t="s">
        <v>109</v>
      </c>
      <c r="D2843" s="13" t="s">
        <v>633</v>
      </c>
      <c r="E2843" t="s">
        <v>533</v>
      </c>
      <c r="F2843" s="11">
        <v>1</v>
      </c>
      <c r="G2843" s="11">
        <v>84033.61</v>
      </c>
    </row>
    <row r="2844" spans="2:7" x14ac:dyDescent="0.2">
      <c r="B2844" s="32">
        <v>45875</v>
      </c>
      <c r="C2844" t="s">
        <v>109</v>
      </c>
      <c r="D2844" s="13" t="s">
        <v>633</v>
      </c>
      <c r="E2844" t="s">
        <v>192</v>
      </c>
      <c r="F2844" s="11">
        <v>1</v>
      </c>
      <c r="G2844" s="11">
        <v>71428.570000000007</v>
      </c>
    </row>
    <row r="2845" spans="2:7" x14ac:dyDescent="0.2">
      <c r="B2845" s="32">
        <v>45875</v>
      </c>
      <c r="C2845" t="s">
        <v>109</v>
      </c>
      <c r="D2845" s="13" t="s">
        <v>633</v>
      </c>
      <c r="E2845" t="s">
        <v>534</v>
      </c>
      <c r="F2845" s="11">
        <v>1</v>
      </c>
      <c r="G2845" s="11">
        <v>71428.570000000007</v>
      </c>
    </row>
    <row r="2846" spans="2:7" x14ac:dyDescent="0.2">
      <c r="B2846" s="32">
        <v>45875</v>
      </c>
      <c r="C2846" t="s">
        <v>109</v>
      </c>
      <c r="D2846" s="13" t="s">
        <v>633</v>
      </c>
      <c r="E2846" t="s">
        <v>208</v>
      </c>
      <c r="F2846" s="11">
        <v>1</v>
      </c>
      <c r="G2846" s="11">
        <v>58823.53</v>
      </c>
    </row>
    <row r="2847" spans="2:7" x14ac:dyDescent="0.2">
      <c r="B2847" s="32">
        <v>45875</v>
      </c>
      <c r="C2847" t="s">
        <v>109</v>
      </c>
      <c r="D2847" s="13" t="s">
        <v>633</v>
      </c>
      <c r="E2847" t="s">
        <v>153</v>
      </c>
      <c r="F2847" s="11">
        <v>1</v>
      </c>
      <c r="G2847" s="11">
        <v>42016.81</v>
      </c>
    </row>
    <row r="2848" spans="2:7" x14ac:dyDescent="0.2">
      <c r="B2848" s="32">
        <v>45875</v>
      </c>
      <c r="C2848" t="s">
        <v>109</v>
      </c>
      <c r="D2848" s="13" t="s">
        <v>633</v>
      </c>
      <c r="E2848" t="s">
        <v>240</v>
      </c>
      <c r="F2848" s="11">
        <v>1</v>
      </c>
      <c r="G2848" s="11">
        <v>42016.81</v>
      </c>
    </row>
    <row r="2849" spans="2:7" x14ac:dyDescent="0.2">
      <c r="B2849" s="32">
        <v>45875</v>
      </c>
      <c r="C2849" t="s">
        <v>109</v>
      </c>
      <c r="D2849" s="13" t="s">
        <v>633</v>
      </c>
      <c r="E2849" t="s">
        <v>478</v>
      </c>
      <c r="F2849" s="11">
        <v>0</v>
      </c>
      <c r="G2849" s="11">
        <v>37815.129999999997</v>
      </c>
    </row>
    <row r="2850" spans="2:7" x14ac:dyDescent="0.2">
      <c r="B2850" s="32">
        <v>45875</v>
      </c>
      <c r="C2850" t="s">
        <v>109</v>
      </c>
      <c r="D2850" s="13" t="s">
        <v>633</v>
      </c>
      <c r="E2850" t="s">
        <v>342</v>
      </c>
      <c r="F2850" s="11">
        <v>1</v>
      </c>
      <c r="G2850" s="11">
        <v>21848.74</v>
      </c>
    </row>
    <row r="2851" spans="2:7" x14ac:dyDescent="0.2">
      <c r="B2851" s="32">
        <v>45875</v>
      </c>
      <c r="C2851" t="s">
        <v>109</v>
      </c>
      <c r="D2851" s="13" t="s">
        <v>633</v>
      </c>
      <c r="F2851" s="11">
        <v>0</v>
      </c>
      <c r="G2851" s="11">
        <v>0</v>
      </c>
    </row>
    <row r="2852" spans="2:7" x14ac:dyDescent="0.2">
      <c r="B2852" s="32">
        <v>45876</v>
      </c>
      <c r="C2852" t="s">
        <v>142</v>
      </c>
      <c r="D2852" s="13" t="s">
        <v>634</v>
      </c>
      <c r="E2852" t="s">
        <v>1741</v>
      </c>
      <c r="F2852" s="11">
        <v>1</v>
      </c>
      <c r="G2852" s="11">
        <v>54621.85</v>
      </c>
    </row>
    <row r="2853" spans="2:7" x14ac:dyDescent="0.2">
      <c r="B2853" s="32">
        <v>45876</v>
      </c>
      <c r="C2853" t="s">
        <v>142</v>
      </c>
      <c r="D2853" s="13" t="s">
        <v>634</v>
      </c>
      <c r="E2853" t="s">
        <v>210</v>
      </c>
      <c r="F2853" s="11">
        <v>1</v>
      </c>
      <c r="G2853" s="11">
        <v>46218.49</v>
      </c>
    </row>
    <row r="2854" spans="2:7" x14ac:dyDescent="0.2">
      <c r="B2854" s="32">
        <v>45876</v>
      </c>
      <c r="C2854" t="s">
        <v>142</v>
      </c>
      <c r="D2854" s="13" t="s">
        <v>634</v>
      </c>
      <c r="F2854" s="11">
        <v>0</v>
      </c>
      <c r="G2854" s="11">
        <v>0</v>
      </c>
    </row>
    <row r="2855" spans="2:7" x14ac:dyDescent="0.2">
      <c r="B2855" s="32">
        <v>45876</v>
      </c>
      <c r="C2855" t="s">
        <v>142</v>
      </c>
      <c r="D2855" s="13" t="s">
        <v>633</v>
      </c>
      <c r="E2855" t="s">
        <v>279</v>
      </c>
      <c r="F2855" s="11">
        <v>1</v>
      </c>
      <c r="G2855" s="11">
        <v>58823.53</v>
      </c>
    </row>
    <row r="2856" spans="2:7" x14ac:dyDescent="0.2">
      <c r="B2856" s="32">
        <v>45876</v>
      </c>
      <c r="C2856" t="s">
        <v>142</v>
      </c>
      <c r="D2856" s="13" t="s">
        <v>633</v>
      </c>
      <c r="F2856" s="11">
        <v>0</v>
      </c>
      <c r="G2856" s="11">
        <v>0</v>
      </c>
    </row>
    <row r="2857" spans="2:7" x14ac:dyDescent="0.2">
      <c r="B2857" s="32">
        <v>45876</v>
      </c>
      <c r="C2857" t="s">
        <v>109</v>
      </c>
      <c r="D2857" s="13" t="s">
        <v>634</v>
      </c>
      <c r="E2857" t="s">
        <v>661</v>
      </c>
      <c r="F2857" s="11">
        <v>0</v>
      </c>
      <c r="G2857" s="11">
        <v>58823.53</v>
      </c>
    </row>
    <row r="2858" spans="2:7" x14ac:dyDescent="0.2">
      <c r="B2858" s="32">
        <v>45876</v>
      </c>
      <c r="C2858" t="s">
        <v>109</v>
      </c>
      <c r="D2858" s="13" t="s">
        <v>634</v>
      </c>
      <c r="E2858" t="s">
        <v>438</v>
      </c>
      <c r="F2858" s="11">
        <v>0</v>
      </c>
      <c r="G2858" s="11">
        <v>54621.85</v>
      </c>
    </row>
    <row r="2859" spans="2:7" x14ac:dyDescent="0.2">
      <c r="B2859" s="32">
        <v>45876</v>
      </c>
      <c r="C2859" t="s">
        <v>109</v>
      </c>
      <c r="D2859" s="13" t="s">
        <v>634</v>
      </c>
      <c r="E2859" t="s">
        <v>160</v>
      </c>
      <c r="F2859" s="11">
        <v>1</v>
      </c>
      <c r="G2859" s="11">
        <v>46218.49</v>
      </c>
    </row>
    <row r="2860" spans="2:7" x14ac:dyDescent="0.2">
      <c r="B2860" s="32">
        <v>45876</v>
      </c>
      <c r="C2860" t="s">
        <v>109</v>
      </c>
      <c r="D2860" s="13" t="s">
        <v>634</v>
      </c>
      <c r="E2860" t="s">
        <v>173</v>
      </c>
      <c r="F2860" s="11">
        <v>1</v>
      </c>
      <c r="G2860" s="11">
        <v>37815.129999999997</v>
      </c>
    </row>
    <row r="2861" spans="2:7" x14ac:dyDescent="0.2">
      <c r="B2861" s="32">
        <v>45876</v>
      </c>
      <c r="C2861" t="s">
        <v>109</v>
      </c>
      <c r="D2861" s="13" t="s">
        <v>634</v>
      </c>
      <c r="E2861" t="s">
        <v>1818</v>
      </c>
      <c r="F2861" s="11">
        <v>1</v>
      </c>
      <c r="G2861" s="11">
        <v>37815.120000000003</v>
      </c>
    </row>
    <row r="2862" spans="2:7" x14ac:dyDescent="0.2">
      <c r="B2862" s="32">
        <v>45876</v>
      </c>
      <c r="C2862" t="s">
        <v>109</v>
      </c>
      <c r="D2862" s="13" t="s">
        <v>634</v>
      </c>
      <c r="E2862" t="s">
        <v>144</v>
      </c>
      <c r="F2862" s="11">
        <v>1</v>
      </c>
      <c r="G2862" s="11">
        <v>25210.080000000002</v>
      </c>
    </row>
    <row r="2863" spans="2:7" x14ac:dyDescent="0.2">
      <c r="B2863" s="32">
        <v>45876</v>
      </c>
      <c r="C2863" t="s">
        <v>109</v>
      </c>
      <c r="D2863" s="13" t="s">
        <v>634</v>
      </c>
      <c r="E2863" t="s">
        <v>1837</v>
      </c>
      <c r="F2863" s="11">
        <v>1</v>
      </c>
      <c r="G2863" s="11">
        <v>21848.74</v>
      </c>
    </row>
    <row r="2864" spans="2:7" x14ac:dyDescent="0.2">
      <c r="B2864" s="32">
        <v>45876</v>
      </c>
      <c r="C2864" t="s">
        <v>109</v>
      </c>
      <c r="D2864" s="13" t="s">
        <v>634</v>
      </c>
      <c r="E2864" t="s">
        <v>1843</v>
      </c>
      <c r="F2864" s="11">
        <v>0</v>
      </c>
      <c r="G2864" s="11">
        <v>-138655.46</v>
      </c>
    </row>
    <row r="2865" spans="2:7" x14ac:dyDescent="0.2">
      <c r="B2865" s="32">
        <v>45876</v>
      </c>
      <c r="C2865" t="s">
        <v>109</v>
      </c>
      <c r="D2865" s="13" t="s">
        <v>634</v>
      </c>
      <c r="E2865" t="s">
        <v>1965</v>
      </c>
      <c r="F2865" s="11">
        <v>0</v>
      </c>
      <c r="G2865" s="11">
        <v>-184873.95</v>
      </c>
    </row>
    <row r="2866" spans="2:7" x14ac:dyDescent="0.2">
      <c r="B2866" s="32">
        <v>45876</v>
      </c>
      <c r="C2866" t="s">
        <v>109</v>
      </c>
      <c r="D2866" s="13" t="s">
        <v>633</v>
      </c>
      <c r="E2866" t="s">
        <v>168</v>
      </c>
      <c r="F2866" s="11">
        <v>2</v>
      </c>
      <c r="G2866" s="11">
        <v>84033.61</v>
      </c>
    </row>
    <row r="2867" spans="2:7" x14ac:dyDescent="0.2">
      <c r="B2867" s="32">
        <v>45876</v>
      </c>
      <c r="C2867" t="s">
        <v>109</v>
      </c>
      <c r="D2867" s="13" t="s">
        <v>633</v>
      </c>
      <c r="E2867" t="s">
        <v>1968</v>
      </c>
      <c r="F2867" s="11">
        <v>1</v>
      </c>
      <c r="G2867" s="11">
        <v>42016.81</v>
      </c>
    </row>
    <row r="2868" spans="2:7" x14ac:dyDescent="0.2">
      <c r="B2868" s="32">
        <v>45876</v>
      </c>
      <c r="C2868" t="s">
        <v>109</v>
      </c>
      <c r="D2868" s="13" t="s">
        <v>633</v>
      </c>
      <c r="E2868" t="s">
        <v>173</v>
      </c>
      <c r="F2868" s="11">
        <v>1</v>
      </c>
      <c r="G2868" s="11">
        <v>37815.120000000003</v>
      </c>
    </row>
    <row r="2869" spans="2:7" x14ac:dyDescent="0.2">
      <c r="B2869" s="32">
        <v>45876</v>
      </c>
      <c r="C2869" t="s">
        <v>109</v>
      </c>
      <c r="D2869" s="13" t="s">
        <v>633</v>
      </c>
      <c r="E2869" t="s">
        <v>144</v>
      </c>
      <c r="F2869" s="11">
        <v>3</v>
      </c>
      <c r="G2869" s="11">
        <v>12184.88</v>
      </c>
    </row>
    <row r="2870" spans="2:7" x14ac:dyDescent="0.2">
      <c r="B2870" s="32">
        <v>45877</v>
      </c>
      <c r="C2870" t="s">
        <v>142</v>
      </c>
      <c r="D2870" s="13"/>
      <c r="E2870" t="s">
        <v>670</v>
      </c>
      <c r="F2870" s="11">
        <v>1</v>
      </c>
      <c r="G2870" s="11">
        <v>0</v>
      </c>
    </row>
    <row r="2871" spans="2:7" x14ac:dyDescent="0.2">
      <c r="B2871" s="32">
        <v>45877</v>
      </c>
      <c r="C2871" t="s">
        <v>142</v>
      </c>
      <c r="D2871" s="13" t="s">
        <v>634</v>
      </c>
      <c r="E2871" t="s">
        <v>1969</v>
      </c>
      <c r="F2871" s="11">
        <v>1</v>
      </c>
      <c r="G2871" s="11">
        <v>151260.5</v>
      </c>
    </row>
    <row r="2872" spans="2:7" x14ac:dyDescent="0.2">
      <c r="B2872" s="32">
        <v>45877</v>
      </c>
      <c r="C2872" t="s">
        <v>142</v>
      </c>
      <c r="D2872" s="13" t="s">
        <v>634</v>
      </c>
      <c r="E2872" t="s">
        <v>705</v>
      </c>
      <c r="F2872" s="11">
        <v>1</v>
      </c>
      <c r="G2872" s="11">
        <v>58823.53</v>
      </c>
    </row>
    <row r="2873" spans="2:7" x14ac:dyDescent="0.2">
      <c r="B2873" s="32">
        <v>45877</v>
      </c>
      <c r="C2873" t="s">
        <v>142</v>
      </c>
      <c r="D2873" s="13" t="s">
        <v>634</v>
      </c>
      <c r="E2873" t="s">
        <v>287</v>
      </c>
      <c r="F2873" s="11">
        <v>1</v>
      </c>
      <c r="G2873" s="11">
        <v>58823.53</v>
      </c>
    </row>
    <row r="2874" spans="2:7" x14ac:dyDescent="0.2">
      <c r="B2874" s="32">
        <v>45877</v>
      </c>
      <c r="C2874" t="s">
        <v>142</v>
      </c>
      <c r="D2874" s="13" t="s">
        <v>634</v>
      </c>
      <c r="E2874" t="s">
        <v>700</v>
      </c>
      <c r="F2874" s="11">
        <v>1</v>
      </c>
      <c r="G2874" s="11">
        <v>58823.53</v>
      </c>
    </row>
    <row r="2875" spans="2:7" x14ac:dyDescent="0.2">
      <c r="B2875" s="32">
        <v>45877</v>
      </c>
      <c r="C2875" t="s">
        <v>142</v>
      </c>
      <c r="D2875" s="13" t="s">
        <v>634</v>
      </c>
      <c r="E2875" t="s">
        <v>260</v>
      </c>
      <c r="F2875" s="11">
        <v>1</v>
      </c>
      <c r="G2875" s="11">
        <v>46218.49</v>
      </c>
    </row>
    <row r="2876" spans="2:7" x14ac:dyDescent="0.2">
      <c r="B2876" s="32">
        <v>45877</v>
      </c>
      <c r="C2876" t="s">
        <v>142</v>
      </c>
      <c r="D2876" s="13" t="s">
        <v>634</v>
      </c>
      <c r="E2876" t="s">
        <v>468</v>
      </c>
      <c r="F2876" s="11">
        <v>1</v>
      </c>
      <c r="G2876" s="11">
        <v>37815.129999999997</v>
      </c>
    </row>
    <row r="2877" spans="2:7" x14ac:dyDescent="0.2">
      <c r="B2877" s="32">
        <v>45877</v>
      </c>
      <c r="C2877" t="s">
        <v>142</v>
      </c>
      <c r="D2877" s="13" t="s">
        <v>633</v>
      </c>
      <c r="E2877" t="s">
        <v>1780</v>
      </c>
      <c r="F2877" s="11">
        <v>1</v>
      </c>
      <c r="G2877" s="11">
        <v>226890.76</v>
      </c>
    </row>
    <row r="2878" spans="2:7" x14ac:dyDescent="0.2">
      <c r="B2878" s="32">
        <v>45877</v>
      </c>
      <c r="C2878" t="s">
        <v>142</v>
      </c>
      <c r="D2878" s="13" t="s">
        <v>633</v>
      </c>
      <c r="E2878" t="s">
        <v>1799</v>
      </c>
      <c r="F2878" s="11">
        <v>1</v>
      </c>
      <c r="G2878" s="11">
        <v>54621.85</v>
      </c>
    </row>
    <row r="2879" spans="2:7" x14ac:dyDescent="0.2">
      <c r="B2879" s="32">
        <v>45877</v>
      </c>
      <c r="C2879" t="s">
        <v>142</v>
      </c>
      <c r="D2879" s="13" t="s">
        <v>633</v>
      </c>
      <c r="E2879" t="s">
        <v>218</v>
      </c>
      <c r="F2879" s="11">
        <v>1</v>
      </c>
      <c r="G2879" s="11">
        <v>29411.759999999998</v>
      </c>
    </row>
    <row r="2880" spans="2:7" x14ac:dyDescent="0.2">
      <c r="B2880" s="32">
        <v>45877</v>
      </c>
      <c r="C2880" t="s">
        <v>142</v>
      </c>
      <c r="D2880" s="13" t="s">
        <v>633</v>
      </c>
      <c r="F2880" s="11">
        <v>0</v>
      </c>
      <c r="G2880" s="11">
        <v>0</v>
      </c>
    </row>
    <row r="2881" spans="2:7" x14ac:dyDescent="0.2">
      <c r="B2881" s="32">
        <v>45877</v>
      </c>
      <c r="C2881" t="s">
        <v>110</v>
      </c>
      <c r="D2881" s="13" t="s">
        <v>634</v>
      </c>
      <c r="E2881" t="s">
        <v>172</v>
      </c>
      <c r="F2881" s="11">
        <v>1</v>
      </c>
      <c r="G2881" s="11">
        <v>46218.49</v>
      </c>
    </row>
    <row r="2882" spans="2:7" x14ac:dyDescent="0.2">
      <c r="B2882" s="32">
        <v>45877</v>
      </c>
      <c r="C2882" t="s">
        <v>110</v>
      </c>
      <c r="D2882" s="13" t="s">
        <v>633</v>
      </c>
      <c r="E2882" t="s">
        <v>475</v>
      </c>
      <c r="F2882" s="11">
        <v>1</v>
      </c>
      <c r="G2882" s="11">
        <v>71428.570000000007</v>
      </c>
    </row>
    <row r="2883" spans="2:7" x14ac:dyDescent="0.2">
      <c r="B2883" s="32">
        <v>45877</v>
      </c>
      <c r="C2883" t="s">
        <v>110</v>
      </c>
      <c r="D2883" s="13" t="s">
        <v>633</v>
      </c>
      <c r="E2883" t="s">
        <v>258</v>
      </c>
      <c r="F2883" s="11">
        <v>1</v>
      </c>
      <c r="G2883" s="11">
        <v>54621.85</v>
      </c>
    </row>
    <row r="2884" spans="2:7" x14ac:dyDescent="0.2">
      <c r="B2884" s="32">
        <v>45877</v>
      </c>
      <c r="C2884" t="s">
        <v>110</v>
      </c>
      <c r="D2884" s="13" t="s">
        <v>633</v>
      </c>
      <c r="E2884" t="s">
        <v>151</v>
      </c>
      <c r="F2884" s="11">
        <v>1</v>
      </c>
      <c r="G2884" s="11">
        <v>46218.49</v>
      </c>
    </row>
    <row r="2885" spans="2:7" x14ac:dyDescent="0.2">
      <c r="B2885" s="32">
        <v>45877</v>
      </c>
      <c r="C2885" t="s">
        <v>109</v>
      </c>
      <c r="D2885" s="13" t="s">
        <v>634</v>
      </c>
      <c r="E2885" t="s">
        <v>1970</v>
      </c>
      <c r="F2885" s="11">
        <v>1</v>
      </c>
      <c r="G2885" s="11">
        <v>277310.92</v>
      </c>
    </row>
    <row r="2886" spans="2:7" x14ac:dyDescent="0.2">
      <c r="B2886" s="32">
        <v>45877</v>
      </c>
      <c r="C2886" t="s">
        <v>109</v>
      </c>
      <c r="D2886" s="13" t="s">
        <v>634</v>
      </c>
      <c r="E2886" t="s">
        <v>446</v>
      </c>
      <c r="F2886" s="11">
        <v>2</v>
      </c>
      <c r="G2886" s="11">
        <v>151260.5</v>
      </c>
    </row>
    <row r="2887" spans="2:7" x14ac:dyDescent="0.2">
      <c r="B2887" s="32">
        <v>45877</v>
      </c>
      <c r="C2887" t="s">
        <v>109</v>
      </c>
      <c r="D2887" s="13" t="s">
        <v>634</v>
      </c>
      <c r="E2887" t="s">
        <v>1740</v>
      </c>
      <c r="F2887" s="11">
        <v>1</v>
      </c>
      <c r="G2887" s="11">
        <v>142857.14000000001</v>
      </c>
    </row>
    <row r="2888" spans="2:7" x14ac:dyDescent="0.2">
      <c r="B2888" s="32">
        <v>45877</v>
      </c>
      <c r="C2888" t="s">
        <v>109</v>
      </c>
      <c r="D2888" s="13" t="s">
        <v>634</v>
      </c>
      <c r="E2888" t="s">
        <v>1971</v>
      </c>
      <c r="F2888" s="11">
        <v>2</v>
      </c>
      <c r="G2888" s="11">
        <v>100840.34</v>
      </c>
    </row>
    <row r="2889" spans="2:7" x14ac:dyDescent="0.2">
      <c r="B2889" s="32">
        <v>45877</v>
      </c>
      <c r="C2889" t="s">
        <v>109</v>
      </c>
      <c r="D2889" s="13" t="s">
        <v>634</v>
      </c>
      <c r="E2889" t="s">
        <v>271</v>
      </c>
      <c r="F2889" s="11">
        <v>1</v>
      </c>
      <c r="G2889" s="11">
        <v>84033.61</v>
      </c>
    </row>
    <row r="2890" spans="2:7" x14ac:dyDescent="0.2">
      <c r="B2890" s="32">
        <v>45877</v>
      </c>
      <c r="C2890" t="s">
        <v>109</v>
      </c>
      <c r="D2890" s="13" t="s">
        <v>634</v>
      </c>
      <c r="E2890" t="s">
        <v>1945</v>
      </c>
      <c r="F2890" s="11">
        <v>1</v>
      </c>
      <c r="G2890" s="11">
        <v>67226.89</v>
      </c>
    </row>
    <row r="2891" spans="2:7" x14ac:dyDescent="0.2">
      <c r="B2891" s="32">
        <v>45877</v>
      </c>
      <c r="C2891" t="s">
        <v>109</v>
      </c>
      <c r="D2891" s="13" t="s">
        <v>634</v>
      </c>
      <c r="E2891" t="s">
        <v>164</v>
      </c>
      <c r="F2891" s="11">
        <v>1</v>
      </c>
      <c r="G2891" s="11">
        <v>67226.89</v>
      </c>
    </row>
    <row r="2892" spans="2:7" x14ac:dyDescent="0.2">
      <c r="B2892" s="32">
        <v>45877</v>
      </c>
      <c r="C2892" t="s">
        <v>109</v>
      </c>
      <c r="D2892" s="13" t="s">
        <v>634</v>
      </c>
      <c r="E2892" t="s">
        <v>537</v>
      </c>
      <c r="F2892" s="11">
        <v>1</v>
      </c>
      <c r="G2892" s="11">
        <v>58823.53</v>
      </c>
    </row>
    <row r="2893" spans="2:7" x14ac:dyDescent="0.2">
      <c r="B2893" s="32">
        <v>45877</v>
      </c>
      <c r="C2893" t="s">
        <v>109</v>
      </c>
      <c r="D2893" s="13" t="s">
        <v>634</v>
      </c>
      <c r="E2893" t="s">
        <v>1924</v>
      </c>
      <c r="F2893" s="11">
        <v>1</v>
      </c>
      <c r="G2893" s="11">
        <v>58823.53</v>
      </c>
    </row>
    <row r="2894" spans="2:7" x14ac:dyDescent="0.2">
      <c r="B2894" s="32">
        <v>45877</v>
      </c>
      <c r="C2894" t="s">
        <v>109</v>
      </c>
      <c r="D2894" s="13" t="s">
        <v>634</v>
      </c>
      <c r="E2894" t="s">
        <v>539</v>
      </c>
      <c r="F2894" s="11">
        <v>1</v>
      </c>
      <c r="G2894" s="11">
        <v>50420.160000000003</v>
      </c>
    </row>
    <row r="2895" spans="2:7" x14ac:dyDescent="0.2">
      <c r="B2895" s="32">
        <v>45877</v>
      </c>
      <c r="C2895" t="s">
        <v>109</v>
      </c>
      <c r="D2895" s="13" t="s">
        <v>634</v>
      </c>
      <c r="E2895" t="s">
        <v>179</v>
      </c>
      <c r="F2895" s="11">
        <v>1</v>
      </c>
      <c r="G2895" s="11">
        <v>46218.49</v>
      </c>
    </row>
    <row r="2896" spans="2:7" x14ac:dyDescent="0.2">
      <c r="B2896" s="32">
        <v>45877</v>
      </c>
      <c r="C2896" t="s">
        <v>109</v>
      </c>
      <c r="D2896" s="13" t="s">
        <v>634</v>
      </c>
      <c r="E2896" t="s">
        <v>350</v>
      </c>
      <c r="F2896" s="11">
        <v>1</v>
      </c>
      <c r="G2896" s="11">
        <v>46218.49</v>
      </c>
    </row>
    <row r="2897" spans="2:7" x14ac:dyDescent="0.2">
      <c r="B2897" s="32">
        <v>45877</v>
      </c>
      <c r="C2897" t="s">
        <v>109</v>
      </c>
      <c r="D2897" s="13" t="s">
        <v>634</v>
      </c>
      <c r="E2897" t="s">
        <v>248</v>
      </c>
      <c r="F2897" s="11">
        <v>2</v>
      </c>
      <c r="G2897" s="11">
        <v>43697.48</v>
      </c>
    </row>
    <row r="2898" spans="2:7" x14ac:dyDescent="0.2">
      <c r="B2898" s="32">
        <v>45877</v>
      </c>
      <c r="C2898" t="s">
        <v>109</v>
      </c>
      <c r="D2898" s="13" t="s">
        <v>634</v>
      </c>
      <c r="E2898" t="s">
        <v>1963</v>
      </c>
      <c r="F2898" s="11">
        <v>1</v>
      </c>
      <c r="G2898" s="11">
        <v>42016.81</v>
      </c>
    </row>
    <row r="2899" spans="2:7" x14ac:dyDescent="0.2">
      <c r="B2899" s="32">
        <v>45877</v>
      </c>
      <c r="C2899" t="s">
        <v>109</v>
      </c>
      <c r="D2899" s="13" t="s">
        <v>634</v>
      </c>
      <c r="E2899" t="s">
        <v>1853</v>
      </c>
      <c r="F2899" s="11">
        <v>1</v>
      </c>
      <c r="G2899" s="11">
        <v>37815.129999999997</v>
      </c>
    </row>
    <row r="2900" spans="2:7" x14ac:dyDescent="0.2">
      <c r="B2900" s="32">
        <v>45877</v>
      </c>
      <c r="C2900" t="s">
        <v>109</v>
      </c>
      <c r="D2900" s="13" t="s">
        <v>634</v>
      </c>
      <c r="E2900" t="s">
        <v>522</v>
      </c>
      <c r="F2900" s="11">
        <v>1</v>
      </c>
      <c r="G2900" s="11">
        <v>35000</v>
      </c>
    </row>
    <row r="2901" spans="2:7" x14ac:dyDescent="0.2">
      <c r="B2901" s="32">
        <v>45877</v>
      </c>
      <c r="C2901" t="s">
        <v>109</v>
      </c>
      <c r="D2901" s="13" t="s">
        <v>633</v>
      </c>
      <c r="E2901" t="s">
        <v>352</v>
      </c>
      <c r="F2901" s="11">
        <v>1</v>
      </c>
      <c r="G2901" s="11">
        <v>67226.89</v>
      </c>
    </row>
    <row r="2902" spans="2:7" x14ac:dyDescent="0.2">
      <c r="B2902" s="32">
        <v>45877</v>
      </c>
      <c r="C2902" t="s">
        <v>109</v>
      </c>
      <c r="D2902" s="13" t="s">
        <v>633</v>
      </c>
      <c r="E2902" t="s">
        <v>164</v>
      </c>
      <c r="F2902" s="11">
        <v>1</v>
      </c>
      <c r="G2902" s="11">
        <v>67226.89</v>
      </c>
    </row>
    <row r="2903" spans="2:7" x14ac:dyDescent="0.2">
      <c r="B2903" s="32">
        <v>45877</v>
      </c>
      <c r="C2903" t="s">
        <v>109</v>
      </c>
      <c r="D2903" s="13" t="s">
        <v>633</v>
      </c>
      <c r="E2903" t="s">
        <v>282</v>
      </c>
      <c r="F2903" s="11">
        <v>1</v>
      </c>
      <c r="G2903" s="11">
        <v>58823.53</v>
      </c>
    </row>
    <row r="2904" spans="2:7" x14ac:dyDescent="0.2">
      <c r="B2904" s="32">
        <v>45877</v>
      </c>
      <c r="C2904" t="s">
        <v>109</v>
      </c>
      <c r="D2904" s="13" t="s">
        <v>633</v>
      </c>
      <c r="E2904" t="s">
        <v>751</v>
      </c>
      <c r="F2904" s="11">
        <v>1</v>
      </c>
      <c r="G2904" s="11">
        <v>58823.53</v>
      </c>
    </row>
    <row r="2905" spans="2:7" x14ac:dyDescent="0.2">
      <c r="B2905" s="32">
        <v>45877</v>
      </c>
      <c r="C2905" t="s">
        <v>109</v>
      </c>
      <c r="D2905" s="13" t="s">
        <v>633</v>
      </c>
      <c r="E2905" t="s">
        <v>500</v>
      </c>
      <c r="F2905" s="11">
        <v>1</v>
      </c>
      <c r="G2905" s="11">
        <v>58823.53</v>
      </c>
    </row>
    <row r="2906" spans="2:7" x14ac:dyDescent="0.2">
      <c r="B2906" s="32">
        <v>45877</v>
      </c>
      <c r="C2906" t="s">
        <v>109</v>
      </c>
      <c r="D2906" s="13" t="s">
        <v>633</v>
      </c>
      <c r="E2906" t="s">
        <v>447</v>
      </c>
      <c r="F2906" s="11">
        <v>1</v>
      </c>
      <c r="G2906" s="11">
        <v>58823.53</v>
      </c>
    </row>
    <row r="2907" spans="2:7" x14ac:dyDescent="0.2">
      <c r="B2907" s="32">
        <v>45877</v>
      </c>
      <c r="C2907" t="s">
        <v>109</v>
      </c>
      <c r="D2907" s="13" t="s">
        <v>633</v>
      </c>
      <c r="E2907" t="s">
        <v>150</v>
      </c>
      <c r="F2907" s="11">
        <v>1</v>
      </c>
      <c r="G2907" s="11">
        <v>42016.81</v>
      </c>
    </row>
    <row r="2908" spans="2:7" x14ac:dyDescent="0.2">
      <c r="B2908" s="32">
        <v>45877</v>
      </c>
      <c r="C2908" t="s">
        <v>109</v>
      </c>
      <c r="D2908" s="13" t="s">
        <v>633</v>
      </c>
      <c r="E2908" t="s">
        <v>166</v>
      </c>
      <c r="F2908" s="11">
        <v>1</v>
      </c>
      <c r="G2908" s="11">
        <v>42016.81</v>
      </c>
    </row>
    <row r="2909" spans="2:7" x14ac:dyDescent="0.2">
      <c r="B2909" s="32">
        <v>45877</v>
      </c>
      <c r="C2909" t="s">
        <v>109</v>
      </c>
      <c r="D2909" s="13" t="s">
        <v>633</v>
      </c>
      <c r="E2909" t="s">
        <v>1813</v>
      </c>
      <c r="F2909" s="11">
        <v>1</v>
      </c>
      <c r="G2909" s="11">
        <v>21848.74</v>
      </c>
    </row>
    <row r="2910" spans="2:7" x14ac:dyDescent="0.2">
      <c r="B2910" s="32">
        <v>45878</v>
      </c>
      <c r="C2910" t="s">
        <v>142</v>
      </c>
      <c r="D2910" s="13"/>
      <c r="E2910" t="s">
        <v>670</v>
      </c>
      <c r="F2910" s="11">
        <v>0</v>
      </c>
      <c r="G2910" s="11">
        <v>0</v>
      </c>
    </row>
    <row r="2911" spans="2:7" x14ac:dyDescent="0.2">
      <c r="B2911" s="32">
        <v>45878</v>
      </c>
      <c r="C2911" t="s">
        <v>142</v>
      </c>
      <c r="D2911" s="13" t="s">
        <v>634</v>
      </c>
      <c r="E2911" t="s">
        <v>239</v>
      </c>
      <c r="F2911" s="11">
        <v>4</v>
      </c>
      <c r="G2911" s="11">
        <v>184873.95</v>
      </c>
    </row>
    <row r="2912" spans="2:7" x14ac:dyDescent="0.2">
      <c r="B2912" s="32">
        <v>45878</v>
      </c>
      <c r="C2912" t="s">
        <v>142</v>
      </c>
      <c r="D2912" s="13" t="s">
        <v>634</v>
      </c>
      <c r="E2912" t="s">
        <v>1811</v>
      </c>
      <c r="F2912" s="11">
        <v>1</v>
      </c>
      <c r="G2912" s="11">
        <v>151260.5</v>
      </c>
    </row>
    <row r="2913" spans="2:7" x14ac:dyDescent="0.2">
      <c r="B2913" s="32">
        <v>45878</v>
      </c>
      <c r="C2913" t="s">
        <v>142</v>
      </c>
      <c r="D2913" s="13" t="s">
        <v>634</v>
      </c>
      <c r="E2913" t="s">
        <v>203</v>
      </c>
      <c r="F2913" s="11">
        <v>1</v>
      </c>
      <c r="G2913" s="11">
        <v>42016.81</v>
      </c>
    </row>
    <row r="2914" spans="2:7" x14ac:dyDescent="0.2">
      <c r="B2914" s="32">
        <v>45878</v>
      </c>
      <c r="C2914" t="s">
        <v>142</v>
      </c>
      <c r="D2914" s="13" t="s">
        <v>634</v>
      </c>
      <c r="E2914" t="s">
        <v>166</v>
      </c>
      <c r="F2914" s="11">
        <v>1</v>
      </c>
      <c r="G2914" s="11">
        <v>42016.81</v>
      </c>
    </row>
    <row r="2915" spans="2:7" x14ac:dyDescent="0.2">
      <c r="B2915" s="32">
        <v>45878</v>
      </c>
      <c r="C2915" t="s">
        <v>142</v>
      </c>
      <c r="D2915" s="13" t="s">
        <v>634</v>
      </c>
      <c r="F2915" s="11">
        <v>0</v>
      </c>
      <c r="G2915" s="11">
        <v>0</v>
      </c>
    </row>
    <row r="2916" spans="2:7" x14ac:dyDescent="0.2">
      <c r="B2916" s="32">
        <v>45878</v>
      </c>
      <c r="C2916" t="s">
        <v>142</v>
      </c>
      <c r="D2916" s="13" t="s">
        <v>633</v>
      </c>
      <c r="E2916" t="s">
        <v>1972</v>
      </c>
      <c r="F2916" s="11">
        <v>2</v>
      </c>
      <c r="G2916" s="11">
        <v>117647.06</v>
      </c>
    </row>
    <row r="2917" spans="2:7" x14ac:dyDescent="0.2">
      <c r="B2917" s="32">
        <v>45878</v>
      </c>
      <c r="C2917" t="s">
        <v>142</v>
      </c>
      <c r="D2917" s="13" t="s">
        <v>633</v>
      </c>
      <c r="E2917" t="s">
        <v>205</v>
      </c>
      <c r="F2917" s="11">
        <v>1</v>
      </c>
      <c r="G2917" s="11">
        <v>58823.53</v>
      </c>
    </row>
    <row r="2918" spans="2:7" x14ac:dyDescent="0.2">
      <c r="B2918" s="32">
        <v>45878</v>
      </c>
      <c r="C2918" t="s">
        <v>142</v>
      </c>
      <c r="D2918" s="13" t="s">
        <v>633</v>
      </c>
      <c r="E2918" t="s">
        <v>831</v>
      </c>
      <c r="F2918" s="11">
        <v>1</v>
      </c>
      <c r="G2918" s="11">
        <v>0.84</v>
      </c>
    </row>
    <row r="2919" spans="2:7" x14ac:dyDescent="0.2">
      <c r="B2919" s="32">
        <v>45878</v>
      </c>
      <c r="C2919" t="s">
        <v>142</v>
      </c>
      <c r="D2919" s="13" t="s">
        <v>633</v>
      </c>
      <c r="F2919" s="11">
        <v>0</v>
      </c>
      <c r="G2919" s="11">
        <v>0</v>
      </c>
    </row>
    <row r="2920" spans="2:7" x14ac:dyDescent="0.2">
      <c r="B2920" s="32">
        <v>45878</v>
      </c>
      <c r="C2920" t="s">
        <v>109</v>
      </c>
      <c r="D2920" s="13" t="s">
        <v>634</v>
      </c>
      <c r="E2920" t="s">
        <v>602</v>
      </c>
      <c r="F2920" s="11">
        <v>1</v>
      </c>
      <c r="G2920" s="11">
        <v>126050.42</v>
      </c>
    </row>
    <row r="2921" spans="2:7" x14ac:dyDescent="0.2">
      <c r="B2921" s="32">
        <v>45878</v>
      </c>
      <c r="C2921" t="s">
        <v>109</v>
      </c>
      <c r="D2921" s="13" t="s">
        <v>634</v>
      </c>
      <c r="E2921" t="s">
        <v>420</v>
      </c>
      <c r="F2921" s="11">
        <v>1</v>
      </c>
      <c r="G2921" s="11">
        <v>96638.66</v>
      </c>
    </row>
    <row r="2922" spans="2:7" x14ac:dyDescent="0.2">
      <c r="B2922" s="32">
        <v>45878</v>
      </c>
      <c r="C2922" t="s">
        <v>109</v>
      </c>
      <c r="D2922" s="13" t="s">
        <v>634</v>
      </c>
      <c r="E2922" t="s">
        <v>172</v>
      </c>
      <c r="F2922" s="11">
        <v>1</v>
      </c>
      <c r="G2922" s="11">
        <v>46218.49</v>
      </c>
    </row>
    <row r="2923" spans="2:7" x14ac:dyDescent="0.2">
      <c r="B2923" s="32">
        <v>45878</v>
      </c>
      <c r="C2923" t="s">
        <v>109</v>
      </c>
      <c r="D2923" s="13" t="s">
        <v>634</v>
      </c>
      <c r="E2923" t="s">
        <v>704</v>
      </c>
      <c r="F2923" s="11">
        <v>1</v>
      </c>
      <c r="G2923" s="11">
        <v>46218.49</v>
      </c>
    </row>
    <row r="2924" spans="2:7" x14ac:dyDescent="0.2">
      <c r="B2924" s="32">
        <v>45878</v>
      </c>
      <c r="C2924" t="s">
        <v>109</v>
      </c>
      <c r="D2924" s="13" t="s">
        <v>634</v>
      </c>
      <c r="E2924" t="s">
        <v>1896</v>
      </c>
      <c r="F2924" s="11">
        <v>1</v>
      </c>
      <c r="G2924" s="11">
        <v>46218.48</v>
      </c>
    </row>
    <row r="2925" spans="2:7" x14ac:dyDescent="0.2">
      <c r="B2925" s="32">
        <v>45878</v>
      </c>
      <c r="C2925" t="s">
        <v>109</v>
      </c>
      <c r="D2925" s="13" t="s">
        <v>634</v>
      </c>
      <c r="E2925" t="s">
        <v>158</v>
      </c>
      <c r="F2925" s="11">
        <v>1</v>
      </c>
      <c r="G2925" s="11">
        <v>46218.48</v>
      </c>
    </row>
    <row r="2926" spans="2:7" x14ac:dyDescent="0.2">
      <c r="B2926" s="32">
        <v>45878</v>
      </c>
      <c r="C2926" t="s">
        <v>109</v>
      </c>
      <c r="D2926" s="13" t="s">
        <v>634</v>
      </c>
      <c r="E2926" t="s">
        <v>1963</v>
      </c>
      <c r="F2926" s="11">
        <v>1</v>
      </c>
      <c r="G2926" s="11">
        <v>42016.81</v>
      </c>
    </row>
    <row r="2927" spans="2:7" x14ac:dyDescent="0.2">
      <c r="B2927" s="32">
        <v>45878</v>
      </c>
      <c r="C2927" t="s">
        <v>109</v>
      </c>
      <c r="D2927" s="13" t="s">
        <v>634</v>
      </c>
      <c r="E2927" t="s">
        <v>153</v>
      </c>
      <c r="F2927" s="11">
        <v>1</v>
      </c>
      <c r="G2927" s="11">
        <v>42016.81</v>
      </c>
    </row>
    <row r="2928" spans="2:7" x14ac:dyDescent="0.2">
      <c r="B2928" s="32">
        <v>45878</v>
      </c>
      <c r="C2928" t="s">
        <v>109</v>
      </c>
      <c r="D2928" s="13" t="s">
        <v>634</v>
      </c>
      <c r="E2928" t="s">
        <v>150</v>
      </c>
      <c r="F2928" s="11">
        <v>1</v>
      </c>
      <c r="G2928" s="11">
        <v>42016.81</v>
      </c>
    </row>
    <row r="2929" spans="2:7" x14ac:dyDescent="0.2">
      <c r="B2929" s="32">
        <v>45878</v>
      </c>
      <c r="C2929" t="s">
        <v>109</v>
      </c>
      <c r="D2929" s="13" t="s">
        <v>634</v>
      </c>
      <c r="E2929" t="s">
        <v>168</v>
      </c>
      <c r="F2929" s="11">
        <v>1</v>
      </c>
      <c r="G2929" s="11">
        <v>42016.81</v>
      </c>
    </row>
    <row r="2930" spans="2:7" x14ac:dyDescent="0.2">
      <c r="B2930" s="32">
        <v>45878</v>
      </c>
      <c r="C2930" t="s">
        <v>109</v>
      </c>
      <c r="D2930" s="13" t="s">
        <v>634</v>
      </c>
      <c r="E2930" t="s">
        <v>328</v>
      </c>
      <c r="F2930" s="11">
        <v>1</v>
      </c>
      <c r="G2930" s="11">
        <v>37815.129999999997</v>
      </c>
    </row>
    <row r="2931" spans="2:7" x14ac:dyDescent="0.2">
      <c r="B2931" s="32">
        <v>45878</v>
      </c>
      <c r="C2931" t="s">
        <v>109</v>
      </c>
      <c r="D2931" s="13" t="s">
        <v>634</v>
      </c>
      <c r="E2931" t="s">
        <v>144</v>
      </c>
      <c r="F2931" s="11">
        <v>1</v>
      </c>
      <c r="G2931" s="11">
        <v>35294.120000000003</v>
      </c>
    </row>
    <row r="2932" spans="2:7" x14ac:dyDescent="0.2">
      <c r="B2932" s="32">
        <v>45878</v>
      </c>
      <c r="C2932" t="s">
        <v>109</v>
      </c>
      <c r="D2932" s="13" t="s">
        <v>633</v>
      </c>
      <c r="E2932" t="s">
        <v>149</v>
      </c>
      <c r="F2932" s="11">
        <v>1</v>
      </c>
      <c r="G2932" s="11">
        <v>67226.899999999994</v>
      </c>
    </row>
    <row r="2933" spans="2:7" x14ac:dyDescent="0.2">
      <c r="B2933" s="32">
        <v>45878</v>
      </c>
      <c r="C2933" t="s">
        <v>109</v>
      </c>
      <c r="D2933" s="13" t="s">
        <v>633</v>
      </c>
      <c r="E2933" t="s">
        <v>246</v>
      </c>
      <c r="F2933" s="11">
        <v>1</v>
      </c>
      <c r="G2933" s="11">
        <v>42016.81</v>
      </c>
    </row>
    <row r="2934" spans="2:7" x14ac:dyDescent="0.2">
      <c r="B2934" s="32">
        <v>45878</v>
      </c>
      <c r="C2934" t="s">
        <v>109</v>
      </c>
      <c r="D2934" s="13" t="s">
        <v>633</v>
      </c>
      <c r="E2934" t="s">
        <v>1834</v>
      </c>
      <c r="F2934" s="11">
        <v>1</v>
      </c>
      <c r="G2934" s="11">
        <v>42016.800000000003</v>
      </c>
    </row>
    <row r="2935" spans="2:7" x14ac:dyDescent="0.2">
      <c r="B2935" s="32">
        <v>45878</v>
      </c>
      <c r="C2935" t="s">
        <v>109</v>
      </c>
      <c r="D2935" s="13" t="s">
        <v>633</v>
      </c>
      <c r="E2935" t="s">
        <v>144</v>
      </c>
      <c r="F2935" s="11">
        <v>2</v>
      </c>
      <c r="G2935" s="11">
        <v>33193.269999999997</v>
      </c>
    </row>
    <row r="2936" spans="2:7" x14ac:dyDescent="0.2">
      <c r="B2936" s="32">
        <v>45879</v>
      </c>
      <c r="C2936" t="s">
        <v>142</v>
      </c>
      <c r="D2936" s="13" t="s">
        <v>634</v>
      </c>
      <c r="E2936" t="s">
        <v>207</v>
      </c>
      <c r="F2936" s="11">
        <v>1</v>
      </c>
      <c r="G2936" s="11">
        <v>96638.66</v>
      </c>
    </row>
    <row r="2937" spans="2:7" x14ac:dyDescent="0.2">
      <c r="B2937" s="32">
        <v>45879</v>
      </c>
      <c r="C2937" t="s">
        <v>142</v>
      </c>
      <c r="D2937" s="13" t="s">
        <v>634</v>
      </c>
      <c r="E2937" t="s">
        <v>172</v>
      </c>
      <c r="F2937" s="11">
        <v>1</v>
      </c>
      <c r="G2937" s="11">
        <v>46218.49</v>
      </c>
    </row>
    <row r="2938" spans="2:7" x14ac:dyDescent="0.2">
      <c r="B2938" s="32">
        <v>45879</v>
      </c>
      <c r="C2938" t="s">
        <v>142</v>
      </c>
      <c r="D2938" s="13" t="s">
        <v>634</v>
      </c>
      <c r="F2938" s="11">
        <v>0</v>
      </c>
      <c r="G2938" s="11">
        <v>0</v>
      </c>
    </row>
    <row r="2939" spans="2:7" x14ac:dyDescent="0.2">
      <c r="B2939" s="32">
        <v>45879</v>
      </c>
      <c r="C2939" t="s">
        <v>142</v>
      </c>
      <c r="D2939" s="13" t="s">
        <v>633</v>
      </c>
      <c r="E2939" t="s">
        <v>817</v>
      </c>
      <c r="F2939" s="11">
        <v>1</v>
      </c>
      <c r="G2939" s="11">
        <v>130252.1</v>
      </c>
    </row>
    <row r="2940" spans="2:7" x14ac:dyDescent="0.2">
      <c r="B2940" s="32">
        <v>45879</v>
      </c>
      <c r="C2940" t="s">
        <v>142</v>
      </c>
      <c r="D2940" s="13" t="s">
        <v>633</v>
      </c>
      <c r="E2940" t="s">
        <v>691</v>
      </c>
      <c r="F2940" s="11">
        <v>1</v>
      </c>
      <c r="G2940" s="11">
        <v>79831.94</v>
      </c>
    </row>
    <row r="2941" spans="2:7" x14ac:dyDescent="0.2">
      <c r="B2941" s="32">
        <v>45879</v>
      </c>
      <c r="C2941" t="s">
        <v>142</v>
      </c>
      <c r="D2941" s="13" t="s">
        <v>633</v>
      </c>
      <c r="E2941" t="s">
        <v>249</v>
      </c>
      <c r="F2941" s="11">
        <v>1</v>
      </c>
      <c r="G2941" s="11">
        <v>79831.929999999993</v>
      </c>
    </row>
    <row r="2942" spans="2:7" x14ac:dyDescent="0.2">
      <c r="B2942" s="32">
        <v>45879</v>
      </c>
      <c r="C2942" t="s">
        <v>142</v>
      </c>
      <c r="D2942" s="13" t="s">
        <v>633</v>
      </c>
      <c r="E2942" t="s">
        <v>1814</v>
      </c>
      <c r="F2942" s="11">
        <v>1</v>
      </c>
      <c r="G2942" s="11">
        <v>79831.929999999993</v>
      </c>
    </row>
    <row r="2943" spans="2:7" x14ac:dyDescent="0.2">
      <c r="B2943" s="32">
        <v>45879</v>
      </c>
      <c r="C2943" t="s">
        <v>142</v>
      </c>
      <c r="D2943" s="13" t="s">
        <v>633</v>
      </c>
      <c r="E2943" t="s">
        <v>567</v>
      </c>
      <c r="F2943" s="11">
        <v>1</v>
      </c>
      <c r="G2943" s="11">
        <v>0</v>
      </c>
    </row>
    <row r="2944" spans="2:7" x14ac:dyDescent="0.2">
      <c r="B2944" s="32">
        <v>45879</v>
      </c>
      <c r="C2944" t="s">
        <v>142</v>
      </c>
      <c r="D2944" s="13" t="s">
        <v>633</v>
      </c>
      <c r="F2944" s="11">
        <v>0</v>
      </c>
      <c r="G2944" s="11">
        <v>0</v>
      </c>
    </row>
    <row r="2945" spans="2:7" x14ac:dyDescent="0.2">
      <c r="B2945" s="32">
        <v>45879</v>
      </c>
      <c r="C2945" t="s">
        <v>109</v>
      </c>
      <c r="D2945" s="13" t="s">
        <v>634</v>
      </c>
      <c r="E2945" t="s">
        <v>809</v>
      </c>
      <c r="F2945" s="11">
        <v>1</v>
      </c>
      <c r="G2945" s="11">
        <v>58823.53</v>
      </c>
    </row>
    <row r="2946" spans="2:7" x14ac:dyDescent="0.2">
      <c r="B2946" s="32">
        <v>45879</v>
      </c>
      <c r="C2946" t="s">
        <v>109</v>
      </c>
      <c r="D2946" s="13" t="s">
        <v>634</v>
      </c>
      <c r="F2946" s="11">
        <v>1</v>
      </c>
      <c r="G2946" s="11">
        <v>46218.49</v>
      </c>
    </row>
    <row r="2947" spans="2:7" x14ac:dyDescent="0.2">
      <c r="B2947" s="32">
        <v>45879</v>
      </c>
      <c r="C2947" t="s">
        <v>109</v>
      </c>
      <c r="D2947" s="13" t="s">
        <v>634</v>
      </c>
      <c r="E2947" t="s">
        <v>1813</v>
      </c>
      <c r="F2947" s="11">
        <v>1</v>
      </c>
      <c r="G2947" s="11">
        <v>21848.74</v>
      </c>
    </row>
    <row r="2948" spans="2:7" x14ac:dyDescent="0.2">
      <c r="B2948" s="32">
        <v>45879</v>
      </c>
      <c r="C2948" t="s">
        <v>109</v>
      </c>
      <c r="D2948" s="13" t="s">
        <v>633</v>
      </c>
      <c r="E2948" t="s">
        <v>477</v>
      </c>
      <c r="F2948" s="11">
        <v>2</v>
      </c>
      <c r="G2948" s="11">
        <v>117647.06</v>
      </c>
    </row>
    <row r="2949" spans="2:7" x14ac:dyDescent="0.2">
      <c r="B2949" s="32">
        <v>45879</v>
      </c>
      <c r="C2949" t="s">
        <v>109</v>
      </c>
      <c r="D2949" s="13" t="s">
        <v>633</v>
      </c>
      <c r="E2949" t="s">
        <v>1915</v>
      </c>
      <c r="F2949" s="11">
        <v>1</v>
      </c>
      <c r="G2949" s="11">
        <v>58823.53</v>
      </c>
    </row>
    <row r="2950" spans="2:7" x14ac:dyDescent="0.2">
      <c r="B2950" s="32">
        <v>45879</v>
      </c>
      <c r="C2950" t="s">
        <v>109</v>
      </c>
      <c r="D2950" s="13" t="s">
        <v>633</v>
      </c>
      <c r="E2950" t="s">
        <v>553</v>
      </c>
      <c r="F2950" s="11">
        <v>1</v>
      </c>
      <c r="G2950" s="11">
        <v>58823.53</v>
      </c>
    </row>
    <row r="2951" spans="2:7" x14ac:dyDescent="0.2">
      <c r="B2951" s="32">
        <v>45879</v>
      </c>
      <c r="C2951" t="s">
        <v>109</v>
      </c>
      <c r="D2951" s="13" t="s">
        <v>633</v>
      </c>
      <c r="E2951" t="s">
        <v>307</v>
      </c>
      <c r="F2951" s="11">
        <v>1</v>
      </c>
      <c r="G2951" s="11">
        <v>50420.17</v>
      </c>
    </row>
    <row r="2952" spans="2:7" x14ac:dyDescent="0.2">
      <c r="B2952" s="32">
        <v>45879</v>
      </c>
      <c r="C2952" t="s">
        <v>109</v>
      </c>
      <c r="D2952" s="13" t="s">
        <v>633</v>
      </c>
      <c r="E2952" t="s">
        <v>309</v>
      </c>
      <c r="F2952" s="11">
        <v>1</v>
      </c>
      <c r="G2952" s="11">
        <v>42016.81</v>
      </c>
    </row>
    <row r="2953" spans="2:7" x14ac:dyDescent="0.2">
      <c r="B2953" s="32">
        <v>45880</v>
      </c>
      <c r="C2953" t="s">
        <v>142</v>
      </c>
      <c r="D2953" s="13" t="s">
        <v>634</v>
      </c>
      <c r="E2953" t="s">
        <v>393</v>
      </c>
      <c r="F2953" s="11">
        <v>2</v>
      </c>
      <c r="G2953" s="11">
        <v>159663.87</v>
      </c>
    </row>
    <row r="2954" spans="2:7" x14ac:dyDescent="0.2">
      <c r="B2954" s="32">
        <v>45880</v>
      </c>
      <c r="C2954" t="s">
        <v>142</v>
      </c>
      <c r="D2954" s="13" t="s">
        <v>634</v>
      </c>
      <c r="E2954" t="s">
        <v>169</v>
      </c>
      <c r="F2954" s="11">
        <v>1</v>
      </c>
      <c r="G2954" s="11">
        <v>96638.66</v>
      </c>
    </row>
    <row r="2955" spans="2:7" x14ac:dyDescent="0.2">
      <c r="B2955" s="32">
        <v>45880</v>
      </c>
      <c r="C2955" t="s">
        <v>142</v>
      </c>
      <c r="D2955" s="13" t="s">
        <v>634</v>
      </c>
      <c r="E2955" t="s">
        <v>313</v>
      </c>
      <c r="F2955" s="11">
        <v>1</v>
      </c>
      <c r="G2955" s="11">
        <v>96638.66</v>
      </c>
    </row>
    <row r="2956" spans="2:7" x14ac:dyDescent="0.2">
      <c r="B2956" s="32">
        <v>45880</v>
      </c>
      <c r="C2956" t="s">
        <v>142</v>
      </c>
      <c r="D2956" s="13" t="s">
        <v>634</v>
      </c>
      <c r="E2956" t="s">
        <v>1749</v>
      </c>
      <c r="F2956" s="11">
        <v>2</v>
      </c>
      <c r="G2956" s="11">
        <v>92436.97</v>
      </c>
    </row>
    <row r="2957" spans="2:7" x14ac:dyDescent="0.2">
      <c r="B2957" s="32">
        <v>45880</v>
      </c>
      <c r="C2957" t="s">
        <v>142</v>
      </c>
      <c r="D2957" s="13" t="s">
        <v>634</v>
      </c>
      <c r="E2957" t="s">
        <v>210</v>
      </c>
      <c r="F2957" s="11">
        <v>2</v>
      </c>
      <c r="G2957" s="11">
        <v>92436.97</v>
      </c>
    </row>
    <row r="2958" spans="2:7" x14ac:dyDescent="0.2">
      <c r="B2958" s="32">
        <v>45880</v>
      </c>
      <c r="C2958" t="s">
        <v>142</v>
      </c>
      <c r="D2958" s="13" t="s">
        <v>634</v>
      </c>
      <c r="E2958" t="s">
        <v>176</v>
      </c>
      <c r="F2958" s="11">
        <v>1</v>
      </c>
      <c r="G2958" s="11">
        <v>58823.53</v>
      </c>
    </row>
    <row r="2959" spans="2:7" x14ac:dyDescent="0.2">
      <c r="B2959" s="32">
        <v>45880</v>
      </c>
      <c r="C2959" t="s">
        <v>142</v>
      </c>
      <c r="D2959" s="13" t="s">
        <v>634</v>
      </c>
      <c r="E2959" t="s">
        <v>500</v>
      </c>
      <c r="F2959" s="11">
        <v>1</v>
      </c>
      <c r="G2959" s="11">
        <v>58823.53</v>
      </c>
    </row>
    <row r="2960" spans="2:7" x14ac:dyDescent="0.2">
      <c r="B2960" s="32">
        <v>45880</v>
      </c>
      <c r="C2960" t="s">
        <v>142</v>
      </c>
      <c r="D2960" s="13" t="s">
        <v>634</v>
      </c>
      <c r="F2960" s="11">
        <v>6</v>
      </c>
      <c r="G2960" s="11">
        <v>32773.11</v>
      </c>
    </row>
    <row r="2961" spans="2:7" x14ac:dyDescent="0.2">
      <c r="B2961" s="32">
        <v>45880</v>
      </c>
      <c r="C2961" t="s">
        <v>142</v>
      </c>
      <c r="D2961" s="13" t="s">
        <v>633</v>
      </c>
      <c r="E2961" t="s">
        <v>1744</v>
      </c>
      <c r="F2961" s="11">
        <v>1</v>
      </c>
      <c r="G2961" s="11">
        <v>58823.53</v>
      </c>
    </row>
    <row r="2962" spans="2:7" x14ac:dyDescent="0.2">
      <c r="B2962" s="32">
        <v>45880</v>
      </c>
      <c r="C2962" t="s">
        <v>142</v>
      </c>
      <c r="D2962" s="13" t="s">
        <v>633</v>
      </c>
      <c r="E2962" t="s">
        <v>331</v>
      </c>
      <c r="F2962" s="11">
        <v>1</v>
      </c>
      <c r="G2962" s="11">
        <v>58823.53</v>
      </c>
    </row>
    <row r="2963" spans="2:7" x14ac:dyDescent="0.2">
      <c r="B2963" s="32">
        <v>45880</v>
      </c>
      <c r="C2963" t="s">
        <v>142</v>
      </c>
      <c r="D2963" s="13" t="s">
        <v>633</v>
      </c>
      <c r="E2963" t="s">
        <v>525</v>
      </c>
      <c r="F2963" s="11">
        <v>1</v>
      </c>
      <c r="G2963" s="11">
        <v>58823.53</v>
      </c>
    </row>
    <row r="2964" spans="2:7" x14ac:dyDescent="0.2">
      <c r="B2964" s="32">
        <v>45880</v>
      </c>
      <c r="C2964" t="s">
        <v>142</v>
      </c>
      <c r="D2964" s="13" t="s">
        <v>633</v>
      </c>
      <c r="E2964" t="s">
        <v>233</v>
      </c>
      <c r="F2964" s="11">
        <v>1</v>
      </c>
      <c r="G2964" s="11">
        <v>58823.53</v>
      </c>
    </row>
    <row r="2965" spans="2:7" x14ac:dyDescent="0.2">
      <c r="B2965" s="32">
        <v>45880</v>
      </c>
      <c r="C2965" t="s">
        <v>142</v>
      </c>
      <c r="D2965" s="13" t="s">
        <v>633</v>
      </c>
      <c r="E2965" t="s">
        <v>446</v>
      </c>
      <c r="F2965" s="11">
        <v>1</v>
      </c>
      <c r="G2965" s="11">
        <v>50420.17</v>
      </c>
    </row>
    <row r="2966" spans="2:7" x14ac:dyDescent="0.2">
      <c r="B2966" s="32">
        <v>45880</v>
      </c>
      <c r="C2966" t="s">
        <v>142</v>
      </c>
      <c r="D2966" s="13" t="s">
        <v>633</v>
      </c>
      <c r="E2966" t="s">
        <v>198</v>
      </c>
      <c r="F2966" s="11">
        <v>1</v>
      </c>
      <c r="G2966" s="11">
        <v>46218.49</v>
      </c>
    </row>
    <row r="2967" spans="2:7" x14ac:dyDescent="0.2">
      <c r="B2967" s="32">
        <v>45880</v>
      </c>
      <c r="C2967" t="s">
        <v>142</v>
      </c>
      <c r="D2967" s="13" t="s">
        <v>633</v>
      </c>
      <c r="E2967" t="s">
        <v>540</v>
      </c>
      <c r="F2967" s="11">
        <v>1</v>
      </c>
      <c r="G2967" s="11">
        <v>46218.49</v>
      </c>
    </row>
    <row r="2968" spans="2:7" x14ac:dyDescent="0.2">
      <c r="B2968" s="32">
        <v>45880</v>
      </c>
      <c r="C2968" t="s">
        <v>142</v>
      </c>
      <c r="D2968" s="13" t="s">
        <v>633</v>
      </c>
      <c r="E2968" t="s">
        <v>392</v>
      </c>
      <c r="F2968" s="11">
        <v>1</v>
      </c>
      <c r="G2968" s="11">
        <v>46218.48</v>
      </c>
    </row>
    <row r="2969" spans="2:7" x14ac:dyDescent="0.2">
      <c r="B2969" s="32">
        <v>45880</v>
      </c>
      <c r="C2969" t="s">
        <v>142</v>
      </c>
      <c r="D2969" s="13" t="s">
        <v>633</v>
      </c>
      <c r="E2969" t="s">
        <v>144</v>
      </c>
      <c r="F2969" s="11">
        <v>2</v>
      </c>
      <c r="G2969" s="11">
        <v>7563.03</v>
      </c>
    </row>
    <row r="2970" spans="2:7" x14ac:dyDescent="0.2">
      <c r="B2970" s="32">
        <v>45880</v>
      </c>
      <c r="C2970" t="s">
        <v>142</v>
      </c>
      <c r="D2970" s="13" t="s">
        <v>633</v>
      </c>
      <c r="E2970" t="s">
        <v>831</v>
      </c>
      <c r="F2970" s="11">
        <v>2</v>
      </c>
      <c r="G2970" s="11">
        <v>1.68</v>
      </c>
    </row>
    <row r="2971" spans="2:7" x14ac:dyDescent="0.2">
      <c r="B2971" s="32">
        <v>45880</v>
      </c>
      <c r="C2971" t="s">
        <v>142</v>
      </c>
      <c r="D2971" s="13" t="s">
        <v>633</v>
      </c>
      <c r="F2971" s="11">
        <v>0</v>
      </c>
      <c r="G2971" s="11">
        <v>0</v>
      </c>
    </row>
    <row r="2972" spans="2:7" x14ac:dyDescent="0.2">
      <c r="B2972" s="32">
        <v>45880</v>
      </c>
      <c r="C2972" t="s">
        <v>110</v>
      </c>
      <c r="D2972" s="13" t="s">
        <v>634</v>
      </c>
      <c r="E2972" t="s">
        <v>1811</v>
      </c>
      <c r="F2972" s="11">
        <v>1</v>
      </c>
      <c r="G2972" s="11">
        <v>151260.5</v>
      </c>
    </row>
    <row r="2973" spans="2:7" x14ac:dyDescent="0.2">
      <c r="B2973" s="32">
        <v>45880</v>
      </c>
      <c r="C2973" t="s">
        <v>110</v>
      </c>
      <c r="D2973" s="13" t="s">
        <v>634</v>
      </c>
      <c r="E2973" t="s">
        <v>151</v>
      </c>
      <c r="F2973" s="11">
        <v>2</v>
      </c>
      <c r="G2973" s="11">
        <v>92436.97</v>
      </c>
    </row>
    <row r="2974" spans="2:7" x14ac:dyDescent="0.2">
      <c r="B2974" s="32">
        <v>45880</v>
      </c>
      <c r="C2974" t="s">
        <v>110</v>
      </c>
      <c r="D2974" s="13" t="s">
        <v>634</v>
      </c>
      <c r="E2974" t="s">
        <v>534</v>
      </c>
      <c r="F2974" s="11">
        <v>1</v>
      </c>
      <c r="G2974" s="11">
        <v>71428.58</v>
      </c>
    </row>
    <row r="2975" spans="2:7" x14ac:dyDescent="0.2">
      <c r="B2975" s="32">
        <v>45880</v>
      </c>
      <c r="C2975" t="s">
        <v>110</v>
      </c>
      <c r="D2975" s="13" t="s">
        <v>634</v>
      </c>
      <c r="E2975" t="s">
        <v>198</v>
      </c>
      <c r="F2975" s="11">
        <v>1</v>
      </c>
      <c r="G2975" s="11">
        <v>46218.49</v>
      </c>
    </row>
    <row r="2976" spans="2:7" x14ac:dyDescent="0.2">
      <c r="B2976" s="32">
        <v>45880</v>
      </c>
      <c r="C2976" t="s">
        <v>110</v>
      </c>
      <c r="D2976" s="13" t="s">
        <v>633</v>
      </c>
      <c r="E2976" t="s">
        <v>348</v>
      </c>
      <c r="F2976" s="11">
        <v>1</v>
      </c>
      <c r="G2976" s="11">
        <v>54621.85</v>
      </c>
    </row>
    <row r="2977" spans="2:7" x14ac:dyDescent="0.2">
      <c r="B2977" s="32">
        <v>45880</v>
      </c>
      <c r="C2977" t="s">
        <v>1739</v>
      </c>
      <c r="D2977" s="13" t="s">
        <v>633</v>
      </c>
      <c r="E2977" t="s">
        <v>605</v>
      </c>
      <c r="F2977" s="11">
        <v>2</v>
      </c>
      <c r="G2977" s="11">
        <v>92436.97</v>
      </c>
    </row>
    <row r="2978" spans="2:7" x14ac:dyDescent="0.2">
      <c r="B2978" s="32">
        <v>45880</v>
      </c>
      <c r="C2978" t="s">
        <v>109</v>
      </c>
      <c r="D2978" s="13" t="s">
        <v>634</v>
      </c>
      <c r="E2978" t="s">
        <v>1890</v>
      </c>
      <c r="F2978" s="11">
        <v>1</v>
      </c>
      <c r="G2978" s="11">
        <v>75630.25</v>
      </c>
    </row>
    <row r="2979" spans="2:7" x14ac:dyDescent="0.2">
      <c r="B2979" s="32">
        <v>45880</v>
      </c>
      <c r="C2979" t="s">
        <v>109</v>
      </c>
      <c r="D2979" s="13" t="s">
        <v>634</v>
      </c>
      <c r="E2979" t="s">
        <v>264</v>
      </c>
      <c r="F2979" s="11">
        <v>1</v>
      </c>
      <c r="G2979" s="11">
        <v>75630.25</v>
      </c>
    </row>
    <row r="2980" spans="2:7" x14ac:dyDescent="0.2">
      <c r="B2980" s="32">
        <v>45880</v>
      </c>
      <c r="C2980" t="s">
        <v>109</v>
      </c>
      <c r="D2980" s="13" t="s">
        <v>634</v>
      </c>
      <c r="E2980" t="s">
        <v>164</v>
      </c>
      <c r="F2980" s="11">
        <v>1</v>
      </c>
      <c r="G2980" s="11">
        <v>67226.89</v>
      </c>
    </row>
    <row r="2981" spans="2:7" x14ac:dyDescent="0.2">
      <c r="B2981" s="32">
        <v>45880</v>
      </c>
      <c r="C2981" t="s">
        <v>109</v>
      </c>
      <c r="D2981" s="13" t="s">
        <v>634</v>
      </c>
      <c r="E2981" t="s">
        <v>707</v>
      </c>
      <c r="F2981" s="11">
        <v>1</v>
      </c>
      <c r="G2981" s="11">
        <v>46218.49</v>
      </c>
    </row>
    <row r="2982" spans="2:7" x14ac:dyDescent="0.2">
      <c r="B2982" s="32">
        <v>45880</v>
      </c>
      <c r="C2982" t="s">
        <v>109</v>
      </c>
      <c r="D2982" s="13" t="s">
        <v>633</v>
      </c>
      <c r="E2982" t="s">
        <v>484</v>
      </c>
      <c r="F2982" s="11">
        <v>1</v>
      </c>
      <c r="G2982" s="11">
        <v>116000</v>
      </c>
    </row>
    <row r="2983" spans="2:7" x14ac:dyDescent="0.2">
      <c r="B2983" s="32">
        <v>45880</v>
      </c>
      <c r="C2983" t="s">
        <v>109</v>
      </c>
      <c r="D2983" s="13" t="s">
        <v>633</v>
      </c>
      <c r="E2983" t="s">
        <v>152</v>
      </c>
      <c r="F2983" s="11">
        <v>1</v>
      </c>
      <c r="G2983" s="11">
        <v>75630.25</v>
      </c>
    </row>
    <row r="2984" spans="2:7" x14ac:dyDescent="0.2">
      <c r="B2984" s="32">
        <v>45880</v>
      </c>
      <c r="C2984" t="s">
        <v>109</v>
      </c>
      <c r="D2984" s="13" t="s">
        <v>633</v>
      </c>
      <c r="E2984" t="s">
        <v>1890</v>
      </c>
      <c r="F2984" s="11">
        <v>1</v>
      </c>
      <c r="G2984" s="11">
        <v>75630.25</v>
      </c>
    </row>
    <row r="2985" spans="2:7" x14ac:dyDescent="0.2">
      <c r="B2985" s="32">
        <v>45880</v>
      </c>
      <c r="C2985" t="s">
        <v>109</v>
      </c>
      <c r="D2985" s="13" t="s">
        <v>633</v>
      </c>
      <c r="E2985" t="s">
        <v>144</v>
      </c>
      <c r="F2985" s="11">
        <v>1</v>
      </c>
      <c r="G2985" s="11">
        <v>13865.55</v>
      </c>
    </row>
    <row r="2986" spans="2:7" x14ac:dyDescent="0.2">
      <c r="B2986" s="32">
        <v>45881</v>
      </c>
      <c r="C2986" t="s">
        <v>142</v>
      </c>
      <c r="D2986" s="13" t="s">
        <v>634</v>
      </c>
      <c r="E2986" t="s">
        <v>581</v>
      </c>
      <c r="F2986" s="11">
        <v>1</v>
      </c>
      <c r="G2986" s="11">
        <v>142857.14000000001</v>
      </c>
    </row>
    <row r="2987" spans="2:7" x14ac:dyDescent="0.2">
      <c r="B2987" s="32">
        <v>45881</v>
      </c>
      <c r="C2987" t="s">
        <v>142</v>
      </c>
      <c r="D2987" s="13" t="s">
        <v>634</v>
      </c>
      <c r="E2987" t="s">
        <v>479</v>
      </c>
      <c r="F2987" s="11">
        <v>1</v>
      </c>
      <c r="G2987" s="11">
        <v>58823.53</v>
      </c>
    </row>
    <row r="2988" spans="2:7" x14ac:dyDescent="0.2">
      <c r="B2988" s="32">
        <v>45881</v>
      </c>
      <c r="C2988" t="s">
        <v>142</v>
      </c>
      <c r="D2988" s="13" t="s">
        <v>634</v>
      </c>
      <c r="E2988" t="s">
        <v>315</v>
      </c>
      <c r="F2988" s="11">
        <v>1</v>
      </c>
      <c r="G2988" s="11">
        <v>58823.53</v>
      </c>
    </row>
    <row r="2989" spans="2:7" x14ac:dyDescent="0.2">
      <c r="B2989" s="32">
        <v>45881</v>
      </c>
      <c r="C2989" t="s">
        <v>142</v>
      </c>
      <c r="D2989" s="13" t="s">
        <v>634</v>
      </c>
      <c r="E2989" t="s">
        <v>1715</v>
      </c>
      <c r="F2989" s="11">
        <v>1</v>
      </c>
      <c r="G2989" s="11">
        <v>54621.85</v>
      </c>
    </row>
    <row r="2990" spans="2:7" x14ac:dyDescent="0.2">
      <c r="B2990" s="32">
        <v>45881</v>
      </c>
      <c r="C2990" t="s">
        <v>142</v>
      </c>
      <c r="D2990" s="13" t="s">
        <v>634</v>
      </c>
      <c r="E2990" t="s">
        <v>616</v>
      </c>
      <c r="F2990" s="11">
        <v>1</v>
      </c>
      <c r="G2990" s="11">
        <v>54621.85</v>
      </c>
    </row>
    <row r="2991" spans="2:7" x14ac:dyDescent="0.2">
      <c r="B2991" s="32">
        <v>45881</v>
      </c>
      <c r="C2991" t="s">
        <v>142</v>
      </c>
      <c r="D2991" s="13" t="s">
        <v>634</v>
      </c>
      <c r="F2991" s="11">
        <v>0</v>
      </c>
      <c r="G2991" s="11">
        <v>0</v>
      </c>
    </row>
    <row r="2992" spans="2:7" x14ac:dyDescent="0.2">
      <c r="B2992" s="32">
        <v>45881</v>
      </c>
      <c r="C2992" t="s">
        <v>142</v>
      </c>
      <c r="D2992" s="13" t="s">
        <v>633</v>
      </c>
      <c r="E2992" t="s">
        <v>263</v>
      </c>
      <c r="F2992" s="11">
        <v>2</v>
      </c>
      <c r="G2992" s="11">
        <v>873.95</v>
      </c>
    </row>
    <row r="2993" spans="2:7" x14ac:dyDescent="0.2">
      <c r="B2993" s="32">
        <v>45881</v>
      </c>
      <c r="C2993" t="s">
        <v>142</v>
      </c>
      <c r="D2993" s="13" t="s">
        <v>633</v>
      </c>
      <c r="E2993" t="s">
        <v>831</v>
      </c>
      <c r="F2993" s="11">
        <v>1</v>
      </c>
      <c r="G2993" s="11">
        <v>0.84</v>
      </c>
    </row>
    <row r="2994" spans="2:7" x14ac:dyDescent="0.2">
      <c r="B2994" s="32">
        <v>45881</v>
      </c>
      <c r="C2994" t="s">
        <v>142</v>
      </c>
      <c r="D2994" s="13" t="s">
        <v>633</v>
      </c>
      <c r="F2994" s="11">
        <v>0</v>
      </c>
      <c r="G2994" s="11">
        <v>0</v>
      </c>
    </row>
    <row r="2995" spans="2:7" x14ac:dyDescent="0.2">
      <c r="B2995" s="32">
        <v>45881</v>
      </c>
      <c r="C2995" t="s">
        <v>1739</v>
      </c>
      <c r="D2995" s="13" t="s">
        <v>633</v>
      </c>
      <c r="E2995" t="s">
        <v>700</v>
      </c>
      <c r="F2995" s="11">
        <v>1</v>
      </c>
      <c r="G2995" s="11">
        <v>84033.61</v>
      </c>
    </row>
    <row r="2996" spans="2:7" x14ac:dyDescent="0.2">
      <c r="B2996" s="32">
        <v>45881</v>
      </c>
      <c r="C2996" t="s">
        <v>109</v>
      </c>
      <c r="D2996" s="13" t="s">
        <v>634</v>
      </c>
      <c r="E2996" t="s">
        <v>765</v>
      </c>
      <c r="F2996" s="11">
        <v>1</v>
      </c>
      <c r="G2996" s="11">
        <v>184873.95</v>
      </c>
    </row>
    <row r="2997" spans="2:7" x14ac:dyDescent="0.2">
      <c r="B2997" s="32">
        <v>45881</v>
      </c>
      <c r="C2997" t="s">
        <v>109</v>
      </c>
      <c r="D2997" s="13" t="s">
        <v>634</v>
      </c>
      <c r="E2997" t="s">
        <v>150</v>
      </c>
      <c r="F2997" s="11">
        <v>3</v>
      </c>
      <c r="G2997" s="11">
        <v>126050.42</v>
      </c>
    </row>
    <row r="2998" spans="2:7" x14ac:dyDescent="0.2">
      <c r="B2998" s="32">
        <v>45881</v>
      </c>
      <c r="C2998" t="s">
        <v>109</v>
      </c>
      <c r="D2998" s="13" t="s">
        <v>634</v>
      </c>
      <c r="E2998" t="s">
        <v>318</v>
      </c>
      <c r="F2998" s="11">
        <v>1</v>
      </c>
      <c r="G2998" s="11">
        <v>109243.7</v>
      </c>
    </row>
    <row r="2999" spans="2:7" x14ac:dyDescent="0.2">
      <c r="B2999" s="32">
        <v>45881</v>
      </c>
      <c r="C2999" t="s">
        <v>109</v>
      </c>
      <c r="D2999" s="13" t="s">
        <v>634</v>
      </c>
      <c r="E2999" t="s">
        <v>567</v>
      </c>
      <c r="F2999" s="11">
        <v>1</v>
      </c>
      <c r="G2999" s="11">
        <v>109243.7</v>
      </c>
    </row>
    <row r="3000" spans="2:7" x14ac:dyDescent="0.2">
      <c r="B3000" s="32">
        <v>45881</v>
      </c>
      <c r="C3000" t="s">
        <v>109</v>
      </c>
      <c r="D3000" s="13" t="s">
        <v>634</v>
      </c>
      <c r="E3000" t="s">
        <v>751</v>
      </c>
      <c r="F3000" s="11">
        <v>1</v>
      </c>
      <c r="G3000" s="11">
        <v>58823.53</v>
      </c>
    </row>
    <row r="3001" spans="2:7" x14ac:dyDescent="0.2">
      <c r="B3001" s="32">
        <v>45881</v>
      </c>
      <c r="C3001" t="s">
        <v>109</v>
      </c>
      <c r="D3001" s="13" t="s">
        <v>634</v>
      </c>
      <c r="E3001" t="s">
        <v>376</v>
      </c>
      <c r="F3001" s="11">
        <v>1</v>
      </c>
      <c r="G3001" s="11">
        <v>58823.53</v>
      </c>
    </row>
    <row r="3002" spans="2:7" x14ac:dyDescent="0.2">
      <c r="B3002" s="32">
        <v>45881</v>
      </c>
      <c r="C3002" t="s">
        <v>109</v>
      </c>
      <c r="D3002" s="13" t="s">
        <v>634</v>
      </c>
      <c r="E3002" t="s">
        <v>661</v>
      </c>
      <c r="F3002" s="11">
        <v>1</v>
      </c>
      <c r="G3002" s="11">
        <v>58823.53</v>
      </c>
    </row>
    <row r="3003" spans="2:7" x14ac:dyDescent="0.2">
      <c r="B3003" s="32">
        <v>45881</v>
      </c>
      <c r="C3003" t="s">
        <v>109</v>
      </c>
      <c r="D3003" s="13" t="s">
        <v>634</v>
      </c>
      <c r="E3003" t="s">
        <v>162</v>
      </c>
      <c r="F3003" s="11">
        <v>1</v>
      </c>
      <c r="G3003" s="11">
        <v>58823.53</v>
      </c>
    </row>
    <row r="3004" spans="2:7" x14ac:dyDescent="0.2">
      <c r="B3004" s="32">
        <v>45881</v>
      </c>
      <c r="C3004" t="s">
        <v>109</v>
      </c>
      <c r="D3004" s="13" t="s">
        <v>634</v>
      </c>
      <c r="E3004" t="s">
        <v>550</v>
      </c>
      <c r="F3004" s="11">
        <v>1</v>
      </c>
      <c r="G3004" s="11">
        <v>58823.53</v>
      </c>
    </row>
    <row r="3005" spans="2:7" x14ac:dyDescent="0.2">
      <c r="B3005" s="32">
        <v>45881</v>
      </c>
      <c r="C3005" t="s">
        <v>109</v>
      </c>
      <c r="D3005" s="13" t="s">
        <v>634</v>
      </c>
      <c r="E3005" t="s">
        <v>642</v>
      </c>
      <c r="F3005" s="11">
        <v>1</v>
      </c>
      <c r="G3005" s="11">
        <v>49000</v>
      </c>
    </row>
    <row r="3006" spans="2:7" x14ac:dyDescent="0.2">
      <c r="B3006" s="32">
        <v>45881</v>
      </c>
      <c r="C3006" t="s">
        <v>109</v>
      </c>
      <c r="D3006" s="13" t="s">
        <v>634</v>
      </c>
      <c r="F3006" s="11">
        <v>1</v>
      </c>
      <c r="G3006" s="11">
        <v>46218.49</v>
      </c>
    </row>
    <row r="3007" spans="2:7" x14ac:dyDescent="0.2">
      <c r="B3007" s="32">
        <v>45881</v>
      </c>
      <c r="C3007" t="s">
        <v>109</v>
      </c>
      <c r="D3007" s="13" t="s">
        <v>634</v>
      </c>
      <c r="E3007" t="s">
        <v>522</v>
      </c>
      <c r="F3007" s="11">
        <v>1</v>
      </c>
      <c r="G3007" s="11">
        <v>35000</v>
      </c>
    </row>
    <row r="3008" spans="2:7" x14ac:dyDescent="0.2">
      <c r="B3008" s="32">
        <v>45881</v>
      </c>
      <c r="C3008" t="s">
        <v>109</v>
      </c>
      <c r="D3008" s="13" t="s">
        <v>633</v>
      </c>
      <c r="E3008" t="s">
        <v>397</v>
      </c>
      <c r="F3008" s="11">
        <v>30</v>
      </c>
      <c r="G3008" s="11">
        <v>970588.24</v>
      </c>
    </row>
    <row r="3009" spans="2:7" x14ac:dyDescent="0.2">
      <c r="B3009" s="32">
        <v>45881</v>
      </c>
      <c r="C3009" t="s">
        <v>109</v>
      </c>
      <c r="D3009" s="13" t="s">
        <v>633</v>
      </c>
      <c r="E3009" t="s">
        <v>780</v>
      </c>
      <c r="F3009" s="11">
        <v>1</v>
      </c>
      <c r="G3009" s="11">
        <v>294117.65000000002</v>
      </c>
    </row>
    <row r="3010" spans="2:7" x14ac:dyDescent="0.2">
      <c r="B3010" s="32">
        <v>45881</v>
      </c>
      <c r="C3010" t="s">
        <v>109</v>
      </c>
      <c r="D3010" s="13" t="s">
        <v>633</v>
      </c>
      <c r="E3010" t="s">
        <v>154</v>
      </c>
      <c r="F3010" s="11">
        <v>1</v>
      </c>
      <c r="G3010" s="11">
        <v>96638.66</v>
      </c>
    </row>
    <row r="3011" spans="2:7" x14ac:dyDescent="0.2">
      <c r="B3011" s="32">
        <v>45881</v>
      </c>
      <c r="C3011" t="s">
        <v>109</v>
      </c>
      <c r="D3011" s="13" t="s">
        <v>633</v>
      </c>
      <c r="E3011" t="s">
        <v>372</v>
      </c>
      <c r="F3011" s="11">
        <v>1</v>
      </c>
      <c r="G3011" s="11">
        <v>84033.61</v>
      </c>
    </row>
    <row r="3012" spans="2:7" x14ac:dyDescent="0.2">
      <c r="B3012" s="32">
        <v>45881</v>
      </c>
      <c r="C3012" t="s">
        <v>109</v>
      </c>
      <c r="D3012" s="13" t="s">
        <v>633</v>
      </c>
      <c r="E3012" t="s">
        <v>399</v>
      </c>
      <c r="F3012" s="11">
        <v>1</v>
      </c>
      <c r="G3012" s="11">
        <v>54621.85</v>
      </c>
    </row>
    <row r="3013" spans="2:7" x14ac:dyDescent="0.2">
      <c r="B3013" s="32">
        <v>45881</v>
      </c>
      <c r="C3013" t="s">
        <v>109</v>
      </c>
      <c r="D3013" s="13" t="s">
        <v>633</v>
      </c>
      <c r="E3013" t="s">
        <v>1896</v>
      </c>
      <c r="F3013" s="11">
        <v>1</v>
      </c>
      <c r="G3013" s="11">
        <v>46218.49</v>
      </c>
    </row>
    <row r="3014" spans="2:7" x14ac:dyDescent="0.2">
      <c r="B3014" s="32">
        <v>45881</v>
      </c>
      <c r="C3014" t="s">
        <v>109</v>
      </c>
      <c r="D3014" s="13" t="s">
        <v>633</v>
      </c>
      <c r="E3014" t="s">
        <v>238</v>
      </c>
      <c r="F3014" s="11">
        <v>1</v>
      </c>
      <c r="G3014" s="11">
        <v>46218.49</v>
      </c>
    </row>
    <row r="3015" spans="2:7" x14ac:dyDescent="0.2">
      <c r="B3015" s="32">
        <v>45881</v>
      </c>
      <c r="C3015" t="s">
        <v>109</v>
      </c>
      <c r="D3015" s="13" t="s">
        <v>633</v>
      </c>
      <c r="E3015" t="s">
        <v>260</v>
      </c>
      <c r="F3015" s="11">
        <v>1</v>
      </c>
      <c r="G3015" s="11">
        <v>46218.48</v>
      </c>
    </row>
    <row r="3016" spans="2:7" x14ac:dyDescent="0.2">
      <c r="B3016" s="32">
        <v>45881</v>
      </c>
      <c r="C3016" t="s">
        <v>109</v>
      </c>
      <c r="D3016" s="13" t="s">
        <v>633</v>
      </c>
      <c r="E3016" t="s">
        <v>193</v>
      </c>
      <c r="F3016" s="11">
        <v>2</v>
      </c>
      <c r="G3016" s="11">
        <v>43697.48</v>
      </c>
    </row>
    <row r="3017" spans="2:7" x14ac:dyDescent="0.2">
      <c r="B3017" s="32">
        <v>45881</v>
      </c>
      <c r="C3017" t="s">
        <v>109</v>
      </c>
      <c r="D3017" s="13" t="s">
        <v>633</v>
      </c>
      <c r="E3017" t="s">
        <v>161</v>
      </c>
      <c r="F3017" s="11">
        <v>1</v>
      </c>
      <c r="G3017" s="11">
        <v>42016.81</v>
      </c>
    </row>
    <row r="3018" spans="2:7" x14ac:dyDescent="0.2">
      <c r="B3018" s="32">
        <v>45881</v>
      </c>
      <c r="C3018" t="s">
        <v>109</v>
      </c>
      <c r="D3018" s="13" t="s">
        <v>633</v>
      </c>
      <c r="E3018" t="s">
        <v>173</v>
      </c>
      <c r="F3018" s="11">
        <v>1</v>
      </c>
      <c r="G3018" s="11">
        <v>37815.129999999997</v>
      </c>
    </row>
    <row r="3019" spans="2:7" x14ac:dyDescent="0.2">
      <c r="B3019" s="32">
        <v>45881</v>
      </c>
      <c r="C3019" t="s">
        <v>109</v>
      </c>
      <c r="D3019" s="13" t="s">
        <v>633</v>
      </c>
      <c r="E3019" t="s">
        <v>1818</v>
      </c>
      <c r="F3019" s="11">
        <v>1</v>
      </c>
      <c r="G3019" s="11">
        <v>37815.129999999997</v>
      </c>
    </row>
    <row r="3020" spans="2:7" x14ac:dyDescent="0.2">
      <c r="B3020" s="32">
        <v>45881</v>
      </c>
      <c r="C3020" t="s">
        <v>109</v>
      </c>
      <c r="D3020" s="13" t="s">
        <v>633</v>
      </c>
      <c r="E3020" t="s">
        <v>148</v>
      </c>
      <c r="F3020" s="11">
        <v>1</v>
      </c>
      <c r="G3020" s="11">
        <v>37815.120000000003</v>
      </c>
    </row>
    <row r="3021" spans="2:7" x14ac:dyDescent="0.2">
      <c r="B3021" s="32">
        <v>45881</v>
      </c>
      <c r="C3021" t="s">
        <v>109</v>
      </c>
      <c r="D3021" s="13" t="s">
        <v>633</v>
      </c>
      <c r="E3021" t="s">
        <v>263</v>
      </c>
      <c r="F3021" s="11">
        <v>1</v>
      </c>
      <c r="G3021" s="11">
        <v>21848.74</v>
      </c>
    </row>
    <row r="3022" spans="2:7" x14ac:dyDescent="0.2">
      <c r="B3022" s="32">
        <v>45882</v>
      </c>
      <c r="C3022" t="s">
        <v>142</v>
      </c>
      <c r="D3022" s="13" t="s">
        <v>634</v>
      </c>
      <c r="E3022" t="s">
        <v>313</v>
      </c>
      <c r="F3022" s="11">
        <v>1</v>
      </c>
      <c r="G3022" s="11">
        <v>96638.66</v>
      </c>
    </row>
    <row r="3023" spans="2:7" x14ac:dyDescent="0.2">
      <c r="B3023" s="32">
        <v>45882</v>
      </c>
      <c r="C3023" t="s">
        <v>142</v>
      </c>
      <c r="D3023" s="13" t="s">
        <v>634</v>
      </c>
      <c r="E3023" t="s">
        <v>1973</v>
      </c>
      <c r="F3023" s="11">
        <v>2</v>
      </c>
      <c r="G3023" s="11">
        <v>92436.97</v>
      </c>
    </row>
    <row r="3024" spans="2:7" x14ac:dyDescent="0.2">
      <c r="B3024" s="32">
        <v>45882</v>
      </c>
      <c r="C3024" t="s">
        <v>142</v>
      </c>
      <c r="D3024" s="13" t="s">
        <v>634</v>
      </c>
      <c r="E3024" t="s">
        <v>427</v>
      </c>
      <c r="F3024" s="11">
        <v>1</v>
      </c>
      <c r="G3024" s="11">
        <v>54621.85</v>
      </c>
    </row>
    <row r="3025" spans="2:7" x14ac:dyDescent="0.2">
      <c r="B3025" s="32">
        <v>45882</v>
      </c>
      <c r="C3025" t="s">
        <v>142</v>
      </c>
      <c r="D3025" s="13" t="s">
        <v>634</v>
      </c>
      <c r="E3025" t="s">
        <v>198</v>
      </c>
      <c r="F3025" s="11">
        <v>1</v>
      </c>
      <c r="G3025" s="11">
        <v>46218.49</v>
      </c>
    </row>
    <row r="3026" spans="2:7" x14ac:dyDescent="0.2">
      <c r="B3026" s="32">
        <v>45882</v>
      </c>
      <c r="C3026" t="s">
        <v>142</v>
      </c>
      <c r="D3026" s="13" t="s">
        <v>634</v>
      </c>
      <c r="E3026" t="s">
        <v>151</v>
      </c>
      <c r="F3026" s="11">
        <v>1</v>
      </c>
      <c r="G3026" s="11">
        <v>46218.49</v>
      </c>
    </row>
    <row r="3027" spans="2:7" x14ac:dyDescent="0.2">
      <c r="B3027" s="32">
        <v>45882</v>
      </c>
      <c r="C3027" t="s">
        <v>142</v>
      </c>
      <c r="D3027" s="13" t="s">
        <v>634</v>
      </c>
      <c r="E3027" t="s">
        <v>1771</v>
      </c>
      <c r="F3027" s="11">
        <v>1</v>
      </c>
      <c r="G3027" s="11">
        <v>46218.49</v>
      </c>
    </row>
    <row r="3028" spans="2:7" x14ac:dyDescent="0.2">
      <c r="B3028" s="32">
        <v>45882</v>
      </c>
      <c r="C3028" t="s">
        <v>142</v>
      </c>
      <c r="D3028" s="13" t="s">
        <v>634</v>
      </c>
      <c r="E3028" t="s">
        <v>452</v>
      </c>
      <c r="F3028" s="11">
        <v>1</v>
      </c>
      <c r="G3028" s="11">
        <v>37815.129999999997</v>
      </c>
    </row>
    <row r="3029" spans="2:7" x14ac:dyDescent="0.2">
      <c r="B3029" s="32">
        <v>45882</v>
      </c>
      <c r="C3029" t="s">
        <v>142</v>
      </c>
      <c r="D3029" s="13" t="s">
        <v>633</v>
      </c>
      <c r="E3029" t="s">
        <v>313</v>
      </c>
      <c r="F3029" s="11">
        <v>1</v>
      </c>
      <c r="G3029" s="11">
        <v>96638.66</v>
      </c>
    </row>
    <row r="3030" spans="2:7" x14ac:dyDescent="0.2">
      <c r="B3030" s="32">
        <v>45882</v>
      </c>
      <c r="C3030" t="s">
        <v>142</v>
      </c>
      <c r="D3030" s="13" t="s">
        <v>633</v>
      </c>
      <c r="E3030" t="s">
        <v>363</v>
      </c>
      <c r="F3030" s="11">
        <v>1</v>
      </c>
      <c r="G3030" s="11">
        <v>92436.97</v>
      </c>
    </row>
    <row r="3031" spans="2:7" x14ac:dyDescent="0.2">
      <c r="B3031" s="32">
        <v>45882</v>
      </c>
      <c r="C3031" t="s">
        <v>142</v>
      </c>
      <c r="D3031" s="13" t="s">
        <v>633</v>
      </c>
      <c r="E3031" t="s">
        <v>290</v>
      </c>
      <c r="F3031" s="11">
        <v>1</v>
      </c>
      <c r="G3031" s="11">
        <v>58823.53</v>
      </c>
    </row>
    <row r="3032" spans="2:7" x14ac:dyDescent="0.2">
      <c r="B3032" s="32">
        <v>45882</v>
      </c>
      <c r="C3032" t="s">
        <v>142</v>
      </c>
      <c r="D3032" s="13" t="s">
        <v>633</v>
      </c>
      <c r="E3032" t="s">
        <v>306</v>
      </c>
      <c r="F3032" s="11">
        <v>1</v>
      </c>
      <c r="G3032" s="11">
        <v>58823.53</v>
      </c>
    </row>
    <row r="3033" spans="2:7" x14ac:dyDescent="0.2">
      <c r="B3033" s="32">
        <v>45882</v>
      </c>
      <c r="C3033" t="s">
        <v>110</v>
      </c>
      <c r="D3033" s="13" t="s">
        <v>634</v>
      </c>
      <c r="E3033" t="s">
        <v>258</v>
      </c>
      <c r="F3033" s="11">
        <v>1</v>
      </c>
      <c r="G3033" s="11">
        <v>54621.85</v>
      </c>
    </row>
    <row r="3034" spans="2:7" x14ac:dyDescent="0.2">
      <c r="B3034" s="32">
        <v>45882</v>
      </c>
      <c r="C3034" t="s">
        <v>1739</v>
      </c>
      <c r="D3034" s="13" t="s">
        <v>633</v>
      </c>
      <c r="E3034" t="s">
        <v>1847</v>
      </c>
      <c r="F3034" s="11">
        <v>2</v>
      </c>
      <c r="G3034" s="11">
        <v>33613.440000000002</v>
      </c>
    </row>
    <row r="3035" spans="2:7" x14ac:dyDescent="0.2">
      <c r="B3035" s="32">
        <v>45882</v>
      </c>
      <c r="C3035" t="s">
        <v>1739</v>
      </c>
      <c r="D3035" s="13" t="s">
        <v>633</v>
      </c>
      <c r="E3035" t="s">
        <v>1777</v>
      </c>
      <c r="F3035" s="11">
        <v>1</v>
      </c>
      <c r="G3035" s="11">
        <v>13445.38</v>
      </c>
    </row>
    <row r="3036" spans="2:7" x14ac:dyDescent="0.2">
      <c r="B3036" s="32">
        <v>45882</v>
      </c>
      <c r="C3036" t="s">
        <v>109</v>
      </c>
      <c r="D3036" s="13" t="s">
        <v>634</v>
      </c>
      <c r="E3036" t="s">
        <v>144</v>
      </c>
      <c r="F3036" s="11">
        <v>4</v>
      </c>
      <c r="G3036" s="11">
        <v>87394.96</v>
      </c>
    </row>
    <row r="3037" spans="2:7" x14ac:dyDescent="0.2">
      <c r="B3037" s="32">
        <v>45882</v>
      </c>
      <c r="C3037" t="s">
        <v>109</v>
      </c>
      <c r="D3037" s="13" t="s">
        <v>633</v>
      </c>
      <c r="E3037" t="s">
        <v>144</v>
      </c>
      <c r="F3037" s="11">
        <v>2</v>
      </c>
      <c r="G3037" s="11">
        <v>76470.59</v>
      </c>
    </row>
    <row r="3038" spans="2:7" x14ac:dyDescent="0.2">
      <c r="B3038" s="32">
        <v>45882</v>
      </c>
      <c r="C3038" t="s">
        <v>109</v>
      </c>
      <c r="D3038" s="13" t="s">
        <v>633</v>
      </c>
      <c r="E3038" t="s">
        <v>352</v>
      </c>
      <c r="F3038" s="11">
        <v>1</v>
      </c>
      <c r="G3038" s="11">
        <v>67226.89</v>
      </c>
    </row>
    <row r="3039" spans="2:7" x14ac:dyDescent="0.2">
      <c r="B3039" s="32">
        <v>45882</v>
      </c>
      <c r="C3039" t="s">
        <v>109</v>
      </c>
      <c r="D3039" s="13" t="s">
        <v>633</v>
      </c>
      <c r="E3039" t="s">
        <v>348</v>
      </c>
      <c r="F3039" s="11">
        <v>1</v>
      </c>
      <c r="G3039" s="11">
        <v>54621.85</v>
      </c>
    </row>
    <row r="3040" spans="2:7" x14ac:dyDescent="0.2">
      <c r="B3040" s="32">
        <v>45882</v>
      </c>
      <c r="C3040" t="s">
        <v>109</v>
      </c>
      <c r="D3040" s="13" t="s">
        <v>633</v>
      </c>
      <c r="E3040" t="s">
        <v>173</v>
      </c>
      <c r="F3040" s="11">
        <v>1</v>
      </c>
      <c r="G3040" s="11">
        <v>37815.129999999997</v>
      </c>
    </row>
    <row r="3041" spans="2:7" x14ac:dyDescent="0.2">
      <c r="B3041" s="32">
        <v>45883</v>
      </c>
      <c r="C3041" t="s">
        <v>142</v>
      </c>
      <c r="D3041" s="13" t="s">
        <v>634</v>
      </c>
      <c r="E3041" t="s">
        <v>648</v>
      </c>
      <c r="F3041" s="11">
        <v>1</v>
      </c>
      <c r="G3041" s="11">
        <v>54621.85</v>
      </c>
    </row>
    <row r="3042" spans="2:7" x14ac:dyDescent="0.2">
      <c r="B3042" s="32">
        <v>45883</v>
      </c>
      <c r="C3042" t="s">
        <v>142</v>
      </c>
      <c r="D3042" s="13" t="s">
        <v>634</v>
      </c>
      <c r="E3042" t="s">
        <v>328</v>
      </c>
      <c r="F3042" s="11">
        <v>1</v>
      </c>
      <c r="G3042" s="11">
        <v>37815.129999999997</v>
      </c>
    </row>
    <row r="3043" spans="2:7" x14ac:dyDescent="0.2">
      <c r="B3043" s="32">
        <v>45883</v>
      </c>
      <c r="C3043" t="s">
        <v>142</v>
      </c>
      <c r="D3043" s="13" t="s">
        <v>634</v>
      </c>
      <c r="E3043" t="s">
        <v>148</v>
      </c>
      <c r="F3043" s="11">
        <v>1</v>
      </c>
      <c r="G3043" s="11">
        <v>37815.120000000003</v>
      </c>
    </row>
    <row r="3044" spans="2:7" x14ac:dyDescent="0.2">
      <c r="B3044" s="32">
        <v>45883</v>
      </c>
      <c r="C3044" t="s">
        <v>142</v>
      </c>
      <c r="D3044" s="13" t="s">
        <v>634</v>
      </c>
      <c r="F3044" s="11">
        <v>0</v>
      </c>
      <c r="G3044" s="11">
        <v>0</v>
      </c>
    </row>
    <row r="3045" spans="2:7" x14ac:dyDescent="0.2">
      <c r="B3045" s="32">
        <v>45883</v>
      </c>
      <c r="C3045" t="s">
        <v>142</v>
      </c>
      <c r="D3045" s="13" t="s">
        <v>633</v>
      </c>
      <c r="E3045" t="s">
        <v>1974</v>
      </c>
      <c r="F3045" s="11">
        <v>1</v>
      </c>
      <c r="G3045" s="11">
        <v>58823.53</v>
      </c>
    </row>
    <row r="3046" spans="2:7" x14ac:dyDescent="0.2">
      <c r="B3046" s="32">
        <v>45883</v>
      </c>
      <c r="C3046" t="s">
        <v>142</v>
      </c>
      <c r="D3046" s="13" t="s">
        <v>633</v>
      </c>
      <c r="F3046" s="11">
        <v>0</v>
      </c>
      <c r="G3046" s="11">
        <v>0</v>
      </c>
    </row>
    <row r="3047" spans="2:7" x14ac:dyDescent="0.2">
      <c r="B3047" s="32">
        <v>45883</v>
      </c>
      <c r="C3047" t="s">
        <v>110</v>
      </c>
      <c r="D3047" s="13" t="s">
        <v>633</v>
      </c>
      <c r="E3047" t="s">
        <v>342</v>
      </c>
      <c r="F3047" s="11">
        <v>1</v>
      </c>
      <c r="G3047" s="11">
        <v>21848.74</v>
      </c>
    </row>
    <row r="3048" spans="2:7" x14ac:dyDescent="0.2">
      <c r="B3048" s="32">
        <v>45883</v>
      </c>
      <c r="C3048" t="s">
        <v>109</v>
      </c>
      <c r="D3048" s="13" t="s">
        <v>634</v>
      </c>
      <c r="E3048" t="s">
        <v>577</v>
      </c>
      <c r="F3048" s="11">
        <v>4</v>
      </c>
      <c r="G3048" s="11">
        <v>616047.26</v>
      </c>
    </row>
    <row r="3049" spans="2:7" x14ac:dyDescent="0.2">
      <c r="B3049" s="32">
        <v>45883</v>
      </c>
      <c r="C3049" t="s">
        <v>109</v>
      </c>
      <c r="D3049" s="13" t="s">
        <v>634</v>
      </c>
      <c r="E3049" t="s">
        <v>650</v>
      </c>
      <c r="F3049" s="11">
        <v>3</v>
      </c>
      <c r="G3049" s="11">
        <v>435633.41</v>
      </c>
    </row>
    <row r="3050" spans="2:7" x14ac:dyDescent="0.2">
      <c r="B3050" s="32">
        <v>45883</v>
      </c>
      <c r="C3050" t="s">
        <v>109</v>
      </c>
      <c r="D3050" s="13" t="s">
        <v>634</v>
      </c>
      <c r="E3050" t="s">
        <v>1975</v>
      </c>
      <c r="F3050" s="11">
        <v>1</v>
      </c>
      <c r="G3050" s="11">
        <v>294117.65000000002</v>
      </c>
    </row>
    <row r="3051" spans="2:7" x14ac:dyDescent="0.2">
      <c r="B3051" s="32">
        <v>45883</v>
      </c>
      <c r="C3051" t="s">
        <v>109</v>
      </c>
      <c r="D3051" s="13" t="s">
        <v>634</v>
      </c>
      <c r="E3051" t="s">
        <v>567</v>
      </c>
      <c r="F3051" s="11">
        <v>2</v>
      </c>
      <c r="G3051" s="11">
        <v>201680.67</v>
      </c>
    </row>
    <row r="3052" spans="2:7" x14ac:dyDescent="0.2">
      <c r="B3052" s="32">
        <v>45883</v>
      </c>
      <c r="C3052" t="s">
        <v>109</v>
      </c>
      <c r="D3052" s="13" t="s">
        <v>634</v>
      </c>
      <c r="E3052" t="s">
        <v>478</v>
      </c>
      <c r="F3052" s="11">
        <v>1</v>
      </c>
      <c r="G3052" s="11">
        <v>136134.45000000001</v>
      </c>
    </row>
    <row r="3053" spans="2:7" x14ac:dyDescent="0.2">
      <c r="B3053" s="32">
        <v>45883</v>
      </c>
      <c r="C3053" t="s">
        <v>109</v>
      </c>
      <c r="D3053" s="13" t="s">
        <v>634</v>
      </c>
      <c r="E3053" t="s">
        <v>451</v>
      </c>
      <c r="F3053" s="11">
        <v>3</v>
      </c>
      <c r="G3053" s="11">
        <v>113445.38</v>
      </c>
    </row>
    <row r="3054" spans="2:7" x14ac:dyDescent="0.2">
      <c r="B3054" s="32">
        <v>45883</v>
      </c>
      <c r="C3054" t="s">
        <v>109</v>
      </c>
      <c r="D3054" s="13" t="s">
        <v>634</v>
      </c>
      <c r="E3054" t="s">
        <v>185</v>
      </c>
      <c r="F3054" s="11">
        <v>1</v>
      </c>
      <c r="G3054" s="11">
        <v>96638.65</v>
      </c>
    </row>
    <row r="3055" spans="2:7" x14ac:dyDescent="0.2">
      <c r="B3055" s="32">
        <v>45883</v>
      </c>
      <c r="C3055" t="s">
        <v>109</v>
      </c>
      <c r="D3055" s="13" t="s">
        <v>634</v>
      </c>
      <c r="E3055" t="s">
        <v>238</v>
      </c>
      <c r="F3055" s="11">
        <v>0</v>
      </c>
      <c r="G3055" s="11">
        <v>92436.97</v>
      </c>
    </row>
    <row r="3056" spans="2:7" x14ac:dyDescent="0.2">
      <c r="B3056" s="32">
        <v>45883</v>
      </c>
      <c r="C3056" t="s">
        <v>109</v>
      </c>
      <c r="D3056" s="13" t="s">
        <v>634</v>
      </c>
      <c r="E3056" t="s">
        <v>1976</v>
      </c>
      <c r="F3056" s="11">
        <v>1</v>
      </c>
      <c r="G3056" s="11">
        <v>75630.25</v>
      </c>
    </row>
    <row r="3057" spans="2:7" x14ac:dyDescent="0.2">
      <c r="B3057" s="32">
        <v>45883</v>
      </c>
      <c r="C3057" t="s">
        <v>109</v>
      </c>
      <c r="D3057" s="13" t="s">
        <v>634</v>
      </c>
      <c r="E3057" t="s">
        <v>285</v>
      </c>
      <c r="F3057" s="11">
        <v>1</v>
      </c>
      <c r="G3057" s="11">
        <v>58823.53</v>
      </c>
    </row>
    <row r="3058" spans="2:7" x14ac:dyDescent="0.2">
      <c r="B3058" s="32">
        <v>45883</v>
      </c>
      <c r="C3058" t="s">
        <v>109</v>
      </c>
      <c r="D3058" s="13" t="s">
        <v>634</v>
      </c>
      <c r="E3058" t="s">
        <v>258</v>
      </c>
      <c r="F3058" s="11">
        <v>1</v>
      </c>
      <c r="G3058" s="11">
        <v>54621.85</v>
      </c>
    </row>
    <row r="3059" spans="2:7" x14ac:dyDescent="0.2">
      <c r="B3059" s="32">
        <v>45883</v>
      </c>
      <c r="C3059" t="s">
        <v>109</v>
      </c>
      <c r="D3059" s="13" t="s">
        <v>634</v>
      </c>
      <c r="E3059" t="s">
        <v>462</v>
      </c>
      <c r="F3059" s="11">
        <v>2</v>
      </c>
      <c r="G3059" s="11">
        <v>52100.84</v>
      </c>
    </row>
    <row r="3060" spans="2:7" x14ac:dyDescent="0.2">
      <c r="B3060" s="32">
        <v>45883</v>
      </c>
      <c r="C3060" t="s">
        <v>109</v>
      </c>
      <c r="D3060" s="13" t="s">
        <v>634</v>
      </c>
      <c r="E3060" t="s">
        <v>158</v>
      </c>
      <c r="F3060" s="11">
        <v>1</v>
      </c>
      <c r="G3060" s="11">
        <v>46218.49</v>
      </c>
    </row>
    <row r="3061" spans="2:7" x14ac:dyDescent="0.2">
      <c r="B3061" s="32">
        <v>45883</v>
      </c>
      <c r="C3061" t="s">
        <v>109</v>
      </c>
      <c r="D3061" s="13" t="s">
        <v>634</v>
      </c>
      <c r="E3061" t="s">
        <v>309</v>
      </c>
      <c r="F3061" s="11">
        <v>1</v>
      </c>
      <c r="G3061" s="11">
        <v>42016.81</v>
      </c>
    </row>
    <row r="3062" spans="2:7" x14ac:dyDescent="0.2">
      <c r="B3062" s="32">
        <v>45883</v>
      </c>
      <c r="C3062" t="s">
        <v>109</v>
      </c>
      <c r="D3062" s="13" t="s">
        <v>634</v>
      </c>
      <c r="E3062" t="s">
        <v>173</v>
      </c>
      <c r="F3062" s="11">
        <v>1</v>
      </c>
      <c r="G3062" s="11">
        <v>37815.129999999997</v>
      </c>
    </row>
    <row r="3063" spans="2:7" x14ac:dyDescent="0.2">
      <c r="B3063" s="32">
        <v>45883</v>
      </c>
      <c r="C3063" t="s">
        <v>109</v>
      </c>
      <c r="D3063" s="13" t="s">
        <v>634</v>
      </c>
      <c r="E3063" t="s">
        <v>293</v>
      </c>
      <c r="F3063" s="11">
        <v>1</v>
      </c>
      <c r="G3063" s="11">
        <v>37815.120000000003</v>
      </c>
    </row>
    <row r="3064" spans="2:7" x14ac:dyDescent="0.2">
      <c r="B3064" s="32">
        <v>45883</v>
      </c>
      <c r="C3064" t="s">
        <v>109</v>
      </c>
      <c r="D3064" s="13" t="s">
        <v>634</v>
      </c>
      <c r="E3064" t="s">
        <v>648</v>
      </c>
      <c r="F3064" s="11">
        <v>0</v>
      </c>
      <c r="G3064" s="11">
        <v>-109243.7</v>
      </c>
    </row>
    <row r="3065" spans="2:7" x14ac:dyDescent="0.2">
      <c r="B3065" s="32">
        <v>45883</v>
      </c>
      <c r="C3065" t="s">
        <v>109</v>
      </c>
      <c r="D3065" s="13" t="s">
        <v>633</v>
      </c>
      <c r="F3065" s="11">
        <v>0</v>
      </c>
      <c r="G3065" s="11">
        <v>970588.24</v>
      </c>
    </row>
    <row r="3066" spans="2:7" x14ac:dyDescent="0.2">
      <c r="B3066" s="32">
        <v>45883</v>
      </c>
      <c r="C3066" t="s">
        <v>109</v>
      </c>
      <c r="D3066" s="13" t="s">
        <v>633</v>
      </c>
      <c r="E3066" t="s">
        <v>647</v>
      </c>
      <c r="F3066" s="11">
        <v>1</v>
      </c>
      <c r="G3066" s="11">
        <v>75630.25</v>
      </c>
    </row>
    <row r="3067" spans="2:7" x14ac:dyDescent="0.2">
      <c r="B3067" s="32">
        <v>45883</v>
      </c>
      <c r="C3067" t="s">
        <v>109</v>
      </c>
      <c r="D3067" s="13" t="s">
        <v>633</v>
      </c>
      <c r="E3067" t="s">
        <v>1939</v>
      </c>
      <c r="F3067" s="11">
        <v>1</v>
      </c>
      <c r="G3067" s="11">
        <v>67226.89</v>
      </c>
    </row>
    <row r="3068" spans="2:7" x14ac:dyDescent="0.2">
      <c r="B3068" s="32">
        <v>45883</v>
      </c>
      <c r="C3068" t="s">
        <v>109</v>
      </c>
      <c r="D3068" s="13" t="s">
        <v>633</v>
      </c>
      <c r="E3068" t="s">
        <v>1946</v>
      </c>
      <c r="F3068" s="11">
        <v>1</v>
      </c>
      <c r="G3068" s="11">
        <v>58823.53</v>
      </c>
    </row>
    <row r="3069" spans="2:7" x14ac:dyDescent="0.2">
      <c r="B3069" s="32">
        <v>45883</v>
      </c>
      <c r="C3069" t="s">
        <v>109</v>
      </c>
      <c r="D3069" s="13" t="s">
        <v>633</v>
      </c>
      <c r="E3069" t="s">
        <v>1920</v>
      </c>
      <c r="F3069" s="11">
        <v>1</v>
      </c>
      <c r="G3069" s="11">
        <v>58823.53</v>
      </c>
    </row>
    <row r="3070" spans="2:7" x14ac:dyDescent="0.2">
      <c r="B3070" s="32">
        <v>45883</v>
      </c>
      <c r="C3070" t="s">
        <v>109</v>
      </c>
      <c r="D3070" s="13" t="s">
        <v>633</v>
      </c>
      <c r="E3070" t="s">
        <v>1924</v>
      </c>
      <c r="F3070" s="11">
        <v>1</v>
      </c>
      <c r="G3070" s="11">
        <v>58823.53</v>
      </c>
    </row>
    <row r="3071" spans="2:7" x14ac:dyDescent="0.2">
      <c r="B3071" s="32">
        <v>45883</v>
      </c>
      <c r="C3071" t="s">
        <v>109</v>
      </c>
      <c r="D3071" s="13" t="s">
        <v>633</v>
      </c>
      <c r="E3071" t="s">
        <v>495</v>
      </c>
      <c r="F3071" s="11">
        <v>1</v>
      </c>
      <c r="G3071" s="11">
        <v>54621.85</v>
      </c>
    </row>
    <row r="3072" spans="2:7" x14ac:dyDescent="0.2">
      <c r="B3072" s="32">
        <v>45883</v>
      </c>
      <c r="C3072" t="s">
        <v>109</v>
      </c>
      <c r="D3072" s="13" t="s">
        <v>633</v>
      </c>
      <c r="E3072" t="s">
        <v>1963</v>
      </c>
      <c r="F3072" s="11">
        <v>1</v>
      </c>
      <c r="G3072" s="11">
        <v>42016.81</v>
      </c>
    </row>
    <row r="3073" spans="2:7" x14ac:dyDescent="0.2">
      <c r="B3073" s="32">
        <v>45883</v>
      </c>
      <c r="C3073" t="s">
        <v>109</v>
      </c>
      <c r="D3073" s="13" t="s">
        <v>633</v>
      </c>
      <c r="E3073" t="s">
        <v>150</v>
      </c>
      <c r="F3073" s="11">
        <v>1</v>
      </c>
      <c r="G3073" s="11">
        <v>42016.81</v>
      </c>
    </row>
    <row r="3074" spans="2:7" x14ac:dyDescent="0.2">
      <c r="B3074" s="32">
        <v>45883</v>
      </c>
      <c r="C3074" t="s">
        <v>109</v>
      </c>
      <c r="D3074" s="13" t="s">
        <v>633</v>
      </c>
      <c r="E3074" t="s">
        <v>328</v>
      </c>
      <c r="F3074" s="11">
        <v>1</v>
      </c>
      <c r="G3074" s="11">
        <v>37815.129999999997</v>
      </c>
    </row>
    <row r="3075" spans="2:7" x14ac:dyDescent="0.2">
      <c r="B3075" s="32">
        <v>45883</v>
      </c>
      <c r="C3075" t="s">
        <v>109</v>
      </c>
      <c r="D3075" s="13" t="s">
        <v>633</v>
      </c>
      <c r="E3075" t="s">
        <v>206</v>
      </c>
      <c r="F3075" s="11">
        <v>1</v>
      </c>
      <c r="G3075" s="11">
        <v>37815.120000000003</v>
      </c>
    </row>
    <row r="3076" spans="2:7" x14ac:dyDescent="0.2">
      <c r="B3076" s="32">
        <v>45883</v>
      </c>
      <c r="C3076" t="s">
        <v>109</v>
      </c>
      <c r="D3076" s="13" t="s">
        <v>633</v>
      </c>
      <c r="E3076" t="s">
        <v>322</v>
      </c>
      <c r="F3076" s="11">
        <v>1</v>
      </c>
      <c r="G3076" s="11">
        <v>29000</v>
      </c>
    </row>
    <row r="3077" spans="2:7" x14ac:dyDescent="0.2">
      <c r="B3077" s="32">
        <v>45883</v>
      </c>
      <c r="C3077" t="s">
        <v>109</v>
      </c>
      <c r="D3077" s="13" t="s">
        <v>633</v>
      </c>
      <c r="E3077" t="s">
        <v>342</v>
      </c>
      <c r="F3077" s="11">
        <v>0</v>
      </c>
      <c r="G3077" s="11">
        <v>21848.74</v>
      </c>
    </row>
    <row r="3078" spans="2:7" x14ac:dyDescent="0.2">
      <c r="B3078" s="32">
        <v>45883</v>
      </c>
      <c r="C3078" t="s">
        <v>109</v>
      </c>
      <c r="D3078" s="13" t="s">
        <v>633</v>
      </c>
      <c r="E3078" t="s">
        <v>1977</v>
      </c>
      <c r="F3078" s="11">
        <v>0</v>
      </c>
      <c r="G3078" s="11">
        <v>15126.05</v>
      </c>
    </row>
    <row r="3079" spans="2:7" x14ac:dyDescent="0.2">
      <c r="B3079" s="32">
        <v>45883</v>
      </c>
      <c r="C3079" t="s">
        <v>109</v>
      </c>
      <c r="D3079" s="13" t="s">
        <v>633</v>
      </c>
      <c r="E3079" t="s">
        <v>397</v>
      </c>
      <c r="F3079" s="11">
        <v>0</v>
      </c>
      <c r="G3079" s="11">
        <v>-970588.24</v>
      </c>
    </row>
    <row r="3080" spans="2:7" x14ac:dyDescent="0.2">
      <c r="B3080" s="32">
        <v>45884</v>
      </c>
      <c r="C3080" t="s">
        <v>142</v>
      </c>
      <c r="D3080" s="13"/>
      <c r="E3080" t="s">
        <v>203</v>
      </c>
      <c r="F3080" s="11">
        <v>1</v>
      </c>
      <c r="G3080" s="11">
        <v>0</v>
      </c>
    </row>
    <row r="3081" spans="2:7" x14ac:dyDescent="0.2">
      <c r="B3081" s="32">
        <v>45884</v>
      </c>
      <c r="C3081" t="s">
        <v>142</v>
      </c>
      <c r="D3081" s="13"/>
      <c r="E3081" t="s">
        <v>166</v>
      </c>
      <c r="F3081" s="11">
        <v>1</v>
      </c>
      <c r="G3081" s="11">
        <v>0</v>
      </c>
    </row>
    <row r="3082" spans="2:7" x14ac:dyDescent="0.2">
      <c r="B3082" s="32">
        <v>45884</v>
      </c>
      <c r="C3082" t="s">
        <v>142</v>
      </c>
      <c r="D3082" s="13"/>
      <c r="E3082" t="s">
        <v>1834</v>
      </c>
      <c r="F3082" s="11">
        <v>1</v>
      </c>
      <c r="G3082" s="11">
        <v>0</v>
      </c>
    </row>
    <row r="3083" spans="2:7" x14ac:dyDescent="0.2">
      <c r="B3083" s="32">
        <v>45884</v>
      </c>
      <c r="C3083" t="s">
        <v>142</v>
      </c>
      <c r="D3083" s="13" t="s">
        <v>634</v>
      </c>
      <c r="E3083" t="s">
        <v>143</v>
      </c>
      <c r="F3083" s="11">
        <v>1</v>
      </c>
      <c r="G3083" s="11">
        <v>252100.84</v>
      </c>
    </row>
    <row r="3084" spans="2:7" x14ac:dyDescent="0.2">
      <c r="B3084" s="32">
        <v>45884</v>
      </c>
      <c r="C3084" t="s">
        <v>142</v>
      </c>
      <c r="D3084" s="13" t="s">
        <v>634</v>
      </c>
      <c r="E3084" t="s">
        <v>194</v>
      </c>
      <c r="F3084" s="11">
        <v>1</v>
      </c>
      <c r="G3084" s="11">
        <v>96638.66</v>
      </c>
    </row>
    <row r="3085" spans="2:7" x14ac:dyDescent="0.2">
      <c r="B3085" s="32">
        <v>45884</v>
      </c>
      <c r="C3085" t="s">
        <v>142</v>
      </c>
      <c r="D3085" s="13" t="s">
        <v>634</v>
      </c>
      <c r="E3085" t="s">
        <v>163</v>
      </c>
      <c r="F3085" s="11">
        <v>1</v>
      </c>
      <c r="G3085" s="11">
        <v>58823.53</v>
      </c>
    </row>
    <row r="3086" spans="2:7" x14ac:dyDescent="0.2">
      <c r="B3086" s="32">
        <v>45884</v>
      </c>
      <c r="C3086" t="s">
        <v>142</v>
      </c>
      <c r="D3086" s="13" t="s">
        <v>634</v>
      </c>
      <c r="E3086" t="s">
        <v>1796</v>
      </c>
      <c r="F3086" s="11">
        <v>1</v>
      </c>
      <c r="G3086" s="11">
        <v>21008.400000000001</v>
      </c>
    </row>
    <row r="3087" spans="2:7" x14ac:dyDescent="0.2">
      <c r="B3087" s="32">
        <v>45884</v>
      </c>
      <c r="C3087" t="s">
        <v>142</v>
      </c>
      <c r="D3087" s="13" t="s">
        <v>634</v>
      </c>
      <c r="F3087" s="11">
        <v>0</v>
      </c>
      <c r="G3087" s="11">
        <v>0</v>
      </c>
    </row>
    <row r="3088" spans="2:7" x14ac:dyDescent="0.2">
      <c r="B3088" s="32">
        <v>45884</v>
      </c>
      <c r="C3088" t="s">
        <v>142</v>
      </c>
      <c r="D3088" s="13" t="s">
        <v>633</v>
      </c>
      <c r="E3088" t="s">
        <v>1800</v>
      </c>
      <c r="F3088" s="11">
        <v>2</v>
      </c>
      <c r="G3088" s="11">
        <v>373109.24</v>
      </c>
    </row>
    <row r="3089" spans="2:7" x14ac:dyDescent="0.2">
      <c r="B3089" s="32">
        <v>45884</v>
      </c>
      <c r="C3089" t="s">
        <v>142</v>
      </c>
      <c r="D3089" s="13" t="s">
        <v>633</v>
      </c>
      <c r="E3089" t="s">
        <v>279</v>
      </c>
      <c r="F3089" s="11">
        <v>1</v>
      </c>
      <c r="G3089" s="11">
        <v>58823.53</v>
      </c>
    </row>
    <row r="3090" spans="2:7" x14ac:dyDescent="0.2">
      <c r="B3090" s="32">
        <v>45884</v>
      </c>
      <c r="C3090" t="s">
        <v>142</v>
      </c>
      <c r="D3090" s="13" t="s">
        <v>633</v>
      </c>
      <c r="E3090" t="s">
        <v>233</v>
      </c>
      <c r="F3090" s="11">
        <v>1</v>
      </c>
      <c r="G3090" s="11">
        <v>58823.53</v>
      </c>
    </row>
    <row r="3091" spans="2:7" x14ac:dyDescent="0.2">
      <c r="B3091" s="32">
        <v>45884</v>
      </c>
      <c r="C3091" t="s">
        <v>142</v>
      </c>
      <c r="D3091" s="13" t="s">
        <v>633</v>
      </c>
      <c r="E3091" t="s">
        <v>295</v>
      </c>
      <c r="F3091" s="11">
        <v>1</v>
      </c>
      <c r="G3091" s="11">
        <v>54621.85</v>
      </c>
    </row>
    <row r="3092" spans="2:7" x14ac:dyDescent="0.2">
      <c r="B3092" s="32">
        <v>45884</v>
      </c>
      <c r="C3092" t="s">
        <v>142</v>
      </c>
      <c r="D3092" s="13" t="s">
        <v>633</v>
      </c>
      <c r="E3092" t="s">
        <v>212</v>
      </c>
      <c r="F3092" s="11">
        <v>1</v>
      </c>
      <c r="G3092" s="11">
        <v>54621.85</v>
      </c>
    </row>
    <row r="3093" spans="2:7" x14ac:dyDescent="0.2">
      <c r="B3093" s="32">
        <v>45884</v>
      </c>
      <c r="C3093" t="s">
        <v>142</v>
      </c>
      <c r="D3093" s="13" t="s">
        <v>633</v>
      </c>
      <c r="E3093" t="s">
        <v>1978</v>
      </c>
      <c r="F3093" s="11">
        <v>1</v>
      </c>
      <c r="G3093" s="11">
        <v>50420.17</v>
      </c>
    </row>
    <row r="3094" spans="2:7" x14ac:dyDescent="0.2">
      <c r="B3094" s="32">
        <v>45884</v>
      </c>
      <c r="C3094" t="s">
        <v>142</v>
      </c>
      <c r="D3094" s="13" t="s">
        <v>633</v>
      </c>
      <c r="E3094" t="s">
        <v>1858</v>
      </c>
      <c r="F3094" s="11">
        <v>8</v>
      </c>
      <c r="G3094" s="11">
        <v>48403.360000000001</v>
      </c>
    </row>
    <row r="3095" spans="2:7" x14ac:dyDescent="0.2">
      <c r="B3095" s="32">
        <v>45884</v>
      </c>
      <c r="C3095" t="s">
        <v>142</v>
      </c>
      <c r="D3095" s="13" t="s">
        <v>633</v>
      </c>
      <c r="E3095" t="s">
        <v>195</v>
      </c>
      <c r="F3095" s="11">
        <v>1</v>
      </c>
      <c r="G3095" s="11">
        <v>46218.49</v>
      </c>
    </row>
    <row r="3096" spans="2:7" x14ac:dyDescent="0.2">
      <c r="B3096" s="32">
        <v>45884</v>
      </c>
      <c r="C3096" t="s">
        <v>142</v>
      </c>
      <c r="D3096" s="13" t="s">
        <v>633</v>
      </c>
      <c r="E3096" t="s">
        <v>203</v>
      </c>
      <c r="F3096" s="11">
        <v>1</v>
      </c>
      <c r="G3096" s="11">
        <v>42016.81</v>
      </c>
    </row>
    <row r="3097" spans="2:7" x14ac:dyDescent="0.2">
      <c r="B3097" s="32">
        <v>45884</v>
      </c>
      <c r="C3097" t="s">
        <v>142</v>
      </c>
      <c r="D3097" s="13" t="s">
        <v>633</v>
      </c>
      <c r="E3097" t="s">
        <v>166</v>
      </c>
      <c r="F3097" s="11">
        <v>1</v>
      </c>
      <c r="G3097" s="11">
        <v>42016.81</v>
      </c>
    </row>
    <row r="3098" spans="2:7" x14ac:dyDescent="0.2">
      <c r="B3098" s="32">
        <v>45884</v>
      </c>
      <c r="C3098" t="s">
        <v>142</v>
      </c>
      <c r="D3098" s="13" t="s">
        <v>633</v>
      </c>
      <c r="F3098" s="11">
        <v>1</v>
      </c>
      <c r="G3098" s="11">
        <v>21008.400000000001</v>
      </c>
    </row>
    <row r="3099" spans="2:7" x14ac:dyDescent="0.2">
      <c r="B3099" s="32">
        <v>45884</v>
      </c>
      <c r="C3099" t="s">
        <v>142</v>
      </c>
      <c r="D3099" s="13" t="s">
        <v>633</v>
      </c>
      <c r="E3099" t="s">
        <v>1796</v>
      </c>
      <c r="F3099" s="11">
        <v>1</v>
      </c>
      <c r="G3099" s="11">
        <v>21008.400000000001</v>
      </c>
    </row>
    <row r="3100" spans="2:7" x14ac:dyDescent="0.2">
      <c r="B3100" s="32">
        <v>45884</v>
      </c>
      <c r="C3100" t="s">
        <v>109</v>
      </c>
      <c r="D3100" s="13"/>
      <c r="E3100" t="s">
        <v>654</v>
      </c>
      <c r="F3100" s="11">
        <v>0</v>
      </c>
      <c r="G3100" s="11">
        <v>54621.85</v>
      </c>
    </row>
    <row r="3101" spans="2:7" x14ac:dyDescent="0.2">
      <c r="B3101" s="32">
        <v>45884</v>
      </c>
      <c r="C3101" t="s">
        <v>109</v>
      </c>
      <c r="D3101" s="13"/>
      <c r="E3101" t="s">
        <v>309</v>
      </c>
      <c r="F3101" s="11">
        <v>1</v>
      </c>
      <c r="G3101" s="11">
        <v>42016.81</v>
      </c>
    </row>
    <row r="3102" spans="2:7" x14ac:dyDescent="0.2">
      <c r="B3102" s="32">
        <v>45884</v>
      </c>
      <c r="C3102" t="s">
        <v>109</v>
      </c>
      <c r="D3102" s="13"/>
      <c r="F3102" s="11">
        <v>1</v>
      </c>
      <c r="G3102" s="11">
        <v>21008.400000000001</v>
      </c>
    </row>
    <row r="3103" spans="2:7" x14ac:dyDescent="0.2">
      <c r="B3103" s="32">
        <v>45884</v>
      </c>
      <c r="C3103" t="s">
        <v>109</v>
      </c>
      <c r="D3103" s="13" t="s">
        <v>634</v>
      </c>
      <c r="E3103" t="s">
        <v>245</v>
      </c>
      <c r="F3103" s="11">
        <v>1</v>
      </c>
      <c r="G3103" s="11">
        <v>126050.42</v>
      </c>
    </row>
    <row r="3104" spans="2:7" x14ac:dyDescent="0.2">
      <c r="B3104" s="32">
        <v>45884</v>
      </c>
      <c r="C3104" t="s">
        <v>109</v>
      </c>
      <c r="D3104" s="13" t="s">
        <v>634</v>
      </c>
      <c r="E3104" t="s">
        <v>328</v>
      </c>
      <c r="F3104" s="11">
        <v>2</v>
      </c>
      <c r="G3104" s="11">
        <v>75630.25</v>
      </c>
    </row>
    <row r="3105" spans="2:7" x14ac:dyDescent="0.2">
      <c r="B3105" s="32">
        <v>45884</v>
      </c>
      <c r="C3105" t="s">
        <v>109</v>
      </c>
      <c r="D3105" s="13" t="s">
        <v>634</v>
      </c>
      <c r="E3105" t="s">
        <v>146</v>
      </c>
      <c r="F3105" s="11">
        <v>1</v>
      </c>
      <c r="G3105" s="11">
        <v>46218.49</v>
      </c>
    </row>
    <row r="3106" spans="2:7" x14ac:dyDescent="0.2">
      <c r="B3106" s="32">
        <v>45884</v>
      </c>
      <c r="C3106" t="s">
        <v>109</v>
      </c>
      <c r="D3106" s="13" t="s">
        <v>634</v>
      </c>
      <c r="E3106" t="s">
        <v>198</v>
      </c>
      <c r="F3106" s="11">
        <v>1</v>
      </c>
      <c r="G3106" s="11">
        <v>46218.49</v>
      </c>
    </row>
    <row r="3107" spans="2:7" x14ac:dyDescent="0.2">
      <c r="B3107" s="32">
        <v>45884</v>
      </c>
      <c r="C3107" t="s">
        <v>109</v>
      </c>
      <c r="D3107" s="13" t="s">
        <v>634</v>
      </c>
      <c r="E3107" t="s">
        <v>195</v>
      </c>
      <c r="F3107" s="11">
        <v>1</v>
      </c>
      <c r="G3107" s="11">
        <v>46218.49</v>
      </c>
    </row>
    <row r="3108" spans="2:7" x14ac:dyDescent="0.2">
      <c r="B3108" s="32">
        <v>45884</v>
      </c>
      <c r="C3108" t="s">
        <v>109</v>
      </c>
      <c r="D3108" s="13" t="s">
        <v>634</v>
      </c>
      <c r="E3108" t="s">
        <v>144</v>
      </c>
      <c r="F3108" s="11">
        <v>3</v>
      </c>
      <c r="G3108" s="11">
        <v>41176.47</v>
      </c>
    </row>
    <row r="3109" spans="2:7" x14ac:dyDescent="0.2">
      <c r="B3109" s="32">
        <v>45884</v>
      </c>
      <c r="C3109" t="s">
        <v>109</v>
      </c>
      <c r="D3109" s="13" t="s">
        <v>633</v>
      </c>
      <c r="E3109" t="s">
        <v>150</v>
      </c>
      <c r="F3109" s="11">
        <v>1</v>
      </c>
      <c r="G3109" s="11">
        <v>42016.81</v>
      </c>
    </row>
    <row r="3110" spans="2:7" x14ac:dyDescent="0.2">
      <c r="B3110" s="32">
        <v>45884</v>
      </c>
      <c r="C3110" t="s">
        <v>109</v>
      </c>
      <c r="D3110" s="13" t="s">
        <v>633</v>
      </c>
      <c r="E3110" t="s">
        <v>148</v>
      </c>
      <c r="F3110" s="11">
        <v>1</v>
      </c>
      <c r="G3110" s="11">
        <v>37815.129999999997</v>
      </c>
    </row>
    <row r="3111" spans="2:7" x14ac:dyDescent="0.2">
      <c r="B3111" s="32">
        <v>45885</v>
      </c>
      <c r="C3111" t="s">
        <v>142</v>
      </c>
      <c r="D3111" s="13" t="s">
        <v>634</v>
      </c>
      <c r="E3111" t="s">
        <v>479</v>
      </c>
      <c r="F3111" s="11">
        <v>1</v>
      </c>
      <c r="G3111" s="11">
        <v>58823.53</v>
      </c>
    </row>
    <row r="3112" spans="2:7" x14ac:dyDescent="0.2">
      <c r="B3112" s="32">
        <v>45885</v>
      </c>
      <c r="C3112" t="s">
        <v>142</v>
      </c>
      <c r="D3112" s="13" t="s">
        <v>634</v>
      </c>
      <c r="E3112" t="s">
        <v>233</v>
      </c>
      <c r="F3112" s="11">
        <v>1</v>
      </c>
      <c r="G3112" s="11">
        <v>58823.53</v>
      </c>
    </row>
    <row r="3113" spans="2:7" x14ac:dyDescent="0.2">
      <c r="B3113" s="32">
        <v>45885</v>
      </c>
      <c r="C3113" t="s">
        <v>142</v>
      </c>
      <c r="D3113" s="13" t="s">
        <v>634</v>
      </c>
      <c r="E3113" t="s">
        <v>325</v>
      </c>
      <c r="F3113" s="11">
        <v>1</v>
      </c>
      <c r="G3113" s="11">
        <v>58823.53</v>
      </c>
    </row>
    <row r="3114" spans="2:7" x14ac:dyDescent="0.2">
      <c r="B3114" s="32">
        <v>45885</v>
      </c>
      <c r="C3114" t="s">
        <v>142</v>
      </c>
      <c r="D3114" s="13" t="s">
        <v>633</v>
      </c>
      <c r="E3114" t="s">
        <v>1979</v>
      </c>
      <c r="F3114" s="11">
        <v>4</v>
      </c>
      <c r="G3114" s="11">
        <v>1210084.03</v>
      </c>
    </row>
    <row r="3115" spans="2:7" x14ac:dyDescent="0.2">
      <c r="B3115" s="32">
        <v>45885</v>
      </c>
      <c r="C3115" t="s">
        <v>142</v>
      </c>
      <c r="D3115" s="13" t="s">
        <v>633</v>
      </c>
      <c r="E3115" t="s">
        <v>738</v>
      </c>
      <c r="F3115" s="11">
        <v>2</v>
      </c>
      <c r="G3115" s="11">
        <v>252100.84</v>
      </c>
    </row>
    <row r="3116" spans="2:7" x14ac:dyDescent="0.2">
      <c r="B3116" s="32">
        <v>45885</v>
      </c>
      <c r="C3116" t="s">
        <v>142</v>
      </c>
      <c r="D3116" s="13" t="s">
        <v>633</v>
      </c>
      <c r="E3116" t="s">
        <v>285</v>
      </c>
      <c r="F3116" s="11">
        <v>1</v>
      </c>
      <c r="G3116" s="11">
        <v>58823.53</v>
      </c>
    </row>
    <row r="3117" spans="2:7" x14ac:dyDescent="0.2">
      <c r="B3117" s="32">
        <v>45885</v>
      </c>
      <c r="C3117" t="s">
        <v>142</v>
      </c>
      <c r="D3117" s="13" t="s">
        <v>633</v>
      </c>
      <c r="E3117" t="s">
        <v>205</v>
      </c>
      <c r="F3117" s="11">
        <v>1</v>
      </c>
      <c r="G3117" s="11">
        <v>58823.53</v>
      </c>
    </row>
    <row r="3118" spans="2:7" x14ac:dyDescent="0.2">
      <c r="B3118" s="32">
        <v>45885</v>
      </c>
      <c r="C3118" t="s">
        <v>142</v>
      </c>
      <c r="D3118" s="13" t="s">
        <v>633</v>
      </c>
      <c r="E3118" t="s">
        <v>374</v>
      </c>
      <c r="F3118" s="11">
        <v>1</v>
      </c>
      <c r="G3118" s="11">
        <v>58823.519999999997</v>
      </c>
    </row>
    <row r="3119" spans="2:7" x14ac:dyDescent="0.2">
      <c r="B3119" s="32">
        <v>45885</v>
      </c>
      <c r="C3119" t="s">
        <v>142</v>
      </c>
      <c r="D3119" s="13" t="s">
        <v>633</v>
      </c>
      <c r="E3119" t="s">
        <v>540</v>
      </c>
      <c r="F3119" s="11">
        <v>1</v>
      </c>
      <c r="G3119" s="11">
        <v>46218.49</v>
      </c>
    </row>
    <row r="3120" spans="2:7" x14ac:dyDescent="0.2">
      <c r="B3120" s="32">
        <v>45885</v>
      </c>
      <c r="C3120" t="s">
        <v>142</v>
      </c>
      <c r="D3120" s="13" t="s">
        <v>633</v>
      </c>
      <c r="E3120" t="s">
        <v>234</v>
      </c>
      <c r="F3120" s="11">
        <v>1</v>
      </c>
      <c r="G3120" s="11">
        <v>37815.129999999997</v>
      </c>
    </row>
    <row r="3121" spans="2:7" x14ac:dyDescent="0.2">
      <c r="B3121" s="32">
        <v>45885</v>
      </c>
      <c r="C3121" t="s">
        <v>142</v>
      </c>
      <c r="D3121" s="13" t="s">
        <v>633</v>
      </c>
      <c r="E3121" t="s">
        <v>330</v>
      </c>
      <c r="F3121" s="11">
        <v>1</v>
      </c>
      <c r="G3121" s="11">
        <v>37815.129999999997</v>
      </c>
    </row>
    <row r="3122" spans="2:7" x14ac:dyDescent="0.2">
      <c r="B3122" s="32">
        <v>45885</v>
      </c>
      <c r="C3122" t="s">
        <v>142</v>
      </c>
      <c r="D3122" s="13" t="s">
        <v>633</v>
      </c>
      <c r="E3122" t="s">
        <v>144</v>
      </c>
      <c r="F3122" s="11">
        <v>1</v>
      </c>
      <c r="G3122" s="11">
        <v>35294.120000000003</v>
      </c>
    </row>
    <row r="3123" spans="2:7" x14ac:dyDescent="0.2">
      <c r="B3123" s="32">
        <v>45885</v>
      </c>
      <c r="C3123" t="s">
        <v>110</v>
      </c>
      <c r="D3123" s="13" t="s">
        <v>634</v>
      </c>
      <c r="E3123" t="s">
        <v>1749</v>
      </c>
      <c r="F3123" s="11">
        <v>1</v>
      </c>
      <c r="G3123" s="11">
        <v>46218.49</v>
      </c>
    </row>
    <row r="3124" spans="2:7" x14ac:dyDescent="0.2">
      <c r="B3124" s="32">
        <v>45885</v>
      </c>
      <c r="C3124" t="s">
        <v>110</v>
      </c>
      <c r="D3124" s="13" t="s">
        <v>633</v>
      </c>
      <c r="E3124" t="s">
        <v>382</v>
      </c>
      <c r="F3124" s="11">
        <v>1</v>
      </c>
      <c r="G3124" s="11">
        <v>37815.129999999997</v>
      </c>
    </row>
    <row r="3125" spans="2:7" x14ac:dyDescent="0.2">
      <c r="B3125" s="32">
        <v>45885</v>
      </c>
      <c r="C3125" t="s">
        <v>109</v>
      </c>
      <c r="D3125" s="13"/>
      <c r="F3125" s="11">
        <v>1</v>
      </c>
      <c r="G3125" s="11">
        <v>121848.74</v>
      </c>
    </row>
    <row r="3126" spans="2:7" x14ac:dyDescent="0.2">
      <c r="B3126" s="32">
        <v>45885</v>
      </c>
      <c r="C3126" t="s">
        <v>109</v>
      </c>
      <c r="D3126" s="13"/>
      <c r="E3126" t="s">
        <v>328</v>
      </c>
      <c r="F3126" s="11">
        <v>1</v>
      </c>
      <c r="G3126" s="11">
        <v>37815.129999999997</v>
      </c>
    </row>
    <row r="3127" spans="2:7" x14ac:dyDescent="0.2">
      <c r="B3127" s="32">
        <v>45885</v>
      </c>
      <c r="C3127" t="s">
        <v>109</v>
      </c>
      <c r="D3127" s="13" t="s">
        <v>634</v>
      </c>
      <c r="E3127" t="s">
        <v>194</v>
      </c>
      <c r="F3127" s="11">
        <v>2</v>
      </c>
      <c r="G3127" s="11">
        <v>193277.31</v>
      </c>
    </row>
    <row r="3128" spans="2:7" x14ac:dyDescent="0.2">
      <c r="B3128" s="32">
        <v>45885</v>
      </c>
      <c r="C3128" t="s">
        <v>109</v>
      </c>
      <c r="D3128" s="13" t="s">
        <v>634</v>
      </c>
      <c r="E3128" t="s">
        <v>646</v>
      </c>
      <c r="F3128" s="11">
        <v>1</v>
      </c>
      <c r="G3128" s="11">
        <v>113445.38</v>
      </c>
    </row>
    <row r="3129" spans="2:7" x14ac:dyDescent="0.2">
      <c r="B3129" s="32">
        <v>45885</v>
      </c>
      <c r="C3129" t="s">
        <v>109</v>
      </c>
      <c r="D3129" s="13" t="s">
        <v>634</v>
      </c>
      <c r="E3129" t="s">
        <v>1956</v>
      </c>
      <c r="F3129" s="11">
        <v>1</v>
      </c>
      <c r="G3129" s="11">
        <v>69000</v>
      </c>
    </row>
    <row r="3130" spans="2:7" x14ac:dyDescent="0.2">
      <c r="B3130" s="32">
        <v>45885</v>
      </c>
      <c r="C3130" t="s">
        <v>109</v>
      </c>
      <c r="D3130" s="13" t="s">
        <v>634</v>
      </c>
      <c r="E3130" t="s">
        <v>162</v>
      </c>
      <c r="F3130" s="11">
        <v>1</v>
      </c>
      <c r="G3130" s="11">
        <v>58823.53</v>
      </c>
    </row>
    <row r="3131" spans="2:7" x14ac:dyDescent="0.2">
      <c r="B3131" s="32">
        <v>45885</v>
      </c>
      <c r="C3131" t="s">
        <v>109</v>
      </c>
      <c r="D3131" s="13" t="s">
        <v>634</v>
      </c>
      <c r="E3131" t="s">
        <v>430</v>
      </c>
      <c r="F3131" s="11">
        <v>1</v>
      </c>
      <c r="G3131" s="11">
        <v>58823.53</v>
      </c>
    </row>
    <row r="3132" spans="2:7" x14ac:dyDescent="0.2">
      <c r="B3132" s="32">
        <v>45885</v>
      </c>
      <c r="C3132" t="s">
        <v>109</v>
      </c>
      <c r="D3132" s="13" t="s">
        <v>634</v>
      </c>
      <c r="E3132" t="s">
        <v>454</v>
      </c>
      <c r="F3132" s="11">
        <v>1</v>
      </c>
      <c r="G3132" s="11">
        <v>58823.53</v>
      </c>
    </row>
    <row r="3133" spans="2:7" x14ac:dyDescent="0.2">
      <c r="B3133" s="32">
        <v>45885</v>
      </c>
      <c r="C3133" t="s">
        <v>109</v>
      </c>
      <c r="D3133" s="13" t="s">
        <v>634</v>
      </c>
      <c r="E3133" t="s">
        <v>1948</v>
      </c>
      <c r="F3133" s="11">
        <v>1</v>
      </c>
      <c r="G3133" s="11">
        <v>58823.519999999997</v>
      </c>
    </row>
    <row r="3134" spans="2:7" x14ac:dyDescent="0.2">
      <c r="B3134" s="32">
        <v>45885</v>
      </c>
      <c r="C3134" t="s">
        <v>109</v>
      </c>
      <c r="D3134" s="13" t="s">
        <v>634</v>
      </c>
      <c r="E3134" t="s">
        <v>144</v>
      </c>
      <c r="F3134" s="11">
        <v>2</v>
      </c>
      <c r="G3134" s="11">
        <v>48739.5</v>
      </c>
    </row>
    <row r="3135" spans="2:7" x14ac:dyDescent="0.2">
      <c r="B3135" s="32">
        <v>45885</v>
      </c>
      <c r="C3135" t="s">
        <v>109</v>
      </c>
      <c r="D3135" s="13" t="s">
        <v>634</v>
      </c>
      <c r="E3135" t="s">
        <v>836</v>
      </c>
      <c r="F3135" s="11">
        <v>1</v>
      </c>
      <c r="G3135" s="11">
        <v>46218.49</v>
      </c>
    </row>
    <row r="3136" spans="2:7" x14ac:dyDescent="0.2">
      <c r="B3136" s="32">
        <v>45885</v>
      </c>
      <c r="C3136" t="s">
        <v>109</v>
      </c>
      <c r="D3136" s="13" t="s">
        <v>634</v>
      </c>
      <c r="E3136" t="s">
        <v>170</v>
      </c>
      <c r="F3136" s="11">
        <v>1</v>
      </c>
      <c r="G3136" s="11">
        <v>46218.49</v>
      </c>
    </row>
    <row r="3137" spans="2:7" x14ac:dyDescent="0.2">
      <c r="B3137" s="32">
        <v>45885</v>
      </c>
      <c r="C3137" t="s">
        <v>109</v>
      </c>
      <c r="D3137" s="13" t="s">
        <v>634</v>
      </c>
      <c r="E3137" t="s">
        <v>337</v>
      </c>
      <c r="F3137" s="11">
        <v>1</v>
      </c>
      <c r="G3137" s="11">
        <v>46218.49</v>
      </c>
    </row>
    <row r="3138" spans="2:7" x14ac:dyDescent="0.2">
      <c r="B3138" s="32">
        <v>45885</v>
      </c>
      <c r="C3138" t="s">
        <v>109</v>
      </c>
      <c r="D3138" s="13" t="s">
        <v>634</v>
      </c>
      <c r="E3138" t="s">
        <v>215</v>
      </c>
      <c r="F3138" s="11">
        <v>1</v>
      </c>
      <c r="G3138" s="11">
        <v>46218.48</v>
      </c>
    </row>
    <row r="3139" spans="2:7" x14ac:dyDescent="0.2">
      <c r="B3139" s="32">
        <v>45885</v>
      </c>
      <c r="C3139" t="s">
        <v>109</v>
      </c>
      <c r="D3139" s="13" t="s">
        <v>634</v>
      </c>
      <c r="E3139" t="s">
        <v>166</v>
      </c>
      <c r="F3139" s="11">
        <v>1</v>
      </c>
      <c r="G3139" s="11">
        <v>42016.81</v>
      </c>
    </row>
    <row r="3140" spans="2:7" x14ac:dyDescent="0.2">
      <c r="B3140" s="32">
        <v>45885</v>
      </c>
      <c r="C3140" t="s">
        <v>109</v>
      </c>
      <c r="D3140" s="13" t="s">
        <v>634</v>
      </c>
      <c r="E3140" t="s">
        <v>1977</v>
      </c>
      <c r="F3140" s="11">
        <v>1</v>
      </c>
      <c r="G3140" s="11">
        <v>15126.05</v>
      </c>
    </row>
    <row r="3141" spans="2:7" x14ac:dyDescent="0.2">
      <c r="B3141" s="32">
        <v>45885</v>
      </c>
      <c r="C3141" t="s">
        <v>109</v>
      </c>
      <c r="D3141" s="13" t="s">
        <v>634</v>
      </c>
      <c r="F3141" s="11">
        <v>0</v>
      </c>
      <c r="G3141" s="11">
        <v>0</v>
      </c>
    </row>
    <row r="3142" spans="2:7" x14ac:dyDescent="0.2">
      <c r="B3142" s="32">
        <v>45885</v>
      </c>
      <c r="C3142" t="s">
        <v>109</v>
      </c>
      <c r="D3142" s="13" t="s">
        <v>633</v>
      </c>
      <c r="E3142" t="s">
        <v>368</v>
      </c>
      <c r="F3142" s="11">
        <v>3</v>
      </c>
      <c r="G3142" s="11">
        <v>226890.76</v>
      </c>
    </row>
    <row r="3143" spans="2:7" x14ac:dyDescent="0.2">
      <c r="B3143" s="32">
        <v>45885</v>
      </c>
      <c r="C3143" t="s">
        <v>109</v>
      </c>
      <c r="D3143" s="13" t="s">
        <v>633</v>
      </c>
      <c r="E3143" t="s">
        <v>645</v>
      </c>
      <c r="F3143" s="11">
        <v>1</v>
      </c>
      <c r="G3143" s="11">
        <v>151260.5</v>
      </c>
    </row>
    <row r="3144" spans="2:7" x14ac:dyDescent="0.2">
      <c r="B3144" s="32">
        <v>45885</v>
      </c>
      <c r="C3144" t="s">
        <v>109</v>
      </c>
      <c r="D3144" s="13" t="s">
        <v>633</v>
      </c>
      <c r="E3144" t="s">
        <v>168</v>
      </c>
      <c r="F3144" s="11">
        <v>2</v>
      </c>
      <c r="G3144" s="11">
        <v>84033.61</v>
      </c>
    </row>
    <row r="3145" spans="2:7" x14ac:dyDescent="0.2">
      <c r="B3145" s="32">
        <v>45885</v>
      </c>
      <c r="C3145" t="s">
        <v>109</v>
      </c>
      <c r="D3145" s="13" t="s">
        <v>633</v>
      </c>
      <c r="E3145" t="s">
        <v>1968</v>
      </c>
      <c r="F3145" s="11">
        <v>2</v>
      </c>
      <c r="G3145" s="11">
        <v>84033.61</v>
      </c>
    </row>
    <row r="3146" spans="2:7" x14ac:dyDescent="0.2">
      <c r="B3146" s="32">
        <v>45885</v>
      </c>
      <c r="C3146" t="s">
        <v>109</v>
      </c>
      <c r="D3146" s="13" t="s">
        <v>633</v>
      </c>
      <c r="E3146" t="s">
        <v>184</v>
      </c>
      <c r="F3146" s="11">
        <v>1</v>
      </c>
      <c r="G3146" s="11">
        <v>84033.61</v>
      </c>
    </row>
    <row r="3147" spans="2:7" x14ac:dyDescent="0.2">
      <c r="B3147" s="32">
        <v>45885</v>
      </c>
      <c r="C3147" t="s">
        <v>109</v>
      </c>
      <c r="D3147" s="13" t="s">
        <v>633</v>
      </c>
      <c r="E3147" t="s">
        <v>192</v>
      </c>
      <c r="F3147" s="11">
        <v>1</v>
      </c>
      <c r="G3147" s="11">
        <v>71428.570000000007</v>
      </c>
    </row>
    <row r="3148" spans="2:7" x14ac:dyDescent="0.2">
      <c r="B3148" s="32">
        <v>45885</v>
      </c>
      <c r="C3148" t="s">
        <v>109</v>
      </c>
      <c r="D3148" s="13" t="s">
        <v>633</v>
      </c>
      <c r="E3148" t="s">
        <v>144</v>
      </c>
      <c r="F3148" s="11">
        <v>2</v>
      </c>
      <c r="G3148" s="11">
        <v>60504.2</v>
      </c>
    </row>
    <row r="3149" spans="2:7" x14ac:dyDescent="0.2">
      <c r="B3149" s="32">
        <v>45885</v>
      </c>
      <c r="C3149" t="s">
        <v>109</v>
      </c>
      <c r="D3149" s="13" t="s">
        <v>633</v>
      </c>
      <c r="E3149" t="s">
        <v>616</v>
      </c>
      <c r="F3149" s="11">
        <v>1</v>
      </c>
      <c r="G3149" s="11">
        <v>54621.85</v>
      </c>
    </row>
    <row r="3150" spans="2:7" x14ac:dyDescent="0.2">
      <c r="B3150" s="32">
        <v>45885</v>
      </c>
      <c r="C3150" t="s">
        <v>109</v>
      </c>
      <c r="D3150" s="13" t="s">
        <v>633</v>
      </c>
      <c r="E3150" t="s">
        <v>197</v>
      </c>
      <c r="F3150" s="11">
        <v>1</v>
      </c>
      <c r="G3150" s="11">
        <v>54621.85</v>
      </c>
    </row>
    <row r="3151" spans="2:7" x14ac:dyDescent="0.2">
      <c r="B3151" s="32">
        <v>45885</v>
      </c>
      <c r="C3151" t="s">
        <v>109</v>
      </c>
      <c r="D3151" s="13" t="s">
        <v>633</v>
      </c>
      <c r="E3151" t="s">
        <v>678</v>
      </c>
      <c r="F3151" s="11">
        <v>1</v>
      </c>
      <c r="G3151" s="11">
        <v>50420.17</v>
      </c>
    </row>
    <row r="3152" spans="2:7" x14ac:dyDescent="0.2">
      <c r="B3152" s="32">
        <v>45885</v>
      </c>
      <c r="C3152" t="s">
        <v>109</v>
      </c>
      <c r="D3152" s="13" t="s">
        <v>633</v>
      </c>
      <c r="E3152" t="s">
        <v>350</v>
      </c>
      <c r="F3152" s="11">
        <v>1</v>
      </c>
      <c r="G3152" s="11">
        <v>46218.49</v>
      </c>
    </row>
    <row r="3153" spans="2:7" x14ac:dyDescent="0.2">
      <c r="B3153" s="32">
        <v>45885</v>
      </c>
      <c r="C3153" t="s">
        <v>109</v>
      </c>
      <c r="D3153" s="13" t="s">
        <v>633</v>
      </c>
      <c r="E3153" t="s">
        <v>704</v>
      </c>
      <c r="F3153" s="11">
        <v>1</v>
      </c>
      <c r="G3153" s="11">
        <v>46218.49</v>
      </c>
    </row>
    <row r="3154" spans="2:7" x14ac:dyDescent="0.2">
      <c r="B3154" s="32">
        <v>45885</v>
      </c>
      <c r="C3154" t="s">
        <v>109</v>
      </c>
      <c r="D3154" s="13" t="s">
        <v>633</v>
      </c>
      <c r="E3154" t="s">
        <v>170</v>
      </c>
      <c r="F3154" s="11">
        <v>1</v>
      </c>
      <c r="G3154" s="11">
        <v>46218.48</v>
      </c>
    </row>
    <row r="3155" spans="2:7" x14ac:dyDescent="0.2">
      <c r="B3155" s="32">
        <v>45885</v>
      </c>
      <c r="C3155" t="s">
        <v>109</v>
      </c>
      <c r="D3155" s="13" t="s">
        <v>633</v>
      </c>
      <c r="E3155" t="s">
        <v>234</v>
      </c>
      <c r="F3155" s="11">
        <v>1</v>
      </c>
      <c r="G3155" s="11">
        <v>37815.129999999997</v>
      </c>
    </row>
    <row r="3156" spans="2:7" x14ac:dyDescent="0.2">
      <c r="B3156" s="32">
        <v>45885</v>
      </c>
      <c r="C3156" t="s">
        <v>109</v>
      </c>
      <c r="D3156" s="13" t="s">
        <v>633</v>
      </c>
      <c r="F3156" s="11">
        <v>0</v>
      </c>
      <c r="G3156" s="11">
        <v>0</v>
      </c>
    </row>
    <row r="3157" spans="2:7" x14ac:dyDescent="0.2">
      <c r="B3157" s="32">
        <v>45886</v>
      </c>
      <c r="C3157" t="s">
        <v>142</v>
      </c>
      <c r="D3157" s="13" t="s">
        <v>633</v>
      </c>
      <c r="E3157" t="s">
        <v>793</v>
      </c>
      <c r="F3157" s="11">
        <v>1</v>
      </c>
      <c r="G3157" s="11">
        <v>46218.49</v>
      </c>
    </row>
    <row r="3158" spans="2:7" x14ac:dyDescent="0.2">
      <c r="B3158" s="32">
        <v>45886</v>
      </c>
      <c r="C3158" t="s">
        <v>142</v>
      </c>
      <c r="D3158" s="13" t="s">
        <v>633</v>
      </c>
      <c r="F3158" s="11">
        <v>0</v>
      </c>
      <c r="G3158" s="11">
        <v>0</v>
      </c>
    </row>
    <row r="3159" spans="2:7" x14ac:dyDescent="0.2">
      <c r="B3159" s="32">
        <v>45886</v>
      </c>
      <c r="C3159" t="s">
        <v>109</v>
      </c>
      <c r="D3159" s="13" t="s">
        <v>634</v>
      </c>
      <c r="E3159" t="s">
        <v>258</v>
      </c>
      <c r="F3159" s="11">
        <v>1</v>
      </c>
      <c r="G3159" s="11">
        <v>54621.85</v>
      </c>
    </row>
    <row r="3160" spans="2:7" x14ac:dyDescent="0.2">
      <c r="B3160" s="32">
        <v>45886</v>
      </c>
      <c r="C3160" t="s">
        <v>109</v>
      </c>
      <c r="D3160" s="13" t="s">
        <v>633</v>
      </c>
      <c r="E3160" t="s">
        <v>245</v>
      </c>
      <c r="F3160" s="11">
        <v>0</v>
      </c>
      <c r="G3160" s="11">
        <v>378151.26</v>
      </c>
    </row>
    <row r="3161" spans="2:7" x14ac:dyDescent="0.2">
      <c r="B3161" s="32">
        <v>45886</v>
      </c>
      <c r="C3161" t="s">
        <v>109</v>
      </c>
      <c r="D3161" s="13" t="s">
        <v>633</v>
      </c>
      <c r="E3161" t="s">
        <v>318</v>
      </c>
      <c r="F3161" s="11">
        <v>1</v>
      </c>
      <c r="G3161" s="11">
        <v>109243.7</v>
      </c>
    </row>
    <row r="3162" spans="2:7" x14ac:dyDescent="0.2">
      <c r="B3162" s="32">
        <v>45886</v>
      </c>
      <c r="C3162" t="s">
        <v>109</v>
      </c>
      <c r="D3162" s="13" t="s">
        <v>633</v>
      </c>
      <c r="E3162" t="s">
        <v>418</v>
      </c>
      <c r="F3162" s="11">
        <v>1</v>
      </c>
      <c r="G3162" s="11">
        <v>100840.34</v>
      </c>
    </row>
    <row r="3163" spans="2:7" x14ac:dyDescent="0.2">
      <c r="B3163" s="32">
        <v>45886</v>
      </c>
      <c r="C3163" t="s">
        <v>109</v>
      </c>
      <c r="D3163" s="13" t="s">
        <v>633</v>
      </c>
      <c r="E3163" t="s">
        <v>628</v>
      </c>
      <c r="F3163" s="11">
        <v>2</v>
      </c>
      <c r="G3163" s="11">
        <v>92857.14</v>
      </c>
    </row>
    <row r="3164" spans="2:7" x14ac:dyDescent="0.2">
      <c r="B3164" s="32">
        <v>45886</v>
      </c>
      <c r="C3164" t="s">
        <v>109</v>
      </c>
      <c r="D3164" s="13" t="s">
        <v>633</v>
      </c>
      <c r="E3164" t="s">
        <v>404</v>
      </c>
      <c r="F3164" s="11">
        <v>1</v>
      </c>
      <c r="G3164" s="11">
        <v>65000</v>
      </c>
    </row>
    <row r="3165" spans="2:7" x14ac:dyDescent="0.2">
      <c r="B3165" s="32">
        <v>45886</v>
      </c>
      <c r="C3165" t="s">
        <v>109</v>
      </c>
      <c r="D3165" s="13" t="s">
        <v>633</v>
      </c>
      <c r="E3165" t="s">
        <v>282</v>
      </c>
      <c r="F3165" s="11">
        <v>1</v>
      </c>
      <c r="G3165" s="11">
        <v>58823.53</v>
      </c>
    </row>
    <row r="3166" spans="2:7" x14ac:dyDescent="0.2">
      <c r="B3166" s="32">
        <v>45886</v>
      </c>
      <c r="C3166" t="s">
        <v>109</v>
      </c>
      <c r="D3166" s="13" t="s">
        <v>633</v>
      </c>
      <c r="E3166" t="s">
        <v>533</v>
      </c>
      <c r="F3166" s="11">
        <v>1</v>
      </c>
      <c r="G3166" s="11">
        <v>58823.53</v>
      </c>
    </row>
    <row r="3167" spans="2:7" x14ac:dyDescent="0.2">
      <c r="B3167" s="32">
        <v>45886</v>
      </c>
      <c r="C3167" t="s">
        <v>109</v>
      </c>
      <c r="D3167" s="13" t="s">
        <v>633</v>
      </c>
      <c r="E3167" t="s">
        <v>243</v>
      </c>
      <c r="F3167" s="11">
        <v>1</v>
      </c>
      <c r="G3167" s="11">
        <v>54621.85</v>
      </c>
    </row>
    <row r="3168" spans="2:7" x14ac:dyDescent="0.2">
      <c r="B3168" s="32">
        <v>45886</v>
      </c>
      <c r="C3168" t="s">
        <v>109</v>
      </c>
      <c r="D3168" s="13" t="s">
        <v>633</v>
      </c>
      <c r="E3168" t="s">
        <v>616</v>
      </c>
      <c r="F3168" s="11">
        <v>1</v>
      </c>
      <c r="G3168" s="11">
        <v>54621.85</v>
      </c>
    </row>
    <row r="3169" spans="2:7" x14ac:dyDescent="0.2">
      <c r="B3169" s="32">
        <v>45886</v>
      </c>
      <c r="C3169" t="s">
        <v>109</v>
      </c>
      <c r="D3169" s="13" t="s">
        <v>633</v>
      </c>
      <c r="E3169" t="s">
        <v>217</v>
      </c>
      <c r="F3169" s="11">
        <v>1</v>
      </c>
      <c r="G3169" s="11">
        <v>54621.85</v>
      </c>
    </row>
    <row r="3170" spans="2:7" x14ac:dyDescent="0.2">
      <c r="B3170" s="32">
        <v>45886</v>
      </c>
      <c r="C3170" t="s">
        <v>109</v>
      </c>
      <c r="D3170" s="13" t="s">
        <v>633</v>
      </c>
      <c r="E3170" t="s">
        <v>166</v>
      </c>
      <c r="F3170" s="11">
        <v>1</v>
      </c>
      <c r="G3170" s="11">
        <v>42016.81</v>
      </c>
    </row>
    <row r="3171" spans="2:7" x14ac:dyDescent="0.2">
      <c r="B3171" s="32">
        <v>45886</v>
      </c>
      <c r="C3171" t="s">
        <v>109</v>
      </c>
      <c r="D3171" s="13" t="s">
        <v>633</v>
      </c>
      <c r="E3171" t="s">
        <v>328</v>
      </c>
      <c r="F3171" s="11">
        <v>1</v>
      </c>
      <c r="G3171" s="11">
        <v>37815.129999999997</v>
      </c>
    </row>
    <row r="3172" spans="2:7" x14ac:dyDescent="0.2">
      <c r="B3172" s="32">
        <v>45886</v>
      </c>
      <c r="C3172" t="s">
        <v>109</v>
      </c>
      <c r="D3172" s="13" t="s">
        <v>633</v>
      </c>
      <c r="E3172" t="s">
        <v>662</v>
      </c>
      <c r="F3172" s="11">
        <v>1</v>
      </c>
      <c r="G3172" s="11">
        <v>37815.120000000003</v>
      </c>
    </row>
    <row r="3173" spans="2:7" x14ac:dyDescent="0.2">
      <c r="B3173" s="32">
        <v>45886</v>
      </c>
      <c r="C3173" t="s">
        <v>109</v>
      </c>
      <c r="D3173" s="13" t="s">
        <v>633</v>
      </c>
      <c r="E3173" t="s">
        <v>1977</v>
      </c>
      <c r="F3173" s="11">
        <v>2</v>
      </c>
      <c r="G3173" s="11">
        <v>30252.1</v>
      </c>
    </row>
    <row r="3174" spans="2:7" x14ac:dyDescent="0.2">
      <c r="B3174" s="32">
        <v>45886</v>
      </c>
      <c r="C3174" t="s">
        <v>109</v>
      </c>
      <c r="D3174" s="13" t="s">
        <v>633</v>
      </c>
      <c r="E3174" t="s">
        <v>738</v>
      </c>
      <c r="F3174" s="11">
        <v>3</v>
      </c>
      <c r="G3174" s="11">
        <v>0</v>
      </c>
    </row>
    <row r="3175" spans="2:7" x14ac:dyDescent="0.2">
      <c r="B3175" s="32">
        <v>45887</v>
      </c>
      <c r="C3175" t="s">
        <v>142</v>
      </c>
      <c r="D3175" s="13" t="s">
        <v>634</v>
      </c>
      <c r="E3175" t="s">
        <v>529</v>
      </c>
      <c r="F3175" s="11">
        <v>1</v>
      </c>
      <c r="G3175" s="11">
        <v>79831.929999999993</v>
      </c>
    </row>
    <row r="3176" spans="2:7" x14ac:dyDescent="0.2">
      <c r="B3176" s="32">
        <v>45887</v>
      </c>
      <c r="C3176" t="s">
        <v>142</v>
      </c>
      <c r="D3176" s="13" t="s">
        <v>634</v>
      </c>
      <c r="F3176" s="11">
        <v>0</v>
      </c>
      <c r="G3176" s="11">
        <v>0</v>
      </c>
    </row>
    <row r="3177" spans="2:7" x14ac:dyDescent="0.2">
      <c r="B3177" s="32">
        <v>45887</v>
      </c>
      <c r="C3177" t="s">
        <v>142</v>
      </c>
      <c r="D3177" s="13" t="s">
        <v>633</v>
      </c>
      <c r="E3177" t="s">
        <v>436</v>
      </c>
      <c r="F3177" s="11">
        <v>2</v>
      </c>
      <c r="G3177" s="11">
        <v>117647.06</v>
      </c>
    </row>
    <row r="3178" spans="2:7" x14ac:dyDescent="0.2">
      <c r="B3178" s="32">
        <v>45887</v>
      </c>
      <c r="C3178" t="s">
        <v>142</v>
      </c>
      <c r="D3178" s="13" t="s">
        <v>633</v>
      </c>
      <c r="E3178" t="s">
        <v>1796</v>
      </c>
      <c r="F3178" s="11">
        <v>1</v>
      </c>
      <c r="G3178" s="11">
        <v>21008.400000000001</v>
      </c>
    </row>
    <row r="3179" spans="2:7" x14ac:dyDescent="0.2">
      <c r="B3179" s="32">
        <v>45887</v>
      </c>
      <c r="C3179" t="s">
        <v>142</v>
      </c>
      <c r="D3179" s="13" t="s">
        <v>633</v>
      </c>
      <c r="F3179" s="11">
        <v>0</v>
      </c>
      <c r="G3179" s="11">
        <v>0</v>
      </c>
    </row>
    <row r="3180" spans="2:7" x14ac:dyDescent="0.2">
      <c r="B3180" s="32">
        <v>45887</v>
      </c>
      <c r="C3180" t="s">
        <v>109</v>
      </c>
      <c r="D3180" s="13" t="s">
        <v>634</v>
      </c>
      <c r="E3180" t="s">
        <v>675</v>
      </c>
      <c r="F3180" s="11">
        <v>1</v>
      </c>
      <c r="G3180" s="11">
        <v>98000</v>
      </c>
    </row>
    <row r="3181" spans="2:7" x14ac:dyDescent="0.2">
      <c r="B3181" s="32">
        <v>45887</v>
      </c>
      <c r="C3181" t="s">
        <v>109</v>
      </c>
      <c r="D3181" s="13" t="s">
        <v>634</v>
      </c>
      <c r="E3181" t="s">
        <v>250</v>
      </c>
      <c r="F3181" s="11">
        <v>1</v>
      </c>
      <c r="G3181" s="11">
        <v>96638.66</v>
      </c>
    </row>
    <row r="3182" spans="2:7" x14ac:dyDescent="0.2">
      <c r="B3182" s="32">
        <v>45887</v>
      </c>
      <c r="C3182" t="s">
        <v>109</v>
      </c>
      <c r="D3182" s="13" t="s">
        <v>634</v>
      </c>
      <c r="E3182" t="s">
        <v>315</v>
      </c>
      <c r="F3182" s="11">
        <v>1</v>
      </c>
      <c r="G3182" s="11">
        <v>58823.53</v>
      </c>
    </row>
    <row r="3183" spans="2:7" x14ac:dyDescent="0.2">
      <c r="B3183" s="32">
        <v>45887</v>
      </c>
      <c r="C3183" t="s">
        <v>109</v>
      </c>
      <c r="D3183" s="13" t="s">
        <v>634</v>
      </c>
      <c r="E3183" t="s">
        <v>306</v>
      </c>
      <c r="F3183" s="11">
        <v>1</v>
      </c>
      <c r="G3183" s="11">
        <v>58823.53</v>
      </c>
    </row>
    <row r="3184" spans="2:7" x14ac:dyDescent="0.2">
      <c r="B3184" s="32">
        <v>45887</v>
      </c>
      <c r="C3184" t="s">
        <v>109</v>
      </c>
      <c r="D3184" s="13" t="s">
        <v>634</v>
      </c>
      <c r="E3184" t="s">
        <v>163</v>
      </c>
      <c r="F3184" s="11">
        <v>1</v>
      </c>
      <c r="G3184" s="11">
        <v>58823.53</v>
      </c>
    </row>
    <row r="3185" spans="2:7" x14ac:dyDescent="0.2">
      <c r="B3185" s="32">
        <v>45887</v>
      </c>
      <c r="C3185" t="s">
        <v>109</v>
      </c>
      <c r="D3185" s="13" t="s">
        <v>634</v>
      </c>
      <c r="E3185" t="s">
        <v>1818</v>
      </c>
      <c r="F3185" s="11">
        <v>1</v>
      </c>
      <c r="G3185" s="11">
        <v>37815.129999999997</v>
      </c>
    </row>
    <row r="3186" spans="2:7" x14ac:dyDescent="0.2">
      <c r="B3186" s="32">
        <v>45887</v>
      </c>
      <c r="C3186" t="s">
        <v>109</v>
      </c>
      <c r="D3186" s="13" t="s">
        <v>634</v>
      </c>
      <c r="F3186" s="11">
        <v>0</v>
      </c>
      <c r="G3186" s="11">
        <v>0</v>
      </c>
    </row>
    <row r="3187" spans="2:7" x14ac:dyDescent="0.2">
      <c r="B3187" s="32">
        <v>45887</v>
      </c>
      <c r="C3187" t="s">
        <v>109</v>
      </c>
      <c r="D3187" s="13" t="s">
        <v>633</v>
      </c>
      <c r="E3187" t="s">
        <v>1810</v>
      </c>
      <c r="F3187" s="11">
        <v>1</v>
      </c>
      <c r="G3187" s="11">
        <v>54621.85</v>
      </c>
    </row>
    <row r="3188" spans="2:7" x14ac:dyDescent="0.2">
      <c r="B3188" s="32">
        <v>45887</v>
      </c>
      <c r="C3188" t="s">
        <v>109</v>
      </c>
      <c r="D3188" s="13" t="s">
        <v>633</v>
      </c>
      <c r="E3188" t="s">
        <v>196</v>
      </c>
      <c r="F3188" s="11">
        <v>1</v>
      </c>
      <c r="G3188" s="11">
        <v>42016.81</v>
      </c>
    </row>
    <row r="3189" spans="2:7" x14ac:dyDescent="0.2">
      <c r="B3189" s="32">
        <v>45887</v>
      </c>
      <c r="C3189" t="s">
        <v>109</v>
      </c>
      <c r="D3189" s="13" t="s">
        <v>633</v>
      </c>
      <c r="E3189" t="s">
        <v>1968</v>
      </c>
      <c r="F3189" s="11">
        <v>1</v>
      </c>
      <c r="G3189" s="11">
        <v>42016.800000000003</v>
      </c>
    </row>
    <row r="3190" spans="2:7" x14ac:dyDescent="0.2">
      <c r="B3190" s="32">
        <v>45888</v>
      </c>
      <c r="C3190" t="s">
        <v>142</v>
      </c>
      <c r="D3190" s="13" t="s">
        <v>634</v>
      </c>
      <c r="E3190" t="s">
        <v>154</v>
      </c>
      <c r="F3190" s="11">
        <v>1</v>
      </c>
      <c r="G3190" s="11">
        <v>96638.66</v>
      </c>
    </row>
    <row r="3191" spans="2:7" x14ac:dyDescent="0.2">
      <c r="B3191" s="32">
        <v>45888</v>
      </c>
      <c r="C3191" t="s">
        <v>142</v>
      </c>
      <c r="D3191" s="13" t="s">
        <v>634</v>
      </c>
      <c r="E3191" t="s">
        <v>233</v>
      </c>
      <c r="F3191" s="11">
        <v>1</v>
      </c>
      <c r="G3191" s="11">
        <v>58823.53</v>
      </c>
    </row>
    <row r="3192" spans="2:7" x14ac:dyDescent="0.2">
      <c r="B3192" s="32">
        <v>45888</v>
      </c>
      <c r="C3192" t="s">
        <v>142</v>
      </c>
      <c r="D3192" s="13" t="s">
        <v>634</v>
      </c>
      <c r="F3192" s="11">
        <v>0</v>
      </c>
      <c r="G3192" s="11">
        <v>0</v>
      </c>
    </row>
    <row r="3193" spans="2:7" x14ac:dyDescent="0.2">
      <c r="B3193" s="32">
        <v>45888</v>
      </c>
      <c r="C3193" t="s">
        <v>142</v>
      </c>
      <c r="D3193" s="13" t="s">
        <v>633</v>
      </c>
      <c r="E3193" t="s">
        <v>780</v>
      </c>
      <c r="F3193" s="11">
        <v>2</v>
      </c>
      <c r="G3193" s="11">
        <v>571428.56999999995</v>
      </c>
    </row>
    <row r="3194" spans="2:7" x14ac:dyDescent="0.2">
      <c r="B3194" s="32">
        <v>45888</v>
      </c>
      <c r="C3194" t="s">
        <v>142</v>
      </c>
      <c r="D3194" s="13" t="s">
        <v>633</v>
      </c>
      <c r="E3194" t="s">
        <v>1911</v>
      </c>
      <c r="F3194" s="11">
        <v>1</v>
      </c>
      <c r="G3194" s="11">
        <v>285714.28999999998</v>
      </c>
    </row>
    <row r="3195" spans="2:7" x14ac:dyDescent="0.2">
      <c r="B3195" s="32">
        <v>45888</v>
      </c>
      <c r="C3195" t="s">
        <v>142</v>
      </c>
      <c r="D3195" s="13" t="s">
        <v>633</v>
      </c>
      <c r="E3195" t="s">
        <v>1980</v>
      </c>
      <c r="F3195" s="11">
        <v>1</v>
      </c>
      <c r="G3195" s="11">
        <v>226890.76</v>
      </c>
    </row>
    <row r="3196" spans="2:7" x14ac:dyDescent="0.2">
      <c r="B3196" s="32">
        <v>45888</v>
      </c>
      <c r="C3196" t="s">
        <v>142</v>
      </c>
      <c r="D3196" s="13" t="s">
        <v>633</v>
      </c>
      <c r="E3196" t="s">
        <v>261</v>
      </c>
      <c r="F3196" s="11">
        <v>1</v>
      </c>
      <c r="G3196" s="11">
        <v>117647.05</v>
      </c>
    </row>
    <row r="3197" spans="2:7" x14ac:dyDescent="0.2">
      <c r="B3197" s="32">
        <v>45888</v>
      </c>
      <c r="C3197" t="s">
        <v>142</v>
      </c>
      <c r="D3197" s="13" t="s">
        <v>633</v>
      </c>
      <c r="E3197" t="s">
        <v>154</v>
      </c>
      <c r="F3197" s="11">
        <v>1</v>
      </c>
      <c r="G3197" s="11">
        <v>96638.66</v>
      </c>
    </row>
    <row r="3198" spans="2:7" x14ac:dyDescent="0.2">
      <c r="B3198" s="32">
        <v>45888</v>
      </c>
      <c r="C3198" t="s">
        <v>142</v>
      </c>
      <c r="D3198" s="13" t="s">
        <v>633</v>
      </c>
      <c r="E3198" t="s">
        <v>1966</v>
      </c>
      <c r="F3198" s="11">
        <v>1</v>
      </c>
      <c r="G3198" s="11">
        <v>82352.94</v>
      </c>
    </row>
    <row r="3199" spans="2:7" x14ac:dyDescent="0.2">
      <c r="B3199" s="32">
        <v>45888</v>
      </c>
      <c r="C3199" t="s">
        <v>142</v>
      </c>
      <c r="D3199" s="13" t="s">
        <v>633</v>
      </c>
      <c r="E3199" t="s">
        <v>233</v>
      </c>
      <c r="F3199" s="11">
        <v>1</v>
      </c>
      <c r="G3199" s="11">
        <v>58823.53</v>
      </c>
    </row>
    <row r="3200" spans="2:7" x14ac:dyDescent="0.2">
      <c r="B3200" s="32">
        <v>45888</v>
      </c>
      <c r="C3200" t="s">
        <v>142</v>
      </c>
      <c r="D3200" s="13" t="s">
        <v>633</v>
      </c>
      <c r="E3200" t="s">
        <v>229</v>
      </c>
      <c r="F3200" s="11">
        <v>1</v>
      </c>
      <c r="G3200" s="11">
        <v>42016.800000000003</v>
      </c>
    </row>
    <row r="3201" spans="2:7" x14ac:dyDescent="0.2">
      <c r="B3201" s="32">
        <v>45888</v>
      </c>
      <c r="C3201" t="s">
        <v>142</v>
      </c>
      <c r="D3201" s="13" t="s">
        <v>633</v>
      </c>
      <c r="E3201" t="s">
        <v>478</v>
      </c>
      <c r="F3201" s="11">
        <v>1</v>
      </c>
      <c r="G3201" s="11">
        <v>37815.129999999997</v>
      </c>
    </row>
    <row r="3202" spans="2:7" x14ac:dyDescent="0.2">
      <c r="B3202" s="32">
        <v>45888</v>
      </c>
      <c r="C3202" t="s">
        <v>142</v>
      </c>
      <c r="D3202" s="13" t="s">
        <v>633</v>
      </c>
      <c r="E3202" t="s">
        <v>218</v>
      </c>
      <c r="F3202" s="11">
        <v>1</v>
      </c>
      <c r="G3202" s="11">
        <v>21848.74</v>
      </c>
    </row>
    <row r="3203" spans="2:7" x14ac:dyDescent="0.2">
      <c r="B3203" s="32">
        <v>45888</v>
      </c>
      <c r="C3203" t="s">
        <v>142</v>
      </c>
      <c r="D3203" s="13" t="s">
        <v>633</v>
      </c>
      <c r="F3203" s="11">
        <v>0</v>
      </c>
      <c r="G3203" s="11">
        <v>0</v>
      </c>
    </row>
    <row r="3204" spans="2:7" x14ac:dyDescent="0.2">
      <c r="B3204" s="32">
        <v>45888</v>
      </c>
      <c r="C3204" t="s">
        <v>1739</v>
      </c>
      <c r="D3204" s="13" t="s">
        <v>634</v>
      </c>
      <c r="E3204" t="s">
        <v>368</v>
      </c>
      <c r="F3204" s="11">
        <v>1</v>
      </c>
      <c r="G3204" s="11">
        <v>75630.25</v>
      </c>
    </row>
    <row r="3205" spans="2:7" x14ac:dyDescent="0.2">
      <c r="B3205" s="32">
        <v>45888</v>
      </c>
      <c r="C3205" t="s">
        <v>1739</v>
      </c>
      <c r="D3205" s="13" t="s">
        <v>634</v>
      </c>
      <c r="E3205" t="s">
        <v>430</v>
      </c>
      <c r="F3205" s="11">
        <v>1</v>
      </c>
      <c r="G3205" s="11">
        <v>58823.53</v>
      </c>
    </row>
    <row r="3206" spans="2:7" x14ac:dyDescent="0.2">
      <c r="B3206" s="32">
        <v>45888</v>
      </c>
      <c r="C3206" t="s">
        <v>1739</v>
      </c>
      <c r="D3206" s="13" t="s">
        <v>634</v>
      </c>
      <c r="E3206" t="s">
        <v>576</v>
      </c>
      <c r="F3206" s="11">
        <v>1</v>
      </c>
      <c r="G3206" s="11">
        <v>58823.53</v>
      </c>
    </row>
    <row r="3207" spans="2:7" x14ac:dyDescent="0.2">
      <c r="B3207" s="32">
        <v>45888</v>
      </c>
      <c r="C3207" t="s">
        <v>1739</v>
      </c>
      <c r="D3207" s="13" t="s">
        <v>634</v>
      </c>
      <c r="E3207" t="s">
        <v>398</v>
      </c>
      <c r="F3207" s="11">
        <v>1</v>
      </c>
      <c r="G3207" s="11">
        <v>58823.53</v>
      </c>
    </row>
    <row r="3208" spans="2:7" x14ac:dyDescent="0.2">
      <c r="B3208" s="32">
        <v>45888</v>
      </c>
      <c r="C3208" t="s">
        <v>1739</v>
      </c>
      <c r="D3208" s="13" t="s">
        <v>634</v>
      </c>
      <c r="E3208" t="s">
        <v>233</v>
      </c>
      <c r="F3208" s="11">
        <v>1</v>
      </c>
      <c r="G3208" s="11">
        <v>58823.53</v>
      </c>
    </row>
    <row r="3209" spans="2:7" x14ac:dyDescent="0.2">
      <c r="B3209" s="32">
        <v>45888</v>
      </c>
      <c r="C3209" t="s">
        <v>1739</v>
      </c>
      <c r="D3209" s="13" t="s">
        <v>634</v>
      </c>
      <c r="E3209" t="s">
        <v>492</v>
      </c>
      <c r="F3209" s="11">
        <v>1</v>
      </c>
      <c r="G3209" s="11">
        <v>58823.53</v>
      </c>
    </row>
    <row r="3210" spans="2:7" x14ac:dyDescent="0.2">
      <c r="B3210" s="32">
        <v>45888</v>
      </c>
      <c r="C3210" t="s">
        <v>1739</v>
      </c>
      <c r="D3210" s="13" t="s">
        <v>634</v>
      </c>
      <c r="E3210" t="s">
        <v>378</v>
      </c>
      <c r="F3210" s="11">
        <v>1</v>
      </c>
      <c r="G3210" s="11">
        <v>58823.53</v>
      </c>
    </row>
    <row r="3211" spans="2:7" x14ac:dyDescent="0.2">
      <c r="B3211" s="32">
        <v>45888</v>
      </c>
      <c r="C3211" t="s">
        <v>1739</v>
      </c>
      <c r="D3211" s="13" t="s">
        <v>634</v>
      </c>
      <c r="E3211" t="s">
        <v>335</v>
      </c>
      <c r="F3211" s="11">
        <v>1</v>
      </c>
      <c r="G3211" s="11">
        <v>58823.519999999997</v>
      </c>
    </row>
    <row r="3212" spans="2:7" x14ac:dyDescent="0.2">
      <c r="B3212" s="32">
        <v>45888</v>
      </c>
      <c r="C3212" t="s">
        <v>1739</v>
      </c>
      <c r="D3212" s="13" t="s">
        <v>634</v>
      </c>
      <c r="E3212" t="s">
        <v>203</v>
      </c>
      <c r="F3212" s="11">
        <v>1</v>
      </c>
      <c r="G3212" s="11">
        <v>42016.81</v>
      </c>
    </row>
    <row r="3213" spans="2:7" x14ac:dyDescent="0.2">
      <c r="B3213" s="32">
        <v>45888</v>
      </c>
      <c r="C3213" t="s">
        <v>1739</v>
      </c>
      <c r="D3213" s="13" t="s">
        <v>634</v>
      </c>
      <c r="E3213" t="s">
        <v>293</v>
      </c>
      <c r="F3213" s="11">
        <v>1</v>
      </c>
      <c r="G3213" s="11">
        <v>37815.129999999997</v>
      </c>
    </row>
    <row r="3214" spans="2:7" x14ac:dyDescent="0.2">
      <c r="B3214" s="32">
        <v>45888</v>
      </c>
      <c r="C3214" t="s">
        <v>109</v>
      </c>
      <c r="D3214" s="13" t="s">
        <v>634</v>
      </c>
      <c r="E3214" t="s">
        <v>489</v>
      </c>
      <c r="F3214" s="11">
        <v>3</v>
      </c>
      <c r="G3214" s="11">
        <v>378151.26</v>
      </c>
    </row>
    <row r="3215" spans="2:7" x14ac:dyDescent="0.2">
      <c r="B3215" s="32">
        <v>45888</v>
      </c>
      <c r="C3215" t="s">
        <v>109</v>
      </c>
      <c r="D3215" s="13" t="s">
        <v>634</v>
      </c>
      <c r="E3215" t="s">
        <v>245</v>
      </c>
      <c r="F3215" s="11">
        <v>1</v>
      </c>
      <c r="G3215" s="11">
        <v>126050.42</v>
      </c>
    </row>
    <row r="3216" spans="2:7" x14ac:dyDescent="0.2">
      <c r="B3216" s="32">
        <v>45888</v>
      </c>
      <c r="C3216" t="s">
        <v>109</v>
      </c>
      <c r="D3216" s="13" t="s">
        <v>634</v>
      </c>
      <c r="E3216" t="s">
        <v>274</v>
      </c>
      <c r="F3216" s="11">
        <v>1</v>
      </c>
      <c r="G3216" s="11">
        <v>100840.34</v>
      </c>
    </row>
    <row r="3217" spans="2:7" x14ac:dyDescent="0.2">
      <c r="B3217" s="32">
        <v>45888</v>
      </c>
      <c r="C3217" t="s">
        <v>109</v>
      </c>
      <c r="D3217" s="13" t="s">
        <v>634</v>
      </c>
      <c r="E3217" t="s">
        <v>1968</v>
      </c>
      <c r="F3217" s="11">
        <v>2</v>
      </c>
      <c r="G3217" s="11">
        <v>84033.61</v>
      </c>
    </row>
    <row r="3218" spans="2:7" x14ac:dyDescent="0.2">
      <c r="B3218" s="32">
        <v>45888</v>
      </c>
      <c r="C3218" t="s">
        <v>109</v>
      </c>
      <c r="D3218" s="13" t="s">
        <v>634</v>
      </c>
      <c r="E3218" t="s">
        <v>1872</v>
      </c>
      <c r="F3218" s="11">
        <v>1</v>
      </c>
      <c r="G3218" s="11">
        <v>67226.89</v>
      </c>
    </row>
    <row r="3219" spans="2:7" x14ac:dyDescent="0.2">
      <c r="B3219" s="32">
        <v>45888</v>
      </c>
      <c r="C3219" t="s">
        <v>109</v>
      </c>
      <c r="D3219" s="13" t="s">
        <v>634</v>
      </c>
      <c r="E3219" t="s">
        <v>165</v>
      </c>
      <c r="F3219" s="11">
        <v>1</v>
      </c>
      <c r="G3219" s="11">
        <v>58823.53</v>
      </c>
    </row>
    <row r="3220" spans="2:7" x14ac:dyDescent="0.2">
      <c r="B3220" s="32">
        <v>45888</v>
      </c>
      <c r="C3220" t="s">
        <v>109</v>
      </c>
      <c r="D3220" s="13" t="s">
        <v>634</v>
      </c>
      <c r="E3220" t="s">
        <v>1795</v>
      </c>
      <c r="F3220" s="11">
        <v>1</v>
      </c>
      <c r="G3220" s="11">
        <v>58823.53</v>
      </c>
    </row>
    <row r="3221" spans="2:7" x14ac:dyDescent="0.2">
      <c r="B3221" s="32">
        <v>45888</v>
      </c>
      <c r="C3221" t="s">
        <v>109</v>
      </c>
      <c r="D3221" s="13" t="s">
        <v>634</v>
      </c>
      <c r="E3221" t="s">
        <v>537</v>
      </c>
      <c r="F3221" s="11">
        <v>1</v>
      </c>
      <c r="G3221" s="11">
        <v>58823.53</v>
      </c>
    </row>
    <row r="3222" spans="2:7" x14ac:dyDescent="0.2">
      <c r="B3222" s="32">
        <v>45888</v>
      </c>
      <c r="C3222" t="s">
        <v>109</v>
      </c>
      <c r="D3222" s="13" t="s">
        <v>634</v>
      </c>
      <c r="E3222" t="s">
        <v>281</v>
      </c>
      <c r="F3222" s="11">
        <v>1</v>
      </c>
      <c r="G3222" s="11">
        <v>58823.53</v>
      </c>
    </row>
    <row r="3223" spans="2:7" x14ac:dyDescent="0.2">
      <c r="B3223" s="32">
        <v>45888</v>
      </c>
      <c r="C3223" t="s">
        <v>109</v>
      </c>
      <c r="D3223" s="13" t="s">
        <v>634</v>
      </c>
      <c r="E3223" t="s">
        <v>445</v>
      </c>
      <c r="F3223" s="11">
        <v>1</v>
      </c>
      <c r="G3223" s="11">
        <v>50420.17</v>
      </c>
    </row>
    <row r="3224" spans="2:7" x14ac:dyDescent="0.2">
      <c r="B3224" s="32">
        <v>45888</v>
      </c>
      <c r="C3224" t="s">
        <v>109</v>
      </c>
      <c r="D3224" s="13" t="s">
        <v>634</v>
      </c>
      <c r="E3224" t="s">
        <v>642</v>
      </c>
      <c r="F3224" s="11">
        <v>1</v>
      </c>
      <c r="G3224" s="11">
        <v>49000</v>
      </c>
    </row>
    <row r="3225" spans="2:7" x14ac:dyDescent="0.2">
      <c r="B3225" s="32">
        <v>45888</v>
      </c>
      <c r="C3225" t="s">
        <v>109</v>
      </c>
      <c r="D3225" s="13" t="s">
        <v>634</v>
      </c>
      <c r="E3225" t="s">
        <v>238</v>
      </c>
      <c r="F3225" s="11">
        <v>1</v>
      </c>
      <c r="G3225" s="11">
        <v>46218.49</v>
      </c>
    </row>
    <row r="3226" spans="2:7" x14ac:dyDescent="0.2">
      <c r="B3226" s="32">
        <v>45888</v>
      </c>
      <c r="C3226" t="s">
        <v>109</v>
      </c>
      <c r="D3226" s="13" t="s">
        <v>634</v>
      </c>
      <c r="E3226" t="s">
        <v>707</v>
      </c>
      <c r="F3226" s="11">
        <v>1</v>
      </c>
      <c r="G3226" s="11">
        <v>46218.49</v>
      </c>
    </row>
    <row r="3227" spans="2:7" x14ac:dyDescent="0.2">
      <c r="B3227" s="32">
        <v>45888</v>
      </c>
      <c r="C3227" t="s">
        <v>109</v>
      </c>
      <c r="D3227" s="13" t="s">
        <v>634</v>
      </c>
      <c r="E3227" t="s">
        <v>168</v>
      </c>
      <c r="F3227" s="11">
        <v>1</v>
      </c>
      <c r="G3227" s="11">
        <v>46218.49</v>
      </c>
    </row>
    <row r="3228" spans="2:7" x14ac:dyDescent="0.2">
      <c r="B3228" s="32">
        <v>45888</v>
      </c>
      <c r="C3228" t="s">
        <v>109</v>
      </c>
      <c r="D3228" s="13" t="s">
        <v>634</v>
      </c>
      <c r="E3228" t="s">
        <v>144</v>
      </c>
      <c r="F3228" s="11">
        <v>0</v>
      </c>
      <c r="G3228" s="11">
        <v>28991.599999999999</v>
      </c>
    </row>
    <row r="3229" spans="2:7" x14ac:dyDescent="0.2">
      <c r="B3229" s="32">
        <v>45888</v>
      </c>
      <c r="C3229" t="s">
        <v>109</v>
      </c>
      <c r="D3229" s="13" t="s">
        <v>633</v>
      </c>
      <c r="F3229" s="11">
        <v>1</v>
      </c>
      <c r="G3229" s="11">
        <v>121848.74</v>
      </c>
    </row>
    <row r="3230" spans="2:7" x14ac:dyDescent="0.2">
      <c r="B3230" s="32">
        <v>45888</v>
      </c>
      <c r="C3230" t="s">
        <v>109</v>
      </c>
      <c r="D3230" s="13" t="s">
        <v>633</v>
      </c>
      <c r="E3230" t="s">
        <v>325</v>
      </c>
      <c r="F3230" s="11">
        <v>0</v>
      </c>
      <c r="G3230" s="11">
        <v>58823.53</v>
      </c>
    </row>
    <row r="3231" spans="2:7" x14ac:dyDescent="0.2">
      <c r="B3231" s="32">
        <v>45888</v>
      </c>
      <c r="C3231" t="s">
        <v>109</v>
      </c>
      <c r="D3231" s="13" t="s">
        <v>633</v>
      </c>
      <c r="E3231" t="s">
        <v>258</v>
      </c>
      <c r="F3231" s="11">
        <v>1</v>
      </c>
      <c r="G3231" s="11">
        <v>54621.85</v>
      </c>
    </row>
    <row r="3232" spans="2:7" x14ac:dyDescent="0.2">
      <c r="B3232" s="32">
        <v>45888</v>
      </c>
      <c r="C3232" t="s">
        <v>109</v>
      </c>
      <c r="D3232" s="13" t="s">
        <v>633</v>
      </c>
      <c r="E3232" t="s">
        <v>387</v>
      </c>
      <c r="F3232" s="11">
        <v>0</v>
      </c>
      <c r="G3232" s="11">
        <v>54621.85</v>
      </c>
    </row>
    <row r="3233" spans="2:7" x14ac:dyDescent="0.2">
      <c r="B3233" s="32">
        <v>45888</v>
      </c>
      <c r="C3233" t="s">
        <v>109</v>
      </c>
      <c r="D3233" s="13" t="s">
        <v>633</v>
      </c>
      <c r="E3233" t="s">
        <v>148</v>
      </c>
      <c r="F3233" s="11">
        <v>1</v>
      </c>
      <c r="G3233" s="11">
        <v>37815.129999999997</v>
      </c>
    </row>
    <row r="3234" spans="2:7" x14ac:dyDescent="0.2">
      <c r="B3234" s="32">
        <v>45888</v>
      </c>
      <c r="C3234" t="s">
        <v>109</v>
      </c>
      <c r="D3234" s="13" t="s">
        <v>633</v>
      </c>
      <c r="E3234" t="s">
        <v>173</v>
      </c>
      <c r="F3234" s="11">
        <v>1</v>
      </c>
      <c r="G3234" s="11">
        <v>37815.129999999997</v>
      </c>
    </row>
    <row r="3235" spans="2:7" x14ac:dyDescent="0.2">
      <c r="B3235" s="32">
        <v>45888</v>
      </c>
      <c r="C3235" t="s">
        <v>109</v>
      </c>
      <c r="D3235" s="13" t="s">
        <v>633</v>
      </c>
      <c r="E3235" t="s">
        <v>1818</v>
      </c>
      <c r="F3235" s="11">
        <v>1</v>
      </c>
      <c r="G3235" s="11">
        <v>37815.120000000003</v>
      </c>
    </row>
    <row r="3236" spans="2:7" x14ac:dyDescent="0.2">
      <c r="B3236" s="32">
        <v>45888</v>
      </c>
      <c r="C3236" t="s">
        <v>109</v>
      </c>
      <c r="D3236" s="13" t="s">
        <v>633</v>
      </c>
      <c r="E3236" t="s">
        <v>293</v>
      </c>
      <c r="F3236" s="11">
        <v>1</v>
      </c>
      <c r="G3236" s="11">
        <v>37815.120000000003</v>
      </c>
    </row>
    <row r="3237" spans="2:7" x14ac:dyDescent="0.2">
      <c r="B3237" s="32">
        <v>45888</v>
      </c>
      <c r="C3237" t="s">
        <v>109</v>
      </c>
      <c r="D3237" s="13" t="s">
        <v>633</v>
      </c>
      <c r="E3237" t="s">
        <v>1813</v>
      </c>
      <c r="F3237" s="11">
        <v>1</v>
      </c>
      <c r="G3237" s="11">
        <v>21848.74</v>
      </c>
    </row>
    <row r="3238" spans="2:7" x14ac:dyDescent="0.2">
      <c r="B3238" s="32">
        <v>45888</v>
      </c>
      <c r="C3238" t="s">
        <v>109</v>
      </c>
      <c r="D3238" s="13" t="s">
        <v>633</v>
      </c>
      <c r="E3238" t="s">
        <v>217</v>
      </c>
      <c r="F3238" s="11">
        <v>0</v>
      </c>
      <c r="G3238" s="11">
        <v>-54621.85</v>
      </c>
    </row>
    <row r="3239" spans="2:7" x14ac:dyDescent="0.2">
      <c r="B3239" s="32">
        <v>45888</v>
      </c>
      <c r="C3239" t="s">
        <v>109</v>
      </c>
      <c r="D3239" s="13" t="s">
        <v>633</v>
      </c>
      <c r="E3239" t="s">
        <v>282</v>
      </c>
      <c r="F3239" s="11">
        <v>0</v>
      </c>
      <c r="G3239" s="11">
        <v>-58823.53</v>
      </c>
    </row>
    <row r="3240" spans="2:7" x14ac:dyDescent="0.2">
      <c r="B3240" s="32">
        <v>45889</v>
      </c>
      <c r="C3240" t="s">
        <v>142</v>
      </c>
      <c r="D3240" s="13" t="s">
        <v>634</v>
      </c>
      <c r="E3240" t="s">
        <v>1704</v>
      </c>
      <c r="F3240" s="11">
        <v>5</v>
      </c>
      <c r="G3240" s="11">
        <v>273109.24</v>
      </c>
    </row>
    <row r="3241" spans="2:7" x14ac:dyDescent="0.2">
      <c r="B3241" s="32">
        <v>45889</v>
      </c>
      <c r="C3241" t="s">
        <v>142</v>
      </c>
      <c r="D3241" s="13" t="s">
        <v>634</v>
      </c>
      <c r="E3241" t="s">
        <v>308</v>
      </c>
      <c r="F3241" s="11">
        <v>1</v>
      </c>
      <c r="G3241" s="11">
        <v>96638.66</v>
      </c>
    </row>
    <row r="3242" spans="2:7" x14ac:dyDescent="0.2">
      <c r="B3242" s="32">
        <v>45889</v>
      </c>
      <c r="C3242" t="s">
        <v>142</v>
      </c>
      <c r="D3242" s="13" t="s">
        <v>634</v>
      </c>
      <c r="E3242" t="s">
        <v>413</v>
      </c>
      <c r="F3242" s="11">
        <v>1</v>
      </c>
      <c r="G3242" s="11">
        <v>92436.98</v>
      </c>
    </row>
    <row r="3243" spans="2:7" x14ac:dyDescent="0.2">
      <c r="B3243" s="32">
        <v>45889</v>
      </c>
      <c r="C3243" t="s">
        <v>142</v>
      </c>
      <c r="D3243" s="13" t="s">
        <v>634</v>
      </c>
      <c r="E3243" t="s">
        <v>218</v>
      </c>
      <c r="F3243" s="11">
        <v>3</v>
      </c>
      <c r="G3243" s="11">
        <v>88235.29</v>
      </c>
    </row>
    <row r="3244" spans="2:7" x14ac:dyDescent="0.2">
      <c r="B3244" s="32">
        <v>45889</v>
      </c>
      <c r="C3244" t="s">
        <v>142</v>
      </c>
      <c r="D3244" s="13" t="s">
        <v>634</v>
      </c>
      <c r="E3244" t="s">
        <v>525</v>
      </c>
      <c r="F3244" s="11">
        <v>1</v>
      </c>
      <c r="G3244" s="11">
        <v>84033.61</v>
      </c>
    </row>
    <row r="3245" spans="2:7" x14ac:dyDescent="0.2">
      <c r="B3245" s="32">
        <v>45889</v>
      </c>
      <c r="C3245" t="s">
        <v>142</v>
      </c>
      <c r="D3245" s="13" t="s">
        <v>634</v>
      </c>
      <c r="E3245" t="s">
        <v>1844</v>
      </c>
      <c r="F3245" s="11">
        <v>1</v>
      </c>
      <c r="G3245" s="11">
        <v>58823.53</v>
      </c>
    </row>
    <row r="3246" spans="2:7" x14ac:dyDescent="0.2">
      <c r="B3246" s="32">
        <v>45889</v>
      </c>
      <c r="C3246" t="s">
        <v>142</v>
      </c>
      <c r="D3246" s="13" t="s">
        <v>634</v>
      </c>
      <c r="E3246" t="s">
        <v>479</v>
      </c>
      <c r="F3246" s="11">
        <v>1</v>
      </c>
      <c r="G3246" s="11">
        <v>58823.53</v>
      </c>
    </row>
    <row r="3247" spans="2:7" x14ac:dyDescent="0.2">
      <c r="B3247" s="32">
        <v>45889</v>
      </c>
      <c r="C3247" t="s">
        <v>142</v>
      </c>
      <c r="D3247" s="13" t="s">
        <v>634</v>
      </c>
      <c r="F3247" s="11">
        <v>0</v>
      </c>
      <c r="G3247" s="11">
        <v>0</v>
      </c>
    </row>
    <row r="3248" spans="2:7" x14ac:dyDescent="0.2">
      <c r="B3248" s="32">
        <v>45889</v>
      </c>
      <c r="C3248" t="s">
        <v>142</v>
      </c>
      <c r="D3248" s="13" t="s">
        <v>633</v>
      </c>
      <c r="E3248" t="s">
        <v>194</v>
      </c>
      <c r="F3248" s="11">
        <v>1</v>
      </c>
      <c r="G3248" s="11">
        <v>96638.66</v>
      </c>
    </row>
    <row r="3249" spans="2:7" x14ac:dyDescent="0.2">
      <c r="B3249" s="32">
        <v>45889</v>
      </c>
      <c r="C3249" t="s">
        <v>142</v>
      </c>
      <c r="D3249" s="13" t="s">
        <v>633</v>
      </c>
      <c r="E3249" t="s">
        <v>246</v>
      </c>
      <c r="F3249" s="11">
        <v>1</v>
      </c>
      <c r="G3249" s="11">
        <v>42016.81</v>
      </c>
    </row>
    <row r="3250" spans="2:7" x14ac:dyDescent="0.2">
      <c r="B3250" s="32">
        <v>45889</v>
      </c>
      <c r="C3250" t="s">
        <v>142</v>
      </c>
      <c r="D3250" s="13" t="s">
        <v>633</v>
      </c>
      <c r="F3250" s="11">
        <v>0</v>
      </c>
      <c r="G3250" s="11">
        <v>1040</v>
      </c>
    </row>
    <row r="3251" spans="2:7" x14ac:dyDescent="0.2">
      <c r="B3251" s="32">
        <v>45889</v>
      </c>
      <c r="C3251" t="s">
        <v>142</v>
      </c>
      <c r="D3251" s="13" t="s">
        <v>633</v>
      </c>
      <c r="E3251" t="s">
        <v>263</v>
      </c>
      <c r="F3251" s="11">
        <v>0</v>
      </c>
      <c r="G3251" s="11">
        <v>-873.95</v>
      </c>
    </row>
    <row r="3252" spans="2:7" x14ac:dyDescent="0.2">
      <c r="B3252" s="32">
        <v>45889</v>
      </c>
      <c r="C3252" t="s">
        <v>110</v>
      </c>
      <c r="D3252" s="13" t="s">
        <v>633</v>
      </c>
      <c r="E3252" t="s">
        <v>198</v>
      </c>
      <c r="F3252" s="11">
        <v>1</v>
      </c>
      <c r="G3252" s="11">
        <v>46218.49</v>
      </c>
    </row>
    <row r="3253" spans="2:7" x14ac:dyDescent="0.2">
      <c r="B3253" s="32">
        <v>45889</v>
      </c>
      <c r="C3253" t="s">
        <v>109</v>
      </c>
      <c r="D3253" s="13" t="s">
        <v>634</v>
      </c>
      <c r="E3253" t="s">
        <v>602</v>
      </c>
      <c r="F3253" s="11">
        <v>1</v>
      </c>
      <c r="G3253" s="11">
        <v>126050.42</v>
      </c>
    </row>
    <row r="3254" spans="2:7" x14ac:dyDescent="0.2">
      <c r="B3254" s="32">
        <v>45889</v>
      </c>
      <c r="C3254" t="s">
        <v>109</v>
      </c>
      <c r="D3254" s="13" t="s">
        <v>634</v>
      </c>
      <c r="E3254" t="s">
        <v>245</v>
      </c>
      <c r="F3254" s="11">
        <v>1</v>
      </c>
      <c r="G3254" s="11">
        <v>126050.42</v>
      </c>
    </row>
    <row r="3255" spans="2:7" x14ac:dyDescent="0.2">
      <c r="B3255" s="32">
        <v>45889</v>
      </c>
      <c r="C3255" t="s">
        <v>109</v>
      </c>
      <c r="D3255" s="13" t="s">
        <v>634</v>
      </c>
      <c r="E3255" t="s">
        <v>185</v>
      </c>
      <c r="F3255" s="11">
        <v>1</v>
      </c>
      <c r="G3255" s="11">
        <v>96638.66</v>
      </c>
    </row>
    <row r="3256" spans="2:7" x14ac:dyDescent="0.2">
      <c r="B3256" s="32">
        <v>45889</v>
      </c>
      <c r="C3256" t="s">
        <v>109</v>
      </c>
      <c r="D3256" s="13" t="s">
        <v>634</v>
      </c>
      <c r="F3256" s="11">
        <v>2</v>
      </c>
      <c r="G3256" s="11">
        <v>92436.97</v>
      </c>
    </row>
    <row r="3257" spans="2:7" x14ac:dyDescent="0.2">
      <c r="B3257" s="32">
        <v>45889</v>
      </c>
      <c r="C3257" t="s">
        <v>109</v>
      </c>
      <c r="D3257" s="13" t="s">
        <v>634</v>
      </c>
      <c r="E3257" t="s">
        <v>567</v>
      </c>
      <c r="F3257" s="11">
        <v>1</v>
      </c>
      <c r="G3257" s="11">
        <v>58823.53</v>
      </c>
    </row>
    <row r="3258" spans="2:7" x14ac:dyDescent="0.2">
      <c r="B3258" s="32">
        <v>45889</v>
      </c>
      <c r="C3258" t="s">
        <v>109</v>
      </c>
      <c r="D3258" s="13" t="s">
        <v>634</v>
      </c>
      <c r="E3258" t="s">
        <v>348</v>
      </c>
      <c r="F3258" s="11">
        <v>1</v>
      </c>
      <c r="G3258" s="11">
        <v>54621.85</v>
      </c>
    </row>
    <row r="3259" spans="2:7" x14ac:dyDescent="0.2">
      <c r="B3259" s="32">
        <v>45889</v>
      </c>
      <c r="C3259" t="s">
        <v>109</v>
      </c>
      <c r="D3259" s="13" t="s">
        <v>634</v>
      </c>
      <c r="E3259" t="s">
        <v>148</v>
      </c>
      <c r="F3259" s="11">
        <v>1</v>
      </c>
      <c r="G3259" s="11">
        <v>37815.129999999997</v>
      </c>
    </row>
    <row r="3260" spans="2:7" x14ac:dyDescent="0.2">
      <c r="B3260" s="32">
        <v>45889</v>
      </c>
      <c r="C3260" t="s">
        <v>109</v>
      </c>
      <c r="D3260" s="13" t="s">
        <v>634</v>
      </c>
      <c r="E3260" t="s">
        <v>1918</v>
      </c>
      <c r="F3260" s="11">
        <v>1</v>
      </c>
      <c r="G3260" s="11">
        <v>33613.449999999997</v>
      </c>
    </row>
    <row r="3261" spans="2:7" x14ac:dyDescent="0.2">
      <c r="B3261" s="32">
        <v>45889</v>
      </c>
      <c r="C3261" t="s">
        <v>109</v>
      </c>
      <c r="D3261" s="13" t="s">
        <v>633</v>
      </c>
      <c r="E3261" t="s">
        <v>206</v>
      </c>
      <c r="F3261" s="11">
        <v>3</v>
      </c>
      <c r="G3261" s="11">
        <v>113445.38</v>
      </c>
    </row>
    <row r="3262" spans="2:7" x14ac:dyDescent="0.2">
      <c r="B3262" s="32">
        <v>45889</v>
      </c>
      <c r="C3262" t="s">
        <v>109</v>
      </c>
      <c r="D3262" s="13" t="s">
        <v>633</v>
      </c>
      <c r="E3262" t="s">
        <v>347</v>
      </c>
      <c r="F3262" s="11">
        <v>1</v>
      </c>
      <c r="G3262" s="11">
        <v>75630.25</v>
      </c>
    </row>
    <row r="3263" spans="2:7" x14ac:dyDescent="0.2">
      <c r="B3263" s="32">
        <v>45889</v>
      </c>
      <c r="C3263" t="s">
        <v>109</v>
      </c>
      <c r="D3263" s="13" t="s">
        <v>633</v>
      </c>
      <c r="E3263" t="s">
        <v>233</v>
      </c>
      <c r="F3263" s="11">
        <v>1</v>
      </c>
      <c r="G3263" s="11">
        <v>58823.53</v>
      </c>
    </row>
    <row r="3264" spans="2:7" x14ac:dyDescent="0.2">
      <c r="B3264" s="32">
        <v>45889</v>
      </c>
      <c r="C3264" t="s">
        <v>109</v>
      </c>
      <c r="D3264" s="13" t="s">
        <v>633</v>
      </c>
      <c r="E3264" t="s">
        <v>243</v>
      </c>
      <c r="F3264" s="11">
        <v>1</v>
      </c>
      <c r="G3264" s="11">
        <v>54621.85</v>
      </c>
    </row>
    <row r="3265" spans="2:7" x14ac:dyDescent="0.2">
      <c r="B3265" s="32">
        <v>45889</v>
      </c>
      <c r="C3265" t="s">
        <v>109</v>
      </c>
      <c r="D3265" s="13" t="s">
        <v>633</v>
      </c>
      <c r="E3265" t="s">
        <v>258</v>
      </c>
      <c r="F3265" s="11">
        <v>1</v>
      </c>
      <c r="G3265" s="11">
        <v>54621.85</v>
      </c>
    </row>
    <row r="3266" spans="2:7" x14ac:dyDescent="0.2">
      <c r="B3266" s="32">
        <v>45889</v>
      </c>
      <c r="C3266" t="s">
        <v>109</v>
      </c>
      <c r="D3266" s="13" t="s">
        <v>633</v>
      </c>
      <c r="E3266" t="s">
        <v>198</v>
      </c>
      <c r="F3266" s="11">
        <v>1</v>
      </c>
      <c r="G3266" s="11">
        <v>46218.49</v>
      </c>
    </row>
    <row r="3267" spans="2:7" x14ac:dyDescent="0.2">
      <c r="B3267" s="32">
        <v>45889</v>
      </c>
      <c r="C3267" t="s">
        <v>109</v>
      </c>
      <c r="D3267" s="13" t="s">
        <v>633</v>
      </c>
      <c r="F3267" s="11">
        <v>0</v>
      </c>
      <c r="G3267" s="11">
        <v>0</v>
      </c>
    </row>
    <row r="3268" spans="2:7" x14ac:dyDescent="0.2">
      <c r="B3268" s="32">
        <v>45890</v>
      </c>
      <c r="C3268" t="s">
        <v>142</v>
      </c>
      <c r="D3268" s="13" t="s">
        <v>634</v>
      </c>
      <c r="E3268" t="s">
        <v>652</v>
      </c>
      <c r="F3268" s="11">
        <v>2</v>
      </c>
      <c r="G3268" s="11">
        <v>285714.28000000003</v>
      </c>
    </row>
    <row r="3269" spans="2:7" x14ac:dyDescent="0.2">
      <c r="B3269" s="32">
        <v>45890</v>
      </c>
      <c r="C3269" t="s">
        <v>142</v>
      </c>
      <c r="D3269" s="13" t="s">
        <v>634</v>
      </c>
      <c r="E3269" t="s">
        <v>1981</v>
      </c>
      <c r="F3269" s="11">
        <v>1</v>
      </c>
      <c r="G3269" s="11">
        <v>210084.04</v>
      </c>
    </row>
    <row r="3270" spans="2:7" x14ac:dyDescent="0.2">
      <c r="B3270" s="32">
        <v>45890</v>
      </c>
      <c r="C3270" t="s">
        <v>142</v>
      </c>
      <c r="D3270" s="13" t="s">
        <v>634</v>
      </c>
      <c r="E3270" t="s">
        <v>302</v>
      </c>
      <c r="F3270" s="11">
        <v>2</v>
      </c>
      <c r="G3270" s="11">
        <v>193277.31</v>
      </c>
    </row>
    <row r="3271" spans="2:7" x14ac:dyDescent="0.2">
      <c r="B3271" s="32">
        <v>45890</v>
      </c>
      <c r="C3271" t="s">
        <v>142</v>
      </c>
      <c r="D3271" s="13" t="s">
        <v>634</v>
      </c>
      <c r="E3271" t="s">
        <v>233</v>
      </c>
      <c r="F3271" s="11">
        <v>1</v>
      </c>
      <c r="G3271" s="11">
        <v>58823.53</v>
      </c>
    </row>
    <row r="3272" spans="2:7" x14ac:dyDescent="0.2">
      <c r="B3272" s="32">
        <v>45890</v>
      </c>
      <c r="C3272" t="s">
        <v>142</v>
      </c>
      <c r="D3272" s="13" t="s">
        <v>634</v>
      </c>
      <c r="F3272" s="11">
        <v>0</v>
      </c>
      <c r="G3272" s="11">
        <v>0</v>
      </c>
    </row>
    <row r="3273" spans="2:7" x14ac:dyDescent="0.2">
      <c r="B3273" s="32">
        <v>45890</v>
      </c>
      <c r="C3273" t="s">
        <v>142</v>
      </c>
      <c r="D3273" s="13" t="s">
        <v>633</v>
      </c>
      <c r="E3273" t="s">
        <v>1780</v>
      </c>
      <c r="F3273" s="11">
        <v>1</v>
      </c>
      <c r="G3273" s="11">
        <v>226890.75</v>
      </c>
    </row>
    <row r="3274" spans="2:7" x14ac:dyDescent="0.2">
      <c r="B3274" s="32">
        <v>45890</v>
      </c>
      <c r="C3274" t="s">
        <v>142</v>
      </c>
      <c r="D3274" s="13" t="s">
        <v>633</v>
      </c>
      <c r="E3274" t="s">
        <v>418</v>
      </c>
      <c r="F3274" s="11">
        <v>1</v>
      </c>
      <c r="G3274" s="11">
        <v>166386.56</v>
      </c>
    </row>
    <row r="3275" spans="2:7" x14ac:dyDescent="0.2">
      <c r="B3275" s="32">
        <v>45890</v>
      </c>
      <c r="C3275" t="s">
        <v>142</v>
      </c>
      <c r="D3275" s="13" t="s">
        <v>633</v>
      </c>
      <c r="E3275" t="s">
        <v>517</v>
      </c>
      <c r="F3275" s="11">
        <v>1</v>
      </c>
      <c r="G3275" s="11">
        <v>166386.56</v>
      </c>
    </row>
    <row r="3276" spans="2:7" x14ac:dyDescent="0.2">
      <c r="B3276" s="32">
        <v>45890</v>
      </c>
      <c r="C3276" t="s">
        <v>142</v>
      </c>
      <c r="D3276" s="13" t="s">
        <v>633</v>
      </c>
      <c r="E3276" t="s">
        <v>602</v>
      </c>
      <c r="F3276" s="11">
        <v>1</v>
      </c>
      <c r="G3276" s="11">
        <v>166386.56</v>
      </c>
    </row>
    <row r="3277" spans="2:7" x14ac:dyDescent="0.2">
      <c r="B3277" s="32">
        <v>45890</v>
      </c>
      <c r="C3277" t="s">
        <v>142</v>
      </c>
      <c r="D3277" s="13" t="s">
        <v>633</v>
      </c>
      <c r="E3277" t="s">
        <v>606</v>
      </c>
      <c r="F3277" s="11">
        <v>1</v>
      </c>
      <c r="G3277" s="11">
        <v>166386.54999999999</v>
      </c>
    </row>
    <row r="3278" spans="2:7" x14ac:dyDescent="0.2">
      <c r="B3278" s="32">
        <v>45890</v>
      </c>
      <c r="C3278" t="s">
        <v>142</v>
      </c>
      <c r="D3278" s="13" t="s">
        <v>633</v>
      </c>
      <c r="E3278" t="s">
        <v>1982</v>
      </c>
      <c r="F3278" s="11">
        <v>1</v>
      </c>
      <c r="G3278" s="11">
        <v>166386.54999999999</v>
      </c>
    </row>
    <row r="3279" spans="2:7" x14ac:dyDescent="0.2">
      <c r="B3279" s="32">
        <v>45890</v>
      </c>
      <c r="C3279" t="s">
        <v>142</v>
      </c>
      <c r="D3279" s="13" t="s">
        <v>633</v>
      </c>
      <c r="E3279" t="s">
        <v>1895</v>
      </c>
      <c r="F3279" s="11">
        <v>1</v>
      </c>
      <c r="G3279" s="11">
        <v>166386.54999999999</v>
      </c>
    </row>
    <row r="3280" spans="2:7" x14ac:dyDescent="0.2">
      <c r="B3280" s="32">
        <v>45890</v>
      </c>
      <c r="C3280" t="s">
        <v>142</v>
      </c>
      <c r="D3280" s="13" t="s">
        <v>633</v>
      </c>
      <c r="E3280" t="s">
        <v>229</v>
      </c>
      <c r="F3280" s="11">
        <v>1</v>
      </c>
      <c r="G3280" s="11">
        <v>42016.81</v>
      </c>
    </row>
    <row r="3281" spans="2:7" x14ac:dyDescent="0.2">
      <c r="B3281" s="32">
        <v>45890</v>
      </c>
      <c r="C3281" t="s">
        <v>142</v>
      </c>
      <c r="D3281" s="13" t="s">
        <v>633</v>
      </c>
      <c r="F3281" s="11">
        <v>0</v>
      </c>
      <c r="G3281" s="11">
        <v>0</v>
      </c>
    </row>
    <row r="3282" spans="2:7" x14ac:dyDescent="0.2">
      <c r="B3282" s="32">
        <v>45890</v>
      </c>
      <c r="C3282" t="s">
        <v>110</v>
      </c>
      <c r="D3282" s="13" t="s">
        <v>634</v>
      </c>
      <c r="E3282" t="s">
        <v>198</v>
      </c>
      <c r="F3282" s="11">
        <v>1</v>
      </c>
      <c r="G3282" s="11">
        <v>46218.49</v>
      </c>
    </row>
    <row r="3283" spans="2:7" x14ac:dyDescent="0.2">
      <c r="B3283" s="32">
        <v>45890</v>
      </c>
      <c r="C3283" t="s">
        <v>110</v>
      </c>
      <c r="D3283" s="13" t="s">
        <v>633</v>
      </c>
      <c r="E3283" t="s">
        <v>195</v>
      </c>
      <c r="F3283" s="11">
        <v>1</v>
      </c>
      <c r="G3283" s="11">
        <v>46218.49</v>
      </c>
    </row>
    <row r="3284" spans="2:7" x14ac:dyDescent="0.2">
      <c r="B3284" s="32">
        <v>45890</v>
      </c>
      <c r="C3284" t="s">
        <v>109</v>
      </c>
      <c r="D3284" s="13" t="s">
        <v>634</v>
      </c>
      <c r="E3284" t="s">
        <v>1890</v>
      </c>
      <c r="F3284" s="11">
        <v>1</v>
      </c>
      <c r="G3284" s="11">
        <v>75630.25</v>
      </c>
    </row>
    <row r="3285" spans="2:7" x14ac:dyDescent="0.2">
      <c r="B3285" s="32">
        <v>45890</v>
      </c>
      <c r="C3285" t="s">
        <v>109</v>
      </c>
      <c r="D3285" s="13" t="s">
        <v>634</v>
      </c>
      <c r="E3285" t="s">
        <v>440</v>
      </c>
      <c r="F3285" s="11">
        <v>1</v>
      </c>
      <c r="G3285" s="11">
        <v>58823.53</v>
      </c>
    </row>
    <row r="3286" spans="2:7" x14ac:dyDescent="0.2">
      <c r="B3286" s="32">
        <v>45890</v>
      </c>
      <c r="C3286" t="s">
        <v>109</v>
      </c>
      <c r="D3286" s="13" t="s">
        <v>634</v>
      </c>
      <c r="E3286" t="s">
        <v>233</v>
      </c>
      <c r="F3286" s="11">
        <v>1</v>
      </c>
      <c r="G3286" s="11">
        <v>58823.53</v>
      </c>
    </row>
    <row r="3287" spans="2:7" x14ac:dyDescent="0.2">
      <c r="B3287" s="32">
        <v>45890</v>
      </c>
      <c r="C3287" t="s">
        <v>109</v>
      </c>
      <c r="D3287" s="13" t="s">
        <v>634</v>
      </c>
      <c r="E3287" t="s">
        <v>160</v>
      </c>
      <c r="F3287" s="11">
        <v>1</v>
      </c>
      <c r="G3287" s="11">
        <v>46218.49</v>
      </c>
    </row>
    <row r="3288" spans="2:7" x14ac:dyDescent="0.2">
      <c r="B3288" s="32">
        <v>45890</v>
      </c>
      <c r="C3288" t="s">
        <v>109</v>
      </c>
      <c r="D3288" s="13" t="s">
        <v>634</v>
      </c>
      <c r="E3288" t="s">
        <v>1834</v>
      </c>
      <c r="F3288" s="11">
        <v>1</v>
      </c>
      <c r="G3288" s="11">
        <v>42016.81</v>
      </c>
    </row>
    <row r="3289" spans="2:7" x14ac:dyDescent="0.2">
      <c r="B3289" s="32">
        <v>45890</v>
      </c>
      <c r="C3289" t="s">
        <v>109</v>
      </c>
      <c r="D3289" s="13" t="s">
        <v>634</v>
      </c>
      <c r="E3289" t="s">
        <v>330</v>
      </c>
      <c r="F3289" s="11">
        <v>1</v>
      </c>
      <c r="G3289" s="11">
        <v>37815.129999999997</v>
      </c>
    </row>
    <row r="3290" spans="2:7" x14ac:dyDescent="0.2">
      <c r="B3290" s="32">
        <v>45890</v>
      </c>
      <c r="C3290" t="s">
        <v>109</v>
      </c>
      <c r="D3290" s="13" t="s">
        <v>634</v>
      </c>
      <c r="E3290" t="s">
        <v>148</v>
      </c>
      <c r="F3290" s="11">
        <v>1</v>
      </c>
      <c r="G3290" s="11">
        <v>37815.129999999997</v>
      </c>
    </row>
    <row r="3291" spans="2:7" x14ac:dyDescent="0.2">
      <c r="B3291" s="32">
        <v>45890</v>
      </c>
      <c r="C3291" t="s">
        <v>109</v>
      </c>
      <c r="D3291" s="13" t="s">
        <v>634</v>
      </c>
      <c r="E3291" t="s">
        <v>144</v>
      </c>
      <c r="F3291" s="11">
        <v>1</v>
      </c>
      <c r="G3291" s="11">
        <v>18487.39</v>
      </c>
    </row>
    <row r="3292" spans="2:7" x14ac:dyDescent="0.2">
      <c r="B3292" s="32">
        <v>45890</v>
      </c>
      <c r="C3292" t="s">
        <v>109</v>
      </c>
      <c r="D3292" s="13" t="s">
        <v>633</v>
      </c>
      <c r="E3292" t="s">
        <v>1697</v>
      </c>
      <c r="F3292" s="11">
        <v>1</v>
      </c>
      <c r="G3292" s="11">
        <v>250000</v>
      </c>
    </row>
    <row r="3293" spans="2:7" x14ac:dyDescent="0.2">
      <c r="B3293" s="32">
        <v>45890</v>
      </c>
      <c r="C3293" t="s">
        <v>109</v>
      </c>
      <c r="D3293" s="13" t="s">
        <v>633</v>
      </c>
      <c r="E3293" t="s">
        <v>234</v>
      </c>
      <c r="F3293" s="11">
        <v>2</v>
      </c>
      <c r="G3293" s="11">
        <v>82815.13</v>
      </c>
    </row>
    <row r="3294" spans="2:7" x14ac:dyDescent="0.2">
      <c r="B3294" s="32">
        <v>45890</v>
      </c>
      <c r="C3294" t="s">
        <v>109</v>
      </c>
      <c r="D3294" s="13" t="s">
        <v>633</v>
      </c>
      <c r="E3294" t="s">
        <v>152</v>
      </c>
      <c r="F3294" s="11">
        <v>1</v>
      </c>
      <c r="G3294" s="11">
        <v>75630.25</v>
      </c>
    </row>
    <row r="3295" spans="2:7" x14ac:dyDescent="0.2">
      <c r="B3295" s="32">
        <v>45890</v>
      </c>
      <c r="C3295" t="s">
        <v>109</v>
      </c>
      <c r="D3295" s="13" t="s">
        <v>633</v>
      </c>
      <c r="E3295" t="s">
        <v>174</v>
      </c>
      <c r="F3295" s="11">
        <v>1</v>
      </c>
      <c r="G3295" s="11">
        <v>75630.25</v>
      </c>
    </row>
    <row r="3296" spans="2:7" x14ac:dyDescent="0.2">
      <c r="B3296" s="32">
        <v>45890</v>
      </c>
      <c r="C3296" t="s">
        <v>109</v>
      </c>
      <c r="D3296" s="13" t="s">
        <v>633</v>
      </c>
      <c r="E3296" t="s">
        <v>340</v>
      </c>
      <c r="F3296" s="11">
        <v>1</v>
      </c>
      <c r="G3296" s="11">
        <v>75630.25</v>
      </c>
    </row>
    <row r="3297" spans="2:7" x14ac:dyDescent="0.2">
      <c r="B3297" s="32">
        <v>45890</v>
      </c>
      <c r="C3297" t="s">
        <v>109</v>
      </c>
      <c r="D3297" s="13" t="s">
        <v>633</v>
      </c>
      <c r="E3297" t="s">
        <v>282</v>
      </c>
      <c r="F3297" s="11">
        <v>1</v>
      </c>
      <c r="G3297" s="11">
        <v>58823.53</v>
      </c>
    </row>
    <row r="3298" spans="2:7" x14ac:dyDescent="0.2">
      <c r="B3298" s="32">
        <v>45890</v>
      </c>
      <c r="C3298" t="s">
        <v>109</v>
      </c>
      <c r="D3298" s="13" t="s">
        <v>633</v>
      </c>
      <c r="E3298" t="s">
        <v>287</v>
      </c>
      <c r="F3298" s="11">
        <v>1</v>
      </c>
      <c r="G3298" s="11">
        <v>58823.53</v>
      </c>
    </row>
    <row r="3299" spans="2:7" x14ac:dyDescent="0.2">
      <c r="B3299" s="32">
        <v>45890</v>
      </c>
      <c r="C3299" t="s">
        <v>109</v>
      </c>
      <c r="D3299" s="13" t="s">
        <v>633</v>
      </c>
      <c r="E3299" t="s">
        <v>285</v>
      </c>
      <c r="F3299" s="11">
        <v>1</v>
      </c>
      <c r="G3299" s="11">
        <v>58823.53</v>
      </c>
    </row>
    <row r="3300" spans="2:7" x14ac:dyDescent="0.2">
      <c r="B3300" s="32">
        <v>45890</v>
      </c>
      <c r="C3300" t="s">
        <v>109</v>
      </c>
      <c r="D3300" s="13" t="s">
        <v>633</v>
      </c>
      <c r="E3300" t="s">
        <v>150</v>
      </c>
      <c r="F3300" s="11">
        <v>1</v>
      </c>
      <c r="G3300" s="11">
        <v>50000</v>
      </c>
    </row>
    <row r="3301" spans="2:7" x14ac:dyDescent="0.2">
      <c r="B3301" s="32">
        <v>45890</v>
      </c>
      <c r="C3301" t="s">
        <v>109</v>
      </c>
      <c r="D3301" s="13" t="s">
        <v>633</v>
      </c>
      <c r="E3301" t="s">
        <v>1968</v>
      </c>
      <c r="F3301" s="11">
        <v>1</v>
      </c>
      <c r="G3301" s="11">
        <v>42016.81</v>
      </c>
    </row>
    <row r="3302" spans="2:7" x14ac:dyDescent="0.2">
      <c r="B3302" s="32">
        <v>45890</v>
      </c>
      <c r="C3302" t="s">
        <v>109</v>
      </c>
      <c r="D3302" s="13" t="s">
        <v>633</v>
      </c>
      <c r="E3302" t="s">
        <v>293</v>
      </c>
      <c r="F3302" s="11">
        <v>1</v>
      </c>
      <c r="G3302" s="11">
        <v>37815.129999999997</v>
      </c>
    </row>
    <row r="3303" spans="2:7" x14ac:dyDescent="0.2">
      <c r="B3303" s="32">
        <v>45891</v>
      </c>
      <c r="C3303" t="s">
        <v>142</v>
      </c>
      <c r="D3303" s="13" t="s">
        <v>634</v>
      </c>
      <c r="E3303" t="s">
        <v>181</v>
      </c>
      <c r="F3303" s="11">
        <v>2</v>
      </c>
      <c r="G3303" s="11">
        <v>117647.06</v>
      </c>
    </row>
    <row r="3304" spans="2:7" x14ac:dyDescent="0.2">
      <c r="B3304" s="32">
        <v>45891</v>
      </c>
      <c r="C3304" t="s">
        <v>142</v>
      </c>
      <c r="D3304" s="13" t="s">
        <v>634</v>
      </c>
      <c r="E3304" t="s">
        <v>205</v>
      </c>
      <c r="F3304" s="11">
        <v>1</v>
      </c>
      <c r="G3304" s="11">
        <v>71428.570000000007</v>
      </c>
    </row>
    <row r="3305" spans="2:7" x14ac:dyDescent="0.2">
      <c r="B3305" s="32">
        <v>45891</v>
      </c>
      <c r="C3305" t="s">
        <v>142</v>
      </c>
      <c r="D3305" s="13" t="s">
        <v>633</v>
      </c>
      <c r="E3305" t="s">
        <v>1983</v>
      </c>
      <c r="F3305" s="11">
        <v>1</v>
      </c>
      <c r="G3305" s="11">
        <v>26621.85</v>
      </c>
    </row>
    <row r="3306" spans="2:7" x14ac:dyDescent="0.2">
      <c r="B3306" s="32">
        <v>45891</v>
      </c>
      <c r="C3306" t="s">
        <v>109</v>
      </c>
      <c r="D3306" s="13" t="s">
        <v>634</v>
      </c>
      <c r="E3306" t="s">
        <v>1835</v>
      </c>
      <c r="F3306" s="11">
        <v>1</v>
      </c>
      <c r="G3306" s="11">
        <v>294117.65000000002</v>
      </c>
    </row>
    <row r="3307" spans="2:7" x14ac:dyDescent="0.2">
      <c r="B3307" s="32">
        <v>45891</v>
      </c>
      <c r="C3307" t="s">
        <v>109</v>
      </c>
      <c r="D3307" s="13" t="s">
        <v>634</v>
      </c>
      <c r="F3307" s="11">
        <v>2</v>
      </c>
      <c r="G3307" s="11">
        <v>163865.54999999999</v>
      </c>
    </row>
    <row r="3308" spans="2:7" x14ac:dyDescent="0.2">
      <c r="B3308" s="32">
        <v>45891</v>
      </c>
      <c r="C3308" t="s">
        <v>109</v>
      </c>
      <c r="D3308" s="13" t="s">
        <v>634</v>
      </c>
      <c r="E3308" t="s">
        <v>245</v>
      </c>
      <c r="F3308" s="11">
        <v>1</v>
      </c>
      <c r="G3308" s="11">
        <v>126050.42</v>
      </c>
    </row>
    <row r="3309" spans="2:7" x14ac:dyDescent="0.2">
      <c r="B3309" s="32">
        <v>45891</v>
      </c>
      <c r="C3309" t="s">
        <v>109</v>
      </c>
      <c r="D3309" s="13" t="s">
        <v>634</v>
      </c>
      <c r="E3309" t="s">
        <v>144</v>
      </c>
      <c r="F3309" s="11">
        <v>6</v>
      </c>
      <c r="G3309" s="11">
        <v>115966.39</v>
      </c>
    </row>
    <row r="3310" spans="2:7" x14ac:dyDescent="0.2">
      <c r="B3310" s="32">
        <v>45891</v>
      </c>
      <c r="C3310" t="s">
        <v>109</v>
      </c>
      <c r="D3310" s="13" t="s">
        <v>634</v>
      </c>
      <c r="E3310" t="s">
        <v>501</v>
      </c>
      <c r="F3310" s="11">
        <v>1</v>
      </c>
      <c r="G3310" s="11">
        <v>100000</v>
      </c>
    </row>
    <row r="3311" spans="2:7" x14ac:dyDescent="0.2">
      <c r="B3311" s="32">
        <v>45891</v>
      </c>
      <c r="C3311" t="s">
        <v>109</v>
      </c>
      <c r="D3311" s="13" t="s">
        <v>634</v>
      </c>
      <c r="E3311" t="s">
        <v>1900</v>
      </c>
      <c r="F3311" s="11">
        <v>1</v>
      </c>
      <c r="G3311" s="11">
        <v>75630.25</v>
      </c>
    </row>
    <row r="3312" spans="2:7" x14ac:dyDescent="0.2">
      <c r="B3312" s="32">
        <v>45891</v>
      </c>
      <c r="C3312" t="s">
        <v>109</v>
      </c>
      <c r="D3312" s="13" t="s">
        <v>634</v>
      </c>
      <c r="E3312" t="s">
        <v>705</v>
      </c>
      <c r="F3312" s="11">
        <v>1</v>
      </c>
      <c r="G3312" s="11">
        <v>58823.53</v>
      </c>
    </row>
    <row r="3313" spans="2:7" x14ac:dyDescent="0.2">
      <c r="B3313" s="32">
        <v>45891</v>
      </c>
      <c r="C3313" t="s">
        <v>109</v>
      </c>
      <c r="D3313" s="13" t="s">
        <v>634</v>
      </c>
      <c r="E3313" t="s">
        <v>1924</v>
      </c>
      <c r="F3313" s="11">
        <v>1</v>
      </c>
      <c r="G3313" s="11">
        <v>58823.53</v>
      </c>
    </row>
    <row r="3314" spans="2:7" x14ac:dyDescent="0.2">
      <c r="B3314" s="32">
        <v>45891</v>
      </c>
      <c r="C3314" t="s">
        <v>109</v>
      </c>
      <c r="D3314" s="13" t="s">
        <v>634</v>
      </c>
      <c r="E3314" t="s">
        <v>431</v>
      </c>
      <c r="F3314" s="11">
        <v>1</v>
      </c>
      <c r="G3314" s="11">
        <v>58823.53</v>
      </c>
    </row>
    <row r="3315" spans="2:7" x14ac:dyDescent="0.2">
      <c r="B3315" s="32">
        <v>45891</v>
      </c>
      <c r="C3315" t="s">
        <v>109</v>
      </c>
      <c r="D3315" s="13" t="s">
        <v>634</v>
      </c>
      <c r="E3315" t="s">
        <v>679</v>
      </c>
      <c r="F3315" s="11">
        <v>1</v>
      </c>
      <c r="G3315" s="11">
        <v>54621.85</v>
      </c>
    </row>
    <row r="3316" spans="2:7" x14ac:dyDescent="0.2">
      <c r="B3316" s="32">
        <v>45891</v>
      </c>
      <c r="C3316" t="s">
        <v>109</v>
      </c>
      <c r="D3316" s="13" t="s">
        <v>634</v>
      </c>
      <c r="E3316" t="s">
        <v>307</v>
      </c>
      <c r="F3316" s="11">
        <v>1</v>
      </c>
      <c r="G3316" s="11">
        <v>50420.17</v>
      </c>
    </row>
    <row r="3317" spans="2:7" x14ac:dyDescent="0.2">
      <c r="B3317" s="32">
        <v>45891</v>
      </c>
      <c r="C3317" t="s">
        <v>109</v>
      </c>
      <c r="D3317" s="13" t="s">
        <v>634</v>
      </c>
      <c r="E3317" t="s">
        <v>158</v>
      </c>
      <c r="F3317" s="11">
        <v>1</v>
      </c>
      <c r="G3317" s="11">
        <v>46218.49</v>
      </c>
    </row>
    <row r="3318" spans="2:7" x14ac:dyDescent="0.2">
      <c r="B3318" s="32">
        <v>45891</v>
      </c>
      <c r="C3318" t="s">
        <v>109</v>
      </c>
      <c r="D3318" s="13" t="s">
        <v>634</v>
      </c>
      <c r="E3318" t="s">
        <v>522</v>
      </c>
      <c r="F3318" s="11">
        <v>1</v>
      </c>
      <c r="G3318" s="11">
        <v>35000</v>
      </c>
    </row>
    <row r="3319" spans="2:7" x14ac:dyDescent="0.2">
      <c r="B3319" s="32">
        <v>45891</v>
      </c>
      <c r="C3319" t="s">
        <v>109</v>
      </c>
      <c r="D3319" s="13" t="s">
        <v>634</v>
      </c>
      <c r="E3319" t="s">
        <v>1813</v>
      </c>
      <c r="F3319" s="11">
        <v>1</v>
      </c>
      <c r="G3319" s="11">
        <v>21848.74</v>
      </c>
    </row>
    <row r="3320" spans="2:7" x14ac:dyDescent="0.2">
      <c r="B3320" s="32">
        <v>45891</v>
      </c>
      <c r="C3320" t="s">
        <v>109</v>
      </c>
      <c r="D3320" s="13" t="s">
        <v>634</v>
      </c>
      <c r="E3320" t="s">
        <v>1822</v>
      </c>
      <c r="F3320" s="11">
        <v>1</v>
      </c>
      <c r="G3320" s="11">
        <v>16806.72</v>
      </c>
    </row>
    <row r="3321" spans="2:7" x14ac:dyDescent="0.2">
      <c r="B3321" s="32">
        <v>45891</v>
      </c>
      <c r="C3321" t="s">
        <v>109</v>
      </c>
      <c r="D3321" s="13" t="s">
        <v>633</v>
      </c>
      <c r="E3321" t="s">
        <v>293</v>
      </c>
      <c r="F3321" s="11">
        <v>31</v>
      </c>
      <c r="G3321" s="11">
        <v>1055042.02</v>
      </c>
    </row>
    <row r="3322" spans="2:7" x14ac:dyDescent="0.2">
      <c r="B3322" s="32">
        <v>45891</v>
      </c>
      <c r="C3322" t="s">
        <v>109</v>
      </c>
      <c r="D3322" s="13" t="s">
        <v>633</v>
      </c>
      <c r="E3322" t="s">
        <v>300</v>
      </c>
      <c r="F3322" s="11">
        <v>3</v>
      </c>
      <c r="G3322" s="11">
        <v>113445.38</v>
      </c>
    </row>
    <row r="3323" spans="2:7" x14ac:dyDescent="0.2">
      <c r="B3323" s="32">
        <v>45891</v>
      </c>
      <c r="C3323" t="s">
        <v>109</v>
      </c>
      <c r="D3323" s="13" t="s">
        <v>633</v>
      </c>
      <c r="E3323" t="s">
        <v>144</v>
      </c>
      <c r="F3323" s="11">
        <v>4</v>
      </c>
      <c r="G3323" s="11">
        <v>107563.02</v>
      </c>
    </row>
    <row r="3324" spans="2:7" x14ac:dyDescent="0.2">
      <c r="B3324" s="32">
        <v>45892</v>
      </c>
      <c r="C3324" t="s">
        <v>142</v>
      </c>
      <c r="D3324" s="13" t="s">
        <v>634</v>
      </c>
      <c r="E3324" t="s">
        <v>354</v>
      </c>
      <c r="F3324" s="11">
        <v>1</v>
      </c>
      <c r="G3324" s="11">
        <v>58823.53</v>
      </c>
    </row>
    <row r="3325" spans="2:7" x14ac:dyDescent="0.2">
      <c r="B3325" s="32">
        <v>45892</v>
      </c>
      <c r="C3325" t="s">
        <v>142</v>
      </c>
      <c r="D3325" s="13" t="s">
        <v>634</v>
      </c>
      <c r="E3325" t="s">
        <v>430</v>
      </c>
      <c r="F3325" s="11">
        <v>1</v>
      </c>
      <c r="G3325" s="11">
        <v>58823.53</v>
      </c>
    </row>
    <row r="3326" spans="2:7" x14ac:dyDescent="0.2">
      <c r="B3326" s="32">
        <v>45892</v>
      </c>
      <c r="C3326" t="s">
        <v>142</v>
      </c>
      <c r="D3326" s="13" t="s">
        <v>634</v>
      </c>
      <c r="E3326" t="s">
        <v>233</v>
      </c>
      <c r="F3326" s="11">
        <v>1</v>
      </c>
      <c r="G3326" s="11">
        <v>58823.53</v>
      </c>
    </row>
    <row r="3327" spans="2:7" x14ac:dyDescent="0.2">
      <c r="B3327" s="32">
        <v>45892</v>
      </c>
      <c r="C3327" t="s">
        <v>142</v>
      </c>
      <c r="D3327" s="13" t="s">
        <v>634</v>
      </c>
      <c r="E3327" t="s">
        <v>283</v>
      </c>
      <c r="F3327" s="11">
        <v>1</v>
      </c>
      <c r="G3327" s="11">
        <v>54621.85</v>
      </c>
    </row>
    <row r="3328" spans="2:7" x14ac:dyDescent="0.2">
      <c r="B3328" s="32">
        <v>45892</v>
      </c>
      <c r="C3328" t="s">
        <v>142</v>
      </c>
      <c r="D3328" s="13" t="s">
        <v>634</v>
      </c>
      <c r="F3328" s="11">
        <v>0</v>
      </c>
      <c r="G3328" s="11">
        <v>0</v>
      </c>
    </row>
    <row r="3329" spans="2:7" x14ac:dyDescent="0.2">
      <c r="B3329" s="32">
        <v>45892</v>
      </c>
      <c r="C3329" t="s">
        <v>142</v>
      </c>
      <c r="D3329" s="13" t="s">
        <v>633</v>
      </c>
      <c r="E3329" t="s">
        <v>788</v>
      </c>
      <c r="F3329" s="11">
        <v>2</v>
      </c>
      <c r="G3329" s="11">
        <v>109243.7</v>
      </c>
    </row>
    <row r="3330" spans="2:7" x14ac:dyDescent="0.2">
      <c r="B3330" s="32">
        <v>45892</v>
      </c>
      <c r="C3330" t="s">
        <v>142</v>
      </c>
      <c r="D3330" s="13" t="s">
        <v>633</v>
      </c>
      <c r="E3330" t="s">
        <v>1959</v>
      </c>
      <c r="F3330" s="11">
        <v>1</v>
      </c>
      <c r="G3330" s="11">
        <v>0</v>
      </c>
    </row>
    <row r="3331" spans="2:7" x14ac:dyDescent="0.2">
      <c r="B3331" s="32">
        <v>45892</v>
      </c>
      <c r="C3331" t="s">
        <v>142</v>
      </c>
      <c r="D3331" s="13" t="s">
        <v>633</v>
      </c>
      <c r="F3331" s="11">
        <v>0</v>
      </c>
      <c r="G3331" s="11">
        <v>0</v>
      </c>
    </row>
    <row r="3332" spans="2:7" x14ac:dyDescent="0.2">
      <c r="B3332" s="32">
        <v>45892</v>
      </c>
      <c r="C3332" t="s">
        <v>109</v>
      </c>
      <c r="D3332" s="13" t="s">
        <v>634</v>
      </c>
      <c r="E3332" t="s">
        <v>758</v>
      </c>
      <c r="F3332" s="11">
        <v>1</v>
      </c>
      <c r="G3332" s="11">
        <v>294117.65000000002</v>
      </c>
    </row>
    <row r="3333" spans="2:7" x14ac:dyDescent="0.2">
      <c r="B3333" s="32">
        <v>45892</v>
      </c>
      <c r="C3333" t="s">
        <v>109</v>
      </c>
      <c r="D3333" s="13" t="s">
        <v>634</v>
      </c>
      <c r="E3333" t="s">
        <v>488</v>
      </c>
      <c r="F3333" s="11">
        <v>1</v>
      </c>
      <c r="G3333" s="11">
        <v>74789.91</v>
      </c>
    </row>
    <row r="3334" spans="2:7" x14ac:dyDescent="0.2">
      <c r="B3334" s="32">
        <v>45892</v>
      </c>
      <c r="C3334" t="s">
        <v>109</v>
      </c>
      <c r="D3334" s="13" t="s">
        <v>634</v>
      </c>
      <c r="E3334" t="s">
        <v>192</v>
      </c>
      <c r="F3334" s="11">
        <v>1</v>
      </c>
      <c r="G3334" s="11">
        <v>71428.570000000007</v>
      </c>
    </row>
    <row r="3335" spans="2:7" x14ac:dyDescent="0.2">
      <c r="B3335" s="32">
        <v>45892</v>
      </c>
      <c r="C3335" t="s">
        <v>109</v>
      </c>
      <c r="D3335" s="13" t="s">
        <v>634</v>
      </c>
      <c r="E3335" t="s">
        <v>1920</v>
      </c>
      <c r="F3335" s="11">
        <v>1</v>
      </c>
      <c r="G3335" s="11">
        <v>58823.53</v>
      </c>
    </row>
    <row r="3336" spans="2:7" x14ac:dyDescent="0.2">
      <c r="B3336" s="32">
        <v>45892</v>
      </c>
      <c r="C3336" t="s">
        <v>109</v>
      </c>
      <c r="D3336" s="13" t="s">
        <v>634</v>
      </c>
      <c r="E3336" t="s">
        <v>151</v>
      </c>
      <c r="F3336" s="11">
        <v>1</v>
      </c>
      <c r="G3336" s="11">
        <v>46218.49</v>
      </c>
    </row>
    <row r="3337" spans="2:7" x14ac:dyDescent="0.2">
      <c r="B3337" s="32">
        <v>45892</v>
      </c>
      <c r="C3337" t="s">
        <v>109</v>
      </c>
      <c r="D3337" s="13" t="s">
        <v>634</v>
      </c>
      <c r="E3337" t="s">
        <v>172</v>
      </c>
      <c r="F3337" s="11">
        <v>1</v>
      </c>
      <c r="G3337" s="11">
        <v>46218.49</v>
      </c>
    </row>
    <row r="3338" spans="2:7" x14ac:dyDescent="0.2">
      <c r="B3338" s="32">
        <v>45892</v>
      </c>
      <c r="C3338" t="s">
        <v>109</v>
      </c>
      <c r="D3338" s="13" t="s">
        <v>634</v>
      </c>
      <c r="E3338" t="s">
        <v>195</v>
      </c>
      <c r="F3338" s="11">
        <v>1</v>
      </c>
      <c r="G3338" s="11">
        <v>46218.48</v>
      </c>
    </row>
    <row r="3339" spans="2:7" x14ac:dyDescent="0.2">
      <c r="B3339" s="32">
        <v>45892</v>
      </c>
      <c r="C3339" t="s">
        <v>109</v>
      </c>
      <c r="D3339" s="13" t="s">
        <v>634</v>
      </c>
      <c r="E3339" t="s">
        <v>240</v>
      </c>
      <c r="F3339" s="11">
        <v>1</v>
      </c>
      <c r="G3339" s="11">
        <v>42016.81</v>
      </c>
    </row>
    <row r="3340" spans="2:7" x14ac:dyDescent="0.2">
      <c r="B3340" s="32">
        <v>45892</v>
      </c>
      <c r="C3340" t="s">
        <v>109</v>
      </c>
      <c r="D3340" s="13" t="s">
        <v>634</v>
      </c>
      <c r="E3340" t="s">
        <v>1968</v>
      </c>
      <c r="F3340" s="11">
        <v>1</v>
      </c>
      <c r="G3340" s="11">
        <v>42016.81</v>
      </c>
    </row>
    <row r="3341" spans="2:7" x14ac:dyDescent="0.2">
      <c r="B3341" s="32">
        <v>45892</v>
      </c>
      <c r="C3341" t="s">
        <v>109</v>
      </c>
      <c r="D3341" s="13" t="s">
        <v>634</v>
      </c>
      <c r="E3341" t="s">
        <v>173</v>
      </c>
      <c r="F3341" s="11">
        <v>1</v>
      </c>
      <c r="G3341" s="11">
        <v>37815.129999999997</v>
      </c>
    </row>
    <row r="3342" spans="2:7" x14ac:dyDescent="0.2">
      <c r="B3342" s="32">
        <v>45892</v>
      </c>
      <c r="C3342" t="s">
        <v>109</v>
      </c>
      <c r="D3342" s="13" t="s">
        <v>634</v>
      </c>
      <c r="E3342" t="s">
        <v>522</v>
      </c>
      <c r="F3342" s="11">
        <v>1</v>
      </c>
      <c r="G3342" s="11">
        <v>35000</v>
      </c>
    </row>
    <row r="3343" spans="2:7" x14ac:dyDescent="0.2">
      <c r="B3343" s="32">
        <v>45892</v>
      </c>
      <c r="C3343" t="s">
        <v>109</v>
      </c>
      <c r="D3343" s="13" t="s">
        <v>633</v>
      </c>
      <c r="E3343" t="s">
        <v>242</v>
      </c>
      <c r="F3343" s="11">
        <v>1</v>
      </c>
      <c r="G3343" s="11">
        <v>142857.14000000001</v>
      </c>
    </row>
    <row r="3344" spans="2:7" x14ac:dyDescent="0.2">
      <c r="B3344" s="32">
        <v>45892</v>
      </c>
      <c r="C3344" t="s">
        <v>109</v>
      </c>
      <c r="D3344" s="13" t="s">
        <v>633</v>
      </c>
      <c r="F3344" s="11">
        <v>1</v>
      </c>
      <c r="G3344" s="11">
        <v>117647.06</v>
      </c>
    </row>
    <row r="3345" spans="2:7" x14ac:dyDescent="0.2">
      <c r="B3345" s="32">
        <v>45892</v>
      </c>
      <c r="C3345" t="s">
        <v>109</v>
      </c>
      <c r="D3345" s="13" t="s">
        <v>633</v>
      </c>
      <c r="E3345" t="s">
        <v>446</v>
      </c>
      <c r="F3345" s="11">
        <v>1</v>
      </c>
      <c r="G3345" s="11">
        <v>75630.25</v>
      </c>
    </row>
    <row r="3346" spans="2:7" x14ac:dyDescent="0.2">
      <c r="B3346" s="32">
        <v>45892</v>
      </c>
      <c r="C3346" t="s">
        <v>109</v>
      </c>
      <c r="D3346" s="13" t="s">
        <v>633</v>
      </c>
      <c r="E3346" t="s">
        <v>368</v>
      </c>
      <c r="F3346" s="11">
        <v>1</v>
      </c>
      <c r="G3346" s="11">
        <v>75630.25</v>
      </c>
    </row>
    <row r="3347" spans="2:7" x14ac:dyDescent="0.2">
      <c r="B3347" s="32">
        <v>45892</v>
      </c>
      <c r="C3347" t="s">
        <v>109</v>
      </c>
      <c r="D3347" s="13" t="s">
        <v>633</v>
      </c>
      <c r="E3347" t="s">
        <v>475</v>
      </c>
      <c r="F3347" s="11">
        <v>1</v>
      </c>
      <c r="G3347" s="11">
        <v>71428.570000000007</v>
      </c>
    </row>
    <row r="3348" spans="2:7" x14ac:dyDescent="0.2">
      <c r="B3348" s="32">
        <v>45892</v>
      </c>
      <c r="C3348" t="s">
        <v>109</v>
      </c>
      <c r="D3348" s="13" t="s">
        <v>633</v>
      </c>
      <c r="E3348" t="s">
        <v>189</v>
      </c>
      <c r="F3348" s="11">
        <v>1</v>
      </c>
      <c r="G3348" s="11">
        <v>71428.570000000007</v>
      </c>
    </row>
    <row r="3349" spans="2:7" x14ac:dyDescent="0.2">
      <c r="B3349" s="32">
        <v>45892</v>
      </c>
      <c r="C3349" t="s">
        <v>109</v>
      </c>
      <c r="D3349" s="13" t="s">
        <v>633</v>
      </c>
      <c r="E3349" t="s">
        <v>208</v>
      </c>
      <c r="F3349" s="11">
        <v>1</v>
      </c>
      <c r="G3349" s="11">
        <v>58823.53</v>
      </c>
    </row>
    <row r="3350" spans="2:7" x14ac:dyDescent="0.2">
      <c r="B3350" s="32">
        <v>45892</v>
      </c>
      <c r="C3350" t="s">
        <v>109</v>
      </c>
      <c r="D3350" s="13" t="s">
        <v>633</v>
      </c>
      <c r="E3350" t="s">
        <v>495</v>
      </c>
      <c r="F3350" s="11">
        <v>1</v>
      </c>
      <c r="G3350" s="11">
        <v>54621.85</v>
      </c>
    </row>
    <row r="3351" spans="2:7" x14ac:dyDescent="0.2">
      <c r="B3351" s="32">
        <v>45892</v>
      </c>
      <c r="C3351" t="s">
        <v>109</v>
      </c>
      <c r="D3351" s="13" t="s">
        <v>633</v>
      </c>
      <c r="E3351" t="s">
        <v>426</v>
      </c>
      <c r="F3351" s="11">
        <v>1</v>
      </c>
      <c r="G3351" s="11">
        <v>50420.17</v>
      </c>
    </row>
    <row r="3352" spans="2:7" x14ac:dyDescent="0.2">
      <c r="B3352" s="32">
        <v>45892</v>
      </c>
      <c r="C3352" t="s">
        <v>109</v>
      </c>
      <c r="D3352" s="13" t="s">
        <v>633</v>
      </c>
      <c r="E3352" t="s">
        <v>238</v>
      </c>
      <c r="F3352" s="11">
        <v>1</v>
      </c>
      <c r="G3352" s="11">
        <v>46218.49</v>
      </c>
    </row>
    <row r="3353" spans="2:7" x14ac:dyDescent="0.2">
      <c r="B3353" s="32">
        <v>45892</v>
      </c>
      <c r="C3353" t="s">
        <v>109</v>
      </c>
      <c r="D3353" s="13" t="s">
        <v>633</v>
      </c>
      <c r="E3353" t="s">
        <v>1749</v>
      </c>
      <c r="F3353" s="11">
        <v>1</v>
      </c>
      <c r="G3353" s="11">
        <v>46218.49</v>
      </c>
    </row>
    <row r="3354" spans="2:7" x14ac:dyDescent="0.2">
      <c r="B3354" s="32">
        <v>45892</v>
      </c>
      <c r="C3354" t="s">
        <v>109</v>
      </c>
      <c r="D3354" s="13" t="s">
        <v>633</v>
      </c>
      <c r="E3354" t="s">
        <v>1896</v>
      </c>
      <c r="F3354" s="11">
        <v>1</v>
      </c>
      <c r="G3354" s="11">
        <v>46218.49</v>
      </c>
    </row>
    <row r="3355" spans="2:7" x14ac:dyDescent="0.2">
      <c r="B3355" s="32">
        <v>45892</v>
      </c>
      <c r="C3355" t="s">
        <v>109</v>
      </c>
      <c r="D3355" s="13" t="s">
        <v>633</v>
      </c>
      <c r="E3355" t="s">
        <v>195</v>
      </c>
      <c r="F3355" s="11">
        <v>1</v>
      </c>
      <c r="G3355" s="11">
        <v>46218.48</v>
      </c>
    </row>
    <row r="3356" spans="2:7" x14ac:dyDescent="0.2">
      <c r="B3356" s="32">
        <v>45892</v>
      </c>
      <c r="C3356" t="s">
        <v>109</v>
      </c>
      <c r="D3356" s="13" t="s">
        <v>633</v>
      </c>
      <c r="E3356" t="s">
        <v>150</v>
      </c>
      <c r="F3356" s="11">
        <v>1</v>
      </c>
      <c r="G3356" s="11">
        <v>42016.81</v>
      </c>
    </row>
    <row r="3357" spans="2:7" x14ac:dyDescent="0.2">
      <c r="B3357" s="32">
        <v>45892</v>
      </c>
      <c r="C3357" t="s">
        <v>109</v>
      </c>
      <c r="D3357" s="13" t="s">
        <v>633</v>
      </c>
      <c r="E3357" t="s">
        <v>1968</v>
      </c>
      <c r="F3357" s="11">
        <v>0</v>
      </c>
      <c r="G3357" s="11">
        <v>42016.81</v>
      </c>
    </row>
    <row r="3358" spans="2:7" x14ac:dyDescent="0.2">
      <c r="B3358" s="32">
        <v>45892</v>
      </c>
      <c r="C3358" t="s">
        <v>109</v>
      </c>
      <c r="D3358" s="13" t="s">
        <v>633</v>
      </c>
      <c r="E3358" t="s">
        <v>168</v>
      </c>
      <c r="F3358" s="11">
        <v>1</v>
      </c>
      <c r="G3358" s="11">
        <v>42016.81</v>
      </c>
    </row>
    <row r="3359" spans="2:7" x14ac:dyDescent="0.2">
      <c r="B3359" s="32">
        <v>45892</v>
      </c>
      <c r="C3359" t="s">
        <v>109</v>
      </c>
      <c r="D3359" s="13" t="s">
        <v>633</v>
      </c>
      <c r="E3359" t="s">
        <v>166</v>
      </c>
      <c r="F3359" s="11">
        <v>1</v>
      </c>
      <c r="G3359" s="11">
        <v>42016.81</v>
      </c>
    </row>
    <row r="3360" spans="2:7" x14ac:dyDescent="0.2">
      <c r="B3360" s="32">
        <v>45892</v>
      </c>
      <c r="C3360" t="s">
        <v>109</v>
      </c>
      <c r="D3360" s="13" t="s">
        <v>633</v>
      </c>
      <c r="E3360" t="s">
        <v>203</v>
      </c>
      <c r="F3360" s="11">
        <v>1</v>
      </c>
      <c r="G3360" s="11">
        <v>42016.800000000003</v>
      </c>
    </row>
    <row r="3361" spans="2:7" x14ac:dyDescent="0.2">
      <c r="B3361" s="32">
        <v>45892</v>
      </c>
      <c r="C3361" t="s">
        <v>109</v>
      </c>
      <c r="D3361" s="13" t="s">
        <v>633</v>
      </c>
      <c r="E3361" t="s">
        <v>293</v>
      </c>
      <c r="F3361" s="11">
        <v>1</v>
      </c>
      <c r="G3361" s="11">
        <v>37815.129999999997</v>
      </c>
    </row>
    <row r="3362" spans="2:7" x14ac:dyDescent="0.2">
      <c r="B3362" s="32">
        <v>45892</v>
      </c>
      <c r="C3362" t="s">
        <v>109</v>
      </c>
      <c r="D3362" s="13" t="s">
        <v>633</v>
      </c>
      <c r="E3362" t="s">
        <v>234</v>
      </c>
      <c r="F3362" s="11">
        <v>0</v>
      </c>
      <c r="G3362" s="11">
        <v>37815.120000000003</v>
      </c>
    </row>
    <row r="3363" spans="2:7" x14ac:dyDescent="0.2">
      <c r="B3363" s="32">
        <v>45892</v>
      </c>
      <c r="C3363" t="s">
        <v>109</v>
      </c>
      <c r="D3363" s="13" t="s">
        <v>633</v>
      </c>
      <c r="E3363" t="s">
        <v>1822</v>
      </c>
      <c r="F3363" s="11">
        <v>1</v>
      </c>
      <c r="G3363" s="11">
        <v>16806.72</v>
      </c>
    </row>
    <row r="3364" spans="2:7" x14ac:dyDescent="0.2">
      <c r="B3364" s="32">
        <v>45892</v>
      </c>
      <c r="C3364" t="s">
        <v>109</v>
      </c>
      <c r="D3364" s="13" t="s">
        <v>633</v>
      </c>
      <c r="E3364" t="s">
        <v>1977</v>
      </c>
      <c r="F3364" s="11">
        <v>1</v>
      </c>
      <c r="G3364" s="11">
        <v>15126.05</v>
      </c>
    </row>
    <row r="3365" spans="2:7" x14ac:dyDescent="0.2">
      <c r="B3365" s="32">
        <v>45893</v>
      </c>
      <c r="C3365" t="s">
        <v>142</v>
      </c>
      <c r="D3365" s="13" t="s">
        <v>634</v>
      </c>
      <c r="E3365" t="s">
        <v>325</v>
      </c>
      <c r="F3365" s="11">
        <v>1</v>
      </c>
      <c r="G3365" s="11">
        <v>58823.53</v>
      </c>
    </row>
    <row r="3366" spans="2:7" x14ac:dyDescent="0.2">
      <c r="B3366" s="32">
        <v>45893</v>
      </c>
      <c r="C3366" t="s">
        <v>142</v>
      </c>
      <c r="D3366" s="13" t="s">
        <v>634</v>
      </c>
      <c r="E3366" t="s">
        <v>721</v>
      </c>
      <c r="F3366" s="11">
        <v>1</v>
      </c>
      <c r="G3366" s="11">
        <v>58823.53</v>
      </c>
    </row>
    <row r="3367" spans="2:7" x14ac:dyDescent="0.2">
      <c r="B3367" s="32">
        <v>45893</v>
      </c>
      <c r="C3367" t="s">
        <v>142</v>
      </c>
      <c r="D3367" s="13" t="s">
        <v>634</v>
      </c>
      <c r="F3367" s="11">
        <v>0</v>
      </c>
      <c r="G3367" s="11">
        <v>0</v>
      </c>
    </row>
    <row r="3368" spans="2:7" x14ac:dyDescent="0.2">
      <c r="B3368" s="32">
        <v>45893</v>
      </c>
      <c r="C3368" t="s">
        <v>142</v>
      </c>
      <c r="D3368" s="13" t="s">
        <v>633</v>
      </c>
      <c r="E3368" t="s">
        <v>315</v>
      </c>
      <c r="F3368" s="11">
        <v>1</v>
      </c>
      <c r="G3368" s="11">
        <v>58823.53</v>
      </c>
    </row>
    <row r="3369" spans="2:7" x14ac:dyDescent="0.2">
      <c r="B3369" s="32">
        <v>45893</v>
      </c>
      <c r="C3369" t="s">
        <v>142</v>
      </c>
      <c r="D3369" s="13" t="s">
        <v>633</v>
      </c>
      <c r="E3369" t="s">
        <v>208</v>
      </c>
      <c r="F3369" s="11">
        <v>1</v>
      </c>
      <c r="G3369" s="11">
        <v>58823.53</v>
      </c>
    </row>
    <row r="3370" spans="2:7" x14ac:dyDescent="0.2">
      <c r="B3370" s="32">
        <v>45893</v>
      </c>
      <c r="C3370" t="s">
        <v>142</v>
      </c>
      <c r="D3370" s="13" t="s">
        <v>633</v>
      </c>
      <c r="F3370" s="11">
        <v>0</v>
      </c>
      <c r="G3370" s="11">
        <v>0</v>
      </c>
    </row>
    <row r="3371" spans="2:7" x14ac:dyDescent="0.2">
      <c r="B3371" s="32">
        <v>45893</v>
      </c>
      <c r="C3371" t="s">
        <v>1739</v>
      </c>
      <c r="D3371" s="13" t="s">
        <v>634</v>
      </c>
      <c r="E3371" t="s">
        <v>165</v>
      </c>
      <c r="F3371" s="11">
        <v>1</v>
      </c>
      <c r="G3371" s="11">
        <v>58823.53</v>
      </c>
    </row>
    <row r="3372" spans="2:7" x14ac:dyDescent="0.2">
      <c r="B3372" s="32">
        <v>45893</v>
      </c>
      <c r="C3372" t="s">
        <v>1739</v>
      </c>
      <c r="D3372" s="13" t="s">
        <v>634</v>
      </c>
      <c r="E3372" t="s">
        <v>1796</v>
      </c>
      <c r="F3372" s="11">
        <v>1</v>
      </c>
      <c r="G3372" s="11">
        <v>21008.400000000001</v>
      </c>
    </row>
    <row r="3373" spans="2:7" x14ac:dyDescent="0.2">
      <c r="B3373" s="32">
        <v>45893</v>
      </c>
      <c r="C3373" t="s">
        <v>1739</v>
      </c>
      <c r="D3373" s="13" t="s">
        <v>634</v>
      </c>
      <c r="F3373" s="11">
        <v>0</v>
      </c>
      <c r="G3373" s="11">
        <v>0</v>
      </c>
    </row>
    <row r="3374" spans="2:7" x14ac:dyDescent="0.2">
      <c r="B3374" s="32">
        <v>45893</v>
      </c>
      <c r="C3374" t="s">
        <v>109</v>
      </c>
      <c r="D3374" s="13" t="s">
        <v>634</v>
      </c>
      <c r="E3374" t="s">
        <v>329</v>
      </c>
      <c r="F3374" s="11">
        <v>1</v>
      </c>
      <c r="G3374" s="11">
        <v>201680.67</v>
      </c>
    </row>
    <row r="3375" spans="2:7" x14ac:dyDescent="0.2">
      <c r="B3375" s="32">
        <v>45893</v>
      </c>
      <c r="C3375" t="s">
        <v>109</v>
      </c>
      <c r="D3375" s="13" t="s">
        <v>634</v>
      </c>
      <c r="E3375" t="s">
        <v>205</v>
      </c>
      <c r="F3375" s="11">
        <v>3</v>
      </c>
      <c r="G3375" s="11">
        <v>176470.59</v>
      </c>
    </row>
    <row r="3376" spans="2:7" x14ac:dyDescent="0.2">
      <c r="B3376" s="32">
        <v>45893</v>
      </c>
      <c r="C3376" t="s">
        <v>109</v>
      </c>
      <c r="D3376" s="13" t="s">
        <v>634</v>
      </c>
      <c r="E3376" t="s">
        <v>1984</v>
      </c>
      <c r="F3376" s="11">
        <v>1</v>
      </c>
      <c r="G3376" s="11">
        <v>138655.46</v>
      </c>
    </row>
    <row r="3377" spans="2:7" x14ac:dyDescent="0.2">
      <c r="B3377" s="32">
        <v>45893</v>
      </c>
      <c r="C3377" t="s">
        <v>109</v>
      </c>
      <c r="D3377" s="13" t="s">
        <v>634</v>
      </c>
      <c r="E3377" t="s">
        <v>1985</v>
      </c>
      <c r="F3377" s="11">
        <v>1</v>
      </c>
      <c r="G3377" s="11">
        <v>138655.46</v>
      </c>
    </row>
    <row r="3378" spans="2:7" x14ac:dyDescent="0.2">
      <c r="B3378" s="32">
        <v>45893</v>
      </c>
      <c r="C3378" t="s">
        <v>109</v>
      </c>
      <c r="D3378" s="13" t="s">
        <v>634</v>
      </c>
      <c r="E3378" t="s">
        <v>669</v>
      </c>
      <c r="F3378" s="11">
        <v>1</v>
      </c>
      <c r="G3378" s="11">
        <v>102000</v>
      </c>
    </row>
    <row r="3379" spans="2:7" x14ac:dyDescent="0.2">
      <c r="B3379" s="32">
        <v>45893</v>
      </c>
      <c r="C3379" t="s">
        <v>109</v>
      </c>
      <c r="D3379" s="13" t="s">
        <v>634</v>
      </c>
      <c r="E3379" t="s">
        <v>226</v>
      </c>
      <c r="F3379" s="11">
        <v>1</v>
      </c>
      <c r="G3379" s="11">
        <v>100840.34</v>
      </c>
    </row>
    <row r="3380" spans="2:7" x14ac:dyDescent="0.2">
      <c r="B3380" s="32">
        <v>45893</v>
      </c>
      <c r="C3380" t="s">
        <v>109</v>
      </c>
      <c r="D3380" s="13" t="s">
        <v>634</v>
      </c>
      <c r="E3380" t="s">
        <v>154</v>
      </c>
      <c r="F3380" s="11">
        <v>1</v>
      </c>
      <c r="G3380" s="11">
        <v>96638.65</v>
      </c>
    </row>
    <row r="3381" spans="2:7" x14ac:dyDescent="0.2">
      <c r="B3381" s="32">
        <v>45893</v>
      </c>
      <c r="C3381" t="s">
        <v>109</v>
      </c>
      <c r="D3381" s="13" t="s">
        <v>634</v>
      </c>
      <c r="E3381" t="s">
        <v>1986</v>
      </c>
      <c r="F3381" s="11">
        <v>1</v>
      </c>
      <c r="G3381" s="11">
        <v>96000</v>
      </c>
    </row>
    <row r="3382" spans="2:7" x14ac:dyDescent="0.2">
      <c r="B3382" s="32">
        <v>45893</v>
      </c>
      <c r="C3382" t="s">
        <v>109</v>
      </c>
      <c r="D3382" s="13" t="s">
        <v>634</v>
      </c>
      <c r="E3382" t="s">
        <v>238</v>
      </c>
      <c r="F3382" s="11">
        <v>2</v>
      </c>
      <c r="G3382" s="11">
        <v>92436.97</v>
      </c>
    </row>
    <row r="3383" spans="2:7" x14ac:dyDescent="0.2">
      <c r="B3383" s="32">
        <v>45893</v>
      </c>
      <c r="C3383" t="s">
        <v>109</v>
      </c>
      <c r="D3383" s="13" t="s">
        <v>634</v>
      </c>
      <c r="E3383" t="s">
        <v>158</v>
      </c>
      <c r="F3383" s="11">
        <v>2</v>
      </c>
      <c r="G3383" s="11">
        <v>92436.97</v>
      </c>
    </row>
    <row r="3384" spans="2:7" x14ac:dyDescent="0.2">
      <c r="B3384" s="32">
        <v>45893</v>
      </c>
      <c r="C3384" t="s">
        <v>109</v>
      </c>
      <c r="D3384" s="13" t="s">
        <v>634</v>
      </c>
      <c r="E3384" t="s">
        <v>1961</v>
      </c>
      <c r="F3384" s="11">
        <v>1</v>
      </c>
      <c r="G3384" s="11">
        <v>85000</v>
      </c>
    </row>
    <row r="3385" spans="2:7" x14ac:dyDescent="0.2">
      <c r="B3385" s="32">
        <v>45893</v>
      </c>
      <c r="C3385" t="s">
        <v>109</v>
      </c>
      <c r="D3385" s="13" t="s">
        <v>634</v>
      </c>
      <c r="E3385" t="s">
        <v>184</v>
      </c>
      <c r="F3385" s="11">
        <v>1</v>
      </c>
      <c r="G3385" s="11">
        <v>84033.61</v>
      </c>
    </row>
    <row r="3386" spans="2:7" x14ac:dyDescent="0.2">
      <c r="B3386" s="32">
        <v>45893</v>
      </c>
      <c r="C3386" t="s">
        <v>109</v>
      </c>
      <c r="D3386" s="13" t="s">
        <v>634</v>
      </c>
      <c r="E3386" t="s">
        <v>1939</v>
      </c>
      <c r="F3386" s="11">
        <v>1</v>
      </c>
      <c r="G3386" s="11">
        <v>67226.89</v>
      </c>
    </row>
    <row r="3387" spans="2:7" x14ac:dyDescent="0.2">
      <c r="B3387" s="32">
        <v>45893</v>
      </c>
      <c r="C3387" t="s">
        <v>109</v>
      </c>
      <c r="D3387" s="13" t="s">
        <v>634</v>
      </c>
      <c r="E3387" t="s">
        <v>372</v>
      </c>
      <c r="F3387" s="11">
        <v>1</v>
      </c>
      <c r="G3387" s="11">
        <v>58823.53</v>
      </c>
    </row>
    <row r="3388" spans="2:7" x14ac:dyDescent="0.2">
      <c r="B3388" s="32">
        <v>45893</v>
      </c>
      <c r="C3388" t="s">
        <v>109</v>
      </c>
      <c r="D3388" s="13" t="s">
        <v>634</v>
      </c>
      <c r="E3388" t="s">
        <v>567</v>
      </c>
      <c r="F3388" s="11">
        <v>1</v>
      </c>
      <c r="G3388" s="11">
        <v>58823.53</v>
      </c>
    </row>
    <row r="3389" spans="2:7" x14ac:dyDescent="0.2">
      <c r="B3389" s="32">
        <v>45893</v>
      </c>
      <c r="C3389" t="s">
        <v>109</v>
      </c>
      <c r="D3389" s="13" t="s">
        <v>634</v>
      </c>
      <c r="E3389" t="s">
        <v>172</v>
      </c>
      <c r="F3389" s="11">
        <v>1</v>
      </c>
      <c r="G3389" s="11">
        <v>46218.49</v>
      </c>
    </row>
    <row r="3390" spans="2:7" x14ac:dyDescent="0.2">
      <c r="B3390" s="32">
        <v>45893</v>
      </c>
      <c r="C3390" t="s">
        <v>109</v>
      </c>
      <c r="D3390" s="13" t="s">
        <v>634</v>
      </c>
      <c r="E3390" t="s">
        <v>1968</v>
      </c>
      <c r="F3390" s="11">
        <v>1</v>
      </c>
      <c r="G3390" s="11">
        <v>42016.81</v>
      </c>
    </row>
    <row r="3391" spans="2:7" x14ac:dyDescent="0.2">
      <c r="B3391" s="32">
        <v>45893</v>
      </c>
      <c r="C3391" t="s">
        <v>109</v>
      </c>
      <c r="D3391" s="13" t="s">
        <v>634</v>
      </c>
      <c r="E3391" t="s">
        <v>240</v>
      </c>
      <c r="F3391" s="11">
        <v>1</v>
      </c>
      <c r="G3391" s="11">
        <v>42016.81</v>
      </c>
    </row>
    <row r="3392" spans="2:7" x14ac:dyDescent="0.2">
      <c r="B3392" s="32">
        <v>45893</v>
      </c>
      <c r="C3392" t="s">
        <v>109</v>
      </c>
      <c r="D3392" s="13" t="s">
        <v>634</v>
      </c>
      <c r="E3392" t="s">
        <v>196</v>
      </c>
      <c r="F3392" s="11">
        <v>1</v>
      </c>
      <c r="G3392" s="11">
        <v>42016.800000000003</v>
      </c>
    </row>
    <row r="3393" spans="2:7" x14ac:dyDescent="0.2">
      <c r="B3393" s="32">
        <v>45893</v>
      </c>
      <c r="C3393" t="s">
        <v>109</v>
      </c>
      <c r="D3393" s="13" t="s">
        <v>634</v>
      </c>
      <c r="E3393" t="s">
        <v>144</v>
      </c>
      <c r="F3393" s="11">
        <v>1</v>
      </c>
      <c r="G3393" s="11">
        <v>18487.39</v>
      </c>
    </row>
    <row r="3394" spans="2:7" x14ac:dyDescent="0.2">
      <c r="B3394" s="32">
        <v>45893</v>
      </c>
      <c r="C3394" t="s">
        <v>109</v>
      </c>
      <c r="D3394" s="13" t="s">
        <v>634</v>
      </c>
      <c r="F3394" s="11">
        <v>0</v>
      </c>
      <c r="G3394" s="11">
        <v>0</v>
      </c>
    </row>
    <row r="3395" spans="2:7" x14ac:dyDescent="0.2">
      <c r="B3395" s="32">
        <v>45893</v>
      </c>
      <c r="C3395" t="s">
        <v>109</v>
      </c>
      <c r="D3395" s="13" t="s">
        <v>633</v>
      </c>
      <c r="E3395" t="s">
        <v>181</v>
      </c>
      <c r="F3395" s="11">
        <v>3</v>
      </c>
      <c r="G3395" s="11">
        <v>176470.59</v>
      </c>
    </row>
    <row r="3396" spans="2:7" x14ac:dyDescent="0.2">
      <c r="B3396" s="32">
        <v>45893</v>
      </c>
      <c r="C3396" t="s">
        <v>109</v>
      </c>
      <c r="D3396" s="13" t="s">
        <v>633</v>
      </c>
      <c r="E3396" t="s">
        <v>740</v>
      </c>
      <c r="F3396" s="11">
        <v>1</v>
      </c>
      <c r="G3396" s="11">
        <v>58823.53</v>
      </c>
    </row>
    <row r="3397" spans="2:7" x14ac:dyDescent="0.2">
      <c r="B3397" s="32">
        <v>45893</v>
      </c>
      <c r="C3397" t="s">
        <v>109</v>
      </c>
      <c r="D3397" s="13" t="s">
        <v>633</v>
      </c>
      <c r="E3397" t="s">
        <v>285</v>
      </c>
      <c r="F3397" s="11">
        <v>1</v>
      </c>
      <c r="G3397" s="11">
        <v>58823.53</v>
      </c>
    </row>
    <row r="3398" spans="2:7" x14ac:dyDescent="0.2">
      <c r="B3398" s="32">
        <v>45893</v>
      </c>
      <c r="C3398" t="s">
        <v>109</v>
      </c>
      <c r="D3398" s="13" t="s">
        <v>633</v>
      </c>
      <c r="E3398" t="s">
        <v>306</v>
      </c>
      <c r="F3398" s="11">
        <v>1</v>
      </c>
      <c r="G3398" s="11">
        <v>58823.53</v>
      </c>
    </row>
    <row r="3399" spans="2:7" x14ac:dyDescent="0.2">
      <c r="B3399" s="32">
        <v>45893</v>
      </c>
      <c r="C3399" t="s">
        <v>109</v>
      </c>
      <c r="D3399" s="13" t="s">
        <v>633</v>
      </c>
      <c r="E3399" t="s">
        <v>407</v>
      </c>
      <c r="F3399" s="11">
        <v>1</v>
      </c>
      <c r="G3399" s="11">
        <v>54621.85</v>
      </c>
    </row>
    <row r="3400" spans="2:7" x14ac:dyDescent="0.2">
      <c r="B3400" s="32">
        <v>45893</v>
      </c>
      <c r="C3400" t="s">
        <v>109</v>
      </c>
      <c r="D3400" s="13" t="s">
        <v>633</v>
      </c>
      <c r="E3400" t="s">
        <v>204</v>
      </c>
      <c r="F3400" s="11">
        <v>1</v>
      </c>
      <c r="G3400" s="11">
        <v>37815.129999999997</v>
      </c>
    </row>
    <row r="3401" spans="2:7" x14ac:dyDescent="0.2">
      <c r="B3401" s="32">
        <v>45893</v>
      </c>
      <c r="C3401" t="s">
        <v>109</v>
      </c>
      <c r="D3401" s="13" t="s">
        <v>633</v>
      </c>
      <c r="E3401" t="s">
        <v>1818</v>
      </c>
      <c r="F3401" s="11">
        <v>1</v>
      </c>
      <c r="G3401" s="11">
        <v>37815.120000000003</v>
      </c>
    </row>
    <row r="3402" spans="2:7" x14ac:dyDescent="0.2">
      <c r="B3402" s="32">
        <v>45893</v>
      </c>
      <c r="C3402" t="s">
        <v>109</v>
      </c>
      <c r="D3402" s="13" t="s">
        <v>633</v>
      </c>
      <c r="E3402" t="s">
        <v>144</v>
      </c>
      <c r="F3402" s="11">
        <v>2</v>
      </c>
      <c r="G3402" s="11">
        <v>26890.75</v>
      </c>
    </row>
    <row r="3403" spans="2:7" x14ac:dyDescent="0.2">
      <c r="B3403" s="32">
        <v>45893</v>
      </c>
      <c r="C3403" t="s">
        <v>109</v>
      </c>
      <c r="D3403" s="13" t="s">
        <v>633</v>
      </c>
      <c r="F3403" s="11">
        <v>0</v>
      </c>
      <c r="G3403" s="11">
        <v>0</v>
      </c>
    </row>
    <row r="3404" spans="2:7" x14ac:dyDescent="0.2">
      <c r="B3404" s="32">
        <v>45894</v>
      </c>
      <c r="C3404" t="s">
        <v>142</v>
      </c>
      <c r="D3404" s="13"/>
      <c r="F3404" s="11">
        <v>1</v>
      </c>
      <c r="G3404" s="11">
        <v>12605.04</v>
      </c>
    </row>
    <row r="3405" spans="2:7" x14ac:dyDescent="0.2">
      <c r="B3405" s="32">
        <v>45894</v>
      </c>
      <c r="C3405" t="s">
        <v>142</v>
      </c>
      <c r="D3405" s="13" t="s">
        <v>634</v>
      </c>
      <c r="E3405" t="s">
        <v>194</v>
      </c>
      <c r="F3405" s="11">
        <v>1</v>
      </c>
      <c r="G3405" s="11">
        <v>96638.66</v>
      </c>
    </row>
    <row r="3406" spans="2:7" x14ac:dyDescent="0.2">
      <c r="B3406" s="32">
        <v>45894</v>
      </c>
      <c r="C3406" t="s">
        <v>142</v>
      </c>
      <c r="D3406" s="13" t="s">
        <v>634</v>
      </c>
      <c r="E3406" t="s">
        <v>167</v>
      </c>
      <c r="F3406" s="11">
        <v>1</v>
      </c>
      <c r="G3406" s="11">
        <v>96638.66</v>
      </c>
    </row>
    <row r="3407" spans="2:7" x14ac:dyDescent="0.2">
      <c r="B3407" s="32">
        <v>45894</v>
      </c>
      <c r="C3407" t="s">
        <v>142</v>
      </c>
      <c r="D3407" s="13" t="s">
        <v>634</v>
      </c>
      <c r="E3407" t="s">
        <v>313</v>
      </c>
      <c r="F3407" s="11">
        <v>1</v>
      </c>
      <c r="G3407" s="11">
        <v>96638.65</v>
      </c>
    </row>
    <row r="3408" spans="2:7" x14ac:dyDescent="0.2">
      <c r="B3408" s="32">
        <v>45894</v>
      </c>
      <c r="C3408" t="s">
        <v>142</v>
      </c>
      <c r="D3408" s="13" t="s">
        <v>634</v>
      </c>
      <c r="F3408" s="11">
        <v>0</v>
      </c>
      <c r="G3408" s="11">
        <v>0</v>
      </c>
    </row>
    <row r="3409" spans="2:7" x14ac:dyDescent="0.2">
      <c r="B3409" s="32">
        <v>45894</v>
      </c>
      <c r="C3409" t="s">
        <v>142</v>
      </c>
      <c r="D3409" s="13" t="s">
        <v>633</v>
      </c>
      <c r="E3409" t="s">
        <v>1884</v>
      </c>
      <c r="F3409" s="11">
        <v>1</v>
      </c>
      <c r="G3409" s="11">
        <v>142857.14000000001</v>
      </c>
    </row>
    <row r="3410" spans="2:7" x14ac:dyDescent="0.2">
      <c r="B3410" s="32">
        <v>45894</v>
      </c>
      <c r="C3410" t="s">
        <v>142</v>
      </c>
      <c r="D3410" s="13" t="s">
        <v>633</v>
      </c>
      <c r="E3410" t="s">
        <v>169</v>
      </c>
      <c r="F3410" s="11">
        <v>1</v>
      </c>
      <c r="G3410" s="11">
        <v>96638.66</v>
      </c>
    </row>
    <row r="3411" spans="2:7" x14ac:dyDescent="0.2">
      <c r="B3411" s="32">
        <v>45894</v>
      </c>
      <c r="C3411" t="s">
        <v>142</v>
      </c>
      <c r="D3411" s="13" t="s">
        <v>633</v>
      </c>
      <c r="E3411" t="s">
        <v>154</v>
      </c>
      <c r="F3411" s="11">
        <v>1</v>
      </c>
      <c r="G3411" s="11">
        <v>96638.65</v>
      </c>
    </row>
    <row r="3412" spans="2:7" x14ac:dyDescent="0.2">
      <c r="B3412" s="32">
        <v>45894</v>
      </c>
      <c r="C3412" t="s">
        <v>142</v>
      </c>
      <c r="D3412" s="13" t="s">
        <v>633</v>
      </c>
      <c r="F3412" s="11">
        <v>1</v>
      </c>
      <c r="G3412" s="11">
        <v>1</v>
      </c>
    </row>
    <row r="3413" spans="2:7" x14ac:dyDescent="0.2">
      <c r="B3413" s="32">
        <v>45894</v>
      </c>
      <c r="C3413" t="s">
        <v>1739</v>
      </c>
      <c r="D3413" s="13" t="s">
        <v>633</v>
      </c>
      <c r="E3413" t="s">
        <v>533</v>
      </c>
      <c r="F3413" s="11">
        <v>2</v>
      </c>
      <c r="G3413" s="11">
        <v>117647.06</v>
      </c>
    </row>
    <row r="3414" spans="2:7" x14ac:dyDescent="0.2">
      <c r="B3414" s="32">
        <v>45894</v>
      </c>
      <c r="C3414" t="s">
        <v>1739</v>
      </c>
      <c r="D3414" s="13" t="s">
        <v>633</v>
      </c>
      <c r="E3414" t="s">
        <v>233</v>
      </c>
      <c r="F3414" s="11">
        <v>1</v>
      </c>
      <c r="G3414" s="11">
        <v>58823.53</v>
      </c>
    </row>
    <row r="3415" spans="2:7" x14ac:dyDescent="0.2">
      <c r="B3415" s="32">
        <v>45894</v>
      </c>
      <c r="C3415" t="s">
        <v>1739</v>
      </c>
      <c r="D3415" s="13" t="s">
        <v>633</v>
      </c>
      <c r="E3415" t="s">
        <v>163</v>
      </c>
      <c r="F3415" s="11">
        <v>1</v>
      </c>
      <c r="G3415" s="11">
        <v>58823.53</v>
      </c>
    </row>
    <row r="3416" spans="2:7" x14ac:dyDescent="0.2">
      <c r="B3416" s="32">
        <v>45894</v>
      </c>
      <c r="C3416" t="s">
        <v>109</v>
      </c>
      <c r="D3416" s="13" t="s">
        <v>634</v>
      </c>
      <c r="E3416" t="s">
        <v>159</v>
      </c>
      <c r="F3416" s="11">
        <v>1</v>
      </c>
      <c r="G3416" s="11">
        <v>243697.47</v>
      </c>
    </row>
    <row r="3417" spans="2:7" x14ac:dyDescent="0.2">
      <c r="B3417" s="32">
        <v>45894</v>
      </c>
      <c r="C3417" t="s">
        <v>109</v>
      </c>
      <c r="D3417" s="13" t="s">
        <v>634</v>
      </c>
      <c r="E3417" t="s">
        <v>524</v>
      </c>
      <c r="F3417" s="11">
        <v>1</v>
      </c>
      <c r="G3417" s="11">
        <v>109243.7</v>
      </c>
    </row>
    <row r="3418" spans="2:7" x14ac:dyDescent="0.2">
      <c r="B3418" s="32">
        <v>45894</v>
      </c>
      <c r="C3418" t="s">
        <v>109</v>
      </c>
      <c r="D3418" s="13" t="s">
        <v>634</v>
      </c>
      <c r="E3418" t="s">
        <v>325</v>
      </c>
      <c r="F3418" s="11">
        <v>1</v>
      </c>
      <c r="G3418" s="11">
        <v>84033.61</v>
      </c>
    </row>
    <row r="3419" spans="2:7" x14ac:dyDescent="0.2">
      <c r="B3419" s="32">
        <v>45894</v>
      </c>
      <c r="C3419" t="s">
        <v>109</v>
      </c>
      <c r="D3419" s="13" t="s">
        <v>634</v>
      </c>
      <c r="E3419" t="s">
        <v>184</v>
      </c>
      <c r="F3419" s="11">
        <v>1</v>
      </c>
      <c r="G3419" s="11">
        <v>84033.61</v>
      </c>
    </row>
    <row r="3420" spans="2:7" x14ac:dyDescent="0.2">
      <c r="B3420" s="32">
        <v>45894</v>
      </c>
      <c r="C3420" t="s">
        <v>109</v>
      </c>
      <c r="D3420" s="13" t="s">
        <v>634</v>
      </c>
      <c r="E3420" t="s">
        <v>370</v>
      </c>
      <c r="F3420" s="11">
        <v>1</v>
      </c>
      <c r="G3420" s="11">
        <v>79831.94</v>
      </c>
    </row>
    <row r="3421" spans="2:7" x14ac:dyDescent="0.2">
      <c r="B3421" s="32">
        <v>45894</v>
      </c>
      <c r="C3421" t="s">
        <v>109</v>
      </c>
      <c r="D3421" s="13" t="s">
        <v>634</v>
      </c>
      <c r="E3421" t="s">
        <v>361</v>
      </c>
      <c r="F3421" s="11">
        <v>1</v>
      </c>
      <c r="G3421" s="11">
        <v>79831.929999999993</v>
      </c>
    </row>
    <row r="3422" spans="2:7" x14ac:dyDescent="0.2">
      <c r="B3422" s="32">
        <v>45894</v>
      </c>
      <c r="C3422" t="s">
        <v>109</v>
      </c>
      <c r="D3422" s="13" t="s">
        <v>634</v>
      </c>
      <c r="E3422" t="s">
        <v>336</v>
      </c>
      <c r="F3422" s="11">
        <v>1</v>
      </c>
      <c r="G3422" s="11">
        <v>71428.570000000007</v>
      </c>
    </row>
    <row r="3423" spans="2:7" x14ac:dyDescent="0.2">
      <c r="B3423" s="32">
        <v>45894</v>
      </c>
      <c r="C3423" t="s">
        <v>109</v>
      </c>
      <c r="D3423" s="13" t="s">
        <v>634</v>
      </c>
      <c r="E3423" t="s">
        <v>164</v>
      </c>
      <c r="F3423" s="11">
        <v>1</v>
      </c>
      <c r="G3423" s="11">
        <v>71428.570000000007</v>
      </c>
    </row>
    <row r="3424" spans="2:7" x14ac:dyDescent="0.2">
      <c r="B3424" s="32">
        <v>45894</v>
      </c>
      <c r="C3424" t="s">
        <v>109</v>
      </c>
      <c r="D3424" s="13" t="s">
        <v>634</v>
      </c>
      <c r="E3424" t="s">
        <v>192</v>
      </c>
      <c r="F3424" s="11">
        <v>1</v>
      </c>
      <c r="G3424" s="11">
        <v>71428.570000000007</v>
      </c>
    </row>
    <row r="3425" spans="2:7" x14ac:dyDescent="0.2">
      <c r="B3425" s="32">
        <v>45894</v>
      </c>
      <c r="C3425" t="s">
        <v>109</v>
      </c>
      <c r="D3425" s="13" t="s">
        <v>634</v>
      </c>
      <c r="E3425" t="s">
        <v>348</v>
      </c>
      <c r="F3425" s="11">
        <v>1</v>
      </c>
      <c r="G3425" s="11">
        <v>54621.85</v>
      </c>
    </row>
    <row r="3426" spans="2:7" x14ac:dyDescent="0.2">
      <c r="B3426" s="32">
        <v>45894</v>
      </c>
      <c r="C3426" t="s">
        <v>109</v>
      </c>
      <c r="D3426" s="13" t="s">
        <v>634</v>
      </c>
      <c r="E3426" t="s">
        <v>212</v>
      </c>
      <c r="F3426" s="11">
        <v>1</v>
      </c>
      <c r="G3426" s="11">
        <v>54621.85</v>
      </c>
    </row>
    <row r="3427" spans="2:7" x14ac:dyDescent="0.2">
      <c r="B3427" s="32">
        <v>45894</v>
      </c>
      <c r="C3427" t="s">
        <v>109</v>
      </c>
      <c r="D3427" s="13" t="s">
        <v>634</v>
      </c>
      <c r="E3427" t="s">
        <v>258</v>
      </c>
      <c r="F3427" s="11">
        <v>1</v>
      </c>
      <c r="G3427" s="11">
        <v>54621.85</v>
      </c>
    </row>
    <row r="3428" spans="2:7" x14ac:dyDescent="0.2">
      <c r="B3428" s="32">
        <v>45894</v>
      </c>
      <c r="C3428" t="s">
        <v>109</v>
      </c>
      <c r="D3428" s="13" t="s">
        <v>634</v>
      </c>
      <c r="E3428" t="s">
        <v>144</v>
      </c>
      <c r="F3428" s="11">
        <v>2</v>
      </c>
      <c r="G3428" s="11">
        <v>49159.67</v>
      </c>
    </row>
    <row r="3429" spans="2:7" x14ac:dyDescent="0.2">
      <c r="B3429" s="32">
        <v>45894</v>
      </c>
      <c r="C3429" t="s">
        <v>109</v>
      </c>
      <c r="D3429" s="13" t="s">
        <v>634</v>
      </c>
      <c r="E3429" t="s">
        <v>350</v>
      </c>
      <c r="F3429" s="11">
        <v>1</v>
      </c>
      <c r="G3429" s="11">
        <v>46218.49</v>
      </c>
    </row>
    <row r="3430" spans="2:7" x14ac:dyDescent="0.2">
      <c r="B3430" s="32">
        <v>45894</v>
      </c>
      <c r="C3430" t="s">
        <v>109</v>
      </c>
      <c r="D3430" s="13" t="s">
        <v>634</v>
      </c>
      <c r="E3430" t="s">
        <v>198</v>
      </c>
      <c r="F3430" s="11">
        <v>1</v>
      </c>
      <c r="G3430" s="11">
        <v>46218.49</v>
      </c>
    </row>
    <row r="3431" spans="2:7" x14ac:dyDescent="0.2">
      <c r="B3431" s="32">
        <v>45894</v>
      </c>
      <c r="C3431" t="s">
        <v>109</v>
      </c>
      <c r="D3431" s="13" t="s">
        <v>634</v>
      </c>
      <c r="E3431" t="s">
        <v>662</v>
      </c>
      <c r="F3431" s="11">
        <v>1</v>
      </c>
      <c r="G3431" s="11">
        <v>37815.129999999997</v>
      </c>
    </row>
    <row r="3432" spans="2:7" x14ac:dyDescent="0.2">
      <c r="B3432" s="32">
        <v>45894</v>
      </c>
      <c r="C3432" t="s">
        <v>109</v>
      </c>
      <c r="D3432" s="13" t="s">
        <v>634</v>
      </c>
      <c r="E3432" t="s">
        <v>1902</v>
      </c>
      <c r="F3432" s="11">
        <v>1</v>
      </c>
      <c r="G3432" s="11">
        <v>37815.129999999997</v>
      </c>
    </row>
    <row r="3433" spans="2:7" x14ac:dyDescent="0.2">
      <c r="B3433" s="32">
        <v>45894</v>
      </c>
      <c r="C3433" t="s">
        <v>109</v>
      </c>
      <c r="D3433" s="13" t="s">
        <v>634</v>
      </c>
      <c r="E3433" t="s">
        <v>1822</v>
      </c>
      <c r="F3433" s="11">
        <v>1</v>
      </c>
      <c r="G3433" s="11">
        <v>16806.72</v>
      </c>
    </row>
    <row r="3434" spans="2:7" x14ac:dyDescent="0.2">
      <c r="B3434" s="32">
        <v>45894</v>
      </c>
      <c r="C3434" t="s">
        <v>109</v>
      </c>
      <c r="D3434" s="13" t="s">
        <v>634</v>
      </c>
      <c r="F3434" s="11">
        <v>1</v>
      </c>
      <c r="G3434" s="11">
        <v>7563.03</v>
      </c>
    </row>
    <row r="3435" spans="2:7" x14ac:dyDescent="0.2">
      <c r="B3435" s="32">
        <v>45894</v>
      </c>
      <c r="C3435" t="s">
        <v>109</v>
      </c>
      <c r="D3435" s="13" t="s">
        <v>633</v>
      </c>
      <c r="E3435" t="s">
        <v>649</v>
      </c>
      <c r="F3435" s="11">
        <v>1</v>
      </c>
      <c r="G3435" s="11">
        <v>180672.27</v>
      </c>
    </row>
    <row r="3436" spans="2:7" x14ac:dyDescent="0.2">
      <c r="B3436" s="32">
        <v>45894</v>
      </c>
      <c r="C3436" t="s">
        <v>109</v>
      </c>
      <c r="D3436" s="13" t="s">
        <v>633</v>
      </c>
      <c r="E3436" t="s">
        <v>1987</v>
      </c>
      <c r="F3436" s="11">
        <v>1</v>
      </c>
      <c r="G3436" s="11">
        <v>180672.27</v>
      </c>
    </row>
    <row r="3437" spans="2:7" x14ac:dyDescent="0.2">
      <c r="B3437" s="32">
        <v>45894</v>
      </c>
      <c r="C3437" t="s">
        <v>109</v>
      </c>
      <c r="D3437" s="13" t="s">
        <v>633</v>
      </c>
      <c r="E3437" t="s">
        <v>478</v>
      </c>
      <c r="F3437" s="11">
        <v>1</v>
      </c>
      <c r="G3437" s="11">
        <v>75630.25</v>
      </c>
    </row>
    <row r="3438" spans="2:7" x14ac:dyDescent="0.2">
      <c r="B3438" s="32">
        <v>45894</v>
      </c>
      <c r="C3438" t="s">
        <v>109</v>
      </c>
      <c r="D3438" s="13" t="s">
        <v>633</v>
      </c>
      <c r="E3438" t="s">
        <v>149</v>
      </c>
      <c r="F3438" s="11">
        <v>1</v>
      </c>
      <c r="G3438" s="11">
        <v>71428.570000000007</v>
      </c>
    </row>
    <row r="3439" spans="2:7" x14ac:dyDescent="0.2">
      <c r="B3439" s="32">
        <v>45894</v>
      </c>
      <c r="C3439" t="s">
        <v>109</v>
      </c>
      <c r="D3439" s="13" t="s">
        <v>633</v>
      </c>
      <c r="E3439" t="s">
        <v>1988</v>
      </c>
      <c r="F3439" s="11">
        <v>1</v>
      </c>
      <c r="G3439" s="11">
        <v>71428.570000000007</v>
      </c>
    </row>
    <row r="3440" spans="2:7" x14ac:dyDescent="0.2">
      <c r="B3440" s="32">
        <v>45894</v>
      </c>
      <c r="C3440" t="s">
        <v>109</v>
      </c>
      <c r="D3440" s="13" t="s">
        <v>633</v>
      </c>
      <c r="E3440" t="s">
        <v>144</v>
      </c>
      <c r="F3440" s="11">
        <v>3</v>
      </c>
      <c r="G3440" s="11">
        <v>65966.39</v>
      </c>
    </row>
    <row r="3441" spans="2:7" x14ac:dyDescent="0.2">
      <c r="B3441" s="32">
        <v>45894</v>
      </c>
      <c r="C3441" t="s">
        <v>109</v>
      </c>
      <c r="D3441" s="13" t="s">
        <v>633</v>
      </c>
      <c r="E3441" t="s">
        <v>495</v>
      </c>
      <c r="F3441" s="11">
        <v>1</v>
      </c>
      <c r="G3441" s="11">
        <v>54621.85</v>
      </c>
    </row>
    <row r="3442" spans="2:7" x14ac:dyDescent="0.2">
      <c r="B3442" s="32">
        <v>45894</v>
      </c>
      <c r="C3442" t="s">
        <v>109</v>
      </c>
      <c r="D3442" s="13" t="s">
        <v>633</v>
      </c>
      <c r="E3442" t="s">
        <v>212</v>
      </c>
      <c r="F3442" s="11">
        <v>1</v>
      </c>
      <c r="G3442" s="11">
        <v>54621.85</v>
      </c>
    </row>
    <row r="3443" spans="2:7" x14ac:dyDescent="0.2">
      <c r="B3443" s="32">
        <v>45894</v>
      </c>
      <c r="C3443" t="s">
        <v>109</v>
      </c>
      <c r="D3443" s="13" t="s">
        <v>633</v>
      </c>
      <c r="E3443" t="s">
        <v>170</v>
      </c>
      <c r="F3443" s="11">
        <v>1</v>
      </c>
      <c r="G3443" s="11">
        <v>46218.49</v>
      </c>
    </row>
    <row r="3444" spans="2:7" x14ac:dyDescent="0.2">
      <c r="B3444" s="32">
        <v>45894</v>
      </c>
      <c r="C3444" t="s">
        <v>109</v>
      </c>
      <c r="D3444" s="13" t="s">
        <v>633</v>
      </c>
      <c r="E3444" t="s">
        <v>198</v>
      </c>
      <c r="F3444" s="11">
        <v>1</v>
      </c>
      <c r="G3444" s="11">
        <v>46218.49</v>
      </c>
    </row>
    <row r="3445" spans="2:7" x14ac:dyDescent="0.2">
      <c r="B3445" s="32">
        <v>45894</v>
      </c>
      <c r="C3445" t="s">
        <v>109</v>
      </c>
      <c r="D3445" s="13" t="s">
        <v>633</v>
      </c>
      <c r="E3445" t="s">
        <v>203</v>
      </c>
      <c r="F3445" s="11">
        <v>1</v>
      </c>
      <c r="G3445" s="11">
        <v>42016.800000000003</v>
      </c>
    </row>
    <row r="3446" spans="2:7" x14ac:dyDescent="0.2">
      <c r="B3446" s="32">
        <v>45894</v>
      </c>
      <c r="C3446" t="s">
        <v>109</v>
      </c>
      <c r="D3446" s="13" t="s">
        <v>633</v>
      </c>
      <c r="F3446" s="11">
        <v>1</v>
      </c>
      <c r="G3446" s="11">
        <v>24369.75</v>
      </c>
    </row>
    <row r="3447" spans="2:7" x14ac:dyDescent="0.2">
      <c r="B3447" s="32">
        <v>45895</v>
      </c>
      <c r="C3447" t="s">
        <v>142</v>
      </c>
      <c r="D3447" s="13" t="s">
        <v>634</v>
      </c>
      <c r="E3447" t="s">
        <v>475</v>
      </c>
      <c r="F3447" s="11">
        <v>1</v>
      </c>
      <c r="G3447" s="11">
        <v>71428.570000000007</v>
      </c>
    </row>
    <row r="3448" spans="2:7" x14ac:dyDescent="0.2">
      <c r="B3448" s="32">
        <v>45895</v>
      </c>
      <c r="C3448" t="s">
        <v>142</v>
      </c>
      <c r="D3448" s="13" t="s">
        <v>634</v>
      </c>
      <c r="E3448" t="s">
        <v>287</v>
      </c>
      <c r="F3448" s="11">
        <v>1</v>
      </c>
      <c r="G3448" s="11">
        <v>58823.53</v>
      </c>
    </row>
    <row r="3449" spans="2:7" x14ac:dyDescent="0.2">
      <c r="B3449" s="32">
        <v>45895</v>
      </c>
      <c r="C3449" t="s">
        <v>142</v>
      </c>
      <c r="D3449" s="13" t="s">
        <v>634</v>
      </c>
      <c r="E3449" t="s">
        <v>1819</v>
      </c>
      <c r="F3449" s="11">
        <v>1</v>
      </c>
      <c r="G3449" s="11">
        <v>58823.53</v>
      </c>
    </row>
    <row r="3450" spans="2:7" x14ac:dyDescent="0.2">
      <c r="B3450" s="32">
        <v>45895</v>
      </c>
      <c r="C3450" t="s">
        <v>142</v>
      </c>
      <c r="D3450" s="13" t="s">
        <v>634</v>
      </c>
      <c r="E3450" t="s">
        <v>409</v>
      </c>
      <c r="F3450" s="11">
        <v>1</v>
      </c>
      <c r="G3450" s="11">
        <v>54621.85</v>
      </c>
    </row>
    <row r="3451" spans="2:7" x14ac:dyDescent="0.2">
      <c r="B3451" s="32">
        <v>45895</v>
      </c>
      <c r="C3451" t="s">
        <v>142</v>
      </c>
      <c r="D3451" s="13" t="s">
        <v>634</v>
      </c>
      <c r="E3451" t="s">
        <v>150</v>
      </c>
      <c r="F3451" s="11">
        <v>1</v>
      </c>
      <c r="G3451" s="11">
        <v>42016.81</v>
      </c>
    </row>
    <row r="3452" spans="2:7" x14ac:dyDescent="0.2">
      <c r="B3452" s="32">
        <v>45895</v>
      </c>
      <c r="C3452" t="s">
        <v>142</v>
      </c>
      <c r="D3452" s="13" t="s">
        <v>634</v>
      </c>
      <c r="F3452" s="11">
        <v>0</v>
      </c>
      <c r="G3452" s="11">
        <v>0</v>
      </c>
    </row>
    <row r="3453" spans="2:7" x14ac:dyDescent="0.2">
      <c r="B3453" s="32">
        <v>45895</v>
      </c>
      <c r="C3453" t="s">
        <v>142</v>
      </c>
      <c r="D3453" s="13" t="s">
        <v>633</v>
      </c>
      <c r="E3453" t="s">
        <v>335</v>
      </c>
      <c r="F3453" s="11">
        <v>2</v>
      </c>
      <c r="G3453" s="11">
        <v>117647.06</v>
      </c>
    </row>
    <row r="3454" spans="2:7" x14ac:dyDescent="0.2">
      <c r="B3454" s="32">
        <v>45895</v>
      </c>
      <c r="C3454" t="s">
        <v>142</v>
      </c>
      <c r="D3454" s="13" t="s">
        <v>633</v>
      </c>
      <c r="E3454" t="s">
        <v>167</v>
      </c>
      <c r="F3454" s="11">
        <v>1</v>
      </c>
      <c r="G3454" s="11">
        <v>96638.65</v>
      </c>
    </row>
    <row r="3455" spans="2:7" x14ac:dyDescent="0.2">
      <c r="B3455" s="32">
        <v>45895</v>
      </c>
      <c r="C3455" t="s">
        <v>142</v>
      </c>
      <c r="D3455" s="13" t="s">
        <v>633</v>
      </c>
      <c r="E3455" t="s">
        <v>240</v>
      </c>
      <c r="F3455" s="11">
        <v>1</v>
      </c>
      <c r="G3455" s="11">
        <v>42016.81</v>
      </c>
    </row>
    <row r="3456" spans="2:7" x14ac:dyDescent="0.2">
      <c r="B3456" s="32">
        <v>45895</v>
      </c>
      <c r="C3456" t="s">
        <v>142</v>
      </c>
      <c r="D3456" s="13" t="s">
        <v>633</v>
      </c>
      <c r="F3456" s="11">
        <v>0</v>
      </c>
      <c r="G3456" s="11">
        <v>0</v>
      </c>
    </row>
    <row r="3457" spans="2:7" x14ac:dyDescent="0.2">
      <c r="B3457" s="32">
        <v>45895</v>
      </c>
      <c r="C3457" t="s">
        <v>110</v>
      </c>
      <c r="D3457" s="13" t="s">
        <v>634</v>
      </c>
      <c r="E3457" t="s">
        <v>193</v>
      </c>
      <c r="F3457" s="11">
        <v>1</v>
      </c>
      <c r="G3457" s="11">
        <v>21848.74</v>
      </c>
    </row>
    <row r="3458" spans="2:7" x14ac:dyDescent="0.2">
      <c r="B3458" s="32">
        <v>45895</v>
      </c>
      <c r="C3458" t="s">
        <v>109</v>
      </c>
      <c r="D3458" s="13" t="s">
        <v>634</v>
      </c>
      <c r="E3458" t="s">
        <v>368</v>
      </c>
      <c r="F3458" s="11">
        <v>1</v>
      </c>
      <c r="G3458" s="11">
        <v>75630.25</v>
      </c>
    </row>
    <row r="3459" spans="2:7" x14ac:dyDescent="0.2">
      <c r="B3459" s="32">
        <v>45895</v>
      </c>
      <c r="C3459" t="s">
        <v>109</v>
      </c>
      <c r="D3459" s="13" t="s">
        <v>634</v>
      </c>
      <c r="E3459" t="s">
        <v>174</v>
      </c>
      <c r="F3459" s="11">
        <v>1</v>
      </c>
      <c r="G3459" s="11">
        <v>75630.25</v>
      </c>
    </row>
    <row r="3460" spans="2:7" x14ac:dyDescent="0.2">
      <c r="B3460" s="32">
        <v>45895</v>
      </c>
      <c r="C3460" t="s">
        <v>109</v>
      </c>
      <c r="D3460" s="13" t="s">
        <v>634</v>
      </c>
      <c r="E3460" t="s">
        <v>266</v>
      </c>
      <c r="F3460" s="11">
        <v>1</v>
      </c>
      <c r="G3460" s="11">
        <v>75630.25</v>
      </c>
    </row>
    <row r="3461" spans="2:7" x14ac:dyDescent="0.2">
      <c r="B3461" s="32">
        <v>45895</v>
      </c>
      <c r="C3461" t="s">
        <v>109</v>
      </c>
      <c r="D3461" s="13" t="s">
        <v>634</v>
      </c>
      <c r="E3461" t="s">
        <v>189</v>
      </c>
      <c r="F3461" s="11">
        <v>1</v>
      </c>
      <c r="G3461" s="11">
        <v>71428.570000000007</v>
      </c>
    </row>
    <row r="3462" spans="2:7" x14ac:dyDescent="0.2">
      <c r="B3462" s="32">
        <v>45895</v>
      </c>
      <c r="C3462" t="s">
        <v>109</v>
      </c>
      <c r="D3462" s="13" t="s">
        <v>634</v>
      </c>
      <c r="E3462" t="s">
        <v>282</v>
      </c>
      <c r="F3462" s="11">
        <v>1</v>
      </c>
      <c r="G3462" s="11">
        <v>58823.53</v>
      </c>
    </row>
    <row r="3463" spans="2:7" x14ac:dyDescent="0.2">
      <c r="B3463" s="32">
        <v>45895</v>
      </c>
      <c r="C3463" t="s">
        <v>109</v>
      </c>
      <c r="D3463" s="13" t="s">
        <v>634</v>
      </c>
      <c r="E3463" t="s">
        <v>172</v>
      </c>
      <c r="F3463" s="11">
        <v>1</v>
      </c>
      <c r="G3463" s="11">
        <v>46218.49</v>
      </c>
    </row>
    <row r="3464" spans="2:7" x14ac:dyDescent="0.2">
      <c r="B3464" s="32">
        <v>45895</v>
      </c>
      <c r="C3464" t="s">
        <v>109</v>
      </c>
      <c r="D3464" s="13" t="s">
        <v>634</v>
      </c>
      <c r="E3464" t="s">
        <v>204</v>
      </c>
      <c r="F3464" s="11">
        <v>1</v>
      </c>
      <c r="G3464" s="11">
        <v>37815.129999999997</v>
      </c>
    </row>
    <row r="3465" spans="2:7" x14ac:dyDescent="0.2">
      <c r="B3465" s="32">
        <v>45895</v>
      </c>
      <c r="C3465" t="s">
        <v>109</v>
      </c>
      <c r="D3465" s="13" t="s">
        <v>634</v>
      </c>
      <c r="E3465" t="s">
        <v>144</v>
      </c>
      <c r="F3465" s="11">
        <v>2</v>
      </c>
      <c r="G3465" s="11">
        <v>27310.92</v>
      </c>
    </row>
    <row r="3466" spans="2:7" x14ac:dyDescent="0.2">
      <c r="B3466" s="32">
        <v>45895</v>
      </c>
      <c r="C3466" t="s">
        <v>109</v>
      </c>
      <c r="D3466" s="13" t="s">
        <v>633</v>
      </c>
      <c r="E3466" t="s">
        <v>307</v>
      </c>
      <c r="F3466" s="11">
        <v>4</v>
      </c>
      <c r="G3466" s="11">
        <v>201680.68</v>
      </c>
    </row>
    <row r="3467" spans="2:7" x14ac:dyDescent="0.2">
      <c r="B3467" s="32">
        <v>45895</v>
      </c>
      <c r="C3467" t="s">
        <v>109</v>
      </c>
      <c r="D3467" s="13" t="s">
        <v>633</v>
      </c>
      <c r="E3467" t="s">
        <v>504</v>
      </c>
      <c r="F3467" s="11">
        <v>3</v>
      </c>
      <c r="G3467" s="11">
        <v>151260.5</v>
      </c>
    </row>
    <row r="3468" spans="2:7" x14ac:dyDescent="0.2">
      <c r="B3468" s="32">
        <v>45895</v>
      </c>
      <c r="C3468" t="s">
        <v>109</v>
      </c>
      <c r="D3468" s="13" t="s">
        <v>633</v>
      </c>
      <c r="E3468" t="s">
        <v>303</v>
      </c>
      <c r="F3468" s="11">
        <v>3</v>
      </c>
      <c r="G3468" s="11">
        <v>151260.5</v>
      </c>
    </row>
    <row r="3469" spans="2:7" x14ac:dyDescent="0.2">
      <c r="B3469" s="32">
        <v>45895</v>
      </c>
      <c r="C3469" t="s">
        <v>109</v>
      </c>
      <c r="D3469" s="13" t="s">
        <v>633</v>
      </c>
      <c r="E3469" t="s">
        <v>541</v>
      </c>
      <c r="F3469" s="11">
        <v>1</v>
      </c>
      <c r="G3469" s="11">
        <v>151260.5</v>
      </c>
    </row>
    <row r="3470" spans="2:7" x14ac:dyDescent="0.2">
      <c r="B3470" s="32">
        <v>45895</v>
      </c>
      <c r="C3470" t="s">
        <v>109</v>
      </c>
      <c r="D3470" s="13" t="s">
        <v>633</v>
      </c>
      <c r="E3470" t="s">
        <v>394</v>
      </c>
      <c r="F3470" s="11">
        <v>1</v>
      </c>
      <c r="G3470" s="11">
        <v>100840.34</v>
      </c>
    </row>
    <row r="3471" spans="2:7" x14ac:dyDescent="0.2">
      <c r="B3471" s="32">
        <v>45895</v>
      </c>
      <c r="C3471" t="s">
        <v>109</v>
      </c>
      <c r="D3471" s="13" t="s">
        <v>633</v>
      </c>
      <c r="E3471" t="s">
        <v>169</v>
      </c>
      <c r="F3471" s="11">
        <v>1</v>
      </c>
      <c r="G3471" s="11">
        <v>96638.66</v>
      </c>
    </row>
    <row r="3472" spans="2:7" x14ac:dyDescent="0.2">
      <c r="B3472" s="32">
        <v>45895</v>
      </c>
      <c r="C3472" t="s">
        <v>109</v>
      </c>
      <c r="D3472" s="13" t="s">
        <v>633</v>
      </c>
      <c r="E3472" t="s">
        <v>155</v>
      </c>
      <c r="F3472" s="11">
        <v>1</v>
      </c>
      <c r="G3472" s="11">
        <v>96638.65</v>
      </c>
    </row>
    <row r="3473" spans="2:7" x14ac:dyDescent="0.2">
      <c r="B3473" s="32">
        <v>45895</v>
      </c>
      <c r="C3473" t="s">
        <v>109</v>
      </c>
      <c r="D3473" s="13" t="s">
        <v>633</v>
      </c>
      <c r="E3473" t="s">
        <v>1968</v>
      </c>
      <c r="F3473" s="11">
        <v>2</v>
      </c>
      <c r="G3473" s="11">
        <v>84033.61</v>
      </c>
    </row>
    <row r="3474" spans="2:7" x14ac:dyDescent="0.2">
      <c r="B3474" s="32">
        <v>45895</v>
      </c>
      <c r="C3474" t="s">
        <v>109</v>
      </c>
      <c r="D3474" s="13" t="s">
        <v>633</v>
      </c>
      <c r="E3474" t="s">
        <v>192</v>
      </c>
      <c r="F3474" s="11">
        <v>1</v>
      </c>
      <c r="G3474" s="11">
        <v>71428.570000000007</v>
      </c>
    </row>
    <row r="3475" spans="2:7" x14ac:dyDescent="0.2">
      <c r="B3475" s="32">
        <v>45895</v>
      </c>
      <c r="C3475" t="s">
        <v>109</v>
      </c>
      <c r="D3475" s="13" t="s">
        <v>633</v>
      </c>
      <c r="E3475" t="s">
        <v>341</v>
      </c>
      <c r="F3475" s="11">
        <v>1</v>
      </c>
      <c r="G3475" s="11">
        <v>58823.53</v>
      </c>
    </row>
    <row r="3476" spans="2:7" x14ac:dyDescent="0.2">
      <c r="B3476" s="32">
        <v>45895</v>
      </c>
      <c r="C3476" t="s">
        <v>109</v>
      </c>
      <c r="D3476" s="13" t="s">
        <v>633</v>
      </c>
      <c r="E3476" t="s">
        <v>440</v>
      </c>
      <c r="F3476" s="11">
        <v>1</v>
      </c>
      <c r="G3476" s="11">
        <v>58823.53</v>
      </c>
    </row>
    <row r="3477" spans="2:7" x14ac:dyDescent="0.2">
      <c r="B3477" s="32">
        <v>45895</v>
      </c>
      <c r="C3477" t="s">
        <v>109</v>
      </c>
      <c r="D3477" s="13" t="s">
        <v>633</v>
      </c>
      <c r="E3477" t="s">
        <v>281</v>
      </c>
      <c r="F3477" s="11">
        <v>1</v>
      </c>
      <c r="G3477" s="11">
        <v>58823.53</v>
      </c>
    </row>
    <row r="3478" spans="2:7" x14ac:dyDescent="0.2">
      <c r="B3478" s="32">
        <v>45895</v>
      </c>
      <c r="C3478" t="s">
        <v>109</v>
      </c>
      <c r="D3478" s="13" t="s">
        <v>633</v>
      </c>
      <c r="E3478" t="s">
        <v>809</v>
      </c>
      <c r="F3478" s="11">
        <v>1</v>
      </c>
      <c r="G3478" s="11">
        <v>58823.53</v>
      </c>
    </row>
    <row r="3479" spans="2:7" x14ac:dyDescent="0.2">
      <c r="B3479" s="32">
        <v>45895</v>
      </c>
      <c r="C3479" t="s">
        <v>109</v>
      </c>
      <c r="D3479" s="13" t="s">
        <v>633</v>
      </c>
      <c r="E3479" t="s">
        <v>377</v>
      </c>
      <c r="F3479" s="11">
        <v>1</v>
      </c>
      <c r="G3479" s="11">
        <v>58823.53</v>
      </c>
    </row>
    <row r="3480" spans="2:7" x14ac:dyDescent="0.2">
      <c r="B3480" s="32">
        <v>45895</v>
      </c>
      <c r="C3480" t="s">
        <v>109</v>
      </c>
      <c r="D3480" s="13" t="s">
        <v>633</v>
      </c>
      <c r="E3480" t="s">
        <v>279</v>
      </c>
      <c r="F3480" s="11">
        <v>1</v>
      </c>
      <c r="G3480" s="11">
        <v>58823.53</v>
      </c>
    </row>
    <row r="3481" spans="2:7" x14ac:dyDescent="0.2">
      <c r="B3481" s="32">
        <v>45895</v>
      </c>
      <c r="C3481" t="s">
        <v>109</v>
      </c>
      <c r="D3481" s="13" t="s">
        <v>633</v>
      </c>
      <c r="E3481" t="s">
        <v>240</v>
      </c>
      <c r="F3481" s="11">
        <v>1</v>
      </c>
      <c r="G3481" s="11">
        <v>42016.81</v>
      </c>
    </row>
    <row r="3482" spans="2:7" x14ac:dyDescent="0.2">
      <c r="B3482" s="32">
        <v>45895</v>
      </c>
      <c r="C3482" t="s">
        <v>109</v>
      </c>
      <c r="D3482" s="13" t="s">
        <v>633</v>
      </c>
      <c r="E3482" t="s">
        <v>168</v>
      </c>
      <c r="F3482" s="11">
        <v>1</v>
      </c>
      <c r="G3482" s="11">
        <v>42016.81</v>
      </c>
    </row>
    <row r="3483" spans="2:7" x14ac:dyDescent="0.2">
      <c r="B3483" s="32">
        <v>45895</v>
      </c>
      <c r="C3483" t="s">
        <v>109</v>
      </c>
      <c r="D3483" s="13" t="s">
        <v>633</v>
      </c>
      <c r="E3483" t="s">
        <v>1989</v>
      </c>
      <c r="F3483" s="11">
        <v>1</v>
      </c>
      <c r="G3483" s="11">
        <v>37815.129999999997</v>
      </c>
    </row>
    <row r="3484" spans="2:7" x14ac:dyDescent="0.2">
      <c r="B3484" s="32">
        <v>45895</v>
      </c>
      <c r="C3484" t="s">
        <v>109</v>
      </c>
      <c r="D3484" s="13" t="s">
        <v>633</v>
      </c>
      <c r="E3484" t="s">
        <v>144</v>
      </c>
      <c r="F3484" s="11">
        <v>1</v>
      </c>
      <c r="G3484" s="11">
        <v>35294.120000000003</v>
      </c>
    </row>
    <row r="3485" spans="2:7" x14ac:dyDescent="0.2">
      <c r="B3485" s="32">
        <v>45896</v>
      </c>
      <c r="C3485" t="s">
        <v>142</v>
      </c>
      <c r="D3485" s="13"/>
      <c r="E3485" t="s">
        <v>670</v>
      </c>
      <c r="F3485" s="11">
        <v>1</v>
      </c>
      <c r="G3485" s="11">
        <v>0</v>
      </c>
    </row>
    <row r="3486" spans="2:7" x14ac:dyDescent="0.2">
      <c r="B3486" s="32">
        <v>45896</v>
      </c>
      <c r="C3486" t="s">
        <v>142</v>
      </c>
      <c r="D3486" s="13" t="s">
        <v>634</v>
      </c>
      <c r="E3486" t="s">
        <v>727</v>
      </c>
      <c r="F3486" s="11">
        <v>1</v>
      </c>
      <c r="G3486" s="11">
        <v>58823.53</v>
      </c>
    </row>
    <row r="3487" spans="2:7" x14ac:dyDescent="0.2">
      <c r="B3487" s="32">
        <v>45896</v>
      </c>
      <c r="C3487" t="s">
        <v>142</v>
      </c>
      <c r="D3487" s="13" t="s">
        <v>634</v>
      </c>
      <c r="E3487" t="s">
        <v>1753</v>
      </c>
      <c r="F3487" s="11">
        <v>1</v>
      </c>
      <c r="G3487" s="11">
        <v>54621.85</v>
      </c>
    </row>
    <row r="3488" spans="2:7" x14ac:dyDescent="0.2">
      <c r="B3488" s="32">
        <v>45896</v>
      </c>
      <c r="C3488" t="s">
        <v>142</v>
      </c>
      <c r="D3488" s="13" t="s">
        <v>634</v>
      </c>
      <c r="E3488" t="s">
        <v>146</v>
      </c>
      <c r="F3488" s="11">
        <v>1</v>
      </c>
      <c r="G3488" s="11">
        <v>46218.49</v>
      </c>
    </row>
    <row r="3489" spans="2:7" x14ac:dyDescent="0.2">
      <c r="B3489" s="32">
        <v>45896</v>
      </c>
      <c r="C3489" t="s">
        <v>142</v>
      </c>
      <c r="D3489" s="13" t="s">
        <v>633</v>
      </c>
      <c r="E3489" t="s">
        <v>1990</v>
      </c>
      <c r="F3489" s="11">
        <v>1</v>
      </c>
      <c r="G3489" s="11">
        <v>155462.18</v>
      </c>
    </row>
    <row r="3490" spans="2:7" x14ac:dyDescent="0.2">
      <c r="B3490" s="32">
        <v>45896</v>
      </c>
      <c r="C3490" t="s">
        <v>142</v>
      </c>
      <c r="D3490" s="13" t="s">
        <v>633</v>
      </c>
      <c r="E3490" t="s">
        <v>1914</v>
      </c>
      <c r="F3490" s="11">
        <v>1</v>
      </c>
      <c r="G3490" s="11">
        <v>142857.14000000001</v>
      </c>
    </row>
    <row r="3491" spans="2:7" x14ac:dyDescent="0.2">
      <c r="B3491" s="32">
        <v>45896</v>
      </c>
      <c r="C3491" t="s">
        <v>142</v>
      </c>
      <c r="D3491" s="13" t="s">
        <v>633</v>
      </c>
      <c r="E3491" t="s">
        <v>154</v>
      </c>
      <c r="F3491" s="11">
        <v>1</v>
      </c>
      <c r="G3491" s="11">
        <v>96638.66</v>
      </c>
    </row>
    <row r="3492" spans="2:7" x14ac:dyDescent="0.2">
      <c r="B3492" s="32">
        <v>45896</v>
      </c>
      <c r="C3492" t="s">
        <v>142</v>
      </c>
      <c r="D3492" s="13" t="s">
        <v>633</v>
      </c>
      <c r="E3492" t="s">
        <v>176</v>
      </c>
      <c r="F3492" s="11">
        <v>1</v>
      </c>
      <c r="G3492" s="11">
        <v>84033.61</v>
      </c>
    </row>
    <row r="3493" spans="2:7" x14ac:dyDescent="0.2">
      <c r="B3493" s="32">
        <v>45896</v>
      </c>
      <c r="C3493" t="s">
        <v>142</v>
      </c>
      <c r="D3493" s="13" t="s">
        <v>633</v>
      </c>
      <c r="E3493" t="s">
        <v>648</v>
      </c>
      <c r="F3493" s="11">
        <v>1</v>
      </c>
      <c r="G3493" s="11">
        <v>54621.85</v>
      </c>
    </row>
    <row r="3494" spans="2:7" x14ac:dyDescent="0.2">
      <c r="B3494" s="32">
        <v>45896</v>
      </c>
      <c r="C3494" t="s">
        <v>1739</v>
      </c>
      <c r="D3494" s="13" t="s">
        <v>633</v>
      </c>
      <c r="E3494" t="s">
        <v>361</v>
      </c>
      <c r="F3494" s="11">
        <v>1</v>
      </c>
      <c r="G3494" s="11">
        <v>79831.929999999993</v>
      </c>
    </row>
    <row r="3495" spans="2:7" x14ac:dyDescent="0.2">
      <c r="B3495" s="32">
        <v>45896</v>
      </c>
      <c r="C3495" t="s">
        <v>109</v>
      </c>
      <c r="D3495" s="13" t="s">
        <v>634</v>
      </c>
      <c r="E3495" t="s">
        <v>1991</v>
      </c>
      <c r="F3495" s="11">
        <v>0</v>
      </c>
      <c r="G3495" s="11">
        <v>130252.1</v>
      </c>
    </row>
    <row r="3496" spans="2:7" x14ac:dyDescent="0.2">
      <c r="B3496" s="32">
        <v>45896</v>
      </c>
      <c r="C3496" t="s">
        <v>109</v>
      </c>
      <c r="D3496" s="13" t="s">
        <v>634</v>
      </c>
      <c r="E3496" t="s">
        <v>1896</v>
      </c>
      <c r="F3496" s="11">
        <v>2</v>
      </c>
      <c r="G3496" s="11">
        <v>92436.98</v>
      </c>
    </row>
    <row r="3497" spans="2:7" x14ac:dyDescent="0.2">
      <c r="B3497" s="32">
        <v>45896</v>
      </c>
      <c r="C3497" t="s">
        <v>109</v>
      </c>
      <c r="D3497" s="13" t="s">
        <v>634</v>
      </c>
      <c r="E3497" t="s">
        <v>1871</v>
      </c>
      <c r="F3497" s="11">
        <v>1</v>
      </c>
      <c r="G3497" s="11">
        <v>58823.53</v>
      </c>
    </row>
    <row r="3498" spans="2:7" x14ac:dyDescent="0.2">
      <c r="B3498" s="32">
        <v>45896</v>
      </c>
      <c r="C3498" t="s">
        <v>109</v>
      </c>
      <c r="D3498" s="13" t="s">
        <v>634</v>
      </c>
      <c r="E3498" t="s">
        <v>427</v>
      </c>
      <c r="F3498" s="11">
        <v>1</v>
      </c>
      <c r="G3498" s="11">
        <v>54621.85</v>
      </c>
    </row>
    <row r="3499" spans="2:7" x14ac:dyDescent="0.2">
      <c r="B3499" s="32">
        <v>45896</v>
      </c>
      <c r="C3499" t="s">
        <v>109</v>
      </c>
      <c r="D3499" s="13" t="s">
        <v>634</v>
      </c>
      <c r="E3499" t="s">
        <v>407</v>
      </c>
      <c r="F3499" s="11">
        <v>1</v>
      </c>
      <c r="G3499" s="11">
        <v>54621.85</v>
      </c>
    </row>
    <row r="3500" spans="2:7" x14ac:dyDescent="0.2">
      <c r="B3500" s="32">
        <v>45896</v>
      </c>
      <c r="C3500" t="s">
        <v>109</v>
      </c>
      <c r="D3500" s="13" t="s">
        <v>634</v>
      </c>
      <c r="E3500" t="s">
        <v>146</v>
      </c>
      <c r="F3500" s="11">
        <v>0</v>
      </c>
      <c r="G3500" s="11">
        <v>46218.49</v>
      </c>
    </row>
    <row r="3501" spans="2:7" x14ac:dyDescent="0.2">
      <c r="B3501" s="32">
        <v>45896</v>
      </c>
      <c r="C3501" t="s">
        <v>109</v>
      </c>
      <c r="D3501" s="13" t="s">
        <v>634</v>
      </c>
      <c r="E3501" t="s">
        <v>337</v>
      </c>
      <c r="F3501" s="11">
        <v>0</v>
      </c>
      <c r="G3501" s="11">
        <v>46218.49</v>
      </c>
    </row>
    <row r="3502" spans="2:7" x14ac:dyDescent="0.2">
      <c r="B3502" s="32">
        <v>45896</v>
      </c>
      <c r="C3502" t="s">
        <v>109</v>
      </c>
      <c r="D3502" s="13" t="s">
        <v>634</v>
      </c>
      <c r="E3502" t="s">
        <v>1771</v>
      </c>
      <c r="F3502" s="11">
        <v>1</v>
      </c>
      <c r="G3502" s="11">
        <v>46218.48</v>
      </c>
    </row>
    <row r="3503" spans="2:7" x14ac:dyDescent="0.2">
      <c r="B3503" s="32">
        <v>45896</v>
      </c>
      <c r="C3503" t="s">
        <v>109</v>
      </c>
      <c r="D3503" s="13" t="s">
        <v>634</v>
      </c>
      <c r="E3503" t="s">
        <v>1968</v>
      </c>
      <c r="F3503" s="11">
        <v>0</v>
      </c>
      <c r="G3503" s="11">
        <v>42016.81</v>
      </c>
    </row>
    <row r="3504" spans="2:7" x14ac:dyDescent="0.2">
      <c r="B3504" s="32">
        <v>45896</v>
      </c>
      <c r="C3504" t="s">
        <v>109</v>
      </c>
      <c r="D3504" s="13" t="s">
        <v>634</v>
      </c>
      <c r="E3504" t="s">
        <v>240</v>
      </c>
      <c r="F3504" s="11">
        <v>1</v>
      </c>
      <c r="G3504" s="11">
        <v>42016.81</v>
      </c>
    </row>
    <row r="3505" spans="2:7" x14ac:dyDescent="0.2">
      <c r="B3505" s="32">
        <v>45896</v>
      </c>
      <c r="C3505" t="s">
        <v>109</v>
      </c>
      <c r="D3505" s="13" t="s">
        <v>634</v>
      </c>
      <c r="E3505" t="s">
        <v>196</v>
      </c>
      <c r="F3505" s="11">
        <v>1</v>
      </c>
      <c r="G3505" s="11">
        <v>42016.81</v>
      </c>
    </row>
    <row r="3506" spans="2:7" x14ac:dyDescent="0.2">
      <c r="B3506" s="32">
        <v>45896</v>
      </c>
      <c r="C3506" t="s">
        <v>109</v>
      </c>
      <c r="D3506" s="13" t="s">
        <v>634</v>
      </c>
      <c r="E3506" t="s">
        <v>150</v>
      </c>
      <c r="F3506" s="11">
        <v>1</v>
      </c>
      <c r="G3506" s="11">
        <v>42016.81</v>
      </c>
    </row>
    <row r="3507" spans="2:7" x14ac:dyDescent="0.2">
      <c r="B3507" s="32">
        <v>45896</v>
      </c>
      <c r="C3507" t="s">
        <v>109</v>
      </c>
      <c r="D3507" s="13" t="s">
        <v>634</v>
      </c>
      <c r="E3507" t="s">
        <v>1822</v>
      </c>
      <c r="F3507" s="11">
        <v>1</v>
      </c>
      <c r="G3507" s="11">
        <v>16806.72</v>
      </c>
    </row>
    <row r="3508" spans="2:7" x14ac:dyDescent="0.2">
      <c r="B3508" s="32">
        <v>45896</v>
      </c>
      <c r="C3508" t="s">
        <v>109</v>
      </c>
      <c r="D3508" s="13" t="s">
        <v>634</v>
      </c>
      <c r="E3508" t="s">
        <v>144</v>
      </c>
      <c r="F3508" s="11">
        <v>0</v>
      </c>
      <c r="G3508" s="11">
        <v>3781.51</v>
      </c>
    </row>
    <row r="3509" spans="2:7" x14ac:dyDescent="0.2">
      <c r="B3509" s="32">
        <v>45896</v>
      </c>
      <c r="C3509" t="s">
        <v>109</v>
      </c>
      <c r="D3509" s="13" t="s">
        <v>634</v>
      </c>
      <c r="F3509" s="11">
        <v>0</v>
      </c>
      <c r="G3509" s="11">
        <v>-117647.06</v>
      </c>
    </row>
    <row r="3510" spans="2:7" x14ac:dyDescent="0.2">
      <c r="B3510" s="32">
        <v>45896</v>
      </c>
      <c r="C3510" t="s">
        <v>109</v>
      </c>
      <c r="D3510" s="13" t="s">
        <v>633</v>
      </c>
      <c r="E3510" t="s">
        <v>336</v>
      </c>
      <c r="F3510" s="11">
        <v>1</v>
      </c>
      <c r="G3510" s="11">
        <v>71428.570000000007</v>
      </c>
    </row>
    <row r="3511" spans="2:7" x14ac:dyDescent="0.2">
      <c r="B3511" s="32">
        <v>45896</v>
      </c>
      <c r="C3511" t="s">
        <v>109</v>
      </c>
      <c r="D3511" s="13" t="s">
        <v>633</v>
      </c>
      <c r="E3511" t="s">
        <v>534</v>
      </c>
      <c r="F3511" s="11">
        <v>1</v>
      </c>
      <c r="G3511" s="11">
        <v>71428.570000000007</v>
      </c>
    </row>
    <row r="3512" spans="2:7" x14ac:dyDescent="0.2">
      <c r="B3512" s="32">
        <v>45896</v>
      </c>
      <c r="C3512" t="s">
        <v>109</v>
      </c>
      <c r="D3512" s="13" t="s">
        <v>633</v>
      </c>
      <c r="E3512" t="s">
        <v>1802</v>
      </c>
      <c r="F3512" s="11">
        <v>1</v>
      </c>
      <c r="G3512" s="11">
        <v>67226.89</v>
      </c>
    </row>
    <row r="3513" spans="2:7" x14ac:dyDescent="0.2">
      <c r="B3513" s="32">
        <v>45896</v>
      </c>
      <c r="C3513" t="s">
        <v>109</v>
      </c>
      <c r="D3513" s="13" t="s">
        <v>633</v>
      </c>
      <c r="E3513" t="s">
        <v>559</v>
      </c>
      <c r="F3513" s="11">
        <v>1</v>
      </c>
      <c r="G3513" s="11">
        <v>58823.53</v>
      </c>
    </row>
    <row r="3514" spans="2:7" x14ac:dyDescent="0.2">
      <c r="B3514" s="32">
        <v>45896</v>
      </c>
      <c r="C3514" t="s">
        <v>109</v>
      </c>
      <c r="D3514" s="13" t="s">
        <v>633</v>
      </c>
      <c r="E3514" t="s">
        <v>470</v>
      </c>
      <c r="F3514" s="11">
        <v>1</v>
      </c>
      <c r="G3514" s="11">
        <v>50420.17</v>
      </c>
    </row>
    <row r="3515" spans="2:7" x14ac:dyDescent="0.2">
      <c r="B3515" s="32">
        <v>45896</v>
      </c>
      <c r="C3515" t="s">
        <v>109</v>
      </c>
      <c r="D3515" s="13" t="s">
        <v>633</v>
      </c>
      <c r="E3515" t="s">
        <v>445</v>
      </c>
      <c r="F3515" s="11">
        <v>1</v>
      </c>
      <c r="G3515" s="11">
        <v>50420.160000000003</v>
      </c>
    </row>
    <row r="3516" spans="2:7" x14ac:dyDescent="0.2">
      <c r="B3516" s="32">
        <v>45896</v>
      </c>
      <c r="C3516" t="s">
        <v>109</v>
      </c>
      <c r="D3516" s="13" t="s">
        <v>633</v>
      </c>
      <c r="F3516" s="11">
        <v>1</v>
      </c>
      <c r="G3516" s="11">
        <v>46218.49</v>
      </c>
    </row>
    <row r="3517" spans="2:7" x14ac:dyDescent="0.2">
      <c r="B3517" s="32">
        <v>45896</v>
      </c>
      <c r="C3517" t="s">
        <v>109</v>
      </c>
      <c r="D3517" s="13" t="s">
        <v>633</v>
      </c>
      <c r="E3517" t="s">
        <v>158</v>
      </c>
      <c r="F3517" s="11">
        <v>1</v>
      </c>
      <c r="G3517" s="11">
        <v>46218.49</v>
      </c>
    </row>
    <row r="3518" spans="2:7" x14ac:dyDescent="0.2">
      <c r="B3518" s="32">
        <v>45896</v>
      </c>
      <c r="C3518" t="s">
        <v>109</v>
      </c>
      <c r="D3518" s="13" t="s">
        <v>633</v>
      </c>
      <c r="E3518" t="s">
        <v>234</v>
      </c>
      <c r="F3518" s="11">
        <v>0</v>
      </c>
      <c r="G3518" s="11">
        <v>37815.129999999997</v>
      </c>
    </row>
    <row r="3519" spans="2:7" x14ac:dyDescent="0.2">
      <c r="B3519" s="32">
        <v>45897</v>
      </c>
      <c r="C3519" t="s">
        <v>142</v>
      </c>
      <c r="D3519" s="13" t="s">
        <v>634</v>
      </c>
      <c r="E3519" t="s">
        <v>439</v>
      </c>
      <c r="F3519" s="11">
        <v>1</v>
      </c>
      <c r="G3519" s="11">
        <v>58823.53</v>
      </c>
    </row>
    <row r="3520" spans="2:7" x14ac:dyDescent="0.2">
      <c r="B3520" s="32">
        <v>45897</v>
      </c>
      <c r="C3520" t="s">
        <v>142</v>
      </c>
      <c r="D3520" s="13" t="s">
        <v>634</v>
      </c>
      <c r="E3520" t="s">
        <v>1819</v>
      </c>
      <c r="F3520" s="11">
        <v>1</v>
      </c>
      <c r="G3520" s="11">
        <v>58823.53</v>
      </c>
    </row>
    <row r="3521" spans="2:7" x14ac:dyDescent="0.2">
      <c r="B3521" s="32">
        <v>45897</v>
      </c>
      <c r="C3521" t="s">
        <v>142</v>
      </c>
      <c r="D3521" s="13" t="s">
        <v>634</v>
      </c>
      <c r="E3521" t="s">
        <v>653</v>
      </c>
      <c r="F3521" s="11">
        <v>1</v>
      </c>
      <c r="G3521" s="11">
        <v>58823.53</v>
      </c>
    </row>
    <row r="3522" spans="2:7" x14ac:dyDescent="0.2">
      <c r="B3522" s="32">
        <v>45897</v>
      </c>
      <c r="C3522" t="s">
        <v>142</v>
      </c>
      <c r="D3522" s="13" t="s">
        <v>634</v>
      </c>
      <c r="E3522" t="s">
        <v>315</v>
      </c>
      <c r="F3522" s="11">
        <v>1</v>
      </c>
      <c r="G3522" s="11">
        <v>58823.53</v>
      </c>
    </row>
    <row r="3523" spans="2:7" x14ac:dyDescent="0.2">
      <c r="B3523" s="32">
        <v>45897</v>
      </c>
      <c r="C3523" t="s">
        <v>142</v>
      </c>
      <c r="D3523" s="13" t="s">
        <v>634</v>
      </c>
      <c r="E3523" t="s">
        <v>345</v>
      </c>
      <c r="F3523" s="11">
        <v>1</v>
      </c>
      <c r="G3523" s="11">
        <v>54621.85</v>
      </c>
    </row>
    <row r="3524" spans="2:7" x14ac:dyDescent="0.2">
      <c r="B3524" s="32">
        <v>45897</v>
      </c>
      <c r="C3524" t="s">
        <v>142</v>
      </c>
      <c r="D3524" s="13" t="s">
        <v>634</v>
      </c>
      <c r="E3524" t="s">
        <v>648</v>
      </c>
      <c r="F3524" s="11">
        <v>1</v>
      </c>
      <c r="G3524" s="11">
        <v>54621.85</v>
      </c>
    </row>
    <row r="3525" spans="2:7" x14ac:dyDescent="0.2">
      <c r="B3525" s="32">
        <v>45897</v>
      </c>
      <c r="C3525" t="s">
        <v>142</v>
      </c>
      <c r="D3525" s="13" t="s">
        <v>634</v>
      </c>
      <c r="F3525" s="11">
        <v>0</v>
      </c>
      <c r="G3525" s="11">
        <v>0</v>
      </c>
    </row>
    <row r="3526" spans="2:7" x14ac:dyDescent="0.2">
      <c r="B3526" s="32">
        <v>45897</v>
      </c>
      <c r="C3526" t="s">
        <v>142</v>
      </c>
      <c r="D3526" s="13" t="s">
        <v>633</v>
      </c>
      <c r="E3526" t="s">
        <v>724</v>
      </c>
      <c r="F3526" s="11">
        <v>1</v>
      </c>
      <c r="G3526" s="11">
        <v>285714.28999999998</v>
      </c>
    </row>
    <row r="3527" spans="2:7" x14ac:dyDescent="0.2">
      <c r="B3527" s="32">
        <v>45897</v>
      </c>
      <c r="C3527" t="s">
        <v>142</v>
      </c>
      <c r="D3527" s="13" t="s">
        <v>633</v>
      </c>
      <c r="E3527" t="s">
        <v>1925</v>
      </c>
      <c r="F3527" s="11">
        <v>1</v>
      </c>
      <c r="G3527" s="11">
        <v>285714.28999999998</v>
      </c>
    </row>
    <row r="3528" spans="2:7" x14ac:dyDescent="0.2">
      <c r="B3528" s="32">
        <v>45897</v>
      </c>
      <c r="C3528" t="s">
        <v>142</v>
      </c>
      <c r="D3528" s="13" t="s">
        <v>633</v>
      </c>
      <c r="E3528" t="s">
        <v>1776</v>
      </c>
      <c r="F3528" s="11">
        <v>1</v>
      </c>
      <c r="G3528" s="11">
        <v>189075.63</v>
      </c>
    </row>
    <row r="3529" spans="2:7" x14ac:dyDescent="0.2">
      <c r="B3529" s="32">
        <v>45897</v>
      </c>
      <c r="C3529" t="s">
        <v>142</v>
      </c>
      <c r="D3529" s="13" t="s">
        <v>633</v>
      </c>
      <c r="E3529" t="s">
        <v>320</v>
      </c>
      <c r="F3529" s="11">
        <v>1</v>
      </c>
      <c r="G3529" s="11">
        <v>58823.53</v>
      </c>
    </row>
    <row r="3530" spans="2:7" x14ac:dyDescent="0.2">
      <c r="B3530" s="32">
        <v>45897</v>
      </c>
      <c r="C3530" t="s">
        <v>142</v>
      </c>
      <c r="D3530" s="13" t="s">
        <v>633</v>
      </c>
      <c r="F3530" s="11">
        <v>0</v>
      </c>
      <c r="G3530" s="11">
        <v>0</v>
      </c>
    </row>
    <row r="3531" spans="2:7" x14ac:dyDescent="0.2">
      <c r="B3531" s="32">
        <v>45897</v>
      </c>
      <c r="C3531" t="s">
        <v>1739</v>
      </c>
      <c r="D3531" s="13" t="s">
        <v>633</v>
      </c>
      <c r="E3531" t="s">
        <v>195</v>
      </c>
      <c r="F3531" s="11">
        <v>1</v>
      </c>
      <c r="G3531" s="11">
        <v>46218.49</v>
      </c>
    </row>
    <row r="3532" spans="2:7" x14ac:dyDescent="0.2">
      <c r="B3532" s="32">
        <v>45897</v>
      </c>
      <c r="C3532" t="s">
        <v>1739</v>
      </c>
      <c r="D3532" s="13" t="s">
        <v>633</v>
      </c>
      <c r="E3532" t="s">
        <v>248</v>
      </c>
      <c r="F3532" s="11">
        <v>1</v>
      </c>
      <c r="G3532" s="11">
        <v>21848.74</v>
      </c>
    </row>
    <row r="3533" spans="2:7" x14ac:dyDescent="0.2">
      <c r="B3533" s="32">
        <v>45897</v>
      </c>
      <c r="C3533" t="s">
        <v>1739</v>
      </c>
      <c r="D3533" s="13" t="s">
        <v>633</v>
      </c>
      <c r="E3533" t="s">
        <v>1822</v>
      </c>
      <c r="F3533" s="11">
        <v>1</v>
      </c>
      <c r="G3533" s="11">
        <v>16806.72</v>
      </c>
    </row>
    <row r="3534" spans="2:7" x14ac:dyDescent="0.2">
      <c r="B3534" s="32">
        <v>45897</v>
      </c>
      <c r="C3534" t="s">
        <v>109</v>
      </c>
      <c r="D3534" s="13" t="s">
        <v>634</v>
      </c>
      <c r="E3534" t="s">
        <v>159</v>
      </c>
      <c r="F3534" s="11">
        <v>1</v>
      </c>
      <c r="G3534" s="11">
        <v>239495.8</v>
      </c>
    </row>
    <row r="3535" spans="2:7" x14ac:dyDescent="0.2">
      <c r="B3535" s="32">
        <v>45897</v>
      </c>
      <c r="C3535" t="s">
        <v>109</v>
      </c>
      <c r="D3535" s="13" t="s">
        <v>634</v>
      </c>
      <c r="E3535" t="s">
        <v>205</v>
      </c>
      <c r="F3535" s="11">
        <v>2</v>
      </c>
      <c r="G3535" s="11">
        <v>117647.06</v>
      </c>
    </row>
    <row r="3536" spans="2:7" x14ac:dyDescent="0.2">
      <c r="B3536" s="32">
        <v>45897</v>
      </c>
      <c r="C3536" t="s">
        <v>109</v>
      </c>
      <c r="D3536" s="13" t="s">
        <v>634</v>
      </c>
      <c r="E3536" t="s">
        <v>1927</v>
      </c>
      <c r="F3536" s="11">
        <v>1</v>
      </c>
      <c r="G3536" s="11">
        <v>100840.34</v>
      </c>
    </row>
    <row r="3537" spans="2:7" x14ac:dyDescent="0.2">
      <c r="B3537" s="32">
        <v>45897</v>
      </c>
      <c r="C3537" t="s">
        <v>109</v>
      </c>
      <c r="D3537" s="13" t="s">
        <v>634</v>
      </c>
      <c r="E3537" t="s">
        <v>234</v>
      </c>
      <c r="F3537" s="11">
        <v>2</v>
      </c>
      <c r="G3537" s="11">
        <v>75630.259999999995</v>
      </c>
    </row>
    <row r="3538" spans="2:7" x14ac:dyDescent="0.2">
      <c r="B3538" s="32">
        <v>45897</v>
      </c>
      <c r="C3538" t="s">
        <v>109</v>
      </c>
      <c r="D3538" s="13" t="s">
        <v>634</v>
      </c>
      <c r="E3538" t="s">
        <v>181</v>
      </c>
      <c r="F3538" s="11">
        <v>1</v>
      </c>
      <c r="G3538" s="11">
        <v>58823.53</v>
      </c>
    </row>
    <row r="3539" spans="2:7" x14ac:dyDescent="0.2">
      <c r="B3539" s="32">
        <v>45897</v>
      </c>
      <c r="C3539" t="s">
        <v>109</v>
      </c>
      <c r="D3539" s="13" t="s">
        <v>634</v>
      </c>
      <c r="E3539" t="s">
        <v>678</v>
      </c>
      <c r="F3539" s="11">
        <v>1</v>
      </c>
      <c r="G3539" s="11">
        <v>50420.17</v>
      </c>
    </row>
    <row r="3540" spans="2:7" x14ac:dyDescent="0.2">
      <c r="B3540" s="32">
        <v>45897</v>
      </c>
      <c r="C3540" t="s">
        <v>109</v>
      </c>
      <c r="D3540" s="13" t="s">
        <v>634</v>
      </c>
      <c r="E3540" t="s">
        <v>161</v>
      </c>
      <c r="F3540" s="11">
        <v>1</v>
      </c>
      <c r="G3540" s="11">
        <v>42016.81</v>
      </c>
    </row>
    <row r="3541" spans="2:7" x14ac:dyDescent="0.2">
      <c r="B3541" s="32">
        <v>45897</v>
      </c>
      <c r="C3541" t="s">
        <v>109</v>
      </c>
      <c r="D3541" s="13" t="s">
        <v>634</v>
      </c>
      <c r="E3541" t="s">
        <v>1968</v>
      </c>
      <c r="F3541" s="11">
        <v>1</v>
      </c>
      <c r="G3541" s="11">
        <v>42016.81</v>
      </c>
    </row>
    <row r="3542" spans="2:7" x14ac:dyDescent="0.2">
      <c r="B3542" s="32">
        <v>45897</v>
      </c>
      <c r="C3542" t="s">
        <v>109</v>
      </c>
      <c r="D3542" s="13" t="s">
        <v>634</v>
      </c>
      <c r="E3542" t="s">
        <v>382</v>
      </c>
      <c r="F3542" s="11">
        <v>1</v>
      </c>
      <c r="G3542" s="11">
        <v>37815.129999999997</v>
      </c>
    </row>
    <row r="3543" spans="2:7" x14ac:dyDescent="0.2">
      <c r="B3543" s="32">
        <v>45897</v>
      </c>
      <c r="C3543" t="s">
        <v>109</v>
      </c>
      <c r="D3543" s="13" t="s">
        <v>634</v>
      </c>
      <c r="E3543" t="s">
        <v>144</v>
      </c>
      <c r="F3543" s="11">
        <v>1</v>
      </c>
      <c r="G3543" s="11">
        <v>13865.55</v>
      </c>
    </row>
    <row r="3544" spans="2:7" x14ac:dyDescent="0.2">
      <c r="B3544" s="32">
        <v>45897</v>
      </c>
      <c r="C3544" t="s">
        <v>109</v>
      </c>
      <c r="D3544" s="13" t="s">
        <v>634</v>
      </c>
      <c r="F3544" s="11">
        <v>0</v>
      </c>
      <c r="G3544" s="11">
        <v>0</v>
      </c>
    </row>
    <row r="3545" spans="2:7" x14ac:dyDescent="0.2">
      <c r="B3545" s="32">
        <v>45897</v>
      </c>
      <c r="C3545" t="s">
        <v>109</v>
      </c>
      <c r="D3545" s="13" t="s">
        <v>633</v>
      </c>
      <c r="E3545" t="s">
        <v>674</v>
      </c>
      <c r="F3545" s="11">
        <v>1</v>
      </c>
      <c r="G3545" s="11">
        <v>159663.87</v>
      </c>
    </row>
    <row r="3546" spans="2:7" x14ac:dyDescent="0.2">
      <c r="B3546" s="32">
        <v>45897</v>
      </c>
      <c r="C3546" t="s">
        <v>109</v>
      </c>
      <c r="D3546" s="13" t="s">
        <v>633</v>
      </c>
      <c r="E3546" t="s">
        <v>264</v>
      </c>
      <c r="F3546" s="11">
        <v>1</v>
      </c>
      <c r="G3546" s="11">
        <v>75630.25</v>
      </c>
    </row>
    <row r="3547" spans="2:7" x14ac:dyDescent="0.2">
      <c r="B3547" s="32">
        <v>45897</v>
      </c>
      <c r="C3547" t="s">
        <v>109</v>
      </c>
      <c r="D3547" s="13" t="s">
        <v>633</v>
      </c>
      <c r="E3547" t="s">
        <v>1928</v>
      </c>
      <c r="F3547" s="11">
        <v>1</v>
      </c>
      <c r="G3547" s="11">
        <v>71428.570000000007</v>
      </c>
    </row>
    <row r="3548" spans="2:7" x14ac:dyDescent="0.2">
      <c r="B3548" s="32">
        <v>45897</v>
      </c>
      <c r="C3548" t="s">
        <v>109</v>
      </c>
      <c r="D3548" s="13" t="s">
        <v>633</v>
      </c>
      <c r="E3548" t="s">
        <v>189</v>
      </c>
      <c r="F3548" s="11">
        <v>1</v>
      </c>
      <c r="G3548" s="11">
        <v>71428.570000000007</v>
      </c>
    </row>
    <row r="3549" spans="2:7" x14ac:dyDescent="0.2">
      <c r="B3549" s="32">
        <v>45897</v>
      </c>
      <c r="C3549" t="s">
        <v>109</v>
      </c>
      <c r="D3549" s="13" t="s">
        <v>633</v>
      </c>
      <c r="F3549" s="11">
        <v>2</v>
      </c>
      <c r="G3549" s="11">
        <v>64705.88</v>
      </c>
    </row>
    <row r="3550" spans="2:7" x14ac:dyDescent="0.2">
      <c r="B3550" s="32">
        <v>45897</v>
      </c>
      <c r="C3550" t="s">
        <v>109</v>
      </c>
      <c r="D3550" s="13" t="s">
        <v>633</v>
      </c>
      <c r="E3550" t="s">
        <v>454</v>
      </c>
      <c r="F3550" s="11">
        <v>1</v>
      </c>
      <c r="G3550" s="11">
        <v>58823.53</v>
      </c>
    </row>
    <row r="3551" spans="2:7" x14ac:dyDescent="0.2">
      <c r="B3551" s="32">
        <v>45897</v>
      </c>
      <c r="C3551" t="s">
        <v>109</v>
      </c>
      <c r="D3551" s="13" t="s">
        <v>633</v>
      </c>
      <c r="E3551" t="s">
        <v>443</v>
      </c>
      <c r="F3551" s="11">
        <v>1</v>
      </c>
      <c r="G3551" s="11">
        <v>46218.49</v>
      </c>
    </row>
    <row r="3552" spans="2:7" x14ac:dyDescent="0.2">
      <c r="B3552" s="32">
        <v>45897</v>
      </c>
      <c r="C3552" t="s">
        <v>109</v>
      </c>
      <c r="D3552" s="13" t="s">
        <v>633</v>
      </c>
      <c r="E3552" t="s">
        <v>144</v>
      </c>
      <c r="F3552" s="11">
        <v>4</v>
      </c>
      <c r="G3552" s="11">
        <v>25210.09</v>
      </c>
    </row>
    <row r="3553" spans="2:7" x14ac:dyDescent="0.2">
      <c r="B3553" s="32">
        <v>45897</v>
      </c>
      <c r="C3553" t="s">
        <v>109</v>
      </c>
      <c r="D3553" s="13" t="s">
        <v>633</v>
      </c>
      <c r="E3553" t="s">
        <v>193</v>
      </c>
      <c r="F3553" s="11">
        <v>1</v>
      </c>
      <c r="G3553" s="11">
        <v>21848.74</v>
      </c>
    </row>
    <row r="3554" spans="2:7" x14ac:dyDescent="0.2">
      <c r="B3554" s="32">
        <v>45897</v>
      </c>
      <c r="C3554" t="s">
        <v>109</v>
      </c>
      <c r="D3554" s="13" t="s">
        <v>633</v>
      </c>
      <c r="E3554" t="s">
        <v>1813</v>
      </c>
      <c r="F3554" s="11">
        <v>1</v>
      </c>
      <c r="G3554" s="11">
        <v>21848.74</v>
      </c>
    </row>
    <row r="3555" spans="2:7" x14ac:dyDescent="0.2">
      <c r="B3555" s="32">
        <v>45897</v>
      </c>
      <c r="C3555" t="s">
        <v>109</v>
      </c>
      <c r="D3555" s="13" t="s">
        <v>633</v>
      </c>
      <c r="E3555" t="s">
        <v>1822</v>
      </c>
      <c r="F3555" s="11">
        <v>1</v>
      </c>
      <c r="G3555" s="11">
        <v>16806.72</v>
      </c>
    </row>
    <row r="3556" spans="2:7" x14ac:dyDescent="0.2">
      <c r="B3556" s="32">
        <v>45898</v>
      </c>
      <c r="C3556" t="s">
        <v>142</v>
      </c>
      <c r="D3556" s="13" t="s">
        <v>634</v>
      </c>
      <c r="E3556" t="s">
        <v>231</v>
      </c>
      <c r="F3556" s="11">
        <v>1</v>
      </c>
      <c r="G3556" s="11">
        <v>252100.84</v>
      </c>
    </row>
    <row r="3557" spans="2:7" x14ac:dyDescent="0.2">
      <c r="B3557" s="32">
        <v>45898</v>
      </c>
      <c r="C3557" t="s">
        <v>142</v>
      </c>
      <c r="D3557" s="13" t="s">
        <v>634</v>
      </c>
      <c r="E3557" t="s">
        <v>154</v>
      </c>
      <c r="F3557" s="11">
        <v>1</v>
      </c>
      <c r="G3557" s="11">
        <v>96638.65</v>
      </c>
    </row>
    <row r="3558" spans="2:7" x14ac:dyDescent="0.2">
      <c r="B3558" s="32">
        <v>45898</v>
      </c>
      <c r="C3558" t="s">
        <v>142</v>
      </c>
      <c r="D3558" s="13" t="s">
        <v>634</v>
      </c>
      <c r="E3558" t="s">
        <v>223</v>
      </c>
      <c r="F3558" s="11">
        <v>1</v>
      </c>
      <c r="G3558" s="11">
        <v>58823.53</v>
      </c>
    </row>
    <row r="3559" spans="2:7" x14ac:dyDescent="0.2">
      <c r="B3559" s="32">
        <v>45898</v>
      </c>
      <c r="C3559" t="s">
        <v>142</v>
      </c>
      <c r="D3559" s="13" t="s">
        <v>634</v>
      </c>
      <c r="E3559" t="s">
        <v>251</v>
      </c>
      <c r="F3559" s="11">
        <v>1</v>
      </c>
      <c r="G3559" s="11">
        <v>58823.53</v>
      </c>
    </row>
    <row r="3560" spans="2:7" x14ac:dyDescent="0.2">
      <c r="B3560" s="32">
        <v>45898</v>
      </c>
      <c r="C3560" t="s">
        <v>142</v>
      </c>
      <c r="D3560" s="13" t="s">
        <v>634</v>
      </c>
      <c r="E3560" t="s">
        <v>163</v>
      </c>
      <c r="F3560" s="11">
        <v>1</v>
      </c>
      <c r="G3560" s="11">
        <v>58823.53</v>
      </c>
    </row>
    <row r="3561" spans="2:7" x14ac:dyDescent="0.2">
      <c r="B3561" s="32">
        <v>45898</v>
      </c>
      <c r="C3561" t="s">
        <v>142</v>
      </c>
      <c r="D3561" s="13" t="s">
        <v>634</v>
      </c>
      <c r="E3561" t="s">
        <v>151</v>
      </c>
      <c r="F3561" s="11">
        <v>1</v>
      </c>
      <c r="G3561" s="11">
        <v>46218.49</v>
      </c>
    </row>
    <row r="3562" spans="2:7" x14ac:dyDescent="0.2">
      <c r="B3562" s="32">
        <v>45898</v>
      </c>
      <c r="C3562" t="s">
        <v>142</v>
      </c>
      <c r="D3562" s="13" t="s">
        <v>634</v>
      </c>
      <c r="E3562" t="s">
        <v>158</v>
      </c>
      <c r="F3562" s="11">
        <v>1</v>
      </c>
      <c r="G3562" s="11">
        <v>46218.49</v>
      </c>
    </row>
    <row r="3563" spans="2:7" x14ac:dyDescent="0.2">
      <c r="B3563" s="32">
        <v>45898</v>
      </c>
      <c r="C3563" t="s">
        <v>142</v>
      </c>
      <c r="D3563" s="13" t="s">
        <v>634</v>
      </c>
      <c r="E3563" t="s">
        <v>204</v>
      </c>
      <c r="F3563" s="11">
        <v>1</v>
      </c>
      <c r="G3563" s="11">
        <v>37815.120000000003</v>
      </c>
    </row>
    <row r="3564" spans="2:7" x14ac:dyDescent="0.2">
      <c r="B3564" s="32">
        <v>45898</v>
      </c>
      <c r="C3564" t="s">
        <v>142</v>
      </c>
      <c r="D3564" s="13" t="s">
        <v>634</v>
      </c>
      <c r="F3564" s="11">
        <v>0</v>
      </c>
      <c r="G3564" s="11">
        <v>0</v>
      </c>
    </row>
    <row r="3565" spans="2:7" x14ac:dyDescent="0.2">
      <c r="B3565" s="32">
        <v>45898</v>
      </c>
      <c r="C3565" t="s">
        <v>142</v>
      </c>
      <c r="D3565" s="13" t="s">
        <v>633</v>
      </c>
      <c r="E3565" t="s">
        <v>423</v>
      </c>
      <c r="F3565" s="11">
        <v>5</v>
      </c>
      <c r="G3565" s="11">
        <v>294117.65000000002</v>
      </c>
    </row>
    <row r="3566" spans="2:7" x14ac:dyDescent="0.2">
      <c r="B3566" s="32">
        <v>45898</v>
      </c>
      <c r="C3566" t="s">
        <v>142</v>
      </c>
      <c r="D3566" s="13" t="s">
        <v>633</v>
      </c>
      <c r="E3566" t="s">
        <v>740</v>
      </c>
      <c r="F3566" s="11">
        <v>1</v>
      </c>
      <c r="G3566" s="11">
        <v>58823.53</v>
      </c>
    </row>
    <row r="3567" spans="2:7" x14ac:dyDescent="0.2">
      <c r="B3567" s="32">
        <v>45898</v>
      </c>
      <c r="C3567" t="s">
        <v>142</v>
      </c>
      <c r="D3567" s="13" t="s">
        <v>633</v>
      </c>
      <c r="E3567" t="s">
        <v>454</v>
      </c>
      <c r="F3567" s="11">
        <v>1</v>
      </c>
      <c r="G3567" s="11">
        <v>58823.53</v>
      </c>
    </row>
    <row r="3568" spans="2:7" x14ac:dyDescent="0.2">
      <c r="B3568" s="32">
        <v>45898</v>
      </c>
      <c r="C3568" t="s">
        <v>142</v>
      </c>
      <c r="D3568" s="13" t="s">
        <v>633</v>
      </c>
      <c r="E3568" t="s">
        <v>1871</v>
      </c>
      <c r="F3568" s="11">
        <v>1</v>
      </c>
      <c r="G3568" s="11">
        <v>58823.53</v>
      </c>
    </row>
    <row r="3569" spans="2:7" x14ac:dyDescent="0.2">
      <c r="B3569" s="32">
        <v>45898</v>
      </c>
      <c r="C3569" t="s">
        <v>142</v>
      </c>
      <c r="D3569" s="13" t="s">
        <v>633</v>
      </c>
      <c r="E3569" t="s">
        <v>1903</v>
      </c>
      <c r="F3569" s="11">
        <v>1</v>
      </c>
      <c r="G3569" s="11">
        <v>58823.53</v>
      </c>
    </row>
    <row r="3570" spans="2:7" x14ac:dyDescent="0.2">
      <c r="B3570" s="32">
        <v>45898</v>
      </c>
      <c r="C3570" t="s">
        <v>109</v>
      </c>
      <c r="D3570" s="13" t="s">
        <v>634</v>
      </c>
      <c r="E3570" t="s">
        <v>758</v>
      </c>
      <c r="F3570" s="11">
        <v>1</v>
      </c>
      <c r="G3570" s="11">
        <v>285714.28999999998</v>
      </c>
    </row>
    <row r="3571" spans="2:7" x14ac:dyDescent="0.2">
      <c r="B3571" s="32">
        <v>45898</v>
      </c>
      <c r="C3571" t="s">
        <v>109</v>
      </c>
      <c r="D3571" s="13" t="s">
        <v>634</v>
      </c>
      <c r="E3571" t="s">
        <v>347</v>
      </c>
      <c r="F3571" s="11">
        <v>2</v>
      </c>
      <c r="G3571" s="11">
        <v>151260.5</v>
      </c>
    </row>
    <row r="3572" spans="2:7" x14ac:dyDescent="0.2">
      <c r="B3572" s="32">
        <v>45898</v>
      </c>
      <c r="C3572" t="s">
        <v>109</v>
      </c>
      <c r="D3572" s="13" t="s">
        <v>634</v>
      </c>
      <c r="E3572" t="s">
        <v>234</v>
      </c>
      <c r="F3572" s="11">
        <v>3</v>
      </c>
      <c r="G3572" s="11">
        <v>113445.38</v>
      </c>
    </row>
    <row r="3573" spans="2:7" x14ac:dyDescent="0.2">
      <c r="B3573" s="32">
        <v>45898</v>
      </c>
      <c r="C3573" t="s">
        <v>109</v>
      </c>
      <c r="D3573" s="13" t="s">
        <v>634</v>
      </c>
      <c r="E3573" t="s">
        <v>300</v>
      </c>
      <c r="F3573" s="11">
        <v>3</v>
      </c>
      <c r="G3573" s="11">
        <v>113445.38</v>
      </c>
    </row>
    <row r="3574" spans="2:7" x14ac:dyDescent="0.2">
      <c r="B3574" s="32">
        <v>45898</v>
      </c>
      <c r="C3574" t="s">
        <v>109</v>
      </c>
      <c r="D3574" s="13" t="s">
        <v>634</v>
      </c>
      <c r="E3574" t="s">
        <v>567</v>
      </c>
      <c r="F3574" s="11">
        <v>1</v>
      </c>
      <c r="G3574" s="11">
        <v>109243.7</v>
      </c>
    </row>
    <row r="3575" spans="2:7" x14ac:dyDescent="0.2">
      <c r="B3575" s="32">
        <v>45898</v>
      </c>
      <c r="C3575" t="s">
        <v>109</v>
      </c>
      <c r="D3575" s="13" t="s">
        <v>634</v>
      </c>
      <c r="E3575" t="s">
        <v>144</v>
      </c>
      <c r="F3575" s="11">
        <v>4</v>
      </c>
      <c r="G3575" s="11">
        <v>92857.14</v>
      </c>
    </row>
    <row r="3576" spans="2:7" x14ac:dyDescent="0.2">
      <c r="B3576" s="32">
        <v>45898</v>
      </c>
      <c r="C3576" t="s">
        <v>109</v>
      </c>
      <c r="D3576" s="13" t="s">
        <v>634</v>
      </c>
      <c r="E3576" t="s">
        <v>368</v>
      </c>
      <c r="F3576" s="11">
        <v>1</v>
      </c>
      <c r="G3576" s="11">
        <v>75630.25</v>
      </c>
    </row>
    <row r="3577" spans="2:7" x14ac:dyDescent="0.2">
      <c r="B3577" s="32">
        <v>45898</v>
      </c>
      <c r="C3577" t="s">
        <v>109</v>
      </c>
      <c r="D3577" s="13" t="s">
        <v>634</v>
      </c>
      <c r="E3577" t="s">
        <v>446</v>
      </c>
      <c r="F3577" s="11">
        <v>1</v>
      </c>
      <c r="G3577" s="11">
        <v>75630.25</v>
      </c>
    </row>
    <row r="3578" spans="2:7" x14ac:dyDescent="0.2">
      <c r="B3578" s="32">
        <v>45898</v>
      </c>
      <c r="C3578" t="s">
        <v>109</v>
      </c>
      <c r="D3578" s="13" t="s">
        <v>634</v>
      </c>
      <c r="E3578" t="s">
        <v>192</v>
      </c>
      <c r="F3578" s="11">
        <v>1</v>
      </c>
      <c r="G3578" s="11">
        <v>71428.570000000007</v>
      </c>
    </row>
    <row r="3579" spans="2:7" x14ac:dyDescent="0.2">
      <c r="B3579" s="32">
        <v>45898</v>
      </c>
      <c r="C3579" t="s">
        <v>109</v>
      </c>
      <c r="D3579" s="13" t="s">
        <v>634</v>
      </c>
      <c r="E3579" t="s">
        <v>336</v>
      </c>
      <c r="F3579" s="11">
        <v>1</v>
      </c>
      <c r="G3579" s="11">
        <v>71428.570000000007</v>
      </c>
    </row>
    <row r="3580" spans="2:7" x14ac:dyDescent="0.2">
      <c r="B3580" s="32">
        <v>45898</v>
      </c>
      <c r="C3580" t="s">
        <v>109</v>
      </c>
      <c r="D3580" s="13" t="s">
        <v>634</v>
      </c>
      <c r="E3580" t="s">
        <v>653</v>
      </c>
      <c r="F3580" s="11">
        <v>1</v>
      </c>
      <c r="G3580" s="11">
        <v>58823.53</v>
      </c>
    </row>
    <row r="3581" spans="2:7" x14ac:dyDescent="0.2">
      <c r="B3581" s="32">
        <v>45898</v>
      </c>
      <c r="C3581" t="s">
        <v>109</v>
      </c>
      <c r="D3581" s="13" t="s">
        <v>634</v>
      </c>
      <c r="E3581" t="s">
        <v>438</v>
      </c>
      <c r="F3581" s="11">
        <v>1</v>
      </c>
      <c r="G3581" s="11">
        <v>54621.85</v>
      </c>
    </row>
    <row r="3582" spans="2:7" x14ac:dyDescent="0.2">
      <c r="B3582" s="32">
        <v>45898</v>
      </c>
      <c r="C3582" t="s">
        <v>109</v>
      </c>
      <c r="D3582" s="13" t="s">
        <v>634</v>
      </c>
      <c r="E3582" t="s">
        <v>243</v>
      </c>
      <c r="F3582" s="11">
        <v>1</v>
      </c>
      <c r="G3582" s="11">
        <v>54621.85</v>
      </c>
    </row>
    <row r="3583" spans="2:7" x14ac:dyDescent="0.2">
      <c r="B3583" s="32">
        <v>45898</v>
      </c>
      <c r="C3583" t="s">
        <v>109</v>
      </c>
      <c r="D3583" s="13" t="s">
        <v>634</v>
      </c>
      <c r="E3583" t="s">
        <v>491</v>
      </c>
      <c r="F3583" s="11">
        <v>1</v>
      </c>
      <c r="G3583" s="11">
        <v>50420.17</v>
      </c>
    </row>
    <row r="3584" spans="2:7" x14ac:dyDescent="0.2">
      <c r="B3584" s="32">
        <v>45898</v>
      </c>
      <c r="C3584" t="s">
        <v>109</v>
      </c>
      <c r="D3584" s="13" t="s">
        <v>634</v>
      </c>
      <c r="E3584" t="s">
        <v>455</v>
      </c>
      <c r="F3584" s="11">
        <v>1</v>
      </c>
      <c r="G3584" s="11">
        <v>50420.17</v>
      </c>
    </row>
    <row r="3585" spans="2:7" x14ac:dyDescent="0.2">
      <c r="B3585" s="32">
        <v>45898</v>
      </c>
      <c r="C3585" t="s">
        <v>109</v>
      </c>
      <c r="D3585" s="13" t="s">
        <v>634</v>
      </c>
      <c r="E3585" t="s">
        <v>445</v>
      </c>
      <c r="F3585" s="11">
        <v>1</v>
      </c>
      <c r="G3585" s="11">
        <v>50420.17</v>
      </c>
    </row>
    <row r="3586" spans="2:7" x14ac:dyDescent="0.2">
      <c r="B3586" s="32">
        <v>45898</v>
      </c>
      <c r="C3586" t="s">
        <v>109</v>
      </c>
      <c r="D3586" s="13" t="s">
        <v>634</v>
      </c>
      <c r="E3586" t="s">
        <v>560</v>
      </c>
      <c r="F3586" s="11">
        <v>1</v>
      </c>
      <c r="G3586" s="11">
        <v>46218.49</v>
      </c>
    </row>
    <row r="3587" spans="2:7" x14ac:dyDescent="0.2">
      <c r="B3587" s="32">
        <v>45898</v>
      </c>
      <c r="C3587" t="s">
        <v>109</v>
      </c>
      <c r="D3587" s="13" t="s">
        <v>634</v>
      </c>
      <c r="E3587" t="s">
        <v>350</v>
      </c>
      <c r="F3587" s="11">
        <v>1</v>
      </c>
      <c r="G3587" s="11">
        <v>46218.49</v>
      </c>
    </row>
    <row r="3588" spans="2:7" x14ac:dyDescent="0.2">
      <c r="B3588" s="32">
        <v>45898</v>
      </c>
      <c r="C3588" t="s">
        <v>109</v>
      </c>
      <c r="D3588" s="13" t="s">
        <v>634</v>
      </c>
      <c r="E3588" t="s">
        <v>238</v>
      </c>
      <c r="F3588" s="11">
        <v>1</v>
      </c>
      <c r="G3588" s="11">
        <v>46218.49</v>
      </c>
    </row>
    <row r="3589" spans="2:7" x14ac:dyDescent="0.2">
      <c r="B3589" s="32">
        <v>45898</v>
      </c>
      <c r="C3589" t="s">
        <v>109</v>
      </c>
      <c r="D3589" s="13" t="s">
        <v>634</v>
      </c>
      <c r="E3589" t="s">
        <v>193</v>
      </c>
      <c r="F3589" s="11">
        <v>2</v>
      </c>
      <c r="G3589" s="11">
        <v>43697.48</v>
      </c>
    </row>
    <row r="3590" spans="2:7" x14ac:dyDescent="0.2">
      <c r="B3590" s="32">
        <v>45898</v>
      </c>
      <c r="C3590" t="s">
        <v>109</v>
      </c>
      <c r="D3590" s="13" t="s">
        <v>634</v>
      </c>
      <c r="E3590" t="s">
        <v>1963</v>
      </c>
      <c r="F3590" s="11">
        <v>1</v>
      </c>
      <c r="G3590" s="11">
        <v>42016.800000000003</v>
      </c>
    </row>
    <row r="3591" spans="2:7" x14ac:dyDescent="0.2">
      <c r="B3591" s="32">
        <v>45898</v>
      </c>
      <c r="C3591" t="s">
        <v>109</v>
      </c>
      <c r="D3591" s="13" t="s">
        <v>634</v>
      </c>
      <c r="E3591" t="s">
        <v>166</v>
      </c>
      <c r="F3591" s="11">
        <v>1</v>
      </c>
      <c r="G3591" s="11">
        <v>42016.800000000003</v>
      </c>
    </row>
    <row r="3592" spans="2:7" x14ac:dyDescent="0.2">
      <c r="B3592" s="32">
        <v>45898</v>
      </c>
      <c r="C3592" t="s">
        <v>109</v>
      </c>
      <c r="D3592" s="13" t="s">
        <v>634</v>
      </c>
      <c r="E3592" t="s">
        <v>148</v>
      </c>
      <c r="F3592" s="11">
        <v>1</v>
      </c>
      <c r="G3592" s="11">
        <v>37815.129999999997</v>
      </c>
    </row>
    <row r="3593" spans="2:7" x14ac:dyDescent="0.2">
      <c r="B3593" s="32">
        <v>45898</v>
      </c>
      <c r="C3593" t="s">
        <v>109</v>
      </c>
      <c r="D3593" s="13" t="s">
        <v>634</v>
      </c>
      <c r="E3593" t="s">
        <v>670</v>
      </c>
      <c r="F3593" s="11">
        <v>1</v>
      </c>
      <c r="G3593" s="11">
        <v>0</v>
      </c>
    </row>
    <row r="3594" spans="2:7" x14ac:dyDescent="0.2">
      <c r="B3594" s="32">
        <v>45898</v>
      </c>
      <c r="C3594" t="s">
        <v>109</v>
      </c>
      <c r="D3594" s="13" t="s">
        <v>633</v>
      </c>
      <c r="E3594" t="s">
        <v>619</v>
      </c>
      <c r="F3594" s="11">
        <v>3</v>
      </c>
      <c r="G3594" s="11">
        <v>151260.51</v>
      </c>
    </row>
    <row r="3595" spans="2:7" x14ac:dyDescent="0.2">
      <c r="B3595" s="32">
        <v>45898</v>
      </c>
      <c r="C3595" t="s">
        <v>109</v>
      </c>
      <c r="D3595" s="13" t="s">
        <v>633</v>
      </c>
      <c r="E3595" t="s">
        <v>186</v>
      </c>
      <c r="F3595" s="11">
        <v>1</v>
      </c>
      <c r="G3595" s="11">
        <v>84033.61</v>
      </c>
    </row>
    <row r="3596" spans="2:7" x14ac:dyDescent="0.2">
      <c r="B3596" s="32">
        <v>45898</v>
      </c>
      <c r="C3596" t="s">
        <v>109</v>
      </c>
      <c r="D3596" s="13" t="s">
        <v>633</v>
      </c>
      <c r="E3596" t="s">
        <v>678</v>
      </c>
      <c r="F3596" s="11">
        <v>1</v>
      </c>
      <c r="G3596" s="11">
        <v>50420.17</v>
      </c>
    </row>
    <row r="3597" spans="2:7" x14ac:dyDescent="0.2">
      <c r="B3597" s="32">
        <v>45898</v>
      </c>
      <c r="C3597" t="s">
        <v>109</v>
      </c>
      <c r="D3597" s="13" t="s">
        <v>633</v>
      </c>
      <c r="E3597" t="s">
        <v>764</v>
      </c>
      <c r="F3597" s="11">
        <v>1</v>
      </c>
      <c r="G3597" s="11">
        <v>50420.17</v>
      </c>
    </row>
    <row r="3598" spans="2:7" x14ac:dyDescent="0.2">
      <c r="B3598" s="32">
        <v>45898</v>
      </c>
      <c r="C3598" t="s">
        <v>109</v>
      </c>
      <c r="D3598" s="13" t="s">
        <v>633</v>
      </c>
      <c r="E3598" t="s">
        <v>303</v>
      </c>
      <c r="F3598" s="11">
        <v>1</v>
      </c>
      <c r="G3598" s="11">
        <v>50420.17</v>
      </c>
    </row>
    <row r="3599" spans="2:7" x14ac:dyDescent="0.2">
      <c r="B3599" s="32">
        <v>45898</v>
      </c>
      <c r="C3599" t="s">
        <v>109</v>
      </c>
      <c r="D3599" s="13" t="s">
        <v>633</v>
      </c>
      <c r="E3599" t="s">
        <v>254</v>
      </c>
      <c r="F3599" s="11">
        <v>1</v>
      </c>
      <c r="G3599" s="11">
        <v>50420.160000000003</v>
      </c>
    </row>
    <row r="3600" spans="2:7" x14ac:dyDescent="0.2">
      <c r="B3600" s="32">
        <v>45898</v>
      </c>
      <c r="C3600" t="s">
        <v>109</v>
      </c>
      <c r="D3600" s="13" t="s">
        <v>633</v>
      </c>
      <c r="E3600" t="s">
        <v>198</v>
      </c>
      <c r="F3600" s="11">
        <v>1</v>
      </c>
      <c r="G3600" s="11">
        <v>46218.49</v>
      </c>
    </row>
    <row r="3601" spans="2:7" x14ac:dyDescent="0.2">
      <c r="B3601" s="32">
        <v>45898</v>
      </c>
      <c r="C3601" t="s">
        <v>109</v>
      </c>
      <c r="D3601" s="13" t="s">
        <v>633</v>
      </c>
      <c r="E3601" t="s">
        <v>240</v>
      </c>
      <c r="F3601" s="11">
        <v>1</v>
      </c>
      <c r="G3601" s="11">
        <v>42016.81</v>
      </c>
    </row>
    <row r="3602" spans="2:7" x14ac:dyDescent="0.2">
      <c r="B3602" s="32">
        <v>45898</v>
      </c>
      <c r="C3602" t="s">
        <v>109</v>
      </c>
      <c r="D3602" s="13" t="s">
        <v>633</v>
      </c>
      <c r="E3602" t="s">
        <v>196</v>
      </c>
      <c r="F3602" s="11">
        <v>1</v>
      </c>
      <c r="G3602" s="11">
        <v>42016.81</v>
      </c>
    </row>
    <row r="3603" spans="2:7" x14ac:dyDescent="0.2">
      <c r="B3603" s="32">
        <v>45898</v>
      </c>
      <c r="C3603" t="s">
        <v>109</v>
      </c>
      <c r="D3603" s="13" t="s">
        <v>633</v>
      </c>
      <c r="E3603" t="s">
        <v>144</v>
      </c>
      <c r="F3603" s="11">
        <v>1</v>
      </c>
      <c r="G3603" s="11">
        <v>18487.39</v>
      </c>
    </row>
    <row r="3604" spans="2:7" x14ac:dyDescent="0.2">
      <c r="B3604" s="32">
        <v>45899</v>
      </c>
      <c r="C3604" t="s">
        <v>109</v>
      </c>
      <c r="D3604" s="13"/>
      <c r="E3604" t="s">
        <v>670</v>
      </c>
      <c r="F3604" s="11">
        <v>2</v>
      </c>
      <c r="G3604" s="11">
        <v>0</v>
      </c>
    </row>
    <row r="3605" spans="2:7" x14ac:dyDescent="0.2">
      <c r="B3605" s="32">
        <v>45899</v>
      </c>
      <c r="C3605" t="s">
        <v>109</v>
      </c>
      <c r="D3605" s="13" t="s">
        <v>634</v>
      </c>
      <c r="E3605" t="s">
        <v>154</v>
      </c>
      <c r="F3605" s="11">
        <v>1</v>
      </c>
      <c r="G3605" s="11">
        <v>96638.66</v>
      </c>
    </row>
    <row r="3606" spans="2:7" x14ac:dyDescent="0.2">
      <c r="B3606" s="32">
        <v>45899</v>
      </c>
      <c r="C3606" t="s">
        <v>109</v>
      </c>
      <c r="D3606" s="13" t="s">
        <v>634</v>
      </c>
      <c r="E3606" t="s">
        <v>155</v>
      </c>
      <c r="F3606" s="11">
        <v>1</v>
      </c>
      <c r="G3606" s="11">
        <v>96638.65</v>
      </c>
    </row>
    <row r="3607" spans="2:7" x14ac:dyDescent="0.2">
      <c r="B3607" s="32">
        <v>45899</v>
      </c>
      <c r="C3607" t="s">
        <v>109</v>
      </c>
      <c r="D3607" s="13" t="s">
        <v>634</v>
      </c>
      <c r="E3607" t="s">
        <v>313</v>
      </c>
      <c r="F3607" s="11">
        <v>1</v>
      </c>
      <c r="G3607" s="11">
        <v>96638.65</v>
      </c>
    </row>
    <row r="3608" spans="2:7" x14ac:dyDescent="0.2">
      <c r="B3608" s="32">
        <v>45899</v>
      </c>
      <c r="C3608" t="s">
        <v>109</v>
      </c>
      <c r="D3608" s="13" t="s">
        <v>634</v>
      </c>
      <c r="E3608" t="s">
        <v>240</v>
      </c>
      <c r="F3608" s="11">
        <v>2</v>
      </c>
      <c r="G3608" s="11">
        <v>84033.62</v>
      </c>
    </row>
    <row r="3609" spans="2:7" x14ac:dyDescent="0.2">
      <c r="B3609" s="32">
        <v>45899</v>
      </c>
      <c r="C3609" t="s">
        <v>109</v>
      </c>
      <c r="D3609" s="13" t="s">
        <v>634</v>
      </c>
      <c r="E3609" t="s">
        <v>184</v>
      </c>
      <c r="F3609" s="11">
        <v>1</v>
      </c>
      <c r="G3609" s="11">
        <v>83056.479999999996</v>
      </c>
    </row>
    <row r="3610" spans="2:7" x14ac:dyDescent="0.2">
      <c r="B3610" s="32">
        <v>45899</v>
      </c>
      <c r="C3610" t="s">
        <v>109</v>
      </c>
      <c r="D3610" s="13" t="s">
        <v>634</v>
      </c>
      <c r="E3610" t="s">
        <v>1939</v>
      </c>
      <c r="F3610" s="11">
        <v>1</v>
      </c>
      <c r="G3610" s="11">
        <v>67226.89</v>
      </c>
    </row>
    <row r="3611" spans="2:7" x14ac:dyDescent="0.2">
      <c r="B3611" s="32">
        <v>45899</v>
      </c>
      <c r="C3611" t="s">
        <v>109</v>
      </c>
      <c r="D3611" s="13" t="s">
        <v>634</v>
      </c>
      <c r="E3611" t="s">
        <v>144</v>
      </c>
      <c r="F3611" s="11">
        <v>2</v>
      </c>
      <c r="G3611" s="11">
        <v>59800.66</v>
      </c>
    </row>
    <row r="3612" spans="2:7" x14ac:dyDescent="0.2">
      <c r="B3612" s="32">
        <v>45899</v>
      </c>
      <c r="C3612" t="s">
        <v>109</v>
      </c>
      <c r="D3612" s="13" t="s">
        <v>634</v>
      </c>
      <c r="E3612" t="s">
        <v>1924</v>
      </c>
      <c r="F3612" s="11">
        <v>1</v>
      </c>
      <c r="G3612" s="11">
        <v>58823.53</v>
      </c>
    </row>
    <row r="3613" spans="2:7" x14ac:dyDescent="0.2">
      <c r="B3613" s="32">
        <v>45899</v>
      </c>
      <c r="C3613" t="s">
        <v>109</v>
      </c>
      <c r="D3613" s="13" t="s">
        <v>634</v>
      </c>
      <c r="E3613" t="s">
        <v>483</v>
      </c>
      <c r="F3613" s="11">
        <v>1</v>
      </c>
      <c r="G3613" s="11">
        <v>58823.53</v>
      </c>
    </row>
    <row r="3614" spans="2:7" x14ac:dyDescent="0.2">
      <c r="B3614" s="32">
        <v>45899</v>
      </c>
      <c r="C3614" t="s">
        <v>109</v>
      </c>
      <c r="D3614" s="13" t="s">
        <v>634</v>
      </c>
      <c r="E3614" t="s">
        <v>1810</v>
      </c>
      <c r="F3614" s="11">
        <v>1</v>
      </c>
      <c r="G3614" s="11">
        <v>54621.85</v>
      </c>
    </row>
    <row r="3615" spans="2:7" x14ac:dyDescent="0.2">
      <c r="B3615" s="32">
        <v>45899</v>
      </c>
      <c r="C3615" t="s">
        <v>109</v>
      </c>
      <c r="D3615" s="13" t="s">
        <v>634</v>
      </c>
      <c r="E3615" t="s">
        <v>397</v>
      </c>
      <c r="F3615" s="11">
        <v>1</v>
      </c>
      <c r="G3615" s="11">
        <v>46218.48</v>
      </c>
    </row>
    <row r="3616" spans="2:7" x14ac:dyDescent="0.2">
      <c r="B3616" s="32">
        <v>45899</v>
      </c>
      <c r="C3616" t="s">
        <v>109</v>
      </c>
      <c r="D3616" s="13" t="s">
        <v>634</v>
      </c>
      <c r="E3616" t="s">
        <v>196</v>
      </c>
      <c r="F3616" s="11">
        <v>1</v>
      </c>
      <c r="G3616" s="11">
        <v>42016.81</v>
      </c>
    </row>
    <row r="3617" spans="2:7" x14ac:dyDescent="0.2">
      <c r="B3617" s="32">
        <v>45899</v>
      </c>
      <c r="C3617" t="s">
        <v>109</v>
      </c>
      <c r="D3617" s="13" t="s">
        <v>634</v>
      </c>
      <c r="E3617" t="s">
        <v>173</v>
      </c>
      <c r="F3617" s="11">
        <v>1</v>
      </c>
      <c r="G3617" s="11">
        <v>37815.129999999997</v>
      </c>
    </row>
    <row r="3618" spans="2:7" x14ac:dyDescent="0.2">
      <c r="B3618" s="32">
        <v>45899</v>
      </c>
      <c r="C3618" t="s">
        <v>109</v>
      </c>
      <c r="D3618" s="13" t="s">
        <v>634</v>
      </c>
      <c r="E3618" t="s">
        <v>193</v>
      </c>
      <c r="F3618" s="11">
        <v>1</v>
      </c>
      <c r="G3618" s="11">
        <v>21848.74</v>
      </c>
    </row>
    <row r="3619" spans="2:7" x14ac:dyDescent="0.2">
      <c r="B3619" s="32">
        <v>45899</v>
      </c>
      <c r="C3619" t="s">
        <v>109</v>
      </c>
      <c r="D3619" s="13" t="s">
        <v>633</v>
      </c>
      <c r="E3619" t="s">
        <v>301</v>
      </c>
      <c r="F3619" s="11">
        <v>1</v>
      </c>
      <c r="G3619" s="11">
        <v>169000</v>
      </c>
    </row>
    <row r="3620" spans="2:7" x14ac:dyDescent="0.2">
      <c r="B3620" s="32">
        <v>45899</v>
      </c>
      <c r="C3620" t="s">
        <v>109</v>
      </c>
      <c r="D3620" s="13" t="s">
        <v>633</v>
      </c>
      <c r="E3620" t="s">
        <v>1947</v>
      </c>
      <c r="F3620" s="11">
        <v>2</v>
      </c>
      <c r="G3620" s="11">
        <v>109243.7</v>
      </c>
    </row>
    <row r="3621" spans="2:7" x14ac:dyDescent="0.2">
      <c r="B3621" s="32">
        <v>45899</v>
      </c>
      <c r="C3621" t="s">
        <v>109</v>
      </c>
      <c r="D3621" s="13" t="s">
        <v>633</v>
      </c>
      <c r="E3621" t="s">
        <v>166</v>
      </c>
      <c r="F3621" s="11">
        <v>2</v>
      </c>
      <c r="G3621" s="11">
        <v>84033.61</v>
      </c>
    </row>
    <row r="3622" spans="2:7" x14ac:dyDescent="0.2">
      <c r="B3622" s="32">
        <v>45899</v>
      </c>
      <c r="C3622" t="s">
        <v>109</v>
      </c>
      <c r="D3622" s="13" t="s">
        <v>633</v>
      </c>
      <c r="E3622" t="s">
        <v>698</v>
      </c>
      <c r="F3622" s="11">
        <v>1</v>
      </c>
      <c r="G3622" s="11">
        <v>75630.25</v>
      </c>
    </row>
    <row r="3623" spans="2:7" x14ac:dyDescent="0.2">
      <c r="B3623" s="32">
        <v>45899</v>
      </c>
      <c r="C3623" t="s">
        <v>109</v>
      </c>
      <c r="D3623" s="13" t="s">
        <v>633</v>
      </c>
      <c r="E3623" t="s">
        <v>149</v>
      </c>
      <c r="F3623" s="11">
        <v>1</v>
      </c>
      <c r="G3623" s="11">
        <v>71428.570000000007</v>
      </c>
    </row>
    <row r="3624" spans="2:7" x14ac:dyDescent="0.2">
      <c r="B3624" s="32">
        <v>45899</v>
      </c>
      <c r="C3624" t="s">
        <v>109</v>
      </c>
      <c r="D3624" s="13" t="s">
        <v>633</v>
      </c>
      <c r="E3624" t="s">
        <v>151</v>
      </c>
      <c r="F3624" s="11">
        <v>1</v>
      </c>
      <c r="G3624" s="11">
        <v>46218.49</v>
      </c>
    </row>
    <row r="3625" spans="2:7" x14ac:dyDescent="0.2">
      <c r="B3625" s="32">
        <v>45899</v>
      </c>
      <c r="C3625" t="s">
        <v>109</v>
      </c>
      <c r="D3625" s="13" t="s">
        <v>633</v>
      </c>
      <c r="E3625" t="s">
        <v>337</v>
      </c>
      <c r="F3625" s="11">
        <v>1</v>
      </c>
      <c r="G3625" s="11">
        <v>46218.49</v>
      </c>
    </row>
    <row r="3626" spans="2:7" x14ac:dyDescent="0.2">
      <c r="B3626" s="32">
        <v>45899</v>
      </c>
      <c r="C3626" t="s">
        <v>109</v>
      </c>
      <c r="D3626" s="13" t="s">
        <v>633</v>
      </c>
      <c r="E3626" t="s">
        <v>328</v>
      </c>
      <c r="F3626" s="11">
        <v>1</v>
      </c>
      <c r="G3626" s="11">
        <v>37815.129999999997</v>
      </c>
    </row>
    <row r="3627" spans="2:7" x14ac:dyDescent="0.2">
      <c r="B3627" s="32">
        <v>45899</v>
      </c>
      <c r="C3627" t="s">
        <v>109</v>
      </c>
      <c r="D3627" s="13" t="s">
        <v>633</v>
      </c>
      <c r="E3627" t="s">
        <v>1818</v>
      </c>
      <c r="F3627" s="11">
        <v>1</v>
      </c>
      <c r="G3627" s="11">
        <v>37815.120000000003</v>
      </c>
    </row>
    <row r="3628" spans="2:7" x14ac:dyDescent="0.2">
      <c r="B3628" s="32">
        <v>45899</v>
      </c>
      <c r="C3628" t="s">
        <v>109</v>
      </c>
      <c r="D3628" s="13" t="s">
        <v>633</v>
      </c>
      <c r="E3628" t="s">
        <v>144</v>
      </c>
      <c r="F3628" s="11">
        <v>1</v>
      </c>
      <c r="G3628" s="11">
        <v>13445.38</v>
      </c>
    </row>
    <row r="3629" spans="2:7" x14ac:dyDescent="0.2">
      <c r="B3629" s="32">
        <v>45900</v>
      </c>
      <c r="C3629" t="s">
        <v>142</v>
      </c>
      <c r="D3629" s="13" t="s">
        <v>634</v>
      </c>
      <c r="E3629" t="s">
        <v>1943</v>
      </c>
      <c r="F3629" s="11">
        <v>1</v>
      </c>
      <c r="G3629" s="11">
        <v>252100.84</v>
      </c>
    </row>
    <row r="3630" spans="2:7" x14ac:dyDescent="0.2">
      <c r="B3630" s="32">
        <v>45900</v>
      </c>
      <c r="C3630" t="s">
        <v>142</v>
      </c>
      <c r="D3630" s="13" t="s">
        <v>634</v>
      </c>
      <c r="E3630" t="s">
        <v>694</v>
      </c>
      <c r="F3630" s="11">
        <v>1</v>
      </c>
      <c r="G3630" s="11">
        <v>142857.14000000001</v>
      </c>
    </row>
    <row r="3631" spans="2:7" x14ac:dyDescent="0.2">
      <c r="B3631" s="32">
        <v>45900</v>
      </c>
      <c r="C3631" t="s">
        <v>142</v>
      </c>
      <c r="D3631" s="13" t="s">
        <v>634</v>
      </c>
      <c r="E3631" t="s">
        <v>313</v>
      </c>
      <c r="F3631" s="11">
        <v>1</v>
      </c>
      <c r="G3631" s="11">
        <v>96638.66</v>
      </c>
    </row>
    <row r="3632" spans="2:7" x14ac:dyDescent="0.2">
      <c r="B3632" s="32">
        <v>45900</v>
      </c>
      <c r="C3632" t="s">
        <v>142</v>
      </c>
      <c r="D3632" s="13" t="s">
        <v>634</v>
      </c>
      <c r="E3632" t="s">
        <v>154</v>
      </c>
      <c r="F3632" s="11">
        <v>1</v>
      </c>
      <c r="G3632" s="11">
        <v>96638.66</v>
      </c>
    </row>
    <row r="3633" spans="2:7" x14ac:dyDescent="0.2">
      <c r="B3633" s="32">
        <v>45900</v>
      </c>
      <c r="C3633" t="s">
        <v>142</v>
      </c>
      <c r="D3633" s="13" t="s">
        <v>634</v>
      </c>
      <c r="E3633" t="s">
        <v>210</v>
      </c>
      <c r="F3633" s="11">
        <v>1</v>
      </c>
      <c r="G3633" s="11">
        <v>46218.49</v>
      </c>
    </row>
    <row r="3634" spans="2:7" x14ac:dyDescent="0.2">
      <c r="B3634" s="32">
        <v>45900</v>
      </c>
      <c r="C3634" t="s">
        <v>142</v>
      </c>
      <c r="D3634" s="13" t="s">
        <v>634</v>
      </c>
      <c r="F3634" s="11">
        <v>0</v>
      </c>
      <c r="G3634" s="11">
        <v>0</v>
      </c>
    </row>
    <row r="3635" spans="2:7" x14ac:dyDescent="0.2">
      <c r="B3635" s="32">
        <v>45900</v>
      </c>
      <c r="C3635" t="s">
        <v>110</v>
      </c>
      <c r="D3635" s="13" t="s">
        <v>633</v>
      </c>
      <c r="E3635" t="s">
        <v>1749</v>
      </c>
      <c r="F3635" s="11">
        <v>1</v>
      </c>
      <c r="G3635" s="11">
        <v>46218.49</v>
      </c>
    </row>
    <row r="3636" spans="2:7" x14ac:dyDescent="0.2">
      <c r="B3636" s="32">
        <v>45900</v>
      </c>
      <c r="C3636" t="s">
        <v>109</v>
      </c>
      <c r="D3636" s="13" t="s">
        <v>634</v>
      </c>
      <c r="E3636" t="s">
        <v>192</v>
      </c>
      <c r="F3636" s="11">
        <v>2</v>
      </c>
      <c r="G3636" s="11">
        <v>142857.14000000001</v>
      </c>
    </row>
    <row r="3637" spans="2:7" x14ac:dyDescent="0.2">
      <c r="B3637" s="32">
        <v>45900</v>
      </c>
      <c r="C3637" t="s">
        <v>109</v>
      </c>
      <c r="D3637" s="13" t="s">
        <v>634</v>
      </c>
      <c r="E3637" t="s">
        <v>646</v>
      </c>
      <c r="F3637" s="11">
        <v>1</v>
      </c>
      <c r="G3637" s="11">
        <v>113445.37</v>
      </c>
    </row>
    <row r="3638" spans="2:7" x14ac:dyDescent="0.2">
      <c r="B3638" s="32">
        <v>45900</v>
      </c>
      <c r="C3638" t="s">
        <v>109</v>
      </c>
      <c r="D3638" s="13" t="s">
        <v>634</v>
      </c>
      <c r="E3638" t="s">
        <v>184</v>
      </c>
      <c r="F3638" s="11">
        <v>1</v>
      </c>
      <c r="G3638" s="11">
        <v>84033.61</v>
      </c>
    </row>
    <row r="3639" spans="2:7" x14ac:dyDescent="0.2">
      <c r="B3639" s="32">
        <v>45900</v>
      </c>
      <c r="C3639" t="s">
        <v>109</v>
      </c>
      <c r="D3639" s="13" t="s">
        <v>634</v>
      </c>
      <c r="E3639" t="s">
        <v>164</v>
      </c>
      <c r="F3639" s="11">
        <v>1</v>
      </c>
      <c r="G3639" s="11">
        <v>71428.570000000007</v>
      </c>
    </row>
    <row r="3640" spans="2:7" x14ac:dyDescent="0.2">
      <c r="B3640" s="32">
        <v>45900</v>
      </c>
      <c r="C3640" t="s">
        <v>109</v>
      </c>
      <c r="D3640" s="13" t="s">
        <v>634</v>
      </c>
      <c r="E3640" t="s">
        <v>205</v>
      </c>
      <c r="F3640" s="11">
        <v>1</v>
      </c>
      <c r="G3640" s="11">
        <v>58823.53</v>
      </c>
    </row>
    <row r="3641" spans="2:7" x14ac:dyDescent="0.2">
      <c r="B3641" s="32">
        <v>45900</v>
      </c>
      <c r="C3641" t="s">
        <v>109</v>
      </c>
      <c r="D3641" s="13" t="s">
        <v>634</v>
      </c>
      <c r="E3641" t="s">
        <v>642</v>
      </c>
      <c r="F3641" s="11">
        <v>1</v>
      </c>
      <c r="G3641" s="11">
        <v>49000</v>
      </c>
    </row>
    <row r="3642" spans="2:7" x14ac:dyDescent="0.2">
      <c r="B3642" s="32">
        <v>45900</v>
      </c>
      <c r="C3642" t="s">
        <v>109</v>
      </c>
      <c r="D3642" s="13" t="s">
        <v>634</v>
      </c>
      <c r="E3642" t="s">
        <v>1973</v>
      </c>
      <c r="F3642" s="11">
        <v>1</v>
      </c>
      <c r="G3642" s="11">
        <v>46218.49</v>
      </c>
    </row>
    <row r="3643" spans="2:7" x14ac:dyDescent="0.2">
      <c r="B3643" s="32">
        <v>45900</v>
      </c>
      <c r="C3643" t="s">
        <v>109</v>
      </c>
      <c r="D3643" s="13" t="s">
        <v>634</v>
      </c>
      <c r="E3643" t="s">
        <v>153</v>
      </c>
      <c r="F3643" s="11">
        <v>1</v>
      </c>
      <c r="G3643" s="11">
        <v>42016.81</v>
      </c>
    </row>
    <row r="3644" spans="2:7" x14ac:dyDescent="0.2">
      <c r="B3644" s="32">
        <v>45900</v>
      </c>
      <c r="C3644" t="s">
        <v>109</v>
      </c>
      <c r="D3644" s="13" t="s">
        <v>634</v>
      </c>
      <c r="E3644" t="s">
        <v>196</v>
      </c>
      <c r="F3644" s="11">
        <v>1</v>
      </c>
      <c r="G3644" s="11">
        <v>42016.81</v>
      </c>
    </row>
    <row r="3645" spans="2:7" x14ac:dyDescent="0.2">
      <c r="B3645" s="32">
        <v>45900</v>
      </c>
      <c r="C3645" t="s">
        <v>109</v>
      </c>
      <c r="D3645" s="13" t="s">
        <v>634</v>
      </c>
      <c r="E3645" t="s">
        <v>1822</v>
      </c>
      <c r="F3645" s="11">
        <v>2</v>
      </c>
      <c r="G3645" s="11">
        <v>33613.449999999997</v>
      </c>
    </row>
    <row r="3646" spans="2:7" x14ac:dyDescent="0.2">
      <c r="B3646" s="32">
        <v>45900</v>
      </c>
      <c r="C3646" t="s">
        <v>109</v>
      </c>
      <c r="D3646" s="13" t="s">
        <v>634</v>
      </c>
      <c r="F3646" s="11">
        <v>0</v>
      </c>
      <c r="G3646" s="11">
        <v>0</v>
      </c>
    </row>
    <row r="3647" spans="2:7" x14ac:dyDescent="0.2">
      <c r="B3647" s="32">
        <v>45900</v>
      </c>
      <c r="C3647" t="s">
        <v>109</v>
      </c>
      <c r="D3647" s="13" t="s">
        <v>633</v>
      </c>
      <c r="E3647" t="s">
        <v>242</v>
      </c>
      <c r="F3647" s="11">
        <v>2</v>
      </c>
      <c r="G3647" s="11">
        <v>285714.28999999998</v>
      </c>
    </row>
    <row r="3648" spans="2:7" x14ac:dyDescent="0.2">
      <c r="B3648" s="32">
        <v>45900</v>
      </c>
      <c r="C3648" t="s">
        <v>109</v>
      </c>
      <c r="D3648" s="13" t="s">
        <v>633</v>
      </c>
      <c r="E3648" t="s">
        <v>340</v>
      </c>
      <c r="F3648" s="11">
        <v>2</v>
      </c>
      <c r="G3648" s="11">
        <v>151260.5</v>
      </c>
    </row>
    <row r="3649" spans="2:7" x14ac:dyDescent="0.2">
      <c r="B3649" s="32">
        <v>45900</v>
      </c>
      <c r="C3649" t="s">
        <v>109</v>
      </c>
      <c r="D3649" s="13" t="s">
        <v>633</v>
      </c>
      <c r="E3649" t="s">
        <v>174</v>
      </c>
      <c r="F3649" s="11">
        <v>1</v>
      </c>
      <c r="G3649" s="11">
        <v>75630.25</v>
      </c>
    </row>
    <row r="3650" spans="2:7" x14ac:dyDescent="0.2">
      <c r="B3650" s="32">
        <v>45900</v>
      </c>
      <c r="C3650" t="s">
        <v>109</v>
      </c>
      <c r="D3650" s="13" t="s">
        <v>633</v>
      </c>
      <c r="E3650" t="s">
        <v>164</v>
      </c>
      <c r="F3650" s="11">
        <v>1</v>
      </c>
      <c r="G3650" s="11">
        <v>71428.570000000007</v>
      </c>
    </row>
    <row r="3651" spans="2:7" x14ac:dyDescent="0.2">
      <c r="B3651" s="32">
        <v>45900</v>
      </c>
      <c r="C3651" t="s">
        <v>109</v>
      </c>
      <c r="D3651" s="13" t="s">
        <v>633</v>
      </c>
      <c r="E3651" t="s">
        <v>628</v>
      </c>
      <c r="F3651" s="11">
        <v>1</v>
      </c>
      <c r="G3651" s="11">
        <v>54621.85</v>
      </c>
    </row>
    <row r="3652" spans="2:7" x14ac:dyDescent="0.2">
      <c r="B3652" s="32">
        <v>45900</v>
      </c>
      <c r="C3652" t="s">
        <v>109</v>
      </c>
      <c r="D3652" s="13" t="s">
        <v>633</v>
      </c>
      <c r="E3652" t="s">
        <v>1813</v>
      </c>
      <c r="F3652" s="11">
        <v>2</v>
      </c>
      <c r="G3652" s="11">
        <v>43697.48</v>
      </c>
    </row>
    <row r="3653" spans="2:7" x14ac:dyDescent="0.2">
      <c r="B3653" s="32">
        <v>45900</v>
      </c>
      <c r="C3653" t="s">
        <v>109</v>
      </c>
      <c r="D3653" s="13" t="s">
        <v>633</v>
      </c>
      <c r="E3653" t="s">
        <v>196</v>
      </c>
      <c r="F3653" s="11">
        <v>1</v>
      </c>
      <c r="G3653" s="11">
        <v>42016.81</v>
      </c>
    </row>
    <row r="3654" spans="2:7" x14ac:dyDescent="0.2">
      <c r="B3654" s="32">
        <v>45900</v>
      </c>
      <c r="C3654" t="s">
        <v>109</v>
      </c>
      <c r="D3654" s="13" t="s">
        <v>633</v>
      </c>
      <c r="E3654" t="s">
        <v>193</v>
      </c>
      <c r="F3654" s="11">
        <v>1</v>
      </c>
      <c r="G3654" s="11">
        <v>21848.74</v>
      </c>
    </row>
    <row r="3655" spans="2:7" x14ac:dyDescent="0.2">
      <c r="B3655" s="32">
        <v>45900</v>
      </c>
      <c r="C3655" t="s">
        <v>109</v>
      </c>
      <c r="D3655" s="13" t="s">
        <v>633</v>
      </c>
      <c r="F3655" s="11">
        <v>0</v>
      </c>
      <c r="G3655" s="11">
        <v>0</v>
      </c>
    </row>
    <row r="3656" spans="2:7" x14ac:dyDescent="0.2">
      <c r="B3656" s="32">
        <v>45901</v>
      </c>
      <c r="C3656" t="s">
        <v>142</v>
      </c>
      <c r="D3656" s="13" t="s">
        <v>634</v>
      </c>
      <c r="E3656" t="s">
        <v>1992</v>
      </c>
      <c r="F3656" s="11">
        <v>1</v>
      </c>
      <c r="G3656" s="11">
        <v>126050.42</v>
      </c>
    </row>
    <row r="3657" spans="2:7" x14ac:dyDescent="0.2">
      <c r="B3657" s="32">
        <v>45901</v>
      </c>
      <c r="C3657" t="s">
        <v>142</v>
      </c>
      <c r="D3657" s="13" t="s">
        <v>634</v>
      </c>
      <c r="E3657" t="s">
        <v>154</v>
      </c>
      <c r="F3657" s="11">
        <v>1</v>
      </c>
      <c r="G3657" s="11">
        <v>96638.65</v>
      </c>
    </row>
    <row r="3658" spans="2:7" x14ac:dyDescent="0.2">
      <c r="B3658" s="32">
        <v>45901</v>
      </c>
      <c r="C3658" t="s">
        <v>142</v>
      </c>
      <c r="D3658" s="13" t="s">
        <v>634</v>
      </c>
      <c r="E3658" t="s">
        <v>478</v>
      </c>
      <c r="F3658" s="11">
        <v>1</v>
      </c>
      <c r="G3658" s="11">
        <v>75630.25</v>
      </c>
    </row>
    <row r="3659" spans="2:7" x14ac:dyDescent="0.2">
      <c r="B3659" s="32">
        <v>45901</v>
      </c>
      <c r="C3659" t="s">
        <v>142</v>
      </c>
      <c r="D3659" s="13" t="s">
        <v>634</v>
      </c>
      <c r="E3659" t="s">
        <v>235</v>
      </c>
      <c r="F3659" s="11">
        <v>1</v>
      </c>
      <c r="G3659" s="11">
        <v>58823.53</v>
      </c>
    </row>
    <row r="3660" spans="2:7" x14ac:dyDescent="0.2">
      <c r="B3660" s="32">
        <v>45901</v>
      </c>
      <c r="C3660" t="s">
        <v>142</v>
      </c>
      <c r="D3660" s="13" t="s">
        <v>634</v>
      </c>
      <c r="E3660" t="s">
        <v>705</v>
      </c>
      <c r="F3660" s="11">
        <v>1</v>
      </c>
      <c r="G3660" s="11">
        <v>58823.53</v>
      </c>
    </row>
    <row r="3661" spans="2:7" x14ac:dyDescent="0.2">
      <c r="B3661" s="32">
        <v>45901</v>
      </c>
      <c r="C3661" t="s">
        <v>142</v>
      </c>
      <c r="D3661" s="13" t="s">
        <v>634</v>
      </c>
      <c r="E3661" t="s">
        <v>144</v>
      </c>
      <c r="F3661" s="11">
        <v>1</v>
      </c>
      <c r="G3661" s="11">
        <v>13445.38</v>
      </c>
    </row>
    <row r="3662" spans="2:7" x14ac:dyDescent="0.2">
      <c r="B3662" s="32">
        <v>45901</v>
      </c>
      <c r="C3662" t="s">
        <v>1739</v>
      </c>
      <c r="D3662" s="13" t="s">
        <v>633</v>
      </c>
      <c r="E3662" t="s">
        <v>204</v>
      </c>
      <c r="F3662" s="11">
        <v>2</v>
      </c>
      <c r="G3662" s="11">
        <v>75630.25</v>
      </c>
    </row>
    <row r="3663" spans="2:7" x14ac:dyDescent="0.2">
      <c r="B3663" s="32">
        <v>45901</v>
      </c>
      <c r="C3663" t="s">
        <v>109</v>
      </c>
      <c r="D3663" s="13" t="s">
        <v>634</v>
      </c>
      <c r="E3663" t="s">
        <v>1993</v>
      </c>
      <c r="F3663" s="11">
        <v>1</v>
      </c>
      <c r="G3663" s="11">
        <v>243697.48</v>
      </c>
    </row>
    <row r="3664" spans="2:7" x14ac:dyDescent="0.2">
      <c r="B3664" s="32">
        <v>45901</v>
      </c>
      <c r="C3664" t="s">
        <v>109</v>
      </c>
      <c r="D3664" s="13" t="s">
        <v>634</v>
      </c>
      <c r="E3664" t="s">
        <v>1994</v>
      </c>
      <c r="F3664" s="11">
        <v>1</v>
      </c>
      <c r="G3664" s="11">
        <v>156302.51999999999</v>
      </c>
    </row>
    <row r="3665" spans="2:7" x14ac:dyDescent="0.2">
      <c r="B3665" s="32">
        <v>45901</v>
      </c>
      <c r="C3665" t="s">
        <v>109</v>
      </c>
      <c r="D3665" s="13" t="s">
        <v>634</v>
      </c>
      <c r="E3665" t="s">
        <v>1818</v>
      </c>
      <c r="F3665" s="11">
        <v>2</v>
      </c>
      <c r="G3665" s="11">
        <v>72500.72</v>
      </c>
    </row>
    <row r="3666" spans="2:7" x14ac:dyDescent="0.2">
      <c r="B3666" s="32">
        <v>45901</v>
      </c>
      <c r="C3666" t="s">
        <v>109</v>
      </c>
      <c r="D3666" s="13" t="s">
        <v>634</v>
      </c>
      <c r="E3666" t="s">
        <v>352</v>
      </c>
      <c r="F3666" s="11">
        <v>1</v>
      </c>
      <c r="G3666" s="11">
        <v>71428.570000000007</v>
      </c>
    </row>
    <row r="3667" spans="2:7" x14ac:dyDescent="0.2">
      <c r="B3667" s="32">
        <v>45901</v>
      </c>
      <c r="C3667" t="s">
        <v>109</v>
      </c>
      <c r="D3667" s="13" t="s">
        <v>634</v>
      </c>
      <c r="E3667" t="s">
        <v>475</v>
      </c>
      <c r="F3667" s="11">
        <v>1</v>
      </c>
      <c r="G3667" s="11">
        <v>71428.570000000007</v>
      </c>
    </row>
    <row r="3668" spans="2:7" x14ac:dyDescent="0.2">
      <c r="B3668" s="32">
        <v>45901</v>
      </c>
      <c r="C3668" t="s">
        <v>109</v>
      </c>
      <c r="D3668" s="13" t="s">
        <v>634</v>
      </c>
      <c r="E3668" t="s">
        <v>1988</v>
      </c>
      <c r="F3668" s="11">
        <v>1</v>
      </c>
      <c r="G3668" s="11">
        <v>71428.570000000007</v>
      </c>
    </row>
    <row r="3669" spans="2:7" x14ac:dyDescent="0.2">
      <c r="B3669" s="32">
        <v>45901</v>
      </c>
      <c r="C3669" t="s">
        <v>109</v>
      </c>
      <c r="D3669" s="13" t="s">
        <v>634</v>
      </c>
      <c r="E3669" t="s">
        <v>605</v>
      </c>
      <c r="F3669" s="11">
        <v>1</v>
      </c>
      <c r="G3669" s="11">
        <v>44305.99</v>
      </c>
    </row>
    <row r="3670" spans="2:7" x14ac:dyDescent="0.2">
      <c r="B3670" s="32">
        <v>45901</v>
      </c>
      <c r="C3670" t="s">
        <v>109</v>
      </c>
      <c r="D3670" s="13" t="s">
        <v>634</v>
      </c>
      <c r="E3670" t="s">
        <v>239</v>
      </c>
      <c r="F3670" s="11">
        <v>1</v>
      </c>
      <c r="G3670" s="11">
        <v>44305.99</v>
      </c>
    </row>
    <row r="3671" spans="2:7" x14ac:dyDescent="0.2">
      <c r="B3671" s="32">
        <v>45901</v>
      </c>
      <c r="C3671" t="s">
        <v>109</v>
      </c>
      <c r="D3671" s="13" t="s">
        <v>634</v>
      </c>
      <c r="E3671" t="s">
        <v>168</v>
      </c>
      <c r="F3671" s="11">
        <v>1</v>
      </c>
      <c r="G3671" s="11">
        <v>42016.81</v>
      </c>
    </row>
    <row r="3672" spans="2:7" x14ac:dyDescent="0.2">
      <c r="B3672" s="32">
        <v>45901</v>
      </c>
      <c r="C3672" t="s">
        <v>109</v>
      </c>
      <c r="D3672" s="13" t="s">
        <v>634</v>
      </c>
      <c r="E3672" t="s">
        <v>328</v>
      </c>
      <c r="F3672" s="11">
        <v>1</v>
      </c>
      <c r="G3672" s="11">
        <v>37815.129999999997</v>
      </c>
    </row>
    <row r="3673" spans="2:7" x14ac:dyDescent="0.2">
      <c r="B3673" s="32">
        <v>45901</v>
      </c>
      <c r="C3673" t="s">
        <v>109</v>
      </c>
      <c r="D3673" s="13" t="s">
        <v>634</v>
      </c>
      <c r="E3673" t="s">
        <v>234</v>
      </c>
      <c r="F3673" s="11">
        <v>1</v>
      </c>
      <c r="G3673" s="11">
        <v>36250.370000000003</v>
      </c>
    </row>
    <row r="3674" spans="2:7" x14ac:dyDescent="0.2">
      <c r="B3674" s="32">
        <v>45901</v>
      </c>
      <c r="C3674" t="s">
        <v>109</v>
      </c>
      <c r="D3674" s="13" t="s">
        <v>634</v>
      </c>
      <c r="E3674" t="s">
        <v>144</v>
      </c>
      <c r="F3674" s="11">
        <v>1</v>
      </c>
      <c r="G3674" s="11">
        <v>13865.55</v>
      </c>
    </row>
    <row r="3675" spans="2:7" x14ac:dyDescent="0.2">
      <c r="B3675" s="32">
        <v>45901</v>
      </c>
      <c r="C3675" t="s">
        <v>109</v>
      </c>
      <c r="D3675" s="13" t="s">
        <v>633</v>
      </c>
      <c r="E3675" t="s">
        <v>1890</v>
      </c>
      <c r="F3675" s="11">
        <v>1</v>
      </c>
      <c r="G3675" s="11">
        <v>75630.25</v>
      </c>
    </row>
    <row r="3676" spans="2:7" x14ac:dyDescent="0.2">
      <c r="B3676" s="32">
        <v>45901</v>
      </c>
      <c r="C3676" t="s">
        <v>109</v>
      </c>
      <c r="D3676" s="13" t="s">
        <v>633</v>
      </c>
      <c r="E3676" t="s">
        <v>182</v>
      </c>
      <c r="F3676" s="11">
        <v>4</v>
      </c>
      <c r="G3676" s="11">
        <v>73949.58</v>
      </c>
    </row>
    <row r="3677" spans="2:7" x14ac:dyDescent="0.2">
      <c r="B3677" s="32">
        <v>45901</v>
      </c>
      <c r="C3677" t="s">
        <v>109</v>
      </c>
      <c r="D3677" s="13" t="s">
        <v>633</v>
      </c>
      <c r="E3677" t="s">
        <v>537</v>
      </c>
      <c r="F3677" s="11">
        <v>1</v>
      </c>
      <c r="G3677" s="11">
        <v>58823.53</v>
      </c>
    </row>
    <row r="3678" spans="2:7" x14ac:dyDescent="0.2">
      <c r="B3678" s="32">
        <v>45901</v>
      </c>
      <c r="C3678" t="s">
        <v>109</v>
      </c>
      <c r="D3678" s="13" t="s">
        <v>633</v>
      </c>
      <c r="E3678" t="s">
        <v>346</v>
      </c>
      <c r="F3678" s="11">
        <v>1</v>
      </c>
      <c r="G3678" s="11">
        <v>58823.53</v>
      </c>
    </row>
    <row r="3679" spans="2:7" x14ac:dyDescent="0.2">
      <c r="B3679" s="32">
        <v>45901</v>
      </c>
      <c r="C3679" t="s">
        <v>109</v>
      </c>
      <c r="D3679" s="13" t="s">
        <v>633</v>
      </c>
      <c r="E3679" t="s">
        <v>239</v>
      </c>
      <c r="F3679" s="11">
        <v>1</v>
      </c>
      <c r="G3679" s="11">
        <v>0</v>
      </c>
    </row>
    <row r="3680" spans="2:7" x14ac:dyDescent="0.2">
      <c r="B3680" s="32">
        <v>45902</v>
      </c>
      <c r="C3680" t="s">
        <v>142</v>
      </c>
      <c r="D3680" s="13" t="s">
        <v>634</v>
      </c>
      <c r="E3680" t="s">
        <v>726</v>
      </c>
      <c r="F3680" s="11">
        <v>1</v>
      </c>
      <c r="G3680" s="11">
        <v>130252.1</v>
      </c>
    </row>
    <row r="3681" spans="2:7" x14ac:dyDescent="0.2">
      <c r="B3681" s="32">
        <v>45902</v>
      </c>
      <c r="C3681" t="s">
        <v>142</v>
      </c>
      <c r="D3681" s="13" t="s">
        <v>634</v>
      </c>
      <c r="E3681" t="s">
        <v>440</v>
      </c>
      <c r="F3681" s="11">
        <v>1</v>
      </c>
      <c r="G3681" s="11">
        <v>58823.53</v>
      </c>
    </row>
    <row r="3682" spans="2:7" x14ac:dyDescent="0.2">
      <c r="B3682" s="32">
        <v>45902</v>
      </c>
      <c r="C3682" t="s">
        <v>142</v>
      </c>
      <c r="D3682" s="13" t="s">
        <v>633</v>
      </c>
      <c r="E3682" t="s">
        <v>567</v>
      </c>
      <c r="F3682" s="11">
        <v>5</v>
      </c>
      <c r="G3682" s="11">
        <v>630252.1</v>
      </c>
    </row>
    <row r="3683" spans="2:7" x14ac:dyDescent="0.2">
      <c r="B3683" s="32">
        <v>45902</v>
      </c>
      <c r="C3683" t="s">
        <v>142</v>
      </c>
      <c r="D3683" s="13" t="s">
        <v>633</v>
      </c>
      <c r="E3683" t="s">
        <v>440</v>
      </c>
      <c r="F3683" s="11">
        <v>1</v>
      </c>
      <c r="G3683" s="11">
        <v>58823.53</v>
      </c>
    </row>
    <row r="3684" spans="2:7" x14ac:dyDescent="0.2">
      <c r="B3684" s="32">
        <v>45902</v>
      </c>
      <c r="C3684" t="s">
        <v>142</v>
      </c>
      <c r="D3684" s="13" t="s">
        <v>633</v>
      </c>
      <c r="E3684" t="s">
        <v>1704</v>
      </c>
      <c r="F3684" s="11">
        <v>1</v>
      </c>
      <c r="G3684" s="11">
        <v>54621.85</v>
      </c>
    </row>
    <row r="3685" spans="2:7" x14ac:dyDescent="0.2">
      <c r="B3685" s="32">
        <v>45902</v>
      </c>
      <c r="C3685" t="s">
        <v>109</v>
      </c>
      <c r="D3685" s="13" t="s">
        <v>634</v>
      </c>
      <c r="E3685" t="s">
        <v>1936</v>
      </c>
      <c r="F3685" s="11">
        <v>1</v>
      </c>
      <c r="G3685" s="11">
        <v>155462.18</v>
      </c>
    </row>
    <row r="3686" spans="2:7" x14ac:dyDescent="0.2">
      <c r="B3686" s="32">
        <v>45902</v>
      </c>
      <c r="C3686" t="s">
        <v>109</v>
      </c>
      <c r="D3686" s="13" t="s">
        <v>634</v>
      </c>
      <c r="E3686" t="s">
        <v>345</v>
      </c>
      <c r="F3686" s="11">
        <v>1</v>
      </c>
      <c r="G3686" s="11">
        <v>100840.34</v>
      </c>
    </row>
    <row r="3687" spans="2:7" x14ac:dyDescent="0.2">
      <c r="B3687" s="32">
        <v>45902</v>
      </c>
      <c r="C3687" t="s">
        <v>109</v>
      </c>
      <c r="D3687" s="13" t="s">
        <v>634</v>
      </c>
      <c r="E3687" t="s">
        <v>163</v>
      </c>
      <c r="F3687" s="11">
        <v>1</v>
      </c>
      <c r="G3687" s="11">
        <v>58823.54</v>
      </c>
    </row>
    <row r="3688" spans="2:7" x14ac:dyDescent="0.2">
      <c r="B3688" s="32">
        <v>45902</v>
      </c>
      <c r="C3688" t="s">
        <v>109</v>
      </c>
      <c r="D3688" s="13" t="s">
        <v>634</v>
      </c>
      <c r="E3688" t="s">
        <v>1924</v>
      </c>
      <c r="F3688" s="11">
        <v>1</v>
      </c>
      <c r="G3688" s="11">
        <v>58823.53</v>
      </c>
    </row>
    <row r="3689" spans="2:7" x14ac:dyDescent="0.2">
      <c r="B3689" s="32">
        <v>45902</v>
      </c>
      <c r="C3689" t="s">
        <v>109</v>
      </c>
      <c r="D3689" s="13" t="s">
        <v>634</v>
      </c>
      <c r="E3689" t="s">
        <v>212</v>
      </c>
      <c r="F3689" s="11">
        <v>1</v>
      </c>
      <c r="G3689" s="11">
        <v>54621.85</v>
      </c>
    </row>
    <row r="3690" spans="2:7" x14ac:dyDescent="0.2">
      <c r="B3690" s="32">
        <v>45902</v>
      </c>
      <c r="C3690" t="s">
        <v>109</v>
      </c>
      <c r="D3690" s="13" t="s">
        <v>634</v>
      </c>
      <c r="F3690" s="11">
        <v>2</v>
      </c>
      <c r="G3690" s="11">
        <v>42016.81</v>
      </c>
    </row>
    <row r="3691" spans="2:7" x14ac:dyDescent="0.2">
      <c r="B3691" s="32">
        <v>45902</v>
      </c>
      <c r="C3691" t="s">
        <v>109</v>
      </c>
      <c r="D3691" s="13" t="s">
        <v>634</v>
      </c>
      <c r="E3691" t="s">
        <v>1813</v>
      </c>
      <c r="F3691" s="11">
        <v>1</v>
      </c>
      <c r="G3691" s="11">
        <v>21848.74</v>
      </c>
    </row>
    <row r="3692" spans="2:7" x14ac:dyDescent="0.2">
      <c r="B3692" s="32">
        <v>45902</v>
      </c>
      <c r="C3692" t="s">
        <v>109</v>
      </c>
      <c r="D3692" s="13" t="s">
        <v>633</v>
      </c>
      <c r="E3692" t="s">
        <v>649</v>
      </c>
      <c r="F3692" s="11">
        <v>1</v>
      </c>
      <c r="G3692" s="11">
        <v>180672.27</v>
      </c>
    </row>
    <row r="3693" spans="2:7" x14ac:dyDescent="0.2">
      <c r="B3693" s="32">
        <v>45902</v>
      </c>
      <c r="C3693" t="s">
        <v>109</v>
      </c>
      <c r="D3693" s="13" t="s">
        <v>633</v>
      </c>
      <c r="E3693" t="s">
        <v>181</v>
      </c>
      <c r="F3693" s="11">
        <v>1</v>
      </c>
      <c r="G3693" s="11">
        <v>84033.61</v>
      </c>
    </row>
    <row r="3694" spans="2:7" x14ac:dyDescent="0.2">
      <c r="B3694" s="32">
        <v>45902</v>
      </c>
      <c r="C3694" t="s">
        <v>109</v>
      </c>
      <c r="D3694" s="13" t="s">
        <v>633</v>
      </c>
      <c r="E3694" t="s">
        <v>534</v>
      </c>
      <c r="F3694" s="11">
        <v>1</v>
      </c>
      <c r="G3694" s="11">
        <v>71428.570000000007</v>
      </c>
    </row>
    <row r="3695" spans="2:7" x14ac:dyDescent="0.2">
      <c r="B3695" s="32">
        <v>45902</v>
      </c>
      <c r="C3695" t="s">
        <v>109</v>
      </c>
      <c r="D3695" s="13" t="s">
        <v>633</v>
      </c>
      <c r="E3695" t="s">
        <v>212</v>
      </c>
      <c r="F3695" s="11">
        <v>1</v>
      </c>
      <c r="G3695" s="11">
        <v>54621.85</v>
      </c>
    </row>
    <row r="3696" spans="2:7" x14ac:dyDescent="0.2">
      <c r="B3696" s="32">
        <v>45902</v>
      </c>
      <c r="C3696" t="s">
        <v>109</v>
      </c>
      <c r="D3696" s="13" t="s">
        <v>633</v>
      </c>
      <c r="E3696" t="s">
        <v>258</v>
      </c>
      <c r="F3696" s="11">
        <v>1</v>
      </c>
      <c r="G3696" s="11">
        <v>54621.85</v>
      </c>
    </row>
    <row r="3697" spans="2:7" x14ac:dyDescent="0.2">
      <c r="B3697" s="32">
        <v>45902</v>
      </c>
      <c r="C3697" t="s">
        <v>109</v>
      </c>
      <c r="D3697" s="13" t="s">
        <v>633</v>
      </c>
      <c r="E3697" t="s">
        <v>198</v>
      </c>
      <c r="F3697" s="11">
        <v>1</v>
      </c>
      <c r="G3697" s="11">
        <v>46218.49</v>
      </c>
    </row>
    <row r="3698" spans="2:7" x14ac:dyDescent="0.2">
      <c r="B3698" s="32">
        <v>45902</v>
      </c>
      <c r="C3698" t="s">
        <v>109</v>
      </c>
      <c r="D3698" s="13" t="s">
        <v>633</v>
      </c>
      <c r="E3698" t="s">
        <v>195</v>
      </c>
      <c r="F3698" s="11">
        <v>1</v>
      </c>
      <c r="G3698" s="11">
        <v>46218.49</v>
      </c>
    </row>
    <row r="3699" spans="2:7" x14ac:dyDescent="0.2">
      <c r="B3699" s="32">
        <v>45902</v>
      </c>
      <c r="C3699" t="s">
        <v>109</v>
      </c>
      <c r="D3699" s="13" t="s">
        <v>633</v>
      </c>
      <c r="E3699" t="s">
        <v>234</v>
      </c>
      <c r="F3699" s="11">
        <v>1</v>
      </c>
      <c r="G3699" s="11">
        <v>37815.129999999997</v>
      </c>
    </row>
    <row r="3700" spans="2:7" x14ac:dyDescent="0.2">
      <c r="B3700" s="32">
        <v>45902</v>
      </c>
      <c r="C3700" t="s">
        <v>109</v>
      </c>
      <c r="D3700" s="13" t="s">
        <v>633</v>
      </c>
      <c r="E3700" t="s">
        <v>148</v>
      </c>
      <c r="F3700" s="11">
        <v>1</v>
      </c>
      <c r="G3700" s="11">
        <v>37815.120000000003</v>
      </c>
    </row>
    <row r="3701" spans="2:7" x14ac:dyDescent="0.2">
      <c r="B3701" s="32">
        <v>45902</v>
      </c>
      <c r="C3701" t="s">
        <v>109</v>
      </c>
      <c r="D3701" s="13" t="s">
        <v>633</v>
      </c>
      <c r="E3701" t="s">
        <v>248</v>
      </c>
      <c r="F3701" s="11">
        <v>1</v>
      </c>
      <c r="G3701" s="11">
        <v>21848.74</v>
      </c>
    </row>
    <row r="3702" spans="2:7" x14ac:dyDescent="0.2">
      <c r="B3702" s="32">
        <v>45902</v>
      </c>
      <c r="C3702" t="s">
        <v>109</v>
      </c>
      <c r="D3702" s="13" t="s">
        <v>633</v>
      </c>
      <c r="F3702" s="11">
        <v>3</v>
      </c>
      <c r="G3702" s="11">
        <v>0</v>
      </c>
    </row>
    <row r="3703" spans="2:7" x14ac:dyDescent="0.2">
      <c r="B3703" s="32">
        <v>45903</v>
      </c>
      <c r="C3703" t="s">
        <v>142</v>
      </c>
      <c r="D3703" s="13" t="s">
        <v>634</v>
      </c>
      <c r="E3703" t="s">
        <v>174</v>
      </c>
      <c r="F3703" s="11">
        <v>1</v>
      </c>
      <c r="G3703" s="11">
        <v>75630.25</v>
      </c>
    </row>
    <row r="3704" spans="2:7" x14ac:dyDescent="0.2">
      <c r="B3704" s="32">
        <v>45903</v>
      </c>
      <c r="C3704" t="s">
        <v>142</v>
      </c>
      <c r="D3704" s="13" t="s">
        <v>634</v>
      </c>
      <c r="E3704" t="s">
        <v>813</v>
      </c>
      <c r="F3704" s="11">
        <v>1</v>
      </c>
      <c r="G3704" s="11">
        <v>54621.85</v>
      </c>
    </row>
    <row r="3705" spans="2:7" x14ac:dyDescent="0.2">
      <c r="B3705" s="32">
        <v>45903</v>
      </c>
      <c r="C3705" t="s">
        <v>142</v>
      </c>
      <c r="D3705" s="13" t="s">
        <v>634</v>
      </c>
      <c r="E3705" t="s">
        <v>158</v>
      </c>
      <c r="F3705" s="11">
        <v>1</v>
      </c>
      <c r="G3705" s="11">
        <v>46218.49</v>
      </c>
    </row>
    <row r="3706" spans="2:7" x14ac:dyDescent="0.2">
      <c r="B3706" s="32">
        <v>45903</v>
      </c>
      <c r="C3706" t="s">
        <v>142</v>
      </c>
      <c r="D3706" s="13" t="s">
        <v>634</v>
      </c>
      <c r="E3706" t="s">
        <v>150</v>
      </c>
      <c r="F3706" s="11">
        <v>1</v>
      </c>
      <c r="G3706" s="11">
        <v>42016.81</v>
      </c>
    </row>
    <row r="3707" spans="2:7" x14ac:dyDescent="0.2">
      <c r="B3707" s="32">
        <v>45903</v>
      </c>
      <c r="C3707" t="s">
        <v>142</v>
      </c>
      <c r="D3707" s="13" t="s">
        <v>633</v>
      </c>
      <c r="E3707" t="s">
        <v>1752</v>
      </c>
      <c r="F3707" s="11">
        <v>1</v>
      </c>
      <c r="G3707" s="11">
        <v>100840.34</v>
      </c>
    </row>
    <row r="3708" spans="2:7" x14ac:dyDescent="0.2">
      <c r="B3708" s="32">
        <v>45903</v>
      </c>
      <c r="C3708" t="s">
        <v>142</v>
      </c>
      <c r="D3708" s="13" t="s">
        <v>633</v>
      </c>
      <c r="E3708" t="s">
        <v>167</v>
      </c>
      <c r="F3708" s="11">
        <v>1</v>
      </c>
      <c r="G3708" s="11">
        <v>96638.65</v>
      </c>
    </row>
    <row r="3709" spans="2:7" x14ac:dyDescent="0.2">
      <c r="B3709" s="32">
        <v>45903</v>
      </c>
      <c r="C3709" t="s">
        <v>1739</v>
      </c>
      <c r="D3709" s="13" t="s">
        <v>634</v>
      </c>
      <c r="E3709" t="s">
        <v>439</v>
      </c>
      <c r="F3709" s="11">
        <v>2</v>
      </c>
      <c r="G3709" s="11">
        <v>205160.18</v>
      </c>
    </row>
    <row r="3710" spans="2:7" x14ac:dyDescent="0.2">
      <c r="B3710" s="32">
        <v>45903</v>
      </c>
      <c r="C3710" t="s">
        <v>1739</v>
      </c>
      <c r="D3710" s="13" t="s">
        <v>634</v>
      </c>
      <c r="E3710" t="s">
        <v>325</v>
      </c>
      <c r="F3710" s="11">
        <v>1</v>
      </c>
      <c r="G3710" s="11">
        <v>82064.08</v>
      </c>
    </row>
    <row r="3711" spans="2:7" x14ac:dyDescent="0.2">
      <c r="B3711" s="32">
        <v>45903</v>
      </c>
      <c r="C3711" t="s">
        <v>1739</v>
      </c>
      <c r="D3711" s="13" t="s">
        <v>634</v>
      </c>
      <c r="E3711" t="s">
        <v>709</v>
      </c>
      <c r="F3711" s="11">
        <v>1</v>
      </c>
      <c r="G3711" s="11">
        <v>57444.86</v>
      </c>
    </row>
    <row r="3712" spans="2:7" x14ac:dyDescent="0.2">
      <c r="B3712" s="32">
        <v>45903</v>
      </c>
      <c r="C3712" t="s">
        <v>1739</v>
      </c>
      <c r="D3712" s="13" t="s">
        <v>633</v>
      </c>
      <c r="E3712" t="s">
        <v>146</v>
      </c>
      <c r="F3712" s="11">
        <v>1</v>
      </c>
      <c r="G3712" s="11">
        <v>46218.49</v>
      </c>
    </row>
    <row r="3713" spans="2:7" x14ac:dyDescent="0.2">
      <c r="B3713" s="32">
        <v>45903</v>
      </c>
      <c r="C3713" t="s">
        <v>109</v>
      </c>
      <c r="D3713" s="13" t="s">
        <v>634</v>
      </c>
      <c r="E3713" t="s">
        <v>216</v>
      </c>
      <c r="F3713" s="11">
        <v>1</v>
      </c>
      <c r="G3713" s="11">
        <v>115000</v>
      </c>
    </row>
    <row r="3714" spans="2:7" x14ac:dyDescent="0.2">
      <c r="B3714" s="32">
        <v>45903</v>
      </c>
      <c r="C3714" t="s">
        <v>109</v>
      </c>
      <c r="D3714" s="13" t="s">
        <v>634</v>
      </c>
      <c r="E3714" t="s">
        <v>1900</v>
      </c>
      <c r="F3714" s="11">
        <v>1</v>
      </c>
      <c r="G3714" s="11">
        <v>75630.25</v>
      </c>
    </row>
    <row r="3715" spans="2:7" x14ac:dyDescent="0.2">
      <c r="B3715" s="32">
        <v>45903</v>
      </c>
      <c r="C3715" t="s">
        <v>109</v>
      </c>
      <c r="D3715" s="13" t="s">
        <v>634</v>
      </c>
      <c r="E3715" t="s">
        <v>698</v>
      </c>
      <c r="F3715" s="11">
        <v>1</v>
      </c>
      <c r="G3715" s="11">
        <v>75630.25</v>
      </c>
    </row>
    <row r="3716" spans="2:7" x14ac:dyDescent="0.2">
      <c r="B3716" s="32">
        <v>45903</v>
      </c>
      <c r="C3716" t="s">
        <v>109</v>
      </c>
      <c r="D3716" s="13" t="s">
        <v>634</v>
      </c>
      <c r="E3716" t="s">
        <v>553</v>
      </c>
      <c r="F3716" s="11">
        <v>1</v>
      </c>
      <c r="G3716" s="11">
        <v>58823.53</v>
      </c>
    </row>
    <row r="3717" spans="2:7" x14ac:dyDescent="0.2">
      <c r="B3717" s="32">
        <v>45903</v>
      </c>
      <c r="C3717" t="s">
        <v>109</v>
      </c>
      <c r="D3717" s="13" t="s">
        <v>634</v>
      </c>
      <c r="E3717" t="s">
        <v>263</v>
      </c>
      <c r="F3717" s="11">
        <v>1</v>
      </c>
      <c r="G3717" s="11">
        <v>21848.74</v>
      </c>
    </row>
    <row r="3718" spans="2:7" x14ac:dyDescent="0.2">
      <c r="B3718" s="32">
        <v>45903</v>
      </c>
      <c r="C3718" t="s">
        <v>109</v>
      </c>
      <c r="D3718" s="13" t="s">
        <v>633</v>
      </c>
      <c r="E3718" t="s">
        <v>336</v>
      </c>
      <c r="F3718" s="11">
        <v>1</v>
      </c>
      <c r="G3718" s="11">
        <v>71428.570000000007</v>
      </c>
    </row>
    <row r="3719" spans="2:7" x14ac:dyDescent="0.2">
      <c r="B3719" s="32">
        <v>45903</v>
      </c>
      <c r="C3719" t="s">
        <v>109</v>
      </c>
      <c r="D3719" s="13" t="s">
        <v>633</v>
      </c>
      <c r="E3719" t="s">
        <v>170</v>
      </c>
      <c r="F3719" s="11">
        <v>1</v>
      </c>
      <c r="G3719" s="11">
        <v>46218.49</v>
      </c>
    </row>
    <row r="3720" spans="2:7" x14ac:dyDescent="0.2">
      <c r="B3720" s="32">
        <v>45903</v>
      </c>
      <c r="C3720" t="s">
        <v>109</v>
      </c>
      <c r="D3720" s="13" t="s">
        <v>633</v>
      </c>
      <c r="E3720" t="s">
        <v>560</v>
      </c>
      <c r="F3720" s="11">
        <v>1</v>
      </c>
      <c r="G3720" s="11">
        <v>46218.48</v>
      </c>
    </row>
    <row r="3721" spans="2:7" x14ac:dyDescent="0.2">
      <c r="B3721" s="32">
        <v>45903</v>
      </c>
      <c r="C3721" t="s">
        <v>109</v>
      </c>
      <c r="D3721" s="13" t="s">
        <v>633</v>
      </c>
      <c r="E3721" t="s">
        <v>330</v>
      </c>
      <c r="F3721" s="11">
        <v>1</v>
      </c>
      <c r="G3721" s="11">
        <v>37815.129999999997</v>
      </c>
    </row>
    <row r="3722" spans="2:7" x14ac:dyDescent="0.2">
      <c r="B3722" s="32">
        <v>45903</v>
      </c>
      <c r="C3722" t="s">
        <v>109</v>
      </c>
      <c r="D3722" s="13" t="s">
        <v>633</v>
      </c>
      <c r="E3722" t="s">
        <v>328</v>
      </c>
      <c r="F3722" s="11">
        <v>1</v>
      </c>
      <c r="G3722" s="11">
        <v>37815.120000000003</v>
      </c>
    </row>
    <row r="3723" spans="2:7" x14ac:dyDescent="0.2">
      <c r="B3723" s="32">
        <v>45904</v>
      </c>
      <c r="C3723" t="s">
        <v>142</v>
      </c>
      <c r="D3723" s="13" t="s">
        <v>634</v>
      </c>
      <c r="E3723" t="s">
        <v>1756</v>
      </c>
      <c r="F3723" s="11">
        <v>2</v>
      </c>
      <c r="G3723" s="11">
        <v>463473.73</v>
      </c>
    </row>
    <row r="3724" spans="2:7" x14ac:dyDescent="0.2">
      <c r="B3724" s="32">
        <v>45904</v>
      </c>
      <c r="C3724" t="s">
        <v>142</v>
      </c>
      <c r="D3724" s="13" t="s">
        <v>634</v>
      </c>
      <c r="E3724" t="s">
        <v>366</v>
      </c>
      <c r="F3724" s="11">
        <v>2</v>
      </c>
      <c r="G3724" s="11">
        <v>117647.06</v>
      </c>
    </row>
    <row r="3725" spans="2:7" x14ac:dyDescent="0.2">
      <c r="B3725" s="32">
        <v>45904</v>
      </c>
      <c r="C3725" t="s">
        <v>142</v>
      </c>
      <c r="D3725" s="13" t="s">
        <v>634</v>
      </c>
      <c r="E3725" t="s">
        <v>148</v>
      </c>
      <c r="F3725" s="11">
        <v>3</v>
      </c>
      <c r="G3725" s="11">
        <v>107877.5</v>
      </c>
    </row>
    <row r="3726" spans="2:7" x14ac:dyDescent="0.2">
      <c r="B3726" s="32">
        <v>45904</v>
      </c>
      <c r="C3726" t="s">
        <v>142</v>
      </c>
      <c r="D3726" s="13" t="s">
        <v>634</v>
      </c>
      <c r="E3726" t="s">
        <v>420</v>
      </c>
      <c r="F3726" s="11">
        <v>1</v>
      </c>
      <c r="G3726" s="11">
        <v>96638.66</v>
      </c>
    </row>
    <row r="3727" spans="2:7" x14ac:dyDescent="0.2">
      <c r="B3727" s="32">
        <v>45904</v>
      </c>
      <c r="C3727" t="s">
        <v>142</v>
      </c>
      <c r="D3727" s="13" t="s">
        <v>634</v>
      </c>
      <c r="E3727" t="s">
        <v>194</v>
      </c>
      <c r="F3727" s="11">
        <v>1</v>
      </c>
      <c r="G3727" s="11">
        <v>96638.66</v>
      </c>
    </row>
    <row r="3728" spans="2:7" x14ac:dyDescent="0.2">
      <c r="B3728" s="32">
        <v>45904</v>
      </c>
      <c r="C3728" t="s">
        <v>142</v>
      </c>
      <c r="D3728" s="13" t="s">
        <v>634</v>
      </c>
      <c r="E3728" t="s">
        <v>1749</v>
      </c>
      <c r="F3728" s="11">
        <v>2</v>
      </c>
      <c r="G3728" s="11">
        <v>92436.98</v>
      </c>
    </row>
    <row r="3729" spans="2:7" x14ac:dyDescent="0.2">
      <c r="B3729" s="32">
        <v>45904</v>
      </c>
      <c r="C3729" t="s">
        <v>142</v>
      </c>
      <c r="D3729" s="13" t="s">
        <v>634</v>
      </c>
      <c r="E3729" t="s">
        <v>229</v>
      </c>
      <c r="F3729" s="11">
        <v>2</v>
      </c>
      <c r="G3729" s="11">
        <v>79909.27</v>
      </c>
    </row>
    <row r="3730" spans="2:7" x14ac:dyDescent="0.2">
      <c r="B3730" s="32">
        <v>45904</v>
      </c>
      <c r="C3730" t="s">
        <v>142</v>
      </c>
      <c r="D3730" s="13" t="s">
        <v>634</v>
      </c>
      <c r="E3730" t="s">
        <v>1995</v>
      </c>
      <c r="F3730" s="11">
        <v>1</v>
      </c>
      <c r="G3730" s="11">
        <v>79831.929999999993</v>
      </c>
    </row>
    <row r="3731" spans="2:7" x14ac:dyDescent="0.2">
      <c r="B3731" s="32">
        <v>45904</v>
      </c>
      <c r="C3731" t="s">
        <v>142</v>
      </c>
      <c r="D3731" s="13" t="s">
        <v>634</v>
      </c>
      <c r="E3731" t="s">
        <v>276</v>
      </c>
      <c r="F3731" s="11">
        <v>1</v>
      </c>
      <c r="G3731" s="11">
        <v>58823.53</v>
      </c>
    </row>
    <row r="3732" spans="2:7" x14ac:dyDescent="0.2">
      <c r="B3732" s="32">
        <v>45904</v>
      </c>
      <c r="C3732" t="s">
        <v>142</v>
      </c>
      <c r="D3732" s="13" t="s">
        <v>634</v>
      </c>
      <c r="E3732" t="s">
        <v>163</v>
      </c>
      <c r="F3732" s="11">
        <v>1</v>
      </c>
      <c r="G3732" s="11">
        <v>58823.53</v>
      </c>
    </row>
    <row r="3733" spans="2:7" x14ac:dyDescent="0.2">
      <c r="B3733" s="32">
        <v>45904</v>
      </c>
      <c r="C3733" t="s">
        <v>142</v>
      </c>
      <c r="D3733" s="13" t="s">
        <v>634</v>
      </c>
      <c r="E3733" t="s">
        <v>653</v>
      </c>
      <c r="F3733" s="11">
        <v>1</v>
      </c>
      <c r="G3733" s="11">
        <v>58823.53</v>
      </c>
    </row>
    <row r="3734" spans="2:7" x14ac:dyDescent="0.2">
      <c r="B3734" s="32">
        <v>45904</v>
      </c>
      <c r="C3734" t="s">
        <v>142</v>
      </c>
      <c r="D3734" s="13" t="s">
        <v>634</v>
      </c>
      <c r="E3734" t="s">
        <v>441</v>
      </c>
      <c r="F3734" s="11">
        <v>2</v>
      </c>
      <c r="G3734" s="11">
        <v>58823.519999999997</v>
      </c>
    </row>
    <row r="3735" spans="2:7" x14ac:dyDescent="0.2">
      <c r="B3735" s="32">
        <v>45904</v>
      </c>
      <c r="C3735" t="s">
        <v>142</v>
      </c>
      <c r="D3735" s="13" t="s">
        <v>633</v>
      </c>
      <c r="E3735" t="s">
        <v>1893</v>
      </c>
      <c r="F3735" s="11">
        <v>8</v>
      </c>
      <c r="G3735" s="11">
        <v>1015966.39</v>
      </c>
    </row>
    <row r="3736" spans="2:7" x14ac:dyDescent="0.2">
      <c r="B3736" s="32">
        <v>45904</v>
      </c>
      <c r="C3736" t="s">
        <v>142</v>
      </c>
      <c r="D3736" s="13" t="s">
        <v>633</v>
      </c>
      <c r="E3736" t="s">
        <v>1996</v>
      </c>
      <c r="F3736" s="11">
        <v>1</v>
      </c>
      <c r="G3736" s="11">
        <v>151260.5</v>
      </c>
    </row>
    <row r="3737" spans="2:7" x14ac:dyDescent="0.2">
      <c r="B3737" s="32">
        <v>45904</v>
      </c>
      <c r="C3737" t="s">
        <v>142</v>
      </c>
      <c r="D3737" s="13" t="s">
        <v>633</v>
      </c>
      <c r="E3737" t="s">
        <v>710</v>
      </c>
      <c r="F3737" s="11">
        <v>1</v>
      </c>
      <c r="G3737" s="11">
        <v>107563.03</v>
      </c>
    </row>
    <row r="3738" spans="2:7" x14ac:dyDescent="0.2">
      <c r="B3738" s="32">
        <v>45904</v>
      </c>
      <c r="C3738" t="s">
        <v>142</v>
      </c>
      <c r="D3738" s="13" t="s">
        <v>633</v>
      </c>
      <c r="E3738" t="s">
        <v>793</v>
      </c>
      <c r="F3738" s="11">
        <v>1</v>
      </c>
      <c r="G3738" s="11">
        <v>46218.48</v>
      </c>
    </row>
    <row r="3739" spans="2:7" x14ac:dyDescent="0.2">
      <c r="B3739" s="32">
        <v>45904</v>
      </c>
      <c r="C3739" t="s">
        <v>142</v>
      </c>
      <c r="D3739" s="13" t="s">
        <v>633</v>
      </c>
      <c r="E3739" t="s">
        <v>831</v>
      </c>
      <c r="F3739" s="11">
        <v>1</v>
      </c>
      <c r="G3739" s="11">
        <v>0.84</v>
      </c>
    </row>
    <row r="3740" spans="2:7" x14ac:dyDescent="0.2">
      <c r="B3740" s="32">
        <v>45904</v>
      </c>
      <c r="C3740" t="s">
        <v>110</v>
      </c>
      <c r="D3740" s="13" t="s">
        <v>633</v>
      </c>
      <c r="E3740" t="s">
        <v>212</v>
      </c>
      <c r="F3740" s="11">
        <v>1</v>
      </c>
      <c r="G3740" s="11">
        <v>54621.85</v>
      </c>
    </row>
    <row r="3741" spans="2:7" x14ac:dyDescent="0.2">
      <c r="B3741" s="32">
        <v>45904</v>
      </c>
      <c r="C3741" t="s">
        <v>110</v>
      </c>
      <c r="D3741" s="13" t="s">
        <v>633</v>
      </c>
      <c r="E3741" t="s">
        <v>153</v>
      </c>
      <c r="F3741" s="11">
        <v>1</v>
      </c>
      <c r="G3741" s="11">
        <v>42016.81</v>
      </c>
    </row>
    <row r="3742" spans="2:7" x14ac:dyDescent="0.2">
      <c r="B3742" s="32">
        <v>45904</v>
      </c>
      <c r="C3742" t="s">
        <v>1739</v>
      </c>
      <c r="D3742" s="13" t="s">
        <v>633</v>
      </c>
      <c r="E3742" t="s">
        <v>1834</v>
      </c>
      <c r="F3742" s="11">
        <v>1</v>
      </c>
      <c r="G3742" s="11">
        <v>42016.81</v>
      </c>
    </row>
    <row r="3743" spans="2:7" x14ac:dyDescent="0.2">
      <c r="B3743" s="32">
        <v>45904</v>
      </c>
      <c r="C3743" t="s">
        <v>1739</v>
      </c>
      <c r="D3743" s="13" t="s">
        <v>633</v>
      </c>
      <c r="E3743" t="s">
        <v>246</v>
      </c>
      <c r="F3743" s="11">
        <v>1</v>
      </c>
      <c r="G3743" s="11">
        <v>42016.81</v>
      </c>
    </row>
    <row r="3744" spans="2:7" x14ac:dyDescent="0.2">
      <c r="B3744" s="32">
        <v>45904</v>
      </c>
      <c r="C3744" t="s">
        <v>109</v>
      </c>
      <c r="D3744" s="13" t="s">
        <v>634</v>
      </c>
      <c r="E3744" t="s">
        <v>1873</v>
      </c>
      <c r="F3744" s="11">
        <v>5</v>
      </c>
      <c r="G3744" s="11">
        <v>962184.88</v>
      </c>
    </row>
    <row r="3745" spans="2:7" x14ac:dyDescent="0.2">
      <c r="B3745" s="32">
        <v>45904</v>
      </c>
      <c r="C3745" t="s">
        <v>109</v>
      </c>
      <c r="D3745" s="13" t="s">
        <v>634</v>
      </c>
      <c r="F3745" s="11">
        <v>2</v>
      </c>
      <c r="G3745" s="11">
        <v>163865.54999999999</v>
      </c>
    </row>
    <row r="3746" spans="2:7" x14ac:dyDescent="0.2">
      <c r="B3746" s="32">
        <v>45904</v>
      </c>
      <c r="C3746" t="s">
        <v>109</v>
      </c>
      <c r="D3746" s="13" t="s">
        <v>634</v>
      </c>
      <c r="E3746" t="s">
        <v>635</v>
      </c>
      <c r="F3746" s="11">
        <v>50</v>
      </c>
      <c r="G3746" s="11">
        <v>147058.82</v>
      </c>
    </row>
    <row r="3747" spans="2:7" x14ac:dyDescent="0.2">
      <c r="B3747" s="32">
        <v>45904</v>
      </c>
      <c r="C3747" t="s">
        <v>109</v>
      </c>
      <c r="D3747" s="13" t="s">
        <v>634</v>
      </c>
      <c r="E3747" t="s">
        <v>376</v>
      </c>
      <c r="F3747" s="11">
        <v>1</v>
      </c>
      <c r="G3747" s="11">
        <v>84033.61</v>
      </c>
    </row>
    <row r="3748" spans="2:7" x14ac:dyDescent="0.2">
      <c r="B3748" s="32">
        <v>45904</v>
      </c>
      <c r="C3748" t="s">
        <v>109</v>
      </c>
      <c r="D3748" s="13" t="s">
        <v>634</v>
      </c>
      <c r="E3748" t="s">
        <v>184</v>
      </c>
      <c r="F3748" s="11">
        <v>1</v>
      </c>
      <c r="G3748" s="11">
        <v>84033.61</v>
      </c>
    </row>
    <row r="3749" spans="2:7" x14ac:dyDescent="0.2">
      <c r="B3749" s="32">
        <v>45904</v>
      </c>
      <c r="C3749" t="s">
        <v>109</v>
      </c>
      <c r="D3749" s="13" t="s">
        <v>634</v>
      </c>
      <c r="E3749" t="s">
        <v>148</v>
      </c>
      <c r="F3749" s="11">
        <v>2</v>
      </c>
      <c r="G3749" s="11">
        <v>75630.259999999995</v>
      </c>
    </row>
    <row r="3750" spans="2:7" x14ac:dyDescent="0.2">
      <c r="B3750" s="32">
        <v>45904</v>
      </c>
      <c r="C3750" t="s">
        <v>109</v>
      </c>
      <c r="D3750" s="13" t="s">
        <v>634</v>
      </c>
      <c r="E3750" t="s">
        <v>192</v>
      </c>
      <c r="F3750" s="11">
        <v>1</v>
      </c>
      <c r="G3750" s="11">
        <v>71428.570000000007</v>
      </c>
    </row>
    <row r="3751" spans="2:7" x14ac:dyDescent="0.2">
      <c r="B3751" s="32">
        <v>45904</v>
      </c>
      <c r="C3751" t="s">
        <v>109</v>
      </c>
      <c r="D3751" s="13" t="s">
        <v>634</v>
      </c>
      <c r="E3751" t="s">
        <v>1896</v>
      </c>
      <c r="F3751" s="11">
        <v>1</v>
      </c>
      <c r="G3751" s="11">
        <v>46218.49</v>
      </c>
    </row>
    <row r="3752" spans="2:7" x14ac:dyDescent="0.2">
      <c r="B3752" s="32">
        <v>45904</v>
      </c>
      <c r="C3752" t="s">
        <v>109</v>
      </c>
      <c r="D3752" s="13" t="s">
        <v>634</v>
      </c>
      <c r="E3752" t="s">
        <v>293</v>
      </c>
      <c r="F3752" s="11">
        <v>1</v>
      </c>
      <c r="G3752" s="11">
        <v>37815.120000000003</v>
      </c>
    </row>
    <row r="3753" spans="2:7" x14ac:dyDescent="0.2">
      <c r="B3753" s="32">
        <v>45904</v>
      </c>
      <c r="C3753" t="s">
        <v>109</v>
      </c>
      <c r="D3753" s="13" t="s">
        <v>634</v>
      </c>
      <c r="E3753" t="s">
        <v>263</v>
      </c>
      <c r="F3753" s="11">
        <v>1</v>
      </c>
      <c r="G3753" s="11">
        <v>21848.74</v>
      </c>
    </row>
    <row r="3754" spans="2:7" x14ac:dyDescent="0.2">
      <c r="B3754" s="32">
        <v>45904</v>
      </c>
      <c r="C3754" t="s">
        <v>109</v>
      </c>
      <c r="D3754" s="13" t="s">
        <v>634</v>
      </c>
      <c r="E3754" t="s">
        <v>144</v>
      </c>
      <c r="F3754" s="11">
        <v>2</v>
      </c>
      <c r="G3754" s="11">
        <v>21428.57</v>
      </c>
    </row>
    <row r="3755" spans="2:7" x14ac:dyDescent="0.2">
      <c r="B3755" s="32">
        <v>45904</v>
      </c>
      <c r="C3755" t="s">
        <v>109</v>
      </c>
      <c r="D3755" s="13" t="s">
        <v>634</v>
      </c>
      <c r="E3755" t="s">
        <v>201</v>
      </c>
      <c r="F3755" s="11">
        <v>5</v>
      </c>
      <c r="G3755" s="11">
        <v>0</v>
      </c>
    </row>
    <row r="3756" spans="2:7" x14ac:dyDescent="0.2">
      <c r="B3756" s="32">
        <v>45904</v>
      </c>
      <c r="C3756" t="s">
        <v>109</v>
      </c>
      <c r="D3756" s="13" t="s">
        <v>633</v>
      </c>
      <c r="E3756" t="s">
        <v>681</v>
      </c>
      <c r="F3756" s="11">
        <v>1</v>
      </c>
      <c r="G3756" s="11">
        <v>75630.25</v>
      </c>
    </row>
    <row r="3757" spans="2:7" x14ac:dyDescent="0.2">
      <c r="B3757" s="32">
        <v>45904</v>
      </c>
      <c r="C3757" t="s">
        <v>109</v>
      </c>
      <c r="D3757" s="13" t="s">
        <v>633</v>
      </c>
      <c r="E3757" t="s">
        <v>649</v>
      </c>
      <c r="F3757" s="11">
        <v>1</v>
      </c>
      <c r="G3757" s="11">
        <v>33531.07</v>
      </c>
    </row>
    <row r="3758" spans="2:7" x14ac:dyDescent="0.2">
      <c r="B3758" s="32">
        <v>45905</v>
      </c>
      <c r="C3758" t="s">
        <v>142</v>
      </c>
      <c r="D3758" s="13" t="s">
        <v>634</v>
      </c>
      <c r="E3758" t="s">
        <v>1997</v>
      </c>
      <c r="F3758" s="11">
        <v>1</v>
      </c>
      <c r="G3758" s="11">
        <v>226890.76</v>
      </c>
    </row>
    <row r="3759" spans="2:7" x14ac:dyDescent="0.2">
      <c r="B3759" s="32">
        <v>45905</v>
      </c>
      <c r="C3759" t="s">
        <v>142</v>
      </c>
      <c r="D3759" s="13" t="s">
        <v>634</v>
      </c>
      <c r="E3759" t="s">
        <v>661</v>
      </c>
      <c r="F3759" s="11">
        <v>1</v>
      </c>
      <c r="G3759" s="11">
        <v>126050.42</v>
      </c>
    </row>
    <row r="3760" spans="2:7" x14ac:dyDescent="0.2">
      <c r="B3760" s="32">
        <v>45905</v>
      </c>
      <c r="C3760" t="s">
        <v>142</v>
      </c>
      <c r="D3760" s="13" t="s">
        <v>634</v>
      </c>
      <c r="E3760" t="s">
        <v>641</v>
      </c>
      <c r="F3760" s="11">
        <v>1</v>
      </c>
      <c r="G3760" s="11">
        <v>54621.85</v>
      </c>
    </row>
    <row r="3761" spans="2:7" x14ac:dyDescent="0.2">
      <c r="B3761" s="32">
        <v>45905</v>
      </c>
      <c r="C3761" t="s">
        <v>142</v>
      </c>
      <c r="D3761" s="13" t="s">
        <v>634</v>
      </c>
      <c r="E3761" t="s">
        <v>229</v>
      </c>
      <c r="F3761" s="11">
        <v>1</v>
      </c>
      <c r="G3761" s="11">
        <v>42016.800000000003</v>
      </c>
    </row>
    <row r="3762" spans="2:7" x14ac:dyDescent="0.2">
      <c r="B3762" s="32">
        <v>45905</v>
      </c>
      <c r="C3762" t="s">
        <v>142</v>
      </c>
      <c r="D3762" s="13" t="s">
        <v>633</v>
      </c>
      <c r="E3762" t="s">
        <v>479</v>
      </c>
      <c r="F3762" s="11">
        <v>1</v>
      </c>
      <c r="G3762" s="11">
        <v>58823.53</v>
      </c>
    </row>
    <row r="3763" spans="2:7" x14ac:dyDescent="0.2">
      <c r="B3763" s="32">
        <v>45905</v>
      </c>
      <c r="C3763" t="s">
        <v>1739</v>
      </c>
      <c r="D3763" s="13" t="s">
        <v>633</v>
      </c>
      <c r="E3763" t="s">
        <v>602</v>
      </c>
      <c r="F3763" s="11">
        <v>1</v>
      </c>
      <c r="G3763" s="11">
        <v>100840.34</v>
      </c>
    </row>
    <row r="3764" spans="2:7" x14ac:dyDescent="0.2">
      <c r="B3764" s="32">
        <v>45905</v>
      </c>
      <c r="C3764" t="s">
        <v>1739</v>
      </c>
      <c r="D3764" s="13" t="s">
        <v>633</v>
      </c>
      <c r="E3764" t="s">
        <v>258</v>
      </c>
      <c r="F3764" s="11">
        <v>1</v>
      </c>
      <c r="G3764" s="11">
        <v>54621.85</v>
      </c>
    </row>
    <row r="3765" spans="2:7" x14ac:dyDescent="0.2">
      <c r="B3765" s="32">
        <v>45905</v>
      </c>
      <c r="C3765" t="s">
        <v>109</v>
      </c>
      <c r="D3765" s="13" t="s">
        <v>634</v>
      </c>
      <c r="E3765" t="s">
        <v>1873</v>
      </c>
      <c r="F3765" s="11">
        <v>9</v>
      </c>
      <c r="G3765" s="11">
        <v>1461663.01</v>
      </c>
    </row>
    <row r="3766" spans="2:7" x14ac:dyDescent="0.2">
      <c r="B3766" s="32">
        <v>45905</v>
      </c>
      <c r="C3766" t="s">
        <v>109</v>
      </c>
      <c r="D3766" s="13" t="s">
        <v>634</v>
      </c>
      <c r="E3766" t="s">
        <v>635</v>
      </c>
      <c r="F3766" s="11">
        <v>90</v>
      </c>
      <c r="G3766" s="11">
        <v>223398.27</v>
      </c>
    </row>
    <row r="3767" spans="2:7" x14ac:dyDescent="0.2">
      <c r="B3767" s="32">
        <v>45905</v>
      </c>
      <c r="C3767" t="s">
        <v>109</v>
      </c>
      <c r="D3767" s="13" t="s">
        <v>634</v>
      </c>
      <c r="E3767" t="s">
        <v>201</v>
      </c>
      <c r="F3767" s="11">
        <v>9</v>
      </c>
      <c r="G3767" s="11">
        <v>191484.24</v>
      </c>
    </row>
    <row r="3768" spans="2:7" x14ac:dyDescent="0.2">
      <c r="B3768" s="32">
        <v>45905</v>
      </c>
      <c r="C3768" t="s">
        <v>109</v>
      </c>
      <c r="D3768" s="13" t="s">
        <v>634</v>
      </c>
      <c r="E3768" t="s">
        <v>313</v>
      </c>
      <c r="F3768" s="11">
        <v>1</v>
      </c>
      <c r="G3768" s="11">
        <v>96638.66</v>
      </c>
    </row>
    <row r="3769" spans="2:7" x14ac:dyDescent="0.2">
      <c r="B3769" s="32">
        <v>45905</v>
      </c>
      <c r="C3769" t="s">
        <v>109</v>
      </c>
      <c r="D3769" s="13" t="s">
        <v>634</v>
      </c>
      <c r="E3769" t="s">
        <v>184</v>
      </c>
      <c r="F3769" s="11">
        <v>1</v>
      </c>
      <c r="G3769" s="11">
        <v>70920.08</v>
      </c>
    </row>
    <row r="3770" spans="2:7" x14ac:dyDescent="0.2">
      <c r="B3770" s="32">
        <v>45905</v>
      </c>
      <c r="C3770" t="s">
        <v>109</v>
      </c>
      <c r="D3770" s="13" t="s">
        <v>634</v>
      </c>
      <c r="E3770" t="s">
        <v>1802</v>
      </c>
      <c r="F3770" s="11">
        <v>1</v>
      </c>
      <c r="G3770" s="11">
        <v>56736.08</v>
      </c>
    </row>
    <row r="3771" spans="2:7" x14ac:dyDescent="0.2">
      <c r="B3771" s="32">
        <v>45905</v>
      </c>
      <c r="C3771" t="s">
        <v>109</v>
      </c>
      <c r="D3771" s="13" t="s">
        <v>633</v>
      </c>
      <c r="E3771" t="s">
        <v>710</v>
      </c>
      <c r="F3771" s="11">
        <v>1</v>
      </c>
      <c r="G3771" s="11">
        <v>166386.56</v>
      </c>
    </row>
    <row r="3772" spans="2:7" x14ac:dyDescent="0.2">
      <c r="B3772" s="32">
        <v>45905</v>
      </c>
      <c r="C3772" t="s">
        <v>109</v>
      </c>
      <c r="D3772" s="13" t="s">
        <v>633</v>
      </c>
      <c r="E3772" t="s">
        <v>1998</v>
      </c>
      <c r="F3772" s="11">
        <v>3</v>
      </c>
      <c r="G3772" s="11">
        <v>78151.259999999995</v>
      </c>
    </row>
    <row r="3773" spans="2:7" x14ac:dyDescent="0.2">
      <c r="B3773" s="32">
        <v>45905</v>
      </c>
      <c r="C3773" t="s">
        <v>109</v>
      </c>
      <c r="D3773" s="13" t="s">
        <v>633</v>
      </c>
      <c r="E3773" t="s">
        <v>168</v>
      </c>
      <c r="F3773" s="11">
        <v>1</v>
      </c>
      <c r="G3773" s="11">
        <v>42016.81</v>
      </c>
    </row>
    <row r="3774" spans="2:7" x14ac:dyDescent="0.2">
      <c r="B3774" s="32">
        <v>45905</v>
      </c>
      <c r="C3774" t="s">
        <v>109</v>
      </c>
      <c r="D3774" s="13" t="s">
        <v>633</v>
      </c>
      <c r="E3774" t="s">
        <v>156</v>
      </c>
      <c r="F3774" s="11">
        <v>1</v>
      </c>
      <c r="G3774" s="11">
        <v>42016.81</v>
      </c>
    </row>
    <row r="3775" spans="2:7" x14ac:dyDescent="0.2">
      <c r="B3775" s="32">
        <v>45905</v>
      </c>
      <c r="C3775" t="s">
        <v>109</v>
      </c>
      <c r="D3775" s="13" t="s">
        <v>633</v>
      </c>
      <c r="E3775" t="s">
        <v>173</v>
      </c>
      <c r="F3775" s="11">
        <v>1</v>
      </c>
      <c r="G3775" s="11">
        <v>37815.129999999997</v>
      </c>
    </row>
    <row r="3776" spans="2:7" x14ac:dyDescent="0.2">
      <c r="B3776" s="32">
        <v>45905</v>
      </c>
      <c r="C3776" t="s">
        <v>109</v>
      </c>
      <c r="D3776" s="13" t="s">
        <v>633</v>
      </c>
      <c r="E3776" t="s">
        <v>148</v>
      </c>
      <c r="F3776" s="11">
        <v>1</v>
      </c>
      <c r="G3776" s="11">
        <v>37815.120000000003</v>
      </c>
    </row>
    <row r="3777" spans="2:7" x14ac:dyDescent="0.2">
      <c r="B3777" s="32">
        <v>45905</v>
      </c>
      <c r="C3777" t="s">
        <v>109</v>
      </c>
      <c r="D3777" s="13" t="s">
        <v>633</v>
      </c>
      <c r="E3777" t="s">
        <v>144</v>
      </c>
      <c r="F3777" s="11">
        <v>2</v>
      </c>
      <c r="G3777" s="11">
        <v>30252.1</v>
      </c>
    </row>
    <row r="3778" spans="2:7" x14ac:dyDescent="0.2">
      <c r="B3778" s="32">
        <v>45905</v>
      </c>
      <c r="C3778" t="s">
        <v>109</v>
      </c>
      <c r="D3778" s="13" t="s">
        <v>633</v>
      </c>
      <c r="E3778" t="s">
        <v>263</v>
      </c>
      <c r="F3778" s="11">
        <v>1</v>
      </c>
      <c r="G3778" s="11">
        <v>21848.74</v>
      </c>
    </row>
    <row r="3779" spans="2:7" x14ac:dyDescent="0.2">
      <c r="B3779" s="32">
        <v>45906</v>
      </c>
      <c r="C3779" t="s">
        <v>142</v>
      </c>
      <c r="D3779" s="13" t="s">
        <v>634</v>
      </c>
      <c r="E3779" t="s">
        <v>435</v>
      </c>
      <c r="F3779" s="11">
        <v>1</v>
      </c>
      <c r="G3779" s="11">
        <v>100840.34</v>
      </c>
    </row>
    <row r="3780" spans="2:7" x14ac:dyDescent="0.2">
      <c r="B3780" s="32">
        <v>45906</v>
      </c>
      <c r="C3780" t="s">
        <v>142</v>
      </c>
      <c r="D3780" s="13" t="s">
        <v>634</v>
      </c>
      <c r="E3780" t="s">
        <v>757</v>
      </c>
      <c r="F3780" s="11">
        <v>1</v>
      </c>
      <c r="G3780" s="11">
        <v>84033.61</v>
      </c>
    </row>
    <row r="3781" spans="2:7" x14ac:dyDescent="0.2">
      <c r="B3781" s="32">
        <v>45906</v>
      </c>
      <c r="C3781" t="s">
        <v>142</v>
      </c>
      <c r="D3781" s="13" t="s">
        <v>634</v>
      </c>
      <c r="E3781" t="s">
        <v>281</v>
      </c>
      <c r="F3781" s="11">
        <v>1</v>
      </c>
      <c r="G3781" s="11">
        <v>84033.61</v>
      </c>
    </row>
    <row r="3782" spans="2:7" x14ac:dyDescent="0.2">
      <c r="B3782" s="32">
        <v>45906</v>
      </c>
      <c r="C3782" t="s">
        <v>142</v>
      </c>
      <c r="D3782" s="13" t="s">
        <v>634</v>
      </c>
      <c r="E3782" t="s">
        <v>218</v>
      </c>
      <c r="F3782" s="11">
        <v>2</v>
      </c>
      <c r="G3782" s="11">
        <v>58823.53</v>
      </c>
    </row>
    <row r="3783" spans="2:7" x14ac:dyDescent="0.2">
      <c r="B3783" s="32">
        <v>45906</v>
      </c>
      <c r="C3783" t="s">
        <v>142</v>
      </c>
      <c r="D3783" s="13" t="s">
        <v>633</v>
      </c>
      <c r="E3783" t="s">
        <v>1811</v>
      </c>
      <c r="F3783" s="11">
        <v>1</v>
      </c>
      <c r="G3783" s="11">
        <v>151260.5</v>
      </c>
    </row>
    <row r="3784" spans="2:7" x14ac:dyDescent="0.2">
      <c r="B3784" s="32">
        <v>45906</v>
      </c>
      <c r="C3784" t="s">
        <v>142</v>
      </c>
      <c r="D3784" s="13" t="s">
        <v>633</v>
      </c>
      <c r="E3784" t="s">
        <v>1749</v>
      </c>
      <c r="F3784" s="11">
        <v>2</v>
      </c>
      <c r="G3784" s="11">
        <v>92436.97</v>
      </c>
    </row>
    <row r="3785" spans="2:7" x14ac:dyDescent="0.2">
      <c r="B3785" s="32">
        <v>45906</v>
      </c>
      <c r="C3785" t="s">
        <v>142</v>
      </c>
      <c r="D3785" s="13" t="s">
        <v>633</v>
      </c>
      <c r="E3785" t="s">
        <v>263</v>
      </c>
      <c r="F3785" s="11">
        <v>3</v>
      </c>
      <c r="G3785" s="11">
        <v>65546.23</v>
      </c>
    </row>
    <row r="3786" spans="2:7" x14ac:dyDescent="0.2">
      <c r="B3786" s="32">
        <v>45906</v>
      </c>
      <c r="C3786" t="s">
        <v>142</v>
      </c>
      <c r="D3786" s="13" t="s">
        <v>633</v>
      </c>
      <c r="E3786" t="s">
        <v>218</v>
      </c>
      <c r="F3786" s="11">
        <v>2</v>
      </c>
      <c r="G3786" s="11">
        <v>58823.519999999997</v>
      </c>
    </row>
    <row r="3787" spans="2:7" x14ac:dyDescent="0.2">
      <c r="B3787" s="32">
        <v>45906</v>
      </c>
      <c r="C3787" t="s">
        <v>109</v>
      </c>
      <c r="D3787" s="13" t="s">
        <v>634</v>
      </c>
      <c r="E3787" t="s">
        <v>228</v>
      </c>
      <c r="F3787" s="11">
        <v>2</v>
      </c>
      <c r="G3787" s="11">
        <v>155462.18</v>
      </c>
    </row>
    <row r="3788" spans="2:7" x14ac:dyDescent="0.2">
      <c r="B3788" s="32">
        <v>45906</v>
      </c>
      <c r="C3788" t="s">
        <v>109</v>
      </c>
      <c r="D3788" s="13" t="s">
        <v>634</v>
      </c>
      <c r="E3788" t="s">
        <v>156</v>
      </c>
      <c r="F3788" s="11">
        <v>2</v>
      </c>
      <c r="G3788" s="11">
        <v>84033.62</v>
      </c>
    </row>
    <row r="3789" spans="2:7" x14ac:dyDescent="0.2">
      <c r="B3789" s="32">
        <v>45906</v>
      </c>
      <c r="C3789" t="s">
        <v>109</v>
      </c>
      <c r="D3789" s="13" t="s">
        <v>634</v>
      </c>
      <c r="E3789" t="s">
        <v>558</v>
      </c>
      <c r="F3789" s="11">
        <v>1</v>
      </c>
      <c r="G3789" s="11">
        <v>75630.25</v>
      </c>
    </row>
    <row r="3790" spans="2:7" x14ac:dyDescent="0.2">
      <c r="B3790" s="32">
        <v>45906</v>
      </c>
      <c r="C3790" t="s">
        <v>109</v>
      </c>
      <c r="D3790" s="13" t="s">
        <v>634</v>
      </c>
      <c r="E3790" t="s">
        <v>1890</v>
      </c>
      <c r="F3790" s="11">
        <v>1</v>
      </c>
      <c r="G3790" s="11">
        <v>75630.25</v>
      </c>
    </row>
    <row r="3791" spans="2:7" x14ac:dyDescent="0.2">
      <c r="B3791" s="32">
        <v>45906</v>
      </c>
      <c r="C3791" t="s">
        <v>109</v>
      </c>
      <c r="D3791" s="13" t="s">
        <v>634</v>
      </c>
      <c r="E3791" t="s">
        <v>234</v>
      </c>
      <c r="F3791" s="11">
        <v>2</v>
      </c>
      <c r="G3791" s="11">
        <v>75630.25</v>
      </c>
    </row>
    <row r="3792" spans="2:7" x14ac:dyDescent="0.2">
      <c r="B3792" s="32">
        <v>45906</v>
      </c>
      <c r="C3792" t="s">
        <v>109</v>
      </c>
      <c r="D3792" s="13" t="s">
        <v>634</v>
      </c>
      <c r="E3792" t="s">
        <v>189</v>
      </c>
      <c r="F3792" s="11">
        <v>1</v>
      </c>
      <c r="G3792" s="11">
        <v>71428.570000000007</v>
      </c>
    </row>
    <row r="3793" spans="2:7" x14ac:dyDescent="0.2">
      <c r="B3793" s="32">
        <v>45906</v>
      </c>
      <c r="C3793" t="s">
        <v>109</v>
      </c>
      <c r="D3793" s="13" t="s">
        <v>634</v>
      </c>
      <c r="E3793" t="s">
        <v>160</v>
      </c>
      <c r="F3793" s="11">
        <v>1</v>
      </c>
      <c r="G3793" s="11">
        <v>46218.49</v>
      </c>
    </row>
    <row r="3794" spans="2:7" x14ac:dyDescent="0.2">
      <c r="B3794" s="32">
        <v>45906</v>
      </c>
      <c r="C3794" t="s">
        <v>109</v>
      </c>
      <c r="D3794" s="13" t="s">
        <v>634</v>
      </c>
      <c r="E3794" t="s">
        <v>238</v>
      </c>
      <c r="F3794" s="11">
        <v>1</v>
      </c>
      <c r="G3794" s="11">
        <v>46218.48</v>
      </c>
    </row>
    <row r="3795" spans="2:7" x14ac:dyDescent="0.2">
      <c r="B3795" s="32">
        <v>45906</v>
      </c>
      <c r="C3795" t="s">
        <v>109</v>
      </c>
      <c r="D3795" s="13" t="s">
        <v>634</v>
      </c>
      <c r="E3795" t="s">
        <v>161</v>
      </c>
      <c r="F3795" s="11">
        <v>1</v>
      </c>
      <c r="G3795" s="11">
        <v>42016.81</v>
      </c>
    </row>
    <row r="3796" spans="2:7" x14ac:dyDescent="0.2">
      <c r="B3796" s="32">
        <v>45906</v>
      </c>
      <c r="C3796" t="s">
        <v>109</v>
      </c>
      <c r="D3796" s="13" t="s">
        <v>634</v>
      </c>
      <c r="E3796" t="s">
        <v>1968</v>
      </c>
      <c r="F3796" s="11">
        <v>1</v>
      </c>
      <c r="G3796" s="11">
        <v>42016.81</v>
      </c>
    </row>
    <row r="3797" spans="2:7" x14ac:dyDescent="0.2">
      <c r="B3797" s="32">
        <v>45906</v>
      </c>
      <c r="C3797" t="s">
        <v>109</v>
      </c>
      <c r="D3797" s="13" t="s">
        <v>634</v>
      </c>
      <c r="E3797" t="s">
        <v>246</v>
      </c>
      <c r="F3797" s="11">
        <v>1</v>
      </c>
      <c r="G3797" s="11">
        <v>42016.81</v>
      </c>
    </row>
    <row r="3798" spans="2:7" x14ac:dyDescent="0.2">
      <c r="B3798" s="32">
        <v>45906</v>
      </c>
      <c r="C3798" t="s">
        <v>109</v>
      </c>
      <c r="D3798" s="13" t="s">
        <v>634</v>
      </c>
      <c r="E3798" t="s">
        <v>1963</v>
      </c>
      <c r="F3798" s="11">
        <v>1</v>
      </c>
      <c r="G3798" s="11">
        <v>42016.81</v>
      </c>
    </row>
    <row r="3799" spans="2:7" x14ac:dyDescent="0.2">
      <c r="B3799" s="32">
        <v>45906</v>
      </c>
      <c r="C3799" t="s">
        <v>109</v>
      </c>
      <c r="D3799" s="13" t="s">
        <v>634</v>
      </c>
      <c r="E3799" t="s">
        <v>240</v>
      </c>
      <c r="F3799" s="11">
        <v>1</v>
      </c>
      <c r="G3799" s="11">
        <v>42016.81</v>
      </c>
    </row>
    <row r="3800" spans="2:7" x14ac:dyDescent="0.2">
      <c r="B3800" s="32">
        <v>45906</v>
      </c>
      <c r="C3800" t="s">
        <v>109</v>
      </c>
      <c r="D3800" s="13" t="s">
        <v>634</v>
      </c>
      <c r="E3800" t="s">
        <v>166</v>
      </c>
      <c r="F3800" s="11">
        <v>1</v>
      </c>
      <c r="G3800" s="11">
        <v>42016.81</v>
      </c>
    </row>
    <row r="3801" spans="2:7" x14ac:dyDescent="0.2">
      <c r="B3801" s="32">
        <v>45906</v>
      </c>
      <c r="C3801" t="s">
        <v>109</v>
      </c>
      <c r="D3801" s="13" t="s">
        <v>634</v>
      </c>
      <c r="E3801" t="s">
        <v>144</v>
      </c>
      <c r="F3801" s="11">
        <v>3</v>
      </c>
      <c r="G3801" s="11">
        <v>36974.78</v>
      </c>
    </row>
    <row r="3802" spans="2:7" x14ac:dyDescent="0.2">
      <c r="B3802" s="32">
        <v>45906</v>
      </c>
      <c r="C3802" t="s">
        <v>109</v>
      </c>
      <c r="D3802" s="13" t="s">
        <v>634</v>
      </c>
      <c r="E3802" t="s">
        <v>263</v>
      </c>
      <c r="F3802" s="11">
        <v>1</v>
      </c>
      <c r="G3802" s="11">
        <v>21848.74</v>
      </c>
    </row>
    <row r="3803" spans="2:7" x14ac:dyDescent="0.2">
      <c r="B3803" s="32">
        <v>45906</v>
      </c>
      <c r="C3803" t="s">
        <v>109</v>
      </c>
      <c r="D3803" s="13" t="s">
        <v>634</v>
      </c>
      <c r="E3803" t="s">
        <v>1977</v>
      </c>
      <c r="F3803" s="11">
        <v>1</v>
      </c>
      <c r="G3803" s="11">
        <v>15126.05</v>
      </c>
    </row>
    <row r="3804" spans="2:7" x14ac:dyDescent="0.2">
      <c r="B3804" s="32">
        <v>45906</v>
      </c>
      <c r="C3804" t="s">
        <v>109</v>
      </c>
      <c r="D3804" s="13" t="s">
        <v>633</v>
      </c>
      <c r="F3804" s="11">
        <v>2</v>
      </c>
      <c r="G3804" s="11">
        <v>163865.54999999999</v>
      </c>
    </row>
    <row r="3805" spans="2:7" x14ac:dyDescent="0.2">
      <c r="B3805" s="32">
        <v>45906</v>
      </c>
      <c r="C3805" t="s">
        <v>109</v>
      </c>
      <c r="D3805" s="13" t="s">
        <v>633</v>
      </c>
      <c r="E3805" t="s">
        <v>166</v>
      </c>
      <c r="F3805" s="11">
        <v>2</v>
      </c>
      <c r="G3805" s="11">
        <v>84033.62</v>
      </c>
    </row>
    <row r="3806" spans="2:7" x14ac:dyDescent="0.2">
      <c r="B3806" s="32">
        <v>45906</v>
      </c>
      <c r="C3806" t="s">
        <v>109</v>
      </c>
      <c r="D3806" s="13" t="s">
        <v>633</v>
      </c>
      <c r="E3806" t="s">
        <v>189</v>
      </c>
      <c r="F3806" s="11">
        <v>1</v>
      </c>
      <c r="G3806" s="11">
        <v>71428.570000000007</v>
      </c>
    </row>
    <row r="3807" spans="2:7" x14ac:dyDescent="0.2">
      <c r="B3807" s="32">
        <v>45906</v>
      </c>
      <c r="C3807" t="s">
        <v>109</v>
      </c>
      <c r="D3807" s="13" t="s">
        <v>633</v>
      </c>
      <c r="E3807" t="s">
        <v>427</v>
      </c>
      <c r="F3807" s="11">
        <v>1</v>
      </c>
      <c r="G3807" s="11">
        <v>54621.85</v>
      </c>
    </row>
    <row r="3808" spans="2:7" x14ac:dyDescent="0.2">
      <c r="B3808" s="32">
        <v>45906</v>
      </c>
      <c r="C3808" t="s">
        <v>109</v>
      </c>
      <c r="D3808" s="13" t="s">
        <v>633</v>
      </c>
      <c r="E3808" t="s">
        <v>616</v>
      </c>
      <c r="F3808" s="11">
        <v>1</v>
      </c>
      <c r="G3808" s="11">
        <v>54621.85</v>
      </c>
    </row>
    <row r="3809" spans="2:7" x14ac:dyDescent="0.2">
      <c r="B3809" s="32">
        <v>45906</v>
      </c>
      <c r="C3809" t="s">
        <v>109</v>
      </c>
      <c r="D3809" s="13" t="s">
        <v>633</v>
      </c>
      <c r="E3809" t="s">
        <v>642</v>
      </c>
      <c r="F3809" s="11">
        <v>1</v>
      </c>
      <c r="G3809" s="11">
        <v>49000</v>
      </c>
    </row>
    <row r="3810" spans="2:7" x14ac:dyDescent="0.2">
      <c r="B3810" s="32">
        <v>45906</v>
      </c>
      <c r="C3810" t="s">
        <v>109</v>
      </c>
      <c r="D3810" s="13" t="s">
        <v>633</v>
      </c>
      <c r="E3810" t="s">
        <v>1968</v>
      </c>
      <c r="F3810" s="11">
        <v>1</v>
      </c>
      <c r="G3810" s="11">
        <v>42016.81</v>
      </c>
    </row>
    <row r="3811" spans="2:7" x14ac:dyDescent="0.2">
      <c r="B3811" s="32">
        <v>45906</v>
      </c>
      <c r="C3811" t="s">
        <v>109</v>
      </c>
      <c r="D3811" s="13" t="s">
        <v>633</v>
      </c>
      <c r="E3811" t="s">
        <v>153</v>
      </c>
      <c r="F3811" s="11">
        <v>1</v>
      </c>
      <c r="G3811" s="11">
        <v>42016.800000000003</v>
      </c>
    </row>
    <row r="3812" spans="2:7" x14ac:dyDescent="0.2">
      <c r="B3812" s="32">
        <v>45906</v>
      </c>
      <c r="C3812" t="s">
        <v>109</v>
      </c>
      <c r="D3812" s="13" t="s">
        <v>633</v>
      </c>
      <c r="E3812" t="s">
        <v>193</v>
      </c>
      <c r="F3812" s="11">
        <v>1</v>
      </c>
      <c r="G3812" s="11">
        <v>21848.74</v>
      </c>
    </row>
    <row r="3813" spans="2:7" x14ac:dyDescent="0.2">
      <c r="B3813" s="32">
        <v>45907</v>
      </c>
      <c r="C3813" t="s">
        <v>142</v>
      </c>
      <c r="D3813" s="13" t="s">
        <v>634</v>
      </c>
      <c r="E3813" t="s">
        <v>176</v>
      </c>
      <c r="F3813" s="11">
        <v>1</v>
      </c>
      <c r="G3813" s="11">
        <v>58823.53</v>
      </c>
    </row>
    <row r="3814" spans="2:7" x14ac:dyDescent="0.2">
      <c r="B3814" s="32">
        <v>45907</v>
      </c>
      <c r="C3814" t="s">
        <v>142</v>
      </c>
      <c r="D3814" s="13" t="s">
        <v>634</v>
      </c>
      <c r="E3814" t="s">
        <v>233</v>
      </c>
      <c r="F3814" s="11">
        <v>1</v>
      </c>
      <c r="G3814" s="11">
        <v>58823.53</v>
      </c>
    </row>
    <row r="3815" spans="2:7" x14ac:dyDescent="0.2">
      <c r="B3815" s="32">
        <v>45907</v>
      </c>
      <c r="C3815" t="s">
        <v>142</v>
      </c>
      <c r="D3815" s="13" t="s">
        <v>634</v>
      </c>
      <c r="E3815" t="s">
        <v>281</v>
      </c>
      <c r="F3815" s="11">
        <v>1</v>
      </c>
      <c r="G3815" s="11">
        <v>58823.53</v>
      </c>
    </row>
    <row r="3816" spans="2:7" x14ac:dyDescent="0.2">
      <c r="B3816" s="32">
        <v>45907</v>
      </c>
      <c r="C3816" t="s">
        <v>142</v>
      </c>
      <c r="D3816" s="13" t="s">
        <v>634</v>
      </c>
      <c r="E3816" t="s">
        <v>454</v>
      </c>
      <c r="F3816" s="11">
        <v>1</v>
      </c>
      <c r="G3816" s="11">
        <v>58823.53</v>
      </c>
    </row>
    <row r="3817" spans="2:7" x14ac:dyDescent="0.2">
      <c r="B3817" s="32">
        <v>45907</v>
      </c>
      <c r="C3817" t="s">
        <v>142</v>
      </c>
      <c r="D3817" s="13" t="s">
        <v>634</v>
      </c>
      <c r="E3817" t="s">
        <v>162</v>
      </c>
      <c r="F3817" s="11">
        <v>1</v>
      </c>
      <c r="G3817" s="11">
        <v>58823.53</v>
      </c>
    </row>
    <row r="3818" spans="2:7" x14ac:dyDescent="0.2">
      <c r="B3818" s="32">
        <v>45907</v>
      </c>
      <c r="C3818" t="s">
        <v>142</v>
      </c>
      <c r="D3818" s="13" t="s">
        <v>634</v>
      </c>
      <c r="E3818" t="s">
        <v>392</v>
      </c>
      <c r="F3818" s="11">
        <v>1</v>
      </c>
      <c r="G3818" s="11">
        <v>46218.49</v>
      </c>
    </row>
    <row r="3819" spans="2:7" x14ac:dyDescent="0.2">
      <c r="B3819" s="32">
        <v>45907</v>
      </c>
      <c r="C3819" t="s">
        <v>142</v>
      </c>
      <c r="D3819" s="13" t="s">
        <v>633</v>
      </c>
      <c r="E3819" t="s">
        <v>611</v>
      </c>
      <c r="F3819" s="11">
        <v>1</v>
      </c>
      <c r="G3819" s="11">
        <v>58823.53</v>
      </c>
    </row>
    <row r="3820" spans="2:7" x14ac:dyDescent="0.2">
      <c r="B3820" s="32">
        <v>45907</v>
      </c>
      <c r="C3820" t="s">
        <v>142</v>
      </c>
      <c r="D3820" s="13" t="s">
        <v>633</v>
      </c>
      <c r="E3820" t="s">
        <v>205</v>
      </c>
      <c r="F3820" s="11">
        <v>1</v>
      </c>
      <c r="G3820" s="11">
        <v>58823.53</v>
      </c>
    </row>
    <row r="3821" spans="2:7" x14ac:dyDescent="0.2">
      <c r="B3821" s="32">
        <v>45907</v>
      </c>
      <c r="C3821" t="s">
        <v>109</v>
      </c>
      <c r="D3821" s="13" t="s">
        <v>634</v>
      </c>
      <c r="E3821" t="s">
        <v>669</v>
      </c>
      <c r="F3821" s="11">
        <v>1</v>
      </c>
      <c r="G3821" s="11">
        <v>102000</v>
      </c>
    </row>
    <row r="3822" spans="2:7" x14ac:dyDescent="0.2">
      <c r="B3822" s="32">
        <v>45907</v>
      </c>
      <c r="C3822" t="s">
        <v>109</v>
      </c>
      <c r="D3822" s="13" t="s">
        <v>634</v>
      </c>
      <c r="E3822" t="s">
        <v>154</v>
      </c>
      <c r="F3822" s="11">
        <v>1</v>
      </c>
      <c r="G3822" s="11">
        <v>96638.66</v>
      </c>
    </row>
    <row r="3823" spans="2:7" x14ac:dyDescent="0.2">
      <c r="B3823" s="32">
        <v>45907</v>
      </c>
      <c r="C3823" t="s">
        <v>109</v>
      </c>
      <c r="D3823" s="13" t="s">
        <v>634</v>
      </c>
      <c r="E3823" t="s">
        <v>153</v>
      </c>
      <c r="F3823" s="11">
        <v>2</v>
      </c>
      <c r="G3823" s="11">
        <v>84033.62</v>
      </c>
    </row>
    <row r="3824" spans="2:7" x14ac:dyDescent="0.2">
      <c r="B3824" s="32">
        <v>45907</v>
      </c>
      <c r="C3824" t="s">
        <v>109</v>
      </c>
      <c r="D3824" s="13" t="s">
        <v>634</v>
      </c>
      <c r="E3824" t="s">
        <v>1939</v>
      </c>
      <c r="F3824" s="11">
        <v>1</v>
      </c>
      <c r="G3824" s="11">
        <v>67226.89</v>
      </c>
    </row>
    <row r="3825" spans="2:7" x14ac:dyDescent="0.2">
      <c r="B3825" s="32">
        <v>45907</v>
      </c>
      <c r="C3825" t="s">
        <v>109</v>
      </c>
      <c r="D3825" s="13" t="s">
        <v>634</v>
      </c>
      <c r="E3825" t="s">
        <v>236</v>
      </c>
      <c r="F3825" s="11">
        <v>1</v>
      </c>
      <c r="G3825" s="11">
        <v>58823.53</v>
      </c>
    </row>
    <row r="3826" spans="2:7" x14ac:dyDescent="0.2">
      <c r="B3826" s="32">
        <v>45907</v>
      </c>
      <c r="C3826" t="s">
        <v>109</v>
      </c>
      <c r="D3826" s="13" t="s">
        <v>634</v>
      </c>
      <c r="E3826" t="s">
        <v>1923</v>
      </c>
      <c r="F3826" s="11">
        <v>1</v>
      </c>
      <c r="G3826" s="11">
        <v>58823.53</v>
      </c>
    </row>
    <row r="3827" spans="2:7" x14ac:dyDescent="0.2">
      <c r="B3827" s="32">
        <v>45907</v>
      </c>
      <c r="C3827" t="s">
        <v>109</v>
      </c>
      <c r="D3827" s="13" t="s">
        <v>634</v>
      </c>
      <c r="E3827" t="s">
        <v>290</v>
      </c>
      <c r="F3827" s="11">
        <v>1</v>
      </c>
      <c r="G3827" s="11">
        <v>58823.53</v>
      </c>
    </row>
    <row r="3828" spans="2:7" x14ac:dyDescent="0.2">
      <c r="B3828" s="32">
        <v>45907</v>
      </c>
      <c r="C3828" t="s">
        <v>109</v>
      </c>
      <c r="D3828" s="13" t="s">
        <v>634</v>
      </c>
      <c r="E3828" t="s">
        <v>430</v>
      </c>
      <c r="F3828" s="11">
        <v>1</v>
      </c>
      <c r="G3828" s="11">
        <v>58823.53</v>
      </c>
    </row>
    <row r="3829" spans="2:7" x14ac:dyDescent="0.2">
      <c r="B3829" s="32">
        <v>45907</v>
      </c>
      <c r="C3829" t="s">
        <v>109</v>
      </c>
      <c r="D3829" s="13" t="s">
        <v>634</v>
      </c>
      <c r="E3829" t="s">
        <v>181</v>
      </c>
      <c r="F3829" s="11">
        <v>1</v>
      </c>
      <c r="G3829" s="11">
        <v>58823.53</v>
      </c>
    </row>
    <row r="3830" spans="2:7" x14ac:dyDescent="0.2">
      <c r="B3830" s="32">
        <v>45907</v>
      </c>
      <c r="C3830" t="s">
        <v>109</v>
      </c>
      <c r="D3830" s="13" t="s">
        <v>634</v>
      </c>
      <c r="E3830" t="s">
        <v>196</v>
      </c>
      <c r="F3830" s="11">
        <v>1</v>
      </c>
      <c r="G3830" s="11">
        <v>42016.81</v>
      </c>
    </row>
    <row r="3831" spans="2:7" x14ac:dyDescent="0.2">
      <c r="B3831" s="32">
        <v>45907</v>
      </c>
      <c r="C3831" t="s">
        <v>109</v>
      </c>
      <c r="D3831" s="13" t="s">
        <v>634</v>
      </c>
      <c r="E3831" t="s">
        <v>144</v>
      </c>
      <c r="F3831" s="11">
        <v>3</v>
      </c>
      <c r="G3831" s="11">
        <v>41176.47</v>
      </c>
    </row>
    <row r="3832" spans="2:7" x14ac:dyDescent="0.2">
      <c r="B3832" s="32">
        <v>45907</v>
      </c>
      <c r="C3832" t="s">
        <v>109</v>
      </c>
      <c r="D3832" s="13" t="s">
        <v>633</v>
      </c>
      <c r="E3832" t="s">
        <v>738</v>
      </c>
      <c r="F3832" s="11">
        <v>1</v>
      </c>
      <c r="G3832" s="11">
        <v>126050.42</v>
      </c>
    </row>
    <row r="3833" spans="2:7" x14ac:dyDescent="0.2">
      <c r="B3833" s="32">
        <v>45907</v>
      </c>
      <c r="C3833" t="s">
        <v>109</v>
      </c>
      <c r="D3833" s="13" t="s">
        <v>633</v>
      </c>
      <c r="E3833" t="s">
        <v>206</v>
      </c>
      <c r="F3833" s="11">
        <v>2</v>
      </c>
      <c r="G3833" s="11">
        <v>75630.259999999995</v>
      </c>
    </row>
    <row r="3834" spans="2:7" x14ac:dyDescent="0.2">
      <c r="B3834" s="32">
        <v>45907</v>
      </c>
      <c r="C3834" t="s">
        <v>109</v>
      </c>
      <c r="D3834" s="13" t="s">
        <v>633</v>
      </c>
      <c r="E3834" t="s">
        <v>534</v>
      </c>
      <c r="F3834" s="11">
        <v>1</v>
      </c>
      <c r="G3834" s="11">
        <v>71428.570000000007</v>
      </c>
    </row>
    <row r="3835" spans="2:7" x14ac:dyDescent="0.2">
      <c r="B3835" s="32">
        <v>45907</v>
      </c>
      <c r="C3835" t="s">
        <v>109</v>
      </c>
      <c r="D3835" s="13" t="s">
        <v>633</v>
      </c>
      <c r="E3835" t="s">
        <v>1963</v>
      </c>
      <c r="F3835" s="11">
        <v>1</v>
      </c>
      <c r="G3835" s="11">
        <v>42016.81</v>
      </c>
    </row>
    <row r="3836" spans="2:7" x14ac:dyDescent="0.2">
      <c r="B3836" s="32">
        <v>45907</v>
      </c>
      <c r="C3836" t="s">
        <v>109</v>
      </c>
      <c r="D3836" s="13" t="s">
        <v>633</v>
      </c>
      <c r="E3836" t="s">
        <v>1902</v>
      </c>
      <c r="F3836" s="11">
        <v>1</v>
      </c>
      <c r="G3836" s="11">
        <v>37815.129999999997</v>
      </c>
    </row>
    <row r="3837" spans="2:7" x14ac:dyDescent="0.2">
      <c r="B3837" s="32">
        <v>45908</v>
      </c>
      <c r="C3837" t="s">
        <v>142</v>
      </c>
      <c r="D3837" s="13" t="s">
        <v>634</v>
      </c>
      <c r="E3837" t="s">
        <v>1999</v>
      </c>
      <c r="F3837" s="11">
        <v>1</v>
      </c>
      <c r="G3837" s="11">
        <v>226890.75</v>
      </c>
    </row>
    <row r="3838" spans="2:7" x14ac:dyDescent="0.2">
      <c r="B3838" s="32">
        <v>45908</v>
      </c>
      <c r="C3838" t="s">
        <v>142</v>
      </c>
      <c r="D3838" s="13" t="s">
        <v>634</v>
      </c>
      <c r="E3838" t="s">
        <v>2000</v>
      </c>
      <c r="F3838" s="11">
        <v>1</v>
      </c>
      <c r="G3838" s="11">
        <v>156302.51999999999</v>
      </c>
    </row>
    <row r="3839" spans="2:7" x14ac:dyDescent="0.2">
      <c r="B3839" s="32">
        <v>45908</v>
      </c>
      <c r="C3839" t="s">
        <v>142</v>
      </c>
      <c r="D3839" s="13" t="s">
        <v>634</v>
      </c>
      <c r="E3839" t="s">
        <v>336</v>
      </c>
      <c r="F3839" s="11">
        <v>2</v>
      </c>
      <c r="G3839" s="11">
        <v>142857.14000000001</v>
      </c>
    </row>
    <row r="3840" spans="2:7" x14ac:dyDescent="0.2">
      <c r="B3840" s="32">
        <v>45908</v>
      </c>
      <c r="C3840" t="s">
        <v>142</v>
      </c>
      <c r="D3840" s="13" t="s">
        <v>634</v>
      </c>
      <c r="E3840" t="s">
        <v>413</v>
      </c>
      <c r="F3840" s="11">
        <v>1</v>
      </c>
      <c r="G3840" s="11">
        <v>79831.929999999993</v>
      </c>
    </row>
    <row r="3841" spans="2:7" x14ac:dyDescent="0.2">
      <c r="B3841" s="32">
        <v>45908</v>
      </c>
      <c r="C3841" t="s">
        <v>142</v>
      </c>
      <c r="D3841" s="13" t="s">
        <v>634</v>
      </c>
      <c r="E3841" t="s">
        <v>293</v>
      </c>
      <c r="F3841" s="11">
        <v>1</v>
      </c>
      <c r="G3841" s="11">
        <v>37815.129999999997</v>
      </c>
    </row>
    <row r="3842" spans="2:7" x14ac:dyDescent="0.2">
      <c r="B3842" s="32">
        <v>45908</v>
      </c>
      <c r="C3842" t="s">
        <v>142</v>
      </c>
      <c r="D3842" s="13" t="s">
        <v>633</v>
      </c>
      <c r="E3842" t="s">
        <v>436</v>
      </c>
      <c r="F3842" s="11">
        <v>3</v>
      </c>
      <c r="G3842" s="11">
        <v>262967.27</v>
      </c>
    </row>
    <row r="3843" spans="2:7" x14ac:dyDescent="0.2">
      <c r="B3843" s="32">
        <v>45908</v>
      </c>
      <c r="C3843" t="s">
        <v>142</v>
      </c>
      <c r="D3843" s="13" t="s">
        <v>633</v>
      </c>
      <c r="E3843" t="s">
        <v>323</v>
      </c>
      <c r="F3843" s="11">
        <v>2</v>
      </c>
      <c r="G3843" s="11">
        <v>199217.6</v>
      </c>
    </row>
    <row r="3844" spans="2:7" x14ac:dyDescent="0.2">
      <c r="B3844" s="32">
        <v>45908</v>
      </c>
      <c r="C3844" t="s">
        <v>142</v>
      </c>
      <c r="D3844" s="13" t="s">
        <v>633</v>
      </c>
      <c r="E3844" t="s">
        <v>374</v>
      </c>
      <c r="F3844" s="11">
        <v>1</v>
      </c>
      <c r="G3844" s="11">
        <v>58823.53</v>
      </c>
    </row>
    <row r="3845" spans="2:7" x14ac:dyDescent="0.2">
      <c r="B3845" s="32">
        <v>45908</v>
      </c>
      <c r="C3845" t="s">
        <v>142</v>
      </c>
      <c r="D3845" s="13" t="s">
        <v>633</v>
      </c>
      <c r="E3845" t="s">
        <v>388</v>
      </c>
      <c r="F3845" s="11">
        <v>1</v>
      </c>
      <c r="G3845" s="11">
        <v>12605.04</v>
      </c>
    </row>
    <row r="3846" spans="2:7" x14ac:dyDescent="0.2">
      <c r="B3846" s="32">
        <v>45908</v>
      </c>
      <c r="C3846" t="s">
        <v>110</v>
      </c>
      <c r="D3846" s="13" t="s">
        <v>634</v>
      </c>
      <c r="E3846" t="s">
        <v>198</v>
      </c>
      <c r="F3846" s="11">
        <v>1</v>
      </c>
      <c r="G3846" s="11">
        <v>46218.49</v>
      </c>
    </row>
    <row r="3847" spans="2:7" x14ac:dyDescent="0.2">
      <c r="B3847" s="32">
        <v>45908</v>
      </c>
      <c r="C3847" t="s">
        <v>1739</v>
      </c>
      <c r="D3847" s="13" t="s">
        <v>634</v>
      </c>
      <c r="E3847" t="s">
        <v>255</v>
      </c>
      <c r="F3847" s="11">
        <v>1</v>
      </c>
      <c r="G3847" s="11">
        <v>138655.46</v>
      </c>
    </row>
    <row r="3848" spans="2:7" x14ac:dyDescent="0.2">
      <c r="B3848" s="32">
        <v>45908</v>
      </c>
      <c r="C3848" t="s">
        <v>1739</v>
      </c>
      <c r="D3848" s="13" t="s">
        <v>634</v>
      </c>
      <c r="E3848" t="s">
        <v>155</v>
      </c>
      <c r="F3848" s="11">
        <v>1</v>
      </c>
      <c r="G3848" s="11">
        <v>96638.66</v>
      </c>
    </row>
    <row r="3849" spans="2:7" x14ac:dyDescent="0.2">
      <c r="B3849" s="32">
        <v>45908</v>
      </c>
      <c r="C3849" t="s">
        <v>1739</v>
      </c>
      <c r="D3849" s="13" t="s">
        <v>634</v>
      </c>
      <c r="E3849" t="s">
        <v>525</v>
      </c>
      <c r="F3849" s="11">
        <v>1</v>
      </c>
      <c r="G3849" s="11">
        <v>58823.53</v>
      </c>
    </row>
    <row r="3850" spans="2:7" x14ac:dyDescent="0.2">
      <c r="B3850" s="32">
        <v>45908</v>
      </c>
      <c r="C3850" t="s">
        <v>1739</v>
      </c>
      <c r="D3850" s="13" t="s">
        <v>634</v>
      </c>
      <c r="E3850" t="s">
        <v>1744</v>
      </c>
      <c r="F3850" s="11">
        <v>1</v>
      </c>
      <c r="G3850" s="11">
        <v>58823.53</v>
      </c>
    </row>
    <row r="3851" spans="2:7" x14ac:dyDescent="0.2">
      <c r="B3851" s="32">
        <v>45908</v>
      </c>
      <c r="C3851" t="s">
        <v>1739</v>
      </c>
      <c r="D3851" s="13" t="s">
        <v>633</v>
      </c>
      <c r="E3851" t="s">
        <v>154</v>
      </c>
      <c r="F3851" s="11">
        <v>1</v>
      </c>
      <c r="G3851" s="11">
        <v>96638.66</v>
      </c>
    </row>
    <row r="3852" spans="2:7" x14ac:dyDescent="0.2">
      <c r="B3852" s="32">
        <v>45908</v>
      </c>
      <c r="C3852" t="s">
        <v>1739</v>
      </c>
      <c r="D3852" s="13" t="s">
        <v>633</v>
      </c>
      <c r="F3852" s="11">
        <v>3</v>
      </c>
      <c r="G3852" s="11">
        <v>88235.29</v>
      </c>
    </row>
    <row r="3853" spans="2:7" x14ac:dyDescent="0.2">
      <c r="B3853" s="32">
        <v>45908</v>
      </c>
      <c r="C3853" t="s">
        <v>109</v>
      </c>
      <c r="D3853" s="13" t="s">
        <v>634</v>
      </c>
      <c r="E3853" t="s">
        <v>496</v>
      </c>
      <c r="F3853" s="11">
        <v>1</v>
      </c>
      <c r="G3853" s="11">
        <v>58823.53</v>
      </c>
    </row>
    <row r="3854" spans="2:7" x14ac:dyDescent="0.2">
      <c r="B3854" s="32">
        <v>45908</v>
      </c>
      <c r="C3854" t="s">
        <v>109</v>
      </c>
      <c r="D3854" s="13" t="s">
        <v>634</v>
      </c>
      <c r="E3854" t="s">
        <v>144</v>
      </c>
      <c r="F3854" s="11">
        <v>6</v>
      </c>
      <c r="G3854" s="11">
        <v>57983.18</v>
      </c>
    </row>
    <row r="3855" spans="2:7" x14ac:dyDescent="0.2">
      <c r="B3855" s="32">
        <v>45908</v>
      </c>
      <c r="C3855" t="s">
        <v>109</v>
      </c>
      <c r="D3855" s="13" t="s">
        <v>634</v>
      </c>
      <c r="E3855" t="s">
        <v>616</v>
      </c>
      <c r="F3855" s="11">
        <v>1</v>
      </c>
      <c r="G3855" s="11">
        <v>54621.85</v>
      </c>
    </row>
    <row r="3856" spans="2:7" x14ac:dyDescent="0.2">
      <c r="B3856" s="32">
        <v>45908</v>
      </c>
      <c r="C3856" t="s">
        <v>109</v>
      </c>
      <c r="D3856" s="13" t="s">
        <v>634</v>
      </c>
      <c r="F3856" s="11">
        <v>1</v>
      </c>
      <c r="G3856" s="11">
        <v>46218.49</v>
      </c>
    </row>
    <row r="3857" spans="2:7" x14ac:dyDescent="0.2">
      <c r="B3857" s="32">
        <v>45908</v>
      </c>
      <c r="C3857" t="s">
        <v>109</v>
      </c>
      <c r="D3857" s="13" t="s">
        <v>634</v>
      </c>
      <c r="E3857" t="s">
        <v>170</v>
      </c>
      <c r="F3857" s="11">
        <v>1</v>
      </c>
      <c r="G3857" s="11">
        <v>46218.49</v>
      </c>
    </row>
    <row r="3858" spans="2:7" x14ac:dyDescent="0.2">
      <c r="B3858" s="32">
        <v>45908</v>
      </c>
      <c r="C3858" t="s">
        <v>109</v>
      </c>
      <c r="D3858" s="13" t="s">
        <v>634</v>
      </c>
      <c r="E3858" t="s">
        <v>240</v>
      </c>
      <c r="F3858" s="11">
        <v>1</v>
      </c>
      <c r="G3858" s="11">
        <v>42016.82</v>
      </c>
    </row>
    <row r="3859" spans="2:7" x14ac:dyDescent="0.2">
      <c r="B3859" s="32">
        <v>45908</v>
      </c>
      <c r="C3859" t="s">
        <v>109</v>
      </c>
      <c r="D3859" s="13" t="s">
        <v>634</v>
      </c>
      <c r="E3859" t="s">
        <v>166</v>
      </c>
      <c r="F3859" s="11">
        <v>1</v>
      </c>
      <c r="G3859" s="11">
        <v>42016.81</v>
      </c>
    </row>
    <row r="3860" spans="2:7" x14ac:dyDescent="0.2">
      <c r="B3860" s="32">
        <v>45908</v>
      </c>
      <c r="C3860" t="s">
        <v>109</v>
      </c>
      <c r="D3860" s="13" t="s">
        <v>634</v>
      </c>
      <c r="E3860" t="s">
        <v>156</v>
      </c>
      <c r="F3860" s="11">
        <v>1</v>
      </c>
      <c r="G3860" s="11">
        <v>42016.81</v>
      </c>
    </row>
    <row r="3861" spans="2:7" x14ac:dyDescent="0.2">
      <c r="B3861" s="32">
        <v>45908</v>
      </c>
      <c r="C3861" t="s">
        <v>109</v>
      </c>
      <c r="D3861" s="13" t="s">
        <v>634</v>
      </c>
      <c r="E3861" t="s">
        <v>182</v>
      </c>
      <c r="F3861" s="11">
        <v>1</v>
      </c>
      <c r="G3861" s="11">
        <v>29411.759999999998</v>
      </c>
    </row>
    <row r="3862" spans="2:7" x14ac:dyDescent="0.2">
      <c r="B3862" s="32">
        <v>45908</v>
      </c>
      <c r="C3862" t="s">
        <v>109</v>
      </c>
      <c r="D3862" s="13" t="s">
        <v>634</v>
      </c>
      <c r="E3862" t="s">
        <v>1977</v>
      </c>
      <c r="F3862" s="11">
        <v>1</v>
      </c>
      <c r="G3862" s="11">
        <v>15126.05</v>
      </c>
    </row>
    <row r="3863" spans="2:7" x14ac:dyDescent="0.2">
      <c r="B3863" s="32">
        <v>45908</v>
      </c>
      <c r="C3863" t="s">
        <v>109</v>
      </c>
      <c r="D3863" s="13" t="s">
        <v>633</v>
      </c>
      <c r="F3863" s="11">
        <v>4</v>
      </c>
      <c r="G3863" s="11">
        <v>184873.95</v>
      </c>
    </row>
    <row r="3864" spans="2:7" x14ac:dyDescent="0.2">
      <c r="B3864" s="32">
        <v>45908</v>
      </c>
      <c r="C3864" t="s">
        <v>109</v>
      </c>
      <c r="D3864" s="13" t="s">
        <v>633</v>
      </c>
      <c r="E3864" t="s">
        <v>189</v>
      </c>
      <c r="F3864" s="11">
        <v>2</v>
      </c>
      <c r="G3864" s="11">
        <v>142857.15</v>
      </c>
    </row>
    <row r="3865" spans="2:7" x14ac:dyDescent="0.2">
      <c r="B3865" s="32">
        <v>45908</v>
      </c>
      <c r="C3865" t="s">
        <v>109</v>
      </c>
      <c r="D3865" s="13" t="s">
        <v>633</v>
      </c>
      <c r="E3865" t="s">
        <v>475</v>
      </c>
      <c r="F3865" s="11">
        <v>2</v>
      </c>
      <c r="G3865" s="11">
        <v>142857.14000000001</v>
      </c>
    </row>
    <row r="3866" spans="2:7" x14ac:dyDescent="0.2">
      <c r="B3866" s="32">
        <v>45908</v>
      </c>
      <c r="C3866" t="s">
        <v>109</v>
      </c>
      <c r="D3866" s="13" t="s">
        <v>633</v>
      </c>
      <c r="E3866" t="s">
        <v>182</v>
      </c>
      <c r="F3866" s="11">
        <v>6</v>
      </c>
      <c r="G3866" s="11">
        <v>142857.12</v>
      </c>
    </row>
    <row r="3867" spans="2:7" x14ac:dyDescent="0.2">
      <c r="B3867" s="32">
        <v>45908</v>
      </c>
      <c r="C3867" t="s">
        <v>109</v>
      </c>
      <c r="D3867" s="13" t="s">
        <v>633</v>
      </c>
      <c r="E3867" t="s">
        <v>1896</v>
      </c>
      <c r="F3867" s="11">
        <v>2</v>
      </c>
      <c r="G3867" s="11">
        <v>92436.97</v>
      </c>
    </row>
    <row r="3868" spans="2:7" x14ac:dyDescent="0.2">
      <c r="B3868" s="32">
        <v>45908</v>
      </c>
      <c r="C3868" t="s">
        <v>109</v>
      </c>
      <c r="D3868" s="13" t="s">
        <v>633</v>
      </c>
      <c r="E3868" t="s">
        <v>413</v>
      </c>
      <c r="F3868" s="11">
        <v>1</v>
      </c>
      <c r="G3868" s="11">
        <v>79831.929999999993</v>
      </c>
    </row>
    <row r="3869" spans="2:7" x14ac:dyDescent="0.2">
      <c r="B3869" s="32">
        <v>45908</v>
      </c>
      <c r="C3869" t="s">
        <v>109</v>
      </c>
      <c r="D3869" s="13" t="s">
        <v>633</v>
      </c>
      <c r="E3869" t="s">
        <v>192</v>
      </c>
      <c r="F3869" s="11">
        <v>1</v>
      </c>
      <c r="G3869" s="11">
        <v>71428.570000000007</v>
      </c>
    </row>
    <row r="3870" spans="2:7" x14ac:dyDescent="0.2">
      <c r="B3870" s="32">
        <v>45908</v>
      </c>
      <c r="C3870" t="s">
        <v>109</v>
      </c>
      <c r="D3870" s="13" t="s">
        <v>633</v>
      </c>
      <c r="E3870" t="s">
        <v>1847</v>
      </c>
      <c r="F3870" s="11">
        <v>2</v>
      </c>
      <c r="G3870" s="11">
        <v>42016.81</v>
      </c>
    </row>
    <row r="3871" spans="2:7" x14ac:dyDescent="0.2">
      <c r="B3871" s="32">
        <v>45908</v>
      </c>
      <c r="C3871" t="s">
        <v>109</v>
      </c>
      <c r="D3871" s="13" t="s">
        <v>633</v>
      </c>
      <c r="E3871" t="s">
        <v>1963</v>
      </c>
      <c r="F3871" s="11">
        <v>1</v>
      </c>
      <c r="G3871" s="11">
        <v>42016.81</v>
      </c>
    </row>
    <row r="3872" spans="2:7" x14ac:dyDescent="0.2">
      <c r="B3872" s="32">
        <v>45908</v>
      </c>
      <c r="C3872" t="s">
        <v>109</v>
      </c>
      <c r="D3872" s="13" t="s">
        <v>633</v>
      </c>
      <c r="E3872" t="s">
        <v>240</v>
      </c>
      <c r="F3872" s="11">
        <v>1</v>
      </c>
      <c r="G3872" s="11">
        <v>42016.81</v>
      </c>
    </row>
    <row r="3873" spans="2:7" x14ac:dyDescent="0.2">
      <c r="B3873" s="32">
        <v>45909</v>
      </c>
      <c r="C3873" t="s">
        <v>142</v>
      </c>
      <c r="D3873" s="13"/>
      <c r="E3873" t="s">
        <v>388</v>
      </c>
      <c r="F3873" s="11">
        <v>2</v>
      </c>
      <c r="G3873" s="11">
        <v>12605.04</v>
      </c>
    </row>
    <row r="3874" spans="2:7" x14ac:dyDescent="0.2">
      <c r="B3874" s="32">
        <v>45909</v>
      </c>
      <c r="C3874" t="s">
        <v>142</v>
      </c>
      <c r="D3874" s="13" t="s">
        <v>634</v>
      </c>
      <c r="E3874" t="s">
        <v>487</v>
      </c>
      <c r="F3874" s="11">
        <v>1</v>
      </c>
      <c r="G3874" s="11">
        <v>186554.62</v>
      </c>
    </row>
    <row r="3875" spans="2:7" x14ac:dyDescent="0.2">
      <c r="B3875" s="32">
        <v>45909</v>
      </c>
      <c r="C3875" t="s">
        <v>142</v>
      </c>
      <c r="D3875" s="13" t="s">
        <v>634</v>
      </c>
      <c r="E3875" t="s">
        <v>727</v>
      </c>
      <c r="F3875" s="11">
        <v>1</v>
      </c>
      <c r="G3875" s="11">
        <v>58823.53</v>
      </c>
    </row>
    <row r="3876" spans="2:7" x14ac:dyDescent="0.2">
      <c r="B3876" s="32">
        <v>45909</v>
      </c>
      <c r="C3876" t="s">
        <v>142</v>
      </c>
      <c r="D3876" s="13" t="s">
        <v>634</v>
      </c>
      <c r="E3876" t="s">
        <v>239</v>
      </c>
      <c r="F3876" s="11">
        <v>1</v>
      </c>
      <c r="G3876" s="11">
        <v>46218.49</v>
      </c>
    </row>
    <row r="3877" spans="2:7" x14ac:dyDescent="0.2">
      <c r="B3877" s="32">
        <v>45909</v>
      </c>
      <c r="C3877" t="s">
        <v>142</v>
      </c>
      <c r="D3877" s="13" t="s">
        <v>633</v>
      </c>
      <c r="E3877" t="s">
        <v>233</v>
      </c>
      <c r="F3877" s="11">
        <v>2</v>
      </c>
      <c r="G3877" s="11">
        <v>117647.06</v>
      </c>
    </row>
    <row r="3878" spans="2:7" x14ac:dyDescent="0.2">
      <c r="B3878" s="32">
        <v>45909</v>
      </c>
      <c r="C3878" t="s">
        <v>142</v>
      </c>
      <c r="D3878" s="13" t="s">
        <v>633</v>
      </c>
      <c r="E3878" t="s">
        <v>169</v>
      </c>
      <c r="F3878" s="11">
        <v>1</v>
      </c>
      <c r="G3878" s="11">
        <v>96638.65</v>
      </c>
    </row>
    <row r="3879" spans="2:7" x14ac:dyDescent="0.2">
      <c r="B3879" s="32">
        <v>45909</v>
      </c>
      <c r="C3879" t="s">
        <v>142</v>
      </c>
      <c r="D3879" s="13" t="s">
        <v>633</v>
      </c>
      <c r="E3879" t="s">
        <v>564</v>
      </c>
      <c r="F3879" s="11">
        <v>1</v>
      </c>
      <c r="G3879" s="11">
        <v>58823.53</v>
      </c>
    </row>
    <row r="3880" spans="2:7" x14ac:dyDescent="0.2">
      <c r="B3880" s="32">
        <v>45909</v>
      </c>
      <c r="C3880" t="s">
        <v>142</v>
      </c>
      <c r="D3880" s="13" t="s">
        <v>633</v>
      </c>
      <c r="E3880" t="s">
        <v>315</v>
      </c>
      <c r="F3880" s="11">
        <v>1</v>
      </c>
      <c r="G3880" s="11">
        <v>58823.53</v>
      </c>
    </row>
    <row r="3881" spans="2:7" x14ac:dyDescent="0.2">
      <c r="B3881" s="32">
        <v>45909</v>
      </c>
      <c r="C3881" t="s">
        <v>142</v>
      </c>
      <c r="D3881" s="13" t="s">
        <v>633</v>
      </c>
      <c r="E3881" t="s">
        <v>165</v>
      </c>
      <c r="F3881" s="11">
        <v>1</v>
      </c>
      <c r="G3881" s="11">
        <v>58823.53</v>
      </c>
    </row>
    <row r="3882" spans="2:7" x14ac:dyDescent="0.2">
      <c r="B3882" s="32">
        <v>45909</v>
      </c>
      <c r="C3882" t="s">
        <v>142</v>
      </c>
      <c r="D3882" s="13" t="s">
        <v>633</v>
      </c>
      <c r="E3882" t="s">
        <v>533</v>
      </c>
      <c r="F3882" s="11">
        <v>1</v>
      </c>
      <c r="G3882" s="11">
        <v>58823.53</v>
      </c>
    </row>
    <row r="3883" spans="2:7" x14ac:dyDescent="0.2">
      <c r="B3883" s="32">
        <v>45909</v>
      </c>
      <c r="C3883" t="s">
        <v>142</v>
      </c>
      <c r="D3883" s="13" t="s">
        <v>633</v>
      </c>
      <c r="E3883" t="s">
        <v>196</v>
      </c>
      <c r="F3883" s="11">
        <v>1</v>
      </c>
      <c r="G3883" s="11">
        <v>42016.81</v>
      </c>
    </row>
    <row r="3884" spans="2:7" x14ac:dyDescent="0.2">
      <c r="B3884" s="32">
        <v>45909</v>
      </c>
      <c r="C3884" t="s">
        <v>142</v>
      </c>
      <c r="D3884" s="13" t="s">
        <v>633</v>
      </c>
      <c r="E3884" t="s">
        <v>831</v>
      </c>
      <c r="F3884" s="11">
        <v>1</v>
      </c>
      <c r="G3884" s="11">
        <v>0.84</v>
      </c>
    </row>
    <row r="3885" spans="2:7" x14ac:dyDescent="0.2">
      <c r="B3885" s="32">
        <v>45909</v>
      </c>
      <c r="C3885" t="s">
        <v>110</v>
      </c>
      <c r="D3885" s="13" t="s">
        <v>634</v>
      </c>
      <c r="E3885" t="s">
        <v>161</v>
      </c>
      <c r="F3885" s="11">
        <v>1</v>
      </c>
      <c r="G3885" s="11">
        <v>42016.81</v>
      </c>
    </row>
    <row r="3886" spans="2:7" x14ac:dyDescent="0.2">
      <c r="B3886" s="32">
        <v>45909</v>
      </c>
      <c r="C3886" t="s">
        <v>109</v>
      </c>
      <c r="D3886" s="13"/>
      <c r="E3886" t="s">
        <v>198</v>
      </c>
      <c r="F3886" s="11">
        <v>2</v>
      </c>
      <c r="G3886" s="11">
        <v>92436.97</v>
      </c>
    </row>
    <row r="3887" spans="2:7" x14ac:dyDescent="0.2">
      <c r="B3887" s="32">
        <v>45909</v>
      </c>
      <c r="C3887" t="s">
        <v>109</v>
      </c>
      <c r="D3887" s="13" t="s">
        <v>634</v>
      </c>
      <c r="E3887" t="s">
        <v>169</v>
      </c>
      <c r="F3887" s="11">
        <v>1</v>
      </c>
      <c r="G3887" s="11">
        <v>96638.66</v>
      </c>
    </row>
    <row r="3888" spans="2:7" x14ac:dyDescent="0.2">
      <c r="B3888" s="32">
        <v>45909</v>
      </c>
      <c r="C3888" t="s">
        <v>109</v>
      </c>
      <c r="D3888" s="13" t="s">
        <v>634</v>
      </c>
      <c r="E3888" t="s">
        <v>198</v>
      </c>
      <c r="F3888" s="11">
        <v>2</v>
      </c>
      <c r="G3888" s="11">
        <v>92436.98</v>
      </c>
    </row>
    <row r="3889" spans="2:7" x14ac:dyDescent="0.2">
      <c r="B3889" s="32">
        <v>45909</v>
      </c>
      <c r="C3889" t="s">
        <v>109</v>
      </c>
      <c r="D3889" s="13" t="s">
        <v>634</v>
      </c>
      <c r="E3889" t="s">
        <v>206</v>
      </c>
      <c r="F3889" s="11">
        <v>2</v>
      </c>
      <c r="G3889" s="11">
        <v>75630.259999999995</v>
      </c>
    </row>
    <row r="3890" spans="2:7" x14ac:dyDescent="0.2">
      <c r="B3890" s="32">
        <v>45909</v>
      </c>
      <c r="C3890" t="s">
        <v>109</v>
      </c>
      <c r="D3890" s="13" t="s">
        <v>634</v>
      </c>
      <c r="E3890" t="s">
        <v>148</v>
      </c>
      <c r="F3890" s="11">
        <v>2</v>
      </c>
      <c r="G3890" s="11">
        <v>75630.25</v>
      </c>
    </row>
    <row r="3891" spans="2:7" x14ac:dyDescent="0.2">
      <c r="B3891" s="32">
        <v>45909</v>
      </c>
      <c r="C3891" t="s">
        <v>109</v>
      </c>
      <c r="D3891" s="13" t="s">
        <v>634</v>
      </c>
      <c r="E3891" t="s">
        <v>624</v>
      </c>
      <c r="F3891" s="11">
        <v>1</v>
      </c>
      <c r="G3891" s="11">
        <v>71428.570000000007</v>
      </c>
    </row>
    <row r="3892" spans="2:7" x14ac:dyDescent="0.2">
      <c r="B3892" s="32">
        <v>45909</v>
      </c>
      <c r="C3892" t="s">
        <v>109</v>
      </c>
      <c r="D3892" s="13" t="s">
        <v>634</v>
      </c>
      <c r="E3892" t="s">
        <v>189</v>
      </c>
      <c r="F3892" s="11">
        <v>1</v>
      </c>
      <c r="G3892" s="11">
        <v>71428.570000000007</v>
      </c>
    </row>
    <row r="3893" spans="2:7" x14ac:dyDescent="0.2">
      <c r="B3893" s="32">
        <v>45909</v>
      </c>
      <c r="C3893" t="s">
        <v>109</v>
      </c>
      <c r="D3893" s="13" t="s">
        <v>634</v>
      </c>
      <c r="E3893" t="s">
        <v>614</v>
      </c>
      <c r="F3893" s="11">
        <v>1</v>
      </c>
      <c r="G3893" s="11">
        <v>50420.17</v>
      </c>
    </row>
    <row r="3894" spans="2:7" x14ac:dyDescent="0.2">
      <c r="B3894" s="32">
        <v>45909</v>
      </c>
      <c r="C3894" t="s">
        <v>109</v>
      </c>
      <c r="D3894" s="13" t="s">
        <v>634</v>
      </c>
      <c r="E3894" t="s">
        <v>473</v>
      </c>
      <c r="F3894" s="11">
        <v>1</v>
      </c>
      <c r="G3894" s="11">
        <v>50420.17</v>
      </c>
    </row>
    <row r="3895" spans="2:7" x14ac:dyDescent="0.2">
      <c r="B3895" s="32">
        <v>45909</v>
      </c>
      <c r="C3895" t="s">
        <v>109</v>
      </c>
      <c r="D3895" s="13" t="s">
        <v>634</v>
      </c>
      <c r="E3895" t="s">
        <v>520</v>
      </c>
      <c r="F3895" s="11">
        <v>1</v>
      </c>
      <c r="G3895" s="11">
        <v>50420.160000000003</v>
      </c>
    </row>
    <row r="3896" spans="2:7" x14ac:dyDescent="0.2">
      <c r="B3896" s="32">
        <v>45909</v>
      </c>
      <c r="C3896" t="s">
        <v>109</v>
      </c>
      <c r="D3896" s="13" t="s">
        <v>634</v>
      </c>
      <c r="E3896" t="s">
        <v>234</v>
      </c>
      <c r="F3896" s="11">
        <v>1</v>
      </c>
      <c r="G3896" s="11">
        <v>37815.120000000003</v>
      </c>
    </row>
    <row r="3897" spans="2:7" x14ac:dyDescent="0.2">
      <c r="B3897" s="32">
        <v>45909</v>
      </c>
      <c r="C3897" t="s">
        <v>109</v>
      </c>
      <c r="D3897" s="13" t="s">
        <v>634</v>
      </c>
      <c r="E3897" t="s">
        <v>218</v>
      </c>
      <c r="F3897" s="11">
        <v>1</v>
      </c>
      <c r="G3897" s="11">
        <v>29411.759999999998</v>
      </c>
    </row>
    <row r="3898" spans="2:7" x14ac:dyDescent="0.2">
      <c r="B3898" s="32">
        <v>45909</v>
      </c>
      <c r="C3898" t="s">
        <v>109</v>
      </c>
      <c r="D3898" s="13" t="s">
        <v>634</v>
      </c>
      <c r="E3898" t="s">
        <v>1846</v>
      </c>
      <c r="F3898" s="11">
        <v>1</v>
      </c>
      <c r="G3898" s="11">
        <v>21008.400000000001</v>
      </c>
    </row>
    <row r="3899" spans="2:7" x14ac:dyDescent="0.2">
      <c r="B3899" s="32">
        <v>45909</v>
      </c>
      <c r="C3899" t="s">
        <v>109</v>
      </c>
      <c r="D3899" s="13" t="s">
        <v>633</v>
      </c>
      <c r="E3899" t="s">
        <v>655</v>
      </c>
      <c r="F3899" s="11">
        <v>1</v>
      </c>
      <c r="G3899" s="11">
        <v>184873.95</v>
      </c>
    </row>
    <row r="3900" spans="2:7" x14ac:dyDescent="0.2">
      <c r="B3900" s="32">
        <v>45909</v>
      </c>
      <c r="C3900" t="s">
        <v>109</v>
      </c>
      <c r="D3900" s="13" t="s">
        <v>633</v>
      </c>
      <c r="E3900" t="s">
        <v>406</v>
      </c>
      <c r="F3900" s="11">
        <v>3</v>
      </c>
      <c r="G3900" s="11">
        <v>176470.59</v>
      </c>
    </row>
    <row r="3901" spans="2:7" x14ac:dyDescent="0.2">
      <c r="B3901" s="32">
        <v>45909</v>
      </c>
      <c r="C3901" t="s">
        <v>109</v>
      </c>
      <c r="D3901" s="13" t="s">
        <v>633</v>
      </c>
      <c r="E3901" t="s">
        <v>150</v>
      </c>
      <c r="F3901" s="11">
        <v>4</v>
      </c>
      <c r="G3901" s="11">
        <v>168067.23</v>
      </c>
    </row>
    <row r="3902" spans="2:7" x14ac:dyDescent="0.2">
      <c r="B3902" s="32">
        <v>45909</v>
      </c>
      <c r="C3902" t="s">
        <v>109</v>
      </c>
      <c r="D3902" s="13" t="s">
        <v>633</v>
      </c>
      <c r="E3902" t="s">
        <v>156</v>
      </c>
      <c r="F3902" s="11">
        <v>2</v>
      </c>
      <c r="G3902" s="11">
        <v>84033.62</v>
      </c>
    </row>
    <row r="3903" spans="2:7" x14ac:dyDescent="0.2">
      <c r="B3903" s="32">
        <v>45909</v>
      </c>
      <c r="C3903" t="s">
        <v>109</v>
      </c>
      <c r="D3903" s="13" t="s">
        <v>633</v>
      </c>
      <c r="E3903" t="s">
        <v>168</v>
      </c>
      <c r="F3903" s="11">
        <v>2</v>
      </c>
      <c r="G3903" s="11">
        <v>84033.61</v>
      </c>
    </row>
    <row r="3904" spans="2:7" x14ac:dyDescent="0.2">
      <c r="B3904" s="32">
        <v>45909</v>
      </c>
      <c r="C3904" t="s">
        <v>109</v>
      </c>
      <c r="D3904" s="13" t="s">
        <v>633</v>
      </c>
      <c r="E3904" t="s">
        <v>446</v>
      </c>
      <c r="F3904" s="11">
        <v>1</v>
      </c>
      <c r="G3904" s="11">
        <v>75630.25</v>
      </c>
    </row>
    <row r="3905" spans="2:7" x14ac:dyDescent="0.2">
      <c r="B3905" s="32">
        <v>45909</v>
      </c>
      <c r="C3905" t="s">
        <v>109</v>
      </c>
      <c r="D3905" s="13" t="s">
        <v>633</v>
      </c>
      <c r="E3905" t="s">
        <v>234</v>
      </c>
      <c r="F3905" s="11">
        <v>2</v>
      </c>
      <c r="G3905" s="11">
        <v>75630.25</v>
      </c>
    </row>
    <row r="3906" spans="2:7" x14ac:dyDescent="0.2">
      <c r="B3906" s="32">
        <v>45909</v>
      </c>
      <c r="C3906" t="s">
        <v>109</v>
      </c>
      <c r="D3906" s="13" t="s">
        <v>633</v>
      </c>
      <c r="E3906" t="s">
        <v>336</v>
      </c>
      <c r="F3906" s="11">
        <v>1</v>
      </c>
      <c r="G3906" s="11">
        <v>71428.570000000007</v>
      </c>
    </row>
    <row r="3907" spans="2:7" x14ac:dyDescent="0.2">
      <c r="B3907" s="32">
        <v>45909</v>
      </c>
      <c r="C3907" t="s">
        <v>109</v>
      </c>
      <c r="D3907" s="13" t="s">
        <v>633</v>
      </c>
      <c r="E3907" t="s">
        <v>475</v>
      </c>
      <c r="F3907" s="11">
        <v>1</v>
      </c>
      <c r="G3907" s="11">
        <v>71428.570000000007</v>
      </c>
    </row>
    <row r="3908" spans="2:7" x14ac:dyDescent="0.2">
      <c r="B3908" s="32">
        <v>45909</v>
      </c>
      <c r="C3908" t="s">
        <v>109</v>
      </c>
      <c r="D3908" s="13" t="s">
        <v>633</v>
      </c>
      <c r="E3908" t="s">
        <v>189</v>
      </c>
      <c r="F3908" s="11">
        <v>1</v>
      </c>
      <c r="G3908" s="11">
        <v>70294.78</v>
      </c>
    </row>
    <row r="3909" spans="2:7" x14ac:dyDescent="0.2">
      <c r="B3909" s="32">
        <v>45909</v>
      </c>
      <c r="C3909" t="s">
        <v>109</v>
      </c>
      <c r="D3909" s="13" t="s">
        <v>633</v>
      </c>
      <c r="E3909" t="s">
        <v>1939</v>
      </c>
      <c r="F3909" s="11">
        <v>1</v>
      </c>
      <c r="G3909" s="11">
        <v>66159.8</v>
      </c>
    </row>
    <row r="3910" spans="2:7" x14ac:dyDescent="0.2">
      <c r="B3910" s="32">
        <v>45909</v>
      </c>
      <c r="C3910" t="s">
        <v>109</v>
      </c>
      <c r="D3910" s="13" t="s">
        <v>633</v>
      </c>
      <c r="E3910" t="s">
        <v>430</v>
      </c>
      <c r="F3910" s="11">
        <v>1</v>
      </c>
      <c r="G3910" s="11">
        <v>58823.53</v>
      </c>
    </row>
    <row r="3911" spans="2:7" x14ac:dyDescent="0.2">
      <c r="B3911" s="32">
        <v>45909</v>
      </c>
      <c r="C3911" t="s">
        <v>109</v>
      </c>
      <c r="D3911" s="13" t="s">
        <v>633</v>
      </c>
      <c r="E3911" t="s">
        <v>495</v>
      </c>
      <c r="F3911" s="11">
        <v>1</v>
      </c>
      <c r="G3911" s="11">
        <v>53754.84</v>
      </c>
    </row>
    <row r="3912" spans="2:7" x14ac:dyDescent="0.2">
      <c r="B3912" s="32">
        <v>45909</v>
      </c>
      <c r="C3912" t="s">
        <v>109</v>
      </c>
      <c r="D3912" s="13" t="s">
        <v>633</v>
      </c>
      <c r="E3912" t="s">
        <v>254</v>
      </c>
      <c r="F3912" s="11">
        <v>1</v>
      </c>
      <c r="G3912" s="11">
        <v>50420.17</v>
      </c>
    </row>
    <row r="3913" spans="2:7" x14ac:dyDescent="0.2">
      <c r="B3913" s="32">
        <v>45909</v>
      </c>
      <c r="C3913" t="s">
        <v>109</v>
      </c>
      <c r="D3913" s="13" t="s">
        <v>633</v>
      </c>
      <c r="E3913" t="s">
        <v>148</v>
      </c>
      <c r="F3913" s="11">
        <v>1</v>
      </c>
      <c r="G3913" s="11">
        <v>37815.129999999997</v>
      </c>
    </row>
    <row r="3914" spans="2:7" x14ac:dyDescent="0.2">
      <c r="B3914" s="32">
        <v>45909</v>
      </c>
      <c r="C3914" t="s">
        <v>109</v>
      </c>
      <c r="D3914" s="13" t="s">
        <v>633</v>
      </c>
      <c r="E3914" t="s">
        <v>144</v>
      </c>
      <c r="F3914" s="11">
        <v>2</v>
      </c>
      <c r="G3914" s="11">
        <v>27731.09</v>
      </c>
    </row>
    <row r="3915" spans="2:7" x14ac:dyDescent="0.2">
      <c r="B3915" s="32">
        <v>45910</v>
      </c>
      <c r="C3915" t="s">
        <v>142</v>
      </c>
      <c r="D3915" s="13" t="s">
        <v>634</v>
      </c>
      <c r="E3915" t="s">
        <v>567</v>
      </c>
      <c r="F3915" s="11">
        <v>1</v>
      </c>
      <c r="G3915" s="11">
        <v>58823.53</v>
      </c>
    </row>
    <row r="3916" spans="2:7" x14ac:dyDescent="0.2">
      <c r="B3916" s="32">
        <v>45910</v>
      </c>
      <c r="C3916" t="s">
        <v>142</v>
      </c>
      <c r="D3916" s="13" t="s">
        <v>634</v>
      </c>
      <c r="E3916" t="s">
        <v>162</v>
      </c>
      <c r="F3916" s="11">
        <v>1</v>
      </c>
      <c r="G3916" s="11">
        <v>58823.53</v>
      </c>
    </row>
    <row r="3917" spans="2:7" x14ac:dyDescent="0.2">
      <c r="B3917" s="32">
        <v>45910</v>
      </c>
      <c r="C3917" t="s">
        <v>142</v>
      </c>
      <c r="D3917" s="13" t="s">
        <v>633</v>
      </c>
      <c r="E3917" t="s">
        <v>2001</v>
      </c>
      <c r="F3917" s="11">
        <v>1</v>
      </c>
      <c r="G3917" s="11">
        <v>58823.53</v>
      </c>
    </row>
    <row r="3918" spans="2:7" x14ac:dyDescent="0.2">
      <c r="B3918" s="32">
        <v>45910</v>
      </c>
      <c r="C3918" t="s">
        <v>142</v>
      </c>
      <c r="D3918" s="13" t="s">
        <v>633</v>
      </c>
      <c r="E3918" t="s">
        <v>195</v>
      </c>
      <c r="F3918" s="11">
        <v>1</v>
      </c>
      <c r="G3918" s="11">
        <v>46218.49</v>
      </c>
    </row>
    <row r="3919" spans="2:7" x14ac:dyDescent="0.2">
      <c r="B3919" s="32">
        <v>45910</v>
      </c>
      <c r="C3919" t="s">
        <v>110</v>
      </c>
      <c r="D3919" s="13" t="s">
        <v>634</v>
      </c>
      <c r="E3919" t="s">
        <v>347</v>
      </c>
      <c r="F3919" s="11">
        <v>1</v>
      </c>
      <c r="G3919" s="11">
        <v>75630.25</v>
      </c>
    </row>
    <row r="3920" spans="2:7" x14ac:dyDescent="0.2">
      <c r="B3920" s="32">
        <v>45910</v>
      </c>
      <c r="C3920" t="s">
        <v>110</v>
      </c>
      <c r="D3920" s="13" t="s">
        <v>634</v>
      </c>
      <c r="E3920" t="s">
        <v>475</v>
      </c>
      <c r="F3920" s="11">
        <v>1</v>
      </c>
      <c r="G3920" s="11">
        <v>71428.570000000007</v>
      </c>
    </row>
    <row r="3921" spans="2:7" x14ac:dyDescent="0.2">
      <c r="B3921" s="32">
        <v>45910</v>
      </c>
      <c r="C3921" t="s">
        <v>1739</v>
      </c>
      <c r="D3921" s="13"/>
      <c r="E3921" t="s">
        <v>670</v>
      </c>
      <c r="F3921" s="11">
        <v>1</v>
      </c>
      <c r="G3921" s="11">
        <v>0</v>
      </c>
    </row>
    <row r="3922" spans="2:7" x14ac:dyDescent="0.2">
      <c r="B3922" s="32">
        <v>45910</v>
      </c>
      <c r="C3922" t="s">
        <v>1739</v>
      </c>
      <c r="D3922" s="13" t="s">
        <v>633</v>
      </c>
      <c r="E3922" t="s">
        <v>666</v>
      </c>
      <c r="F3922" s="11">
        <v>1</v>
      </c>
      <c r="G3922" s="11">
        <v>92436.97</v>
      </c>
    </row>
    <row r="3923" spans="2:7" x14ac:dyDescent="0.2">
      <c r="B3923" s="32">
        <v>45910</v>
      </c>
      <c r="C3923" t="s">
        <v>109</v>
      </c>
      <c r="D3923" s="13" t="s">
        <v>634</v>
      </c>
      <c r="E3923" t="s">
        <v>453</v>
      </c>
      <c r="F3923" s="11">
        <v>1</v>
      </c>
      <c r="G3923" s="11">
        <v>180672.27</v>
      </c>
    </row>
    <row r="3924" spans="2:7" x14ac:dyDescent="0.2">
      <c r="B3924" s="32">
        <v>45910</v>
      </c>
      <c r="C3924" t="s">
        <v>109</v>
      </c>
      <c r="D3924" s="13" t="s">
        <v>634</v>
      </c>
      <c r="E3924" t="s">
        <v>513</v>
      </c>
      <c r="F3924" s="11">
        <v>1</v>
      </c>
      <c r="G3924" s="11">
        <v>151260.51</v>
      </c>
    </row>
    <row r="3925" spans="2:7" x14ac:dyDescent="0.2">
      <c r="B3925" s="32">
        <v>45910</v>
      </c>
      <c r="C3925" t="s">
        <v>109</v>
      </c>
      <c r="D3925" s="13" t="s">
        <v>634</v>
      </c>
      <c r="E3925" t="s">
        <v>475</v>
      </c>
      <c r="F3925" s="11">
        <v>1</v>
      </c>
      <c r="G3925" s="11">
        <v>71428.570000000007</v>
      </c>
    </row>
    <row r="3926" spans="2:7" x14ac:dyDescent="0.2">
      <c r="B3926" s="32">
        <v>45910</v>
      </c>
      <c r="C3926" t="s">
        <v>109</v>
      </c>
      <c r="D3926" s="13" t="s">
        <v>634</v>
      </c>
      <c r="E3926" t="s">
        <v>1928</v>
      </c>
      <c r="F3926" s="11">
        <v>1</v>
      </c>
      <c r="G3926" s="11">
        <v>71428.570000000007</v>
      </c>
    </row>
    <row r="3927" spans="2:7" x14ac:dyDescent="0.2">
      <c r="B3927" s="32">
        <v>45910</v>
      </c>
      <c r="C3927" t="s">
        <v>109</v>
      </c>
      <c r="D3927" s="13" t="s">
        <v>634</v>
      </c>
      <c r="E3927" t="s">
        <v>608</v>
      </c>
      <c r="F3927" s="11">
        <v>1</v>
      </c>
      <c r="G3927" s="11">
        <v>58823.53</v>
      </c>
    </row>
    <row r="3928" spans="2:7" x14ac:dyDescent="0.2">
      <c r="B3928" s="32">
        <v>45910</v>
      </c>
      <c r="C3928" t="s">
        <v>109</v>
      </c>
      <c r="D3928" s="13" t="s">
        <v>634</v>
      </c>
      <c r="E3928" t="s">
        <v>1769</v>
      </c>
      <c r="F3928" s="11">
        <v>1</v>
      </c>
      <c r="G3928" s="11">
        <v>21008.400000000001</v>
      </c>
    </row>
    <row r="3929" spans="2:7" x14ac:dyDescent="0.2">
      <c r="B3929" s="32">
        <v>45910</v>
      </c>
      <c r="C3929" t="s">
        <v>109</v>
      </c>
      <c r="D3929" s="13" t="s">
        <v>633</v>
      </c>
      <c r="E3929" t="s">
        <v>558</v>
      </c>
      <c r="F3929" s="11">
        <v>2</v>
      </c>
      <c r="G3929" s="11">
        <v>151260.51</v>
      </c>
    </row>
    <row r="3930" spans="2:7" x14ac:dyDescent="0.2">
      <c r="B3930" s="32">
        <v>45910</v>
      </c>
      <c r="C3930" t="s">
        <v>109</v>
      </c>
      <c r="D3930" s="13" t="s">
        <v>633</v>
      </c>
      <c r="E3930" t="s">
        <v>203</v>
      </c>
      <c r="F3930" s="11">
        <v>2</v>
      </c>
      <c r="G3930" s="11">
        <v>84033.62</v>
      </c>
    </row>
    <row r="3931" spans="2:7" x14ac:dyDescent="0.2">
      <c r="B3931" s="32">
        <v>45910</v>
      </c>
      <c r="C3931" t="s">
        <v>109</v>
      </c>
      <c r="D3931" s="13" t="s">
        <v>633</v>
      </c>
      <c r="E3931" t="s">
        <v>184</v>
      </c>
      <c r="F3931" s="11">
        <v>1</v>
      </c>
      <c r="G3931" s="11">
        <v>84033.61</v>
      </c>
    </row>
    <row r="3932" spans="2:7" x14ac:dyDescent="0.2">
      <c r="B3932" s="32">
        <v>45910</v>
      </c>
      <c r="C3932" t="s">
        <v>109</v>
      </c>
      <c r="D3932" s="13" t="s">
        <v>633</v>
      </c>
      <c r="E3932" t="s">
        <v>144</v>
      </c>
      <c r="F3932" s="11">
        <v>2</v>
      </c>
      <c r="G3932" s="11">
        <v>60504.2</v>
      </c>
    </row>
    <row r="3933" spans="2:7" x14ac:dyDescent="0.2">
      <c r="B3933" s="32">
        <v>45910</v>
      </c>
      <c r="C3933" t="s">
        <v>109</v>
      </c>
      <c r="D3933" s="13" t="s">
        <v>633</v>
      </c>
      <c r="E3933" t="s">
        <v>193</v>
      </c>
      <c r="F3933" s="11">
        <v>1</v>
      </c>
      <c r="G3933" s="11">
        <v>21848.74</v>
      </c>
    </row>
    <row r="3934" spans="2:7" x14ac:dyDescent="0.2">
      <c r="B3934" s="32">
        <v>45911</v>
      </c>
      <c r="C3934" t="s">
        <v>1726</v>
      </c>
      <c r="D3934" s="13"/>
      <c r="E3934" t="s">
        <v>293</v>
      </c>
      <c r="F3934" s="11">
        <v>3</v>
      </c>
      <c r="G3934" s="11">
        <v>113445.38</v>
      </c>
    </row>
    <row r="3935" spans="2:7" x14ac:dyDescent="0.2">
      <c r="B3935" s="32">
        <v>45911</v>
      </c>
      <c r="C3935" t="s">
        <v>1726</v>
      </c>
      <c r="D3935" s="13"/>
      <c r="E3935" t="s">
        <v>173</v>
      </c>
      <c r="F3935" s="11">
        <v>3</v>
      </c>
      <c r="G3935" s="11">
        <v>113445.37</v>
      </c>
    </row>
    <row r="3936" spans="2:7" x14ac:dyDescent="0.2">
      <c r="B3936" s="32">
        <v>45911</v>
      </c>
      <c r="C3936" t="s">
        <v>1726</v>
      </c>
      <c r="D3936" s="13"/>
      <c r="E3936" t="s">
        <v>395</v>
      </c>
      <c r="F3936" s="11">
        <v>1</v>
      </c>
      <c r="G3936" s="11">
        <v>75630.25</v>
      </c>
    </row>
    <row r="3937" spans="2:7" x14ac:dyDescent="0.2">
      <c r="B3937" s="32">
        <v>45911</v>
      </c>
      <c r="C3937" t="s">
        <v>1726</v>
      </c>
      <c r="D3937" s="13" t="s">
        <v>634</v>
      </c>
      <c r="E3937" t="s">
        <v>698</v>
      </c>
      <c r="F3937" s="11">
        <v>3</v>
      </c>
      <c r="G3937" s="11">
        <v>226890.75</v>
      </c>
    </row>
    <row r="3938" spans="2:7" x14ac:dyDescent="0.2">
      <c r="B3938" s="32">
        <v>45911</v>
      </c>
      <c r="C3938" t="s">
        <v>1726</v>
      </c>
      <c r="D3938" s="13" t="s">
        <v>634</v>
      </c>
      <c r="F3938" s="11">
        <v>4</v>
      </c>
      <c r="G3938" s="11">
        <v>184873.95</v>
      </c>
    </row>
    <row r="3939" spans="2:7" x14ac:dyDescent="0.2">
      <c r="B3939" s="32">
        <v>45911</v>
      </c>
      <c r="C3939" t="s">
        <v>1726</v>
      </c>
      <c r="D3939" s="13" t="s">
        <v>634</v>
      </c>
      <c r="E3939" t="s">
        <v>152</v>
      </c>
      <c r="F3939" s="11">
        <v>2</v>
      </c>
      <c r="G3939" s="11">
        <v>151260.51</v>
      </c>
    </row>
    <row r="3940" spans="2:7" x14ac:dyDescent="0.2">
      <c r="B3940" s="32">
        <v>45911</v>
      </c>
      <c r="C3940" t="s">
        <v>1726</v>
      </c>
      <c r="D3940" s="13" t="s">
        <v>634</v>
      </c>
      <c r="E3940" t="s">
        <v>347</v>
      </c>
      <c r="F3940" s="11">
        <v>2</v>
      </c>
      <c r="G3940" s="11">
        <v>151260.5</v>
      </c>
    </row>
    <row r="3941" spans="2:7" x14ac:dyDescent="0.2">
      <c r="B3941" s="32">
        <v>45911</v>
      </c>
      <c r="C3941" t="s">
        <v>1726</v>
      </c>
      <c r="D3941" s="13" t="s">
        <v>634</v>
      </c>
      <c r="E3941" t="s">
        <v>551</v>
      </c>
      <c r="F3941" s="11">
        <v>1</v>
      </c>
      <c r="G3941" s="11">
        <v>96638.65</v>
      </c>
    </row>
    <row r="3942" spans="2:7" x14ac:dyDescent="0.2">
      <c r="B3942" s="32">
        <v>45911</v>
      </c>
      <c r="C3942" t="s">
        <v>1726</v>
      </c>
      <c r="D3942" s="13" t="s">
        <v>634</v>
      </c>
      <c r="E3942" t="s">
        <v>361</v>
      </c>
      <c r="F3942" s="11">
        <v>1</v>
      </c>
      <c r="G3942" s="11">
        <v>79831.929999999993</v>
      </c>
    </row>
    <row r="3943" spans="2:7" x14ac:dyDescent="0.2">
      <c r="B3943" s="32">
        <v>45911</v>
      </c>
      <c r="C3943" t="s">
        <v>1726</v>
      </c>
      <c r="D3943" s="13" t="s">
        <v>634</v>
      </c>
      <c r="E3943" t="s">
        <v>576</v>
      </c>
      <c r="F3943" s="11">
        <v>1</v>
      </c>
      <c r="G3943" s="11">
        <v>58823.53</v>
      </c>
    </row>
    <row r="3944" spans="2:7" x14ac:dyDescent="0.2">
      <c r="B3944" s="32">
        <v>45911</v>
      </c>
      <c r="C3944" t="s">
        <v>1726</v>
      </c>
      <c r="D3944" s="13" t="s">
        <v>634</v>
      </c>
      <c r="E3944" t="s">
        <v>495</v>
      </c>
      <c r="F3944" s="11">
        <v>1</v>
      </c>
      <c r="G3944" s="11">
        <v>54621.85</v>
      </c>
    </row>
    <row r="3945" spans="2:7" x14ac:dyDescent="0.2">
      <c r="B3945" s="32">
        <v>45911</v>
      </c>
      <c r="C3945" t="s">
        <v>1726</v>
      </c>
      <c r="D3945" s="13" t="s">
        <v>634</v>
      </c>
      <c r="E3945" t="s">
        <v>303</v>
      </c>
      <c r="F3945" s="11">
        <v>1</v>
      </c>
      <c r="G3945" s="11">
        <v>50420.17</v>
      </c>
    </row>
    <row r="3946" spans="2:7" x14ac:dyDescent="0.2">
      <c r="B3946" s="32">
        <v>45911</v>
      </c>
      <c r="C3946" t="s">
        <v>1726</v>
      </c>
      <c r="D3946" s="13" t="s">
        <v>634</v>
      </c>
      <c r="E3946" t="s">
        <v>470</v>
      </c>
      <c r="F3946" s="11">
        <v>1</v>
      </c>
      <c r="G3946" s="11">
        <v>50420.17</v>
      </c>
    </row>
    <row r="3947" spans="2:7" x14ac:dyDescent="0.2">
      <c r="B3947" s="32">
        <v>45911</v>
      </c>
      <c r="C3947" t="s">
        <v>1726</v>
      </c>
      <c r="D3947" s="13" t="s">
        <v>634</v>
      </c>
      <c r="E3947" t="s">
        <v>170</v>
      </c>
      <c r="F3947" s="11">
        <v>1</v>
      </c>
      <c r="G3947" s="11">
        <v>46218.49</v>
      </c>
    </row>
    <row r="3948" spans="2:7" x14ac:dyDescent="0.2">
      <c r="B3948" s="32">
        <v>45911</v>
      </c>
      <c r="C3948" t="s">
        <v>1726</v>
      </c>
      <c r="D3948" s="13" t="s">
        <v>634</v>
      </c>
      <c r="E3948" t="s">
        <v>1973</v>
      </c>
      <c r="F3948" s="11">
        <v>1</v>
      </c>
      <c r="G3948" s="11">
        <v>46218.49</v>
      </c>
    </row>
    <row r="3949" spans="2:7" x14ac:dyDescent="0.2">
      <c r="B3949" s="32">
        <v>45911</v>
      </c>
      <c r="C3949" t="s">
        <v>1726</v>
      </c>
      <c r="D3949" s="13" t="s">
        <v>634</v>
      </c>
      <c r="E3949" t="s">
        <v>161</v>
      </c>
      <c r="F3949" s="11">
        <v>1</v>
      </c>
      <c r="G3949" s="11">
        <v>42016.81</v>
      </c>
    </row>
    <row r="3950" spans="2:7" x14ac:dyDescent="0.2">
      <c r="B3950" s="32">
        <v>45911</v>
      </c>
      <c r="C3950" t="s">
        <v>1726</v>
      </c>
      <c r="D3950" s="13" t="s">
        <v>634</v>
      </c>
      <c r="E3950" t="s">
        <v>1963</v>
      </c>
      <c r="F3950" s="11">
        <v>1</v>
      </c>
      <c r="G3950" s="11">
        <v>42016.81</v>
      </c>
    </row>
    <row r="3951" spans="2:7" x14ac:dyDescent="0.2">
      <c r="B3951" s="32">
        <v>45911</v>
      </c>
      <c r="C3951" t="s">
        <v>1726</v>
      </c>
      <c r="D3951" s="13" t="s">
        <v>634</v>
      </c>
      <c r="E3951" t="s">
        <v>234</v>
      </c>
      <c r="F3951" s="11">
        <v>1</v>
      </c>
      <c r="G3951" s="11">
        <v>37815.129999999997</v>
      </c>
    </row>
    <row r="3952" spans="2:7" x14ac:dyDescent="0.2">
      <c r="B3952" s="32">
        <v>45911</v>
      </c>
      <c r="C3952" t="s">
        <v>1726</v>
      </c>
      <c r="D3952" s="13" t="s">
        <v>634</v>
      </c>
      <c r="E3952" t="s">
        <v>328</v>
      </c>
      <c r="F3952" s="11">
        <v>1</v>
      </c>
      <c r="G3952" s="11">
        <v>37815.120000000003</v>
      </c>
    </row>
    <row r="3953" spans="2:7" x14ac:dyDescent="0.2">
      <c r="B3953" s="32">
        <v>45911</v>
      </c>
      <c r="C3953" t="s">
        <v>1726</v>
      </c>
      <c r="D3953" s="13" t="s">
        <v>633</v>
      </c>
      <c r="E3953" t="s">
        <v>2002</v>
      </c>
      <c r="F3953" s="11">
        <v>1</v>
      </c>
      <c r="G3953" s="11">
        <v>252100.85</v>
      </c>
    </row>
    <row r="3954" spans="2:7" x14ac:dyDescent="0.2">
      <c r="B3954" s="32">
        <v>45911</v>
      </c>
      <c r="C3954" t="s">
        <v>1726</v>
      </c>
      <c r="D3954" s="13" t="s">
        <v>633</v>
      </c>
      <c r="E3954" t="s">
        <v>368</v>
      </c>
      <c r="F3954" s="11">
        <v>2</v>
      </c>
      <c r="G3954" s="11">
        <v>151260.5</v>
      </c>
    </row>
    <row r="3955" spans="2:7" x14ac:dyDescent="0.2">
      <c r="B3955" s="32">
        <v>45911</v>
      </c>
      <c r="C3955" t="s">
        <v>1726</v>
      </c>
      <c r="D3955" s="13" t="s">
        <v>633</v>
      </c>
      <c r="E3955" t="s">
        <v>234</v>
      </c>
      <c r="F3955" s="11">
        <v>3</v>
      </c>
      <c r="G3955" s="11">
        <v>113445.38</v>
      </c>
    </row>
    <row r="3956" spans="2:7" x14ac:dyDescent="0.2">
      <c r="B3956" s="32">
        <v>45911</v>
      </c>
      <c r="C3956" t="s">
        <v>1726</v>
      </c>
      <c r="D3956" s="13" t="s">
        <v>633</v>
      </c>
      <c r="E3956" t="s">
        <v>155</v>
      </c>
      <c r="F3956" s="11">
        <v>1</v>
      </c>
      <c r="G3956" s="11">
        <v>96638.66</v>
      </c>
    </row>
    <row r="3957" spans="2:7" x14ac:dyDescent="0.2">
      <c r="B3957" s="32">
        <v>45911</v>
      </c>
      <c r="C3957" t="s">
        <v>1726</v>
      </c>
      <c r="D3957" s="13" t="s">
        <v>633</v>
      </c>
      <c r="F3957" s="11">
        <v>2</v>
      </c>
      <c r="G3957" s="11">
        <v>92436.97</v>
      </c>
    </row>
    <row r="3958" spans="2:7" x14ac:dyDescent="0.2">
      <c r="B3958" s="32">
        <v>45911</v>
      </c>
      <c r="C3958" t="s">
        <v>1726</v>
      </c>
      <c r="D3958" s="13" t="s">
        <v>633</v>
      </c>
      <c r="E3958" t="s">
        <v>203</v>
      </c>
      <c r="F3958" s="11">
        <v>2</v>
      </c>
      <c r="G3958" s="11">
        <v>84033.61</v>
      </c>
    </row>
    <row r="3959" spans="2:7" x14ac:dyDescent="0.2">
      <c r="B3959" s="32">
        <v>45911</v>
      </c>
      <c r="C3959" t="s">
        <v>1726</v>
      </c>
      <c r="D3959" s="13" t="s">
        <v>633</v>
      </c>
      <c r="E3959" t="s">
        <v>681</v>
      </c>
      <c r="F3959" s="11">
        <v>1</v>
      </c>
      <c r="G3959" s="11">
        <v>75630.25</v>
      </c>
    </row>
    <row r="3960" spans="2:7" x14ac:dyDescent="0.2">
      <c r="B3960" s="32">
        <v>45911</v>
      </c>
      <c r="C3960" t="s">
        <v>1726</v>
      </c>
      <c r="D3960" s="13" t="s">
        <v>633</v>
      </c>
      <c r="E3960" t="s">
        <v>698</v>
      </c>
      <c r="F3960" s="11">
        <v>1</v>
      </c>
      <c r="G3960" s="11">
        <v>75630.25</v>
      </c>
    </row>
    <row r="3961" spans="2:7" x14ac:dyDescent="0.2">
      <c r="B3961" s="32">
        <v>45911</v>
      </c>
      <c r="C3961" t="s">
        <v>1726</v>
      </c>
      <c r="D3961" s="13" t="s">
        <v>633</v>
      </c>
      <c r="E3961" t="s">
        <v>395</v>
      </c>
      <c r="F3961" s="11">
        <v>1</v>
      </c>
      <c r="G3961" s="11">
        <v>75630.25</v>
      </c>
    </row>
    <row r="3962" spans="2:7" x14ac:dyDescent="0.2">
      <c r="B3962" s="32">
        <v>45911</v>
      </c>
      <c r="C3962" t="s">
        <v>1726</v>
      </c>
      <c r="D3962" s="13" t="s">
        <v>633</v>
      </c>
      <c r="E3962" t="s">
        <v>347</v>
      </c>
      <c r="F3962" s="11">
        <v>1</v>
      </c>
      <c r="G3962" s="11">
        <v>75630.25</v>
      </c>
    </row>
    <row r="3963" spans="2:7" x14ac:dyDescent="0.2">
      <c r="B3963" s="32">
        <v>45911</v>
      </c>
      <c r="C3963" t="s">
        <v>1726</v>
      </c>
      <c r="D3963" s="13" t="s">
        <v>633</v>
      </c>
      <c r="E3963" t="s">
        <v>238</v>
      </c>
      <c r="F3963" s="11">
        <v>1</v>
      </c>
      <c r="G3963" s="11">
        <v>46218.49</v>
      </c>
    </row>
    <row r="3964" spans="2:7" x14ac:dyDescent="0.2">
      <c r="B3964" s="32">
        <v>45911</v>
      </c>
      <c r="C3964" t="s">
        <v>1726</v>
      </c>
      <c r="D3964" s="13" t="s">
        <v>633</v>
      </c>
      <c r="E3964" t="s">
        <v>150</v>
      </c>
      <c r="F3964" s="11">
        <v>1</v>
      </c>
      <c r="G3964" s="11">
        <v>42016.81</v>
      </c>
    </row>
    <row r="3965" spans="2:7" x14ac:dyDescent="0.2">
      <c r="B3965" s="32">
        <v>45911</v>
      </c>
      <c r="C3965" t="s">
        <v>1726</v>
      </c>
      <c r="D3965" s="13" t="s">
        <v>633</v>
      </c>
      <c r="E3965" t="s">
        <v>148</v>
      </c>
      <c r="F3965" s="11">
        <v>1</v>
      </c>
      <c r="G3965" s="11">
        <v>37815.129999999997</v>
      </c>
    </row>
    <row r="3966" spans="2:7" x14ac:dyDescent="0.2">
      <c r="B3966" s="32">
        <v>45911</v>
      </c>
      <c r="C3966" t="s">
        <v>142</v>
      </c>
      <c r="D3966" s="13" t="s">
        <v>634</v>
      </c>
      <c r="E3966" t="s">
        <v>378</v>
      </c>
      <c r="F3966" s="11">
        <v>1</v>
      </c>
      <c r="G3966" s="11">
        <v>58823.53</v>
      </c>
    </row>
    <row r="3967" spans="2:7" x14ac:dyDescent="0.2">
      <c r="B3967" s="32">
        <v>45911</v>
      </c>
      <c r="C3967" t="s">
        <v>142</v>
      </c>
      <c r="D3967" s="13" t="s">
        <v>634</v>
      </c>
      <c r="E3967" t="s">
        <v>287</v>
      </c>
      <c r="F3967" s="11">
        <v>1</v>
      </c>
      <c r="G3967" s="11">
        <v>58823.53</v>
      </c>
    </row>
    <row r="3968" spans="2:7" x14ac:dyDescent="0.2">
      <c r="B3968" s="32">
        <v>45911</v>
      </c>
      <c r="C3968" t="s">
        <v>142</v>
      </c>
      <c r="D3968" s="13" t="s">
        <v>634</v>
      </c>
      <c r="E3968" t="s">
        <v>239</v>
      </c>
      <c r="F3968" s="11">
        <v>1</v>
      </c>
      <c r="G3968" s="11">
        <v>46218.49</v>
      </c>
    </row>
    <row r="3969" spans="2:7" x14ac:dyDescent="0.2">
      <c r="B3969" s="32">
        <v>45911</v>
      </c>
      <c r="C3969" t="s">
        <v>142</v>
      </c>
      <c r="D3969" s="13" t="s">
        <v>634</v>
      </c>
      <c r="E3969" t="s">
        <v>229</v>
      </c>
      <c r="F3969" s="11">
        <v>1</v>
      </c>
      <c r="G3969" s="11">
        <v>42016.81</v>
      </c>
    </row>
    <row r="3970" spans="2:7" x14ac:dyDescent="0.2">
      <c r="B3970" s="32">
        <v>45911</v>
      </c>
      <c r="C3970" t="s">
        <v>142</v>
      </c>
      <c r="D3970" s="13" t="s">
        <v>633</v>
      </c>
      <c r="E3970" t="s">
        <v>169</v>
      </c>
      <c r="F3970" s="11">
        <v>1</v>
      </c>
      <c r="G3970" s="11">
        <v>96638.65</v>
      </c>
    </row>
    <row r="3971" spans="2:7" x14ac:dyDescent="0.2">
      <c r="B3971" s="32">
        <v>45911</v>
      </c>
      <c r="C3971" t="s">
        <v>142</v>
      </c>
      <c r="D3971" s="13" t="s">
        <v>633</v>
      </c>
      <c r="E3971" t="s">
        <v>1915</v>
      </c>
      <c r="F3971" s="11">
        <v>1</v>
      </c>
      <c r="G3971" s="11">
        <v>58823.53</v>
      </c>
    </row>
    <row r="3972" spans="2:7" x14ac:dyDescent="0.2">
      <c r="B3972" s="32">
        <v>45911</v>
      </c>
      <c r="C3972" t="s">
        <v>1739</v>
      </c>
      <c r="D3972" s="13" t="s">
        <v>633</v>
      </c>
      <c r="E3972" t="s">
        <v>283</v>
      </c>
      <c r="F3972" s="11">
        <v>1</v>
      </c>
      <c r="G3972" s="11">
        <v>45168.06</v>
      </c>
    </row>
    <row r="3973" spans="2:7" x14ac:dyDescent="0.2">
      <c r="B3973" s="32">
        <v>45911</v>
      </c>
      <c r="C3973" t="s">
        <v>109</v>
      </c>
      <c r="D3973" s="13" t="s">
        <v>634</v>
      </c>
      <c r="E3973" t="s">
        <v>1849</v>
      </c>
      <c r="F3973" s="11">
        <v>1</v>
      </c>
      <c r="G3973" s="11">
        <v>142857.14000000001</v>
      </c>
    </row>
    <row r="3974" spans="2:7" x14ac:dyDescent="0.2">
      <c r="B3974" s="32">
        <v>45911</v>
      </c>
      <c r="C3974" t="s">
        <v>109</v>
      </c>
      <c r="D3974" s="13" t="s">
        <v>634</v>
      </c>
      <c r="E3974" t="s">
        <v>164</v>
      </c>
      <c r="F3974" s="11">
        <v>1</v>
      </c>
      <c r="G3974" s="11">
        <v>71428.570000000007</v>
      </c>
    </row>
    <row r="3975" spans="2:7" x14ac:dyDescent="0.2">
      <c r="B3975" s="32">
        <v>45911</v>
      </c>
      <c r="C3975" t="s">
        <v>109</v>
      </c>
      <c r="D3975" s="13" t="s">
        <v>634</v>
      </c>
      <c r="E3975" t="s">
        <v>495</v>
      </c>
      <c r="F3975" s="11">
        <v>1</v>
      </c>
      <c r="G3975" s="11">
        <v>54621.85</v>
      </c>
    </row>
    <row r="3976" spans="2:7" x14ac:dyDescent="0.2">
      <c r="B3976" s="32">
        <v>45911</v>
      </c>
      <c r="C3976" t="s">
        <v>109</v>
      </c>
      <c r="D3976" s="13" t="s">
        <v>634</v>
      </c>
      <c r="E3976" t="s">
        <v>168</v>
      </c>
      <c r="F3976" s="11">
        <v>1</v>
      </c>
      <c r="G3976" s="11">
        <v>42016.81</v>
      </c>
    </row>
    <row r="3977" spans="2:7" x14ac:dyDescent="0.2">
      <c r="B3977" s="32">
        <v>45911</v>
      </c>
      <c r="C3977" t="s">
        <v>109</v>
      </c>
      <c r="D3977" s="13" t="s">
        <v>634</v>
      </c>
      <c r="E3977" t="s">
        <v>309</v>
      </c>
      <c r="F3977" s="11">
        <v>1</v>
      </c>
      <c r="G3977" s="11">
        <v>42016.81</v>
      </c>
    </row>
    <row r="3978" spans="2:7" x14ac:dyDescent="0.2">
      <c r="B3978" s="32">
        <v>45911</v>
      </c>
      <c r="C3978" t="s">
        <v>109</v>
      </c>
      <c r="D3978" s="13" t="s">
        <v>633</v>
      </c>
      <c r="E3978" t="s">
        <v>1890</v>
      </c>
      <c r="F3978" s="11">
        <v>1</v>
      </c>
      <c r="G3978" s="11">
        <v>75630.25</v>
      </c>
    </row>
    <row r="3979" spans="2:7" x14ac:dyDescent="0.2">
      <c r="B3979" s="32">
        <v>45911</v>
      </c>
      <c r="C3979" t="s">
        <v>109</v>
      </c>
      <c r="D3979" s="13" t="s">
        <v>633</v>
      </c>
      <c r="E3979" t="s">
        <v>662</v>
      </c>
      <c r="F3979" s="11">
        <v>1</v>
      </c>
      <c r="G3979" s="11">
        <v>37815.129999999997</v>
      </c>
    </row>
    <row r="3980" spans="2:7" x14ac:dyDescent="0.2">
      <c r="B3980" s="32">
        <v>45911</v>
      </c>
      <c r="C3980" t="s">
        <v>109</v>
      </c>
      <c r="D3980" s="13" t="s">
        <v>633</v>
      </c>
      <c r="E3980" t="s">
        <v>322</v>
      </c>
      <c r="F3980" s="11">
        <v>1</v>
      </c>
      <c r="G3980" s="11">
        <v>29000</v>
      </c>
    </row>
    <row r="3981" spans="2:7" x14ac:dyDescent="0.2">
      <c r="B3981" s="32">
        <v>45911</v>
      </c>
      <c r="C3981" t="s">
        <v>109</v>
      </c>
      <c r="D3981" s="13" t="s">
        <v>633</v>
      </c>
      <c r="E3981" t="s">
        <v>1769</v>
      </c>
      <c r="F3981" s="11">
        <v>1</v>
      </c>
      <c r="G3981" s="11">
        <v>21008.400000000001</v>
      </c>
    </row>
    <row r="3982" spans="2:7" x14ac:dyDescent="0.2">
      <c r="B3982" s="32">
        <v>45912</v>
      </c>
      <c r="C3982" t="s">
        <v>1726</v>
      </c>
      <c r="D3982" s="13"/>
      <c r="E3982" t="s">
        <v>681</v>
      </c>
      <c r="F3982" s="11">
        <v>1</v>
      </c>
      <c r="G3982" s="11">
        <v>75630.25</v>
      </c>
    </row>
    <row r="3983" spans="2:7" x14ac:dyDescent="0.2">
      <c r="B3983" s="32">
        <v>45912</v>
      </c>
      <c r="C3983" t="s">
        <v>1726</v>
      </c>
      <c r="D3983" s="13"/>
      <c r="E3983" t="s">
        <v>234</v>
      </c>
      <c r="F3983" s="11">
        <v>2</v>
      </c>
      <c r="G3983" s="11">
        <v>75630.25</v>
      </c>
    </row>
    <row r="3984" spans="2:7" x14ac:dyDescent="0.2">
      <c r="B3984" s="32">
        <v>45912</v>
      </c>
      <c r="C3984" t="s">
        <v>1726</v>
      </c>
      <c r="D3984" s="13"/>
      <c r="E3984" t="s">
        <v>212</v>
      </c>
      <c r="F3984" s="11">
        <v>1</v>
      </c>
      <c r="G3984" s="11">
        <v>54621.85</v>
      </c>
    </row>
    <row r="3985" spans="2:7" x14ac:dyDescent="0.2">
      <c r="B3985" s="32">
        <v>45912</v>
      </c>
      <c r="C3985" t="s">
        <v>1726</v>
      </c>
      <c r="D3985" s="13"/>
      <c r="F3985" s="11">
        <v>1</v>
      </c>
      <c r="G3985" s="11">
        <v>46218.49</v>
      </c>
    </row>
    <row r="3986" spans="2:7" x14ac:dyDescent="0.2">
      <c r="B3986" s="32">
        <v>45912</v>
      </c>
      <c r="C3986" t="s">
        <v>1726</v>
      </c>
      <c r="D3986" s="13"/>
      <c r="E3986" t="s">
        <v>172</v>
      </c>
      <c r="F3986" s="11">
        <v>1</v>
      </c>
      <c r="G3986" s="11">
        <v>46218.49</v>
      </c>
    </row>
    <row r="3987" spans="2:7" x14ac:dyDescent="0.2">
      <c r="B3987" s="32">
        <v>45912</v>
      </c>
      <c r="C3987" t="s">
        <v>1726</v>
      </c>
      <c r="D3987" s="13"/>
      <c r="E3987" t="s">
        <v>1973</v>
      </c>
      <c r="F3987" s="11">
        <v>1</v>
      </c>
      <c r="G3987" s="11">
        <v>46218.49</v>
      </c>
    </row>
    <row r="3988" spans="2:7" x14ac:dyDescent="0.2">
      <c r="B3988" s="32">
        <v>45912</v>
      </c>
      <c r="C3988" t="s">
        <v>1726</v>
      </c>
      <c r="D3988" s="13" t="s">
        <v>634</v>
      </c>
      <c r="E3988" t="s">
        <v>2003</v>
      </c>
      <c r="F3988" s="11">
        <v>2</v>
      </c>
      <c r="G3988" s="11">
        <v>277310.93</v>
      </c>
    </row>
    <row r="3989" spans="2:7" x14ac:dyDescent="0.2">
      <c r="B3989" s="32">
        <v>45912</v>
      </c>
      <c r="C3989" t="s">
        <v>1726</v>
      </c>
      <c r="D3989" s="13" t="s">
        <v>634</v>
      </c>
      <c r="E3989" t="s">
        <v>148</v>
      </c>
      <c r="F3989" s="11">
        <v>4</v>
      </c>
      <c r="G3989" s="11">
        <v>151260.51</v>
      </c>
    </row>
    <row r="3990" spans="2:7" x14ac:dyDescent="0.2">
      <c r="B3990" s="32">
        <v>45912</v>
      </c>
      <c r="C3990" t="s">
        <v>1726</v>
      </c>
      <c r="D3990" s="13" t="s">
        <v>634</v>
      </c>
      <c r="E3990" t="s">
        <v>234</v>
      </c>
      <c r="F3990" s="11">
        <v>3</v>
      </c>
      <c r="G3990" s="11">
        <v>113445.39</v>
      </c>
    </row>
    <row r="3991" spans="2:7" x14ac:dyDescent="0.2">
      <c r="B3991" s="32">
        <v>45912</v>
      </c>
      <c r="C3991" t="s">
        <v>1726</v>
      </c>
      <c r="D3991" s="13" t="s">
        <v>634</v>
      </c>
      <c r="E3991" t="s">
        <v>328</v>
      </c>
      <c r="F3991" s="11">
        <v>3</v>
      </c>
      <c r="G3991" s="11">
        <v>113445.39</v>
      </c>
    </row>
    <row r="3992" spans="2:7" x14ac:dyDescent="0.2">
      <c r="B3992" s="32">
        <v>45912</v>
      </c>
      <c r="C3992" t="s">
        <v>1726</v>
      </c>
      <c r="D3992" s="13" t="s">
        <v>634</v>
      </c>
      <c r="E3992" t="s">
        <v>158</v>
      </c>
      <c r="F3992" s="11">
        <v>2</v>
      </c>
      <c r="G3992" s="11">
        <v>92436.98</v>
      </c>
    </row>
    <row r="3993" spans="2:7" x14ac:dyDescent="0.2">
      <c r="B3993" s="32">
        <v>45912</v>
      </c>
      <c r="C3993" t="s">
        <v>1726</v>
      </c>
      <c r="D3993" s="13" t="s">
        <v>634</v>
      </c>
      <c r="E3993" t="s">
        <v>221</v>
      </c>
      <c r="F3993" s="11">
        <v>2</v>
      </c>
      <c r="G3993" s="11">
        <v>92436.97</v>
      </c>
    </row>
    <row r="3994" spans="2:7" x14ac:dyDescent="0.2">
      <c r="B3994" s="32">
        <v>45912</v>
      </c>
      <c r="C3994" t="s">
        <v>1726</v>
      </c>
      <c r="D3994" s="13" t="s">
        <v>634</v>
      </c>
      <c r="E3994" t="s">
        <v>282</v>
      </c>
      <c r="F3994" s="11">
        <v>1</v>
      </c>
      <c r="G3994" s="11">
        <v>84033.61</v>
      </c>
    </row>
    <row r="3995" spans="2:7" x14ac:dyDescent="0.2">
      <c r="B3995" s="32">
        <v>45912</v>
      </c>
      <c r="C3995" t="s">
        <v>1726</v>
      </c>
      <c r="D3995" s="13" t="s">
        <v>634</v>
      </c>
      <c r="E3995" t="s">
        <v>190</v>
      </c>
      <c r="F3995" s="11">
        <v>1</v>
      </c>
      <c r="G3995" s="11">
        <v>79831.929999999993</v>
      </c>
    </row>
    <row r="3996" spans="2:7" x14ac:dyDescent="0.2">
      <c r="B3996" s="32">
        <v>45912</v>
      </c>
      <c r="C3996" t="s">
        <v>1726</v>
      </c>
      <c r="D3996" s="13" t="s">
        <v>634</v>
      </c>
      <c r="E3996" t="s">
        <v>173</v>
      </c>
      <c r="F3996" s="11">
        <v>2</v>
      </c>
      <c r="G3996" s="11">
        <v>75630.259999999995</v>
      </c>
    </row>
    <row r="3997" spans="2:7" x14ac:dyDescent="0.2">
      <c r="B3997" s="32">
        <v>45912</v>
      </c>
      <c r="C3997" t="s">
        <v>1726</v>
      </c>
      <c r="D3997" s="13" t="s">
        <v>634</v>
      </c>
      <c r="E3997" t="s">
        <v>206</v>
      </c>
      <c r="F3997" s="11">
        <v>2</v>
      </c>
      <c r="G3997" s="11">
        <v>75630.259999999995</v>
      </c>
    </row>
    <row r="3998" spans="2:7" x14ac:dyDescent="0.2">
      <c r="B3998" s="32">
        <v>45912</v>
      </c>
      <c r="C3998" t="s">
        <v>1726</v>
      </c>
      <c r="D3998" s="13" t="s">
        <v>634</v>
      </c>
      <c r="E3998" t="s">
        <v>152</v>
      </c>
      <c r="F3998" s="11">
        <v>1</v>
      </c>
      <c r="G3998" s="11">
        <v>75630.25</v>
      </c>
    </row>
    <row r="3999" spans="2:7" x14ac:dyDescent="0.2">
      <c r="B3999" s="32">
        <v>45912</v>
      </c>
      <c r="C3999" t="s">
        <v>1726</v>
      </c>
      <c r="D3999" s="13" t="s">
        <v>634</v>
      </c>
      <c r="E3999" t="s">
        <v>174</v>
      </c>
      <c r="F3999" s="11">
        <v>1</v>
      </c>
      <c r="G3999" s="11">
        <v>75630.25</v>
      </c>
    </row>
    <row r="4000" spans="2:7" x14ac:dyDescent="0.2">
      <c r="B4000" s="32">
        <v>45912</v>
      </c>
      <c r="C4000" t="s">
        <v>1726</v>
      </c>
      <c r="D4000" s="13" t="s">
        <v>634</v>
      </c>
      <c r="E4000" t="s">
        <v>395</v>
      </c>
      <c r="F4000" s="11">
        <v>1</v>
      </c>
      <c r="G4000" s="11">
        <v>75630.25</v>
      </c>
    </row>
    <row r="4001" spans="2:7" x14ac:dyDescent="0.2">
      <c r="B4001" s="32">
        <v>45912</v>
      </c>
      <c r="C4001" t="s">
        <v>1726</v>
      </c>
      <c r="D4001" s="13" t="s">
        <v>634</v>
      </c>
      <c r="E4001" t="s">
        <v>534</v>
      </c>
      <c r="F4001" s="11">
        <v>1</v>
      </c>
      <c r="G4001" s="11">
        <v>71428.570000000007</v>
      </c>
    </row>
    <row r="4002" spans="2:7" x14ac:dyDescent="0.2">
      <c r="B4002" s="32">
        <v>45912</v>
      </c>
      <c r="C4002" t="s">
        <v>1726</v>
      </c>
      <c r="D4002" s="13" t="s">
        <v>634</v>
      </c>
      <c r="E4002" t="s">
        <v>192</v>
      </c>
      <c r="F4002" s="11">
        <v>1</v>
      </c>
      <c r="G4002" s="11">
        <v>71428.570000000007</v>
      </c>
    </row>
    <row r="4003" spans="2:7" x14ac:dyDescent="0.2">
      <c r="B4003" s="32">
        <v>45912</v>
      </c>
      <c r="C4003" t="s">
        <v>1726</v>
      </c>
      <c r="D4003" s="13" t="s">
        <v>634</v>
      </c>
      <c r="E4003" t="s">
        <v>336</v>
      </c>
      <c r="F4003" s="11">
        <v>1</v>
      </c>
      <c r="G4003" s="11">
        <v>71428.570000000007</v>
      </c>
    </row>
    <row r="4004" spans="2:7" x14ac:dyDescent="0.2">
      <c r="B4004" s="32">
        <v>45912</v>
      </c>
      <c r="C4004" t="s">
        <v>1726</v>
      </c>
      <c r="D4004" s="13" t="s">
        <v>634</v>
      </c>
      <c r="E4004" t="s">
        <v>352</v>
      </c>
      <c r="F4004" s="11">
        <v>1</v>
      </c>
      <c r="G4004" s="11">
        <v>71428.570000000007</v>
      </c>
    </row>
    <row r="4005" spans="2:7" x14ac:dyDescent="0.2">
      <c r="B4005" s="32">
        <v>45912</v>
      </c>
      <c r="C4005" t="s">
        <v>1726</v>
      </c>
      <c r="D4005" s="13" t="s">
        <v>634</v>
      </c>
      <c r="E4005" t="s">
        <v>751</v>
      </c>
      <c r="F4005" s="11">
        <v>1</v>
      </c>
      <c r="G4005" s="11">
        <v>58823.53</v>
      </c>
    </row>
    <row r="4006" spans="2:7" x14ac:dyDescent="0.2">
      <c r="B4006" s="32">
        <v>45912</v>
      </c>
      <c r="C4006" t="s">
        <v>1726</v>
      </c>
      <c r="D4006" s="13" t="s">
        <v>634</v>
      </c>
      <c r="E4006" t="s">
        <v>292</v>
      </c>
      <c r="F4006" s="11">
        <v>1</v>
      </c>
      <c r="G4006" s="11">
        <v>54621.85</v>
      </c>
    </row>
    <row r="4007" spans="2:7" x14ac:dyDescent="0.2">
      <c r="B4007" s="32">
        <v>45912</v>
      </c>
      <c r="C4007" t="s">
        <v>1726</v>
      </c>
      <c r="D4007" s="13" t="s">
        <v>634</v>
      </c>
      <c r="E4007" t="s">
        <v>679</v>
      </c>
      <c r="F4007" s="11">
        <v>1</v>
      </c>
      <c r="G4007" s="11">
        <v>54621.85</v>
      </c>
    </row>
    <row r="4008" spans="2:7" x14ac:dyDescent="0.2">
      <c r="B4008" s="32">
        <v>45912</v>
      </c>
      <c r="C4008" t="s">
        <v>1726</v>
      </c>
      <c r="D4008" s="13" t="s">
        <v>634</v>
      </c>
      <c r="E4008" t="s">
        <v>238</v>
      </c>
      <c r="F4008" s="11">
        <v>1</v>
      </c>
      <c r="G4008" s="11">
        <v>46218.49</v>
      </c>
    </row>
    <row r="4009" spans="2:7" x14ac:dyDescent="0.2">
      <c r="B4009" s="32">
        <v>45912</v>
      </c>
      <c r="C4009" t="s">
        <v>1726</v>
      </c>
      <c r="D4009" s="13" t="s">
        <v>634</v>
      </c>
      <c r="E4009" t="s">
        <v>392</v>
      </c>
      <c r="F4009" s="11">
        <v>1</v>
      </c>
      <c r="G4009" s="11">
        <v>46218.49</v>
      </c>
    </row>
    <row r="4010" spans="2:7" x14ac:dyDescent="0.2">
      <c r="B4010" s="32">
        <v>45912</v>
      </c>
      <c r="C4010" t="s">
        <v>1726</v>
      </c>
      <c r="D4010" s="13" t="s">
        <v>634</v>
      </c>
      <c r="F4010" s="11">
        <v>1</v>
      </c>
      <c r="G4010" s="11">
        <v>46218.48</v>
      </c>
    </row>
    <row r="4011" spans="2:7" x14ac:dyDescent="0.2">
      <c r="B4011" s="32">
        <v>45912</v>
      </c>
      <c r="C4011" t="s">
        <v>1726</v>
      </c>
      <c r="D4011" s="13" t="s">
        <v>634</v>
      </c>
      <c r="E4011" t="s">
        <v>146</v>
      </c>
      <c r="F4011" s="11">
        <v>1</v>
      </c>
      <c r="G4011" s="11">
        <v>46218.48</v>
      </c>
    </row>
    <row r="4012" spans="2:7" x14ac:dyDescent="0.2">
      <c r="B4012" s="32">
        <v>45912</v>
      </c>
      <c r="C4012" t="s">
        <v>1726</v>
      </c>
      <c r="D4012" s="13" t="s">
        <v>634</v>
      </c>
      <c r="E4012" t="s">
        <v>260</v>
      </c>
      <c r="F4012" s="11">
        <v>1</v>
      </c>
      <c r="G4012" s="11">
        <v>46218.48</v>
      </c>
    </row>
    <row r="4013" spans="2:7" x14ac:dyDescent="0.2">
      <c r="B4013" s="32">
        <v>45912</v>
      </c>
      <c r="C4013" t="s">
        <v>1726</v>
      </c>
      <c r="D4013" s="13" t="s">
        <v>634</v>
      </c>
      <c r="E4013" t="s">
        <v>166</v>
      </c>
      <c r="F4013" s="11">
        <v>1</v>
      </c>
      <c r="G4013" s="11">
        <v>42016.81</v>
      </c>
    </row>
    <row r="4014" spans="2:7" x14ac:dyDescent="0.2">
      <c r="B4014" s="32">
        <v>45912</v>
      </c>
      <c r="C4014" t="s">
        <v>1726</v>
      </c>
      <c r="D4014" s="13" t="s">
        <v>634</v>
      </c>
      <c r="E4014" t="s">
        <v>203</v>
      </c>
      <c r="F4014" s="11">
        <v>1</v>
      </c>
      <c r="G4014" s="11">
        <v>42016.81</v>
      </c>
    </row>
    <row r="4015" spans="2:7" x14ac:dyDescent="0.2">
      <c r="B4015" s="32">
        <v>45912</v>
      </c>
      <c r="C4015" t="s">
        <v>1726</v>
      </c>
      <c r="D4015" s="13" t="s">
        <v>634</v>
      </c>
      <c r="E4015" t="s">
        <v>196</v>
      </c>
      <c r="F4015" s="11">
        <v>1</v>
      </c>
      <c r="G4015" s="11">
        <v>42016.800000000003</v>
      </c>
    </row>
    <row r="4016" spans="2:7" x14ac:dyDescent="0.2">
      <c r="B4016" s="32">
        <v>45912</v>
      </c>
      <c r="C4016" t="s">
        <v>1726</v>
      </c>
      <c r="D4016" s="13" t="s">
        <v>633</v>
      </c>
      <c r="E4016" t="s">
        <v>264</v>
      </c>
      <c r="F4016" s="11">
        <v>1</v>
      </c>
      <c r="G4016" s="11">
        <v>75630.25</v>
      </c>
    </row>
    <row r="4017" spans="2:7" x14ac:dyDescent="0.2">
      <c r="B4017" s="32">
        <v>45912</v>
      </c>
      <c r="C4017" t="s">
        <v>1726</v>
      </c>
      <c r="D4017" s="13" t="s">
        <v>633</v>
      </c>
      <c r="E4017" t="s">
        <v>199</v>
      </c>
      <c r="F4017" s="11">
        <v>1</v>
      </c>
      <c r="G4017" s="11">
        <v>75630.25</v>
      </c>
    </row>
    <row r="4018" spans="2:7" x14ac:dyDescent="0.2">
      <c r="B4018" s="32">
        <v>45912</v>
      </c>
      <c r="C4018" t="s">
        <v>1726</v>
      </c>
      <c r="D4018" s="13" t="s">
        <v>633</v>
      </c>
      <c r="E4018" t="s">
        <v>149</v>
      </c>
      <c r="F4018" s="11">
        <v>1</v>
      </c>
      <c r="G4018" s="11">
        <v>71428.570000000007</v>
      </c>
    </row>
    <row r="4019" spans="2:7" x14ac:dyDescent="0.2">
      <c r="B4019" s="32">
        <v>45912</v>
      </c>
      <c r="C4019" t="s">
        <v>1726</v>
      </c>
      <c r="D4019" s="13" t="s">
        <v>633</v>
      </c>
      <c r="E4019" t="s">
        <v>337</v>
      </c>
      <c r="F4019" s="11">
        <v>1</v>
      </c>
      <c r="G4019" s="11">
        <v>46218.49</v>
      </c>
    </row>
    <row r="4020" spans="2:7" x14ac:dyDescent="0.2">
      <c r="B4020" s="32">
        <v>45912</v>
      </c>
      <c r="C4020" t="s">
        <v>1726</v>
      </c>
      <c r="D4020" s="13" t="s">
        <v>633</v>
      </c>
      <c r="E4020" t="s">
        <v>158</v>
      </c>
      <c r="F4020" s="11">
        <v>1</v>
      </c>
      <c r="G4020" s="11">
        <v>46218.49</v>
      </c>
    </row>
    <row r="4021" spans="2:7" x14ac:dyDescent="0.2">
      <c r="B4021" s="32">
        <v>45912</v>
      </c>
      <c r="C4021" t="s">
        <v>142</v>
      </c>
      <c r="D4021" s="13" t="s">
        <v>634</v>
      </c>
      <c r="E4021" t="s">
        <v>2004</v>
      </c>
      <c r="F4021" s="11">
        <v>1</v>
      </c>
      <c r="G4021" s="11">
        <v>252100.84</v>
      </c>
    </row>
    <row r="4022" spans="2:7" x14ac:dyDescent="0.2">
      <c r="B4022" s="32">
        <v>45912</v>
      </c>
      <c r="C4022" t="s">
        <v>142</v>
      </c>
      <c r="D4022" s="13" t="s">
        <v>634</v>
      </c>
      <c r="E4022" t="s">
        <v>431</v>
      </c>
      <c r="F4022" s="11">
        <v>1</v>
      </c>
      <c r="G4022" s="11">
        <v>58823.53</v>
      </c>
    </row>
    <row r="4023" spans="2:7" x14ac:dyDescent="0.2">
      <c r="B4023" s="32">
        <v>45912</v>
      </c>
      <c r="C4023" t="s">
        <v>142</v>
      </c>
      <c r="D4023" s="13" t="s">
        <v>633</v>
      </c>
      <c r="E4023" t="s">
        <v>563</v>
      </c>
      <c r="F4023" s="11">
        <v>1</v>
      </c>
      <c r="G4023" s="11">
        <v>92436.97</v>
      </c>
    </row>
    <row r="4024" spans="2:7" x14ac:dyDescent="0.2">
      <c r="B4024" s="32">
        <v>45912</v>
      </c>
      <c r="C4024" t="s">
        <v>142</v>
      </c>
      <c r="D4024" s="13" t="s">
        <v>633</v>
      </c>
      <c r="E4024" t="s">
        <v>709</v>
      </c>
      <c r="F4024" s="11">
        <v>1</v>
      </c>
      <c r="G4024" s="11">
        <v>58823.53</v>
      </c>
    </row>
    <row r="4025" spans="2:7" x14ac:dyDescent="0.2">
      <c r="B4025" s="32">
        <v>45912</v>
      </c>
      <c r="C4025" t="s">
        <v>1739</v>
      </c>
      <c r="D4025" s="13" t="s">
        <v>634</v>
      </c>
      <c r="E4025" t="s">
        <v>154</v>
      </c>
      <c r="F4025" s="11">
        <v>1</v>
      </c>
      <c r="G4025" s="11">
        <v>96638.66</v>
      </c>
    </row>
    <row r="4026" spans="2:7" x14ac:dyDescent="0.2">
      <c r="B4026" s="32">
        <v>45912</v>
      </c>
      <c r="C4026" t="s">
        <v>1739</v>
      </c>
      <c r="D4026" s="13" t="s">
        <v>633</v>
      </c>
      <c r="E4026" t="s">
        <v>169</v>
      </c>
      <c r="F4026" s="11">
        <v>1</v>
      </c>
      <c r="G4026" s="11">
        <v>96638.66</v>
      </c>
    </row>
    <row r="4027" spans="2:7" x14ac:dyDescent="0.2">
      <c r="B4027" s="32">
        <v>45912</v>
      </c>
      <c r="C4027" t="s">
        <v>1739</v>
      </c>
      <c r="D4027" s="13" t="s">
        <v>633</v>
      </c>
      <c r="E4027" t="s">
        <v>709</v>
      </c>
      <c r="F4027" s="11">
        <v>1</v>
      </c>
      <c r="G4027" s="11">
        <v>58823.53</v>
      </c>
    </row>
    <row r="4028" spans="2:7" x14ac:dyDescent="0.2">
      <c r="B4028" s="32">
        <v>45912</v>
      </c>
      <c r="C4028" t="s">
        <v>1739</v>
      </c>
      <c r="D4028" s="13" t="s">
        <v>633</v>
      </c>
      <c r="E4028" t="s">
        <v>537</v>
      </c>
      <c r="F4028" s="11">
        <v>1</v>
      </c>
      <c r="G4028" s="11">
        <v>58823.53</v>
      </c>
    </row>
    <row r="4029" spans="2:7" x14ac:dyDescent="0.2">
      <c r="B4029" s="32">
        <v>45912</v>
      </c>
      <c r="C4029" t="s">
        <v>109</v>
      </c>
      <c r="D4029" s="13" t="s">
        <v>634</v>
      </c>
      <c r="E4029" t="s">
        <v>308</v>
      </c>
      <c r="F4029" s="11">
        <v>1</v>
      </c>
      <c r="G4029" s="11">
        <v>96638.66</v>
      </c>
    </row>
    <row r="4030" spans="2:7" x14ac:dyDescent="0.2">
      <c r="B4030" s="32">
        <v>45912</v>
      </c>
      <c r="C4030" t="s">
        <v>109</v>
      </c>
      <c r="D4030" s="13" t="s">
        <v>634</v>
      </c>
      <c r="E4030" t="s">
        <v>190</v>
      </c>
      <c r="F4030" s="11">
        <v>1</v>
      </c>
      <c r="G4030" s="11">
        <v>92436.97</v>
      </c>
    </row>
    <row r="4031" spans="2:7" x14ac:dyDescent="0.2">
      <c r="B4031" s="32">
        <v>45912</v>
      </c>
      <c r="C4031" t="s">
        <v>109</v>
      </c>
      <c r="D4031" s="13" t="s">
        <v>634</v>
      </c>
      <c r="E4031" t="s">
        <v>413</v>
      </c>
      <c r="F4031" s="11">
        <v>1</v>
      </c>
      <c r="G4031" s="11">
        <v>79831.929999999993</v>
      </c>
    </row>
    <row r="4032" spans="2:7" x14ac:dyDescent="0.2">
      <c r="B4032" s="32">
        <v>45912</v>
      </c>
      <c r="C4032" t="s">
        <v>109</v>
      </c>
      <c r="D4032" s="13" t="s">
        <v>634</v>
      </c>
      <c r="E4032" t="s">
        <v>258</v>
      </c>
      <c r="F4032" s="11">
        <v>1</v>
      </c>
      <c r="G4032" s="11">
        <v>54621.85</v>
      </c>
    </row>
    <row r="4033" spans="2:7" x14ac:dyDescent="0.2">
      <c r="B4033" s="32">
        <v>45912</v>
      </c>
      <c r="C4033" t="s">
        <v>109</v>
      </c>
      <c r="D4033" s="13" t="s">
        <v>634</v>
      </c>
      <c r="E4033" t="s">
        <v>161</v>
      </c>
      <c r="F4033" s="11">
        <v>1</v>
      </c>
      <c r="G4033" s="11">
        <v>42016.81</v>
      </c>
    </row>
    <row r="4034" spans="2:7" x14ac:dyDescent="0.2">
      <c r="B4034" s="32">
        <v>45912</v>
      </c>
      <c r="C4034" t="s">
        <v>109</v>
      </c>
      <c r="D4034" s="13" t="s">
        <v>634</v>
      </c>
      <c r="E4034" t="s">
        <v>144</v>
      </c>
      <c r="F4034" s="11">
        <v>2</v>
      </c>
      <c r="G4034" s="11">
        <v>7563.02</v>
      </c>
    </row>
    <row r="4035" spans="2:7" x14ac:dyDescent="0.2">
      <c r="B4035" s="32">
        <v>45912</v>
      </c>
      <c r="C4035" t="s">
        <v>109</v>
      </c>
      <c r="D4035" s="13" t="s">
        <v>633</v>
      </c>
      <c r="E4035" t="s">
        <v>554</v>
      </c>
      <c r="F4035" s="11">
        <v>1</v>
      </c>
      <c r="G4035" s="11">
        <v>285714.28999999998</v>
      </c>
    </row>
    <row r="4036" spans="2:7" x14ac:dyDescent="0.2">
      <c r="B4036" s="32">
        <v>45912</v>
      </c>
      <c r="C4036" t="s">
        <v>109</v>
      </c>
      <c r="D4036" s="13" t="s">
        <v>633</v>
      </c>
      <c r="E4036" t="s">
        <v>675</v>
      </c>
      <c r="F4036" s="11">
        <v>1</v>
      </c>
      <c r="G4036" s="11">
        <v>98000</v>
      </c>
    </row>
    <row r="4037" spans="2:7" x14ac:dyDescent="0.2">
      <c r="B4037" s="32">
        <v>45912</v>
      </c>
      <c r="C4037" t="s">
        <v>109</v>
      </c>
      <c r="D4037" s="13" t="s">
        <v>633</v>
      </c>
      <c r="E4037" t="s">
        <v>667</v>
      </c>
      <c r="F4037" s="11">
        <v>1</v>
      </c>
      <c r="G4037" s="11">
        <v>78000</v>
      </c>
    </row>
    <row r="4038" spans="2:7" x14ac:dyDescent="0.2">
      <c r="B4038" s="32">
        <v>45912</v>
      </c>
      <c r="C4038" t="s">
        <v>109</v>
      </c>
      <c r="D4038" s="13" t="s">
        <v>633</v>
      </c>
      <c r="E4038" t="s">
        <v>174</v>
      </c>
      <c r="F4038" s="11">
        <v>1</v>
      </c>
      <c r="G4038" s="11">
        <v>75630.25</v>
      </c>
    </row>
    <row r="4039" spans="2:7" x14ac:dyDescent="0.2">
      <c r="B4039" s="32">
        <v>45912</v>
      </c>
      <c r="C4039" t="s">
        <v>109</v>
      </c>
      <c r="D4039" s="13" t="s">
        <v>633</v>
      </c>
      <c r="E4039" t="s">
        <v>368</v>
      </c>
      <c r="F4039" s="11">
        <v>1</v>
      </c>
      <c r="G4039" s="11">
        <v>75630.25</v>
      </c>
    </row>
    <row r="4040" spans="2:7" x14ac:dyDescent="0.2">
      <c r="B4040" s="32">
        <v>45912</v>
      </c>
      <c r="C4040" t="s">
        <v>109</v>
      </c>
      <c r="D4040" s="13" t="s">
        <v>633</v>
      </c>
      <c r="E4040" t="s">
        <v>357</v>
      </c>
      <c r="F4040" s="11">
        <v>1</v>
      </c>
      <c r="G4040" s="11">
        <v>71428.570000000007</v>
      </c>
    </row>
    <row r="4041" spans="2:7" x14ac:dyDescent="0.2">
      <c r="B4041" s="32">
        <v>45912</v>
      </c>
      <c r="C4041" t="s">
        <v>109</v>
      </c>
      <c r="D4041" s="13" t="s">
        <v>633</v>
      </c>
      <c r="E4041" t="s">
        <v>336</v>
      </c>
      <c r="F4041" s="11">
        <v>1</v>
      </c>
      <c r="G4041" s="11">
        <v>71428.570000000007</v>
      </c>
    </row>
    <row r="4042" spans="2:7" x14ac:dyDescent="0.2">
      <c r="B4042" s="32">
        <v>45912</v>
      </c>
      <c r="C4042" t="s">
        <v>109</v>
      </c>
      <c r="D4042" s="13" t="s">
        <v>633</v>
      </c>
      <c r="E4042" t="s">
        <v>404</v>
      </c>
      <c r="F4042" s="11">
        <v>1</v>
      </c>
      <c r="G4042" s="11">
        <v>65000</v>
      </c>
    </row>
    <row r="4043" spans="2:7" x14ac:dyDescent="0.2">
      <c r="B4043" s="32">
        <v>45912</v>
      </c>
      <c r="C4043" t="s">
        <v>109</v>
      </c>
      <c r="D4043" s="13" t="s">
        <v>633</v>
      </c>
      <c r="E4043" t="s">
        <v>153</v>
      </c>
      <c r="F4043" s="11">
        <v>1</v>
      </c>
      <c r="G4043" s="11">
        <v>42016.81</v>
      </c>
    </row>
    <row r="4044" spans="2:7" x14ac:dyDescent="0.2">
      <c r="B4044" s="32">
        <v>45912</v>
      </c>
      <c r="C4044" t="s">
        <v>109</v>
      </c>
      <c r="D4044" s="13" t="s">
        <v>633</v>
      </c>
      <c r="E4044" t="s">
        <v>234</v>
      </c>
      <c r="F4044" s="11">
        <v>1</v>
      </c>
      <c r="G4044" s="11">
        <v>37815.129999999997</v>
      </c>
    </row>
    <row r="4045" spans="2:7" x14ac:dyDescent="0.2">
      <c r="B4045" s="32">
        <v>45912</v>
      </c>
      <c r="C4045" t="s">
        <v>109</v>
      </c>
      <c r="D4045" s="13" t="s">
        <v>633</v>
      </c>
      <c r="E4045" t="s">
        <v>144</v>
      </c>
      <c r="F4045" s="11">
        <v>2</v>
      </c>
      <c r="G4045" s="11">
        <v>27731.09</v>
      </c>
    </row>
    <row r="4046" spans="2:7" x14ac:dyDescent="0.2">
      <c r="B4046" s="32">
        <v>45912</v>
      </c>
      <c r="C4046" t="s">
        <v>109</v>
      </c>
      <c r="D4046" s="13" t="s">
        <v>633</v>
      </c>
      <c r="E4046" t="s">
        <v>263</v>
      </c>
      <c r="F4046" s="11">
        <v>1</v>
      </c>
      <c r="G4046" s="11">
        <v>21848.74</v>
      </c>
    </row>
    <row r="4047" spans="2:7" x14ac:dyDescent="0.2">
      <c r="B4047" s="32">
        <v>45913</v>
      </c>
      <c r="C4047" t="s">
        <v>1726</v>
      </c>
      <c r="D4047" s="13"/>
      <c r="E4047" t="s">
        <v>212</v>
      </c>
      <c r="F4047" s="11">
        <v>2</v>
      </c>
      <c r="G4047" s="11">
        <v>109243.7</v>
      </c>
    </row>
    <row r="4048" spans="2:7" x14ac:dyDescent="0.2">
      <c r="B4048" s="32">
        <v>45913</v>
      </c>
      <c r="C4048" t="s">
        <v>1726</v>
      </c>
      <c r="D4048" s="13"/>
      <c r="E4048" t="s">
        <v>619</v>
      </c>
      <c r="F4048" s="11">
        <v>2</v>
      </c>
      <c r="G4048" s="11">
        <v>100840.34</v>
      </c>
    </row>
    <row r="4049" spans="2:7" x14ac:dyDescent="0.2">
      <c r="B4049" s="32">
        <v>45913</v>
      </c>
      <c r="C4049" t="s">
        <v>1726</v>
      </c>
      <c r="D4049" s="13"/>
      <c r="E4049" t="s">
        <v>234</v>
      </c>
      <c r="F4049" s="11">
        <v>2</v>
      </c>
      <c r="G4049" s="11">
        <v>75630.259999999995</v>
      </c>
    </row>
    <row r="4050" spans="2:7" x14ac:dyDescent="0.2">
      <c r="B4050" s="32">
        <v>45913</v>
      </c>
      <c r="C4050" t="s">
        <v>1726</v>
      </c>
      <c r="D4050" s="13"/>
      <c r="E4050" t="s">
        <v>347</v>
      </c>
      <c r="F4050" s="11">
        <v>1</v>
      </c>
      <c r="G4050" s="11">
        <v>75630.25</v>
      </c>
    </row>
    <row r="4051" spans="2:7" x14ac:dyDescent="0.2">
      <c r="B4051" s="32">
        <v>45913</v>
      </c>
      <c r="C4051" t="s">
        <v>1726</v>
      </c>
      <c r="D4051" s="13"/>
      <c r="E4051" t="s">
        <v>764</v>
      </c>
      <c r="F4051" s="11">
        <v>1</v>
      </c>
      <c r="G4051" s="11">
        <v>50420.17</v>
      </c>
    </row>
    <row r="4052" spans="2:7" x14ac:dyDescent="0.2">
      <c r="B4052" s="32">
        <v>45913</v>
      </c>
      <c r="C4052" t="s">
        <v>1726</v>
      </c>
      <c r="D4052" s="13"/>
      <c r="E4052" t="s">
        <v>179</v>
      </c>
      <c r="F4052" s="11">
        <v>1</v>
      </c>
      <c r="G4052" s="11">
        <v>46218.49</v>
      </c>
    </row>
    <row r="4053" spans="2:7" x14ac:dyDescent="0.2">
      <c r="B4053" s="32">
        <v>45913</v>
      </c>
      <c r="C4053" t="s">
        <v>1726</v>
      </c>
      <c r="D4053" s="13"/>
      <c r="E4053" t="s">
        <v>166</v>
      </c>
      <c r="F4053" s="11">
        <v>1</v>
      </c>
      <c r="G4053" s="11">
        <v>42016.81</v>
      </c>
    </row>
    <row r="4054" spans="2:7" x14ac:dyDescent="0.2">
      <c r="B4054" s="32">
        <v>45913</v>
      </c>
      <c r="C4054" t="s">
        <v>1726</v>
      </c>
      <c r="D4054" s="13"/>
      <c r="E4054" t="s">
        <v>196</v>
      </c>
      <c r="F4054" s="11">
        <v>1</v>
      </c>
      <c r="G4054" s="11">
        <v>42016.81</v>
      </c>
    </row>
    <row r="4055" spans="2:7" x14ac:dyDescent="0.2">
      <c r="B4055" s="32">
        <v>45913</v>
      </c>
      <c r="C4055" t="s">
        <v>1726</v>
      </c>
      <c r="D4055" s="13"/>
      <c r="E4055" t="s">
        <v>168</v>
      </c>
      <c r="F4055" s="11">
        <v>1</v>
      </c>
      <c r="G4055" s="11">
        <v>42016.81</v>
      </c>
    </row>
    <row r="4056" spans="2:7" x14ac:dyDescent="0.2">
      <c r="B4056" s="32">
        <v>45913</v>
      </c>
      <c r="C4056" t="s">
        <v>1726</v>
      </c>
      <c r="D4056" s="13"/>
      <c r="E4056" t="s">
        <v>173</v>
      </c>
      <c r="F4056" s="11">
        <v>1</v>
      </c>
      <c r="G4056" s="11">
        <v>37815.120000000003</v>
      </c>
    </row>
    <row r="4057" spans="2:7" x14ac:dyDescent="0.2">
      <c r="B4057" s="32">
        <v>45913</v>
      </c>
      <c r="C4057" t="s">
        <v>1726</v>
      </c>
      <c r="D4057" s="13" t="s">
        <v>634</v>
      </c>
      <c r="E4057" t="s">
        <v>173</v>
      </c>
      <c r="F4057" s="11">
        <v>6</v>
      </c>
      <c r="G4057" s="11">
        <v>226890.76</v>
      </c>
    </row>
    <row r="4058" spans="2:7" x14ac:dyDescent="0.2">
      <c r="B4058" s="32">
        <v>45913</v>
      </c>
      <c r="C4058" t="s">
        <v>1726</v>
      </c>
      <c r="D4058" s="13" t="s">
        <v>634</v>
      </c>
      <c r="E4058" t="s">
        <v>189</v>
      </c>
      <c r="F4058" s="11">
        <v>3</v>
      </c>
      <c r="G4058" s="11">
        <v>214285.71</v>
      </c>
    </row>
    <row r="4059" spans="2:7" x14ac:dyDescent="0.2">
      <c r="B4059" s="32">
        <v>45913</v>
      </c>
      <c r="C4059" t="s">
        <v>1726</v>
      </c>
      <c r="D4059" s="13" t="s">
        <v>634</v>
      </c>
      <c r="E4059" t="s">
        <v>234</v>
      </c>
      <c r="F4059" s="11">
        <v>5</v>
      </c>
      <c r="G4059" s="11">
        <v>189075.65</v>
      </c>
    </row>
    <row r="4060" spans="2:7" x14ac:dyDescent="0.2">
      <c r="B4060" s="32">
        <v>45913</v>
      </c>
      <c r="C4060" t="s">
        <v>1726</v>
      </c>
      <c r="D4060" s="13" t="s">
        <v>634</v>
      </c>
      <c r="E4060" t="s">
        <v>148</v>
      </c>
      <c r="F4060" s="11">
        <v>5</v>
      </c>
      <c r="G4060" s="11">
        <v>189075.63</v>
      </c>
    </row>
    <row r="4061" spans="2:7" x14ac:dyDescent="0.2">
      <c r="B4061" s="32">
        <v>45913</v>
      </c>
      <c r="C4061" t="s">
        <v>1726</v>
      </c>
      <c r="D4061" s="13" t="s">
        <v>634</v>
      </c>
      <c r="E4061" t="s">
        <v>375</v>
      </c>
      <c r="F4061" s="11">
        <v>2</v>
      </c>
      <c r="G4061" s="11">
        <v>155462.19</v>
      </c>
    </row>
    <row r="4062" spans="2:7" x14ac:dyDescent="0.2">
      <c r="B4062" s="32">
        <v>45913</v>
      </c>
      <c r="C4062" t="s">
        <v>1726</v>
      </c>
      <c r="D4062" s="13" t="s">
        <v>634</v>
      </c>
      <c r="E4062" t="s">
        <v>649</v>
      </c>
      <c r="F4062" s="11">
        <v>1</v>
      </c>
      <c r="G4062" s="11">
        <v>155462.18</v>
      </c>
    </row>
    <row r="4063" spans="2:7" x14ac:dyDescent="0.2">
      <c r="B4063" s="32">
        <v>45913</v>
      </c>
      <c r="C4063" t="s">
        <v>1726</v>
      </c>
      <c r="D4063" s="13" t="s">
        <v>634</v>
      </c>
      <c r="E4063" t="s">
        <v>1890</v>
      </c>
      <c r="F4063" s="11">
        <v>2</v>
      </c>
      <c r="G4063" s="11">
        <v>151260.5</v>
      </c>
    </row>
    <row r="4064" spans="2:7" x14ac:dyDescent="0.2">
      <c r="B4064" s="32">
        <v>45913</v>
      </c>
      <c r="C4064" t="s">
        <v>1726</v>
      </c>
      <c r="D4064" s="13" t="s">
        <v>634</v>
      </c>
      <c r="F4064" s="11">
        <v>3</v>
      </c>
      <c r="G4064" s="11">
        <v>138655.47</v>
      </c>
    </row>
    <row r="4065" spans="2:7" x14ac:dyDescent="0.2">
      <c r="B4065" s="32">
        <v>45913</v>
      </c>
      <c r="C4065" t="s">
        <v>1726</v>
      </c>
      <c r="D4065" s="13" t="s">
        <v>634</v>
      </c>
      <c r="E4065" t="s">
        <v>168</v>
      </c>
      <c r="F4065" s="11">
        <v>3</v>
      </c>
      <c r="G4065" s="11">
        <v>126050.43</v>
      </c>
    </row>
    <row r="4066" spans="2:7" x14ac:dyDescent="0.2">
      <c r="B4066" s="32">
        <v>45913</v>
      </c>
      <c r="C4066" t="s">
        <v>1726</v>
      </c>
      <c r="D4066" s="13" t="s">
        <v>634</v>
      </c>
      <c r="E4066" t="s">
        <v>1968</v>
      </c>
      <c r="F4066" s="11">
        <v>3</v>
      </c>
      <c r="G4066" s="11">
        <v>126050.42</v>
      </c>
    </row>
    <row r="4067" spans="2:7" x14ac:dyDescent="0.2">
      <c r="B4067" s="32">
        <v>45913</v>
      </c>
      <c r="C4067" t="s">
        <v>1726</v>
      </c>
      <c r="D4067" s="13" t="s">
        <v>634</v>
      </c>
      <c r="E4067" t="s">
        <v>1818</v>
      </c>
      <c r="F4067" s="11">
        <v>3</v>
      </c>
      <c r="G4067" s="11">
        <v>113445.38</v>
      </c>
    </row>
    <row r="4068" spans="2:7" x14ac:dyDescent="0.2">
      <c r="B4068" s="32">
        <v>45913</v>
      </c>
      <c r="C4068" t="s">
        <v>1726</v>
      </c>
      <c r="D4068" s="13" t="s">
        <v>634</v>
      </c>
      <c r="E4068" t="s">
        <v>313</v>
      </c>
      <c r="F4068" s="11">
        <v>1</v>
      </c>
      <c r="G4068" s="11">
        <v>96638.66</v>
      </c>
    </row>
    <row r="4069" spans="2:7" x14ac:dyDescent="0.2">
      <c r="B4069" s="32">
        <v>45913</v>
      </c>
      <c r="C4069" t="s">
        <v>1726</v>
      </c>
      <c r="D4069" s="13" t="s">
        <v>634</v>
      </c>
      <c r="E4069" t="s">
        <v>172</v>
      </c>
      <c r="F4069" s="11">
        <v>2</v>
      </c>
      <c r="G4069" s="11">
        <v>92436.98</v>
      </c>
    </row>
    <row r="4070" spans="2:7" x14ac:dyDescent="0.2">
      <c r="B4070" s="32">
        <v>45913</v>
      </c>
      <c r="C4070" t="s">
        <v>1726</v>
      </c>
      <c r="D4070" s="13" t="s">
        <v>634</v>
      </c>
      <c r="E4070" t="s">
        <v>260</v>
      </c>
      <c r="F4070" s="11">
        <v>2</v>
      </c>
      <c r="G4070" s="11">
        <v>92436.98</v>
      </c>
    </row>
    <row r="4071" spans="2:7" x14ac:dyDescent="0.2">
      <c r="B4071" s="32">
        <v>45913</v>
      </c>
      <c r="C4071" t="s">
        <v>1726</v>
      </c>
      <c r="D4071" s="13" t="s">
        <v>634</v>
      </c>
      <c r="E4071" t="s">
        <v>146</v>
      </c>
      <c r="F4071" s="11">
        <v>2</v>
      </c>
      <c r="G4071" s="11">
        <v>92436.97</v>
      </c>
    </row>
    <row r="4072" spans="2:7" x14ac:dyDescent="0.2">
      <c r="B4072" s="32">
        <v>45913</v>
      </c>
      <c r="C4072" t="s">
        <v>1726</v>
      </c>
      <c r="D4072" s="13" t="s">
        <v>634</v>
      </c>
      <c r="E4072" t="s">
        <v>397</v>
      </c>
      <c r="F4072" s="11">
        <v>2</v>
      </c>
      <c r="G4072" s="11">
        <v>92436.97</v>
      </c>
    </row>
    <row r="4073" spans="2:7" x14ac:dyDescent="0.2">
      <c r="B4073" s="32">
        <v>45913</v>
      </c>
      <c r="C4073" t="s">
        <v>1726</v>
      </c>
      <c r="D4073" s="13" t="s">
        <v>634</v>
      </c>
      <c r="E4073" t="s">
        <v>1963</v>
      </c>
      <c r="F4073" s="11">
        <v>2</v>
      </c>
      <c r="G4073" s="11">
        <v>84033.61</v>
      </c>
    </row>
    <row r="4074" spans="2:7" x14ac:dyDescent="0.2">
      <c r="B4074" s="32">
        <v>45913</v>
      </c>
      <c r="C4074" t="s">
        <v>1726</v>
      </c>
      <c r="D4074" s="13" t="s">
        <v>634</v>
      </c>
      <c r="E4074" t="s">
        <v>293</v>
      </c>
      <c r="F4074" s="11">
        <v>2</v>
      </c>
      <c r="G4074" s="11">
        <v>75630.259999999995</v>
      </c>
    </row>
    <row r="4075" spans="2:7" x14ac:dyDescent="0.2">
      <c r="B4075" s="32">
        <v>45913</v>
      </c>
      <c r="C4075" t="s">
        <v>1726</v>
      </c>
      <c r="D4075" s="13" t="s">
        <v>634</v>
      </c>
      <c r="E4075" t="s">
        <v>647</v>
      </c>
      <c r="F4075" s="11">
        <v>1</v>
      </c>
      <c r="G4075" s="11">
        <v>75630.25</v>
      </c>
    </row>
    <row r="4076" spans="2:7" x14ac:dyDescent="0.2">
      <c r="B4076" s="32">
        <v>45913</v>
      </c>
      <c r="C4076" t="s">
        <v>1726</v>
      </c>
      <c r="D4076" s="13" t="s">
        <v>634</v>
      </c>
      <c r="E4076" t="s">
        <v>534</v>
      </c>
      <c r="F4076" s="11">
        <v>1</v>
      </c>
      <c r="G4076" s="11">
        <v>71428.570000000007</v>
      </c>
    </row>
    <row r="4077" spans="2:7" x14ac:dyDescent="0.2">
      <c r="B4077" s="32">
        <v>45913</v>
      </c>
      <c r="C4077" t="s">
        <v>1726</v>
      </c>
      <c r="D4077" s="13" t="s">
        <v>634</v>
      </c>
      <c r="E4077" t="s">
        <v>624</v>
      </c>
      <c r="F4077" s="11">
        <v>1</v>
      </c>
      <c r="G4077" s="11">
        <v>71428.570000000007</v>
      </c>
    </row>
    <row r="4078" spans="2:7" x14ac:dyDescent="0.2">
      <c r="B4078" s="32">
        <v>45913</v>
      </c>
      <c r="C4078" t="s">
        <v>1726</v>
      </c>
      <c r="D4078" s="13" t="s">
        <v>634</v>
      </c>
      <c r="E4078" t="s">
        <v>352</v>
      </c>
      <c r="F4078" s="11">
        <v>1</v>
      </c>
      <c r="G4078" s="11">
        <v>71428.570000000007</v>
      </c>
    </row>
    <row r="4079" spans="2:7" x14ac:dyDescent="0.2">
      <c r="B4079" s="32">
        <v>45913</v>
      </c>
      <c r="C4079" t="s">
        <v>1726</v>
      </c>
      <c r="D4079" s="13" t="s">
        <v>634</v>
      </c>
      <c r="E4079" t="s">
        <v>147</v>
      </c>
      <c r="F4079" s="11">
        <v>1</v>
      </c>
      <c r="G4079" s="11">
        <v>71428.570000000007</v>
      </c>
    </row>
    <row r="4080" spans="2:7" x14ac:dyDescent="0.2">
      <c r="B4080" s="32">
        <v>45913</v>
      </c>
      <c r="C4080" t="s">
        <v>1726</v>
      </c>
      <c r="D4080" s="13" t="s">
        <v>634</v>
      </c>
      <c r="E4080" t="s">
        <v>320</v>
      </c>
      <c r="F4080" s="11">
        <v>1</v>
      </c>
      <c r="G4080" s="11">
        <v>58823.53</v>
      </c>
    </row>
    <row r="4081" spans="2:7" x14ac:dyDescent="0.2">
      <c r="B4081" s="32">
        <v>45913</v>
      </c>
      <c r="C4081" t="s">
        <v>1726</v>
      </c>
      <c r="D4081" s="13" t="s">
        <v>634</v>
      </c>
      <c r="E4081" t="s">
        <v>439</v>
      </c>
      <c r="F4081" s="11">
        <v>1</v>
      </c>
      <c r="G4081" s="11">
        <v>58823.53</v>
      </c>
    </row>
    <row r="4082" spans="2:7" x14ac:dyDescent="0.2">
      <c r="B4082" s="32">
        <v>45913</v>
      </c>
      <c r="C4082" t="s">
        <v>1726</v>
      </c>
      <c r="D4082" s="13" t="s">
        <v>634</v>
      </c>
      <c r="E4082" t="s">
        <v>721</v>
      </c>
      <c r="F4082" s="11">
        <v>1</v>
      </c>
      <c r="G4082" s="11">
        <v>58823.53</v>
      </c>
    </row>
    <row r="4083" spans="2:7" x14ac:dyDescent="0.2">
      <c r="B4083" s="32">
        <v>45913</v>
      </c>
      <c r="C4083" t="s">
        <v>1726</v>
      </c>
      <c r="D4083" s="13" t="s">
        <v>634</v>
      </c>
      <c r="E4083" t="s">
        <v>282</v>
      </c>
      <c r="F4083" s="11">
        <v>1</v>
      </c>
      <c r="G4083" s="11">
        <v>58823.53</v>
      </c>
    </row>
    <row r="4084" spans="2:7" x14ac:dyDescent="0.2">
      <c r="B4084" s="32">
        <v>45913</v>
      </c>
      <c r="C4084" t="s">
        <v>1726</v>
      </c>
      <c r="D4084" s="13" t="s">
        <v>634</v>
      </c>
      <c r="E4084" t="s">
        <v>233</v>
      </c>
      <c r="F4084" s="11">
        <v>1</v>
      </c>
      <c r="G4084" s="11">
        <v>58823.53</v>
      </c>
    </row>
    <row r="4085" spans="2:7" x14ac:dyDescent="0.2">
      <c r="B4085" s="32">
        <v>45913</v>
      </c>
      <c r="C4085" t="s">
        <v>1726</v>
      </c>
      <c r="D4085" s="13" t="s">
        <v>634</v>
      </c>
      <c r="E4085" t="s">
        <v>740</v>
      </c>
      <c r="F4085" s="11">
        <v>1</v>
      </c>
      <c r="G4085" s="11">
        <v>58823.53</v>
      </c>
    </row>
    <row r="4086" spans="2:7" x14ac:dyDescent="0.2">
      <c r="B4086" s="32">
        <v>45913</v>
      </c>
      <c r="C4086" t="s">
        <v>1726</v>
      </c>
      <c r="D4086" s="13" t="s">
        <v>634</v>
      </c>
      <c r="E4086" t="s">
        <v>281</v>
      </c>
      <c r="F4086" s="11">
        <v>1</v>
      </c>
      <c r="G4086" s="11">
        <v>58823.519999999997</v>
      </c>
    </row>
    <row r="4087" spans="2:7" x14ac:dyDescent="0.2">
      <c r="B4087" s="32">
        <v>45913</v>
      </c>
      <c r="C4087" t="s">
        <v>1726</v>
      </c>
      <c r="D4087" s="13" t="s">
        <v>634</v>
      </c>
      <c r="E4087" t="s">
        <v>428</v>
      </c>
      <c r="F4087" s="11">
        <v>1</v>
      </c>
      <c r="G4087" s="11">
        <v>54621.85</v>
      </c>
    </row>
    <row r="4088" spans="2:7" x14ac:dyDescent="0.2">
      <c r="B4088" s="32">
        <v>45913</v>
      </c>
      <c r="C4088" t="s">
        <v>1726</v>
      </c>
      <c r="D4088" s="13" t="s">
        <v>634</v>
      </c>
      <c r="E4088" t="s">
        <v>473</v>
      </c>
      <c r="F4088" s="11">
        <v>1</v>
      </c>
      <c r="G4088" s="11">
        <v>50420.17</v>
      </c>
    </row>
    <row r="4089" spans="2:7" x14ac:dyDescent="0.2">
      <c r="B4089" s="32">
        <v>45913</v>
      </c>
      <c r="C4089" t="s">
        <v>1726</v>
      </c>
      <c r="D4089" s="13" t="s">
        <v>634</v>
      </c>
      <c r="E4089" t="s">
        <v>810</v>
      </c>
      <c r="F4089" s="11">
        <v>1</v>
      </c>
      <c r="G4089" s="11">
        <v>50420.17</v>
      </c>
    </row>
    <row r="4090" spans="2:7" x14ac:dyDescent="0.2">
      <c r="B4090" s="32">
        <v>45913</v>
      </c>
      <c r="C4090" t="s">
        <v>1726</v>
      </c>
      <c r="D4090" s="13" t="s">
        <v>634</v>
      </c>
      <c r="E4090" t="s">
        <v>445</v>
      </c>
      <c r="F4090" s="11">
        <v>1</v>
      </c>
      <c r="G4090" s="11">
        <v>50420.17</v>
      </c>
    </row>
    <row r="4091" spans="2:7" x14ac:dyDescent="0.2">
      <c r="B4091" s="32">
        <v>45913</v>
      </c>
      <c r="C4091" t="s">
        <v>1726</v>
      </c>
      <c r="D4091" s="13" t="s">
        <v>634</v>
      </c>
      <c r="E4091" t="s">
        <v>455</v>
      </c>
      <c r="F4091" s="11">
        <v>1</v>
      </c>
      <c r="G4091" s="11">
        <v>50420.17</v>
      </c>
    </row>
    <row r="4092" spans="2:7" x14ac:dyDescent="0.2">
      <c r="B4092" s="32">
        <v>45913</v>
      </c>
      <c r="C4092" t="s">
        <v>1726</v>
      </c>
      <c r="D4092" s="13" t="s">
        <v>634</v>
      </c>
      <c r="E4092" t="s">
        <v>160</v>
      </c>
      <c r="F4092" s="11">
        <v>1</v>
      </c>
      <c r="G4092" s="11">
        <v>46218.49</v>
      </c>
    </row>
    <row r="4093" spans="2:7" x14ac:dyDescent="0.2">
      <c r="B4093" s="32">
        <v>45913</v>
      </c>
      <c r="C4093" t="s">
        <v>1726</v>
      </c>
      <c r="D4093" s="13" t="s">
        <v>634</v>
      </c>
      <c r="E4093" t="s">
        <v>158</v>
      </c>
      <c r="F4093" s="11">
        <v>1</v>
      </c>
      <c r="G4093" s="11">
        <v>46218.49</v>
      </c>
    </row>
    <row r="4094" spans="2:7" x14ac:dyDescent="0.2">
      <c r="B4094" s="32">
        <v>45913</v>
      </c>
      <c r="C4094" t="s">
        <v>1726</v>
      </c>
      <c r="D4094" s="13" t="s">
        <v>634</v>
      </c>
      <c r="E4094" t="s">
        <v>560</v>
      </c>
      <c r="F4094" s="11">
        <v>1</v>
      </c>
      <c r="G4094" s="11">
        <v>46218.49</v>
      </c>
    </row>
    <row r="4095" spans="2:7" x14ac:dyDescent="0.2">
      <c r="B4095" s="32">
        <v>45913</v>
      </c>
      <c r="C4095" t="s">
        <v>1726</v>
      </c>
      <c r="D4095" s="13" t="s">
        <v>634</v>
      </c>
      <c r="E4095" t="s">
        <v>170</v>
      </c>
      <c r="F4095" s="11">
        <v>1</v>
      </c>
      <c r="G4095" s="11">
        <v>46218.49</v>
      </c>
    </row>
    <row r="4096" spans="2:7" x14ac:dyDescent="0.2">
      <c r="B4096" s="32">
        <v>45913</v>
      </c>
      <c r="C4096" t="s">
        <v>1726</v>
      </c>
      <c r="D4096" s="13" t="s">
        <v>634</v>
      </c>
      <c r="E4096" t="s">
        <v>704</v>
      </c>
      <c r="F4096" s="11">
        <v>1</v>
      </c>
      <c r="G4096" s="11">
        <v>46218.49</v>
      </c>
    </row>
    <row r="4097" spans="2:7" x14ac:dyDescent="0.2">
      <c r="B4097" s="32">
        <v>45913</v>
      </c>
      <c r="C4097" t="s">
        <v>1726</v>
      </c>
      <c r="D4097" s="13" t="s">
        <v>634</v>
      </c>
      <c r="E4097" t="s">
        <v>1908</v>
      </c>
      <c r="F4097" s="11">
        <v>1</v>
      </c>
      <c r="G4097" s="11">
        <v>46218.49</v>
      </c>
    </row>
    <row r="4098" spans="2:7" x14ac:dyDescent="0.2">
      <c r="B4098" s="32">
        <v>45913</v>
      </c>
      <c r="C4098" t="s">
        <v>1726</v>
      </c>
      <c r="D4098" s="13" t="s">
        <v>634</v>
      </c>
      <c r="E4098" t="s">
        <v>195</v>
      </c>
      <c r="F4098" s="11">
        <v>1</v>
      </c>
      <c r="G4098" s="11">
        <v>46218.49</v>
      </c>
    </row>
    <row r="4099" spans="2:7" x14ac:dyDescent="0.2">
      <c r="B4099" s="32">
        <v>45913</v>
      </c>
      <c r="C4099" t="s">
        <v>1726</v>
      </c>
      <c r="D4099" s="13" t="s">
        <v>634</v>
      </c>
      <c r="E4099" t="s">
        <v>239</v>
      </c>
      <c r="F4099" s="11">
        <v>1</v>
      </c>
      <c r="G4099" s="11">
        <v>46218.49</v>
      </c>
    </row>
    <row r="4100" spans="2:7" x14ac:dyDescent="0.2">
      <c r="B4100" s="32">
        <v>45913</v>
      </c>
      <c r="C4100" t="s">
        <v>1726</v>
      </c>
      <c r="D4100" s="13" t="s">
        <v>634</v>
      </c>
      <c r="E4100" t="s">
        <v>1896</v>
      </c>
      <c r="F4100" s="11">
        <v>1</v>
      </c>
      <c r="G4100" s="11">
        <v>46218.48</v>
      </c>
    </row>
    <row r="4101" spans="2:7" x14ac:dyDescent="0.2">
      <c r="B4101" s="32">
        <v>45913</v>
      </c>
      <c r="C4101" t="s">
        <v>1726</v>
      </c>
      <c r="D4101" s="13" t="s">
        <v>634</v>
      </c>
      <c r="E4101" t="s">
        <v>150</v>
      </c>
      <c r="F4101" s="11">
        <v>1</v>
      </c>
      <c r="G4101" s="11">
        <v>42016.81</v>
      </c>
    </row>
    <row r="4102" spans="2:7" x14ac:dyDescent="0.2">
      <c r="B4102" s="32">
        <v>45913</v>
      </c>
      <c r="C4102" t="s">
        <v>1726</v>
      </c>
      <c r="D4102" s="13" t="s">
        <v>634</v>
      </c>
      <c r="E4102" t="s">
        <v>166</v>
      </c>
      <c r="F4102" s="11">
        <v>1</v>
      </c>
      <c r="G4102" s="11">
        <v>42016.81</v>
      </c>
    </row>
    <row r="4103" spans="2:7" x14ac:dyDescent="0.2">
      <c r="B4103" s="32">
        <v>45913</v>
      </c>
      <c r="C4103" t="s">
        <v>1726</v>
      </c>
      <c r="D4103" s="13" t="s">
        <v>634</v>
      </c>
      <c r="E4103" t="s">
        <v>206</v>
      </c>
      <c r="F4103" s="11">
        <v>1</v>
      </c>
      <c r="G4103" s="11">
        <v>37815.129999999997</v>
      </c>
    </row>
    <row r="4104" spans="2:7" x14ac:dyDescent="0.2">
      <c r="B4104" s="32">
        <v>45913</v>
      </c>
      <c r="C4104" t="s">
        <v>1726</v>
      </c>
      <c r="D4104" s="13" t="s">
        <v>634</v>
      </c>
      <c r="E4104" t="s">
        <v>328</v>
      </c>
      <c r="F4104" s="11">
        <v>1</v>
      </c>
      <c r="G4104" s="11">
        <v>37815.129999999997</v>
      </c>
    </row>
    <row r="4105" spans="2:7" x14ac:dyDescent="0.2">
      <c r="B4105" s="32">
        <v>45913</v>
      </c>
      <c r="C4105" t="s">
        <v>1726</v>
      </c>
      <c r="D4105" s="13" t="s">
        <v>634</v>
      </c>
      <c r="E4105" t="s">
        <v>2005</v>
      </c>
      <c r="F4105" s="11">
        <v>2</v>
      </c>
      <c r="G4105" s="11">
        <v>0</v>
      </c>
    </row>
    <row r="4106" spans="2:7" x14ac:dyDescent="0.2">
      <c r="B4106" s="32">
        <v>45913</v>
      </c>
      <c r="C4106" t="s">
        <v>1726</v>
      </c>
      <c r="D4106" s="13" t="s">
        <v>633</v>
      </c>
      <c r="E4106" t="s">
        <v>304</v>
      </c>
      <c r="F4106" s="11">
        <v>1</v>
      </c>
      <c r="G4106" s="11">
        <v>96638.66</v>
      </c>
    </row>
    <row r="4107" spans="2:7" x14ac:dyDescent="0.2">
      <c r="B4107" s="32">
        <v>45913</v>
      </c>
      <c r="C4107" t="s">
        <v>1726</v>
      </c>
      <c r="D4107" s="13" t="s">
        <v>633</v>
      </c>
      <c r="E4107" t="s">
        <v>618</v>
      </c>
      <c r="F4107" s="11">
        <v>1</v>
      </c>
      <c r="G4107" s="11">
        <v>96638.65</v>
      </c>
    </row>
    <row r="4108" spans="2:7" x14ac:dyDescent="0.2">
      <c r="B4108" s="32">
        <v>45913</v>
      </c>
      <c r="C4108" t="s">
        <v>1726</v>
      </c>
      <c r="D4108" s="13" t="s">
        <v>633</v>
      </c>
      <c r="E4108" t="s">
        <v>190</v>
      </c>
      <c r="F4108" s="11">
        <v>1</v>
      </c>
      <c r="G4108" s="11">
        <v>79831.929999999993</v>
      </c>
    </row>
    <row r="4109" spans="2:7" x14ac:dyDescent="0.2">
      <c r="B4109" s="32">
        <v>45913</v>
      </c>
      <c r="C4109" t="s">
        <v>1726</v>
      </c>
      <c r="D4109" s="13" t="s">
        <v>633</v>
      </c>
      <c r="E4109" t="s">
        <v>293</v>
      </c>
      <c r="F4109" s="11">
        <v>2</v>
      </c>
      <c r="G4109" s="11">
        <v>75630.25</v>
      </c>
    </row>
    <row r="4110" spans="2:7" x14ac:dyDescent="0.2">
      <c r="B4110" s="32">
        <v>45913</v>
      </c>
      <c r="C4110" t="s">
        <v>1726</v>
      </c>
      <c r="D4110" s="13" t="s">
        <v>633</v>
      </c>
      <c r="E4110" t="s">
        <v>173</v>
      </c>
      <c r="F4110" s="11">
        <v>2</v>
      </c>
      <c r="G4110" s="11">
        <v>75630.240000000005</v>
      </c>
    </row>
    <row r="4111" spans="2:7" x14ac:dyDescent="0.2">
      <c r="B4111" s="32">
        <v>45913</v>
      </c>
      <c r="C4111" t="s">
        <v>1726</v>
      </c>
      <c r="D4111" s="13" t="s">
        <v>633</v>
      </c>
      <c r="E4111" t="s">
        <v>281</v>
      </c>
      <c r="F4111" s="11">
        <v>1</v>
      </c>
      <c r="G4111" s="11">
        <v>58823.53</v>
      </c>
    </row>
    <row r="4112" spans="2:7" x14ac:dyDescent="0.2">
      <c r="B4112" s="32">
        <v>45913</v>
      </c>
      <c r="C4112" t="s">
        <v>1726</v>
      </c>
      <c r="D4112" s="13" t="s">
        <v>633</v>
      </c>
      <c r="E4112" t="s">
        <v>419</v>
      </c>
      <c r="F4112" s="11">
        <v>1</v>
      </c>
      <c r="G4112" s="11">
        <v>58823.53</v>
      </c>
    </row>
    <row r="4113" spans="2:7" x14ac:dyDescent="0.2">
      <c r="B4113" s="32">
        <v>45913</v>
      </c>
      <c r="C4113" t="s">
        <v>1726</v>
      </c>
      <c r="D4113" s="13" t="s">
        <v>633</v>
      </c>
      <c r="F4113" s="11">
        <v>1</v>
      </c>
      <c r="G4113" s="11">
        <v>46218.49</v>
      </c>
    </row>
    <row r="4114" spans="2:7" x14ac:dyDescent="0.2">
      <c r="B4114" s="32">
        <v>45913</v>
      </c>
      <c r="C4114" t="s">
        <v>1726</v>
      </c>
      <c r="D4114" s="13" t="s">
        <v>633</v>
      </c>
      <c r="E4114" t="s">
        <v>204</v>
      </c>
      <c r="F4114" s="11">
        <v>1</v>
      </c>
      <c r="G4114" s="11">
        <v>37815.129999999997</v>
      </c>
    </row>
    <row r="4115" spans="2:7" x14ac:dyDescent="0.2">
      <c r="B4115" s="32">
        <v>45913</v>
      </c>
      <c r="C4115" t="s">
        <v>1726</v>
      </c>
      <c r="D4115" s="13" t="s">
        <v>633</v>
      </c>
      <c r="E4115" t="s">
        <v>382</v>
      </c>
      <c r="F4115" s="11">
        <v>1</v>
      </c>
      <c r="G4115" s="11">
        <v>37815.129999999997</v>
      </c>
    </row>
    <row r="4116" spans="2:7" x14ac:dyDescent="0.2">
      <c r="B4116" s="32">
        <v>45913</v>
      </c>
      <c r="C4116" t="s">
        <v>142</v>
      </c>
      <c r="D4116" s="13" t="s">
        <v>634</v>
      </c>
      <c r="E4116" t="s">
        <v>155</v>
      </c>
      <c r="F4116" s="11">
        <v>1</v>
      </c>
      <c r="G4116" s="11">
        <v>96638.65</v>
      </c>
    </row>
    <row r="4117" spans="2:7" x14ac:dyDescent="0.2">
      <c r="B4117" s="32">
        <v>45913</v>
      </c>
      <c r="C4117" t="s">
        <v>142</v>
      </c>
      <c r="D4117" s="13" t="s">
        <v>634</v>
      </c>
      <c r="E4117" t="s">
        <v>208</v>
      </c>
      <c r="F4117" s="11">
        <v>1</v>
      </c>
      <c r="G4117" s="11">
        <v>58823.53</v>
      </c>
    </row>
    <row r="4118" spans="2:7" x14ac:dyDescent="0.2">
      <c r="B4118" s="32">
        <v>45913</v>
      </c>
      <c r="C4118" t="s">
        <v>110</v>
      </c>
      <c r="D4118" s="13" t="s">
        <v>633</v>
      </c>
      <c r="E4118" t="s">
        <v>153</v>
      </c>
      <c r="F4118" s="11">
        <v>1</v>
      </c>
      <c r="G4118" s="11">
        <v>42016.81</v>
      </c>
    </row>
    <row r="4119" spans="2:7" x14ac:dyDescent="0.2">
      <c r="B4119" s="32">
        <v>45913</v>
      </c>
      <c r="C4119" t="s">
        <v>109</v>
      </c>
      <c r="D4119" s="13" t="s">
        <v>634</v>
      </c>
      <c r="F4119" s="11">
        <v>3</v>
      </c>
      <c r="G4119" s="11">
        <v>138655.46</v>
      </c>
    </row>
    <row r="4120" spans="2:7" x14ac:dyDescent="0.2">
      <c r="B4120" s="32">
        <v>45913</v>
      </c>
      <c r="C4120" t="s">
        <v>109</v>
      </c>
      <c r="D4120" s="13" t="s">
        <v>634</v>
      </c>
      <c r="E4120" t="s">
        <v>669</v>
      </c>
      <c r="F4120" s="11">
        <v>1</v>
      </c>
      <c r="G4120" s="11">
        <v>102000</v>
      </c>
    </row>
    <row r="4121" spans="2:7" x14ac:dyDescent="0.2">
      <c r="B4121" s="32">
        <v>45913</v>
      </c>
      <c r="C4121" t="s">
        <v>109</v>
      </c>
      <c r="D4121" s="13" t="s">
        <v>634</v>
      </c>
      <c r="E4121" t="s">
        <v>501</v>
      </c>
      <c r="F4121" s="11">
        <v>1</v>
      </c>
      <c r="G4121" s="11">
        <v>100000</v>
      </c>
    </row>
    <row r="4122" spans="2:7" x14ac:dyDescent="0.2">
      <c r="B4122" s="32">
        <v>45913</v>
      </c>
      <c r="C4122" t="s">
        <v>109</v>
      </c>
      <c r="D4122" s="13" t="s">
        <v>634</v>
      </c>
      <c r="E4122" t="s">
        <v>194</v>
      </c>
      <c r="F4122" s="11">
        <v>1</v>
      </c>
      <c r="G4122" s="11">
        <v>96638.66</v>
      </c>
    </row>
    <row r="4123" spans="2:7" x14ac:dyDescent="0.2">
      <c r="B4123" s="32">
        <v>45913</v>
      </c>
      <c r="C4123" t="s">
        <v>109</v>
      </c>
      <c r="D4123" s="13" t="s">
        <v>634</v>
      </c>
      <c r="E4123" t="s">
        <v>169</v>
      </c>
      <c r="F4123" s="11">
        <v>1</v>
      </c>
      <c r="G4123" s="11">
        <v>96638.65</v>
      </c>
    </row>
    <row r="4124" spans="2:7" x14ac:dyDescent="0.2">
      <c r="B4124" s="32">
        <v>45913</v>
      </c>
      <c r="C4124" t="s">
        <v>109</v>
      </c>
      <c r="D4124" s="13" t="s">
        <v>634</v>
      </c>
      <c r="E4124" t="s">
        <v>475</v>
      </c>
      <c r="F4124" s="11">
        <v>1</v>
      </c>
      <c r="G4124" s="11">
        <v>71428.570000000007</v>
      </c>
    </row>
    <row r="4125" spans="2:7" x14ac:dyDescent="0.2">
      <c r="B4125" s="32">
        <v>45913</v>
      </c>
      <c r="C4125" t="s">
        <v>109</v>
      </c>
      <c r="D4125" s="13" t="s">
        <v>634</v>
      </c>
      <c r="E4125" t="s">
        <v>336</v>
      </c>
      <c r="F4125" s="11">
        <v>1</v>
      </c>
      <c r="G4125" s="11">
        <v>71428.570000000007</v>
      </c>
    </row>
    <row r="4126" spans="2:7" x14ac:dyDescent="0.2">
      <c r="B4126" s="32">
        <v>45913</v>
      </c>
      <c r="C4126" t="s">
        <v>109</v>
      </c>
      <c r="D4126" s="13" t="s">
        <v>634</v>
      </c>
      <c r="E4126" t="s">
        <v>397</v>
      </c>
      <c r="F4126" s="11">
        <v>1</v>
      </c>
      <c r="G4126" s="11">
        <v>46218.48</v>
      </c>
    </row>
    <row r="4127" spans="2:7" x14ac:dyDescent="0.2">
      <c r="B4127" s="32">
        <v>45913</v>
      </c>
      <c r="C4127" t="s">
        <v>109</v>
      </c>
      <c r="D4127" s="13" t="s">
        <v>634</v>
      </c>
      <c r="E4127" t="s">
        <v>309</v>
      </c>
      <c r="F4127" s="11">
        <v>1</v>
      </c>
      <c r="G4127" s="11">
        <v>42016.81</v>
      </c>
    </row>
    <row r="4128" spans="2:7" x14ac:dyDescent="0.2">
      <c r="B4128" s="32">
        <v>45913</v>
      </c>
      <c r="C4128" t="s">
        <v>109</v>
      </c>
      <c r="D4128" s="13" t="s">
        <v>634</v>
      </c>
      <c r="E4128" t="s">
        <v>1968</v>
      </c>
      <c r="F4128" s="11">
        <v>1</v>
      </c>
      <c r="G4128" s="11">
        <v>42016.81</v>
      </c>
    </row>
    <row r="4129" spans="2:7" x14ac:dyDescent="0.2">
      <c r="B4129" s="32">
        <v>45913</v>
      </c>
      <c r="C4129" t="s">
        <v>109</v>
      </c>
      <c r="D4129" s="13" t="s">
        <v>634</v>
      </c>
      <c r="E4129" t="s">
        <v>221</v>
      </c>
      <c r="F4129" s="11">
        <v>1</v>
      </c>
      <c r="G4129" s="11">
        <v>42016.81</v>
      </c>
    </row>
    <row r="4130" spans="2:7" x14ac:dyDescent="0.2">
      <c r="B4130" s="32">
        <v>45913</v>
      </c>
      <c r="C4130" t="s">
        <v>109</v>
      </c>
      <c r="D4130" s="13" t="s">
        <v>634</v>
      </c>
      <c r="E4130" t="s">
        <v>206</v>
      </c>
      <c r="F4130" s="11">
        <v>1</v>
      </c>
      <c r="G4130" s="11">
        <v>37815.129999999997</v>
      </c>
    </row>
    <row r="4131" spans="2:7" x14ac:dyDescent="0.2">
      <c r="B4131" s="32">
        <v>45913</v>
      </c>
      <c r="C4131" t="s">
        <v>109</v>
      </c>
      <c r="D4131" s="13" t="s">
        <v>634</v>
      </c>
      <c r="E4131" t="s">
        <v>234</v>
      </c>
      <c r="F4131" s="11">
        <v>1</v>
      </c>
      <c r="G4131" s="11">
        <v>37815.129999999997</v>
      </c>
    </row>
    <row r="4132" spans="2:7" x14ac:dyDescent="0.2">
      <c r="B4132" s="32">
        <v>45913</v>
      </c>
      <c r="C4132" t="s">
        <v>109</v>
      </c>
      <c r="D4132" s="13" t="s">
        <v>634</v>
      </c>
      <c r="E4132" t="s">
        <v>1813</v>
      </c>
      <c r="F4132" s="11">
        <v>1</v>
      </c>
      <c r="G4132" s="11">
        <v>21848.74</v>
      </c>
    </row>
    <row r="4133" spans="2:7" x14ac:dyDescent="0.2">
      <c r="B4133" s="32">
        <v>45913</v>
      </c>
      <c r="C4133" t="s">
        <v>109</v>
      </c>
      <c r="D4133" s="13" t="s">
        <v>634</v>
      </c>
      <c r="E4133" t="s">
        <v>1769</v>
      </c>
      <c r="F4133" s="11">
        <v>1</v>
      </c>
      <c r="G4133" s="11">
        <v>21008.400000000001</v>
      </c>
    </row>
    <row r="4134" spans="2:7" x14ac:dyDescent="0.2">
      <c r="B4134" s="32">
        <v>45913</v>
      </c>
      <c r="C4134" t="s">
        <v>109</v>
      </c>
      <c r="D4134" s="13" t="s">
        <v>634</v>
      </c>
      <c r="E4134" t="s">
        <v>1977</v>
      </c>
      <c r="F4134" s="11">
        <v>1</v>
      </c>
      <c r="G4134" s="11">
        <v>15126.05</v>
      </c>
    </row>
    <row r="4135" spans="2:7" x14ac:dyDescent="0.2">
      <c r="B4135" s="32">
        <v>45913</v>
      </c>
      <c r="C4135" t="s">
        <v>109</v>
      </c>
      <c r="D4135" s="13" t="s">
        <v>633</v>
      </c>
      <c r="E4135" t="s">
        <v>1900</v>
      </c>
      <c r="F4135" s="11">
        <v>1</v>
      </c>
      <c r="G4135" s="11">
        <v>75630.25</v>
      </c>
    </row>
    <row r="4136" spans="2:7" x14ac:dyDescent="0.2">
      <c r="B4136" s="32">
        <v>45913</v>
      </c>
      <c r="C4136" t="s">
        <v>109</v>
      </c>
      <c r="D4136" s="13" t="s">
        <v>633</v>
      </c>
      <c r="E4136" t="s">
        <v>707</v>
      </c>
      <c r="F4136" s="11">
        <v>1</v>
      </c>
      <c r="G4136" s="11">
        <v>46218.49</v>
      </c>
    </row>
    <row r="4137" spans="2:7" x14ac:dyDescent="0.2">
      <c r="B4137" s="32">
        <v>45913</v>
      </c>
      <c r="C4137" t="s">
        <v>109</v>
      </c>
      <c r="D4137" s="13" t="s">
        <v>633</v>
      </c>
      <c r="E4137" t="s">
        <v>443</v>
      </c>
      <c r="F4137" s="11">
        <v>1</v>
      </c>
      <c r="G4137" s="11">
        <v>46218.48</v>
      </c>
    </row>
    <row r="4138" spans="2:7" x14ac:dyDescent="0.2">
      <c r="B4138" s="32">
        <v>45913</v>
      </c>
      <c r="C4138" t="s">
        <v>109</v>
      </c>
      <c r="D4138" s="13" t="s">
        <v>633</v>
      </c>
      <c r="E4138" t="s">
        <v>328</v>
      </c>
      <c r="F4138" s="11">
        <v>1</v>
      </c>
      <c r="G4138" s="11">
        <v>37815.129999999997</v>
      </c>
    </row>
    <row r="4139" spans="2:7" x14ac:dyDescent="0.2">
      <c r="B4139" s="32">
        <v>45913</v>
      </c>
      <c r="C4139" t="s">
        <v>109</v>
      </c>
      <c r="D4139" s="13" t="s">
        <v>633</v>
      </c>
      <c r="E4139" t="s">
        <v>322</v>
      </c>
      <c r="F4139" s="11">
        <v>1</v>
      </c>
      <c r="G4139" s="11">
        <v>29000</v>
      </c>
    </row>
    <row r="4140" spans="2:7" x14ac:dyDescent="0.2">
      <c r="B4140" s="32">
        <v>45914</v>
      </c>
      <c r="C4140" t="s">
        <v>1726</v>
      </c>
      <c r="D4140" s="13"/>
      <c r="F4140" s="11">
        <v>2</v>
      </c>
      <c r="G4140" s="11">
        <v>92436.97</v>
      </c>
    </row>
    <row r="4141" spans="2:7" x14ac:dyDescent="0.2">
      <c r="B4141" s="32">
        <v>45914</v>
      </c>
      <c r="C4141" t="s">
        <v>1726</v>
      </c>
      <c r="D4141" s="13"/>
      <c r="E4141" t="s">
        <v>303</v>
      </c>
      <c r="F4141" s="11">
        <v>1</v>
      </c>
      <c r="G4141" s="11">
        <v>50420.17</v>
      </c>
    </row>
    <row r="4142" spans="2:7" x14ac:dyDescent="0.2">
      <c r="B4142" s="32">
        <v>45914</v>
      </c>
      <c r="C4142" t="s">
        <v>1726</v>
      </c>
      <c r="D4142" s="13"/>
      <c r="E4142" t="s">
        <v>307</v>
      </c>
      <c r="F4142" s="11">
        <v>1</v>
      </c>
      <c r="G4142" s="11">
        <v>50420.17</v>
      </c>
    </row>
    <row r="4143" spans="2:7" x14ac:dyDescent="0.2">
      <c r="B4143" s="32">
        <v>45914</v>
      </c>
      <c r="C4143" t="s">
        <v>1726</v>
      </c>
      <c r="D4143" s="13"/>
      <c r="E4143" t="s">
        <v>1818</v>
      </c>
      <c r="F4143" s="11">
        <v>1</v>
      </c>
      <c r="G4143" s="11">
        <v>37815.129999999997</v>
      </c>
    </row>
    <row r="4144" spans="2:7" x14ac:dyDescent="0.2">
      <c r="B4144" s="32">
        <v>45914</v>
      </c>
      <c r="C4144" t="s">
        <v>1726</v>
      </c>
      <c r="D4144" s="13"/>
      <c r="E4144" t="s">
        <v>173</v>
      </c>
      <c r="F4144" s="11">
        <v>1</v>
      </c>
      <c r="G4144" s="11">
        <v>37815.129999999997</v>
      </c>
    </row>
    <row r="4145" spans="2:7" x14ac:dyDescent="0.2">
      <c r="B4145" s="32">
        <v>45914</v>
      </c>
      <c r="C4145" t="s">
        <v>1726</v>
      </c>
      <c r="D4145" s="13" t="s">
        <v>634</v>
      </c>
      <c r="E4145" t="s">
        <v>317</v>
      </c>
      <c r="F4145" s="11">
        <v>8</v>
      </c>
      <c r="G4145" s="11">
        <v>403361.35</v>
      </c>
    </row>
    <row r="4146" spans="2:7" x14ac:dyDescent="0.2">
      <c r="B4146" s="32">
        <v>45914</v>
      </c>
      <c r="C4146" t="s">
        <v>1726</v>
      </c>
      <c r="D4146" s="13" t="s">
        <v>634</v>
      </c>
      <c r="E4146" t="s">
        <v>473</v>
      </c>
      <c r="F4146" s="11">
        <v>8</v>
      </c>
      <c r="G4146" s="11">
        <v>403361.34</v>
      </c>
    </row>
    <row r="4147" spans="2:7" x14ac:dyDescent="0.2">
      <c r="B4147" s="32">
        <v>45914</v>
      </c>
      <c r="C4147" t="s">
        <v>1726</v>
      </c>
      <c r="D4147" s="13" t="s">
        <v>634</v>
      </c>
      <c r="E4147" t="s">
        <v>245</v>
      </c>
      <c r="F4147" s="11">
        <v>2</v>
      </c>
      <c r="G4147" s="11">
        <v>252100.84</v>
      </c>
    </row>
    <row r="4148" spans="2:7" x14ac:dyDescent="0.2">
      <c r="B4148" s="32">
        <v>45914</v>
      </c>
      <c r="C4148" t="s">
        <v>1726</v>
      </c>
      <c r="D4148" s="13" t="s">
        <v>634</v>
      </c>
      <c r="E4148" t="s">
        <v>439</v>
      </c>
      <c r="F4148" s="11">
        <v>2</v>
      </c>
      <c r="G4148" s="11">
        <v>252100.84</v>
      </c>
    </row>
    <row r="4149" spans="2:7" x14ac:dyDescent="0.2">
      <c r="B4149" s="32">
        <v>45914</v>
      </c>
      <c r="C4149" t="s">
        <v>1726</v>
      </c>
      <c r="D4149" s="13" t="s">
        <v>634</v>
      </c>
      <c r="E4149" t="s">
        <v>173</v>
      </c>
      <c r="F4149" s="11">
        <v>6</v>
      </c>
      <c r="G4149" s="11">
        <v>226890.76</v>
      </c>
    </row>
    <row r="4150" spans="2:7" x14ac:dyDescent="0.2">
      <c r="B4150" s="32">
        <v>45914</v>
      </c>
      <c r="C4150" t="s">
        <v>1726</v>
      </c>
      <c r="D4150" s="13" t="s">
        <v>634</v>
      </c>
      <c r="F4150" s="11">
        <v>3</v>
      </c>
      <c r="G4150" s="11">
        <v>210084.04</v>
      </c>
    </row>
    <row r="4151" spans="2:7" x14ac:dyDescent="0.2">
      <c r="B4151" s="32">
        <v>45914</v>
      </c>
      <c r="C4151" t="s">
        <v>1726</v>
      </c>
      <c r="D4151" s="13" t="s">
        <v>634</v>
      </c>
      <c r="E4151" t="s">
        <v>409</v>
      </c>
      <c r="F4151" s="11">
        <v>2</v>
      </c>
      <c r="G4151" s="11">
        <v>201680.67</v>
      </c>
    </row>
    <row r="4152" spans="2:7" x14ac:dyDescent="0.2">
      <c r="B4152" s="32">
        <v>45914</v>
      </c>
      <c r="C4152" t="s">
        <v>1726</v>
      </c>
      <c r="D4152" s="13" t="s">
        <v>634</v>
      </c>
      <c r="E4152" t="s">
        <v>293</v>
      </c>
      <c r="F4152" s="11">
        <v>5</v>
      </c>
      <c r="G4152" s="11">
        <v>189075.64</v>
      </c>
    </row>
    <row r="4153" spans="2:7" x14ac:dyDescent="0.2">
      <c r="B4153" s="32">
        <v>45914</v>
      </c>
      <c r="C4153" t="s">
        <v>1726</v>
      </c>
      <c r="D4153" s="13" t="s">
        <v>634</v>
      </c>
      <c r="E4153" t="s">
        <v>153</v>
      </c>
      <c r="F4153" s="11">
        <v>4</v>
      </c>
      <c r="G4153" s="11">
        <v>168067.24</v>
      </c>
    </row>
    <row r="4154" spans="2:7" x14ac:dyDescent="0.2">
      <c r="B4154" s="32">
        <v>45914</v>
      </c>
      <c r="C4154" t="s">
        <v>1726</v>
      </c>
      <c r="D4154" s="13" t="s">
        <v>634</v>
      </c>
      <c r="E4154" t="s">
        <v>148</v>
      </c>
      <c r="F4154" s="11">
        <v>4</v>
      </c>
      <c r="G4154" s="11">
        <v>151260.51999999999</v>
      </c>
    </row>
    <row r="4155" spans="2:7" x14ac:dyDescent="0.2">
      <c r="B4155" s="32">
        <v>45914</v>
      </c>
      <c r="C4155" t="s">
        <v>1726</v>
      </c>
      <c r="D4155" s="13" t="s">
        <v>634</v>
      </c>
      <c r="E4155" t="s">
        <v>698</v>
      </c>
      <c r="F4155" s="11">
        <v>2</v>
      </c>
      <c r="G4155" s="11">
        <v>151260.5</v>
      </c>
    </row>
    <row r="4156" spans="2:7" x14ac:dyDescent="0.2">
      <c r="B4156" s="32">
        <v>45914</v>
      </c>
      <c r="C4156" t="s">
        <v>1726</v>
      </c>
      <c r="D4156" s="13" t="s">
        <v>634</v>
      </c>
      <c r="E4156" t="s">
        <v>2006</v>
      </c>
      <c r="F4156" s="11">
        <v>2</v>
      </c>
      <c r="G4156" s="11">
        <v>151260.5</v>
      </c>
    </row>
    <row r="4157" spans="2:7" x14ac:dyDescent="0.2">
      <c r="B4157" s="32">
        <v>45914</v>
      </c>
      <c r="C4157" t="s">
        <v>1726</v>
      </c>
      <c r="D4157" s="13" t="s">
        <v>634</v>
      </c>
      <c r="E4157" t="s">
        <v>164</v>
      </c>
      <c r="F4157" s="11">
        <v>2</v>
      </c>
      <c r="G4157" s="11">
        <v>142857.14000000001</v>
      </c>
    </row>
    <row r="4158" spans="2:7" x14ac:dyDescent="0.2">
      <c r="B4158" s="32">
        <v>45914</v>
      </c>
      <c r="C4158" t="s">
        <v>1726</v>
      </c>
      <c r="D4158" s="13" t="s">
        <v>634</v>
      </c>
      <c r="E4158" t="s">
        <v>352</v>
      </c>
      <c r="F4158" s="11">
        <v>2</v>
      </c>
      <c r="G4158" s="11">
        <v>142857.14000000001</v>
      </c>
    </row>
    <row r="4159" spans="2:7" x14ac:dyDescent="0.2">
      <c r="B4159" s="32">
        <v>45914</v>
      </c>
      <c r="C4159" t="s">
        <v>1726</v>
      </c>
      <c r="D4159" s="13" t="s">
        <v>634</v>
      </c>
      <c r="E4159" t="s">
        <v>534</v>
      </c>
      <c r="F4159" s="11">
        <v>2</v>
      </c>
      <c r="G4159" s="11">
        <v>142857.14000000001</v>
      </c>
    </row>
    <row r="4160" spans="2:7" x14ac:dyDescent="0.2">
      <c r="B4160" s="32">
        <v>45914</v>
      </c>
      <c r="C4160" t="s">
        <v>1726</v>
      </c>
      <c r="D4160" s="13" t="s">
        <v>634</v>
      </c>
      <c r="E4160" t="s">
        <v>350</v>
      </c>
      <c r="F4160" s="11">
        <v>3</v>
      </c>
      <c r="G4160" s="11">
        <v>138655.47</v>
      </c>
    </row>
    <row r="4161" spans="2:7" x14ac:dyDescent="0.2">
      <c r="B4161" s="32">
        <v>45914</v>
      </c>
      <c r="C4161" t="s">
        <v>1726</v>
      </c>
      <c r="D4161" s="13" t="s">
        <v>634</v>
      </c>
      <c r="E4161" t="s">
        <v>151</v>
      </c>
      <c r="F4161" s="11">
        <v>3</v>
      </c>
      <c r="G4161" s="11">
        <v>138655.47</v>
      </c>
    </row>
    <row r="4162" spans="2:7" x14ac:dyDescent="0.2">
      <c r="B4162" s="32">
        <v>45914</v>
      </c>
      <c r="C4162" t="s">
        <v>1726</v>
      </c>
      <c r="D4162" s="13" t="s">
        <v>634</v>
      </c>
      <c r="E4162" t="s">
        <v>726</v>
      </c>
      <c r="F4162" s="11">
        <v>1</v>
      </c>
      <c r="G4162" s="11">
        <v>130252.1</v>
      </c>
    </row>
    <row r="4163" spans="2:7" x14ac:dyDescent="0.2">
      <c r="B4163" s="32">
        <v>45914</v>
      </c>
      <c r="C4163" t="s">
        <v>1726</v>
      </c>
      <c r="D4163" s="13" t="s">
        <v>634</v>
      </c>
      <c r="E4163" t="s">
        <v>240</v>
      </c>
      <c r="F4163" s="11">
        <v>3</v>
      </c>
      <c r="G4163" s="11">
        <v>126050.43</v>
      </c>
    </row>
    <row r="4164" spans="2:7" x14ac:dyDescent="0.2">
      <c r="B4164" s="32">
        <v>45914</v>
      </c>
      <c r="C4164" t="s">
        <v>1726</v>
      </c>
      <c r="D4164" s="13" t="s">
        <v>634</v>
      </c>
      <c r="E4164" t="s">
        <v>168</v>
      </c>
      <c r="F4164" s="11">
        <v>3</v>
      </c>
      <c r="G4164" s="11">
        <v>126050.42</v>
      </c>
    </row>
    <row r="4165" spans="2:7" x14ac:dyDescent="0.2">
      <c r="B4165" s="32">
        <v>45914</v>
      </c>
      <c r="C4165" t="s">
        <v>1726</v>
      </c>
      <c r="D4165" s="13" t="s">
        <v>634</v>
      </c>
      <c r="E4165" t="s">
        <v>234</v>
      </c>
      <c r="F4165" s="11">
        <v>3</v>
      </c>
      <c r="G4165" s="11">
        <v>113445.39</v>
      </c>
    </row>
    <row r="4166" spans="2:7" x14ac:dyDescent="0.2">
      <c r="B4166" s="32">
        <v>45914</v>
      </c>
      <c r="C4166" t="s">
        <v>1726</v>
      </c>
      <c r="D4166" s="13" t="s">
        <v>634</v>
      </c>
      <c r="E4166" t="s">
        <v>212</v>
      </c>
      <c r="F4166" s="11">
        <v>2</v>
      </c>
      <c r="G4166" s="11">
        <v>109243.7</v>
      </c>
    </row>
    <row r="4167" spans="2:7" x14ac:dyDescent="0.2">
      <c r="B4167" s="32">
        <v>45914</v>
      </c>
      <c r="C4167" t="s">
        <v>1726</v>
      </c>
      <c r="D4167" s="13" t="s">
        <v>634</v>
      </c>
      <c r="E4167" t="s">
        <v>1810</v>
      </c>
      <c r="F4167" s="11">
        <v>2</v>
      </c>
      <c r="G4167" s="11">
        <v>109243.7</v>
      </c>
    </row>
    <row r="4168" spans="2:7" x14ac:dyDescent="0.2">
      <c r="B4168" s="32">
        <v>45914</v>
      </c>
      <c r="C4168" t="s">
        <v>1726</v>
      </c>
      <c r="D4168" s="13" t="s">
        <v>634</v>
      </c>
      <c r="E4168" t="s">
        <v>195</v>
      </c>
      <c r="F4168" s="11">
        <v>2</v>
      </c>
      <c r="G4168" s="11">
        <v>88235.3</v>
      </c>
    </row>
    <row r="4169" spans="2:7" x14ac:dyDescent="0.2">
      <c r="B4169" s="32">
        <v>45914</v>
      </c>
      <c r="C4169" t="s">
        <v>1726</v>
      </c>
      <c r="D4169" s="13" t="s">
        <v>634</v>
      </c>
      <c r="E4169" t="s">
        <v>150</v>
      </c>
      <c r="F4169" s="11">
        <v>2</v>
      </c>
      <c r="G4169" s="11">
        <v>84033.61</v>
      </c>
    </row>
    <row r="4170" spans="2:7" x14ac:dyDescent="0.2">
      <c r="B4170" s="32">
        <v>45914</v>
      </c>
      <c r="C4170" t="s">
        <v>1726</v>
      </c>
      <c r="D4170" s="13" t="s">
        <v>634</v>
      </c>
      <c r="E4170" t="s">
        <v>521</v>
      </c>
      <c r="F4170" s="11">
        <v>1</v>
      </c>
      <c r="G4170" s="11">
        <v>79831.929999999993</v>
      </c>
    </row>
    <row r="4171" spans="2:7" x14ac:dyDescent="0.2">
      <c r="B4171" s="32">
        <v>45914</v>
      </c>
      <c r="C4171" t="s">
        <v>1726</v>
      </c>
      <c r="D4171" s="13" t="s">
        <v>634</v>
      </c>
      <c r="E4171" t="s">
        <v>347</v>
      </c>
      <c r="F4171" s="11">
        <v>1</v>
      </c>
      <c r="G4171" s="11">
        <v>75630.25</v>
      </c>
    </row>
    <row r="4172" spans="2:7" x14ac:dyDescent="0.2">
      <c r="B4172" s="32">
        <v>45914</v>
      </c>
      <c r="C4172" t="s">
        <v>1726</v>
      </c>
      <c r="D4172" s="13" t="s">
        <v>634</v>
      </c>
      <c r="E4172" t="s">
        <v>1825</v>
      </c>
      <c r="F4172" s="11">
        <v>1</v>
      </c>
      <c r="G4172" s="11">
        <v>75630.25</v>
      </c>
    </row>
    <row r="4173" spans="2:7" x14ac:dyDescent="0.2">
      <c r="B4173" s="32">
        <v>45914</v>
      </c>
      <c r="C4173" t="s">
        <v>1726</v>
      </c>
      <c r="D4173" s="13" t="s">
        <v>634</v>
      </c>
      <c r="E4173" t="s">
        <v>264</v>
      </c>
      <c r="F4173" s="11">
        <v>1</v>
      </c>
      <c r="G4173" s="11">
        <v>75630.25</v>
      </c>
    </row>
    <row r="4174" spans="2:7" x14ac:dyDescent="0.2">
      <c r="B4174" s="32">
        <v>45914</v>
      </c>
      <c r="C4174" t="s">
        <v>1726</v>
      </c>
      <c r="D4174" s="13" t="s">
        <v>634</v>
      </c>
      <c r="E4174" t="s">
        <v>558</v>
      </c>
      <c r="F4174" s="11">
        <v>1</v>
      </c>
      <c r="G4174" s="11">
        <v>75630.25</v>
      </c>
    </row>
    <row r="4175" spans="2:7" x14ac:dyDescent="0.2">
      <c r="B4175" s="32">
        <v>45914</v>
      </c>
      <c r="C4175" t="s">
        <v>1726</v>
      </c>
      <c r="D4175" s="13" t="s">
        <v>634</v>
      </c>
      <c r="E4175" t="s">
        <v>1900</v>
      </c>
      <c r="F4175" s="11">
        <v>1</v>
      </c>
      <c r="G4175" s="11">
        <v>75630.25</v>
      </c>
    </row>
    <row r="4176" spans="2:7" x14ac:dyDescent="0.2">
      <c r="B4176" s="32">
        <v>45914</v>
      </c>
      <c r="C4176" t="s">
        <v>1726</v>
      </c>
      <c r="D4176" s="13" t="s">
        <v>634</v>
      </c>
      <c r="E4176" t="s">
        <v>624</v>
      </c>
      <c r="F4176" s="11">
        <v>1</v>
      </c>
      <c r="G4176" s="11">
        <v>71428.570000000007</v>
      </c>
    </row>
    <row r="4177" spans="2:7" x14ac:dyDescent="0.2">
      <c r="B4177" s="32">
        <v>45914</v>
      </c>
      <c r="C4177" t="s">
        <v>1726</v>
      </c>
      <c r="D4177" s="13" t="s">
        <v>634</v>
      </c>
      <c r="E4177" t="s">
        <v>430</v>
      </c>
      <c r="F4177" s="11">
        <v>1</v>
      </c>
      <c r="G4177" s="11">
        <v>58823.53</v>
      </c>
    </row>
    <row r="4178" spans="2:7" x14ac:dyDescent="0.2">
      <c r="B4178" s="32">
        <v>45914</v>
      </c>
      <c r="C4178" t="s">
        <v>1726</v>
      </c>
      <c r="D4178" s="13" t="s">
        <v>634</v>
      </c>
      <c r="E4178" t="s">
        <v>500</v>
      </c>
      <c r="F4178" s="11">
        <v>1</v>
      </c>
      <c r="G4178" s="11">
        <v>58823.53</v>
      </c>
    </row>
    <row r="4179" spans="2:7" x14ac:dyDescent="0.2">
      <c r="B4179" s="32">
        <v>45914</v>
      </c>
      <c r="C4179" t="s">
        <v>1726</v>
      </c>
      <c r="D4179" s="13" t="s">
        <v>634</v>
      </c>
      <c r="E4179" t="s">
        <v>233</v>
      </c>
      <c r="F4179" s="11">
        <v>1</v>
      </c>
      <c r="G4179" s="11">
        <v>58823.53</v>
      </c>
    </row>
    <row r="4180" spans="2:7" x14ac:dyDescent="0.2">
      <c r="B4180" s="32">
        <v>45914</v>
      </c>
      <c r="C4180" t="s">
        <v>1726</v>
      </c>
      <c r="D4180" s="13" t="s">
        <v>634</v>
      </c>
      <c r="E4180" t="s">
        <v>258</v>
      </c>
      <c r="F4180" s="11">
        <v>1</v>
      </c>
      <c r="G4180" s="11">
        <v>54621.85</v>
      </c>
    </row>
    <row r="4181" spans="2:7" x14ac:dyDescent="0.2">
      <c r="B4181" s="32">
        <v>45914</v>
      </c>
      <c r="C4181" t="s">
        <v>1726</v>
      </c>
      <c r="D4181" s="13" t="s">
        <v>634</v>
      </c>
      <c r="E4181" t="s">
        <v>654</v>
      </c>
      <c r="F4181" s="11">
        <v>1</v>
      </c>
      <c r="G4181" s="11">
        <v>54621.85</v>
      </c>
    </row>
    <row r="4182" spans="2:7" x14ac:dyDescent="0.2">
      <c r="B4182" s="32">
        <v>45914</v>
      </c>
      <c r="C4182" t="s">
        <v>1726</v>
      </c>
      <c r="D4182" s="13" t="s">
        <v>634</v>
      </c>
      <c r="E4182" t="s">
        <v>407</v>
      </c>
      <c r="F4182" s="11">
        <v>1</v>
      </c>
      <c r="G4182" s="11">
        <v>54621.85</v>
      </c>
    </row>
    <row r="4183" spans="2:7" x14ac:dyDescent="0.2">
      <c r="B4183" s="32">
        <v>45914</v>
      </c>
      <c r="C4183" t="s">
        <v>1726</v>
      </c>
      <c r="D4183" s="13" t="s">
        <v>634</v>
      </c>
      <c r="E4183" t="s">
        <v>504</v>
      </c>
      <c r="F4183" s="11">
        <v>1</v>
      </c>
      <c r="G4183" s="11">
        <v>50420.17</v>
      </c>
    </row>
    <row r="4184" spans="2:7" x14ac:dyDescent="0.2">
      <c r="B4184" s="32">
        <v>45914</v>
      </c>
      <c r="C4184" t="s">
        <v>1726</v>
      </c>
      <c r="D4184" s="13" t="s">
        <v>634</v>
      </c>
      <c r="E4184" t="s">
        <v>455</v>
      </c>
      <c r="F4184" s="11">
        <v>1</v>
      </c>
      <c r="G4184" s="11">
        <v>50420.17</v>
      </c>
    </row>
    <row r="4185" spans="2:7" x14ac:dyDescent="0.2">
      <c r="B4185" s="32">
        <v>45914</v>
      </c>
      <c r="C4185" t="s">
        <v>1726</v>
      </c>
      <c r="D4185" s="13" t="s">
        <v>634</v>
      </c>
      <c r="E4185" t="s">
        <v>513</v>
      </c>
      <c r="F4185" s="11">
        <v>1</v>
      </c>
      <c r="G4185" s="11">
        <v>50420.17</v>
      </c>
    </row>
    <row r="4186" spans="2:7" x14ac:dyDescent="0.2">
      <c r="B4186" s="32">
        <v>45914</v>
      </c>
      <c r="C4186" t="s">
        <v>1726</v>
      </c>
      <c r="D4186" s="13" t="s">
        <v>634</v>
      </c>
      <c r="E4186" t="s">
        <v>337</v>
      </c>
      <c r="F4186" s="11">
        <v>1</v>
      </c>
      <c r="G4186" s="11">
        <v>46218.49</v>
      </c>
    </row>
    <row r="4187" spans="2:7" x14ac:dyDescent="0.2">
      <c r="B4187" s="32">
        <v>45914</v>
      </c>
      <c r="C4187" t="s">
        <v>1726</v>
      </c>
      <c r="D4187" s="13" t="s">
        <v>634</v>
      </c>
      <c r="E4187" t="s">
        <v>146</v>
      </c>
      <c r="F4187" s="11">
        <v>1</v>
      </c>
      <c r="G4187" s="11">
        <v>46218.49</v>
      </c>
    </row>
    <row r="4188" spans="2:7" x14ac:dyDescent="0.2">
      <c r="B4188" s="32">
        <v>45914</v>
      </c>
      <c r="C4188" t="s">
        <v>1726</v>
      </c>
      <c r="D4188" s="13" t="s">
        <v>634</v>
      </c>
      <c r="E4188" t="s">
        <v>158</v>
      </c>
      <c r="F4188" s="11">
        <v>1</v>
      </c>
      <c r="G4188" s="11">
        <v>46218.49</v>
      </c>
    </row>
    <row r="4189" spans="2:7" x14ac:dyDescent="0.2">
      <c r="B4189" s="32">
        <v>45914</v>
      </c>
      <c r="C4189" t="s">
        <v>1726</v>
      </c>
      <c r="D4189" s="13" t="s">
        <v>634</v>
      </c>
      <c r="E4189" t="s">
        <v>753</v>
      </c>
      <c r="F4189" s="11">
        <v>1</v>
      </c>
      <c r="G4189" s="11">
        <v>46218.49</v>
      </c>
    </row>
    <row r="4190" spans="2:7" x14ac:dyDescent="0.2">
      <c r="B4190" s="32">
        <v>45914</v>
      </c>
      <c r="C4190" t="s">
        <v>1726</v>
      </c>
      <c r="D4190" s="13" t="s">
        <v>634</v>
      </c>
      <c r="E4190" t="s">
        <v>170</v>
      </c>
      <c r="F4190" s="11">
        <v>1</v>
      </c>
      <c r="G4190" s="11">
        <v>46218.49</v>
      </c>
    </row>
    <row r="4191" spans="2:7" x14ac:dyDescent="0.2">
      <c r="B4191" s="32">
        <v>45914</v>
      </c>
      <c r="C4191" t="s">
        <v>1726</v>
      </c>
      <c r="D4191" s="13" t="s">
        <v>634</v>
      </c>
      <c r="E4191" t="s">
        <v>443</v>
      </c>
      <c r="F4191" s="11">
        <v>1</v>
      </c>
      <c r="G4191" s="11">
        <v>46218.49</v>
      </c>
    </row>
    <row r="4192" spans="2:7" x14ac:dyDescent="0.2">
      <c r="B4192" s="32">
        <v>45914</v>
      </c>
      <c r="C4192" t="s">
        <v>1726</v>
      </c>
      <c r="D4192" s="13" t="s">
        <v>634</v>
      </c>
      <c r="E4192" t="s">
        <v>260</v>
      </c>
      <c r="F4192" s="11">
        <v>1</v>
      </c>
      <c r="G4192" s="11">
        <v>46218.49</v>
      </c>
    </row>
    <row r="4193" spans="2:7" x14ac:dyDescent="0.2">
      <c r="B4193" s="32">
        <v>45914</v>
      </c>
      <c r="C4193" t="s">
        <v>1726</v>
      </c>
      <c r="D4193" s="13" t="s">
        <v>634</v>
      </c>
      <c r="E4193" t="s">
        <v>238</v>
      </c>
      <c r="F4193" s="11">
        <v>1</v>
      </c>
      <c r="G4193" s="11">
        <v>46218.48</v>
      </c>
    </row>
    <row r="4194" spans="2:7" x14ac:dyDescent="0.2">
      <c r="B4194" s="32">
        <v>45914</v>
      </c>
      <c r="C4194" t="s">
        <v>1726</v>
      </c>
      <c r="D4194" s="13" t="s">
        <v>634</v>
      </c>
      <c r="E4194" t="s">
        <v>172</v>
      </c>
      <c r="F4194" s="11">
        <v>1</v>
      </c>
      <c r="G4194" s="11">
        <v>46218.48</v>
      </c>
    </row>
    <row r="4195" spans="2:7" x14ac:dyDescent="0.2">
      <c r="B4195" s="32">
        <v>45914</v>
      </c>
      <c r="C4195" t="s">
        <v>1726</v>
      </c>
      <c r="D4195" s="13" t="s">
        <v>634</v>
      </c>
      <c r="E4195" t="s">
        <v>560</v>
      </c>
      <c r="F4195" s="11">
        <v>1</v>
      </c>
      <c r="G4195" s="11">
        <v>46218.48</v>
      </c>
    </row>
    <row r="4196" spans="2:7" x14ac:dyDescent="0.2">
      <c r="B4196" s="32">
        <v>45914</v>
      </c>
      <c r="C4196" t="s">
        <v>1726</v>
      </c>
      <c r="D4196" s="13" t="s">
        <v>634</v>
      </c>
      <c r="E4196" t="s">
        <v>166</v>
      </c>
      <c r="F4196" s="11">
        <v>1</v>
      </c>
      <c r="G4196" s="11">
        <v>42016.81</v>
      </c>
    </row>
    <row r="4197" spans="2:7" x14ac:dyDescent="0.2">
      <c r="B4197" s="32">
        <v>45914</v>
      </c>
      <c r="C4197" t="s">
        <v>1726</v>
      </c>
      <c r="D4197" s="13" t="s">
        <v>634</v>
      </c>
      <c r="E4197" t="s">
        <v>1818</v>
      </c>
      <c r="F4197" s="11">
        <v>1</v>
      </c>
      <c r="G4197" s="11">
        <v>37815.129999999997</v>
      </c>
    </row>
    <row r="4198" spans="2:7" x14ac:dyDescent="0.2">
      <c r="B4198" s="32">
        <v>45914</v>
      </c>
      <c r="C4198" t="s">
        <v>1726</v>
      </c>
      <c r="D4198" s="13" t="s">
        <v>634</v>
      </c>
      <c r="E4198" t="s">
        <v>206</v>
      </c>
      <c r="F4198" s="11">
        <v>1</v>
      </c>
      <c r="G4198" s="11">
        <v>37815.120000000003</v>
      </c>
    </row>
    <row r="4199" spans="2:7" x14ac:dyDescent="0.2">
      <c r="B4199" s="32">
        <v>45914</v>
      </c>
      <c r="C4199" t="s">
        <v>1726</v>
      </c>
      <c r="D4199" s="13" t="s">
        <v>633</v>
      </c>
      <c r="E4199" t="s">
        <v>189</v>
      </c>
      <c r="F4199" s="11">
        <v>1</v>
      </c>
      <c r="G4199" s="11">
        <v>71428.570000000007</v>
      </c>
    </row>
    <row r="4200" spans="2:7" x14ac:dyDescent="0.2">
      <c r="B4200" s="32">
        <v>45914</v>
      </c>
      <c r="C4200" t="s">
        <v>1726</v>
      </c>
      <c r="D4200" s="13" t="s">
        <v>633</v>
      </c>
      <c r="E4200" t="s">
        <v>281</v>
      </c>
      <c r="F4200" s="11">
        <v>1</v>
      </c>
      <c r="G4200" s="11">
        <v>58823.53</v>
      </c>
    </row>
    <row r="4201" spans="2:7" x14ac:dyDescent="0.2">
      <c r="B4201" s="32">
        <v>45914</v>
      </c>
      <c r="C4201" t="s">
        <v>1726</v>
      </c>
      <c r="D4201" s="13" t="s">
        <v>633</v>
      </c>
      <c r="E4201" t="s">
        <v>161</v>
      </c>
      <c r="F4201" s="11">
        <v>1</v>
      </c>
      <c r="G4201" s="11">
        <v>42016.81</v>
      </c>
    </row>
    <row r="4202" spans="2:7" x14ac:dyDescent="0.2">
      <c r="B4202" s="32">
        <v>45914</v>
      </c>
      <c r="C4202" t="s">
        <v>1726</v>
      </c>
      <c r="D4202" s="13" t="s">
        <v>633</v>
      </c>
      <c r="E4202" t="s">
        <v>1727</v>
      </c>
      <c r="F4202" s="11">
        <v>1</v>
      </c>
      <c r="G4202" s="11">
        <v>7563.03</v>
      </c>
    </row>
    <row r="4203" spans="2:7" x14ac:dyDescent="0.2">
      <c r="B4203" s="32">
        <v>45914</v>
      </c>
      <c r="C4203" t="s">
        <v>142</v>
      </c>
      <c r="D4203" s="13" t="s">
        <v>634</v>
      </c>
      <c r="E4203" t="s">
        <v>205</v>
      </c>
      <c r="F4203" s="11">
        <v>2</v>
      </c>
      <c r="G4203" s="11">
        <v>117647.06</v>
      </c>
    </row>
    <row r="4204" spans="2:7" x14ac:dyDescent="0.2">
      <c r="B4204" s="32">
        <v>45914</v>
      </c>
      <c r="C4204" t="s">
        <v>142</v>
      </c>
      <c r="D4204" s="13" t="s">
        <v>634</v>
      </c>
      <c r="E4204" t="s">
        <v>651</v>
      </c>
      <c r="F4204" s="11">
        <v>1</v>
      </c>
      <c r="G4204" s="11">
        <v>58823.53</v>
      </c>
    </row>
    <row r="4205" spans="2:7" x14ac:dyDescent="0.2">
      <c r="B4205" s="32">
        <v>45914</v>
      </c>
      <c r="C4205" t="s">
        <v>142</v>
      </c>
      <c r="D4205" s="13" t="s">
        <v>634</v>
      </c>
      <c r="E4205" t="s">
        <v>641</v>
      </c>
      <c r="F4205" s="11">
        <v>1</v>
      </c>
      <c r="G4205" s="11">
        <v>54621.85</v>
      </c>
    </row>
    <row r="4206" spans="2:7" x14ac:dyDescent="0.2">
      <c r="B4206" s="32">
        <v>45914</v>
      </c>
      <c r="C4206" t="s">
        <v>142</v>
      </c>
      <c r="D4206" s="13" t="s">
        <v>634</v>
      </c>
      <c r="E4206" t="s">
        <v>375</v>
      </c>
      <c r="F4206" s="11">
        <v>1</v>
      </c>
      <c r="G4206" s="11">
        <v>54621.85</v>
      </c>
    </row>
    <row r="4207" spans="2:7" x14ac:dyDescent="0.2">
      <c r="B4207" s="32">
        <v>45914</v>
      </c>
      <c r="C4207" t="s">
        <v>142</v>
      </c>
      <c r="D4207" s="13" t="s">
        <v>634</v>
      </c>
      <c r="E4207" t="s">
        <v>197</v>
      </c>
      <c r="F4207" s="11">
        <v>1</v>
      </c>
      <c r="G4207" s="11">
        <v>54621.85</v>
      </c>
    </row>
    <row r="4208" spans="2:7" x14ac:dyDescent="0.2">
      <c r="B4208" s="32">
        <v>45914</v>
      </c>
      <c r="C4208" t="s">
        <v>142</v>
      </c>
      <c r="D4208" s="13" t="s">
        <v>633</v>
      </c>
      <c r="E4208" t="s">
        <v>533</v>
      </c>
      <c r="F4208" s="11">
        <v>1</v>
      </c>
      <c r="G4208" s="11">
        <v>84033.61</v>
      </c>
    </row>
    <row r="4209" spans="2:7" x14ac:dyDescent="0.2">
      <c r="B4209" s="32">
        <v>45914</v>
      </c>
      <c r="C4209" t="s">
        <v>142</v>
      </c>
      <c r="D4209" s="13" t="s">
        <v>633</v>
      </c>
      <c r="E4209" t="s">
        <v>205</v>
      </c>
      <c r="F4209" s="11">
        <v>1</v>
      </c>
      <c r="G4209" s="11">
        <v>58823.53</v>
      </c>
    </row>
    <row r="4210" spans="2:7" x14ac:dyDescent="0.2">
      <c r="B4210" s="32">
        <v>45914</v>
      </c>
      <c r="C4210" t="s">
        <v>142</v>
      </c>
      <c r="D4210" s="13" t="s">
        <v>633</v>
      </c>
      <c r="E4210" t="s">
        <v>1865</v>
      </c>
      <c r="F4210" s="11">
        <v>1</v>
      </c>
      <c r="G4210" s="11">
        <v>54621.85</v>
      </c>
    </row>
    <row r="4211" spans="2:7" x14ac:dyDescent="0.2">
      <c r="B4211" s="32">
        <v>45914</v>
      </c>
      <c r="C4211" t="s">
        <v>109</v>
      </c>
      <c r="D4211" s="13" t="s">
        <v>634</v>
      </c>
      <c r="E4211" t="s">
        <v>1871</v>
      </c>
      <c r="F4211" s="11">
        <v>1</v>
      </c>
      <c r="G4211" s="11">
        <v>58823.53</v>
      </c>
    </row>
    <row r="4212" spans="2:7" x14ac:dyDescent="0.2">
      <c r="B4212" s="32">
        <v>45914</v>
      </c>
      <c r="C4212" t="s">
        <v>109</v>
      </c>
      <c r="D4212" s="13" t="s">
        <v>634</v>
      </c>
      <c r="E4212" t="s">
        <v>440</v>
      </c>
      <c r="F4212" s="11">
        <v>1</v>
      </c>
      <c r="G4212" s="11">
        <v>58823.53</v>
      </c>
    </row>
    <row r="4213" spans="2:7" x14ac:dyDescent="0.2">
      <c r="B4213" s="32">
        <v>45914</v>
      </c>
      <c r="C4213" t="s">
        <v>109</v>
      </c>
      <c r="D4213" s="13" t="s">
        <v>634</v>
      </c>
      <c r="E4213" t="s">
        <v>679</v>
      </c>
      <c r="F4213" s="11">
        <v>1</v>
      </c>
      <c r="G4213" s="11">
        <v>54621.85</v>
      </c>
    </row>
    <row r="4214" spans="2:7" x14ac:dyDescent="0.2">
      <c r="B4214" s="32">
        <v>45914</v>
      </c>
      <c r="C4214" t="s">
        <v>109</v>
      </c>
      <c r="D4214" s="13" t="s">
        <v>634</v>
      </c>
      <c r="E4214" t="s">
        <v>144</v>
      </c>
      <c r="F4214" s="11">
        <v>3</v>
      </c>
      <c r="G4214" s="11">
        <v>44957.98</v>
      </c>
    </row>
    <row r="4215" spans="2:7" x14ac:dyDescent="0.2">
      <c r="B4215" s="32">
        <v>45914</v>
      </c>
      <c r="C4215" t="s">
        <v>109</v>
      </c>
      <c r="D4215" s="13" t="s">
        <v>634</v>
      </c>
      <c r="E4215" t="s">
        <v>1769</v>
      </c>
      <c r="F4215" s="11">
        <v>2</v>
      </c>
      <c r="G4215" s="11">
        <v>42016.81</v>
      </c>
    </row>
    <row r="4216" spans="2:7" x14ac:dyDescent="0.2">
      <c r="B4216" s="32">
        <v>45914</v>
      </c>
      <c r="C4216" t="s">
        <v>109</v>
      </c>
      <c r="D4216" s="13" t="s">
        <v>633</v>
      </c>
      <c r="E4216" t="s">
        <v>1813</v>
      </c>
      <c r="F4216" s="11">
        <v>3</v>
      </c>
      <c r="G4216" s="11">
        <v>65546.22</v>
      </c>
    </row>
    <row r="4217" spans="2:7" x14ac:dyDescent="0.2">
      <c r="B4217" s="32">
        <v>45915</v>
      </c>
      <c r="C4217" t="s">
        <v>142</v>
      </c>
      <c r="D4217" s="13" t="s">
        <v>634</v>
      </c>
      <c r="E4217" t="s">
        <v>249</v>
      </c>
      <c r="F4217" s="11">
        <v>1</v>
      </c>
      <c r="G4217" s="11">
        <v>92436.97</v>
      </c>
    </row>
    <row r="4218" spans="2:7" x14ac:dyDescent="0.2">
      <c r="B4218" s="32">
        <v>45915</v>
      </c>
      <c r="C4218" t="s">
        <v>142</v>
      </c>
      <c r="D4218" s="13" t="s">
        <v>634</v>
      </c>
      <c r="E4218" t="s">
        <v>186</v>
      </c>
      <c r="F4218" s="11">
        <v>1</v>
      </c>
      <c r="G4218" s="11">
        <v>84033.61</v>
      </c>
    </row>
    <row r="4219" spans="2:7" x14ac:dyDescent="0.2">
      <c r="B4219" s="32">
        <v>45915</v>
      </c>
      <c r="C4219" t="s">
        <v>142</v>
      </c>
      <c r="D4219" s="13" t="s">
        <v>634</v>
      </c>
      <c r="E4219" t="s">
        <v>374</v>
      </c>
      <c r="F4219" s="11">
        <v>1</v>
      </c>
      <c r="G4219" s="11">
        <v>58823.53</v>
      </c>
    </row>
    <row r="4220" spans="2:7" x14ac:dyDescent="0.2">
      <c r="B4220" s="32">
        <v>45915</v>
      </c>
      <c r="C4220" t="s">
        <v>109</v>
      </c>
      <c r="D4220" s="13" t="s">
        <v>634</v>
      </c>
      <c r="E4220" t="s">
        <v>2007</v>
      </c>
      <c r="F4220" s="11">
        <v>1</v>
      </c>
      <c r="G4220" s="11">
        <v>155462.18</v>
      </c>
    </row>
    <row r="4221" spans="2:7" x14ac:dyDescent="0.2">
      <c r="B4221" s="32">
        <v>45915</v>
      </c>
      <c r="C4221" t="s">
        <v>109</v>
      </c>
      <c r="D4221" s="13" t="s">
        <v>634</v>
      </c>
      <c r="E4221" t="s">
        <v>167</v>
      </c>
      <c r="F4221" s="11">
        <v>1</v>
      </c>
      <c r="G4221" s="11">
        <v>96638.66</v>
      </c>
    </row>
    <row r="4222" spans="2:7" x14ac:dyDescent="0.2">
      <c r="B4222" s="32">
        <v>45915</v>
      </c>
      <c r="C4222" t="s">
        <v>109</v>
      </c>
      <c r="D4222" s="13" t="s">
        <v>634</v>
      </c>
      <c r="E4222" t="s">
        <v>150</v>
      </c>
      <c r="F4222" s="11">
        <v>2</v>
      </c>
      <c r="G4222" s="11">
        <v>84033.62</v>
      </c>
    </row>
    <row r="4223" spans="2:7" x14ac:dyDescent="0.2">
      <c r="B4223" s="32">
        <v>45915</v>
      </c>
      <c r="C4223" t="s">
        <v>109</v>
      </c>
      <c r="D4223" s="13" t="s">
        <v>634</v>
      </c>
      <c r="E4223" t="s">
        <v>446</v>
      </c>
      <c r="F4223" s="11">
        <v>1</v>
      </c>
      <c r="G4223" s="11">
        <v>75630.25</v>
      </c>
    </row>
    <row r="4224" spans="2:7" x14ac:dyDescent="0.2">
      <c r="B4224" s="32">
        <v>45915</v>
      </c>
      <c r="C4224" t="s">
        <v>109</v>
      </c>
      <c r="D4224" s="13" t="s">
        <v>634</v>
      </c>
      <c r="E4224" t="s">
        <v>149</v>
      </c>
      <c r="F4224" s="11">
        <v>1</v>
      </c>
      <c r="G4224" s="11">
        <v>71428.570000000007</v>
      </c>
    </row>
    <row r="4225" spans="2:7" x14ac:dyDescent="0.2">
      <c r="B4225" s="32">
        <v>45915</v>
      </c>
      <c r="C4225" t="s">
        <v>109</v>
      </c>
      <c r="D4225" s="13" t="s">
        <v>634</v>
      </c>
      <c r="E4225" t="s">
        <v>153</v>
      </c>
      <c r="F4225" s="11">
        <v>1</v>
      </c>
      <c r="G4225" s="11">
        <v>42016.81</v>
      </c>
    </row>
    <row r="4226" spans="2:7" x14ac:dyDescent="0.2">
      <c r="B4226" s="32">
        <v>45915</v>
      </c>
      <c r="C4226" t="s">
        <v>109</v>
      </c>
      <c r="D4226" s="13" t="s">
        <v>633</v>
      </c>
      <c r="E4226" t="s">
        <v>763</v>
      </c>
      <c r="F4226" s="11">
        <v>1</v>
      </c>
      <c r="G4226" s="11">
        <v>117647.06</v>
      </c>
    </row>
    <row r="4227" spans="2:7" x14ac:dyDescent="0.2">
      <c r="B4227" s="32">
        <v>45915</v>
      </c>
      <c r="C4227" t="s">
        <v>109</v>
      </c>
      <c r="D4227" s="13" t="s">
        <v>633</v>
      </c>
      <c r="E4227" t="s">
        <v>182</v>
      </c>
      <c r="F4227" s="11">
        <v>4</v>
      </c>
      <c r="G4227" s="11">
        <v>84033.61</v>
      </c>
    </row>
    <row r="4228" spans="2:7" x14ac:dyDescent="0.2">
      <c r="B4228" s="32">
        <v>45915</v>
      </c>
      <c r="C4228" t="s">
        <v>109</v>
      </c>
      <c r="D4228" s="13" t="s">
        <v>633</v>
      </c>
      <c r="E4228" t="s">
        <v>654</v>
      </c>
      <c r="F4228" s="11">
        <v>1</v>
      </c>
      <c r="G4228" s="11">
        <v>54621.85</v>
      </c>
    </row>
    <row r="4229" spans="2:7" x14ac:dyDescent="0.2">
      <c r="B4229" s="32">
        <v>45915</v>
      </c>
      <c r="C4229" t="s">
        <v>109</v>
      </c>
      <c r="D4229" s="13" t="s">
        <v>633</v>
      </c>
      <c r="E4229" t="s">
        <v>212</v>
      </c>
      <c r="F4229" s="11">
        <v>1</v>
      </c>
      <c r="G4229" s="11">
        <v>54621.85</v>
      </c>
    </row>
    <row r="4230" spans="2:7" x14ac:dyDescent="0.2">
      <c r="B4230" s="32">
        <v>45915</v>
      </c>
      <c r="C4230" t="s">
        <v>109</v>
      </c>
      <c r="D4230" s="13" t="s">
        <v>633</v>
      </c>
      <c r="E4230" t="s">
        <v>1818</v>
      </c>
      <c r="F4230" s="11">
        <v>1</v>
      </c>
      <c r="G4230" s="11">
        <v>37815.120000000003</v>
      </c>
    </row>
    <row r="4231" spans="2:7" x14ac:dyDescent="0.2">
      <c r="B4231" s="32">
        <v>45916</v>
      </c>
      <c r="C4231" t="s">
        <v>142</v>
      </c>
      <c r="D4231" s="13" t="s">
        <v>634</v>
      </c>
      <c r="E4231" t="s">
        <v>1816</v>
      </c>
      <c r="F4231" s="11">
        <v>1</v>
      </c>
      <c r="G4231" s="11">
        <v>130252.1</v>
      </c>
    </row>
    <row r="4232" spans="2:7" x14ac:dyDescent="0.2">
      <c r="B4232" s="32">
        <v>45916</v>
      </c>
      <c r="C4232" t="s">
        <v>142</v>
      </c>
      <c r="D4232" s="13" t="s">
        <v>634</v>
      </c>
      <c r="E4232" t="s">
        <v>576</v>
      </c>
      <c r="F4232" s="11">
        <v>1</v>
      </c>
      <c r="G4232" s="11">
        <v>58823.53</v>
      </c>
    </row>
    <row r="4233" spans="2:7" x14ac:dyDescent="0.2">
      <c r="B4233" s="32">
        <v>45916</v>
      </c>
      <c r="C4233" t="s">
        <v>142</v>
      </c>
      <c r="D4233" s="13" t="s">
        <v>634</v>
      </c>
      <c r="E4233" t="s">
        <v>406</v>
      </c>
      <c r="F4233" s="11">
        <v>1</v>
      </c>
      <c r="G4233" s="11">
        <v>58823.53</v>
      </c>
    </row>
    <row r="4234" spans="2:7" x14ac:dyDescent="0.2">
      <c r="B4234" s="32">
        <v>45916</v>
      </c>
      <c r="C4234" t="s">
        <v>142</v>
      </c>
      <c r="D4234" s="13" t="s">
        <v>634</v>
      </c>
      <c r="E4234" t="s">
        <v>163</v>
      </c>
      <c r="F4234" s="11">
        <v>1</v>
      </c>
      <c r="G4234" s="11">
        <v>58823.53</v>
      </c>
    </row>
    <row r="4235" spans="2:7" x14ac:dyDescent="0.2">
      <c r="B4235" s="32">
        <v>45916</v>
      </c>
      <c r="C4235" t="s">
        <v>142</v>
      </c>
      <c r="D4235" s="13" t="s">
        <v>634</v>
      </c>
      <c r="E4235" t="s">
        <v>173</v>
      </c>
      <c r="F4235" s="11">
        <v>1</v>
      </c>
      <c r="G4235" s="11">
        <v>37815.120000000003</v>
      </c>
    </row>
    <row r="4236" spans="2:7" x14ac:dyDescent="0.2">
      <c r="B4236" s="32">
        <v>45916</v>
      </c>
      <c r="C4236" t="s">
        <v>142</v>
      </c>
      <c r="D4236" s="13" t="s">
        <v>634</v>
      </c>
      <c r="E4236" t="s">
        <v>441</v>
      </c>
      <c r="F4236" s="11">
        <v>1</v>
      </c>
      <c r="G4236" s="11">
        <v>29411.759999999998</v>
      </c>
    </row>
    <row r="4237" spans="2:7" x14ac:dyDescent="0.2">
      <c r="B4237" s="32">
        <v>45916</v>
      </c>
      <c r="C4237" t="s">
        <v>142</v>
      </c>
      <c r="D4237" s="13" t="s">
        <v>633</v>
      </c>
      <c r="E4237" t="s">
        <v>446</v>
      </c>
      <c r="F4237" s="11">
        <v>2</v>
      </c>
      <c r="G4237" s="11">
        <v>151260.5</v>
      </c>
    </row>
    <row r="4238" spans="2:7" x14ac:dyDescent="0.2">
      <c r="B4238" s="32">
        <v>45916</v>
      </c>
      <c r="C4238" t="s">
        <v>142</v>
      </c>
      <c r="D4238" s="13" t="s">
        <v>633</v>
      </c>
      <c r="E4238" t="s">
        <v>445</v>
      </c>
      <c r="F4238" s="11">
        <v>2</v>
      </c>
      <c r="G4238" s="11">
        <v>100840.34</v>
      </c>
    </row>
    <row r="4239" spans="2:7" x14ac:dyDescent="0.2">
      <c r="B4239" s="32">
        <v>45916</v>
      </c>
      <c r="C4239" t="s">
        <v>109</v>
      </c>
      <c r="D4239" s="13" t="s">
        <v>634</v>
      </c>
      <c r="E4239" t="s">
        <v>2008</v>
      </c>
      <c r="F4239" s="11">
        <v>1</v>
      </c>
      <c r="G4239" s="11">
        <v>252100.85</v>
      </c>
    </row>
    <row r="4240" spans="2:7" x14ac:dyDescent="0.2">
      <c r="B4240" s="32">
        <v>45916</v>
      </c>
      <c r="C4240" t="s">
        <v>109</v>
      </c>
      <c r="D4240" s="13" t="s">
        <v>634</v>
      </c>
      <c r="E4240" t="s">
        <v>2009</v>
      </c>
      <c r="F4240" s="11">
        <v>1</v>
      </c>
      <c r="G4240" s="11">
        <v>134453.78</v>
      </c>
    </row>
    <row r="4241" spans="2:7" x14ac:dyDescent="0.2">
      <c r="B4241" s="32">
        <v>45916</v>
      </c>
      <c r="C4241" t="s">
        <v>109</v>
      </c>
      <c r="D4241" s="13" t="s">
        <v>634</v>
      </c>
      <c r="E4241" t="s">
        <v>184</v>
      </c>
      <c r="F4241" s="11">
        <v>1</v>
      </c>
      <c r="G4241" s="11">
        <v>84033.61</v>
      </c>
    </row>
    <row r="4242" spans="2:7" x14ac:dyDescent="0.2">
      <c r="B4242" s="32">
        <v>45916</v>
      </c>
      <c r="C4242" t="s">
        <v>109</v>
      </c>
      <c r="D4242" s="13" t="s">
        <v>634</v>
      </c>
      <c r="E4242" t="s">
        <v>2010</v>
      </c>
      <c r="F4242" s="11">
        <v>2</v>
      </c>
      <c r="G4242" s="11">
        <v>75630.25</v>
      </c>
    </row>
    <row r="4243" spans="2:7" x14ac:dyDescent="0.2">
      <c r="B4243" s="32">
        <v>45916</v>
      </c>
      <c r="C4243" t="s">
        <v>109</v>
      </c>
      <c r="D4243" s="13" t="s">
        <v>634</v>
      </c>
      <c r="E4243" t="s">
        <v>647</v>
      </c>
      <c r="F4243" s="11">
        <v>1</v>
      </c>
      <c r="G4243" s="11">
        <v>75630.25</v>
      </c>
    </row>
    <row r="4244" spans="2:7" x14ac:dyDescent="0.2">
      <c r="B4244" s="32">
        <v>45916</v>
      </c>
      <c r="C4244" t="s">
        <v>109</v>
      </c>
      <c r="D4244" s="13" t="s">
        <v>634</v>
      </c>
      <c r="E4244" t="s">
        <v>475</v>
      </c>
      <c r="F4244" s="11">
        <v>1</v>
      </c>
      <c r="G4244" s="11">
        <v>71428.570000000007</v>
      </c>
    </row>
    <row r="4245" spans="2:7" x14ac:dyDescent="0.2">
      <c r="B4245" s="32">
        <v>45916</v>
      </c>
      <c r="C4245" t="s">
        <v>109</v>
      </c>
      <c r="D4245" s="13" t="s">
        <v>634</v>
      </c>
      <c r="E4245" t="s">
        <v>189</v>
      </c>
      <c r="F4245" s="11">
        <v>1</v>
      </c>
      <c r="G4245" s="11">
        <v>71428.570000000007</v>
      </c>
    </row>
    <row r="4246" spans="2:7" x14ac:dyDescent="0.2">
      <c r="B4246" s="32">
        <v>45916</v>
      </c>
      <c r="C4246" t="s">
        <v>109</v>
      </c>
      <c r="D4246" s="13" t="s">
        <v>634</v>
      </c>
      <c r="E4246" t="s">
        <v>233</v>
      </c>
      <c r="F4246" s="11">
        <v>1</v>
      </c>
      <c r="G4246" s="11">
        <v>58823.53</v>
      </c>
    </row>
    <row r="4247" spans="2:7" x14ac:dyDescent="0.2">
      <c r="B4247" s="32">
        <v>45916</v>
      </c>
      <c r="C4247" t="s">
        <v>109</v>
      </c>
      <c r="D4247" s="13" t="s">
        <v>634</v>
      </c>
      <c r="E4247" t="s">
        <v>218</v>
      </c>
      <c r="F4247" s="11">
        <v>2</v>
      </c>
      <c r="G4247" s="11">
        <v>58823.519999999997</v>
      </c>
    </row>
    <row r="4248" spans="2:7" x14ac:dyDescent="0.2">
      <c r="B4248" s="32">
        <v>45916</v>
      </c>
      <c r="C4248" t="s">
        <v>109</v>
      </c>
      <c r="D4248" s="13" t="s">
        <v>634</v>
      </c>
      <c r="E4248" t="s">
        <v>642</v>
      </c>
      <c r="F4248" s="11">
        <v>1</v>
      </c>
      <c r="G4248" s="11">
        <v>49000</v>
      </c>
    </row>
    <row r="4249" spans="2:7" x14ac:dyDescent="0.2">
      <c r="B4249" s="32">
        <v>45916</v>
      </c>
      <c r="C4249" t="s">
        <v>109</v>
      </c>
      <c r="D4249" s="13" t="s">
        <v>634</v>
      </c>
      <c r="E4249" t="s">
        <v>206</v>
      </c>
      <c r="F4249" s="11">
        <v>1</v>
      </c>
      <c r="G4249" s="11">
        <v>37815.120000000003</v>
      </c>
    </row>
    <row r="4250" spans="2:7" x14ac:dyDescent="0.2">
      <c r="B4250" s="32">
        <v>45916</v>
      </c>
      <c r="C4250" t="s">
        <v>109</v>
      </c>
      <c r="D4250" s="13" t="s">
        <v>634</v>
      </c>
      <c r="E4250" t="s">
        <v>263</v>
      </c>
      <c r="F4250" s="11">
        <v>1</v>
      </c>
      <c r="G4250" s="11">
        <v>21848.74</v>
      </c>
    </row>
    <row r="4251" spans="2:7" x14ac:dyDescent="0.2">
      <c r="B4251" s="32">
        <v>45916</v>
      </c>
      <c r="C4251" t="s">
        <v>109</v>
      </c>
      <c r="D4251" s="13" t="s">
        <v>633</v>
      </c>
      <c r="E4251" t="s">
        <v>186</v>
      </c>
      <c r="F4251" s="11">
        <v>1</v>
      </c>
      <c r="G4251" s="11">
        <v>84033.62</v>
      </c>
    </row>
    <row r="4252" spans="2:7" x14ac:dyDescent="0.2">
      <c r="B4252" s="32">
        <v>45916</v>
      </c>
      <c r="C4252" t="s">
        <v>109</v>
      </c>
      <c r="D4252" s="13" t="s">
        <v>633</v>
      </c>
      <c r="E4252" t="s">
        <v>184</v>
      </c>
      <c r="F4252" s="11">
        <v>1</v>
      </c>
      <c r="G4252" s="11">
        <v>84033.62</v>
      </c>
    </row>
    <row r="4253" spans="2:7" x14ac:dyDescent="0.2">
      <c r="B4253" s="32">
        <v>45916</v>
      </c>
      <c r="C4253" t="s">
        <v>109</v>
      </c>
      <c r="D4253" s="13" t="s">
        <v>633</v>
      </c>
      <c r="E4253" t="s">
        <v>1713</v>
      </c>
      <c r="F4253" s="11">
        <v>1</v>
      </c>
      <c r="G4253" s="11">
        <v>79831.929999999993</v>
      </c>
    </row>
    <row r="4254" spans="2:7" x14ac:dyDescent="0.2">
      <c r="B4254" s="32">
        <v>45916</v>
      </c>
      <c r="C4254" t="s">
        <v>109</v>
      </c>
      <c r="D4254" s="13" t="s">
        <v>633</v>
      </c>
      <c r="E4254" t="s">
        <v>513</v>
      </c>
      <c r="F4254" s="11">
        <v>1</v>
      </c>
      <c r="G4254" s="11">
        <v>50420.17</v>
      </c>
    </row>
    <row r="4255" spans="2:7" x14ac:dyDescent="0.2">
      <c r="B4255" s="32">
        <v>45916</v>
      </c>
      <c r="C4255" t="s">
        <v>109</v>
      </c>
      <c r="D4255" s="13" t="s">
        <v>633</v>
      </c>
      <c r="E4255" t="s">
        <v>144</v>
      </c>
      <c r="F4255" s="11">
        <v>7</v>
      </c>
      <c r="G4255" s="11">
        <v>47478.99</v>
      </c>
    </row>
    <row r="4256" spans="2:7" x14ac:dyDescent="0.2">
      <c r="B4256" s="32">
        <v>45916</v>
      </c>
      <c r="C4256" t="s">
        <v>109</v>
      </c>
      <c r="D4256" s="13" t="s">
        <v>633</v>
      </c>
      <c r="E4256" t="s">
        <v>179</v>
      </c>
      <c r="F4256" s="11">
        <v>1</v>
      </c>
      <c r="G4256" s="11">
        <v>46218.49</v>
      </c>
    </row>
    <row r="4257" spans="2:7" x14ac:dyDescent="0.2">
      <c r="B4257" s="32">
        <v>45916</v>
      </c>
      <c r="C4257" t="s">
        <v>109</v>
      </c>
      <c r="D4257" s="13" t="s">
        <v>633</v>
      </c>
      <c r="E4257" t="s">
        <v>153</v>
      </c>
      <c r="F4257" s="11">
        <v>1</v>
      </c>
      <c r="G4257" s="11">
        <v>42016.81</v>
      </c>
    </row>
    <row r="4258" spans="2:7" x14ac:dyDescent="0.2">
      <c r="B4258" s="32">
        <v>45917</v>
      </c>
      <c r="C4258" t="s">
        <v>142</v>
      </c>
      <c r="D4258" s="13" t="s">
        <v>634</v>
      </c>
      <c r="E4258" t="s">
        <v>178</v>
      </c>
      <c r="F4258" s="11">
        <v>1</v>
      </c>
      <c r="G4258" s="11">
        <v>54621.85</v>
      </c>
    </row>
    <row r="4259" spans="2:7" x14ac:dyDescent="0.2">
      <c r="B4259" s="32">
        <v>45917</v>
      </c>
      <c r="C4259" t="s">
        <v>142</v>
      </c>
      <c r="D4259" s="13" t="s">
        <v>634</v>
      </c>
      <c r="E4259" t="s">
        <v>536</v>
      </c>
      <c r="F4259" s="11">
        <v>1</v>
      </c>
      <c r="G4259" s="11">
        <v>54621.85</v>
      </c>
    </row>
    <row r="4260" spans="2:7" x14ac:dyDescent="0.2">
      <c r="B4260" s="32">
        <v>45917</v>
      </c>
      <c r="C4260" t="s">
        <v>110</v>
      </c>
      <c r="D4260" s="13" t="s">
        <v>634</v>
      </c>
      <c r="E4260" t="s">
        <v>350</v>
      </c>
      <c r="F4260" s="11">
        <v>1</v>
      </c>
      <c r="G4260" s="11">
        <v>46218.49</v>
      </c>
    </row>
    <row r="4261" spans="2:7" x14ac:dyDescent="0.2">
      <c r="B4261" s="32">
        <v>45917</v>
      </c>
      <c r="C4261" t="s">
        <v>110</v>
      </c>
      <c r="D4261" s="13" t="s">
        <v>634</v>
      </c>
      <c r="E4261" t="s">
        <v>195</v>
      </c>
      <c r="F4261" s="11">
        <v>1</v>
      </c>
      <c r="G4261" s="11">
        <v>46218.48</v>
      </c>
    </row>
    <row r="4262" spans="2:7" x14ac:dyDescent="0.2">
      <c r="B4262" s="32">
        <v>45917</v>
      </c>
      <c r="C4262" t="s">
        <v>109</v>
      </c>
      <c r="D4262" s="13"/>
      <c r="E4262" t="s">
        <v>670</v>
      </c>
      <c r="F4262" s="11">
        <v>1</v>
      </c>
      <c r="G4262" s="11">
        <v>0</v>
      </c>
    </row>
    <row r="4263" spans="2:7" x14ac:dyDescent="0.2">
      <c r="B4263" s="32">
        <v>45917</v>
      </c>
      <c r="C4263" t="s">
        <v>109</v>
      </c>
      <c r="D4263" s="13" t="s">
        <v>634</v>
      </c>
      <c r="E4263" t="s">
        <v>354</v>
      </c>
      <c r="F4263" s="11">
        <v>1</v>
      </c>
      <c r="G4263" s="11">
        <v>58823.53</v>
      </c>
    </row>
    <row r="4264" spans="2:7" x14ac:dyDescent="0.2">
      <c r="B4264" s="32">
        <v>45917</v>
      </c>
      <c r="C4264" t="s">
        <v>109</v>
      </c>
      <c r="D4264" s="13" t="s">
        <v>634</v>
      </c>
      <c r="E4264" t="s">
        <v>144</v>
      </c>
      <c r="F4264" s="11">
        <v>5</v>
      </c>
      <c r="G4264" s="11">
        <v>45378.15</v>
      </c>
    </row>
    <row r="4265" spans="2:7" x14ac:dyDescent="0.2">
      <c r="B4265" s="32">
        <v>45917</v>
      </c>
      <c r="C4265" t="s">
        <v>109</v>
      </c>
      <c r="D4265" s="13" t="s">
        <v>634</v>
      </c>
      <c r="E4265" t="s">
        <v>1796</v>
      </c>
      <c r="F4265" s="11">
        <v>2</v>
      </c>
      <c r="G4265" s="11">
        <v>42016.81</v>
      </c>
    </row>
    <row r="4266" spans="2:7" x14ac:dyDescent="0.2">
      <c r="B4266" s="32">
        <v>45917</v>
      </c>
      <c r="C4266" t="s">
        <v>109</v>
      </c>
      <c r="D4266" s="13" t="s">
        <v>634</v>
      </c>
      <c r="E4266" t="s">
        <v>168</v>
      </c>
      <c r="F4266" s="11">
        <v>1</v>
      </c>
      <c r="G4266" s="11">
        <v>42016.81</v>
      </c>
    </row>
    <row r="4267" spans="2:7" x14ac:dyDescent="0.2">
      <c r="B4267" s="32">
        <v>45917</v>
      </c>
      <c r="C4267" t="s">
        <v>109</v>
      </c>
      <c r="D4267" s="13" t="s">
        <v>633</v>
      </c>
      <c r="E4267" t="s">
        <v>264</v>
      </c>
      <c r="F4267" s="11">
        <v>1</v>
      </c>
      <c r="G4267" s="11">
        <v>75630.25</v>
      </c>
    </row>
    <row r="4268" spans="2:7" x14ac:dyDescent="0.2">
      <c r="B4268" s="32">
        <v>45917</v>
      </c>
      <c r="C4268" t="s">
        <v>109</v>
      </c>
      <c r="D4268" s="13" t="s">
        <v>633</v>
      </c>
      <c r="E4268" t="s">
        <v>1747</v>
      </c>
      <c r="F4268" s="11">
        <v>1</v>
      </c>
      <c r="G4268" s="11">
        <v>58823.53</v>
      </c>
    </row>
    <row r="4269" spans="2:7" x14ac:dyDescent="0.2">
      <c r="B4269" s="32">
        <v>45917</v>
      </c>
      <c r="C4269" t="s">
        <v>109</v>
      </c>
      <c r="D4269" s="13" t="s">
        <v>633</v>
      </c>
      <c r="E4269" t="s">
        <v>1977</v>
      </c>
      <c r="F4269" s="11">
        <v>1</v>
      </c>
      <c r="G4269" s="11">
        <v>15126.05</v>
      </c>
    </row>
    <row r="4270" spans="2:7" x14ac:dyDescent="0.2">
      <c r="B4270" s="32">
        <v>45918</v>
      </c>
      <c r="C4270" t="s">
        <v>142</v>
      </c>
      <c r="D4270" s="13" t="s">
        <v>634</v>
      </c>
      <c r="E4270" t="s">
        <v>281</v>
      </c>
      <c r="F4270" s="11">
        <v>1</v>
      </c>
      <c r="G4270" s="11">
        <v>58823.53</v>
      </c>
    </row>
    <row r="4271" spans="2:7" x14ac:dyDescent="0.2">
      <c r="B4271" s="32">
        <v>45918</v>
      </c>
      <c r="C4271" t="s">
        <v>110</v>
      </c>
      <c r="D4271" s="13" t="s">
        <v>634</v>
      </c>
      <c r="E4271" t="s">
        <v>258</v>
      </c>
      <c r="F4271" s="11">
        <v>1</v>
      </c>
      <c r="G4271" s="11">
        <v>54621.85</v>
      </c>
    </row>
    <row r="4272" spans="2:7" x14ac:dyDescent="0.2">
      <c r="B4272" s="32">
        <v>45918</v>
      </c>
      <c r="C4272" t="s">
        <v>1739</v>
      </c>
      <c r="D4272" s="13" t="s">
        <v>633</v>
      </c>
      <c r="E4272" t="s">
        <v>374</v>
      </c>
      <c r="F4272" s="11">
        <v>2</v>
      </c>
      <c r="G4272" s="11">
        <v>117647.06</v>
      </c>
    </row>
    <row r="4273" spans="2:7" x14ac:dyDescent="0.2">
      <c r="B4273" s="32">
        <v>45918</v>
      </c>
      <c r="C4273" t="s">
        <v>1739</v>
      </c>
      <c r="D4273" s="13" t="s">
        <v>633</v>
      </c>
      <c r="E4273" t="s">
        <v>208</v>
      </c>
      <c r="F4273" s="11">
        <v>2</v>
      </c>
      <c r="G4273" s="11">
        <v>117647.06</v>
      </c>
    </row>
    <row r="4274" spans="2:7" x14ac:dyDescent="0.2">
      <c r="B4274" s="32">
        <v>45918</v>
      </c>
      <c r="C4274" t="s">
        <v>1739</v>
      </c>
      <c r="D4274" s="13" t="s">
        <v>633</v>
      </c>
      <c r="E4274" t="s">
        <v>653</v>
      </c>
      <c r="F4274" s="11">
        <v>1</v>
      </c>
      <c r="G4274" s="11">
        <v>58823.53</v>
      </c>
    </row>
    <row r="4275" spans="2:7" x14ac:dyDescent="0.2">
      <c r="B4275" s="32">
        <v>45918</v>
      </c>
      <c r="C4275" t="s">
        <v>109</v>
      </c>
      <c r="D4275" s="13" t="s">
        <v>634</v>
      </c>
      <c r="E4275" t="s">
        <v>2011</v>
      </c>
      <c r="F4275" s="11">
        <v>4</v>
      </c>
      <c r="G4275" s="11">
        <v>218487.39</v>
      </c>
    </row>
    <row r="4276" spans="2:7" x14ac:dyDescent="0.2">
      <c r="B4276" s="32">
        <v>45918</v>
      </c>
      <c r="C4276" t="s">
        <v>109</v>
      </c>
      <c r="D4276" s="13" t="s">
        <v>634</v>
      </c>
      <c r="E4276" t="s">
        <v>144</v>
      </c>
      <c r="F4276" s="11">
        <v>10</v>
      </c>
      <c r="G4276" s="11">
        <v>97058.82</v>
      </c>
    </row>
    <row r="4277" spans="2:7" x14ac:dyDescent="0.2">
      <c r="B4277" s="32">
        <v>45918</v>
      </c>
      <c r="C4277" t="s">
        <v>109</v>
      </c>
      <c r="D4277" s="13" t="s">
        <v>634</v>
      </c>
      <c r="E4277" t="s">
        <v>521</v>
      </c>
      <c r="F4277" s="11">
        <v>1</v>
      </c>
      <c r="G4277" s="11">
        <v>79831.929999999993</v>
      </c>
    </row>
    <row r="4278" spans="2:7" x14ac:dyDescent="0.2">
      <c r="B4278" s="32">
        <v>45918</v>
      </c>
      <c r="C4278" t="s">
        <v>109</v>
      </c>
      <c r="D4278" s="13" t="s">
        <v>634</v>
      </c>
      <c r="E4278" t="s">
        <v>174</v>
      </c>
      <c r="F4278" s="11">
        <v>1</v>
      </c>
      <c r="G4278" s="11">
        <v>75630.25</v>
      </c>
    </row>
    <row r="4279" spans="2:7" x14ac:dyDescent="0.2">
      <c r="B4279" s="32">
        <v>45918</v>
      </c>
      <c r="C4279" t="s">
        <v>109</v>
      </c>
      <c r="D4279" s="13" t="s">
        <v>634</v>
      </c>
      <c r="E4279" t="s">
        <v>340</v>
      </c>
      <c r="F4279" s="11">
        <v>1</v>
      </c>
      <c r="G4279" s="11">
        <v>75630.25</v>
      </c>
    </row>
    <row r="4280" spans="2:7" x14ac:dyDescent="0.2">
      <c r="B4280" s="32">
        <v>45918</v>
      </c>
      <c r="C4280" t="s">
        <v>109</v>
      </c>
      <c r="D4280" s="13" t="s">
        <v>634</v>
      </c>
      <c r="E4280" t="s">
        <v>182</v>
      </c>
      <c r="F4280" s="11">
        <v>2</v>
      </c>
      <c r="G4280" s="11">
        <v>58823.53</v>
      </c>
    </row>
    <row r="4281" spans="2:7" x14ac:dyDescent="0.2">
      <c r="B4281" s="32">
        <v>45918</v>
      </c>
      <c r="C4281" t="s">
        <v>109</v>
      </c>
      <c r="D4281" s="13" t="s">
        <v>634</v>
      </c>
      <c r="E4281" t="s">
        <v>1818</v>
      </c>
      <c r="F4281" s="11">
        <v>1</v>
      </c>
      <c r="G4281" s="11">
        <v>37815.129999999997</v>
      </c>
    </row>
    <row r="4282" spans="2:7" x14ac:dyDescent="0.2">
      <c r="B4282" s="32">
        <v>45918</v>
      </c>
      <c r="C4282" t="s">
        <v>109</v>
      </c>
      <c r="D4282" s="13" t="s">
        <v>634</v>
      </c>
      <c r="E4282" t="s">
        <v>293</v>
      </c>
      <c r="F4282" s="11">
        <v>1</v>
      </c>
      <c r="G4282" s="11">
        <v>37815.129999999997</v>
      </c>
    </row>
    <row r="4283" spans="2:7" x14ac:dyDescent="0.2">
      <c r="B4283" s="32">
        <v>45918</v>
      </c>
      <c r="C4283" t="s">
        <v>109</v>
      </c>
      <c r="D4283" s="13" t="s">
        <v>634</v>
      </c>
      <c r="E4283" t="s">
        <v>322</v>
      </c>
      <c r="F4283" s="11">
        <v>1</v>
      </c>
      <c r="G4283" s="11">
        <v>29000</v>
      </c>
    </row>
    <row r="4284" spans="2:7" x14ac:dyDescent="0.2">
      <c r="B4284" s="32">
        <v>45918</v>
      </c>
      <c r="C4284" t="s">
        <v>109</v>
      </c>
      <c r="D4284" s="13" t="s">
        <v>633</v>
      </c>
      <c r="E4284" t="s">
        <v>361</v>
      </c>
      <c r="F4284" s="11">
        <v>2</v>
      </c>
      <c r="G4284" s="11">
        <v>159663.85999999999</v>
      </c>
    </row>
    <row r="4285" spans="2:7" x14ac:dyDescent="0.2">
      <c r="B4285" s="32">
        <v>45918</v>
      </c>
      <c r="C4285" t="s">
        <v>109</v>
      </c>
      <c r="D4285" s="13" t="s">
        <v>633</v>
      </c>
      <c r="F4285" s="11">
        <v>1</v>
      </c>
      <c r="G4285" s="11">
        <v>117647.05</v>
      </c>
    </row>
    <row r="4286" spans="2:7" x14ac:dyDescent="0.2">
      <c r="B4286" s="32">
        <v>45918</v>
      </c>
      <c r="C4286" t="s">
        <v>109</v>
      </c>
      <c r="D4286" s="13" t="s">
        <v>633</v>
      </c>
      <c r="E4286" t="s">
        <v>328</v>
      </c>
      <c r="F4286" s="11">
        <v>3</v>
      </c>
      <c r="G4286" s="11">
        <v>113445.38</v>
      </c>
    </row>
    <row r="4287" spans="2:7" x14ac:dyDescent="0.2">
      <c r="B4287" s="32">
        <v>45918</v>
      </c>
      <c r="C4287" t="s">
        <v>109</v>
      </c>
      <c r="D4287" s="13" t="s">
        <v>633</v>
      </c>
      <c r="E4287" t="s">
        <v>427</v>
      </c>
      <c r="F4287" s="11">
        <v>2</v>
      </c>
      <c r="G4287" s="11">
        <v>109243.7</v>
      </c>
    </row>
    <row r="4288" spans="2:7" x14ac:dyDescent="0.2">
      <c r="B4288" s="32">
        <v>45918</v>
      </c>
      <c r="C4288" t="s">
        <v>109</v>
      </c>
      <c r="D4288" s="13" t="s">
        <v>633</v>
      </c>
      <c r="E4288" t="s">
        <v>227</v>
      </c>
      <c r="F4288" s="11">
        <v>1</v>
      </c>
      <c r="G4288" s="11">
        <v>96638.66</v>
      </c>
    </row>
    <row r="4289" spans="2:7" x14ac:dyDescent="0.2">
      <c r="B4289" s="32">
        <v>45918</v>
      </c>
      <c r="C4289" t="s">
        <v>109</v>
      </c>
      <c r="D4289" s="13" t="s">
        <v>633</v>
      </c>
      <c r="E4289" t="s">
        <v>169</v>
      </c>
      <c r="F4289" s="11">
        <v>1</v>
      </c>
      <c r="G4289" s="11">
        <v>96638.65</v>
      </c>
    </row>
    <row r="4290" spans="2:7" x14ac:dyDescent="0.2">
      <c r="B4290" s="32">
        <v>45918</v>
      </c>
      <c r="C4290" t="s">
        <v>109</v>
      </c>
      <c r="D4290" s="13" t="s">
        <v>633</v>
      </c>
      <c r="E4290" t="s">
        <v>167</v>
      </c>
      <c r="F4290" s="11">
        <v>1</v>
      </c>
      <c r="G4290" s="11">
        <v>96638.65</v>
      </c>
    </row>
    <row r="4291" spans="2:7" x14ac:dyDescent="0.2">
      <c r="B4291" s="32">
        <v>45918</v>
      </c>
      <c r="C4291" t="s">
        <v>109</v>
      </c>
      <c r="D4291" s="13" t="s">
        <v>633</v>
      </c>
      <c r="E4291" t="s">
        <v>151</v>
      </c>
      <c r="F4291" s="11">
        <v>2</v>
      </c>
      <c r="G4291" s="11">
        <v>92436.97</v>
      </c>
    </row>
    <row r="4292" spans="2:7" x14ac:dyDescent="0.2">
      <c r="B4292" s="32">
        <v>45918</v>
      </c>
      <c r="C4292" t="s">
        <v>109</v>
      </c>
      <c r="D4292" s="13" t="s">
        <v>633</v>
      </c>
      <c r="E4292" t="s">
        <v>1948</v>
      </c>
      <c r="F4292" s="11">
        <v>1</v>
      </c>
      <c r="G4292" s="11">
        <v>84033.61</v>
      </c>
    </row>
    <row r="4293" spans="2:7" x14ac:dyDescent="0.2">
      <c r="B4293" s="32">
        <v>45918</v>
      </c>
      <c r="C4293" t="s">
        <v>109</v>
      </c>
      <c r="D4293" s="13" t="s">
        <v>633</v>
      </c>
      <c r="E4293" t="s">
        <v>144</v>
      </c>
      <c r="F4293" s="11">
        <v>3</v>
      </c>
      <c r="G4293" s="11">
        <v>62184.88</v>
      </c>
    </row>
    <row r="4294" spans="2:7" x14ac:dyDescent="0.2">
      <c r="B4294" s="32">
        <v>45918</v>
      </c>
      <c r="C4294" t="s">
        <v>109</v>
      </c>
      <c r="D4294" s="13" t="s">
        <v>633</v>
      </c>
      <c r="E4294" t="s">
        <v>290</v>
      </c>
      <c r="F4294" s="11">
        <v>1</v>
      </c>
      <c r="G4294" s="11">
        <v>58823.53</v>
      </c>
    </row>
    <row r="4295" spans="2:7" x14ac:dyDescent="0.2">
      <c r="B4295" s="32">
        <v>45918</v>
      </c>
      <c r="C4295" t="s">
        <v>109</v>
      </c>
      <c r="D4295" s="13" t="s">
        <v>633</v>
      </c>
      <c r="E4295" t="s">
        <v>198</v>
      </c>
      <c r="F4295" s="11">
        <v>1</v>
      </c>
      <c r="G4295" s="11">
        <v>46218.49</v>
      </c>
    </row>
    <row r="4296" spans="2:7" x14ac:dyDescent="0.2">
      <c r="B4296" s="32">
        <v>45918</v>
      </c>
      <c r="C4296" t="s">
        <v>109</v>
      </c>
      <c r="D4296" s="13" t="s">
        <v>633</v>
      </c>
      <c r="E4296" t="s">
        <v>234</v>
      </c>
      <c r="F4296" s="11">
        <v>1</v>
      </c>
      <c r="G4296" s="11">
        <v>37815.129999999997</v>
      </c>
    </row>
    <row r="4297" spans="2:7" x14ac:dyDescent="0.2">
      <c r="B4297" s="32">
        <v>45918</v>
      </c>
      <c r="C4297" t="s">
        <v>109</v>
      </c>
      <c r="D4297" s="13" t="s">
        <v>633</v>
      </c>
      <c r="E4297" t="s">
        <v>330</v>
      </c>
      <c r="F4297" s="11">
        <v>1</v>
      </c>
      <c r="G4297" s="11">
        <v>37815.129999999997</v>
      </c>
    </row>
    <row r="4298" spans="2:7" x14ac:dyDescent="0.2">
      <c r="B4298" s="32">
        <v>45918</v>
      </c>
      <c r="C4298" t="s">
        <v>109</v>
      </c>
      <c r="D4298" s="13" t="s">
        <v>633</v>
      </c>
      <c r="E4298" t="s">
        <v>1818</v>
      </c>
      <c r="F4298" s="11">
        <v>1</v>
      </c>
      <c r="G4298" s="11">
        <v>37815.129999999997</v>
      </c>
    </row>
    <row r="4299" spans="2:7" x14ac:dyDescent="0.2">
      <c r="B4299" s="32">
        <v>45918</v>
      </c>
      <c r="C4299" t="s">
        <v>109</v>
      </c>
      <c r="D4299" s="13" t="s">
        <v>633</v>
      </c>
      <c r="E4299" t="s">
        <v>263</v>
      </c>
      <c r="F4299" s="11">
        <v>1</v>
      </c>
      <c r="G4299" s="11">
        <v>21848.74</v>
      </c>
    </row>
    <row r="4300" spans="2:7" x14ac:dyDescent="0.2">
      <c r="B4300" s="32">
        <v>45919</v>
      </c>
      <c r="C4300" t="s">
        <v>142</v>
      </c>
      <c r="D4300" s="13" t="s">
        <v>634</v>
      </c>
      <c r="E4300" t="s">
        <v>154</v>
      </c>
      <c r="F4300" s="11">
        <v>1</v>
      </c>
      <c r="G4300" s="11">
        <v>86974.79</v>
      </c>
    </row>
    <row r="4301" spans="2:7" x14ac:dyDescent="0.2">
      <c r="B4301" s="32">
        <v>45919</v>
      </c>
      <c r="C4301" t="s">
        <v>142</v>
      </c>
      <c r="D4301" s="13" t="s">
        <v>634</v>
      </c>
      <c r="E4301" t="s">
        <v>2001</v>
      </c>
      <c r="F4301" s="11">
        <v>1</v>
      </c>
      <c r="G4301" s="11">
        <v>58823.53</v>
      </c>
    </row>
    <row r="4302" spans="2:7" x14ac:dyDescent="0.2">
      <c r="B4302" s="32">
        <v>45919</v>
      </c>
      <c r="C4302" t="s">
        <v>142</v>
      </c>
      <c r="D4302" s="13" t="s">
        <v>634</v>
      </c>
      <c r="E4302" t="s">
        <v>441</v>
      </c>
      <c r="F4302" s="11">
        <v>1</v>
      </c>
      <c r="G4302" s="11">
        <v>29411.759999999998</v>
      </c>
    </row>
    <row r="4303" spans="2:7" x14ac:dyDescent="0.2">
      <c r="B4303" s="32">
        <v>45919</v>
      </c>
      <c r="C4303" t="s">
        <v>142</v>
      </c>
      <c r="D4303" s="13" t="s">
        <v>634</v>
      </c>
      <c r="E4303" t="s">
        <v>1796</v>
      </c>
      <c r="F4303" s="11">
        <v>1</v>
      </c>
      <c r="G4303" s="11">
        <v>21008.400000000001</v>
      </c>
    </row>
    <row r="4304" spans="2:7" x14ac:dyDescent="0.2">
      <c r="B4304" s="32">
        <v>45919</v>
      </c>
      <c r="C4304" t="s">
        <v>142</v>
      </c>
      <c r="D4304" s="13" t="s">
        <v>633</v>
      </c>
      <c r="E4304" t="s">
        <v>165</v>
      </c>
      <c r="F4304" s="11">
        <v>2</v>
      </c>
      <c r="G4304" s="11">
        <v>117647.06</v>
      </c>
    </row>
    <row r="4305" spans="2:7" x14ac:dyDescent="0.2">
      <c r="B4305" s="32">
        <v>45919</v>
      </c>
      <c r="C4305" t="s">
        <v>142</v>
      </c>
      <c r="D4305" s="13" t="s">
        <v>633</v>
      </c>
      <c r="E4305" t="s">
        <v>194</v>
      </c>
      <c r="F4305" s="11">
        <v>1</v>
      </c>
      <c r="G4305" s="11">
        <v>96638.66</v>
      </c>
    </row>
    <row r="4306" spans="2:7" x14ac:dyDescent="0.2">
      <c r="B4306" s="32">
        <v>45919</v>
      </c>
      <c r="C4306" t="s">
        <v>142</v>
      </c>
      <c r="D4306" s="13" t="s">
        <v>633</v>
      </c>
      <c r="E4306" t="s">
        <v>2012</v>
      </c>
      <c r="F4306" s="11">
        <v>1</v>
      </c>
      <c r="G4306" s="11">
        <v>84033.61</v>
      </c>
    </row>
    <row r="4307" spans="2:7" x14ac:dyDescent="0.2">
      <c r="B4307" s="32">
        <v>45919</v>
      </c>
      <c r="C4307" t="s">
        <v>142</v>
      </c>
      <c r="D4307" s="13" t="s">
        <v>633</v>
      </c>
      <c r="E4307" t="s">
        <v>1879</v>
      </c>
      <c r="F4307" s="11">
        <v>1</v>
      </c>
      <c r="G4307" s="11">
        <v>84033.61</v>
      </c>
    </row>
    <row r="4308" spans="2:7" x14ac:dyDescent="0.2">
      <c r="B4308" s="32">
        <v>45919</v>
      </c>
      <c r="C4308" t="s">
        <v>142</v>
      </c>
      <c r="D4308" s="13" t="s">
        <v>633</v>
      </c>
      <c r="E4308" t="s">
        <v>275</v>
      </c>
      <c r="F4308" s="11">
        <v>1</v>
      </c>
      <c r="G4308" s="11">
        <v>58823.53</v>
      </c>
    </row>
    <row r="4309" spans="2:7" x14ac:dyDescent="0.2">
      <c r="B4309" s="32">
        <v>45919</v>
      </c>
      <c r="C4309" t="s">
        <v>142</v>
      </c>
      <c r="D4309" s="13" t="s">
        <v>633</v>
      </c>
      <c r="E4309" t="s">
        <v>335</v>
      </c>
      <c r="F4309" s="11">
        <v>1</v>
      </c>
      <c r="G4309" s="11">
        <v>58823.53</v>
      </c>
    </row>
    <row r="4310" spans="2:7" x14ac:dyDescent="0.2">
      <c r="B4310" s="32">
        <v>45919</v>
      </c>
      <c r="C4310" t="s">
        <v>142</v>
      </c>
      <c r="D4310" s="13" t="s">
        <v>633</v>
      </c>
      <c r="E4310" t="s">
        <v>398</v>
      </c>
      <c r="F4310" s="11">
        <v>1</v>
      </c>
      <c r="G4310" s="11">
        <v>58823.53</v>
      </c>
    </row>
    <row r="4311" spans="2:7" x14ac:dyDescent="0.2">
      <c r="B4311" s="32">
        <v>45919</v>
      </c>
      <c r="C4311" t="s">
        <v>142</v>
      </c>
      <c r="D4311" s="13" t="s">
        <v>633</v>
      </c>
      <c r="E4311" t="s">
        <v>233</v>
      </c>
      <c r="F4311" s="11">
        <v>1</v>
      </c>
      <c r="G4311" s="11">
        <v>58823.53</v>
      </c>
    </row>
    <row r="4312" spans="2:7" x14ac:dyDescent="0.2">
      <c r="B4312" s="32">
        <v>45919</v>
      </c>
      <c r="C4312" t="s">
        <v>142</v>
      </c>
      <c r="D4312" s="13" t="s">
        <v>633</v>
      </c>
      <c r="E4312" t="s">
        <v>236</v>
      </c>
      <c r="F4312" s="11">
        <v>1</v>
      </c>
      <c r="G4312" s="11">
        <v>58823.53</v>
      </c>
    </row>
    <row r="4313" spans="2:7" x14ac:dyDescent="0.2">
      <c r="B4313" s="32">
        <v>45919</v>
      </c>
      <c r="C4313" t="s">
        <v>110</v>
      </c>
      <c r="D4313" s="13" t="s">
        <v>634</v>
      </c>
      <c r="E4313" t="s">
        <v>198</v>
      </c>
      <c r="F4313" s="11">
        <v>1</v>
      </c>
      <c r="G4313" s="11">
        <v>46218.49</v>
      </c>
    </row>
    <row r="4314" spans="2:7" x14ac:dyDescent="0.2">
      <c r="B4314" s="32">
        <v>45919</v>
      </c>
      <c r="C4314" t="s">
        <v>1739</v>
      </c>
      <c r="D4314" s="13" t="s">
        <v>634</v>
      </c>
      <c r="E4314" t="s">
        <v>439</v>
      </c>
      <c r="F4314" s="11">
        <v>1</v>
      </c>
      <c r="G4314" s="11">
        <v>109243.7</v>
      </c>
    </row>
    <row r="4315" spans="2:7" x14ac:dyDescent="0.2">
      <c r="B4315" s="32">
        <v>45919</v>
      </c>
      <c r="C4315" t="s">
        <v>1739</v>
      </c>
      <c r="D4315" s="13" t="s">
        <v>634</v>
      </c>
      <c r="E4315" t="s">
        <v>248</v>
      </c>
      <c r="F4315" s="11">
        <v>1</v>
      </c>
      <c r="G4315" s="11">
        <v>21848.74</v>
      </c>
    </row>
    <row r="4316" spans="2:7" x14ac:dyDescent="0.2">
      <c r="B4316" s="32">
        <v>45919</v>
      </c>
      <c r="C4316" t="s">
        <v>109</v>
      </c>
      <c r="D4316" s="13"/>
      <c r="E4316" t="s">
        <v>670</v>
      </c>
      <c r="F4316" s="11">
        <v>1</v>
      </c>
      <c r="G4316" s="11">
        <v>0</v>
      </c>
    </row>
    <row r="4317" spans="2:7" x14ac:dyDescent="0.2">
      <c r="B4317" s="32">
        <v>45919</v>
      </c>
      <c r="C4317" t="s">
        <v>109</v>
      </c>
      <c r="D4317" s="13" t="s">
        <v>634</v>
      </c>
      <c r="E4317" t="s">
        <v>192</v>
      </c>
      <c r="F4317" s="11">
        <v>3</v>
      </c>
      <c r="G4317" s="11">
        <v>214285.71</v>
      </c>
    </row>
    <row r="4318" spans="2:7" x14ac:dyDescent="0.2">
      <c r="B4318" s="32">
        <v>45919</v>
      </c>
      <c r="C4318" t="s">
        <v>109</v>
      </c>
      <c r="D4318" s="13" t="s">
        <v>634</v>
      </c>
      <c r="E4318" t="s">
        <v>446</v>
      </c>
      <c r="F4318" s="11">
        <v>2</v>
      </c>
      <c r="G4318" s="11">
        <v>151260.5</v>
      </c>
    </row>
    <row r="4319" spans="2:7" x14ac:dyDescent="0.2">
      <c r="B4319" s="32">
        <v>45919</v>
      </c>
      <c r="C4319" t="s">
        <v>109</v>
      </c>
      <c r="D4319" s="13" t="s">
        <v>634</v>
      </c>
      <c r="E4319" t="s">
        <v>352</v>
      </c>
      <c r="F4319" s="11">
        <v>2</v>
      </c>
      <c r="G4319" s="11">
        <v>142857.14000000001</v>
      </c>
    </row>
    <row r="4320" spans="2:7" x14ac:dyDescent="0.2">
      <c r="B4320" s="32">
        <v>45919</v>
      </c>
      <c r="C4320" t="s">
        <v>109</v>
      </c>
      <c r="D4320" s="13" t="s">
        <v>634</v>
      </c>
      <c r="E4320" t="s">
        <v>649</v>
      </c>
      <c r="F4320" s="11">
        <v>1</v>
      </c>
      <c r="G4320" s="11">
        <v>139915.97</v>
      </c>
    </row>
    <row r="4321" spans="2:7" x14ac:dyDescent="0.2">
      <c r="B4321" s="32">
        <v>45919</v>
      </c>
      <c r="C4321" t="s">
        <v>109</v>
      </c>
      <c r="D4321" s="13" t="s">
        <v>634</v>
      </c>
      <c r="E4321" t="s">
        <v>291</v>
      </c>
      <c r="F4321" s="11">
        <v>3</v>
      </c>
      <c r="G4321" s="11">
        <v>138655.46</v>
      </c>
    </row>
    <row r="4322" spans="2:7" x14ac:dyDescent="0.2">
      <c r="B4322" s="32">
        <v>45919</v>
      </c>
      <c r="C4322" t="s">
        <v>109</v>
      </c>
      <c r="D4322" s="13" t="s">
        <v>634</v>
      </c>
      <c r="E4322" t="s">
        <v>364</v>
      </c>
      <c r="F4322" s="11">
        <v>1</v>
      </c>
      <c r="G4322" s="11">
        <v>96638.66</v>
      </c>
    </row>
    <row r="4323" spans="2:7" x14ac:dyDescent="0.2">
      <c r="B4323" s="32">
        <v>45919</v>
      </c>
      <c r="C4323" t="s">
        <v>109</v>
      </c>
      <c r="D4323" s="13" t="s">
        <v>634</v>
      </c>
      <c r="E4323" t="s">
        <v>174</v>
      </c>
      <c r="F4323" s="11">
        <v>1</v>
      </c>
      <c r="G4323" s="11">
        <v>75630.25</v>
      </c>
    </row>
    <row r="4324" spans="2:7" x14ac:dyDescent="0.2">
      <c r="B4324" s="32">
        <v>45919</v>
      </c>
      <c r="C4324" t="s">
        <v>109</v>
      </c>
      <c r="D4324" s="13" t="s">
        <v>634</v>
      </c>
      <c r="E4324" t="s">
        <v>468</v>
      </c>
      <c r="F4324" s="11">
        <v>2</v>
      </c>
      <c r="G4324" s="11">
        <v>75630.25</v>
      </c>
    </row>
    <row r="4325" spans="2:7" x14ac:dyDescent="0.2">
      <c r="B4325" s="32">
        <v>45919</v>
      </c>
      <c r="C4325" t="s">
        <v>109</v>
      </c>
      <c r="D4325" s="13" t="s">
        <v>634</v>
      </c>
      <c r="E4325" t="s">
        <v>144</v>
      </c>
      <c r="F4325" s="11">
        <v>4</v>
      </c>
      <c r="G4325" s="11">
        <v>69327.73</v>
      </c>
    </row>
    <row r="4326" spans="2:7" x14ac:dyDescent="0.2">
      <c r="B4326" s="32">
        <v>45919</v>
      </c>
      <c r="C4326" t="s">
        <v>109</v>
      </c>
      <c r="D4326" s="13" t="s">
        <v>634</v>
      </c>
      <c r="E4326" t="s">
        <v>348</v>
      </c>
      <c r="F4326" s="11">
        <v>1</v>
      </c>
      <c r="G4326" s="11">
        <v>54621.85</v>
      </c>
    </row>
    <row r="4327" spans="2:7" x14ac:dyDescent="0.2">
      <c r="B4327" s="32">
        <v>45919</v>
      </c>
      <c r="C4327" t="s">
        <v>109</v>
      </c>
      <c r="D4327" s="13" t="s">
        <v>634</v>
      </c>
      <c r="E4327" t="s">
        <v>2011</v>
      </c>
      <c r="F4327" s="11">
        <v>1</v>
      </c>
      <c r="G4327" s="11">
        <v>54621.85</v>
      </c>
    </row>
    <row r="4328" spans="2:7" x14ac:dyDescent="0.2">
      <c r="B4328" s="32">
        <v>45919</v>
      </c>
      <c r="C4328" t="s">
        <v>109</v>
      </c>
      <c r="D4328" s="13" t="s">
        <v>634</v>
      </c>
      <c r="E4328" t="s">
        <v>616</v>
      </c>
      <c r="F4328" s="11">
        <v>1</v>
      </c>
      <c r="G4328" s="11">
        <v>54621.85</v>
      </c>
    </row>
    <row r="4329" spans="2:7" x14ac:dyDescent="0.2">
      <c r="B4329" s="32">
        <v>45919</v>
      </c>
      <c r="C4329" t="s">
        <v>109</v>
      </c>
      <c r="D4329" s="13" t="s">
        <v>634</v>
      </c>
      <c r="E4329" t="s">
        <v>233</v>
      </c>
      <c r="F4329" s="11">
        <v>1</v>
      </c>
      <c r="G4329" s="11">
        <v>52941.18</v>
      </c>
    </row>
    <row r="4330" spans="2:7" x14ac:dyDescent="0.2">
      <c r="B4330" s="32">
        <v>45919</v>
      </c>
      <c r="C4330" t="s">
        <v>109</v>
      </c>
      <c r="D4330" s="13" t="s">
        <v>634</v>
      </c>
      <c r="E4330" t="s">
        <v>587</v>
      </c>
      <c r="F4330" s="11">
        <v>1</v>
      </c>
      <c r="G4330" s="11">
        <v>50420.17</v>
      </c>
    </row>
    <row r="4331" spans="2:7" x14ac:dyDescent="0.2">
      <c r="B4331" s="32">
        <v>45919</v>
      </c>
      <c r="C4331" t="s">
        <v>109</v>
      </c>
      <c r="D4331" s="13" t="s">
        <v>634</v>
      </c>
      <c r="E4331" t="s">
        <v>221</v>
      </c>
      <c r="F4331" s="11">
        <v>1</v>
      </c>
      <c r="G4331" s="11">
        <v>46218.49</v>
      </c>
    </row>
    <row r="4332" spans="2:7" x14ac:dyDescent="0.2">
      <c r="B4332" s="32">
        <v>45919</v>
      </c>
      <c r="C4332" t="s">
        <v>109</v>
      </c>
      <c r="D4332" s="13" t="s">
        <v>634</v>
      </c>
      <c r="E4332" t="s">
        <v>309</v>
      </c>
      <c r="F4332" s="11">
        <v>1</v>
      </c>
      <c r="G4332" s="11">
        <v>42016.81</v>
      </c>
    </row>
    <row r="4333" spans="2:7" x14ac:dyDescent="0.2">
      <c r="B4333" s="32">
        <v>45919</v>
      </c>
      <c r="C4333" t="s">
        <v>109</v>
      </c>
      <c r="D4333" s="13" t="s">
        <v>634</v>
      </c>
      <c r="E4333" t="s">
        <v>148</v>
      </c>
      <c r="F4333" s="11">
        <v>1</v>
      </c>
      <c r="G4333" s="11">
        <v>37815.129999999997</v>
      </c>
    </row>
    <row r="4334" spans="2:7" x14ac:dyDescent="0.2">
      <c r="B4334" s="32">
        <v>45919</v>
      </c>
      <c r="C4334" t="s">
        <v>109</v>
      </c>
      <c r="D4334" s="13" t="s">
        <v>634</v>
      </c>
      <c r="E4334" t="s">
        <v>330</v>
      </c>
      <c r="F4334" s="11">
        <v>1</v>
      </c>
      <c r="G4334" s="11">
        <v>37815.129999999997</v>
      </c>
    </row>
    <row r="4335" spans="2:7" x14ac:dyDescent="0.2">
      <c r="B4335" s="32">
        <v>45919</v>
      </c>
      <c r="C4335" t="s">
        <v>109</v>
      </c>
      <c r="D4335" s="13" t="s">
        <v>634</v>
      </c>
      <c r="E4335" t="s">
        <v>263</v>
      </c>
      <c r="F4335" s="11">
        <v>1</v>
      </c>
      <c r="G4335" s="11">
        <v>21848.74</v>
      </c>
    </row>
    <row r="4336" spans="2:7" x14ac:dyDescent="0.2">
      <c r="B4336" s="32">
        <v>45919</v>
      </c>
      <c r="C4336" t="s">
        <v>109</v>
      </c>
      <c r="D4336" s="13" t="s">
        <v>634</v>
      </c>
      <c r="E4336" t="s">
        <v>182</v>
      </c>
      <c r="F4336" s="11">
        <v>1</v>
      </c>
      <c r="G4336" s="11">
        <v>21008.400000000001</v>
      </c>
    </row>
    <row r="4337" spans="2:7" x14ac:dyDescent="0.2">
      <c r="B4337" s="32">
        <v>45919</v>
      </c>
      <c r="C4337" t="s">
        <v>109</v>
      </c>
      <c r="D4337" s="13" t="s">
        <v>634</v>
      </c>
      <c r="E4337" t="s">
        <v>1796</v>
      </c>
      <c r="F4337" s="11">
        <v>1</v>
      </c>
      <c r="G4337" s="11">
        <v>18907.560000000001</v>
      </c>
    </row>
    <row r="4338" spans="2:7" x14ac:dyDescent="0.2">
      <c r="B4338" s="32">
        <v>45919</v>
      </c>
      <c r="C4338" t="s">
        <v>109</v>
      </c>
      <c r="D4338" s="13" t="s">
        <v>633</v>
      </c>
      <c r="E4338" t="s">
        <v>166</v>
      </c>
      <c r="F4338" s="11">
        <v>2</v>
      </c>
      <c r="G4338" s="11">
        <v>84033.61</v>
      </c>
    </row>
    <row r="4339" spans="2:7" x14ac:dyDescent="0.2">
      <c r="B4339" s="32">
        <v>45919</v>
      </c>
      <c r="C4339" t="s">
        <v>109</v>
      </c>
      <c r="D4339" s="13" t="s">
        <v>633</v>
      </c>
      <c r="E4339" t="s">
        <v>352</v>
      </c>
      <c r="F4339" s="11">
        <v>1</v>
      </c>
      <c r="G4339" s="11">
        <v>71428.56</v>
      </c>
    </row>
    <row r="4340" spans="2:7" x14ac:dyDescent="0.2">
      <c r="B4340" s="32">
        <v>45919</v>
      </c>
      <c r="C4340" t="s">
        <v>109</v>
      </c>
      <c r="D4340" s="13" t="s">
        <v>633</v>
      </c>
      <c r="E4340" t="s">
        <v>423</v>
      </c>
      <c r="F4340" s="11">
        <v>1</v>
      </c>
      <c r="G4340" s="11">
        <v>58823.53</v>
      </c>
    </row>
    <row r="4341" spans="2:7" x14ac:dyDescent="0.2">
      <c r="B4341" s="32">
        <v>45919</v>
      </c>
      <c r="C4341" t="s">
        <v>109</v>
      </c>
      <c r="D4341" s="13" t="s">
        <v>633</v>
      </c>
      <c r="E4341" t="s">
        <v>281</v>
      </c>
      <c r="F4341" s="11">
        <v>1</v>
      </c>
      <c r="G4341" s="11">
        <v>58823.53</v>
      </c>
    </row>
    <row r="4342" spans="2:7" x14ac:dyDescent="0.2">
      <c r="B4342" s="32">
        <v>45919</v>
      </c>
      <c r="C4342" t="s">
        <v>109</v>
      </c>
      <c r="D4342" s="13" t="s">
        <v>633</v>
      </c>
      <c r="E4342" t="s">
        <v>616</v>
      </c>
      <c r="F4342" s="11">
        <v>1</v>
      </c>
      <c r="G4342" s="11">
        <v>54621.85</v>
      </c>
    </row>
    <row r="4343" spans="2:7" x14ac:dyDescent="0.2">
      <c r="B4343" s="32">
        <v>45919</v>
      </c>
      <c r="C4343" t="s">
        <v>109</v>
      </c>
      <c r="D4343" s="13" t="s">
        <v>633</v>
      </c>
      <c r="E4343" t="s">
        <v>193</v>
      </c>
      <c r="F4343" s="11">
        <v>2</v>
      </c>
      <c r="G4343" s="11">
        <v>43697.48</v>
      </c>
    </row>
    <row r="4344" spans="2:7" x14ac:dyDescent="0.2">
      <c r="B4344" s="32">
        <v>45919</v>
      </c>
      <c r="C4344" t="s">
        <v>109</v>
      </c>
      <c r="D4344" s="13" t="s">
        <v>633</v>
      </c>
      <c r="E4344" t="s">
        <v>1834</v>
      </c>
      <c r="F4344" s="11">
        <v>1</v>
      </c>
      <c r="G4344" s="11">
        <v>42016.81</v>
      </c>
    </row>
    <row r="4345" spans="2:7" x14ac:dyDescent="0.2">
      <c r="B4345" s="32">
        <v>45919</v>
      </c>
      <c r="C4345" t="s">
        <v>109</v>
      </c>
      <c r="D4345" s="13" t="s">
        <v>633</v>
      </c>
      <c r="E4345" t="s">
        <v>196</v>
      </c>
      <c r="F4345" s="11">
        <v>1</v>
      </c>
      <c r="G4345" s="11">
        <v>42016.81</v>
      </c>
    </row>
    <row r="4346" spans="2:7" x14ac:dyDescent="0.2">
      <c r="B4346" s="32">
        <v>45919</v>
      </c>
      <c r="C4346" t="s">
        <v>109</v>
      </c>
      <c r="D4346" s="13" t="s">
        <v>633</v>
      </c>
      <c r="E4346" t="s">
        <v>144</v>
      </c>
      <c r="F4346" s="11">
        <v>2</v>
      </c>
      <c r="G4346" s="11">
        <v>21848.74</v>
      </c>
    </row>
    <row r="4347" spans="2:7" x14ac:dyDescent="0.2">
      <c r="B4347" s="32">
        <v>45919</v>
      </c>
      <c r="C4347" t="s">
        <v>109</v>
      </c>
      <c r="D4347" s="13" t="s">
        <v>633</v>
      </c>
      <c r="E4347" t="s">
        <v>1846</v>
      </c>
      <c r="F4347" s="11">
        <v>1</v>
      </c>
      <c r="G4347" s="11">
        <v>21008.400000000001</v>
      </c>
    </row>
    <row r="4348" spans="2:7" x14ac:dyDescent="0.2">
      <c r="B4348" s="32">
        <v>45920</v>
      </c>
      <c r="C4348" t="s">
        <v>142</v>
      </c>
      <c r="D4348" s="13" t="s">
        <v>634</v>
      </c>
      <c r="E4348" t="s">
        <v>1893</v>
      </c>
      <c r="F4348" s="11">
        <v>1</v>
      </c>
      <c r="G4348" s="11">
        <v>130252.1</v>
      </c>
    </row>
    <row r="4349" spans="2:7" x14ac:dyDescent="0.2">
      <c r="B4349" s="32">
        <v>45920</v>
      </c>
      <c r="C4349" t="s">
        <v>142</v>
      </c>
      <c r="D4349" s="13" t="s">
        <v>634</v>
      </c>
      <c r="E4349" t="s">
        <v>185</v>
      </c>
      <c r="F4349" s="11">
        <v>1</v>
      </c>
      <c r="G4349" s="11">
        <v>96638.66</v>
      </c>
    </row>
    <row r="4350" spans="2:7" x14ac:dyDescent="0.2">
      <c r="B4350" s="32">
        <v>45920</v>
      </c>
      <c r="C4350" t="s">
        <v>142</v>
      </c>
      <c r="D4350" s="13" t="s">
        <v>634</v>
      </c>
      <c r="E4350" t="s">
        <v>551</v>
      </c>
      <c r="F4350" s="11">
        <v>1</v>
      </c>
      <c r="G4350" s="11">
        <v>96638.65</v>
      </c>
    </row>
    <row r="4351" spans="2:7" x14ac:dyDescent="0.2">
      <c r="B4351" s="32">
        <v>45920</v>
      </c>
      <c r="C4351" t="s">
        <v>142</v>
      </c>
      <c r="D4351" s="13" t="s">
        <v>634</v>
      </c>
      <c r="E4351" t="s">
        <v>175</v>
      </c>
      <c r="F4351" s="11">
        <v>1</v>
      </c>
      <c r="G4351" s="11">
        <v>58823.53</v>
      </c>
    </row>
    <row r="4352" spans="2:7" x14ac:dyDescent="0.2">
      <c r="B4352" s="32">
        <v>45920</v>
      </c>
      <c r="C4352" t="s">
        <v>142</v>
      </c>
      <c r="D4352" s="13" t="s">
        <v>634</v>
      </c>
      <c r="E4352" t="s">
        <v>496</v>
      </c>
      <c r="F4352" s="11">
        <v>1</v>
      </c>
      <c r="G4352" s="11">
        <v>58823.53</v>
      </c>
    </row>
    <row r="4353" spans="2:7" x14ac:dyDescent="0.2">
      <c r="B4353" s="32">
        <v>45920</v>
      </c>
      <c r="C4353" t="s">
        <v>142</v>
      </c>
      <c r="D4353" s="13" t="s">
        <v>634</v>
      </c>
      <c r="E4353" t="s">
        <v>165</v>
      </c>
      <c r="F4353" s="11">
        <v>1</v>
      </c>
      <c r="G4353" s="11">
        <v>58823.53</v>
      </c>
    </row>
    <row r="4354" spans="2:7" x14ac:dyDescent="0.2">
      <c r="B4354" s="32">
        <v>45920</v>
      </c>
      <c r="C4354" t="s">
        <v>142</v>
      </c>
      <c r="D4354" s="13" t="s">
        <v>634</v>
      </c>
      <c r="F4354" s="11">
        <v>1</v>
      </c>
      <c r="G4354" s="11">
        <v>2</v>
      </c>
    </row>
    <row r="4355" spans="2:7" x14ac:dyDescent="0.2">
      <c r="B4355" s="32">
        <v>45920</v>
      </c>
      <c r="C4355" t="s">
        <v>142</v>
      </c>
      <c r="D4355" s="13" t="s">
        <v>633</v>
      </c>
      <c r="E4355" t="s">
        <v>521</v>
      </c>
      <c r="F4355" s="11">
        <v>1</v>
      </c>
      <c r="G4355" s="11">
        <v>92436.97</v>
      </c>
    </row>
    <row r="4356" spans="2:7" x14ac:dyDescent="0.2">
      <c r="B4356" s="32">
        <v>45920</v>
      </c>
      <c r="C4356" t="s">
        <v>142</v>
      </c>
      <c r="D4356" s="13" t="s">
        <v>633</v>
      </c>
      <c r="E4356" t="s">
        <v>378</v>
      </c>
      <c r="F4356" s="11">
        <v>1</v>
      </c>
      <c r="G4356" s="11">
        <v>58823.53</v>
      </c>
    </row>
    <row r="4357" spans="2:7" x14ac:dyDescent="0.2">
      <c r="B4357" s="32">
        <v>45920</v>
      </c>
      <c r="C4357" t="s">
        <v>110</v>
      </c>
      <c r="D4357" s="13" t="s">
        <v>633</v>
      </c>
      <c r="E4357" t="s">
        <v>337</v>
      </c>
      <c r="F4357" s="11">
        <v>1</v>
      </c>
      <c r="G4357" s="11">
        <v>46218.49</v>
      </c>
    </row>
    <row r="4358" spans="2:7" x14ac:dyDescent="0.2">
      <c r="B4358" s="32">
        <v>45920</v>
      </c>
      <c r="C4358" t="s">
        <v>1739</v>
      </c>
      <c r="D4358" s="13" t="s">
        <v>634</v>
      </c>
      <c r="E4358" t="s">
        <v>588</v>
      </c>
      <c r="F4358" s="11">
        <v>1</v>
      </c>
      <c r="G4358" s="11">
        <v>92436.97</v>
      </c>
    </row>
    <row r="4359" spans="2:7" x14ac:dyDescent="0.2">
      <c r="B4359" s="32">
        <v>45920</v>
      </c>
      <c r="C4359" t="s">
        <v>109</v>
      </c>
      <c r="D4359" s="13" t="s">
        <v>634</v>
      </c>
      <c r="E4359" t="s">
        <v>321</v>
      </c>
      <c r="F4359" s="11">
        <v>1</v>
      </c>
      <c r="G4359" s="11">
        <v>189075.63</v>
      </c>
    </row>
    <row r="4360" spans="2:7" x14ac:dyDescent="0.2">
      <c r="B4360" s="32">
        <v>45920</v>
      </c>
      <c r="C4360" t="s">
        <v>109</v>
      </c>
      <c r="D4360" s="13" t="s">
        <v>634</v>
      </c>
      <c r="E4360" t="s">
        <v>144</v>
      </c>
      <c r="F4360" s="11">
        <v>10</v>
      </c>
      <c r="G4360" s="11">
        <v>171008.4</v>
      </c>
    </row>
    <row r="4361" spans="2:7" x14ac:dyDescent="0.2">
      <c r="B4361" s="32">
        <v>45920</v>
      </c>
      <c r="C4361" t="s">
        <v>109</v>
      </c>
      <c r="D4361" s="13" t="s">
        <v>634</v>
      </c>
      <c r="E4361" t="s">
        <v>283</v>
      </c>
      <c r="F4361" s="11">
        <v>1</v>
      </c>
      <c r="G4361" s="11">
        <v>100840.34</v>
      </c>
    </row>
    <row r="4362" spans="2:7" x14ac:dyDescent="0.2">
      <c r="B4362" s="32">
        <v>45920</v>
      </c>
      <c r="C4362" t="s">
        <v>109</v>
      </c>
      <c r="D4362" s="13" t="s">
        <v>634</v>
      </c>
      <c r="E4362" t="s">
        <v>184</v>
      </c>
      <c r="F4362" s="11">
        <v>1</v>
      </c>
      <c r="G4362" s="11">
        <v>84033.61</v>
      </c>
    </row>
    <row r="4363" spans="2:7" x14ac:dyDescent="0.2">
      <c r="B4363" s="32">
        <v>45920</v>
      </c>
      <c r="C4363" t="s">
        <v>109</v>
      </c>
      <c r="D4363" s="13" t="s">
        <v>634</v>
      </c>
      <c r="E4363" t="s">
        <v>199</v>
      </c>
      <c r="F4363" s="11">
        <v>1</v>
      </c>
      <c r="G4363" s="11">
        <v>75630.25</v>
      </c>
    </row>
    <row r="4364" spans="2:7" x14ac:dyDescent="0.2">
      <c r="B4364" s="32">
        <v>45920</v>
      </c>
      <c r="C4364" t="s">
        <v>109</v>
      </c>
      <c r="D4364" s="13" t="s">
        <v>634</v>
      </c>
      <c r="E4364" t="s">
        <v>147</v>
      </c>
      <c r="F4364" s="11">
        <v>1</v>
      </c>
      <c r="G4364" s="11">
        <v>71428.570000000007</v>
      </c>
    </row>
    <row r="4365" spans="2:7" x14ac:dyDescent="0.2">
      <c r="B4365" s="32">
        <v>45920</v>
      </c>
      <c r="C4365" t="s">
        <v>109</v>
      </c>
      <c r="D4365" s="13" t="s">
        <v>634</v>
      </c>
      <c r="E4365" t="s">
        <v>1956</v>
      </c>
      <c r="F4365" s="11">
        <v>1</v>
      </c>
      <c r="G4365" s="11">
        <v>69000</v>
      </c>
    </row>
    <row r="4366" spans="2:7" x14ac:dyDescent="0.2">
      <c r="B4366" s="32">
        <v>45920</v>
      </c>
      <c r="C4366" t="s">
        <v>109</v>
      </c>
      <c r="D4366" s="13" t="s">
        <v>634</v>
      </c>
      <c r="E4366" t="s">
        <v>1968</v>
      </c>
      <c r="F4366" s="11">
        <v>1</v>
      </c>
      <c r="G4366" s="11">
        <v>42016.81</v>
      </c>
    </row>
    <row r="4367" spans="2:7" x14ac:dyDescent="0.2">
      <c r="B4367" s="32">
        <v>45920</v>
      </c>
      <c r="C4367" t="s">
        <v>109</v>
      </c>
      <c r="D4367" s="13" t="s">
        <v>634</v>
      </c>
      <c r="E4367" t="s">
        <v>1769</v>
      </c>
      <c r="F4367" s="11">
        <v>2</v>
      </c>
      <c r="G4367" s="11">
        <v>42016.81</v>
      </c>
    </row>
    <row r="4368" spans="2:7" x14ac:dyDescent="0.2">
      <c r="B4368" s="32">
        <v>45920</v>
      </c>
      <c r="C4368" t="s">
        <v>109</v>
      </c>
      <c r="D4368" s="13" t="s">
        <v>634</v>
      </c>
      <c r="E4368" t="s">
        <v>1818</v>
      </c>
      <c r="F4368" s="11">
        <v>1</v>
      </c>
      <c r="G4368" s="11">
        <v>37815.129999999997</v>
      </c>
    </row>
    <row r="4369" spans="2:7" x14ac:dyDescent="0.2">
      <c r="B4369" s="32">
        <v>45920</v>
      </c>
      <c r="C4369" t="s">
        <v>109</v>
      </c>
      <c r="D4369" s="13" t="s">
        <v>633</v>
      </c>
      <c r="E4369" t="s">
        <v>462</v>
      </c>
      <c r="F4369" s="11">
        <v>18</v>
      </c>
      <c r="G4369" s="11">
        <v>422016.81</v>
      </c>
    </row>
    <row r="4370" spans="2:7" x14ac:dyDescent="0.2">
      <c r="B4370" s="32">
        <v>45920</v>
      </c>
      <c r="C4370" t="s">
        <v>109</v>
      </c>
      <c r="D4370" s="13" t="s">
        <v>633</v>
      </c>
      <c r="E4370" t="s">
        <v>642</v>
      </c>
      <c r="F4370" s="11">
        <v>3</v>
      </c>
      <c r="G4370" s="11">
        <v>143516.6</v>
      </c>
    </row>
    <row r="4371" spans="2:7" x14ac:dyDescent="0.2">
      <c r="B4371" s="32">
        <v>45920</v>
      </c>
      <c r="C4371" t="s">
        <v>109</v>
      </c>
      <c r="D4371" s="13" t="s">
        <v>633</v>
      </c>
      <c r="E4371" t="s">
        <v>675</v>
      </c>
      <c r="F4371" s="11">
        <v>1</v>
      </c>
      <c r="G4371" s="11">
        <v>98000</v>
      </c>
    </row>
    <row r="4372" spans="2:7" x14ac:dyDescent="0.2">
      <c r="B4372" s="32">
        <v>45920</v>
      </c>
      <c r="C4372" t="s">
        <v>109</v>
      </c>
      <c r="D4372" s="13" t="s">
        <v>633</v>
      </c>
      <c r="E4372" t="s">
        <v>161</v>
      </c>
      <c r="F4372" s="11">
        <v>2</v>
      </c>
      <c r="G4372" s="11">
        <v>82042.289999999994</v>
      </c>
    </row>
    <row r="4373" spans="2:7" x14ac:dyDescent="0.2">
      <c r="B4373" s="32">
        <v>45920</v>
      </c>
      <c r="C4373" t="s">
        <v>109</v>
      </c>
      <c r="D4373" s="13" t="s">
        <v>633</v>
      </c>
      <c r="E4373" t="s">
        <v>347</v>
      </c>
      <c r="F4373" s="11">
        <v>1</v>
      </c>
      <c r="G4373" s="11">
        <v>73838.06</v>
      </c>
    </row>
    <row r="4374" spans="2:7" x14ac:dyDescent="0.2">
      <c r="B4374" s="32">
        <v>45920</v>
      </c>
      <c r="C4374" t="s">
        <v>109</v>
      </c>
      <c r="D4374" s="13" t="s">
        <v>633</v>
      </c>
      <c r="E4374" t="s">
        <v>1920</v>
      </c>
      <c r="F4374" s="11">
        <v>1</v>
      </c>
      <c r="G4374" s="11">
        <v>58823.53</v>
      </c>
    </row>
    <row r="4375" spans="2:7" x14ac:dyDescent="0.2">
      <c r="B4375" s="32">
        <v>45920</v>
      </c>
      <c r="C4375" t="s">
        <v>109</v>
      </c>
      <c r="D4375" s="13" t="s">
        <v>633</v>
      </c>
      <c r="E4375" t="s">
        <v>212</v>
      </c>
      <c r="F4375" s="11">
        <v>1</v>
      </c>
      <c r="G4375" s="11">
        <v>54621.85</v>
      </c>
    </row>
    <row r="4376" spans="2:7" x14ac:dyDescent="0.2">
      <c r="B4376" s="32">
        <v>45920</v>
      </c>
      <c r="C4376" t="s">
        <v>109</v>
      </c>
      <c r="D4376" s="13" t="s">
        <v>633</v>
      </c>
      <c r="E4376" t="s">
        <v>246</v>
      </c>
      <c r="F4376" s="11">
        <v>1</v>
      </c>
      <c r="G4376" s="11">
        <v>42016.81</v>
      </c>
    </row>
    <row r="4377" spans="2:7" x14ac:dyDescent="0.2">
      <c r="B4377" s="32">
        <v>45920</v>
      </c>
      <c r="C4377" t="s">
        <v>109</v>
      </c>
      <c r="D4377" s="13" t="s">
        <v>633</v>
      </c>
      <c r="E4377" t="s">
        <v>150</v>
      </c>
      <c r="F4377" s="11">
        <v>1</v>
      </c>
      <c r="G4377" s="11">
        <v>42016.81</v>
      </c>
    </row>
    <row r="4378" spans="2:7" x14ac:dyDescent="0.2">
      <c r="B4378" s="32">
        <v>45921</v>
      </c>
      <c r="C4378" t="s">
        <v>142</v>
      </c>
      <c r="D4378" s="13" t="s">
        <v>634</v>
      </c>
      <c r="E4378" t="s">
        <v>392</v>
      </c>
      <c r="F4378" s="11">
        <v>3</v>
      </c>
      <c r="G4378" s="11">
        <v>138655.46</v>
      </c>
    </row>
    <row r="4379" spans="2:7" x14ac:dyDescent="0.2">
      <c r="B4379" s="32">
        <v>45921</v>
      </c>
      <c r="C4379" t="s">
        <v>142</v>
      </c>
      <c r="D4379" s="13" t="s">
        <v>634</v>
      </c>
      <c r="E4379" t="s">
        <v>546</v>
      </c>
      <c r="F4379" s="11">
        <v>3</v>
      </c>
      <c r="G4379" s="11">
        <v>138655.46</v>
      </c>
    </row>
    <row r="4380" spans="2:7" x14ac:dyDescent="0.2">
      <c r="B4380" s="32">
        <v>45921</v>
      </c>
      <c r="C4380" t="s">
        <v>142</v>
      </c>
      <c r="D4380" s="13" t="s">
        <v>634</v>
      </c>
      <c r="E4380" t="s">
        <v>161</v>
      </c>
      <c r="F4380" s="11">
        <v>3</v>
      </c>
      <c r="G4380" s="11">
        <v>126050.42</v>
      </c>
    </row>
    <row r="4381" spans="2:7" x14ac:dyDescent="0.2">
      <c r="B4381" s="32">
        <v>45921</v>
      </c>
      <c r="C4381" t="s">
        <v>142</v>
      </c>
      <c r="D4381" s="13" t="s">
        <v>634</v>
      </c>
      <c r="E4381" t="s">
        <v>203</v>
      </c>
      <c r="F4381" s="11">
        <v>3</v>
      </c>
      <c r="G4381" s="11">
        <v>126050.42</v>
      </c>
    </row>
    <row r="4382" spans="2:7" x14ac:dyDescent="0.2">
      <c r="B4382" s="32">
        <v>45921</v>
      </c>
      <c r="C4382" t="s">
        <v>142</v>
      </c>
      <c r="D4382" s="13" t="s">
        <v>634</v>
      </c>
      <c r="E4382" t="s">
        <v>727</v>
      </c>
      <c r="F4382" s="11">
        <v>1</v>
      </c>
      <c r="G4382" s="11">
        <v>58823.53</v>
      </c>
    </row>
    <row r="4383" spans="2:7" x14ac:dyDescent="0.2">
      <c r="B4383" s="32">
        <v>45921</v>
      </c>
      <c r="C4383" t="s">
        <v>110</v>
      </c>
      <c r="D4383" s="13" t="s">
        <v>633</v>
      </c>
      <c r="E4383" t="s">
        <v>1834</v>
      </c>
      <c r="F4383" s="11">
        <v>2</v>
      </c>
      <c r="G4383" s="11">
        <v>84033.61</v>
      </c>
    </row>
    <row r="4384" spans="2:7" x14ac:dyDescent="0.2">
      <c r="B4384" s="32">
        <v>45921</v>
      </c>
      <c r="C4384" t="s">
        <v>109</v>
      </c>
      <c r="D4384" s="13" t="s">
        <v>634</v>
      </c>
      <c r="E4384" t="s">
        <v>352</v>
      </c>
      <c r="F4384" s="11">
        <v>2</v>
      </c>
      <c r="G4384" s="11">
        <v>142857.14000000001</v>
      </c>
    </row>
    <row r="4385" spans="2:7" x14ac:dyDescent="0.2">
      <c r="B4385" s="32">
        <v>45921</v>
      </c>
      <c r="C4385" t="s">
        <v>109</v>
      </c>
      <c r="D4385" s="13" t="s">
        <v>634</v>
      </c>
      <c r="E4385" t="s">
        <v>153</v>
      </c>
      <c r="F4385" s="11">
        <v>1</v>
      </c>
      <c r="G4385" s="11">
        <v>42016.81</v>
      </c>
    </row>
    <row r="4386" spans="2:7" x14ac:dyDescent="0.2">
      <c r="B4386" s="32">
        <v>45921</v>
      </c>
      <c r="C4386" t="s">
        <v>109</v>
      </c>
      <c r="D4386" s="13" t="s">
        <v>634</v>
      </c>
      <c r="E4386" t="s">
        <v>168</v>
      </c>
      <c r="F4386" s="11">
        <v>1</v>
      </c>
      <c r="G4386" s="11">
        <v>42016.800000000003</v>
      </c>
    </row>
    <row r="4387" spans="2:7" x14ac:dyDescent="0.2">
      <c r="B4387" s="32">
        <v>45921</v>
      </c>
      <c r="C4387" t="s">
        <v>109</v>
      </c>
      <c r="D4387" s="13" t="s">
        <v>634</v>
      </c>
      <c r="E4387" t="s">
        <v>144</v>
      </c>
      <c r="F4387" s="11">
        <v>4</v>
      </c>
      <c r="G4387" s="11">
        <v>40336.129999999997</v>
      </c>
    </row>
    <row r="4388" spans="2:7" x14ac:dyDescent="0.2">
      <c r="B4388" s="32">
        <v>45921</v>
      </c>
      <c r="C4388" t="s">
        <v>109</v>
      </c>
      <c r="D4388" s="13" t="s">
        <v>634</v>
      </c>
      <c r="E4388" t="s">
        <v>206</v>
      </c>
      <c r="F4388" s="11">
        <v>1</v>
      </c>
      <c r="G4388" s="11">
        <v>37815.129999999997</v>
      </c>
    </row>
    <row r="4389" spans="2:7" x14ac:dyDescent="0.2">
      <c r="B4389" s="32">
        <v>45921</v>
      </c>
      <c r="C4389" t="s">
        <v>109</v>
      </c>
      <c r="D4389" s="13" t="s">
        <v>634</v>
      </c>
      <c r="E4389" t="s">
        <v>148</v>
      </c>
      <c r="F4389" s="11">
        <v>1</v>
      </c>
      <c r="G4389" s="11">
        <v>37815.129999999997</v>
      </c>
    </row>
    <row r="4390" spans="2:7" x14ac:dyDescent="0.2">
      <c r="B4390" s="32">
        <v>45921</v>
      </c>
      <c r="C4390" t="s">
        <v>109</v>
      </c>
      <c r="D4390" s="13" t="s">
        <v>633</v>
      </c>
      <c r="E4390" t="s">
        <v>144</v>
      </c>
      <c r="F4390" s="11">
        <v>15</v>
      </c>
      <c r="G4390" s="11">
        <v>235294.12</v>
      </c>
    </row>
    <row r="4391" spans="2:7" x14ac:dyDescent="0.2">
      <c r="B4391" s="32">
        <v>45921</v>
      </c>
      <c r="C4391" t="s">
        <v>109</v>
      </c>
      <c r="D4391" s="13" t="s">
        <v>633</v>
      </c>
      <c r="E4391" t="s">
        <v>1902</v>
      </c>
      <c r="F4391" s="11">
        <v>3</v>
      </c>
      <c r="G4391" s="11">
        <v>113445.38</v>
      </c>
    </row>
    <row r="4392" spans="2:7" x14ac:dyDescent="0.2">
      <c r="B4392" s="32">
        <v>45921</v>
      </c>
      <c r="C4392" t="s">
        <v>109</v>
      </c>
      <c r="D4392" s="13" t="s">
        <v>633</v>
      </c>
      <c r="E4392" t="s">
        <v>613</v>
      </c>
      <c r="F4392" s="11">
        <v>1</v>
      </c>
      <c r="G4392" s="11">
        <v>55000</v>
      </c>
    </row>
    <row r="4393" spans="2:7" x14ac:dyDescent="0.2">
      <c r="B4393" s="32">
        <v>45922</v>
      </c>
      <c r="C4393" t="s">
        <v>142</v>
      </c>
      <c r="D4393" s="13" t="s">
        <v>634</v>
      </c>
      <c r="E4393" t="s">
        <v>185</v>
      </c>
      <c r="F4393" s="11">
        <v>1</v>
      </c>
      <c r="G4393" s="11">
        <v>96638.66</v>
      </c>
    </row>
    <row r="4394" spans="2:7" x14ac:dyDescent="0.2">
      <c r="B4394" s="32">
        <v>45922</v>
      </c>
      <c r="C4394" t="s">
        <v>142</v>
      </c>
      <c r="D4394" s="13" t="s">
        <v>634</v>
      </c>
      <c r="E4394" t="s">
        <v>430</v>
      </c>
      <c r="F4394" s="11">
        <v>1</v>
      </c>
      <c r="G4394" s="11">
        <v>58823.53</v>
      </c>
    </row>
    <row r="4395" spans="2:7" x14ac:dyDescent="0.2">
      <c r="B4395" s="32">
        <v>45922</v>
      </c>
      <c r="C4395" t="s">
        <v>142</v>
      </c>
      <c r="D4395" s="13" t="s">
        <v>634</v>
      </c>
      <c r="E4395" t="s">
        <v>492</v>
      </c>
      <c r="F4395" s="11">
        <v>1</v>
      </c>
      <c r="G4395" s="11">
        <v>58823.53</v>
      </c>
    </row>
    <row r="4396" spans="2:7" x14ac:dyDescent="0.2">
      <c r="B4396" s="32">
        <v>45922</v>
      </c>
      <c r="C4396" t="s">
        <v>142</v>
      </c>
      <c r="D4396" s="13" t="s">
        <v>634</v>
      </c>
      <c r="E4396" t="s">
        <v>172</v>
      </c>
      <c r="F4396" s="11">
        <v>1</v>
      </c>
      <c r="G4396" s="11">
        <v>46218.49</v>
      </c>
    </row>
    <row r="4397" spans="2:7" x14ac:dyDescent="0.2">
      <c r="B4397" s="32">
        <v>45922</v>
      </c>
      <c r="C4397" t="s">
        <v>142</v>
      </c>
      <c r="D4397" s="13" t="s">
        <v>634</v>
      </c>
      <c r="E4397" t="s">
        <v>239</v>
      </c>
      <c r="F4397" s="11">
        <v>1</v>
      </c>
      <c r="G4397" s="11">
        <v>41596.639999999999</v>
      </c>
    </row>
    <row r="4398" spans="2:7" x14ac:dyDescent="0.2">
      <c r="B4398" s="32">
        <v>45922</v>
      </c>
      <c r="C4398" t="s">
        <v>142</v>
      </c>
      <c r="D4398" s="13" t="s">
        <v>634</v>
      </c>
      <c r="E4398" t="s">
        <v>328</v>
      </c>
      <c r="F4398" s="11">
        <v>1</v>
      </c>
      <c r="G4398" s="11">
        <v>37815.120000000003</v>
      </c>
    </row>
    <row r="4399" spans="2:7" x14ac:dyDescent="0.2">
      <c r="B4399" s="32">
        <v>45922</v>
      </c>
      <c r="C4399" t="s">
        <v>142</v>
      </c>
      <c r="D4399" s="13" t="s">
        <v>634</v>
      </c>
      <c r="E4399" t="s">
        <v>144</v>
      </c>
      <c r="F4399" s="11">
        <v>1</v>
      </c>
      <c r="G4399" s="11">
        <v>7983.19</v>
      </c>
    </row>
    <row r="4400" spans="2:7" x14ac:dyDescent="0.2">
      <c r="B4400" s="32">
        <v>45922</v>
      </c>
      <c r="C4400" t="s">
        <v>142</v>
      </c>
      <c r="D4400" s="13" t="s">
        <v>633</v>
      </c>
      <c r="E4400" t="s">
        <v>290</v>
      </c>
      <c r="F4400" s="11">
        <v>1</v>
      </c>
      <c r="G4400" s="11">
        <v>58823.53</v>
      </c>
    </row>
    <row r="4401" spans="2:7" x14ac:dyDescent="0.2">
      <c r="B4401" s="32">
        <v>45922</v>
      </c>
      <c r="C4401" t="s">
        <v>142</v>
      </c>
      <c r="D4401" s="13" t="s">
        <v>633</v>
      </c>
      <c r="E4401" t="s">
        <v>243</v>
      </c>
      <c r="F4401" s="11">
        <v>1</v>
      </c>
      <c r="G4401" s="11">
        <v>54621.85</v>
      </c>
    </row>
    <row r="4402" spans="2:7" x14ac:dyDescent="0.2">
      <c r="B4402" s="32">
        <v>45922</v>
      </c>
      <c r="C4402" t="s">
        <v>109</v>
      </c>
      <c r="D4402" s="13" t="s">
        <v>634</v>
      </c>
      <c r="E4402" t="s">
        <v>541</v>
      </c>
      <c r="F4402" s="11">
        <v>1</v>
      </c>
      <c r="G4402" s="11">
        <v>130252.1</v>
      </c>
    </row>
    <row r="4403" spans="2:7" x14ac:dyDescent="0.2">
      <c r="B4403" s="32">
        <v>45922</v>
      </c>
      <c r="C4403" t="s">
        <v>109</v>
      </c>
      <c r="D4403" s="13" t="s">
        <v>634</v>
      </c>
      <c r="E4403" t="s">
        <v>681</v>
      </c>
      <c r="F4403" s="11">
        <v>1</v>
      </c>
      <c r="G4403" s="11">
        <v>75630.25</v>
      </c>
    </row>
    <row r="4404" spans="2:7" x14ac:dyDescent="0.2">
      <c r="B4404" s="32">
        <v>45922</v>
      </c>
      <c r="C4404" t="s">
        <v>109</v>
      </c>
      <c r="D4404" s="13" t="s">
        <v>634</v>
      </c>
      <c r="E4404" t="s">
        <v>647</v>
      </c>
      <c r="F4404" s="11">
        <v>1</v>
      </c>
      <c r="G4404" s="11">
        <v>75630.25</v>
      </c>
    </row>
    <row r="4405" spans="2:7" x14ac:dyDescent="0.2">
      <c r="B4405" s="32">
        <v>45922</v>
      </c>
      <c r="C4405" t="s">
        <v>109</v>
      </c>
      <c r="D4405" s="13" t="s">
        <v>634</v>
      </c>
      <c r="E4405" t="s">
        <v>148</v>
      </c>
      <c r="F4405" s="11">
        <v>2</v>
      </c>
      <c r="G4405" s="11">
        <v>75630.240000000005</v>
      </c>
    </row>
    <row r="4406" spans="2:7" x14ac:dyDescent="0.2">
      <c r="B4406" s="32">
        <v>45922</v>
      </c>
      <c r="C4406" t="s">
        <v>109</v>
      </c>
      <c r="D4406" s="13" t="s">
        <v>634</v>
      </c>
      <c r="E4406" t="s">
        <v>534</v>
      </c>
      <c r="F4406" s="11">
        <v>1</v>
      </c>
      <c r="G4406" s="11">
        <v>71428.570000000007</v>
      </c>
    </row>
    <row r="4407" spans="2:7" x14ac:dyDescent="0.2">
      <c r="B4407" s="32">
        <v>45922</v>
      </c>
      <c r="C4407" t="s">
        <v>109</v>
      </c>
      <c r="D4407" s="13" t="s">
        <v>634</v>
      </c>
      <c r="E4407" t="s">
        <v>150</v>
      </c>
      <c r="F4407" s="11">
        <v>1</v>
      </c>
      <c r="G4407" s="11">
        <v>42016.81</v>
      </c>
    </row>
    <row r="4408" spans="2:7" x14ac:dyDescent="0.2">
      <c r="B4408" s="32">
        <v>45922</v>
      </c>
      <c r="C4408" t="s">
        <v>109</v>
      </c>
      <c r="D4408" s="13" t="s">
        <v>634</v>
      </c>
      <c r="E4408" t="s">
        <v>153</v>
      </c>
      <c r="F4408" s="11">
        <v>1</v>
      </c>
      <c r="G4408" s="11">
        <v>42016.81</v>
      </c>
    </row>
    <row r="4409" spans="2:7" x14ac:dyDescent="0.2">
      <c r="B4409" s="32">
        <v>45922</v>
      </c>
      <c r="C4409" t="s">
        <v>109</v>
      </c>
      <c r="D4409" s="13" t="s">
        <v>634</v>
      </c>
      <c r="E4409" t="s">
        <v>206</v>
      </c>
      <c r="F4409" s="11">
        <v>1</v>
      </c>
      <c r="G4409" s="11">
        <v>37815.129999999997</v>
      </c>
    </row>
    <row r="4410" spans="2:7" x14ac:dyDescent="0.2">
      <c r="B4410" s="32">
        <v>45922</v>
      </c>
      <c r="C4410" t="s">
        <v>109</v>
      </c>
      <c r="D4410" s="13" t="s">
        <v>633</v>
      </c>
      <c r="E4410" t="s">
        <v>2013</v>
      </c>
      <c r="F4410" s="11">
        <v>1</v>
      </c>
      <c r="G4410" s="11">
        <v>164239.94</v>
      </c>
    </row>
    <row r="4411" spans="2:7" x14ac:dyDescent="0.2">
      <c r="B4411" s="32">
        <v>45922</v>
      </c>
      <c r="C4411" t="s">
        <v>109</v>
      </c>
      <c r="D4411" s="13" t="s">
        <v>633</v>
      </c>
      <c r="E4411" t="s">
        <v>194</v>
      </c>
      <c r="F4411" s="11">
        <v>1</v>
      </c>
      <c r="G4411" s="11">
        <v>96638.65</v>
      </c>
    </row>
    <row r="4412" spans="2:7" x14ac:dyDescent="0.2">
      <c r="B4412" s="32">
        <v>45922</v>
      </c>
      <c r="C4412" t="s">
        <v>109</v>
      </c>
      <c r="D4412" s="13" t="s">
        <v>633</v>
      </c>
      <c r="E4412" t="s">
        <v>185</v>
      </c>
      <c r="F4412" s="11">
        <v>1</v>
      </c>
      <c r="G4412" s="11">
        <v>96638.65</v>
      </c>
    </row>
    <row r="4413" spans="2:7" x14ac:dyDescent="0.2">
      <c r="B4413" s="32">
        <v>45922</v>
      </c>
      <c r="C4413" t="s">
        <v>109</v>
      </c>
      <c r="D4413" s="13" t="s">
        <v>633</v>
      </c>
      <c r="E4413" t="s">
        <v>2014</v>
      </c>
      <c r="F4413" s="11">
        <v>1</v>
      </c>
      <c r="G4413" s="11">
        <v>71428.570000000007</v>
      </c>
    </row>
    <row r="4414" spans="2:7" x14ac:dyDescent="0.2">
      <c r="B4414" s="32">
        <v>45922</v>
      </c>
      <c r="C4414" t="s">
        <v>109</v>
      </c>
      <c r="D4414" s="13" t="s">
        <v>633</v>
      </c>
      <c r="E4414" t="s">
        <v>1915</v>
      </c>
      <c r="F4414" s="11">
        <v>1</v>
      </c>
      <c r="G4414" s="11">
        <v>54746.66</v>
      </c>
    </row>
    <row r="4415" spans="2:7" x14ac:dyDescent="0.2">
      <c r="B4415" s="32">
        <v>45922</v>
      </c>
      <c r="C4415" t="s">
        <v>109</v>
      </c>
      <c r="D4415" s="13" t="s">
        <v>633</v>
      </c>
      <c r="E4415" t="s">
        <v>244</v>
      </c>
      <c r="F4415" s="11">
        <v>1</v>
      </c>
      <c r="G4415" s="11">
        <v>54746.66</v>
      </c>
    </row>
    <row r="4416" spans="2:7" x14ac:dyDescent="0.2">
      <c r="B4416" s="32">
        <v>45922</v>
      </c>
      <c r="C4416" t="s">
        <v>109</v>
      </c>
      <c r="D4416" s="13" t="s">
        <v>633</v>
      </c>
      <c r="E4416" t="s">
        <v>146</v>
      </c>
      <c r="F4416" s="11">
        <v>1</v>
      </c>
      <c r="G4416" s="11">
        <v>46218.49</v>
      </c>
    </row>
    <row r="4417" spans="2:7" x14ac:dyDescent="0.2">
      <c r="B4417" s="32">
        <v>45922</v>
      </c>
      <c r="C4417" t="s">
        <v>109</v>
      </c>
      <c r="D4417" s="13" t="s">
        <v>633</v>
      </c>
      <c r="E4417" t="s">
        <v>150</v>
      </c>
      <c r="F4417" s="11">
        <v>1</v>
      </c>
      <c r="G4417" s="11">
        <v>42016.81</v>
      </c>
    </row>
    <row r="4418" spans="2:7" x14ac:dyDescent="0.2">
      <c r="B4418" s="32">
        <v>45922</v>
      </c>
      <c r="C4418" t="s">
        <v>109</v>
      </c>
      <c r="D4418" s="13" t="s">
        <v>633</v>
      </c>
      <c r="E4418" t="s">
        <v>293</v>
      </c>
      <c r="F4418" s="11">
        <v>1</v>
      </c>
      <c r="G4418" s="11">
        <v>37815.129999999997</v>
      </c>
    </row>
    <row r="4419" spans="2:7" x14ac:dyDescent="0.2">
      <c r="B4419" s="32">
        <v>45922</v>
      </c>
      <c r="C4419" t="s">
        <v>109</v>
      </c>
      <c r="D4419" s="13" t="s">
        <v>633</v>
      </c>
      <c r="E4419" t="s">
        <v>330</v>
      </c>
      <c r="F4419" s="11">
        <v>1</v>
      </c>
      <c r="G4419" s="11">
        <v>37815.129999999997</v>
      </c>
    </row>
    <row r="4420" spans="2:7" x14ac:dyDescent="0.2">
      <c r="B4420" s="32">
        <v>45923</v>
      </c>
      <c r="C4420" t="s">
        <v>142</v>
      </c>
      <c r="D4420" s="13" t="s">
        <v>634</v>
      </c>
      <c r="E4420" t="s">
        <v>304</v>
      </c>
      <c r="F4420" s="11">
        <v>1</v>
      </c>
      <c r="G4420" s="11">
        <v>100840.33</v>
      </c>
    </row>
    <row r="4421" spans="2:7" x14ac:dyDescent="0.2">
      <c r="B4421" s="32">
        <v>45923</v>
      </c>
      <c r="C4421" t="s">
        <v>142</v>
      </c>
      <c r="D4421" s="13" t="s">
        <v>633</v>
      </c>
      <c r="E4421" t="s">
        <v>551</v>
      </c>
      <c r="F4421" s="11">
        <v>2</v>
      </c>
      <c r="G4421" s="11">
        <v>193277.31</v>
      </c>
    </row>
    <row r="4422" spans="2:7" x14ac:dyDescent="0.2">
      <c r="B4422" s="32">
        <v>45923</v>
      </c>
      <c r="C4422" t="s">
        <v>142</v>
      </c>
      <c r="D4422" s="13" t="s">
        <v>633</v>
      </c>
      <c r="E4422" t="s">
        <v>315</v>
      </c>
      <c r="F4422" s="11">
        <v>1</v>
      </c>
      <c r="G4422" s="11">
        <v>58823.53</v>
      </c>
    </row>
    <row r="4423" spans="2:7" x14ac:dyDescent="0.2">
      <c r="B4423" s="32">
        <v>45923</v>
      </c>
      <c r="C4423" t="s">
        <v>142</v>
      </c>
      <c r="D4423" s="13" t="s">
        <v>633</v>
      </c>
      <c r="E4423" t="s">
        <v>512</v>
      </c>
      <c r="F4423" s="11">
        <v>1</v>
      </c>
      <c r="G4423" s="11">
        <v>54621.85</v>
      </c>
    </row>
    <row r="4424" spans="2:7" x14ac:dyDescent="0.2">
      <c r="B4424" s="32">
        <v>45923</v>
      </c>
      <c r="C4424" t="s">
        <v>142</v>
      </c>
      <c r="D4424" s="13" t="s">
        <v>633</v>
      </c>
      <c r="E4424" t="s">
        <v>293</v>
      </c>
      <c r="F4424" s="11">
        <v>1</v>
      </c>
      <c r="G4424" s="11">
        <v>37815.129999999997</v>
      </c>
    </row>
    <row r="4425" spans="2:7" x14ac:dyDescent="0.2">
      <c r="B4425" s="32">
        <v>45923</v>
      </c>
      <c r="C4425" t="s">
        <v>1739</v>
      </c>
      <c r="D4425" s="13" t="s">
        <v>633</v>
      </c>
      <c r="E4425" t="s">
        <v>264</v>
      </c>
      <c r="F4425" s="11">
        <v>1</v>
      </c>
      <c r="G4425" s="11">
        <v>75630.25</v>
      </c>
    </row>
    <row r="4426" spans="2:7" x14ac:dyDescent="0.2">
      <c r="B4426" s="32">
        <v>45923</v>
      </c>
      <c r="C4426" t="s">
        <v>1739</v>
      </c>
      <c r="D4426" s="13" t="s">
        <v>633</v>
      </c>
      <c r="E4426" t="s">
        <v>219</v>
      </c>
      <c r="F4426" s="11">
        <v>1</v>
      </c>
      <c r="G4426" s="11">
        <v>58823.53</v>
      </c>
    </row>
    <row r="4427" spans="2:7" x14ac:dyDescent="0.2">
      <c r="B4427" s="32">
        <v>45923</v>
      </c>
      <c r="C4427" t="s">
        <v>109</v>
      </c>
      <c r="D4427" s="13" t="s">
        <v>634</v>
      </c>
      <c r="E4427" t="s">
        <v>624</v>
      </c>
      <c r="F4427" s="11">
        <v>2</v>
      </c>
      <c r="G4427" s="11">
        <v>142857.14000000001</v>
      </c>
    </row>
    <row r="4428" spans="2:7" x14ac:dyDescent="0.2">
      <c r="B4428" s="32">
        <v>45923</v>
      </c>
      <c r="C4428" t="s">
        <v>109</v>
      </c>
      <c r="D4428" s="13" t="s">
        <v>634</v>
      </c>
      <c r="E4428" t="s">
        <v>2015</v>
      </c>
      <c r="F4428" s="11">
        <v>1</v>
      </c>
      <c r="G4428" s="11">
        <v>126050.42</v>
      </c>
    </row>
    <row r="4429" spans="2:7" x14ac:dyDescent="0.2">
      <c r="B4429" s="32">
        <v>45923</v>
      </c>
      <c r="C4429" t="s">
        <v>109</v>
      </c>
      <c r="D4429" s="13" t="s">
        <v>634</v>
      </c>
      <c r="E4429" t="s">
        <v>551</v>
      </c>
      <c r="F4429" s="11">
        <v>1</v>
      </c>
      <c r="G4429" s="11">
        <v>100840.34</v>
      </c>
    </row>
    <row r="4430" spans="2:7" x14ac:dyDescent="0.2">
      <c r="B4430" s="32">
        <v>45923</v>
      </c>
      <c r="C4430" t="s">
        <v>109</v>
      </c>
      <c r="D4430" s="13" t="s">
        <v>634</v>
      </c>
      <c r="E4430" t="s">
        <v>540</v>
      </c>
      <c r="F4430" s="11">
        <v>2</v>
      </c>
      <c r="G4430" s="11">
        <v>92436.97</v>
      </c>
    </row>
    <row r="4431" spans="2:7" x14ac:dyDescent="0.2">
      <c r="B4431" s="32">
        <v>45923</v>
      </c>
      <c r="C4431" t="s">
        <v>109</v>
      </c>
      <c r="D4431" s="13" t="s">
        <v>634</v>
      </c>
      <c r="E4431" t="s">
        <v>1963</v>
      </c>
      <c r="F4431" s="11">
        <v>2</v>
      </c>
      <c r="G4431" s="11">
        <v>84033.62</v>
      </c>
    </row>
    <row r="4432" spans="2:7" x14ac:dyDescent="0.2">
      <c r="B4432" s="32">
        <v>45923</v>
      </c>
      <c r="C4432" t="s">
        <v>109</v>
      </c>
      <c r="D4432" s="13" t="s">
        <v>634</v>
      </c>
      <c r="E4432" t="s">
        <v>147</v>
      </c>
      <c r="F4432" s="11">
        <v>1</v>
      </c>
      <c r="G4432" s="11">
        <v>71428.570000000007</v>
      </c>
    </row>
    <row r="4433" spans="2:7" x14ac:dyDescent="0.2">
      <c r="B4433" s="32">
        <v>45923</v>
      </c>
      <c r="C4433" t="s">
        <v>109</v>
      </c>
      <c r="D4433" s="13" t="s">
        <v>634</v>
      </c>
      <c r="E4433" t="s">
        <v>1810</v>
      </c>
      <c r="F4433" s="11">
        <v>1</v>
      </c>
      <c r="G4433" s="11">
        <v>54621.85</v>
      </c>
    </row>
    <row r="4434" spans="2:7" x14ac:dyDescent="0.2">
      <c r="B4434" s="32">
        <v>45923</v>
      </c>
      <c r="C4434" t="s">
        <v>109</v>
      </c>
      <c r="D4434" s="13" t="s">
        <v>634</v>
      </c>
      <c r="E4434" t="s">
        <v>225</v>
      </c>
      <c r="F4434" s="11">
        <v>1</v>
      </c>
      <c r="G4434" s="11">
        <v>46218.49</v>
      </c>
    </row>
    <row r="4435" spans="2:7" x14ac:dyDescent="0.2">
      <c r="B4435" s="32">
        <v>45923</v>
      </c>
      <c r="C4435" t="s">
        <v>109</v>
      </c>
      <c r="D4435" s="13" t="s">
        <v>634</v>
      </c>
      <c r="E4435" t="s">
        <v>168</v>
      </c>
      <c r="F4435" s="11">
        <v>1</v>
      </c>
      <c r="G4435" s="11">
        <v>42016.81</v>
      </c>
    </row>
    <row r="4436" spans="2:7" x14ac:dyDescent="0.2">
      <c r="B4436" s="32">
        <v>45923</v>
      </c>
      <c r="C4436" t="s">
        <v>109</v>
      </c>
      <c r="D4436" s="13" t="s">
        <v>634</v>
      </c>
      <c r="E4436" t="s">
        <v>148</v>
      </c>
      <c r="F4436" s="11">
        <v>1</v>
      </c>
      <c r="G4436" s="11">
        <v>37815.129999999997</v>
      </c>
    </row>
    <row r="4437" spans="2:7" x14ac:dyDescent="0.2">
      <c r="B4437" s="32">
        <v>45923</v>
      </c>
      <c r="C4437" t="s">
        <v>109</v>
      </c>
      <c r="D4437" s="13" t="s">
        <v>634</v>
      </c>
      <c r="E4437" t="s">
        <v>293</v>
      </c>
      <c r="F4437" s="11">
        <v>1</v>
      </c>
      <c r="G4437" s="11">
        <v>37815.120000000003</v>
      </c>
    </row>
    <row r="4438" spans="2:7" x14ac:dyDescent="0.2">
      <c r="B4438" s="32">
        <v>45923</v>
      </c>
      <c r="C4438" t="s">
        <v>109</v>
      </c>
      <c r="D4438" s="13" t="s">
        <v>634</v>
      </c>
      <c r="E4438" t="s">
        <v>165</v>
      </c>
      <c r="F4438" s="11">
        <v>1</v>
      </c>
      <c r="G4438" s="11">
        <v>0</v>
      </c>
    </row>
    <row r="4439" spans="2:7" x14ac:dyDescent="0.2">
      <c r="B4439" s="32">
        <v>45923</v>
      </c>
      <c r="C4439" t="s">
        <v>109</v>
      </c>
      <c r="D4439" s="13" t="s">
        <v>634</v>
      </c>
      <c r="E4439" t="s">
        <v>320</v>
      </c>
      <c r="F4439" s="11">
        <v>1</v>
      </c>
      <c r="G4439" s="11">
        <v>0</v>
      </c>
    </row>
    <row r="4440" spans="2:7" x14ac:dyDescent="0.2">
      <c r="B4440" s="32">
        <v>45923</v>
      </c>
      <c r="C4440" t="s">
        <v>109</v>
      </c>
      <c r="D4440" s="13" t="s">
        <v>634</v>
      </c>
      <c r="E4440" t="s">
        <v>1839</v>
      </c>
      <c r="F4440" s="11">
        <v>1</v>
      </c>
      <c r="G4440" s="11">
        <v>0</v>
      </c>
    </row>
    <row r="4441" spans="2:7" x14ac:dyDescent="0.2">
      <c r="B4441" s="32">
        <v>45923</v>
      </c>
      <c r="C4441" t="s">
        <v>109</v>
      </c>
      <c r="D4441" s="13" t="s">
        <v>633</v>
      </c>
      <c r="E4441" t="s">
        <v>348</v>
      </c>
      <c r="F4441" s="11">
        <v>3</v>
      </c>
      <c r="G4441" s="11">
        <v>163865.54999999999</v>
      </c>
    </row>
    <row r="4442" spans="2:7" x14ac:dyDescent="0.2">
      <c r="B4442" s="32">
        <v>45923</v>
      </c>
      <c r="C4442" t="s">
        <v>109</v>
      </c>
      <c r="D4442" s="13" t="s">
        <v>633</v>
      </c>
      <c r="E4442" t="s">
        <v>352</v>
      </c>
      <c r="F4442" s="11">
        <v>1</v>
      </c>
      <c r="G4442" s="11">
        <v>71428.570000000007</v>
      </c>
    </row>
    <row r="4443" spans="2:7" x14ac:dyDescent="0.2">
      <c r="B4443" s="32">
        <v>45923</v>
      </c>
      <c r="C4443" t="s">
        <v>109</v>
      </c>
      <c r="D4443" s="13" t="s">
        <v>633</v>
      </c>
      <c r="E4443" t="s">
        <v>336</v>
      </c>
      <c r="F4443" s="11">
        <v>1</v>
      </c>
      <c r="G4443" s="11">
        <v>71428.570000000007</v>
      </c>
    </row>
    <row r="4444" spans="2:7" x14ac:dyDescent="0.2">
      <c r="B4444" s="32">
        <v>45923</v>
      </c>
      <c r="C4444" t="s">
        <v>109</v>
      </c>
      <c r="D4444" s="13" t="s">
        <v>633</v>
      </c>
      <c r="E4444" t="s">
        <v>320</v>
      </c>
      <c r="F4444" s="11">
        <v>1</v>
      </c>
      <c r="G4444" s="11">
        <v>58823.53</v>
      </c>
    </row>
    <row r="4445" spans="2:7" x14ac:dyDescent="0.2">
      <c r="B4445" s="32">
        <v>45923</v>
      </c>
      <c r="C4445" t="s">
        <v>109</v>
      </c>
      <c r="D4445" s="13" t="s">
        <v>633</v>
      </c>
      <c r="E4445" t="s">
        <v>165</v>
      </c>
      <c r="F4445" s="11">
        <v>1</v>
      </c>
      <c r="G4445" s="11">
        <v>58823.53</v>
      </c>
    </row>
    <row r="4446" spans="2:7" x14ac:dyDescent="0.2">
      <c r="B4446" s="32">
        <v>45923</v>
      </c>
      <c r="C4446" t="s">
        <v>109</v>
      </c>
      <c r="D4446" s="13" t="s">
        <v>633</v>
      </c>
      <c r="E4446" t="s">
        <v>1818</v>
      </c>
      <c r="F4446" s="11">
        <v>1</v>
      </c>
      <c r="G4446" s="11">
        <v>37815.129999999997</v>
      </c>
    </row>
    <row r="4447" spans="2:7" x14ac:dyDescent="0.2">
      <c r="B4447" s="32">
        <v>45924</v>
      </c>
      <c r="C4447" t="s">
        <v>142</v>
      </c>
      <c r="D4447" s="13" t="s">
        <v>634</v>
      </c>
      <c r="E4447" t="s">
        <v>508</v>
      </c>
      <c r="F4447" s="11">
        <v>1</v>
      </c>
      <c r="G4447" s="11">
        <v>58823.53</v>
      </c>
    </row>
    <row r="4448" spans="2:7" x14ac:dyDescent="0.2">
      <c r="B4448" s="32">
        <v>45924</v>
      </c>
      <c r="C4448" t="s">
        <v>142</v>
      </c>
      <c r="D4448" s="13" t="s">
        <v>633</v>
      </c>
      <c r="E4448" t="s">
        <v>2016</v>
      </c>
      <c r="F4448" s="11">
        <v>1</v>
      </c>
      <c r="G4448" s="11">
        <v>550000</v>
      </c>
    </row>
    <row r="4449" spans="2:7" x14ac:dyDescent="0.2">
      <c r="B4449" s="32">
        <v>45924</v>
      </c>
      <c r="C4449" t="s">
        <v>142</v>
      </c>
      <c r="D4449" s="13" t="s">
        <v>633</v>
      </c>
      <c r="E4449" t="s">
        <v>1835</v>
      </c>
      <c r="F4449" s="11">
        <v>1</v>
      </c>
      <c r="G4449" s="11">
        <v>300000</v>
      </c>
    </row>
    <row r="4450" spans="2:7" x14ac:dyDescent="0.2">
      <c r="B4450" s="32">
        <v>45924</v>
      </c>
      <c r="C4450" t="s">
        <v>142</v>
      </c>
      <c r="D4450" s="13" t="s">
        <v>633</v>
      </c>
      <c r="E4450" t="s">
        <v>703</v>
      </c>
      <c r="F4450" s="11">
        <v>1</v>
      </c>
      <c r="G4450" s="11">
        <v>176470.59</v>
      </c>
    </row>
    <row r="4451" spans="2:7" x14ac:dyDescent="0.2">
      <c r="B4451" s="32">
        <v>45924</v>
      </c>
      <c r="C4451" t="s">
        <v>142</v>
      </c>
      <c r="D4451" s="13" t="s">
        <v>633</v>
      </c>
      <c r="E4451" t="s">
        <v>441</v>
      </c>
      <c r="F4451" s="11">
        <v>1</v>
      </c>
      <c r="G4451" s="11">
        <v>35000</v>
      </c>
    </row>
    <row r="4452" spans="2:7" x14ac:dyDescent="0.2">
      <c r="B4452" s="32">
        <v>45924</v>
      </c>
      <c r="C4452" t="s">
        <v>109</v>
      </c>
      <c r="D4452" s="13" t="s">
        <v>634</v>
      </c>
      <c r="E4452" t="s">
        <v>154</v>
      </c>
      <c r="F4452" s="11">
        <v>1</v>
      </c>
      <c r="G4452" s="11">
        <v>100840.34</v>
      </c>
    </row>
    <row r="4453" spans="2:7" x14ac:dyDescent="0.2">
      <c r="B4453" s="32">
        <v>45924</v>
      </c>
      <c r="C4453" t="s">
        <v>109</v>
      </c>
      <c r="D4453" s="13" t="s">
        <v>634</v>
      </c>
      <c r="E4453" t="s">
        <v>539</v>
      </c>
      <c r="F4453" s="11">
        <v>1</v>
      </c>
      <c r="G4453" s="11">
        <v>100840.34</v>
      </c>
    </row>
    <row r="4454" spans="2:7" x14ac:dyDescent="0.2">
      <c r="B4454" s="32">
        <v>45924</v>
      </c>
      <c r="C4454" t="s">
        <v>109</v>
      </c>
      <c r="D4454" s="13" t="s">
        <v>634</v>
      </c>
      <c r="E4454" t="s">
        <v>478</v>
      </c>
      <c r="F4454" s="11">
        <v>1</v>
      </c>
      <c r="G4454" s="11">
        <v>75630.25</v>
      </c>
    </row>
    <row r="4455" spans="2:7" x14ac:dyDescent="0.2">
      <c r="B4455" s="32">
        <v>45924</v>
      </c>
      <c r="C4455" t="s">
        <v>109</v>
      </c>
      <c r="D4455" s="13" t="s">
        <v>634</v>
      </c>
      <c r="E4455" t="s">
        <v>446</v>
      </c>
      <c r="F4455" s="11">
        <v>1</v>
      </c>
      <c r="G4455" s="11">
        <v>75630.25</v>
      </c>
    </row>
    <row r="4456" spans="2:7" x14ac:dyDescent="0.2">
      <c r="B4456" s="32">
        <v>45924</v>
      </c>
      <c r="C4456" t="s">
        <v>109</v>
      </c>
      <c r="D4456" s="13" t="s">
        <v>634</v>
      </c>
      <c r="E4456" t="s">
        <v>352</v>
      </c>
      <c r="F4456" s="11">
        <v>1</v>
      </c>
      <c r="G4456" s="11">
        <v>71428.58</v>
      </c>
    </row>
    <row r="4457" spans="2:7" x14ac:dyDescent="0.2">
      <c r="B4457" s="32">
        <v>45924</v>
      </c>
      <c r="C4457" t="s">
        <v>109</v>
      </c>
      <c r="D4457" s="13" t="s">
        <v>634</v>
      </c>
      <c r="E4457" t="s">
        <v>1988</v>
      </c>
      <c r="F4457" s="11">
        <v>1</v>
      </c>
      <c r="G4457" s="11">
        <v>71428.570000000007</v>
      </c>
    </row>
    <row r="4458" spans="2:7" x14ac:dyDescent="0.2">
      <c r="B4458" s="32">
        <v>45924</v>
      </c>
      <c r="C4458" t="s">
        <v>109</v>
      </c>
      <c r="D4458" s="13" t="s">
        <v>634</v>
      </c>
      <c r="E4458" t="s">
        <v>447</v>
      </c>
      <c r="F4458" s="11">
        <v>1</v>
      </c>
      <c r="G4458" s="11">
        <v>58823.53</v>
      </c>
    </row>
    <row r="4459" spans="2:7" x14ac:dyDescent="0.2">
      <c r="B4459" s="32">
        <v>45924</v>
      </c>
      <c r="C4459" t="s">
        <v>109</v>
      </c>
      <c r="D4459" s="13" t="s">
        <v>634</v>
      </c>
      <c r="E4459" t="s">
        <v>498</v>
      </c>
      <c r="F4459" s="11">
        <v>1</v>
      </c>
      <c r="G4459" s="11">
        <v>50420.17</v>
      </c>
    </row>
    <row r="4460" spans="2:7" x14ac:dyDescent="0.2">
      <c r="B4460" s="32">
        <v>45924</v>
      </c>
      <c r="C4460" t="s">
        <v>109</v>
      </c>
      <c r="D4460" s="13" t="s">
        <v>634</v>
      </c>
      <c r="E4460" t="s">
        <v>146</v>
      </c>
      <c r="F4460" s="11">
        <v>1</v>
      </c>
      <c r="G4460" s="11">
        <v>46218.48</v>
      </c>
    </row>
    <row r="4461" spans="2:7" x14ac:dyDescent="0.2">
      <c r="B4461" s="32">
        <v>45924</v>
      </c>
      <c r="C4461" t="s">
        <v>109</v>
      </c>
      <c r="D4461" s="13" t="s">
        <v>634</v>
      </c>
      <c r="E4461" t="s">
        <v>1769</v>
      </c>
      <c r="F4461" s="11">
        <v>1</v>
      </c>
      <c r="G4461" s="11">
        <v>21008.400000000001</v>
      </c>
    </row>
    <row r="4462" spans="2:7" x14ac:dyDescent="0.2">
      <c r="B4462" s="32">
        <v>45924</v>
      </c>
      <c r="C4462" t="s">
        <v>109</v>
      </c>
      <c r="D4462" s="13" t="s">
        <v>634</v>
      </c>
      <c r="E4462" t="s">
        <v>1822</v>
      </c>
      <c r="F4462" s="11">
        <v>1</v>
      </c>
      <c r="G4462" s="11">
        <v>16806.72</v>
      </c>
    </row>
    <row r="4463" spans="2:7" x14ac:dyDescent="0.2">
      <c r="B4463" s="32">
        <v>45924</v>
      </c>
      <c r="C4463" t="s">
        <v>109</v>
      </c>
      <c r="D4463" s="13" t="s">
        <v>633</v>
      </c>
      <c r="E4463" t="s">
        <v>667</v>
      </c>
      <c r="F4463" s="11">
        <v>2</v>
      </c>
      <c r="G4463" s="11">
        <v>156000</v>
      </c>
    </row>
    <row r="4464" spans="2:7" x14ac:dyDescent="0.2">
      <c r="B4464" s="32">
        <v>45924</v>
      </c>
      <c r="C4464" t="s">
        <v>109</v>
      </c>
      <c r="D4464" s="13" t="s">
        <v>633</v>
      </c>
      <c r="E4464" t="s">
        <v>635</v>
      </c>
      <c r="F4464" s="11">
        <v>40</v>
      </c>
      <c r="G4464" s="11">
        <v>117647.06</v>
      </c>
    </row>
    <row r="4465" spans="2:7" x14ac:dyDescent="0.2">
      <c r="B4465" s="32">
        <v>45924</v>
      </c>
      <c r="C4465" t="s">
        <v>109</v>
      </c>
      <c r="D4465" s="13" t="s">
        <v>633</v>
      </c>
      <c r="E4465" t="s">
        <v>427</v>
      </c>
      <c r="F4465" s="11">
        <v>2</v>
      </c>
      <c r="G4465" s="11">
        <v>109243.7</v>
      </c>
    </row>
    <row r="4466" spans="2:7" x14ac:dyDescent="0.2">
      <c r="B4466" s="32">
        <v>45924</v>
      </c>
      <c r="C4466" t="s">
        <v>109</v>
      </c>
      <c r="D4466" s="13" t="s">
        <v>633</v>
      </c>
      <c r="E4466" t="s">
        <v>1916</v>
      </c>
      <c r="F4466" s="11">
        <v>1</v>
      </c>
      <c r="G4466" s="11">
        <v>100840.34</v>
      </c>
    </row>
    <row r="4467" spans="2:7" x14ac:dyDescent="0.2">
      <c r="B4467" s="32">
        <v>45924</v>
      </c>
      <c r="C4467" t="s">
        <v>109</v>
      </c>
      <c r="D4467" s="13" t="s">
        <v>633</v>
      </c>
      <c r="E4467" t="s">
        <v>606</v>
      </c>
      <c r="F4467" s="11">
        <v>1</v>
      </c>
      <c r="G4467" s="11">
        <v>100840.34</v>
      </c>
    </row>
    <row r="4468" spans="2:7" x14ac:dyDescent="0.2">
      <c r="B4468" s="32">
        <v>45924</v>
      </c>
      <c r="C4468" t="s">
        <v>109</v>
      </c>
      <c r="D4468" s="13" t="s">
        <v>633</v>
      </c>
      <c r="E4468" t="s">
        <v>184</v>
      </c>
      <c r="F4468" s="11">
        <v>1</v>
      </c>
      <c r="G4468" s="11">
        <v>84033.61</v>
      </c>
    </row>
    <row r="4469" spans="2:7" x14ac:dyDescent="0.2">
      <c r="B4469" s="32">
        <v>45924</v>
      </c>
      <c r="C4469" t="s">
        <v>109</v>
      </c>
      <c r="D4469" s="13" t="s">
        <v>633</v>
      </c>
      <c r="E4469" t="s">
        <v>315</v>
      </c>
      <c r="F4469" s="11">
        <v>1</v>
      </c>
      <c r="G4469" s="11">
        <v>84033.61</v>
      </c>
    </row>
    <row r="4470" spans="2:7" x14ac:dyDescent="0.2">
      <c r="B4470" s="32">
        <v>45924</v>
      </c>
      <c r="C4470" t="s">
        <v>109</v>
      </c>
      <c r="D4470" s="13" t="s">
        <v>633</v>
      </c>
      <c r="E4470" t="s">
        <v>368</v>
      </c>
      <c r="F4470" s="11">
        <v>1</v>
      </c>
      <c r="G4470" s="11">
        <v>75630.25</v>
      </c>
    </row>
    <row r="4471" spans="2:7" x14ac:dyDescent="0.2">
      <c r="B4471" s="32">
        <v>45924</v>
      </c>
      <c r="C4471" t="s">
        <v>109</v>
      </c>
      <c r="D4471" s="13" t="s">
        <v>633</v>
      </c>
      <c r="E4471" t="s">
        <v>2014</v>
      </c>
      <c r="F4471" s="11">
        <v>1</v>
      </c>
      <c r="G4471" s="11">
        <v>71428.570000000007</v>
      </c>
    </row>
    <row r="4472" spans="2:7" x14ac:dyDescent="0.2">
      <c r="B4472" s="32">
        <v>45924</v>
      </c>
      <c r="C4472" t="s">
        <v>109</v>
      </c>
      <c r="D4472" s="13" t="s">
        <v>633</v>
      </c>
      <c r="E4472" t="s">
        <v>291</v>
      </c>
      <c r="F4472" s="11">
        <v>1</v>
      </c>
      <c r="G4472" s="11">
        <v>32352.94</v>
      </c>
    </row>
    <row r="4473" spans="2:7" x14ac:dyDescent="0.2">
      <c r="B4473" s="32">
        <v>45925</v>
      </c>
      <c r="C4473" t="s">
        <v>142</v>
      </c>
      <c r="D4473" s="13" t="s">
        <v>634</v>
      </c>
      <c r="E4473" t="s">
        <v>204</v>
      </c>
      <c r="F4473" s="11">
        <v>4</v>
      </c>
      <c r="G4473" s="11">
        <v>151260.51</v>
      </c>
    </row>
    <row r="4474" spans="2:7" x14ac:dyDescent="0.2">
      <c r="B4474" s="32">
        <v>45925</v>
      </c>
      <c r="C4474" t="s">
        <v>142</v>
      </c>
      <c r="D4474" s="13" t="s">
        <v>634</v>
      </c>
      <c r="E4474" t="s">
        <v>452</v>
      </c>
      <c r="F4474" s="11">
        <v>4</v>
      </c>
      <c r="G4474" s="11">
        <v>151260.5</v>
      </c>
    </row>
    <row r="4475" spans="2:7" x14ac:dyDescent="0.2">
      <c r="B4475" s="32">
        <v>45925</v>
      </c>
      <c r="C4475" t="s">
        <v>142</v>
      </c>
      <c r="D4475" s="13" t="s">
        <v>634</v>
      </c>
      <c r="E4475" t="s">
        <v>173</v>
      </c>
      <c r="F4475" s="11">
        <v>1</v>
      </c>
      <c r="G4475" s="11">
        <v>37815.129999999997</v>
      </c>
    </row>
    <row r="4476" spans="2:7" x14ac:dyDescent="0.2">
      <c r="B4476" s="32">
        <v>45925</v>
      </c>
      <c r="C4476" t="s">
        <v>110</v>
      </c>
      <c r="D4476" s="13" t="s">
        <v>633</v>
      </c>
      <c r="E4476" t="s">
        <v>1988</v>
      </c>
      <c r="F4476" s="11">
        <v>1</v>
      </c>
      <c r="G4476" s="11">
        <v>71428.570000000007</v>
      </c>
    </row>
    <row r="4477" spans="2:7" x14ac:dyDescent="0.2">
      <c r="B4477" s="32">
        <v>45925</v>
      </c>
      <c r="C4477" t="s">
        <v>109</v>
      </c>
      <c r="D4477" s="13" t="s">
        <v>634</v>
      </c>
      <c r="E4477" t="s">
        <v>758</v>
      </c>
      <c r="F4477" s="11">
        <v>1</v>
      </c>
      <c r="G4477" s="11">
        <v>285714.28999999998</v>
      </c>
    </row>
    <row r="4478" spans="2:7" x14ac:dyDescent="0.2">
      <c r="B4478" s="32">
        <v>45925</v>
      </c>
      <c r="C4478" t="s">
        <v>109</v>
      </c>
      <c r="D4478" s="13" t="s">
        <v>634</v>
      </c>
      <c r="E4478" t="s">
        <v>1776</v>
      </c>
      <c r="F4478" s="11">
        <v>1</v>
      </c>
      <c r="G4478" s="11">
        <v>189075.62</v>
      </c>
    </row>
    <row r="4479" spans="2:7" x14ac:dyDescent="0.2">
      <c r="B4479" s="32">
        <v>45925</v>
      </c>
      <c r="C4479" t="s">
        <v>109</v>
      </c>
      <c r="D4479" s="13" t="s">
        <v>634</v>
      </c>
      <c r="E4479" t="s">
        <v>218</v>
      </c>
      <c r="F4479" s="11">
        <v>5</v>
      </c>
      <c r="G4479" s="11">
        <v>147058.82</v>
      </c>
    </row>
    <row r="4480" spans="2:7" x14ac:dyDescent="0.2">
      <c r="B4480" s="32">
        <v>45925</v>
      </c>
      <c r="C4480" t="s">
        <v>109</v>
      </c>
      <c r="D4480" s="13" t="s">
        <v>634</v>
      </c>
      <c r="E4480" t="s">
        <v>304</v>
      </c>
      <c r="F4480" s="11">
        <v>1</v>
      </c>
      <c r="G4480" s="11">
        <v>100840.34</v>
      </c>
    </row>
    <row r="4481" spans="2:7" x14ac:dyDescent="0.2">
      <c r="B4481" s="32">
        <v>45925</v>
      </c>
      <c r="C4481" t="s">
        <v>109</v>
      </c>
      <c r="D4481" s="13" t="s">
        <v>634</v>
      </c>
      <c r="E4481" t="s">
        <v>675</v>
      </c>
      <c r="F4481" s="11">
        <v>1</v>
      </c>
      <c r="G4481" s="11">
        <v>98000</v>
      </c>
    </row>
    <row r="4482" spans="2:7" x14ac:dyDescent="0.2">
      <c r="B4482" s="32">
        <v>45925</v>
      </c>
      <c r="C4482" t="s">
        <v>109</v>
      </c>
      <c r="D4482" s="13" t="s">
        <v>634</v>
      </c>
      <c r="E4482" t="s">
        <v>233</v>
      </c>
      <c r="F4482" s="11">
        <v>1</v>
      </c>
      <c r="G4482" s="11">
        <v>84033.62</v>
      </c>
    </row>
    <row r="4483" spans="2:7" x14ac:dyDescent="0.2">
      <c r="B4483" s="32">
        <v>45925</v>
      </c>
      <c r="C4483" t="s">
        <v>109</v>
      </c>
      <c r="D4483" s="13" t="s">
        <v>634</v>
      </c>
      <c r="E4483" t="s">
        <v>378</v>
      </c>
      <c r="F4483" s="11">
        <v>1</v>
      </c>
      <c r="G4483" s="11">
        <v>84033.61</v>
      </c>
    </row>
    <row r="4484" spans="2:7" x14ac:dyDescent="0.2">
      <c r="B4484" s="32">
        <v>45925</v>
      </c>
      <c r="C4484" t="s">
        <v>109</v>
      </c>
      <c r="D4484" s="13" t="s">
        <v>634</v>
      </c>
      <c r="E4484" t="s">
        <v>2017</v>
      </c>
      <c r="F4484" s="11">
        <v>1</v>
      </c>
      <c r="G4484" s="11">
        <v>75630.25</v>
      </c>
    </row>
    <row r="4485" spans="2:7" x14ac:dyDescent="0.2">
      <c r="B4485" s="32">
        <v>45925</v>
      </c>
      <c r="C4485" t="s">
        <v>109</v>
      </c>
      <c r="D4485" s="13" t="s">
        <v>634</v>
      </c>
      <c r="E4485" t="s">
        <v>357</v>
      </c>
      <c r="F4485" s="11">
        <v>1</v>
      </c>
      <c r="G4485" s="11">
        <v>71428.570000000007</v>
      </c>
    </row>
    <row r="4486" spans="2:7" x14ac:dyDescent="0.2">
      <c r="B4486" s="32">
        <v>45925</v>
      </c>
      <c r="C4486" t="s">
        <v>109</v>
      </c>
      <c r="D4486" s="13" t="s">
        <v>634</v>
      </c>
      <c r="E4486" t="s">
        <v>2014</v>
      </c>
      <c r="F4486" s="11">
        <v>1</v>
      </c>
      <c r="G4486" s="11">
        <v>71428.570000000007</v>
      </c>
    </row>
    <row r="4487" spans="2:7" x14ac:dyDescent="0.2">
      <c r="B4487" s="32">
        <v>45925</v>
      </c>
      <c r="C4487" t="s">
        <v>109</v>
      </c>
      <c r="D4487" s="13" t="s">
        <v>634</v>
      </c>
      <c r="E4487" t="s">
        <v>352</v>
      </c>
      <c r="F4487" s="11">
        <v>1</v>
      </c>
      <c r="G4487" s="11">
        <v>71428.570000000007</v>
      </c>
    </row>
    <row r="4488" spans="2:7" x14ac:dyDescent="0.2">
      <c r="B4488" s="32">
        <v>45925</v>
      </c>
      <c r="C4488" t="s">
        <v>109</v>
      </c>
      <c r="D4488" s="13" t="s">
        <v>634</v>
      </c>
      <c r="E4488" t="s">
        <v>493</v>
      </c>
      <c r="F4488" s="11">
        <v>1</v>
      </c>
      <c r="G4488" s="11">
        <v>54621.85</v>
      </c>
    </row>
    <row r="4489" spans="2:7" x14ac:dyDescent="0.2">
      <c r="B4489" s="32">
        <v>45925</v>
      </c>
      <c r="C4489" t="s">
        <v>109</v>
      </c>
      <c r="D4489" s="13" t="s">
        <v>634</v>
      </c>
      <c r="E4489" t="s">
        <v>1818</v>
      </c>
      <c r="F4489" s="11">
        <v>1</v>
      </c>
      <c r="G4489" s="11">
        <v>37815.129999999997</v>
      </c>
    </row>
    <row r="4490" spans="2:7" x14ac:dyDescent="0.2">
      <c r="B4490" s="32">
        <v>45925</v>
      </c>
      <c r="C4490" t="s">
        <v>109</v>
      </c>
      <c r="D4490" s="13" t="s">
        <v>634</v>
      </c>
      <c r="E4490" t="s">
        <v>328</v>
      </c>
      <c r="F4490" s="11">
        <v>1</v>
      </c>
      <c r="G4490" s="11">
        <v>37815.129999999997</v>
      </c>
    </row>
    <row r="4491" spans="2:7" x14ac:dyDescent="0.2">
      <c r="B4491" s="32">
        <v>45925</v>
      </c>
      <c r="C4491" t="s">
        <v>109</v>
      </c>
      <c r="D4491" s="13" t="s">
        <v>634</v>
      </c>
      <c r="E4491" t="s">
        <v>173</v>
      </c>
      <c r="F4491" s="11">
        <v>1</v>
      </c>
      <c r="G4491" s="11">
        <v>37815.129999999997</v>
      </c>
    </row>
    <row r="4492" spans="2:7" x14ac:dyDescent="0.2">
      <c r="B4492" s="32">
        <v>45925</v>
      </c>
      <c r="C4492" t="s">
        <v>109</v>
      </c>
      <c r="D4492" s="13" t="s">
        <v>634</v>
      </c>
      <c r="E4492" t="s">
        <v>1763</v>
      </c>
      <c r="F4492" s="11">
        <v>1</v>
      </c>
      <c r="G4492" s="11">
        <v>0</v>
      </c>
    </row>
    <row r="4493" spans="2:7" x14ac:dyDescent="0.2">
      <c r="B4493" s="32">
        <v>45925</v>
      </c>
      <c r="C4493" t="s">
        <v>109</v>
      </c>
      <c r="D4493" s="13" t="s">
        <v>633</v>
      </c>
      <c r="F4493" s="11">
        <v>2</v>
      </c>
      <c r="G4493" s="11">
        <v>163865.53</v>
      </c>
    </row>
    <row r="4494" spans="2:7" x14ac:dyDescent="0.2">
      <c r="B4494" s="32">
        <v>45925</v>
      </c>
      <c r="C4494" t="s">
        <v>109</v>
      </c>
      <c r="D4494" s="13" t="s">
        <v>633</v>
      </c>
      <c r="E4494" t="s">
        <v>468</v>
      </c>
      <c r="F4494" s="11">
        <v>4</v>
      </c>
      <c r="G4494" s="11">
        <v>151260.5</v>
      </c>
    </row>
    <row r="4495" spans="2:7" x14ac:dyDescent="0.2">
      <c r="B4495" s="32">
        <v>45925</v>
      </c>
      <c r="C4495" t="s">
        <v>109</v>
      </c>
      <c r="D4495" s="13" t="s">
        <v>633</v>
      </c>
      <c r="E4495" t="s">
        <v>153</v>
      </c>
      <c r="F4495" s="11">
        <v>2</v>
      </c>
      <c r="G4495" s="11">
        <v>84033.62</v>
      </c>
    </row>
    <row r="4496" spans="2:7" x14ac:dyDescent="0.2">
      <c r="B4496" s="32">
        <v>45925</v>
      </c>
      <c r="C4496" t="s">
        <v>109</v>
      </c>
      <c r="D4496" s="13" t="s">
        <v>633</v>
      </c>
      <c r="E4496" t="s">
        <v>1973</v>
      </c>
      <c r="F4496" s="11">
        <v>1</v>
      </c>
      <c r="G4496" s="11">
        <v>46218.49</v>
      </c>
    </row>
    <row r="4497" spans="2:7" x14ac:dyDescent="0.2">
      <c r="B4497" s="32">
        <v>45925</v>
      </c>
      <c r="C4497" t="s">
        <v>109</v>
      </c>
      <c r="D4497" s="13" t="s">
        <v>633</v>
      </c>
      <c r="E4497" t="s">
        <v>146</v>
      </c>
      <c r="F4497" s="11">
        <v>1</v>
      </c>
      <c r="G4497" s="11">
        <v>46218.49</v>
      </c>
    </row>
    <row r="4498" spans="2:7" x14ac:dyDescent="0.2">
      <c r="B4498" s="32">
        <v>45925</v>
      </c>
      <c r="C4498" t="s">
        <v>109</v>
      </c>
      <c r="D4498" s="13" t="s">
        <v>633</v>
      </c>
      <c r="E4498" t="s">
        <v>166</v>
      </c>
      <c r="F4498" s="11">
        <v>1</v>
      </c>
      <c r="G4498" s="11">
        <v>42016.81</v>
      </c>
    </row>
    <row r="4499" spans="2:7" x14ac:dyDescent="0.2">
      <c r="B4499" s="32">
        <v>45925</v>
      </c>
      <c r="C4499" t="s">
        <v>109</v>
      </c>
      <c r="D4499" s="13" t="s">
        <v>633</v>
      </c>
      <c r="E4499" t="s">
        <v>206</v>
      </c>
      <c r="F4499" s="11">
        <v>1</v>
      </c>
      <c r="G4499" s="11">
        <v>37815.129999999997</v>
      </c>
    </row>
    <row r="4500" spans="2:7" x14ac:dyDescent="0.2">
      <c r="B4500" s="32">
        <v>45925</v>
      </c>
      <c r="C4500" t="s">
        <v>109</v>
      </c>
      <c r="D4500" s="13" t="s">
        <v>633</v>
      </c>
      <c r="E4500" t="s">
        <v>328</v>
      </c>
      <c r="F4500" s="11">
        <v>1</v>
      </c>
      <c r="G4500" s="11">
        <v>37815.129999999997</v>
      </c>
    </row>
    <row r="4501" spans="2:7" x14ac:dyDescent="0.2">
      <c r="B4501" s="32">
        <v>45925</v>
      </c>
      <c r="C4501" t="s">
        <v>109</v>
      </c>
      <c r="D4501" s="13" t="s">
        <v>633</v>
      </c>
      <c r="E4501" t="s">
        <v>148</v>
      </c>
      <c r="F4501" s="11">
        <v>1</v>
      </c>
      <c r="G4501" s="11">
        <v>37815.129999999997</v>
      </c>
    </row>
    <row r="4502" spans="2:7" x14ac:dyDescent="0.2">
      <c r="B4502" s="32">
        <v>45925</v>
      </c>
      <c r="C4502" t="s">
        <v>109</v>
      </c>
      <c r="D4502" s="13" t="s">
        <v>633</v>
      </c>
      <c r="E4502" t="s">
        <v>144</v>
      </c>
      <c r="F4502" s="11">
        <v>1</v>
      </c>
      <c r="G4502" s="11">
        <v>18487.39</v>
      </c>
    </row>
    <row r="4503" spans="2:7" x14ac:dyDescent="0.2">
      <c r="B4503" s="32">
        <v>45926</v>
      </c>
      <c r="C4503" t="s">
        <v>142</v>
      </c>
      <c r="D4503" s="13" t="s">
        <v>634</v>
      </c>
      <c r="E4503" t="s">
        <v>751</v>
      </c>
      <c r="F4503" s="11">
        <v>1</v>
      </c>
      <c r="G4503" s="11">
        <v>58823.53</v>
      </c>
    </row>
    <row r="4504" spans="2:7" x14ac:dyDescent="0.2">
      <c r="B4504" s="32">
        <v>45926</v>
      </c>
      <c r="C4504" t="s">
        <v>142</v>
      </c>
      <c r="D4504" s="13" t="s">
        <v>634</v>
      </c>
      <c r="E4504" t="s">
        <v>1796</v>
      </c>
      <c r="F4504" s="11">
        <v>1</v>
      </c>
      <c r="G4504" s="11">
        <v>21008.400000000001</v>
      </c>
    </row>
    <row r="4505" spans="2:7" x14ac:dyDescent="0.2">
      <c r="B4505" s="32">
        <v>45926</v>
      </c>
      <c r="C4505" t="s">
        <v>142</v>
      </c>
      <c r="D4505" s="13" t="s">
        <v>633</v>
      </c>
      <c r="E4505" t="s">
        <v>2018</v>
      </c>
      <c r="F4505" s="11">
        <v>1</v>
      </c>
      <c r="G4505" s="11">
        <v>138655.46</v>
      </c>
    </row>
    <row r="4506" spans="2:7" x14ac:dyDescent="0.2">
      <c r="B4506" s="32">
        <v>45926</v>
      </c>
      <c r="C4506" t="s">
        <v>142</v>
      </c>
      <c r="D4506" s="13" t="s">
        <v>633</v>
      </c>
      <c r="E4506" t="s">
        <v>147</v>
      </c>
      <c r="F4506" s="11">
        <v>1</v>
      </c>
      <c r="G4506" s="11">
        <v>71428.570000000007</v>
      </c>
    </row>
    <row r="4507" spans="2:7" x14ac:dyDescent="0.2">
      <c r="B4507" s="32">
        <v>45926</v>
      </c>
      <c r="C4507" t="s">
        <v>142</v>
      </c>
      <c r="D4507" s="13" t="s">
        <v>633</v>
      </c>
      <c r="E4507" t="s">
        <v>700</v>
      </c>
      <c r="F4507" s="11">
        <v>1</v>
      </c>
      <c r="G4507" s="11">
        <v>58823.53</v>
      </c>
    </row>
    <row r="4508" spans="2:7" x14ac:dyDescent="0.2">
      <c r="B4508" s="32">
        <v>45926</v>
      </c>
      <c r="C4508" t="s">
        <v>142</v>
      </c>
      <c r="D4508" s="13" t="s">
        <v>633</v>
      </c>
      <c r="E4508" t="s">
        <v>822</v>
      </c>
      <c r="F4508" s="11">
        <v>1</v>
      </c>
      <c r="G4508" s="11">
        <v>50420.17</v>
      </c>
    </row>
    <row r="4509" spans="2:7" x14ac:dyDescent="0.2">
      <c r="B4509" s="32">
        <v>45926</v>
      </c>
      <c r="C4509" t="s">
        <v>142</v>
      </c>
      <c r="D4509" s="13" t="s">
        <v>633</v>
      </c>
      <c r="E4509" t="s">
        <v>831</v>
      </c>
      <c r="F4509" s="11">
        <v>1</v>
      </c>
      <c r="G4509" s="11">
        <v>0.84</v>
      </c>
    </row>
    <row r="4510" spans="2:7" x14ac:dyDescent="0.2">
      <c r="B4510" s="32">
        <v>45926</v>
      </c>
      <c r="C4510" t="s">
        <v>109</v>
      </c>
      <c r="D4510" s="13" t="s">
        <v>634</v>
      </c>
      <c r="E4510" t="s">
        <v>1911</v>
      </c>
      <c r="F4510" s="11">
        <v>1</v>
      </c>
      <c r="G4510" s="11">
        <v>285714.28999999998</v>
      </c>
    </row>
    <row r="4511" spans="2:7" x14ac:dyDescent="0.2">
      <c r="B4511" s="32">
        <v>45926</v>
      </c>
      <c r="C4511" t="s">
        <v>109</v>
      </c>
      <c r="D4511" s="13" t="s">
        <v>634</v>
      </c>
      <c r="E4511" t="s">
        <v>291</v>
      </c>
      <c r="F4511" s="11">
        <v>2</v>
      </c>
      <c r="G4511" s="11">
        <v>92436.97</v>
      </c>
    </row>
    <row r="4512" spans="2:7" x14ac:dyDescent="0.2">
      <c r="B4512" s="32">
        <v>45926</v>
      </c>
      <c r="C4512" t="s">
        <v>109</v>
      </c>
      <c r="D4512" s="13" t="s">
        <v>634</v>
      </c>
      <c r="E4512" t="s">
        <v>149</v>
      </c>
      <c r="F4512" s="11">
        <v>1</v>
      </c>
      <c r="G4512" s="11">
        <v>71428.570000000007</v>
      </c>
    </row>
    <row r="4513" spans="2:7" x14ac:dyDescent="0.2">
      <c r="B4513" s="32">
        <v>45926</v>
      </c>
      <c r="C4513" t="s">
        <v>109</v>
      </c>
      <c r="D4513" s="13" t="s">
        <v>634</v>
      </c>
      <c r="E4513" t="s">
        <v>473</v>
      </c>
      <c r="F4513" s="11">
        <v>1</v>
      </c>
      <c r="G4513" s="11">
        <v>50420.17</v>
      </c>
    </row>
    <row r="4514" spans="2:7" x14ac:dyDescent="0.2">
      <c r="B4514" s="32">
        <v>45926</v>
      </c>
      <c r="C4514" t="s">
        <v>109</v>
      </c>
      <c r="D4514" s="13" t="s">
        <v>634</v>
      </c>
      <c r="E4514" t="s">
        <v>520</v>
      </c>
      <c r="F4514" s="11">
        <v>1</v>
      </c>
      <c r="G4514" s="11">
        <v>50420.17</v>
      </c>
    </row>
    <row r="4515" spans="2:7" x14ac:dyDescent="0.2">
      <c r="B4515" s="32">
        <v>45926</v>
      </c>
      <c r="C4515" t="s">
        <v>109</v>
      </c>
      <c r="D4515" s="13" t="s">
        <v>634</v>
      </c>
      <c r="E4515" t="s">
        <v>269</v>
      </c>
      <c r="F4515" s="11">
        <v>1</v>
      </c>
      <c r="G4515" s="11">
        <v>50420.17</v>
      </c>
    </row>
    <row r="4516" spans="2:7" x14ac:dyDescent="0.2">
      <c r="B4516" s="32">
        <v>45926</v>
      </c>
      <c r="C4516" t="s">
        <v>109</v>
      </c>
      <c r="D4516" s="13" t="s">
        <v>634</v>
      </c>
      <c r="E4516" t="s">
        <v>248</v>
      </c>
      <c r="F4516" s="11">
        <v>2</v>
      </c>
      <c r="G4516" s="11">
        <v>43697.48</v>
      </c>
    </row>
    <row r="4517" spans="2:7" x14ac:dyDescent="0.2">
      <c r="B4517" s="32">
        <v>45926</v>
      </c>
      <c r="C4517" t="s">
        <v>109</v>
      </c>
      <c r="D4517" s="13" t="s">
        <v>634</v>
      </c>
      <c r="E4517" t="s">
        <v>1818</v>
      </c>
      <c r="F4517" s="11">
        <v>1</v>
      </c>
      <c r="G4517" s="11">
        <v>37815.129999999997</v>
      </c>
    </row>
    <row r="4518" spans="2:7" x14ac:dyDescent="0.2">
      <c r="B4518" s="32">
        <v>45926</v>
      </c>
      <c r="C4518" t="s">
        <v>109</v>
      </c>
      <c r="D4518" s="13" t="s">
        <v>634</v>
      </c>
      <c r="E4518" t="s">
        <v>330</v>
      </c>
      <c r="F4518" s="11">
        <v>1</v>
      </c>
      <c r="G4518" s="11">
        <v>37815.120000000003</v>
      </c>
    </row>
    <row r="4519" spans="2:7" x14ac:dyDescent="0.2">
      <c r="B4519" s="32">
        <v>45926</v>
      </c>
      <c r="C4519" t="s">
        <v>109</v>
      </c>
      <c r="D4519" s="13" t="s">
        <v>634</v>
      </c>
      <c r="E4519" t="s">
        <v>1847</v>
      </c>
      <c r="F4519" s="11">
        <v>1</v>
      </c>
      <c r="G4519" s="11">
        <v>21008.400000000001</v>
      </c>
    </row>
    <row r="4520" spans="2:7" x14ac:dyDescent="0.2">
      <c r="B4520" s="32">
        <v>45926</v>
      </c>
      <c r="C4520" t="s">
        <v>109</v>
      </c>
      <c r="D4520" s="13" t="s">
        <v>634</v>
      </c>
      <c r="E4520" t="s">
        <v>144</v>
      </c>
      <c r="F4520" s="11">
        <v>1</v>
      </c>
      <c r="G4520" s="11">
        <v>8403.36</v>
      </c>
    </row>
    <row r="4521" spans="2:7" x14ac:dyDescent="0.2">
      <c r="B4521" s="32">
        <v>45926</v>
      </c>
      <c r="C4521" t="s">
        <v>109</v>
      </c>
      <c r="D4521" s="13" t="s">
        <v>633</v>
      </c>
      <c r="E4521" t="s">
        <v>427</v>
      </c>
      <c r="F4521" s="11">
        <v>2</v>
      </c>
      <c r="G4521" s="11">
        <v>109243.69</v>
      </c>
    </row>
    <row r="4522" spans="2:7" x14ac:dyDescent="0.2">
      <c r="B4522" s="32">
        <v>45926</v>
      </c>
      <c r="C4522" t="s">
        <v>109</v>
      </c>
      <c r="D4522" s="13" t="s">
        <v>633</v>
      </c>
      <c r="E4522" t="s">
        <v>184</v>
      </c>
      <c r="F4522" s="11">
        <v>1</v>
      </c>
      <c r="G4522" s="11">
        <v>84033.61</v>
      </c>
    </row>
    <row r="4523" spans="2:7" x14ac:dyDescent="0.2">
      <c r="B4523" s="32">
        <v>45926</v>
      </c>
      <c r="C4523" t="s">
        <v>109</v>
      </c>
      <c r="D4523" s="13" t="s">
        <v>633</v>
      </c>
      <c r="E4523" t="s">
        <v>218</v>
      </c>
      <c r="F4523" s="11">
        <v>2</v>
      </c>
      <c r="G4523" s="11">
        <v>79831.929999999993</v>
      </c>
    </row>
    <row r="4524" spans="2:7" x14ac:dyDescent="0.2">
      <c r="B4524" s="32">
        <v>45926</v>
      </c>
      <c r="C4524" t="s">
        <v>109</v>
      </c>
      <c r="D4524" s="13" t="s">
        <v>633</v>
      </c>
      <c r="E4524" t="s">
        <v>164</v>
      </c>
      <c r="F4524" s="11">
        <v>1</v>
      </c>
      <c r="G4524" s="11">
        <v>71428.570000000007</v>
      </c>
    </row>
    <row r="4525" spans="2:7" x14ac:dyDescent="0.2">
      <c r="B4525" s="32">
        <v>45926</v>
      </c>
      <c r="C4525" t="s">
        <v>109</v>
      </c>
      <c r="D4525" s="13" t="s">
        <v>633</v>
      </c>
      <c r="E4525" t="s">
        <v>1845</v>
      </c>
      <c r="F4525" s="11">
        <v>1</v>
      </c>
      <c r="G4525" s="11">
        <v>58823.53</v>
      </c>
    </row>
    <row r="4526" spans="2:7" x14ac:dyDescent="0.2">
      <c r="B4526" s="32">
        <v>45926</v>
      </c>
      <c r="C4526" t="s">
        <v>109</v>
      </c>
      <c r="D4526" s="13" t="s">
        <v>633</v>
      </c>
      <c r="E4526" t="s">
        <v>495</v>
      </c>
      <c r="F4526" s="11">
        <v>1</v>
      </c>
      <c r="G4526" s="11">
        <v>54621.85</v>
      </c>
    </row>
    <row r="4527" spans="2:7" x14ac:dyDescent="0.2">
      <c r="B4527" s="32">
        <v>45926</v>
      </c>
      <c r="C4527" t="s">
        <v>109</v>
      </c>
      <c r="D4527" s="13" t="s">
        <v>633</v>
      </c>
      <c r="E4527" t="s">
        <v>212</v>
      </c>
      <c r="F4527" s="11">
        <v>1</v>
      </c>
      <c r="G4527" s="11">
        <v>54621.85</v>
      </c>
    </row>
    <row r="4528" spans="2:7" x14ac:dyDescent="0.2">
      <c r="B4528" s="32">
        <v>45926</v>
      </c>
      <c r="C4528" t="s">
        <v>109</v>
      </c>
      <c r="D4528" s="13" t="s">
        <v>633</v>
      </c>
      <c r="E4528" t="s">
        <v>144</v>
      </c>
      <c r="F4528" s="11">
        <v>2</v>
      </c>
      <c r="G4528" s="11">
        <v>49159.67</v>
      </c>
    </row>
    <row r="4529" spans="2:7" x14ac:dyDescent="0.2">
      <c r="B4529" s="32">
        <v>45926</v>
      </c>
      <c r="C4529" t="s">
        <v>109</v>
      </c>
      <c r="D4529" s="13" t="s">
        <v>633</v>
      </c>
      <c r="E4529" t="s">
        <v>166</v>
      </c>
      <c r="F4529" s="11">
        <v>1</v>
      </c>
      <c r="G4529" s="11">
        <v>42016.81</v>
      </c>
    </row>
    <row r="4530" spans="2:7" x14ac:dyDescent="0.2">
      <c r="B4530" s="32">
        <v>45926</v>
      </c>
      <c r="C4530" t="s">
        <v>109</v>
      </c>
      <c r="D4530" s="13" t="s">
        <v>633</v>
      </c>
      <c r="E4530" t="s">
        <v>246</v>
      </c>
      <c r="F4530" s="11">
        <v>1</v>
      </c>
      <c r="G4530" s="11">
        <v>42016.81</v>
      </c>
    </row>
    <row r="4531" spans="2:7" x14ac:dyDescent="0.2">
      <c r="B4531" s="32">
        <v>45926</v>
      </c>
      <c r="C4531" t="s">
        <v>109</v>
      </c>
      <c r="D4531" s="13" t="s">
        <v>633</v>
      </c>
      <c r="E4531" t="s">
        <v>229</v>
      </c>
      <c r="F4531" s="11">
        <v>1</v>
      </c>
      <c r="G4531" s="11">
        <v>42016.81</v>
      </c>
    </row>
    <row r="4532" spans="2:7" x14ac:dyDescent="0.2">
      <c r="B4532" s="32">
        <v>45926</v>
      </c>
      <c r="C4532" t="s">
        <v>109</v>
      </c>
      <c r="D4532" s="13" t="s">
        <v>633</v>
      </c>
      <c r="E4532" t="s">
        <v>330</v>
      </c>
      <c r="F4532" s="11">
        <v>1</v>
      </c>
      <c r="G4532" s="11">
        <v>37815.129999999997</v>
      </c>
    </row>
    <row r="4533" spans="2:7" x14ac:dyDescent="0.2">
      <c r="B4533" s="32">
        <v>45927</v>
      </c>
      <c r="C4533" t="s">
        <v>142</v>
      </c>
      <c r="D4533" s="13" t="s">
        <v>634</v>
      </c>
      <c r="E4533" t="s">
        <v>205</v>
      </c>
      <c r="F4533" s="11">
        <v>1</v>
      </c>
      <c r="G4533" s="11">
        <v>58823.53</v>
      </c>
    </row>
    <row r="4534" spans="2:7" x14ac:dyDescent="0.2">
      <c r="B4534" s="32">
        <v>45927</v>
      </c>
      <c r="C4534" t="s">
        <v>142</v>
      </c>
      <c r="D4534" s="13" t="s">
        <v>634</v>
      </c>
      <c r="E4534" t="s">
        <v>755</v>
      </c>
      <c r="F4534" s="11">
        <v>1</v>
      </c>
      <c r="G4534" s="11">
        <v>54621.85</v>
      </c>
    </row>
    <row r="4535" spans="2:7" x14ac:dyDescent="0.2">
      <c r="B4535" s="32">
        <v>45927</v>
      </c>
      <c r="C4535" t="s">
        <v>142</v>
      </c>
      <c r="D4535" s="13" t="s">
        <v>633</v>
      </c>
      <c r="E4535" t="s">
        <v>176</v>
      </c>
      <c r="F4535" s="11">
        <v>2</v>
      </c>
      <c r="G4535" s="11">
        <v>168067.23</v>
      </c>
    </row>
    <row r="4536" spans="2:7" x14ac:dyDescent="0.2">
      <c r="B4536" s="32">
        <v>45927</v>
      </c>
      <c r="C4536" t="s">
        <v>142</v>
      </c>
      <c r="D4536" s="13" t="s">
        <v>633</v>
      </c>
      <c r="E4536" t="s">
        <v>307</v>
      </c>
      <c r="F4536" s="11">
        <v>1</v>
      </c>
      <c r="G4536" s="11">
        <v>50420.17</v>
      </c>
    </row>
    <row r="4537" spans="2:7" x14ac:dyDescent="0.2">
      <c r="B4537" s="32">
        <v>45927</v>
      </c>
      <c r="C4537" t="s">
        <v>109</v>
      </c>
      <c r="D4537" s="13" t="s">
        <v>634</v>
      </c>
      <c r="E4537" t="s">
        <v>606</v>
      </c>
      <c r="F4537" s="11">
        <v>3</v>
      </c>
      <c r="G4537" s="11">
        <v>352941.17</v>
      </c>
    </row>
    <row r="4538" spans="2:7" x14ac:dyDescent="0.2">
      <c r="B4538" s="32">
        <v>45927</v>
      </c>
      <c r="C4538" t="s">
        <v>109</v>
      </c>
      <c r="D4538" s="13" t="s">
        <v>634</v>
      </c>
      <c r="E4538" t="s">
        <v>2019</v>
      </c>
      <c r="F4538" s="11">
        <v>1</v>
      </c>
      <c r="G4538" s="11">
        <v>285714.28000000003</v>
      </c>
    </row>
    <row r="4539" spans="2:7" x14ac:dyDescent="0.2">
      <c r="B4539" s="32">
        <v>45927</v>
      </c>
      <c r="C4539" t="s">
        <v>109</v>
      </c>
      <c r="D4539" s="13" t="s">
        <v>634</v>
      </c>
      <c r="E4539" t="s">
        <v>1719</v>
      </c>
      <c r="F4539" s="11">
        <v>2</v>
      </c>
      <c r="G4539" s="11">
        <v>235294.12</v>
      </c>
    </row>
    <row r="4540" spans="2:7" x14ac:dyDescent="0.2">
      <c r="B4540" s="32">
        <v>45927</v>
      </c>
      <c r="C4540" t="s">
        <v>109</v>
      </c>
      <c r="D4540" s="13" t="s">
        <v>634</v>
      </c>
      <c r="E4540" t="s">
        <v>147</v>
      </c>
      <c r="F4540" s="11">
        <v>2</v>
      </c>
      <c r="G4540" s="11">
        <v>142857.14000000001</v>
      </c>
    </row>
    <row r="4541" spans="2:7" x14ac:dyDescent="0.2">
      <c r="B4541" s="32">
        <v>45927</v>
      </c>
      <c r="C4541" t="s">
        <v>109</v>
      </c>
      <c r="D4541" s="13" t="s">
        <v>634</v>
      </c>
      <c r="E4541" t="s">
        <v>164</v>
      </c>
      <c r="F4541" s="11">
        <v>2</v>
      </c>
      <c r="G4541" s="11">
        <v>142857.14000000001</v>
      </c>
    </row>
    <row r="4542" spans="2:7" x14ac:dyDescent="0.2">
      <c r="B4542" s="32">
        <v>45927</v>
      </c>
      <c r="C4542" t="s">
        <v>109</v>
      </c>
      <c r="D4542" s="13" t="s">
        <v>634</v>
      </c>
      <c r="E4542" t="s">
        <v>738</v>
      </c>
      <c r="F4542" s="11">
        <v>1</v>
      </c>
      <c r="G4542" s="11">
        <v>126050.42</v>
      </c>
    </row>
    <row r="4543" spans="2:7" x14ac:dyDescent="0.2">
      <c r="B4543" s="32">
        <v>45927</v>
      </c>
      <c r="C4543" t="s">
        <v>109</v>
      </c>
      <c r="D4543" s="13" t="s">
        <v>634</v>
      </c>
      <c r="E4543" t="s">
        <v>1982</v>
      </c>
      <c r="F4543" s="11">
        <v>1</v>
      </c>
      <c r="G4543" s="11">
        <v>117647.06</v>
      </c>
    </row>
    <row r="4544" spans="2:7" x14ac:dyDescent="0.2">
      <c r="B4544" s="32">
        <v>45927</v>
      </c>
      <c r="C4544" t="s">
        <v>109</v>
      </c>
      <c r="D4544" s="13" t="s">
        <v>634</v>
      </c>
      <c r="E4544" t="s">
        <v>418</v>
      </c>
      <c r="F4544" s="11">
        <v>1</v>
      </c>
      <c r="G4544" s="11">
        <v>117647.06</v>
      </c>
    </row>
    <row r="4545" spans="2:7" x14ac:dyDescent="0.2">
      <c r="B4545" s="32">
        <v>45927</v>
      </c>
      <c r="C4545" t="s">
        <v>109</v>
      </c>
      <c r="D4545" s="13" t="s">
        <v>634</v>
      </c>
      <c r="E4545" t="s">
        <v>602</v>
      </c>
      <c r="F4545" s="11">
        <v>1</v>
      </c>
      <c r="G4545" s="11">
        <v>117647.06</v>
      </c>
    </row>
    <row r="4546" spans="2:7" x14ac:dyDescent="0.2">
      <c r="B4546" s="32">
        <v>45927</v>
      </c>
      <c r="C4546" t="s">
        <v>109</v>
      </c>
      <c r="D4546" s="13" t="s">
        <v>634</v>
      </c>
      <c r="E4546" t="s">
        <v>655</v>
      </c>
      <c r="F4546" s="11">
        <v>1</v>
      </c>
      <c r="G4546" s="11">
        <v>117647.06</v>
      </c>
    </row>
    <row r="4547" spans="2:7" x14ac:dyDescent="0.2">
      <c r="B4547" s="32">
        <v>45927</v>
      </c>
      <c r="C4547" t="s">
        <v>109</v>
      </c>
      <c r="D4547" s="13" t="s">
        <v>634</v>
      </c>
      <c r="E4547" t="s">
        <v>642</v>
      </c>
      <c r="F4547" s="11">
        <v>2</v>
      </c>
      <c r="G4547" s="11">
        <v>98000</v>
      </c>
    </row>
    <row r="4548" spans="2:7" x14ac:dyDescent="0.2">
      <c r="B4548" s="32">
        <v>45927</v>
      </c>
      <c r="C4548" t="s">
        <v>109</v>
      </c>
      <c r="D4548" s="13" t="s">
        <v>634</v>
      </c>
      <c r="E4548" t="s">
        <v>1801</v>
      </c>
      <c r="F4548" s="11">
        <v>1</v>
      </c>
      <c r="G4548" s="11">
        <v>75630.25</v>
      </c>
    </row>
    <row r="4549" spans="2:7" x14ac:dyDescent="0.2">
      <c r="B4549" s="32">
        <v>45927</v>
      </c>
      <c r="C4549" t="s">
        <v>109</v>
      </c>
      <c r="D4549" s="13" t="s">
        <v>634</v>
      </c>
      <c r="E4549" t="s">
        <v>152</v>
      </c>
      <c r="F4549" s="11">
        <v>1</v>
      </c>
      <c r="G4549" s="11">
        <v>75630.25</v>
      </c>
    </row>
    <row r="4550" spans="2:7" x14ac:dyDescent="0.2">
      <c r="B4550" s="32">
        <v>45927</v>
      </c>
      <c r="C4550" t="s">
        <v>109</v>
      </c>
      <c r="D4550" s="13" t="s">
        <v>634</v>
      </c>
      <c r="E4550" t="s">
        <v>192</v>
      </c>
      <c r="F4550" s="11">
        <v>1</v>
      </c>
      <c r="G4550" s="11">
        <v>71428.570000000007</v>
      </c>
    </row>
    <row r="4551" spans="2:7" x14ac:dyDescent="0.2">
      <c r="B4551" s="32">
        <v>45927</v>
      </c>
      <c r="C4551" t="s">
        <v>109</v>
      </c>
      <c r="D4551" s="13" t="s">
        <v>634</v>
      </c>
      <c r="E4551" t="s">
        <v>1847</v>
      </c>
      <c r="F4551" s="11">
        <v>4</v>
      </c>
      <c r="G4551" s="11">
        <v>71428.570000000007</v>
      </c>
    </row>
    <row r="4552" spans="2:7" x14ac:dyDescent="0.2">
      <c r="B4552" s="32">
        <v>45927</v>
      </c>
      <c r="C4552" t="s">
        <v>109</v>
      </c>
      <c r="D4552" s="13" t="s">
        <v>634</v>
      </c>
      <c r="E4552" t="s">
        <v>357</v>
      </c>
      <c r="F4552" s="11">
        <v>1</v>
      </c>
      <c r="G4552" s="11">
        <v>71428.570000000007</v>
      </c>
    </row>
    <row r="4553" spans="2:7" x14ac:dyDescent="0.2">
      <c r="B4553" s="32">
        <v>45927</v>
      </c>
      <c r="C4553" t="s">
        <v>109</v>
      </c>
      <c r="D4553" s="13" t="s">
        <v>634</v>
      </c>
      <c r="E4553" t="s">
        <v>522</v>
      </c>
      <c r="F4553" s="11">
        <v>2</v>
      </c>
      <c r="G4553" s="11">
        <v>70000</v>
      </c>
    </row>
    <row r="4554" spans="2:7" x14ac:dyDescent="0.2">
      <c r="B4554" s="32">
        <v>45927</v>
      </c>
      <c r="C4554" t="s">
        <v>109</v>
      </c>
      <c r="D4554" s="13" t="s">
        <v>634</v>
      </c>
      <c r="E4554" t="s">
        <v>144</v>
      </c>
      <c r="F4554" s="11">
        <v>4</v>
      </c>
      <c r="G4554" s="11">
        <v>63445.37</v>
      </c>
    </row>
    <row r="4555" spans="2:7" x14ac:dyDescent="0.2">
      <c r="B4555" s="32">
        <v>45927</v>
      </c>
      <c r="C4555" t="s">
        <v>109</v>
      </c>
      <c r="D4555" s="13" t="s">
        <v>634</v>
      </c>
      <c r="E4555" t="s">
        <v>182</v>
      </c>
      <c r="F4555" s="11">
        <v>2</v>
      </c>
      <c r="G4555" s="11">
        <v>58823.53</v>
      </c>
    </row>
    <row r="4556" spans="2:7" x14ac:dyDescent="0.2">
      <c r="B4556" s="32">
        <v>45927</v>
      </c>
      <c r="C4556" t="s">
        <v>109</v>
      </c>
      <c r="D4556" s="13" t="s">
        <v>634</v>
      </c>
      <c r="E4556" t="s">
        <v>165</v>
      </c>
      <c r="F4556" s="11">
        <v>1</v>
      </c>
      <c r="G4556" s="11">
        <v>58823.53</v>
      </c>
    </row>
    <row r="4557" spans="2:7" x14ac:dyDescent="0.2">
      <c r="B4557" s="32">
        <v>45927</v>
      </c>
      <c r="C4557" t="s">
        <v>109</v>
      </c>
      <c r="D4557" s="13" t="s">
        <v>634</v>
      </c>
      <c r="E4557" t="s">
        <v>160</v>
      </c>
      <c r="F4557" s="11">
        <v>1</v>
      </c>
      <c r="G4557" s="11">
        <v>46218.49</v>
      </c>
    </row>
    <row r="4558" spans="2:7" x14ac:dyDescent="0.2">
      <c r="B4558" s="32">
        <v>45927</v>
      </c>
      <c r="C4558" t="s">
        <v>109</v>
      </c>
      <c r="D4558" s="13" t="s">
        <v>634</v>
      </c>
      <c r="E4558" t="s">
        <v>1749</v>
      </c>
      <c r="F4558" s="11">
        <v>1</v>
      </c>
      <c r="G4558" s="11">
        <v>46218.49</v>
      </c>
    </row>
    <row r="4559" spans="2:7" x14ac:dyDescent="0.2">
      <c r="B4559" s="32">
        <v>45927</v>
      </c>
      <c r="C4559" t="s">
        <v>109</v>
      </c>
      <c r="D4559" s="13" t="s">
        <v>634</v>
      </c>
      <c r="E4559" t="s">
        <v>170</v>
      </c>
      <c r="F4559" s="11">
        <v>1</v>
      </c>
      <c r="G4559" s="11">
        <v>46218.49</v>
      </c>
    </row>
    <row r="4560" spans="2:7" x14ac:dyDescent="0.2">
      <c r="B4560" s="32">
        <v>45927</v>
      </c>
      <c r="C4560" t="s">
        <v>109</v>
      </c>
      <c r="D4560" s="13" t="s">
        <v>634</v>
      </c>
      <c r="E4560" t="s">
        <v>238</v>
      </c>
      <c r="F4560" s="11">
        <v>1</v>
      </c>
      <c r="G4560" s="11">
        <v>46218.48</v>
      </c>
    </row>
    <row r="4561" spans="2:7" x14ac:dyDescent="0.2">
      <c r="B4561" s="32">
        <v>45927</v>
      </c>
      <c r="C4561" t="s">
        <v>109</v>
      </c>
      <c r="D4561" s="13" t="s">
        <v>634</v>
      </c>
      <c r="E4561" t="s">
        <v>260</v>
      </c>
      <c r="F4561" s="11">
        <v>1</v>
      </c>
      <c r="G4561" s="11">
        <v>46218.48</v>
      </c>
    </row>
    <row r="4562" spans="2:7" x14ac:dyDescent="0.2">
      <c r="B4562" s="32">
        <v>45927</v>
      </c>
      <c r="C4562" t="s">
        <v>109</v>
      </c>
      <c r="D4562" s="13" t="s">
        <v>634</v>
      </c>
      <c r="E4562" t="s">
        <v>206</v>
      </c>
      <c r="F4562" s="11">
        <v>1</v>
      </c>
      <c r="G4562" s="11">
        <v>37815.129999999997</v>
      </c>
    </row>
    <row r="4563" spans="2:7" x14ac:dyDescent="0.2">
      <c r="B4563" s="32">
        <v>45927</v>
      </c>
      <c r="C4563" t="s">
        <v>109</v>
      </c>
      <c r="D4563" s="13" t="s">
        <v>634</v>
      </c>
      <c r="E4563" t="s">
        <v>1902</v>
      </c>
      <c r="F4563" s="11">
        <v>1</v>
      </c>
      <c r="G4563" s="11">
        <v>37815.129999999997</v>
      </c>
    </row>
    <row r="4564" spans="2:7" x14ac:dyDescent="0.2">
      <c r="B4564" s="32">
        <v>45927</v>
      </c>
      <c r="C4564" t="s">
        <v>109</v>
      </c>
      <c r="D4564" s="13" t="s">
        <v>634</v>
      </c>
      <c r="E4564" t="s">
        <v>293</v>
      </c>
      <c r="F4564" s="11">
        <v>1</v>
      </c>
      <c r="G4564" s="11">
        <v>37815.129999999997</v>
      </c>
    </row>
    <row r="4565" spans="2:7" x14ac:dyDescent="0.2">
      <c r="B4565" s="32">
        <v>45927</v>
      </c>
      <c r="C4565" t="s">
        <v>109</v>
      </c>
      <c r="D4565" s="13" t="s">
        <v>633</v>
      </c>
      <c r="E4565" t="s">
        <v>329</v>
      </c>
      <c r="F4565" s="11">
        <v>1</v>
      </c>
      <c r="G4565" s="11">
        <v>210084.03</v>
      </c>
    </row>
    <row r="4566" spans="2:7" x14ac:dyDescent="0.2">
      <c r="B4566" s="32">
        <v>45927</v>
      </c>
      <c r="C4566" t="s">
        <v>109</v>
      </c>
      <c r="D4566" s="13" t="s">
        <v>633</v>
      </c>
      <c r="E4566" t="s">
        <v>475</v>
      </c>
      <c r="F4566" s="11">
        <v>1</v>
      </c>
      <c r="G4566" s="11">
        <v>71428.570000000007</v>
      </c>
    </row>
    <row r="4567" spans="2:7" x14ac:dyDescent="0.2">
      <c r="B4567" s="32">
        <v>45927</v>
      </c>
      <c r="C4567" t="s">
        <v>109</v>
      </c>
      <c r="D4567" s="13" t="s">
        <v>633</v>
      </c>
      <c r="E4567" t="s">
        <v>144</v>
      </c>
      <c r="F4567" s="11">
        <v>2</v>
      </c>
      <c r="G4567" s="11">
        <v>60504.2</v>
      </c>
    </row>
    <row r="4568" spans="2:7" x14ac:dyDescent="0.2">
      <c r="B4568" s="32">
        <v>45927</v>
      </c>
      <c r="C4568" t="s">
        <v>109</v>
      </c>
      <c r="D4568" s="13" t="s">
        <v>633</v>
      </c>
      <c r="E4568" t="s">
        <v>2011</v>
      </c>
      <c r="F4568" s="11">
        <v>1</v>
      </c>
      <c r="G4568" s="11">
        <v>54621.85</v>
      </c>
    </row>
    <row r="4569" spans="2:7" x14ac:dyDescent="0.2">
      <c r="B4569" s="32">
        <v>45927</v>
      </c>
      <c r="C4569" t="s">
        <v>109</v>
      </c>
      <c r="D4569" s="13" t="s">
        <v>633</v>
      </c>
      <c r="E4569" t="s">
        <v>150</v>
      </c>
      <c r="F4569" s="11">
        <v>1</v>
      </c>
      <c r="G4569" s="11">
        <v>42016.81</v>
      </c>
    </row>
    <row r="4570" spans="2:7" x14ac:dyDescent="0.2">
      <c r="B4570" s="32">
        <v>45928</v>
      </c>
      <c r="C4570" t="s">
        <v>142</v>
      </c>
      <c r="D4570" s="13" t="s">
        <v>634</v>
      </c>
      <c r="E4570" t="s">
        <v>154</v>
      </c>
      <c r="F4570" s="11">
        <v>1</v>
      </c>
      <c r="G4570" s="11">
        <v>100840.34</v>
      </c>
    </row>
    <row r="4571" spans="2:7" x14ac:dyDescent="0.2">
      <c r="B4571" s="32">
        <v>45928</v>
      </c>
      <c r="C4571" t="s">
        <v>142</v>
      </c>
      <c r="D4571" s="13" t="s">
        <v>634</v>
      </c>
      <c r="E4571" t="s">
        <v>486</v>
      </c>
      <c r="F4571" s="11">
        <v>1</v>
      </c>
      <c r="G4571" s="11">
        <v>58823.53</v>
      </c>
    </row>
    <row r="4572" spans="2:7" x14ac:dyDescent="0.2">
      <c r="B4572" s="32">
        <v>45928</v>
      </c>
      <c r="C4572" t="s">
        <v>142</v>
      </c>
      <c r="D4572" s="13" t="s">
        <v>634</v>
      </c>
      <c r="E4572" t="s">
        <v>479</v>
      </c>
      <c r="F4572" s="11">
        <v>1</v>
      </c>
      <c r="G4572" s="11">
        <v>58823.53</v>
      </c>
    </row>
    <row r="4573" spans="2:7" x14ac:dyDescent="0.2">
      <c r="B4573" s="32">
        <v>45928</v>
      </c>
      <c r="C4573" t="s">
        <v>142</v>
      </c>
      <c r="D4573" s="13" t="s">
        <v>634</v>
      </c>
      <c r="E4573" t="s">
        <v>1856</v>
      </c>
      <c r="F4573" s="11">
        <v>1</v>
      </c>
      <c r="G4573" s="11">
        <v>58823.53</v>
      </c>
    </row>
    <row r="4574" spans="2:7" x14ac:dyDescent="0.2">
      <c r="B4574" s="32">
        <v>45928</v>
      </c>
      <c r="C4574" t="s">
        <v>142</v>
      </c>
      <c r="D4574" s="13" t="s">
        <v>633</v>
      </c>
      <c r="E4574" t="s">
        <v>728</v>
      </c>
      <c r="F4574" s="11">
        <v>1</v>
      </c>
      <c r="G4574" s="11">
        <v>197478.99</v>
      </c>
    </row>
    <row r="4575" spans="2:7" x14ac:dyDescent="0.2">
      <c r="B4575" s="32">
        <v>45928</v>
      </c>
      <c r="C4575" t="s">
        <v>109</v>
      </c>
      <c r="D4575" s="13" t="s">
        <v>634</v>
      </c>
      <c r="E4575" t="s">
        <v>245</v>
      </c>
      <c r="F4575" s="11">
        <v>1</v>
      </c>
      <c r="G4575" s="11">
        <v>126050.42</v>
      </c>
    </row>
    <row r="4576" spans="2:7" x14ac:dyDescent="0.2">
      <c r="B4576" s="32">
        <v>45928</v>
      </c>
      <c r="C4576" t="s">
        <v>109</v>
      </c>
      <c r="D4576" s="13" t="s">
        <v>634</v>
      </c>
      <c r="E4576" t="s">
        <v>348</v>
      </c>
      <c r="F4576" s="11">
        <v>2</v>
      </c>
      <c r="G4576" s="11">
        <v>109243.7</v>
      </c>
    </row>
    <row r="4577" spans="2:7" x14ac:dyDescent="0.2">
      <c r="B4577" s="32">
        <v>45928</v>
      </c>
      <c r="C4577" t="s">
        <v>109</v>
      </c>
      <c r="D4577" s="13" t="s">
        <v>634</v>
      </c>
      <c r="E4577" t="s">
        <v>291</v>
      </c>
      <c r="F4577" s="11">
        <v>2</v>
      </c>
      <c r="G4577" s="11">
        <v>92436.97</v>
      </c>
    </row>
    <row r="4578" spans="2:7" x14ac:dyDescent="0.2">
      <c r="B4578" s="32">
        <v>45928</v>
      </c>
      <c r="C4578" t="s">
        <v>109</v>
      </c>
      <c r="D4578" s="13" t="s">
        <v>634</v>
      </c>
      <c r="E4578" t="s">
        <v>186</v>
      </c>
      <c r="F4578" s="11">
        <v>1</v>
      </c>
      <c r="G4578" s="11">
        <v>84033.61</v>
      </c>
    </row>
    <row r="4579" spans="2:7" x14ac:dyDescent="0.2">
      <c r="B4579" s="32">
        <v>45928</v>
      </c>
      <c r="C4579" t="s">
        <v>109</v>
      </c>
      <c r="D4579" s="13" t="s">
        <v>634</v>
      </c>
      <c r="F4579" s="11">
        <v>1</v>
      </c>
      <c r="G4579" s="11">
        <v>75630.259999999995</v>
      </c>
    </row>
    <row r="4580" spans="2:7" x14ac:dyDescent="0.2">
      <c r="B4580" s="32">
        <v>45928</v>
      </c>
      <c r="C4580" t="s">
        <v>109</v>
      </c>
      <c r="D4580" s="13" t="s">
        <v>634</v>
      </c>
      <c r="E4580" t="s">
        <v>647</v>
      </c>
      <c r="F4580" s="11">
        <v>1</v>
      </c>
      <c r="G4580" s="11">
        <v>75630.25</v>
      </c>
    </row>
    <row r="4581" spans="2:7" x14ac:dyDescent="0.2">
      <c r="B4581" s="32">
        <v>45928</v>
      </c>
      <c r="C4581" t="s">
        <v>109</v>
      </c>
      <c r="D4581" s="13" t="s">
        <v>634</v>
      </c>
      <c r="E4581" t="s">
        <v>395</v>
      </c>
      <c r="F4581" s="11">
        <v>1</v>
      </c>
      <c r="G4581" s="11">
        <v>75630.25</v>
      </c>
    </row>
    <row r="4582" spans="2:7" x14ac:dyDescent="0.2">
      <c r="B4582" s="32">
        <v>45928</v>
      </c>
      <c r="C4582" t="s">
        <v>109</v>
      </c>
      <c r="D4582" s="13" t="s">
        <v>634</v>
      </c>
      <c r="E4582" t="s">
        <v>558</v>
      </c>
      <c r="F4582" s="11">
        <v>1</v>
      </c>
      <c r="G4582" s="11">
        <v>75630.25</v>
      </c>
    </row>
    <row r="4583" spans="2:7" x14ac:dyDescent="0.2">
      <c r="B4583" s="32">
        <v>45928</v>
      </c>
      <c r="C4583" t="s">
        <v>109</v>
      </c>
      <c r="D4583" s="13" t="s">
        <v>634</v>
      </c>
      <c r="E4583" t="s">
        <v>352</v>
      </c>
      <c r="F4583" s="11">
        <v>1</v>
      </c>
      <c r="G4583" s="11">
        <v>71428.570000000007</v>
      </c>
    </row>
    <row r="4584" spans="2:7" x14ac:dyDescent="0.2">
      <c r="B4584" s="32">
        <v>45928</v>
      </c>
      <c r="C4584" t="s">
        <v>109</v>
      </c>
      <c r="D4584" s="13" t="s">
        <v>634</v>
      </c>
      <c r="E4584" t="s">
        <v>258</v>
      </c>
      <c r="F4584" s="11">
        <v>1</v>
      </c>
      <c r="G4584" s="11">
        <v>54621.85</v>
      </c>
    </row>
    <row r="4585" spans="2:7" x14ac:dyDescent="0.2">
      <c r="B4585" s="32">
        <v>45928</v>
      </c>
      <c r="C4585" t="s">
        <v>109</v>
      </c>
      <c r="D4585" s="13" t="s">
        <v>634</v>
      </c>
      <c r="E4585" t="s">
        <v>654</v>
      </c>
      <c r="F4585" s="11">
        <v>1</v>
      </c>
      <c r="G4585" s="11">
        <v>54621.84</v>
      </c>
    </row>
    <row r="4586" spans="2:7" x14ac:dyDescent="0.2">
      <c r="B4586" s="32">
        <v>45928</v>
      </c>
      <c r="C4586" t="s">
        <v>109</v>
      </c>
      <c r="D4586" s="13" t="s">
        <v>634</v>
      </c>
      <c r="E4586" t="s">
        <v>198</v>
      </c>
      <c r="F4586" s="11">
        <v>1</v>
      </c>
      <c r="G4586" s="11">
        <v>46218.49</v>
      </c>
    </row>
    <row r="4587" spans="2:7" x14ac:dyDescent="0.2">
      <c r="B4587" s="32">
        <v>45928</v>
      </c>
      <c r="C4587" t="s">
        <v>109</v>
      </c>
      <c r="D4587" s="13" t="s">
        <v>634</v>
      </c>
      <c r="E4587" t="s">
        <v>549</v>
      </c>
      <c r="F4587" s="11">
        <v>1</v>
      </c>
      <c r="G4587" s="11">
        <v>46218.48</v>
      </c>
    </row>
    <row r="4588" spans="2:7" x14ac:dyDescent="0.2">
      <c r="B4588" s="32">
        <v>45928</v>
      </c>
      <c r="C4588" t="s">
        <v>109</v>
      </c>
      <c r="D4588" s="13" t="s">
        <v>634</v>
      </c>
      <c r="E4588" t="s">
        <v>166</v>
      </c>
      <c r="F4588" s="11">
        <v>1</v>
      </c>
      <c r="G4588" s="11">
        <v>42016.81</v>
      </c>
    </row>
    <row r="4589" spans="2:7" x14ac:dyDescent="0.2">
      <c r="B4589" s="32">
        <v>45928</v>
      </c>
      <c r="C4589" t="s">
        <v>109</v>
      </c>
      <c r="D4589" s="13" t="s">
        <v>634</v>
      </c>
      <c r="E4589" t="s">
        <v>246</v>
      </c>
      <c r="F4589" s="11">
        <v>1</v>
      </c>
      <c r="G4589" s="11">
        <v>42016.81</v>
      </c>
    </row>
    <row r="4590" spans="2:7" x14ac:dyDescent="0.2">
      <c r="B4590" s="32">
        <v>45928</v>
      </c>
      <c r="C4590" t="s">
        <v>109</v>
      </c>
      <c r="D4590" s="13" t="s">
        <v>634</v>
      </c>
      <c r="E4590" t="s">
        <v>161</v>
      </c>
      <c r="F4590" s="11">
        <v>1</v>
      </c>
      <c r="G4590" s="11">
        <v>42016.81</v>
      </c>
    </row>
    <row r="4591" spans="2:7" x14ac:dyDescent="0.2">
      <c r="B4591" s="32">
        <v>45928</v>
      </c>
      <c r="C4591" t="s">
        <v>109</v>
      </c>
      <c r="D4591" s="13" t="s">
        <v>634</v>
      </c>
      <c r="E4591" t="s">
        <v>309</v>
      </c>
      <c r="F4591" s="11">
        <v>1</v>
      </c>
      <c r="G4591" s="11">
        <v>42016.81</v>
      </c>
    </row>
    <row r="4592" spans="2:7" x14ac:dyDescent="0.2">
      <c r="B4592" s="32">
        <v>45928</v>
      </c>
      <c r="C4592" t="s">
        <v>109</v>
      </c>
      <c r="D4592" s="13" t="s">
        <v>634</v>
      </c>
      <c r="E4592" t="s">
        <v>144</v>
      </c>
      <c r="F4592" s="11">
        <v>3</v>
      </c>
      <c r="G4592" s="11">
        <v>40756.31</v>
      </c>
    </row>
    <row r="4593" spans="2:7" x14ac:dyDescent="0.2">
      <c r="B4593" s="32">
        <v>45928</v>
      </c>
      <c r="C4593" t="s">
        <v>109</v>
      </c>
      <c r="D4593" s="13" t="s">
        <v>634</v>
      </c>
      <c r="E4593" t="s">
        <v>293</v>
      </c>
      <c r="F4593" s="11">
        <v>1</v>
      </c>
      <c r="G4593" s="11">
        <v>37815.120000000003</v>
      </c>
    </row>
    <row r="4594" spans="2:7" x14ac:dyDescent="0.2">
      <c r="B4594" s="32">
        <v>45928</v>
      </c>
      <c r="C4594" t="s">
        <v>109</v>
      </c>
      <c r="D4594" s="13" t="s">
        <v>634</v>
      </c>
      <c r="E4594" t="s">
        <v>1918</v>
      </c>
      <c r="F4594" s="11">
        <v>1</v>
      </c>
      <c r="G4594" s="11">
        <v>33613.449999999997</v>
      </c>
    </row>
    <row r="4595" spans="2:7" x14ac:dyDescent="0.2">
      <c r="B4595" s="32">
        <v>45928</v>
      </c>
      <c r="C4595" t="s">
        <v>109</v>
      </c>
      <c r="D4595" s="13" t="s">
        <v>633</v>
      </c>
      <c r="E4595" t="s">
        <v>164</v>
      </c>
      <c r="F4595" s="11">
        <v>1</v>
      </c>
      <c r="G4595" s="11">
        <v>71428.570000000007</v>
      </c>
    </row>
    <row r="4596" spans="2:7" x14ac:dyDescent="0.2">
      <c r="B4596" s="32">
        <v>45928</v>
      </c>
      <c r="C4596" t="s">
        <v>109</v>
      </c>
      <c r="D4596" s="13" t="s">
        <v>633</v>
      </c>
      <c r="E4596" t="s">
        <v>239</v>
      </c>
      <c r="F4596" s="11">
        <v>1</v>
      </c>
      <c r="G4596" s="11">
        <v>46218.49</v>
      </c>
    </row>
    <row r="4597" spans="2:7" x14ac:dyDescent="0.2">
      <c r="B4597" s="32">
        <v>45929</v>
      </c>
      <c r="C4597" t="s">
        <v>142</v>
      </c>
      <c r="D4597" s="13" t="s">
        <v>634</v>
      </c>
      <c r="E4597" t="s">
        <v>181</v>
      </c>
      <c r="F4597" s="11">
        <v>1</v>
      </c>
      <c r="G4597" s="11">
        <v>84033.61</v>
      </c>
    </row>
    <row r="4598" spans="2:7" x14ac:dyDescent="0.2">
      <c r="B4598" s="32">
        <v>45929</v>
      </c>
      <c r="C4598" t="s">
        <v>142</v>
      </c>
      <c r="D4598" s="13" t="s">
        <v>634</v>
      </c>
      <c r="E4598" t="s">
        <v>727</v>
      </c>
      <c r="F4598" s="11">
        <v>1</v>
      </c>
      <c r="G4598" s="11">
        <v>58823.53</v>
      </c>
    </row>
    <row r="4599" spans="2:7" x14ac:dyDescent="0.2">
      <c r="B4599" s="32">
        <v>45929</v>
      </c>
      <c r="C4599" t="s">
        <v>142</v>
      </c>
      <c r="D4599" s="13" t="s">
        <v>633</v>
      </c>
      <c r="E4599" t="s">
        <v>833</v>
      </c>
      <c r="F4599" s="11">
        <v>12</v>
      </c>
      <c r="G4599" s="11">
        <v>4961344.54</v>
      </c>
    </row>
    <row r="4600" spans="2:7" x14ac:dyDescent="0.2">
      <c r="B4600" s="32">
        <v>45929</v>
      </c>
      <c r="C4600" t="s">
        <v>142</v>
      </c>
      <c r="D4600" s="13" t="s">
        <v>633</v>
      </c>
      <c r="E4600" t="s">
        <v>689</v>
      </c>
      <c r="F4600" s="11">
        <v>2</v>
      </c>
      <c r="G4600" s="11">
        <v>184873.95</v>
      </c>
    </row>
    <row r="4601" spans="2:7" x14ac:dyDescent="0.2">
      <c r="B4601" s="32">
        <v>45929</v>
      </c>
      <c r="C4601" t="s">
        <v>142</v>
      </c>
      <c r="D4601" s="13" t="s">
        <v>633</v>
      </c>
      <c r="E4601" t="s">
        <v>363</v>
      </c>
      <c r="F4601" s="11">
        <v>1</v>
      </c>
      <c r="G4601" s="11">
        <v>92436.97</v>
      </c>
    </row>
    <row r="4602" spans="2:7" x14ac:dyDescent="0.2">
      <c r="B4602" s="32">
        <v>45929</v>
      </c>
      <c r="C4602" t="s">
        <v>142</v>
      </c>
      <c r="D4602" s="13" t="s">
        <v>633</v>
      </c>
      <c r="E4602" t="s">
        <v>2020</v>
      </c>
      <c r="F4602" s="11">
        <v>1</v>
      </c>
      <c r="G4602" s="11">
        <v>92436.97</v>
      </c>
    </row>
    <row r="4603" spans="2:7" x14ac:dyDescent="0.2">
      <c r="B4603" s="32">
        <v>45929</v>
      </c>
      <c r="C4603" t="s">
        <v>142</v>
      </c>
      <c r="D4603" s="13" t="s">
        <v>633</v>
      </c>
      <c r="E4603" t="s">
        <v>247</v>
      </c>
      <c r="F4603" s="11">
        <v>1</v>
      </c>
      <c r="G4603" s="11">
        <v>58823.53</v>
      </c>
    </row>
    <row r="4604" spans="2:7" x14ac:dyDescent="0.2">
      <c r="B4604" s="32">
        <v>45929</v>
      </c>
      <c r="C4604" t="s">
        <v>142</v>
      </c>
      <c r="D4604" s="13" t="s">
        <v>633</v>
      </c>
      <c r="E4604" t="s">
        <v>479</v>
      </c>
      <c r="F4604" s="11">
        <v>1</v>
      </c>
      <c r="G4604" s="11">
        <v>58823.53</v>
      </c>
    </row>
    <row r="4605" spans="2:7" x14ac:dyDescent="0.2">
      <c r="B4605" s="32">
        <v>45929</v>
      </c>
      <c r="C4605" t="s">
        <v>142</v>
      </c>
      <c r="D4605" s="13" t="s">
        <v>633</v>
      </c>
      <c r="E4605" t="s">
        <v>374</v>
      </c>
      <c r="F4605" s="11">
        <v>1</v>
      </c>
      <c r="G4605" s="11">
        <v>58823.53</v>
      </c>
    </row>
    <row r="4606" spans="2:7" x14ac:dyDescent="0.2">
      <c r="B4606" s="32">
        <v>45929</v>
      </c>
      <c r="C4606" t="s">
        <v>109</v>
      </c>
      <c r="D4606" s="13" t="s">
        <v>634</v>
      </c>
      <c r="E4606" t="s">
        <v>713</v>
      </c>
      <c r="F4606" s="11">
        <v>1</v>
      </c>
      <c r="G4606" s="11">
        <v>243697.48</v>
      </c>
    </row>
    <row r="4607" spans="2:7" x14ac:dyDescent="0.2">
      <c r="B4607" s="32">
        <v>45929</v>
      </c>
      <c r="C4607" t="s">
        <v>109</v>
      </c>
      <c r="D4607" s="13" t="s">
        <v>634</v>
      </c>
      <c r="E4607" t="s">
        <v>428</v>
      </c>
      <c r="F4607" s="11">
        <v>1</v>
      </c>
      <c r="G4607" s="11">
        <v>100840.34</v>
      </c>
    </row>
    <row r="4608" spans="2:7" x14ac:dyDescent="0.2">
      <c r="B4608" s="32">
        <v>45929</v>
      </c>
      <c r="C4608" t="s">
        <v>109</v>
      </c>
      <c r="D4608" s="13" t="s">
        <v>634</v>
      </c>
      <c r="E4608" t="s">
        <v>368</v>
      </c>
      <c r="F4608" s="11">
        <v>1</v>
      </c>
      <c r="G4608" s="11">
        <v>75630.25</v>
      </c>
    </row>
    <row r="4609" spans="2:7" x14ac:dyDescent="0.2">
      <c r="B4609" s="32">
        <v>45929</v>
      </c>
      <c r="C4609" t="s">
        <v>109</v>
      </c>
      <c r="D4609" s="13" t="s">
        <v>634</v>
      </c>
      <c r="E4609" t="s">
        <v>352</v>
      </c>
      <c r="F4609" s="11">
        <v>1</v>
      </c>
      <c r="G4609" s="11">
        <v>71428.570000000007</v>
      </c>
    </row>
    <row r="4610" spans="2:7" x14ac:dyDescent="0.2">
      <c r="B4610" s="32">
        <v>45929</v>
      </c>
      <c r="C4610" t="s">
        <v>109</v>
      </c>
      <c r="D4610" s="13" t="s">
        <v>634</v>
      </c>
      <c r="E4610" t="s">
        <v>164</v>
      </c>
      <c r="F4610" s="11">
        <v>1</v>
      </c>
      <c r="G4610" s="11">
        <v>71428.570000000007</v>
      </c>
    </row>
    <row r="4611" spans="2:7" x14ac:dyDescent="0.2">
      <c r="B4611" s="32">
        <v>45929</v>
      </c>
      <c r="C4611" t="s">
        <v>109</v>
      </c>
      <c r="D4611" s="13" t="s">
        <v>634</v>
      </c>
      <c r="E4611" t="s">
        <v>533</v>
      </c>
      <c r="F4611" s="11">
        <v>1</v>
      </c>
      <c r="G4611" s="11">
        <v>58823.53</v>
      </c>
    </row>
    <row r="4612" spans="2:7" x14ac:dyDescent="0.2">
      <c r="B4612" s="32">
        <v>45929</v>
      </c>
      <c r="C4612" t="s">
        <v>109</v>
      </c>
      <c r="D4612" s="13" t="s">
        <v>634</v>
      </c>
      <c r="E4612" t="s">
        <v>616</v>
      </c>
      <c r="F4612" s="11">
        <v>1</v>
      </c>
      <c r="G4612" s="11">
        <v>54621.85</v>
      </c>
    </row>
    <row r="4613" spans="2:7" x14ac:dyDescent="0.2">
      <c r="B4613" s="32">
        <v>45929</v>
      </c>
      <c r="C4613" t="s">
        <v>109</v>
      </c>
      <c r="D4613" s="13" t="s">
        <v>633</v>
      </c>
      <c r="E4613" t="s">
        <v>1873</v>
      </c>
      <c r="F4613" s="11">
        <v>12</v>
      </c>
      <c r="G4613" s="11">
        <v>1512605.04</v>
      </c>
    </row>
    <row r="4614" spans="2:7" x14ac:dyDescent="0.2">
      <c r="B4614" s="32">
        <v>45929</v>
      </c>
      <c r="C4614" t="s">
        <v>109</v>
      </c>
      <c r="D4614" s="13" t="s">
        <v>633</v>
      </c>
      <c r="E4614" t="s">
        <v>201</v>
      </c>
      <c r="F4614" s="11">
        <v>24</v>
      </c>
      <c r="G4614" s="11">
        <v>445378.15</v>
      </c>
    </row>
    <row r="4615" spans="2:7" x14ac:dyDescent="0.2">
      <c r="B4615" s="32">
        <v>45929</v>
      </c>
      <c r="C4615" t="s">
        <v>109</v>
      </c>
      <c r="D4615" s="13" t="s">
        <v>633</v>
      </c>
      <c r="E4615" t="s">
        <v>635</v>
      </c>
      <c r="F4615" s="11">
        <v>120</v>
      </c>
      <c r="G4615" s="11">
        <v>285294.12</v>
      </c>
    </row>
    <row r="4616" spans="2:7" x14ac:dyDescent="0.2">
      <c r="B4616" s="32">
        <v>45929</v>
      </c>
      <c r="C4616" t="s">
        <v>109</v>
      </c>
      <c r="D4616" s="13" t="s">
        <v>633</v>
      </c>
      <c r="E4616" t="s">
        <v>147</v>
      </c>
      <c r="F4616" s="11">
        <v>2</v>
      </c>
      <c r="G4616" s="11">
        <v>142857.13</v>
      </c>
    </row>
    <row r="4617" spans="2:7" x14ac:dyDescent="0.2">
      <c r="B4617" s="32">
        <v>45929</v>
      </c>
      <c r="C4617" t="s">
        <v>109</v>
      </c>
      <c r="D4617" s="13" t="s">
        <v>633</v>
      </c>
      <c r="E4617" t="s">
        <v>184</v>
      </c>
      <c r="F4617" s="11">
        <v>1</v>
      </c>
      <c r="G4617" s="11">
        <v>84033.61</v>
      </c>
    </row>
    <row r="4618" spans="2:7" x14ac:dyDescent="0.2">
      <c r="B4618" s="32">
        <v>45929</v>
      </c>
      <c r="C4618" t="s">
        <v>109</v>
      </c>
      <c r="D4618" s="13" t="s">
        <v>633</v>
      </c>
      <c r="E4618" t="s">
        <v>558</v>
      </c>
      <c r="F4618" s="11">
        <v>1</v>
      </c>
      <c r="G4618" s="11">
        <v>75630.25</v>
      </c>
    </row>
    <row r="4619" spans="2:7" x14ac:dyDescent="0.2">
      <c r="B4619" s="32">
        <v>45929</v>
      </c>
      <c r="C4619" t="s">
        <v>109</v>
      </c>
      <c r="D4619" s="13" t="s">
        <v>633</v>
      </c>
      <c r="E4619" t="s">
        <v>1802</v>
      </c>
      <c r="F4619" s="11">
        <v>1</v>
      </c>
      <c r="G4619" s="11">
        <v>67226.89</v>
      </c>
    </row>
    <row r="4620" spans="2:7" x14ac:dyDescent="0.2">
      <c r="B4620" s="32">
        <v>45929</v>
      </c>
      <c r="C4620" t="s">
        <v>109</v>
      </c>
      <c r="D4620" s="13" t="s">
        <v>633</v>
      </c>
      <c r="E4620" t="s">
        <v>271</v>
      </c>
      <c r="F4620" s="11">
        <v>1</v>
      </c>
      <c r="G4620" s="11">
        <v>58823.53</v>
      </c>
    </row>
    <row r="4621" spans="2:7" x14ac:dyDescent="0.2">
      <c r="B4621" s="32">
        <v>45929</v>
      </c>
      <c r="C4621" t="s">
        <v>109</v>
      </c>
      <c r="D4621" s="13" t="s">
        <v>633</v>
      </c>
      <c r="E4621" t="s">
        <v>212</v>
      </c>
      <c r="F4621" s="11">
        <v>1</v>
      </c>
      <c r="G4621" s="11">
        <v>54621.85</v>
      </c>
    </row>
    <row r="4622" spans="2:7" x14ac:dyDescent="0.2">
      <c r="B4622" s="32">
        <v>45929</v>
      </c>
      <c r="C4622" t="s">
        <v>109</v>
      </c>
      <c r="D4622" s="13" t="s">
        <v>633</v>
      </c>
      <c r="E4622" t="s">
        <v>238</v>
      </c>
      <c r="F4622" s="11">
        <v>1</v>
      </c>
      <c r="G4622" s="11">
        <v>46218.49</v>
      </c>
    </row>
    <row r="4623" spans="2:7" x14ac:dyDescent="0.2">
      <c r="B4623" s="32">
        <v>45929</v>
      </c>
      <c r="C4623" t="s">
        <v>109</v>
      </c>
      <c r="D4623" s="13" t="s">
        <v>633</v>
      </c>
      <c r="E4623" t="s">
        <v>158</v>
      </c>
      <c r="F4623" s="11">
        <v>1</v>
      </c>
      <c r="G4623" s="11">
        <v>46218.49</v>
      </c>
    </row>
    <row r="4624" spans="2:7" x14ac:dyDescent="0.2">
      <c r="B4624" s="32">
        <v>45929</v>
      </c>
      <c r="C4624" t="s">
        <v>109</v>
      </c>
      <c r="D4624" s="13" t="s">
        <v>633</v>
      </c>
      <c r="E4624" t="s">
        <v>1963</v>
      </c>
      <c r="F4624" s="11">
        <v>1</v>
      </c>
      <c r="G4624" s="11">
        <v>42016.81</v>
      </c>
    </row>
    <row r="4625" spans="2:7" x14ac:dyDescent="0.2">
      <c r="B4625" s="32">
        <v>45929</v>
      </c>
      <c r="C4625" t="s">
        <v>109</v>
      </c>
      <c r="D4625" s="13" t="s">
        <v>633</v>
      </c>
      <c r="E4625" t="s">
        <v>150</v>
      </c>
      <c r="F4625" s="11">
        <v>1</v>
      </c>
      <c r="G4625" s="11">
        <v>42016.81</v>
      </c>
    </row>
    <row r="4626" spans="2:7" x14ac:dyDescent="0.2">
      <c r="B4626" s="32">
        <v>45929</v>
      </c>
      <c r="C4626" t="s">
        <v>109</v>
      </c>
      <c r="D4626" s="13" t="s">
        <v>633</v>
      </c>
      <c r="E4626" t="s">
        <v>168</v>
      </c>
      <c r="F4626" s="11">
        <v>1</v>
      </c>
      <c r="G4626" s="11">
        <v>42016.800000000003</v>
      </c>
    </row>
    <row r="4627" spans="2:7" x14ac:dyDescent="0.2">
      <c r="B4627" s="32">
        <v>45929</v>
      </c>
      <c r="C4627" t="s">
        <v>109</v>
      </c>
      <c r="D4627" s="13" t="s">
        <v>633</v>
      </c>
      <c r="E4627" t="s">
        <v>2010</v>
      </c>
      <c r="F4627" s="11">
        <v>1</v>
      </c>
      <c r="G4627" s="11">
        <v>37815.129999999997</v>
      </c>
    </row>
    <row r="4628" spans="2:7" x14ac:dyDescent="0.2">
      <c r="B4628" s="32">
        <v>45929</v>
      </c>
      <c r="C4628" t="s">
        <v>109</v>
      </c>
      <c r="D4628" s="13" t="s">
        <v>633</v>
      </c>
      <c r="E4628" t="s">
        <v>144</v>
      </c>
      <c r="F4628" s="11">
        <v>1</v>
      </c>
      <c r="G4628" s="11">
        <v>35294.120000000003</v>
      </c>
    </row>
    <row r="4629" spans="2:7" x14ac:dyDescent="0.2">
      <c r="B4629" s="32">
        <v>45930</v>
      </c>
      <c r="C4629" t="s">
        <v>142</v>
      </c>
      <c r="D4629" s="13"/>
      <c r="E4629" t="s">
        <v>1873</v>
      </c>
      <c r="F4629" s="11">
        <v>6</v>
      </c>
      <c r="G4629" s="11">
        <v>1267226.8899999999</v>
      </c>
    </row>
    <row r="4630" spans="2:7" x14ac:dyDescent="0.2">
      <c r="B4630" s="32">
        <v>45930</v>
      </c>
      <c r="C4630" t="s">
        <v>142</v>
      </c>
      <c r="D4630" s="13" t="s">
        <v>633</v>
      </c>
      <c r="E4630" t="s">
        <v>2021</v>
      </c>
      <c r="F4630" s="11">
        <v>1</v>
      </c>
      <c r="G4630" s="11">
        <v>176470.59</v>
      </c>
    </row>
    <row r="4631" spans="2:7" x14ac:dyDescent="0.2">
      <c r="B4631" s="32">
        <v>45930</v>
      </c>
      <c r="C4631" t="s">
        <v>142</v>
      </c>
      <c r="D4631" s="13" t="s">
        <v>633</v>
      </c>
      <c r="E4631" t="s">
        <v>438</v>
      </c>
      <c r="F4631" s="11">
        <v>1</v>
      </c>
      <c r="G4631" s="11">
        <v>54621.85</v>
      </c>
    </row>
    <row r="4632" spans="2:7" x14ac:dyDescent="0.2">
      <c r="B4632" s="32">
        <v>45930</v>
      </c>
      <c r="C4632" t="s">
        <v>142</v>
      </c>
      <c r="D4632" s="13" t="s">
        <v>633</v>
      </c>
      <c r="E4632" t="s">
        <v>154</v>
      </c>
      <c r="F4632" s="11">
        <v>1</v>
      </c>
      <c r="G4632" s="11">
        <v>0</v>
      </c>
    </row>
    <row r="4633" spans="2:7" x14ac:dyDescent="0.2">
      <c r="B4633" s="32">
        <v>45930</v>
      </c>
      <c r="C4633" t="s">
        <v>110</v>
      </c>
      <c r="D4633" s="13" t="s">
        <v>634</v>
      </c>
      <c r="E4633" t="s">
        <v>161</v>
      </c>
      <c r="F4633" s="11">
        <v>1</v>
      </c>
      <c r="G4633" s="11">
        <v>42016.81</v>
      </c>
    </row>
    <row r="4634" spans="2:7" x14ac:dyDescent="0.2">
      <c r="B4634" s="32">
        <v>45930</v>
      </c>
      <c r="C4634" t="s">
        <v>110</v>
      </c>
      <c r="D4634" s="13" t="s">
        <v>633</v>
      </c>
      <c r="E4634" t="s">
        <v>475</v>
      </c>
      <c r="F4634" s="11">
        <v>1</v>
      </c>
      <c r="G4634" s="11">
        <v>71428.570000000007</v>
      </c>
    </row>
    <row r="4635" spans="2:7" x14ac:dyDescent="0.2">
      <c r="B4635" s="32">
        <v>45930</v>
      </c>
      <c r="C4635" t="s">
        <v>110</v>
      </c>
      <c r="D4635" s="13" t="s">
        <v>633</v>
      </c>
      <c r="E4635" t="s">
        <v>534</v>
      </c>
      <c r="F4635" s="11">
        <v>1</v>
      </c>
      <c r="G4635" s="11">
        <v>71428.570000000007</v>
      </c>
    </row>
    <row r="4636" spans="2:7" x14ac:dyDescent="0.2">
      <c r="B4636" s="32">
        <v>45930</v>
      </c>
      <c r="C4636" t="s">
        <v>110</v>
      </c>
      <c r="D4636" s="13" t="s">
        <v>633</v>
      </c>
      <c r="E4636" t="s">
        <v>151</v>
      </c>
      <c r="F4636" s="11">
        <v>1</v>
      </c>
      <c r="G4636" s="11">
        <v>46218.49</v>
      </c>
    </row>
    <row r="4637" spans="2:7" x14ac:dyDescent="0.2">
      <c r="B4637" s="32">
        <v>45930</v>
      </c>
      <c r="C4637" t="s">
        <v>110</v>
      </c>
      <c r="D4637" s="13" t="s">
        <v>633</v>
      </c>
      <c r="E4637" t="s">
        <v>150</v>
      </c>
      <c r="F4637" s="11">
        <v>1</v>
      </c>
      <c r="G4637" s="11">
        <v>42016.81</v>
      </c>
    </row>
    <row r="4638" spans="2:7" x14ac:dyDescent="0.2">
      <c r="B4638" s="32">
        <v>45930</v>
      </c>
      <c r="C4638" t="s">
        <v>109</v>
      </c>
      <c r="D4638" s="13" t="s">
        <v>634</v>
      </c>
      <c r="E4638" t="s">
        <v>2011</v>
      </c>
      <c r="F4638" s="11">
        <v>5</v>
      </c>
      <c r="G4638" s="11">
        <v>273109.23</v>
      </c>
    </row>
    <row r="4639" spans="2:7" x14ac:dyDescent="0.2">
      <c r="B4639" s="32">
        <v>45930</v>
      </c>
      <c r="C4639" t="s">
        <v>109</v>
      </c>
      <c r="D4639" s="13" t="s">
        <v>634</v>
      </c>
      <c r="E4639" t="s">
        <v>258</v>
      </c>
      <c r="F4639" s="11">
        <v>2</v>
      </c>
      <c r="G4639" s="11">
        <v>109243.7</v>
      </c>
    </row>
    <row r="4640" spans="2:7" x14ac:dyDescent="0.2">
      <c r="B4640" s="32">
        <v>45930</v>
      </c>
      <c r="C4640" t="s">
        <v>109</v>
      </c>
      <c r="D4640" s="13" t="s">
        <v>634</v>
      </c>
      <c r="E4640" t="s">
        <v>340</v>
      </c>
      <c r="F4640" s="11">
        <v>1</v>
      </c>
      <c r="G4640" s="11">
        <v>75630.25</v>
      </c>
    </row>
    <row r="4641" spans="2:7" x14ac:dyDescent="0.2">
      <c r="B4641" s="32">
        <v>45930</v>
      </c>
      <c r="C4641" t="s">
        <v>109</v>
      </c>
      <c r="D4641" s="13" t="s">
        <v>634</v>
      </c>
      <c r="E4641" t="s">
        <v>164</v>
      </c>
      <c r="F4641" s="11">
        <v>1</v>
      </c>
      <c r="G4641" s="11">
        <v>71428.570000000007</v>
      </c>
    </row>
    <row r="4642" spans="2:7" x14ac:dyDescent="0.2">
      <c r="B4642" s="32">
        <v>45930</v>
      </c>
      <c r="C4642" t="s">
        <v>109</v>
      </c>
      <c r="D4642" s="13" t="s">
        <v>634</v>
      </c>
      <c r="E4642" t="s">
        <v>2022</v>
      </c>
      <c r="F4642" s="11">
        <v>1</v>
      </c>
      <c r="G4642" s="11">
        <v>65546.22</v>
      </c>
    </row>
    <row r="4643" spans="2:7" x14ac:dyDescent="0.2">
      <c r="B4643" s="32">
        <v>45930</v>
      </c>
      <c r="C4643" t="s">
        <v>109</v>
      </c>
      <c r="D4643" s="13" t="s">
        <v>634</v>
      </c>
      <c r="E4643" t="s">
        <v>212</v>
      </c>
      <c r="F4643" s="11">
        <v>1</v>
      </c>
      <c r="G4643" s="11">
        <v>54621.85</v>
      </c>
    </row>
    <row r="4644" spans="2:7" x14ac:dyDescent="0.2">
      <c r="B4644" s="32">
        <v>45930</v>
      </c>
      <c r="C4644" t="s">
        <v>109</v>
      </c>
      <c r="D4644" s="13" t="s">
        <v>634</v>
      </c>
      <c r="E4644" t="s">
        <v>427</v>
      </c>
      <c r="F4644" s="11">
        <v>1</v>
      </c>
      <c r="G4644" s="11">
        <v>54621.85</v>
      </c>
    </row>
    <row r="4645" spans="2:7" x14ac:dyDescent="0.2">
      <c r="B4645" s="32">
        <v>45930</v>
      </c>
      <c r="C4645" t="s">
        <v>109</v>
      </c>
      <c r="D4645" s="13" t="s">
        <v>634</v>
      </c>
      <c r="E4645" t="s">
        <v>1947</v>
      </c>
      <c r="F4645" s="11">
        <v>1</v>
      </c>
      <c r="G4645" s="11">
        <v>54621.85</v>
      </c>
    </row>
    <row r="4646" spans="2:7" x14ac:dyDescent="0.2">
      <c r="B4646" s="32">
        <v>45930</v>
      </c>
      <c r="C4646" t="s">
        <v>109</v>
      </c>
      <c r="D4646" s="13" t="s">
        <v>634</v>
      </c>
      <c r="E4646" t="s">
        <v>348</v>
      </c>
      <c r="F4646" s="11">
        <v>1</v>
      </c>
      <c r="G4646" s="11">
        <v>54621.85</v>
      </c>
    </row>
    <row r="4647" spans="2:7" x14ac:dyDescent="0.2">
      <c r="B4647" s="32">
        <v>45930</v>
      </c>
      <c r="C4647" t="s">
        <v>109</v>
      </c>
      <c r="D4647" s="13" t="s">
        <v>634</v>
      </c>
      <c r="E4647" t="s">
        <v>654</v>
      </c>
      <c r="F4647" s="11">
        <v>1</v>
      </c>
      <c r="G4647" s="11">
        <v>54621.85</v>
      </c>
    </row>
    <row r="4648" spans="2:7" x14ac:dyDescent="0.2">
      <c r="B4648" s="32">
        <v>45930</v>
      </c>
      <c r="C4648" t="s">
        <v>109</v>
      </c>
      <c r="D4648" s="13" t="s">
        <v>634</v>
      </c>
      <c r="E4648" t="s">
        <v>616</v>
      </c>
      <c r="F4648" s="11">
        <v>1</v>
      </c>
      <c r="G4648" s="11">
        <v>54621.85</v>
      </c>
    </row>
    <row r="4649" spans="2:7" x14ac:dyDescent="0.2">
      <c r="B4649" s="32">
        <v>45930</v>
      </c>
      <c r="C4649" t="s">
        <v>109</v>
      </c>
      <c r="D4649" s="13" t="s">
        <v>634</v>
      </c>
      <c r="E4649" t="s">
        <v>445</v>
      </c>
      <c r="F4649" s="11">
        <v>1</v>
      </c>
      <c r="G4649" s="11">
        <v>50420.17</v>
      </c>
    </row>
    <row r="4650" spans="2:7" x14ac:dyDescent="0.2">
      <c r="B4650" s="32">
        <v>45930</v>
      </c>
      <c r="C4650" t="s">
        <v>109</v>
      </c>
      <c r="D4650" s="13" t="s">
        <v>634</v>
      </c>
      <c r="E4650" t="s">
        <v>198</v>
      </c>
      <c r="F4650" s="11">
        <v>1</v>
      </c>
      <c r="G4650" s="11">
        <v>46218.49</v>
      </c>
    </row>
    <row r="4651" spans="2:7" x14ac:dyDescent="0.2">
      <c r="B4651" s="32">
        <v>45930</v>
      </c>
      <c r="C4651" t="s">
        <v>109</v>
      </c>
      <c r="D4651" s="13" t="s">
        <v>634</v>
      </c>
      <c r="E4651" t="s">
        <v>144</v>
      </c>
      <c r="F4651" s="11">
        <v>2</v>
      </c>
      <c r="G4651" s="11">
        <v>27731.09</v>
      </c>
    </row>
    <row r="4652" spans="2:7" x14ac:dyDescent="0.2">
      <c r="B4652" s="32">
        <v>45930</v>
      </c>
      <c r="C4652" t="s">
        <v>109</v>
      </c>
      <c r="D4652" s="13" t="s">
        <v>634</v>
      </c>
      <c r="E4652" t="s">
        <v>1822</v>
      </c>
      <c r="F4652" s="11">
        <v>1</v>
      </c>
      <c r="G4652" s="11">
        <v>16806.72</v>
      </c>
    </row>
    <row r="4653" spans="2:7" x14ac:dyDescent="0.2">
      <c r="B4653" s="32">
        <v>45930</v>
      </c>
      <c r="C4653" t="s">
        <v>109</v>
      </c>
      <c r="D4653" s="13" t="s">
        <v>633</v>
      </c>
      <c r="E4653" t="s">
        <v>1873</v>
      </c>
      <c r="F4653" s="11">
        <v>2</v>
      </c>
      <c r="G4653" s="11">
        <v>218487.39</v>
      </c>
    </row>
    <row r="4654" spans="2:7" x14ac:dyDescent="0.2">
      <c r="B4654" s="32">
        <v>45930</v>
      </c>
      <c r="C4654" t="s">
        <v>109</v>
      </c>
      <c r="D4654" s="13" t="s">
        <v>633</v>
      </c>
      <c r="E4654" t="s">
        <v>1920</v>
      </c>
      <c r="F4654" s="11">
        <v>1</v>
      </c>
      <c r="G4654" s="11">
        <v>58823.53</v>
      </c>
    </row>
    <row r="4655" spans="2:7" x14ac:dyDescent="0.2">
      <c r="B4655" s="32">
        <v>45930</v>
      </c>
      <c r="C4655" t="s">
        <v>109</v>
      </c>
      <c r="D4655" s="13" t="s">
        <v>633</v>
      </c>
      <c r="E4655" t="s">
        <v>144</v>
      </c>
      <c r="F4655" s="11">
        <v>1</v>
      </c>
      <c r="G4655" s="11">
        <v>35294.120000000003</v>
      </c>
    </row>
    <row r="4656" spans="2:7" x14ac:dyDescent="0.2">
      <c r="B4656" s="32">
        <v>45931</v>
      </c>
      <c r="C4656" t="s">
        <v>108</v>
      </c>
      <c r="D4656" s="13" t="s">
        <v>634</v>
      </c>
      <c r="E4656" t="s">
        <v>2023</v>
      </c>
      <c r="F4656" s="11">
        <v>9</v>
      </c>
      <c r="G4656" s="11">
        <v>1168749.58</v>
      </c>
    </row>
    <row r="4657" spans="2:7" x14ac:dyDescent="0.2">
      <c r="B4657" s="32">
        <v>45931</v>
      </c>
      <c r="C4657" t="s">
        <v>108</v>
      </c>
      <c r="D4657" s="13" t="s">
        <v>634</v>
      </c>
      <c r="F4657" s="11">
        <v>0</v>
      </c>
      <c r="G4657" s="11">
        <v>0</v>
      </c>
    </row>
    <row r="4658" spans="2:7" x14ac:dyDescent="0.2">
      <c r="B4658" s="32">
        <v>45931</v>
      </c>
      <c r="C4658" t="s">
        <v>142</v>
      </c>
      <c r="D4658" s="13" t="s">
        <v>634</v>
      </c>
      <c r="E4658" t="s">
        <v>1858</v>
      </c>
      <c r="F4658" s="11">
        <v>100</v>
      </c>
      <c r="G4658" s="11">
        <v>907563.03</v>
      </c>
    </row>
    <row r="4659" spans="2:7" x14ac:dyDescent="0.2">
      <c r="B4659" s="32">
        <v>45931</v>
      </c>
      <c r="C4659" t="s">
        <v>109</v>
      </c>
      <c r="D4659" s="13"/>
      <c r="E4659" t="s">
        <v>670</v>
      </c>
      <c r="F4659" s="11">
        <v>1</v>
      </c>
      <c r="G4659" s="11">
        <v>0</v>
      </c>
    </row>
    <row r="4660" spans="2:7" x14ac:dyDescent="0.2">
      <c r="B4660" s="32">
        <v>45931</v>
      </c>
      <c r="C4660" t="s">
        <v>109</v>
      </c>
      <c r="D4660" s="13" t="s">
        <v>634</v>
      </c>
      <c r="E4660" t="s">
        <v>364</v>
      </c>
      <c r="F4660" s="11">
        <v>1</v>
      </c>
      <c r="G4660" s="11">
        <v>100840.34</v>
      </c>
    </row>
    <row r="4661" spans="2:7" x14ac:dyDescent="0.2">
      <c r="B4661" s="32">
        <v>45931</v>
      </c>
      <c r="C4661" t="s">
        <v>109</v>
      </c>
      <c r="D4661" s="13" t="s">
        <v>634</v>
      </c>
      <c r="E4661" t="s">
        <v>207</v>
      </c>
      <c r="F4661" s="11">
        <v>1</v>
      </c>
      <c r="G4661" s="11">
        <v>100840.34</v>
      </c>
    </row>
    <row r="4662" spans="2:7" x14ac:dyDescent="0.2">
      <c r="B4662" s="32">
        <v>45931</v>
      </c>
      <c r="C4662" t="s">
        <v>109</v>
      </c>
      <c r="D4662" s="13" t="s">
        <v>634</v>
      </c>
      <c r="E4662" t="s">
        <v>308</v>
      </c>
      <c r="F4662" s="11">
        <v>0</v>
      </c>
      <c r="G4662" s="11">
        <v>100840.34</v>
      </c>
    </row>
    <row r="4663" spans="2:7" x14ac:dyDescent="0.2">
      <c r="B4663" s="32">
        <v>45931</v>
      </c>
      <c r="C4663" t="s">
        <v>109</v>
      </c>
      <c r="D4663" s="13" t="s">
        <v>634</v>
      </c>
      <c r="E4663" t="s">
        <v>327</v>
      </c>
      <c r="F4663" s="11">
        <v>3</v>
      </c>
      <c r="G4663" s="11">
        <v>90000</v>
      </c>
    </row>
    <row r="4664" spans="2:7" x14ac:dyDescent="0.2">
      <c r="B4664" s="32">
        <v>45931</v>
      </c>
      <c r="C4664" t="s">
        <v>109</v>
      </c>
      <c r="D4664" s="13" t="s">
        <v>634</v>
      </c>
      <c r="E4664" t="s">
        <v>264</v>
      </c>
      <c r="F4664" s="11">
        <v>1</v>
      </c>
      <c r="G4664" s="11">
        <v>75630.25</v>
      </c>
    </row>
    <row r="4665" spans="2:7" x14ac:dyDescent="0.2">
      <c r="B4665" s="32">
        <v>45931</v>
      </c>
      <c r="C4665" t="s">
        <v>109</v>
      </c>
      <c r="D4665" s="13" t="s">
        <v>634</v>
      </c>
      <c r="E4665" t="s">
        <v>174</v>
      </c>
      <c r="F4665" s="11">
        <v>1</v>
      </c>
      <c r="G4665" s="11">
        <v>75630.25</v>
      </c>
    </row>
    <row r="4666" spans="2:7" x14ac:dyDescent="0.2">
      <c r="B4666" s="32">
        <v>45931</v>
      </c>
      <c r="C4666" t="s">
        <v>109</v>
      </c>
      <c r="D4666" s="13" t="s">
        <v>634</v>
      </c>
      <c r="E4666" t="s">
        <v>149</v>
      </c>
      <c r="F4666" s="11">
        <v>1</v>
      </c>
      <c r="G4666" s="11">
        <v>71428.570000000007</v>
      </c>
    </row>
    <row r="4667" spans="2:7" x14ac:dyDescent="0.2">
      <c r="B4667" s="32">
        <v>45931</v>
      </c>
      <c r="C4667" t="s">
        <v>109</v>
      </c>
      <c r="D4667" s="13" t="s">
        <v>634</v>
      </c>
      <c r="E4667" t="s">
        <v>233</v>
      </c>
      <c r="F4667" s="11">
        <v>1</v>
      </c>
      <c r="G4667" s="11">
        <v>58823.53</v>
      </c>
    </row>
    <row r="4668" spans="2:7" x14ac:dyDescent="0.2">
      <c r="B4668" s="32">
        <v>45931</v>
      </c>
      <c r="C4668" t="s">
        <v>109</v>
      </c>
      <c r="D4668" s="13" t="s">
        <v>634</v>
      </c>
      <c r="E4668" t="s">
        <v>1810</v>
      </c>
      <c r="F4668" s="11">
        <v>1</v>
      </c>
      <c r="G4668" s="11">
        <v>54621.85</v>
      </c>
    </row>
    <row r="4669" spans="2:7" x14ac:dyDescent="0.2">
      <c r="B4669" s="32">
        <v>45931</v>
      </c>
      <c r="C4669" t="s">
        <v>109</v>
      </c>
      <c r="D4669" s="13" t="s">
        <v>634</v>
      </c>
      <c r="E4669" t="s">
        <v>170</v>
      </c>
      <c r="F4669" s="11">
        <v>1</v>
      </c>
      <c r="G4669" s="11">
        <v>46218.49</v>
      </c>
    </row>
    <row r="4670" spans="2:7" x14ac:dyDescent="0.2">
      <c r="B4670" s="32">
        <v>45931</v>
      </c>
      <c r="C4670" t="s">
        <v>109</v>
      </c>
      <c r="D4670" s="13" t="s">
        <v>634</v>
      </c>
      <c r="E4670" t="s">
        <v>309</v>
      </c>
      <c r="F4670" s="11">
        <v>0</v>
      </c>
      <c r="G4670" s="11">
        <v>42016.81</v>
      </c>
    </row>
    <row r="4671" spans="2:7" x14ac:dyDescent="0.2">
      <c r="B4671" s="32">
        <v>45931</v>
      </c>
      <c r="C4671" t="s">
        <v>109</v>
      </c>
      <c r="D4671" s="13" t="s">
        <v>634</v>
      </c>
      <c r="E4671" t="s">
        <v>144</v>
      </c>
      <c r="F4671" s="11">
        <v>2</v>
      </c>
      <c r="G4671" s="11">
        <v>26470.58</v>
      </c>
    </row>
    <row r="4672" spans="2:7" x14ac:dyDescent="0.2">
      <c r="B4672" s="32">
        <v>45931</v>
      </c>
      <c r="C4672" t="s">
        <v>109</v>
      </c>
      <c r="D4672" s="13" t="s">
        <v>633</v>
      </c>
      <c r="E4672" t="s">
        <v>538</v>
      </c>
      <c r="F4672" s="11">
        <v>2</v>
      </c>
      <c r="G4672" s="11">
        <v>159663.87</v>
      </c>
    </row>
    <row r="4673" spans="2:7" x14ac:dyDescent="0.2">
      <c r="B4673" s="32">
        <v>45931</v>
      </c>
      <c r="C4673" t="s">
        <v>109</v>
      </c>
      <c r="D4673" s="13" t="s">
        <v>633</v>
      </c>
      <c r="E4673" t="s">
        <v>1914</v>
      </c>
      <c r="F4673" s="11">
        <v>1</v>
      </c>
      <c r="G4673" s="11">
        <v>130252.1</v>
      </c>
    </row>
    <row r="4674" spans="2:7" x14ac:dyDescent="0.2">
      <c r="B4674" s="32">
        <v>45931</v>
      </c>
      <c r="C4674" t="s">
        <v>109</v>
      </c>
      <c r="D4674" s="13" t="s">
        <v>633</v>
      </c>
      <c r="E4674" t="s">
        <v>233</v>
      </c>
      <c r="F4674" s="11">
        <v>4</v>
      </c>
      <c r="G4674" s="11">
        <v>117647.06</v>
      </c>
    </row>
    <row r="4675" spans="2:7" x14ac:dyDescent="0.2">
      <c r="B4675" s="32">
        <v>45931</v>
      </c>
      <c r="C4675" t="s">
        <v>109</v>
      </c>
      <c r="D4675" s="13" t="s">
        <v>633</v>
      </c>
      <c r="E4675" t="s">
        <v>2024</v>
      </c>
      <c r="F4675" s="11">
        <v>1</v>
      </c>
      <c r="G4675" s="11">
        <v>100840.34</v>
      </c>
    </row>
    <row r="4676" spans="2:7" x14ac:dyDescent="0.2">
      <c r="B4676" s="32">
        <v>45931</v>
      </c>
      <c r="C4676" t="s">
        <v>109</v>
      </c>
      <c r="D4676" s="13" t="s">
        <v>633</v>
      </c>
      <c r="E4676" t="s">
        <v>347</v>
      </c>
      <c r="F4676" s="11">
        <v>1</v>
      </c>
      <c r="G4676" s="11">
        <v>75630.25</v>
      </c>
    </row>
    <row r="4677" spans="2:7" x14ac:dyDescent="0.2">
      <c r="B4677" s="32">
        <v>45931</v>
      </c>
      <c r="C4677" t="s">
        <v>109</v>
      </c>
      <c r="D4677" s="13" t="s">
        <v>633</v>
      </c>
      <c r="E4677" t="s">
        <v>206</v>
      </c>
      <c r="F4677" s="11">
        <v>2</v>
      </c>
      <c r="G4677" s="11">
        <v>73739.5</v>
      </c>
    </row>
    <row r="4678" spans="2:7" x14ac:dyDescent="0.2">
      <c r="B4678" s="32">
        <v>45931</v>
      </c>
      <c r="C4678" t="s">
        <v>109</v>
      </c>
      <c r="D4678" s="13" t="s">
        <v>633</v>
      </c>
      <c r="E4678" t="s">
        <v>1783</v>
      </c>
      <c r="F4678" s="11">
        <v>1</v>
      </c>
      <c r="G4678" s="11">
        <v>58823.53</v>
      </c>
    </row>
    <row r="4679" spans="2:7" x14ac:dyDescent="0.2">
      <c r="B4679" s="32">
        <v>45931</v>
      </c>
      <c r="C4679" t="s">
        <v>109</v>
      </c>
      <c r="D4679" s="13" t="s">
        <v>633</v>
      </c>
      <c r="E4679" t="s">
        <v>212</v>
      </c>
      <c r="F4679" s="11">
        <v>1</v>
      </c>
      <c r="G4679" s="11">
        <v>54621.85</v>
      </c>
    </row>
    <row r="4680" spans="2:7" x14ac:dyDescent="0.2">
      <c r="B4680" s="32">
        <v>45931</v>
      </c>
      <c r="C4680" t="s">
        <v>109</v>
      </c>
      <c r="D4680" s="13" t="s">
        <v>633</v>
      </c>
      <c r="E4680" t="s">
        <v>1947</v>
      </c>
      <c r="F4680" s="11">
        <v>1</v>
      </c>
      <c r="G4680" s="11">
        <v>54621.85</v>
      </c>
    </row>
    <row r="4681" spans="2:7" x14ac:dyDescent="0.2">
      <c r="B4681" s="32">
        <v>45931</v>
      </c>
      <c r="C4681" t="s">
        <v>109</v>
      </c>
      <c r="D4681" s="13" t="s">
        <v>633</v>
      </c>
      <c r="E4681" t="s">
        <v>303</v>
      </c>
      <c r="F4681" s="11">
        <v>0</v>
      </c>
      <c r="G4681" s="11">
        <v>50420.17</v>
      </c>
    </row>
    <row r="4682" spans="2:7" x14ac:dyDescent="0.2">
      <c r="B4682" s="32">
        <v>45931</v>
      </c>
      <c r="C4682" t="s">
        <v>109</v>
      </c>
      <c r="D4682" s="13" t="s">
        <v>633</v>
      </c>
      <c r="E4682" t="s">
        <v>218</v>
      </c>
      <c r="F4682" s="11">
        <v>1</v>
      </c>
      <c r="G4682" s="11">
        <v>50420.17</v>
      </c>
    </row>
    <row r="4683" spans="2:7" x14ac:dyDescent="0.2">
      <c r="B4683" s="32">
        <v>45931</v>
      </c>
      <c r="C4683" t="s">
        <v>109</v>
      </c>
      <c r="D4683" s="13" t="s">
        <v>633</v>
      </c>
      <c r="E4683" t="s">
        <v>161</v>
      </c>
      <c r="F4683" s="11">
        <v>1</v>
      </c>
      <c r="G4683" s="11">
        <v>42016.81</v>
      </c>
    </row>
    <row r="4684" spans="2:7" x14ac:dyDescent="0.2">
      <c r="B4684" s="32">
        <v>45931</v>
      </c>
      <c r="C4684" t="s">
        <v>109</v>
      </c>
      <c r="D4684" s="13" t="s">
        <v>633</v>
      </c>
      <c r="E4684" t="s">
        <v>144</v>
      </c>
      <c r="F4684" s="11">
        <v>2</v>
      </c>
      <c r="G4684" s="11">
        <v>7563.02</v>
      </c>
    </row>
    <row r="4685" spans="2:7" x14ac:dyDescent="0.2">
      <c r="B4685" s="32">
        <v>45932</v>
      </c>
      <c r="C4685" t="s">
        <v>1739</v>
      </c>
      <c r="D4685" s="13" t="s">
        <v>633</v>
      </c>
      <c r="E4685" t="s">
        <v>1908</v>
      </c>
      <c r="F4685" s="11">
        <v>1</v>
      </c>
      <c r="G4685" s="11">
        <v>46218.49</v>
      </c>
    </row>
    <row r="4686" spans="2:7" x14ac:dyDescent="0.2">
      <c r="B4686" s="32">
        <v>45932</v>
      </c>
      <c r="C4686" t="s">
        <v>109</v>
      </c>
      <c r="D4686" s="13" t="s">
        <v>634</v>
      </c>
      <c r="E4686" t="s">
        <v>556</v>
      </c>
      <c r="F4686" s="11">
        <v>1</v>
      </c>
      <c r="G4686" s="11">
        <v>186554.62</v>
      </c>
    </row>
    <row r="4687" spans="2:7" x14ac:dyDescent="0.2">
      <c r="B4687" s="32">
        <v>45932</v>
      </c>
      <c r="C4687" t="s">
        <v>109</v>
      </c>
      <c r="D4687" s="13" t="s">
        <v>634</v>
      </c>
      <c r="E4687" t="s">
        <v>616</v>
      </c>
      <c r="F4687" s="11">
        <v>1</v>
      </c>
      <c r="G4687" s="11">
        <v>54621.85</v>
      </c>
    </row>
    <row r="4688" spans="2:7" x14ac:dyDescent="0.2">
      <c r="B4688" s="32">
        <v>45932</v>
      </c>
      <c r="C4688" t="s">
        <v>109</v>
      </c>
      <c r="D4688" s="13" t="s">
        <v>634</v>
      </c>
      <c r="E4688" t="s">
        <v>172</v>
      </c>
      <c r="F4688" s="11">
        <v>1</v>
      </c>
      <c r="G4688" s="11">
        <v>46218.48</v>
      </c>
    </row>
    <row r="4689" spans="2:7" x14ac:dyDescent="0.2">
      <c r="B4689" s="32">
        <v>45932</v>
      </c>
      <c r="C4689" t="s">
        <v>109</v>
      </c>
      <c r="D4689" s="13" t="s">
        <v>634</v>
      </c>
      <c r="E4689" t="s">
        <v>309</v>
      </c>
      <c r="F4689" s="11">
        <v>1</v>
      </c>
      <c r="G4689" s="11">
        <v>42016.81</v>
      </c>
    </row>
    <row r="4690" spans="2:7" x14ac:dyDescent="0.2">
      <c r="B4690" s="32">
        <v>45932</v>
      </c>
      <c r="C4690" t="s">
        <v>109</v>
      </c>
      <c r="D4690" s="13" t="s">
        <v>634</v>
      </c>
      <c r="E4690" t="s">
        <v>1822</v>
      </c>
      <c r="F4690" s="11">
        <v>1</v>
      </c>
      <c r="G4690" s="11">
        <v>16806.72</v>
      </c>
    </row>
    <row r="4691" spans="2:7" x14ac:dyDescent="0.2">
      <c r="B4691" s="32">
        <v>45932</v>
      </c>
      <c r="C4691" t="s">
        <v>109</v>
      </c>
      <c r="D4691" s="13" t="s">
        <v>633</v>
      </c>
      <c r="E4691" t="s">
        <v>598</v>
      </c>
      <c r="F4691" s="11">
        <v>1</v>
      </c>
      <c r="G4691" s="11">
        <v>124369.75</v>
      </c>
    </row>
    <row r="4692" spans="2:7" x14ac:dyDescent="0.2">
      <c r="B4692" s="32">
        <v>45932</v>
      </c>
      <c r="C4692" t="s">
        <v>109</v>
      </c>
      <c r="D4692" s="13" t="s">
        <v>633</v>
      </c>
      <c r="E4692" t="s">
        <v>185</v>
      </c>
      <c r="F4692" s="11">
        <v>1</v>
      </c>
      <c r="G4692" s="11">
        <v>100840.34</v>
      </c>
    </row>
    <row r="4693" spans="2:7" x14ac:dyDescent="0.2">
      <c r="B4693" s="32">
        <v>45932</v>
      </c>
      <c r="C4693" t="s">
        <v>109</v>
      </c>
      <c r="D4693" s="13" t="s">
        <v>633</v>
      </c>
      <c r="E4693" t="s">
        <v>551</v>
      </c>
      <c r="F4693" s="11">
        <v>1</v>
      </c>
      <c r="G4693" s="11">
        <v>100840.34</v>
      </c>
    </row>
    <row r="4694" spans="2:7" x14ac:dyDescent="0.2">
      <c r="B4694" s="32">
        <v>45932</v>
      </c>
      <c r="C4694" t="s">
        <v>109</v>
      </c>
      <c r="D4694" s="13" t="s">
        <v>633</v>
      </c>
      <c r="E4694" t="s">
        <v>624</v>
      </c>
      <c r="F4694" s="11">
        <v>1</v>
      </c>
      <c r="G4694" s="11">
        <v>71428.56</v>
      </c>
    </row>
    <row r="4695" spans="2:7" x14ac:dyDescent="0.2">
      <c r="B4695" s="32">
        <v>45932</v>
      </c>
      <c r="C4695" t="s">
        <v>109</v>
      </c>
      <c r="D4695" s="13" t="s">
        <v>633</v>
      </c>
      <c r="E4695" t="s">
        <v>306</v>
      </c>
      <c r="F4695" s="11">
        <v>1</v>
      </c>
      <c r="G4695" s="11">
        <v>58823.53</v>
      </c>
    </row>
    <row r="4696" spans="2:7" x14ac:dyDescent="0.2">
      <c r="B4696" s="32">
        <v>45932</v>
      </c>
      <c r="C4696" t="s">
        <v>109</v>
      </c>
      <c r="D4696" s="13" t="s">
        <v>633</v>
      </c>
      <c r="E4696" t="s">
        <v>524</v>
      </c>
      <c r="F4696" s="11">
        <v>1</v>
      </c>
      <c r="G4696" s="11">
        <v>58823.53</v>
      </c>
    </row>
    <row r="4697" spans="2:7" x14ac:dyDescent="0.2">
      <c r="B4697" s="32">
        <v>45932</v>
      </c>
      <c r="C4697" t="s">
        <v>109</v>
      </c>
      <c r="D4697" s="13" t="s">
        <v>633</v>
      </c>
      <c r="E4697" t="s">
        <v>197</v>
      </c>
      <c r="F4697" s="11">
        <v>1</v>
      </c>
      <c r="G4697" s="11">
        <v>54621.85</v>
      </c>
    </row>
    <row r="4698" spans="2:7" x14ac:dyDescent="0.2">
      <c r="B4698" s="32">
        <v>45932</v>
      </c>
      <c r="C4698" t="s">
        <v>109</v>
      </c>
      <c r="D4698" s="13" t="s">
        <v>633</v>
      </c>
      <c r="E4698" t="s">
        <v>292</v>
      </c>
      <c r="F4698" s="11">
        <v>1</v>
      </c>
      <c r="G4698" s="11">
        <v>54621.85</v>
      </c>
    </row>
    <row r="4699" spans="2:7" x14ac:dyDescent="0.2">
      <c r="B4699" s="32">
        <v>45932</v>
      </c>
      <c r="C4699" t="s">
        <v>109</v>
      </c>
      <c r="D4699" s="13" t="s">
        <v>633</v>
      </c>
      <c r="E4699" t="s">
        <v>228</v>
      </c>
      <c r="F4699" s="11">
        <v>1</v>
      </c>
      <c r="G4699" s="11">
        <v>54621.85</v>
      </c>
    </row>
    <row r="4700" spans="2:7" x14ac:dyDescent="0.2">
      <c r="B4700" s="32">
        <v>45932</v>
      </c>
      <c r="C4700" t="s">
        <v>109</v>
      </c>
      <c r="D4700" s="13" t="s">
        <v>633</v>
      </c>
      <c r="E4700" t="s">
        <v>148</v>
      </c>
      <c r="F4700" s="11">
        <v>1</v>
      </c>
      <c r="G4700" s="11">
        <v>37815.129999999997</v>
      </c>
    </row>
    <row r="4701" spans="2:7" x14ac:dyDescent="0.2">
      <c r="B4701" s="32">
        <v>45932</v>
      </c>
      <c r="C4701" t="s">
        <v>109</v>
      </c>
      <c r="D4701" s="13" t="s">
        <v>633</v>
      </c>
      <c r="E4701" t="s">
        <v>206</v>
      </c>
      <c r="F4701" s="11">
        <v>1</v>
      </c>
      <c r="G4701" s="11">
        <v>37815.129999999997</v>
      </c>
    </row>
    <row r="4702" spans="2:7" x14ac:dyDescent="0.2">
      <c r="B4702" s="32">
        <v>45932</v>
      </c>
      <c r="C4702" t="s">
        <v>109</v>
      </c>
      <c r="D4702" s="13" t="s">
        <v>633</v>
      </c>
      <c r="E4702" t="s">
        <v>1822</v>
      </c>
      <c r="F4702" s="11">
        <v>1</v>
      </c>
      <c r="G4702" s="11">
        <v>16806.72</v>
      </c>
    </row>
    <row r="4703" spans="2:7" x14ac:dyDescent="0.2">
      <c r="B4703" s="32">
        <v>45932</v>
      </c>
      <c r="C4703" t="s">
        <v>109</v>
      </c>
      <c r="D4703" s="13" t="s">
        <v>633</v>
      </c>
      <c r="E4703" t="s">
        <v>144</v>
      </c>
      <c r="F4703" s="11">
        <v>2</v>
      </c>
      <c r="G4703" s="11">
        <v>11764.7</v>
      </c>
    </row>
    <row r="4704" spans="2:7" x14ac:dyDescent="0.2">
      <c r="B4704" s="32">
        <v>45933</v>
      </c>
      <c r="C4704" t="s">
        <v>142</v>
      </c>
      <c r="D4704" s="13" t="s">
        <v>634</v>
      </c>
      <c r="E4704" t="s">
        <v>178</v>
      </c>
      <c r="F4704" s="11">
        <v>1</v>
      </c>
      <c r="G4704" s="11">
        <v>100840.33</v>
      </c>
    </row>
    <row r="4705" spans="2:7" x14ac:dyDescent="0.2">
      <c r="B4705" s="32">
        <v>45933</v>
      </c>
      <c r="C4705" t="s">
        <v>142</v>
      </c>
      <c r="D4705" s="13" t="s">
        <v>634</v>
      </c>
      <c r="E4705" t="s">
        <v>247</v>
      </c>
      <c r="F4705" s="11">
        <v>1</v>
      </c>
      <c r="G4705" s="11">
        <v>58823.53</v>
      </c>
    </row>
    <row r="4706" spans="2:7" x14ac:dyDescent="0.2">
      <c r="B4706" s="32">
        <v>45933</v>
      </c>
      <c r="C4706" t="s">
        <v>142</v>
      </c>
      <c r="D4706" s="13" t="s">
        <v>634</v>
      </c>
      <c r="E4706" t="s">
        <v>398</v>
      </c>
      <c r="F4706" s="11">
        <v>1</v>
      </c>
      <c r="G4706" s="11">
        <v>58823.53</v>
      </c>
    </row>
    <row r="4707" spans="2:7" x14ac:dyDescent="0.2">
      <c r="B4707" s="32">
        <v>45933</v>
      </c>
      <c r="C4707" t="s">
        <v>142</v>
      </c>
      <c r="D4707" s="13" t="s">
        <v>634</v>
      </c>
      <c r="E4707" t="s">
        <v>454</v>
      </c>
      <c r="F4707" s="11">
        <v>1</v>
      </c>
      <c r="G4707" s="11">
        <v>58823.53</v>
      </c>
    </row>
    <row r="4708" spans="2:7" x14ac:dyDescent="0.2">
      <c r="B4708" s="32">
        <v>45933</v>
      </c>
      <c r="C4708" t="s">
        <v>142</v>
      </c>
      <c r="D4708" s="13" t="s">
        <v>634</v>
      </c>
      <c r="E4708" t="s">
        <v>234</v>
      </c>
      <c r="F4708" s="11">
        <v>1</v>
      </c>
      <c r="G4708" s="11">
        <v>37815.129999999997</v>
      </c>
    </row>
    <row r="4709" spans="2:7" x14ac:dyDescent="0.2">
      <c r="B4709" s="32">
        <v>45933</v>
      </c>
      <c r="C4709" t="s">
        <v>110</v>
      </c>
      <c r="D4709" s="13" t="s">
        <v>633</v>
      </c>
      <c r="E4709" t="s">
        <v>427</v>
      </c>
      <c r="F4709" s="11">
        <v>1</v>
      </c>
      <c r="G4709" s="11">
        <v>54621.85</v>
      </c>
    </row>
    <row r="4710" spans="2:7" x14ac:dyDescent="0.2">
      <c r="B4710" s="32">
        <v>45933</v>
      </c>
      <c r="C4710" t="s">
        <v>109</v>
      </c>
      <c r="D4710" s="13" t="s">
        <v>634</v>
      </c>
      <c r="E4710" t="s">
        <v>674</v>
      </c>
      <c r="F4710" s="11">
        <v>1</v>
      </c>
      <c r="G4710" s="11">
        <v>159663.87</v>
      </c>
    </row>
    <row r="4711" spans="2:7" x14ac:dyDescent="0.2">
      <c r="B4711" s="32">
        <v>45933</v>
      </c>
      <c r="C4711" t="s">
        <v>109</v>
      </c>
      <c r="D4711" s="13" t="s">
        <v>634</v>
      </c>
      <c r="E4711" t="s">
        <v>264</v>
      </c>
      <c r="F4711" s="11">
        <v>1</v>
      </c>
      <c r="G4711" s="11">
        <v>75630.25</v>
      </c>
    </row>
    <row r="4712" spans="2:7" x14ac:dyDescent="0.2">
      <c r="B4712" s="32">
        <v>45933</v>
      </c>
      <c r="C4712" t="s">
        <v>109</v>
      </c>
      <c r="D4712" s="13" t="s">
        <v>634</v>
      </c>
      <c r="E4712" t="s">
        <v>624</v>
      </c>
      <c r="F4712" s="11">
        <v>1</v>
      </c>
      <c r="G4712" s="11">
        <v>71428.58</v>
      </c>
    </row>
    <row r="4713" spans="2:7" x14ac:dyDescent="0.2">
      <c r="B4713" s="32">
        <v>45933</v>
      </c>
      <c r="C4713" t="s">
        <v>109</v>
      </c>
      <c r="D4713" s="13" t="s">
        <v>634</v>
      </c>
      <c r="E4713" t="s">
        <v>475</v>
      </c>
      <c r="F4713" s="11">
        <v>1</v>
      </c>
      <c r="G4713" s="11">
        <v>71428.570000000007</v>
      </c>
    </row>
    <row r="4714" spans="2:7" x14ac:dyDescent="0.2">
      <c r="B4714" s="32">
        <v>45933</v>
      </c>
      <c r="C4714" t="s">
        <v>109</v>
      </c>
      <c r="D4714" s="13" t="s">
        <v>634</v>
      </c>
      <c r="E4714" t="s">
        <v>192</v>
      </c>
      <c r="F4714" s="11">
        <v>1</v>
      </c>
      <c r="G4714" s="11">
        <v>71428.570000000007</v>
      </c>
    </row>
    <row r="4715" spans="2:7" x14ac:dyDescent="0.2">
      <c r="B4715" s="32">
        <v>45933</v>
      </c>
      <c r="C4715" t="s">
        <v>109</v>
      </c>
      <c r="D4715" s="13" t="s">
        <v>634</v>
      </c>
      <c r="E4715" t="s">
        <v>534</v>
      </c>
      <c r="F4715" s="11">
        <v>1</v>
      </c>
      <c r="G4715" s="11">
        <v>71428.570000000007</v>
      </c>
    </row>
    <row r="4716" spans="2:7" x14ac:dyDescent="0.2">
      <c r="B4716" s="32">
        <v>45933</v>
      </c>
      <c r="C4716" t="s">
        <v>109</v>
      </c>
      <c r="D4716" s="13" t="s">
        <v>634</v>
      </c>
      <c r="E4716" t="s">
        <v>496</v>
      </c>
      <c r="F4716" s="11">
        <v>1</v>
      </c>
      <c r="G4716" s="11">
        <v>58823.53</v>
      </c>
    </row>
    <row r="4717" spans="2:7" x14ac:dyDescent="0.2">
      <c r="B4717" s="32">
        <v>45933</v>
      </c>
      <c r="C4717" t="s">
        <v>109</v>
      </c>
      <c r="D4717" s="13" t="s">
        <v>634</v>
      </c>
      <c r="E4717" t="s">
        <v>247</v>
      </c>
      <c r="F4717" s="11">
        <v>1</v>
      </c>
      <c r="G4717" s="11">
        <v>58823.53</v>
      </c>
    </row>
    <row r="4718" spans="2:7" x14ac:dyDescent="0.2">
      <c r="B4718" s="32">
        <v>45933</v>
      </c>
      <c r="C4718" t="s">
        <v>109</v>
      </c>
      <c r="D4718" s="13" t="s">
        <v>634</v>
      </c>
      <c r="E4718" t="s">
        <v>218</v>
      </c>
      <c r="F4718" s="11">
        <v>1</v>
      </c>
      <c r="G4718" s="11">
        <v>50420.160000000003</v>
      </c>
    </row>
    <row r="4719" spans="2:7" x14ac:dyDescent="0.2">
      <c r="B4719" s="32">
        <v>45933</v>
      </c>
      <c r="C4719" t="s">
        <v>109</v>
      </c>
      <c r="D4719" s="13" t="s">
        <v>634</v>
      </c>
      <c r="E4719" t="s">
        <v>350</v>
      </c>
      <c r="F4719" s="11">
        <v>1</v>
      </c>
      <c r="G4719" s="11">
        <v>46218.49</v>
      </c>
    </row>
    <row r="4720" spans="2:7" x14ac:dyDescent="0.2">
      <c r="B4720" s="32">
        <v>45933</v>
      </c>
      <c r="C4720" t="s">
        <v>109</v>
      </c>
      <c r="D4720" s="13" t="s">
        <v>634</v>
      </c>
      <c r="E4720" t="s">
        <v>146</v>
      </c>
      <c r="F4720" s="11">
        <v>1</v>
      </c>
      <c r="G4720" s="11">
        <v>46218.49</v>
      </c>
    </row>
    <row r="4721" spans="2:7" x14ac:dyDescent="0.2">
      <c r="B4721" s="32">
        <v>45933</v>
      </c>
      <c r="C4721" t="s">
        <v>109</v>
      </c>
      <c r="D4721" s="13" t="s">
        <v>634</v>
      </c>
      <c r="E4721" t="s">
        <v>172</v>
      </c>
      <c r="F4721" s="11">
        <v>1</v>
      </c>
      <c r="G4721" s="11">
        <v>46218.49</v>
      </c>
    </row>
    <row r="4722" spans="2:7" x14ac:dyDescent="0.2">
      <c r="B4722" s="32">
        <v>45933</v>
      </c>
      <c r="C4722" t="s">
        <v>109</v>
      </c>
      <c r="D4722" s="13" t="s">
        <v>634</v>
      </c>
      <c r="E4722" t="s">
        <v>161</v>
      </c>
      <c r="F4722" s="11">
        <v>1</v>
      </c>
      <c r="G4722" s="11">
        <v>42016.81</v>
      </c>
    </row>
    <row r="4723" spans="2:7" x14ac:dyDescent="0.2">
      <c r="B4723" s="32">
        <v>45933</v>
      </c>
      <c r="C4723" t="s">
        <v>109</v>
      </c>
      <c r="D4723" s="13" t="s">
        <v>634</v>
      </c>
      <c r="E4723" t="s">
        <v>1796</v>
      </c>
      <c r="F4723" s="11">
        <v>1</v>
      </c>
      <c r="G4723" s="11">
        <v>21008.400000000001</v>
      </c>
    </row>
    <row r="4724" spans="2:7" x14ac:dyDescent="0.2">
      <c r="B4724" s="32">
        <v>45933</v>
      </c>
      <c r="C4724" t="s">
        <v>109</v>
      </c>
      <c r="D4724" s="13" t="s">
        <v>633</v>
      </c>
      <c r="E4724" t="s">
        <v>690</v>
      </c>
      <c r="F4724" s="11">
        <v>1</v>
      </c>
      <c r="G4724" s="11">
        <v>294117.64</v>
      </c>
    </row>
    <row r="4725" spans="2:7" x14ac:dyDescent="0.2">
      <c r="B4725" s="32">
        <v>45933</v>
      </c>
      <c r="C4725" t="s">
        <v>109</v>
      </c>
      <c r="D4725" s="13" t="s">
        <v>633</v>
      </c>
      <c r="E4725" t="s">
        <v>2014</v>
      </c>
      <c r="F4725" s="11">
        <v>2</v>
      </c>
      <c r="G4725" s="11">
        <v>142857.14000000001</v>
      </c>
    </row>
    <row r="4726" spans="2:7" x14ac:dyDescent="0.2">
      <c r="B4726" s="32">
        <v>45933</v>
      </c>
      <c r="C4726" t="s">
        <v>109</v>
      </c>
      <c r="D4726" s="13" t="s">
        <v>633</v>
      </c>
      <c r="E4726" t="s">
        <v>581</v>
      </c>
      <c r="F4726" s="11">
        <v>1</v>
      </c>
      <c r="G4726" s="11">
        <v>142857.14000000001</v>
      </c>
    </row>
    <row r="4727" spans="2:7" x14ac:dyDescent="0.2">
      <c r="B4727" s="32">
        <v>45933</v>
      </c>
      <c r="C4727" t="s">
        <v>109</v>
      </c>
      <c r="D4727" s="13" t="s">
        <v>633</v>
      </c>
      <c r="E4727" t="s">
        <v>2011</v>
      </c>
      <c r="F4727" s="11">
        <v>2</v>
      </c>
      <c r="G4727" s="11">
        <v>109243.7</v>
      </c>
    </row>
    <row r="4728" spans="2:7" x14ac:dyDescent="0.2">
      <c r="B4728" s="32">
        <v>45933</v>
      </c>
      <c r="C4728" t="s">
        <v>109</v>
      </c>
      <c r="D4728" s="13" t="s">
        <v>633</v>
      </c>
      <c r="E4728" t="s">
        <v>169</v>
      </c>
      <c r="F4728" s="11">
        <v>1</v>
      </c>
      <c r="G4728" s="11">
        <v>100840.34</v>
      </c>
    </row>
    <row r="4729" spans="2:7" x14ac:dyDescent="0.2">
      <c r="B4729" s="32">
        <v>45933</v>
      </c>
      <c r="C4729" t="s">
        <v>109</v>
      </c>
      <c r="D4729" s="13" t="s">
        <v>633</v>
      </c>
      <c r="E4729" t="s">
        <v>197</v>
      </c>
      <c r="F4729" s="11">
        <v>1</v>
      </c>
      <c r="G4729" s="11">
        <v>100840.34</v>
      </c>
    </row>
    <row r="4730" spans="2:7" x14ac:dyDescent="0.2">
      <c r="B4730" s="32">
        <v>45933</v>
      </c>
      <c r="C4730" t="s">
        <v>109</v>
      </c>
      <c r="D4730" s="13" t="s">
        <v>633</v>
      </c>
      <c r="E4730" t="s">
        <v>164</v>
      </c>
      <c r="F4730" s="11">
        <v>1</v>
      </c>
      <c r="G4730" s="11">
        <v>71428.570000000007</v>
      </c>
    </row>
    <row r="4731" spans="2:7" x14ac:dyDescent="0.2">
      <c r="B4731" s="32">
        <v>45933</v>
      </c>
      <c r="C4731" t="s">
        <v>109</v>
      </c>
      <c r="D4731" s="13" t="s">
        <v>633</v>
      </c>
      <c r="E4731" t="s">
        <v>212</v>
      </c>
      <c r="F4731" s="11">
        <v>1</v>
      </c>
      <c r="G4731" s="11">
        <v>54621.85</v>
      </c>
    </row>
    <row r="4732" spans="2:7" x14ac:dyDescent="0.2">
      <c r="B4732" s="32">
        <v>45933</v>
      </c>
      <c r="C4732" t="s">
        <v>109</v>
      </c>
      <c r="D4732" s="13" t="s">
        <v>633</v>
      </c>
      <c r="E4732" t="s">
        <v>229</v>
      </c>
      <c r="F4732" s="11">
        <v>1</v>
      </c>
      <c r="G4732" s="11">
        <v>42016.81</v>
      </c>
    </row>
    <row r="4733" spans="2:7" x14ac:dyDescent="0.2">
      <c r="B4733" s="32">
        <v>45933</v>
      </c>
      <c r="C4733" t="s">
        <v>109</v>
      </c>
      <c r="D4733" s="13" t="s">
        <v>633</v>
      </c>
      <c r="E4733" t="s">
        <v>153</v>
      </c>
      <c r="F4733" s="11">
        <v>1</v>
      </c>
      <c r="G4733" s="11">
        <v>42016.81</v>
      </c>
    </row>
    <row r="4734" spans="2:7" x14ac:dyDescent="0.2">
      <c r="B4734" s="32">
        <v>45933</v>
      </c>
      <c r="C4734" t="s">
        <v>109</v>
      </c>
      <c r="D4734" s="13" t="s">
        <v>633</v>
      </c>
      <c r="E4734" t="s">
        <v>1963</v>
      </c>
      <c r="F4734" s="11">
        <v>1</v>
      </c>
      <c r="G4734" s="11">
        <v>42016.800000000003</v>
      </c>
    </row>
    <row r="4735" spans="2:7" x14ac:dyDescent="0.2">
      <c r="B4735" s="32">
        <v>45933</v>
      </c>
      <c r="C4735" t="s">
        <v>109</v>
      </c>
      <c r="D4735" s="13" t="s">
        <v>633</v>
      </c>
      <c r="E4735" t="s">
        <v>206</v>
      </c>
      <c r="F4735" s="11">
        <v>1</v>
      </c>
      <c r="G4735" s="11">
        <v>37815.129999999997</v>
      </c>
    </row>
    <row r="4736" spans="2:7" x14ac:dyDescent="0.2">
      <c r="B4736" s="32">
        <v>45933</v>
      </c>
      <c r="C4736" t="s">
        <v>109</v>
      </c>
      <c r="D4736" s="13" t="s">
        <v>633</v>
      </c>
      <c r="E4736" t="s">
        <v>1769</v>
      </c>
      <c r="F4736" s="11">
        <v>1</v>
      </c>
      <c r="G4736" s="11">
        <v>21008.400000000001</v>
      </c>
    </row>
    <row r="4737" spans="2:7" x14ac:dyDescent="0.2">
      <c r="B4737" s="32">
        <v>45934</v>
      </c>
      <c r="C4737" t="s">
        <v>109</v>
      </c>
      <c r="D4737" s="13" t="s">
        <v>634</v>
      </c>
      <c r="E4737" t="s">
        <v>536</v>
      </c>
      <c r="F4737" s="11">
        <v>1</v>
      </c>
      <c r="G4737" s="11">
        <v>100840.34</v>
      </c>
    </row>
    <row r="4738" spans="2:7" x14ac:dyDescent="0.2">
      <c r="B4738" s="32">
        <v>45934</v>
      </c>
      <c r="C4738" t="s">
        <v>109</v>
      </c>
      <c r="D4738" s="13" t="s">
        <v>634</v>
      </c>
      <c r="E4738" t="s">
        <v>147</v>
      </c>
      <c r="F4738" s="11">
        <v>1</v>
      </c>
      <c r="G4738" s="11">
        <v>71428.570000000007</v>
      </c>
    </row>
    <row r="4739" spans="2:7" x14ac:dyDescent="0.2">
      <c r="B4739" s="32">
        <v>45934</v>
      </c>
      <c r="C4739" t="s">
        <v>109</v>
      </c>
      <c r="D4739" s="13" t="s">
        <v>634</v>
      </c>
      <c r="E4739" t="s">
        <v>236</v>
      </c>
      <c r="F4739" s="11">
        <v>1</v>
      </c>
      <c r="G4739" s="11">
        <v>58823.53</v>
      </c>
    </row>
    <row r="4740" spans="2:7" x14ac:dyDescent="0.2">
      <c r="B4740" s="32">
        <v>45934</v>
      </c>
      <c r="C4740" t="s">
        <v>109</v>
      </c>
      <c r="D4740" s="13" t="s">
        <v>634</v>
      </c>
      <c r="E4740" t="s">
        <v>212</v>
      </c>
      <c r="F4740" s="11">
        <v>1</v>
      </c>
      <c r="G4740" s="11">
        <v>54621.85</v>
      </c>
    </row>
    <row r="4741" spans="2:7" x14ac:dyDescent="0.2">
      <c r="B4741" s="32">
        <v>45934</v>
      </c>
      <c r="C4741" t="s">
        <v>109</v>
      </c>
      <c r="D4741" s="13" t="s">
        <v>634</v>
      </c>
      <c r="E4741" t="s">
        <v>238</v>
      </c>
      <c r="F4741" s="11">
        <v>1</v>
      </c>
      <c r="G4741" s="11">
        <v>46218.49</v>
      </c>
    </row>
    <row r="4742" spans="2:7" x14ac:dyDescent="0.2">
      <c r="B4742" s="32">
        <v>45934</v>
      </c>
      <c r="C4742" t="s">
        <v>109</v>
      </c>
      <c r="D4742" s="13" t="s">
        <v>633</v>
      </c>
      <c r="E4742" t="s">
        <v>148</v>
      </c>
      <c r="F4742" s="11">
        <v>5</v>
      </c>
      <c r="G4742" s="11">
        <v>189075.63</v>
      </c>
    </row>
    <row r="4743" spans="2:7" x14ac:dyDescent="0.2">
      <c r="B4743" s="32">
        <v>45934</v>
      </c>
      <c r="C4743" t="s">
        <v>109</v>
      </c>
      <c r="D4743" s="13" t="s">
        <v>633</v>
      </c>
      <c r="E4743" t="s">
        <v>1918</v>
      </c>
      <c r="F4743" s="11">
        <v>4</v>
      </c>
      <c r="G4743" s="11">
        <v>168067.23</v>
      </c>
    </row>
    <row r="4744" spans="2:7" x14ac:dyDescent="0.2">
      <c r="B4744" s="32">
        <v>45934</v>
      </c>
      <c r="C4744" t="s">
        <v>109</v>
      </c>
      <c r="D4744" s="13" t="s">
        <v>633</v>
      </c>
      <c r="E4744" t="s">
        <v>218</v>
      </c>
      <c r="F4744" s="11">
        <v>3</v>
      </c>
      <c r="G4744" s="11">
        <v>130252.09</v>
      </c>
    </row>
    <row r="4745" spans="2:7" x14ac:dyDescent="0.2">
      <c r="B4745" s="32">
        <v>45934</v>
      </c>
      <c r="C4745" t="s">
        <v>109</v>
      </c>
      <c r="D4745" s="13" t="s">
        <v>633</v>
      </c>
      <c r="E4745" t="s">
        <v>328</v>
      </c>
      <c r="F4745" s="11">
        <v>3</v>
      </c>
      <c r="G4745" s="11">
        <v>113445.38</v>
      </c>
    </row>
    <row r="4746" spans="2:7" x14ac:dyDescent="0.2">
      <c r="B4746" s="32">
        <v>45934</v>
      </c>
      <c r="C4746" t="s">
        <v>109</v>
      </c>
      <c r="D4746" s="13" t="s">
        <v>633</v>
      </c>
      <c r="E4746" t="s">
        <v>291</v>
      </c>
      <c r="F4746" s="11">
        <v>2</v>
      </c>
      <c r="G4746" s="11">
        <v>92436.97</v>
      </c>
    </row>
    <row r="4747" spans="2:7" x14ac:dyDescent="0.2">
      <c r="B4747" s="32">
        <v>45934</v>
      </c>
      <c r="C4747" t="s">
        <v>109</v>
      </c>
      <c r="D4747" s="13" t="s">
        <v>633</v>
      </c>
      <c r="E4747" t="s">
        <v>293</v>
      </c>
      <c r="F4747" s="11">
        <v>2</v>
      </c>
      <c r="G4747" s="11">
        <v>75630.259999999995</v>
      </c>
    </row>
    <row r="4748" spans="2:7" x14ac:dyDescent="0.2">
      <c r="B4748" s="32">
        <v>45934</v>
      </c>
      <c r="C4748" t="s">
        <v>109</v>
      </c>
      <c r="D4748" s="13" t="s">
        <v>633</v>
      </c>
      <c r="E4748" t="s">
        <v>1818</v>
      </c>
      <c r="F4748" s="11">
        <v>2</v>
      </c>
      <c r="G4748" s="11">
        <v>75630.25</v>
      </c>
    </row>
    <row r="4749" spans="2:7" x14ac:dyDescent="0.2">
      <c r="B4749" s="32">
        <v>45934</v>
      </c>
      <c r="C4749" t="s">
        <v>109</v>
      </c>
      <c r="D4749" s="13" t="s">
        <v>633</v>
      </c>
      <c r="E4749" t="s">
        <v>330</v>
      </c>
      <c r="F4749" s="11">
        <v>2</v>
      </c>
      <c r="G4749" s="11">
        <v>75630.25</v>
      </c>
    </row>
    <row r="4750" spans="2:7" x14ac:dyDescent="0.2">
      <c r="B4750" s="32">
        <v>45934</v>
      </c>
      <c r="C4750" t="s">
        <v>109</v>
      </c>
      <c r="D4750" s="13" t="s">
        <v>633</v>
      </c>
      <c r="E4750" t="s">
        <v>234</v>
      </c>
      <c r="F4750" s="11">
        <v>2</v>
      </c>
      <c r="G4750" s="11">
        <v>75630.25</v>
      </c>
    </row>
    <row r="4751" spans="2:7" x14ac:dyDescent="0.2">
      <c r="B4751" s="32">
        <v>45934</v>
      </c>
      <c r="C4751" t="s">
        <v>109</v>
      </c>
      <c r="D4751" s="13" t="s">
        <v>633</v>
      </c>
      <c r="E4751" t="s">
        <v>206</v>
      </c>
      <c r="F4751" s="11">
        <v>2</v>
      </c>
      <c r="G4751" s="11">
        <v>75630.25</v>
      </c>
    </row>
    <row r="4752" spans="2:7" x14ac:dyDescent="0.2">
      <c r="B4752" s="32">
        <v>45934</v>
      </c>
      <c r="C4752" t="s">
        <v>109</v>
      </c>
      <c r="D4752" s="13" t="s">
        <v>633</v>
      </c>
      <c r="E4752" t="s">
        <v>251</v>
      </c>
      <c r="F4752" s="11">
        <v>1</v>
      </c>
      <c r="G4752" s="11">
        <v>58823.53</v>
      </c>
    </row>
    <row r="4753" spans="2:7" x14ac:dyDescent="0.2">
      <c r="B4753" s="32">
        <v>45934</v>
      </c>
      <c r="C4753" t="s">
        <v>109</v>
      </c>
      <c r="D4753" s="13" t="s">
        <v>633</v>
      </c>
      <c r="E4753" t="s">
        <v>1763</v>
      </c>
      <c r="F4753" s="11">
        <v>1</v>
      </c>
      <c r="G4753" s="11">
        <v>58823.53</v>
      </c>
    </row>
    <row r="4754" spans="2:7" x14ac:dyDescent="0.2">
      <c r="B4754" s="32">
        <v>45934</v>
      </c>
      <c r="C4754" t="s">
        <v>109</v>
      </c>
      <c r="D4754" s="13" t="s">
        <v>633</v>
      </c>
      <c r="E4754" t="s">
        <v>727</v>
      </c>
      <c r="F4754" s="11">
        <v>1</v>
      </c>
      <c r="G4754" s="11">
        <v>58823.53</v>
      </c>
    </row>
    <row r="4755" spans="2:7" x14ac:dyDescent="0.2">
      <c r="B4755" s="32">
        <v>45934</v>
      </c>
      <c r="C4755" t="s">
        <v>109</v>
      </c>
      <c r="D4755" s="13" t="s">
        <v>633</v>
      </c>
      <c r="E4755" t="s">
        <v>500</v>
      </c>
      <c r="F4755" s="11">
        <v>1</v>
      </c>
      <c r="G4755" s="11">
        <v>58823.53</v>
      </c>
    </row>
    <row r="4756" spans="2:7" x14ac:dyDescent="0.2">
      <c r="B4756" s="32">
        <v>45934</v>
      </c>
      <c r="C4756" t="s">
        <v>109</v>
      </c>
      <c r="D4756" s="13" t="s">
        <v>633</v>
      </c>
      <c r="E4756" t="s">
        <v>163</v>
      </c>
      <c r="F4756" s="11">
        <v>1</v>
      </c>
      <c r="G4756" s="11">
        <v>58823.53</v>
      </c>
    </row>
    <row r="4757" spans="2:7" x14ac:dyDescent="0.2">
      <c r="B4757" s="32">
        <v>45934</v>
      </c>
      <c r="C4757" t="s">
        <v>109</v>
      </c>
      <c r="D4757" s="13" t="s">
        <v>633</v>
      </c>
      <c r="E4757" t="s">
        <v>1844</v>
      </c>
      <c r="F4757" s="11">
        <v>1</v>
      </c>
      <c r="G4757" s="11">
        <v>58823.53</v>
      </c>
    </row>
    <row r="4758" spans="2:7" x14ac:dyDescent="0.2">
      <c r="B4758" s="32">
        <v>45934</v>
      </c>
      <c r="C4758" t="s">
        <v>109</v>
      </c>
      <c r="D4758" s="13" t="s">
        <v>633</v>
      </c>
      <c r="E4758" t="s">
        <v>654</v>
      </c>
      <c r="F4758" s="11">
        <v>1</v>
      </c>
      <c r="G4758" s="11">
        <v>54621.85</v>
      </c>
    </row>
    <row r="4759" spans="2:7" x14ac:dyDescent="0.2">
      <c r="B4759" s="32">
        <v>45934</v>
      </c>
      <c r="C4759" t="s">
        <v>109</v>
      </c>
      <c r="D4759" s="13" t="s">
        <v>633</v>
      </c>
      <c r="E4759" t="s">
        <v>303</v>
      </c>
      <c r="F4759" s="11">
        <v>1</v>
      </c>
      <c r="G4759" s="11">
        <v>50420.17</v>
      </c>
    </row>
    <row r="4760" spans="2:7" x14ac:dyDescent="0.2">
      <c r="B4760" s="32">
        <v>45934</v>
      </c>
      <c r="C4760" t="s">
        <v>109</v>
      </c>
      <c r="D4760" s="13" t="s">
        <v>633</v>
      </c>
      <c r="E4760" t="s">
        <v>707</v>
      </c>
      <c r="F4760" s="11">
        <v>1</v>
      </c>
      <c r="G4760" s="11">
        <v>46218.49</v>
      </c>
    </row>
    <row r="4761" spans="2:7" x14ac:dyDescent="0.2">
      <c r="B4761" s="32">
        <v>45934</v>
      </c>
      <c r="C4761" t="s">
        <v>109</v>
      </c>
      <c r="D4761" s="13" t="s">
        <v>633</v>
      </c>
      <c r="E4761" t="s">
        <v>397</v>
      </c>
      <c r="F4761" s="11">
        <v>1</v>
      </c>
      <c r="G4761" s="11">
        <v>46218.49</v>
      </c>
    </row>
    <row r="4762" spans="2:7" x14ac:dyDescent="0.2">
      <c r="B4762" s="32">
        <v>45934</v>
      </c>
      <c r="C4762" t="s">
        <v>109</v>
      </c>
      <c r="D4762" s="13" t="s">
        <v>633</v>
      </c>
      <c r="E4762" t="s">
        <v>392</v>
      </c>
      <c r="F4762" s="11">
        <v>1</v>
      </c>
      <c r="G4762" s="11">
        <v>46218.49</v>
      </c>
    </row>
    <row r="4763" spans="2:7" x14ac:dyDescent="0.2">
      <c r="B4763" s="32">
        <v>45934</v>
      </c>
      <c r="C4763" t="s">
        <v>109</v>
      </c>
      <c r="D4763" s="13" t="s">
        <v>633</v>
      </c>
      <c r="E4763" t="s">
        <v>203</v>
      </c>
      <c r="F4763" s="11">
        <v>1</v>
      </c>
      <c r="G4763" s="11">
        <v>42016.81</v>
      </c>
    </row>
    <row r="4764" spans="2:7" x14ac:dyDescent="0.2">
      <c r="B4764" s="32">
        <v>45934</v>
      </c>
      <c r="C4764" t="s">
        <v>109</v>
      </c>
      <c r="D4764" s="13" t="s">
        <v>633</v>
      </c>
      <c r="E4764" t="s">
        <v>182</v>
      </c>
      <c r="F4764" s="11">
        <v>1</v>
      </c>
      <c r="G4764" s="11">
        <v>29411.759999999998</v>
      </c>
    </row>
    <row r="4765" spans="2:7" x14ac:dyDescent="0.2">
      <c r="B4765" s="32">
        <v>45934</v>
      </c>
      <c r="C4765" t="s">
        <v>109</v>
      </c>
      <c r="D4765" s="13" t="s">
        <v>633</v>
      </c>
      <c r="E4765" t="s">
        <v>1822</v>
      </c>
      <c r="F4765" s="11">
        <v>1</v>
      </c>
      <c r="G4765" s="11">
        <v>16806.72</v>
      </c>
    </row>
    <row r="4766" spans="2:7" x14ac:dyDescent="0.2">
      <c r="B4766" s="32">
        <v>45934</v>
      </c>
      <c r="C4766" t="s">
        <v>109</v>
      </c>
      <c r="D4766" s="13" t="s">
        <v>633</v>
      </c>
      <c r="E4766" t="s">
        <v>144</v>
      </c>
      <c r="F4766" s="11">
        <v>2</v>
      </c>
      <c r="G4766" s="11">
        <v>15966.39</v>
      </c>
    </row>
    <row r="4767" spans="2:7" x14ac:dyDescent="0.2">
      <c r="B4767" s="32">
        <v>45935</v>
      </c>
      <c r="C4767" t="s">
        <v>142</v>
      </c>
      <c r="D4767" s="13" t="s">
        <v>634</v>
      </c>
      <c r="E4767" t="s">
        <v>308</v>
      </c>
      <c r="F4767" s="11">
        <v>1</v>
      </c>
      <c r="G4767" s="11">
        <v>100840.33</v>
      </c>
    </row>
    <row r="4768" spans="2:7" x14ac:dyDescent="0.2">
      <c r="B4768" s="32">
        <v>45935</v>
      </c>
      <c r="C4768" t="s">
        <v>142</v>
      </c>
      <c r="D4768" s="13" t="s">
        <v>634</v>
      </c>
      <c r="E4768" t="s">
        <v>2025</v>
      </c>
      <c r="F4768" s="11">
        <v>1</v>
      </c>
      <c r="G4768" s="11">
        <v>92436.97</v>
      </c>
    </row>
    <row r="4769" spans="2:7" x14ac:dyDescent="0.2">
      <c r="B4769" s="32">
        <v>45935</v>
      </c>
      <c r="C4769" t="s">
        <v>142</v>
      </c>
      <c r="D4769" s="13" t="s">
        <v>634</v>
      </c>
      <c r="E4769" t="s">
        <v>806</v>
      </c>
      <c r="F4769" s="11">
        <v>1</v>
      </c>
      <c r="G4769" s="11">
        <v>92436.97</v>
      </c>
    </row>
    <row r="4770" spans="2:7" x14ac:dyDescent="0.2">
      <c r="B4770" s="32">
        <v>45935</v>
      </c>
      <c r="C4770" t="s">
        <v>142</v>
      </c>
      <c r="D4770" s="13" t="s">
        <v>634</v>
      </c>
      <c r="E4770" t="s">
        <v>221</v>
      </c>
      <c r="F4770" s="11">
        <v>1</v>
      </c>
      <c r="G4770" s="11">
        <v>46218.49</v>
      </c>
    </row>
    <row r="4771" spans="2:7" x14ac:dyDescent="0.2">
      <c r="B4771" s="32">
        <v>45935</v>
      </c>
      <c r="C4771" t="s">
        <v>142</v>
      </c>
      <c r="D4771" s="13" t="s">
        <v>634</v>
      </c>
      <c r="E4771" t="s">
        <v>210</v>
      </c>
      <c r="F4771" s="11">
        <v>1</v>
      </c>
      <c r="G4771" s="11">
        <v>46218.49</v>
      </c>
    </row>
    <row r="4772" spans="2:7" x14ac:dyDescent="0.2">
      <c r="B4772" s="32">
        <v>45935</v>
      </c>
      <c r="C4772" t="s">
        <v>142</v>
      </c>
      <c r="D4772" s="13" t="s">
        <v>634</v>
      </c>
      <c r="E4772" t="s">
        <v>229</v>
      </c>
      <c r="F4772" s="11">
        <v>1</v>
      </c>
      <c r="G4772" s="11">
        <v>42016.81</v>
      </c>
    </row>
    <row r="4773" spans="2:7" x14ac:dyDescent="0.2">
      <c r="B4773" s="32">
        <v>45935</v>
      </c>
      <c r="C4773" t="s">
        <v>142</v>
      </c>
      <c r="D4773" s="13" t="s">
        <v>633</v>
      </c>
      <c r="E4773" t="s">
        <v>447</v>
      </c>
      <c r="F4773" s="11">
        <v>1</v>
      </c>
      <c r="G4773" s="11">
        <v>58823.53</v>
      </c>
    </row>
    <row r="4774" spans="2:7" x14ac:dyDescent="0.2">
      <c r="B4774" s="32">
        <v>45935</v>
      </c>
      <c r="C4774" t="s">
        <v>142</v>
      </c>
      <c r="D4774" s="13" t="s">
        <v>633</v>
      </c>
      <c r="E4774" t="s">
        <v>793</v>
      </c>
      <c r="F4774" s="11">
        <v>1</v>
      </c>
      <c r="G4774" s="11">
        <v>46218.49</v>
      </c>
    </row>
    <row r="4775" spans="2:7" x14ac:dyDescent="0.2">
      <c r="B4775" s="32">
        <v>45935</v>
      </c>
      <c r="C4775" t="s">
        <v>109</v>
      </c>
      <c r="D4775" s="13" t="s">
        <v>634</v>
      </c>
      <c r="E4775" t="s">
        <v>365</v>
      </c>
      <c r="F4775" s="11">
        <v>1</v>
      </c>
      <c r="G4775" s="11">
        <v>100840.34</v>
      </c>
    </row>
    <row r="4776" spans="2:7" x14ac:dyDescent="0.2">
      <c r="B4776" s="32">
        <v>45935</v>
      </c>
      <c r="C4776" t="s">
        <v>109</v>
      </c>
      <c r="D4776" s="13" t="s">
        <v>634</v>
      </c>
      <c r="E4776" t="s">
        <v>283</v>
      </c>
      <c r="F4776" s="11">
        <v>1</v>
      </c>
      <c r="G4776" s="11">
        <v>100840.33</v>
      </c>
    </row>
    <row r="4777" spans="2:7" x14ac:dyDescent="0.2">
      <c r="B4777" s="32">
        <v>45935</v>
      </c>
      <c r="C4777" t="s">
        <v>109</v>
      </c>
      <c r="D4777" s="13" t="s">
        <v>634</v>
      </c>
      <c r="E4777" t="s">
        <v>336</v>
      </c>
      <c r="F4777" s="11">
        <v>1</v>
      </c>
      <c r="G4777" s="11">
        <v>71428.570000000007</v>
      </c>
    </row>
    <row r="4778" spans="2:7" x14ac:dyDescent="0.2">
      <c r="B4778" s="32">
        <v>45935</v>
      </c>
      <c r="C4778" t="s">
        <v>109</v>
      </c>
      <c r="D4778" s="13" t="s">
        <v>634</v>
      </c>
      <c r="E4778" t="s">
        <v>275</v>
      </c>
      <c r="F4778" s="11">
        <v>1</v>
      </c>
      <c r="G4778" s="11">
        <v>58823.53</v>
      </c>
    </row>
    <row r="4779" spans="2:7" x14ac:dyDescent="0.2">
      <c r="B4779" s="32">
        <v>45935</v>
      </c>
      <c r="C4779" t="s">
        <v>109</v>
      </c>
      <c r="D4779" s="13" t="s">
        <v>634</v>
      </c>
      <c r="E4779" t="s">
        <v>279</v>
      </c>
      <c r="F4779" s="11">
        <v>1</v>
      </c>
      <c r="G4779" s="11">
        <v>58823.53</v>
      </c>
    </row>
    <row r="4780" spans="2:7" x14ac:dyDescent="0.2">
      <c r="B4780" s="32">
        <v>45935</v>
      </c>
      <c r="C4780" t="s">
        <v>109</v>
      </c>
      <c r="D4780" s="13" t="s">
        <v>634</v>
      </c>
      <c r="E4780" t="s">
        <v>318</v>
      </c>
      <c r="F4780" s="11">
        <v>1</v>
      </c>
      <c r="G4780" s="11">
        <v>58823.53</v>
      </c>
    </row>
    <row r="4781" spans="2:7" x14ac:dyDescent="0.2">
      <c r="B4781" s="32">
        <v>45935</v>
      </c>
      <c r="C4781" t="s">
        <v>109</v>
      </c>
      <c r="D4781" s="13" t="s">
        <v>634</v>
      </c>
      <c r="E4781" t="s">
        <v>2026</v>
      </c>
      <c r="F4781" s="11">
        <v>1</v>
      </c>
      <c r="G4781" s="11">
        <v>50420.17</v>
      </c>
    </row>
    <row r="4782" spans="2:7" x14ac:dyDescent="0.2">
      <c r="B4782" s="32">
        <v>45935</v>
      </c>
      <c r="C4782" t="s">
        <v>109</v>
      </c>
      <c r="D4782" s="13" t="s">
        <v>634</v>
      </c>
      <c r="E4782" t="s">
        <v>239</v>
      </c>
      <c r="F4782" s="11">
        <v>1</v>
      </c>
      <c r="G4782" s="11">
        <v>46218.49</v>
      </c>
    </row>
    <row r="4783" spans="2:7" x14ac:dyDescent="0.2">
      <c r="B4783" s="32">
        <v>45935</v>
      </c>
      <c r="C4783" t="s">
        <v>109</v>
      </c>
      <c r="D4783" s="13" t="s">
        <v>634</v>
      </c>
      <c r="E4783" t="s">
        <v>148</v>
      </c>
      <c r="F4783" s="11">
        <v>1</v>
      </c>
      <c r="G4783" s="11">
        <v>37815.120000000003</v>
      </c>
    </row>
    <row r="4784" spans="2:7" x14ac:dyDescent="0.2">
      <c r="B4784" s="32">
        <v>45935</v>
      </c>
      <c r="C4784" t="s">
        <v>109</v>
      </c>
      <c r="D4784" s="13" t="s">
        <v>634</v>
      </c>
      <c r="E4784" t="s">
        <v>522</v>
      </c>
      <c r="F4784" s="11">
        <v>1</v>
      </c>
      <c r="G4784" s="11">
        <v>35000</v>
      </c>
    </row>
    <row r="4785" spans="2:7" x14ac:dyDescent="0.2">
      <c r="B4785" s="32">
        <v>45935</v>
      </c>
      <c r="C4785" t="s">
        <v>109</v>
      </c>
      <c r="D4785" s="13" t="s">
        <v>633</v>
      </c>
      <c r="E4785" t="s">
        <v>780</v>
      </c>
      <c r="F4785" s="11">
        <v>1</v>
      </c>
      <c r="G4785" s="11">
        <v>294117.65000000002</v>
      </c>
    </row>
    <row r="4786" spans="2:7" x14ac:dyDescent="0.2">
      <c r="B4786" s="32">
        <v>45935</v>
      </c>
      <c r="C4786" t="s">
        <v>109</v>
      </c>
      <c r="D4786" s="13" t="s">
        <v>633</v>
      </c>
      <c r="E4786" t="s">
        <v>292</v>
      </c>
      <c r="F4786" s="11">
        <v>1</v>
      </c>
      <c r="G4786" s="11">
        <v>100840.34</v>
      </c>
    </row>
    <row r="4787" spans="2:7" x14ac:dyDescent="0.2">
      <c r="B4787" s="32">
        <v>45935</v>
      </c>
      <c r="C4787" t="s">
        <v>109</v>
      </c>
      <c r="D4787" s="13" t="s">
        <v>633</v>
      </c>
      <c r="E4787" t="s">
        <v>328</v>
      </c>
      <c r="F4787" s="11">
        <v>2</v>
      </c>
      <c r="G4787" s="11">
        <v>75630.259999999995</v>
      </c>
    </row>
    <row r="4788" spans="2:7" x14ac:dyDescent="0.2">
      <c r="B4788" s="32">
        <v>45935</v>
      </c>
      <c r="C4788" t="s">
        <v>109</v>
      </c>
      <c r="D4788" s="13" t="s">
        <v>633</v>
      </c>
      <c r="E4788" t="s">
        <v>340</v>
      </c>
      <c r="F4788" s="11">
        <v>1</v>
      </c>
      <c r="G4788" s="11">
        <v>75630.25</v>
      </c>
    </row>
    <row r="4789" spans="2:7" x14ac:dyDescent="0.2">
      <c r="B4789" s="32">
        <v>45935</v>
      </c>
      <c r="C4789" t="s">
        <v>109</v>
      </c>
      <c r="D4789" s="13" t="s">
        <v>633</v>
      </c>
      <c r="E4789" t="s">
        <v>2011</v>
      </c>
      <c r="F4789" s="11">
        <v>1</v>
      </c>
      <c r="G4789" s="11">
        <v>54621.85</v>
      </c>
    </row>
    <row r="4790" spans="2:7" x14ac:dyDescent="0.2">
      <c r="B4790" s="32">
        <v>45935</v>
      </c>
      <c r="C4790" t="s">
        <v>109</v>
      </c>
      <c r="D4790" s="13" t="s">
        <v>633</v>
      </c>
      <c r="E4790" t="s">
        <v>161</v>
      </c>
      <c r="F4790" s="11">
        <v>1</v>
      </c>
      <c r="G4790" s="11">
        <v>42016.800000000003</v>
      </c>
    </row>
    <row r="4791" spans="2:7" x14ac:dyDescent="0.2">
      <c r="B4791" s="32">
        <v>45935</v>
      </c>
      <c r="C4791" t="s">
        <v>109</v>
      </c>
      <c r="D4791" s="13" t="s">
        <v>633</v>
      </c>
      <c r="E4791" t="s">
        <v>206</v>
      </c>
      <c r="F4791" s="11">
        <v>1</v>
      </c>
      <c r="G4791" s="11">
        <v>37815.129999999997</v>
      </c>
    </row>
    <row r="4792" spans="2:7" x14ac:dyDescent="0.2">
      <c r="B4792" s="32">
        <v>45935</v>
      </c>
      <c r="C4792" t="s">
        <v>109</v>
      </c>
      <c r="D4792" s="13" t="s">
        <v>633</v>
      </c>
      <c r="E4792" t="s">
        <v>173</v>
      </c>
      <c r="F4792" s="11">
        <v>1</v>
      </c>
      <c r="G4792" s="11">
        <v>37815.120000000003</v>
      </c>
    </row>
    <row r="4793" spans="2:7" x14ac:dyDescent="0.2">
      <c r="B4793" s="32">
        <v>45935</v>
      </c>
      <c r="C4793" t="s">
        <v>109</v>
      </c>
      <c r="D4793" s="13" t="s">
        <v>633</v>
      </c>
      <c r="E4793" t="s">
        <v>144</v>
      </c>
      <c r="F4793" s="11">
        <v>1</v>
      </c>
      <c r="G4793" s="11">
        <v>18487.39</v>
      </c>
    </row>
    <row r="4794" spans="2:7" x14ac:dyDescent="0.2">
      <c r="B4794" s="32">
        <v>45936</v>
      </c>
      <c r="C4794" t="s">
        <v>108</v>
      </c>
      <c r="D4794" s="13" t="s">
        <v>633</v>
      </c>
      <c r="E4794" t="s">
        <v>2027</v>
      </c>
      <c r="F4794" s="11">
        <v>150</v>
      </c>
      <c r="G4794" s="11">
        <v>1607142.86</v>
      </c>
    </row>
    <row r="4795" spans="2:7" x14ac:dyDescent="0.2">
      <c r="B4795" s="32">
        <v>45936</v>
      </c>
      <c r="C4795" t="s">
        <v>142</v>
      </c>
      <c r="D4795" s="13" t="s">
        <v>634</v>
      </c>
      <c r="E4795" t="s">
        <v>274</v>
      </c>
      <c r="F4795" s="11">
        <v>1</v>
      </c>
      <c r="G4795" s="11">
        <v>100840.34</v>
      </c>
    </row>
    <row r="4796" spans="2:7" x14ac:dyDescent="0.2">
      <c r="B4796" s="32">
        <v>45936</v>
      </c>
      <c r="C4796" t="s">
        <v>142</v>
      </c>
      <c r="D4796" s="13" t="s">
        <v>634</v>
      </c>
      <c r="E4796" t="s">
        <v>2028</v>
      </c>
      <c r="F4796" s="11">
        <v>1</v>
      </c>
      <c r="G4796" s="11">
        <v>100840.34</v>
      </c>
    </row>
    <row r="4797" spans="2:7" x14ac:dyDescent="0.2">
      <c r="B4797" s="32">
        <v>45936</v>
      </c>
      <c r="C4797" t="s">
        <v>142</v>
      </c>
      <c r="D4797" s="13" t="s">
        <v>634</v>
      </c>
      <c r="E4797" t="s">
        <v>551</v>
      </c>
      <c r="F4797" s="11">
        <v>1</v>
      </c>
      <c r="G4797" s="11">
        <v>100840.33</v>
      </c>
    </row>
    <row r="4798" spans="2:7" x14ac:dyDescent="0.2">
      <c r="B4798" s="32">
        <v>45936</v>
      </c>
      <c r="C4798" t="s">
        <v>142</v>
      </c>
      <c r="D4798" s="13" t="s">
        <v>634</v>
      </c>
      <c r="E4798" t="s">
        <v>751</v>
      </c>
      <c r="F4798" s="11">
        <v>1</v>
      </c>
      <c r="G4798" s="11">
        <v>58823.53</v>
      </c>
    </row>
    <row r="4799" spans="2:7" x14ac:dyDescent="0.2">
      <c r="B4799" s="32">
        <v>45936</v>
      </c>
      <c r="C4799" t="s">
        <v>142</v>
      </c>
      <c r="D4799" s="13" t="s">
        <v>634</v>
      </c>
      <c r="E4799" t="s">
        <v>233</v>
      </c>
      <c r="F4799" s="11">
        <v>1</v>
      </c>
      <c r="G4799" s="11">
        <v>58823.53</v>
      </c>
    </row>
    <row r="4800" spans="2:7" x14ac:dyDescent="0.2">
      <c r="B4800" s="32">
        <v>45936</v>
      </c>
      <c r="C4800" t="s">
        <v>142</v>
      </c>
      <c r="D4800" s="13" t="s">
        <v>634</v>
      </c>
      <c r="E4800" t="s">
        <v>328</v>
      </c>
      <c r="F4800" s="11">
        <v>1</v>
      </c>
      <c r="G4800" s="11">
        <v>37815.129999999997</v>
      </c>
    </row>
    <row r="4801" spans="2:7" x14ac:dyDescent="0.2">
      <c r="B4801" s="32">
        <v>45936</v>
      </c>
      <c r="C4801" t="s">
        <v>142</v>
      </c>
      <c r="D4801" s="13" t="s">
        <v>634</v>
      </c>
      <c r="E4801" t="s">
        <v>218</v>
      </c>
      <c r="F4801" s="11">
        <v>1</v>
      </c>
      <c r="G4801" s="11">
        <v>29411.759999999998</v>
      </c>
    </row>
    <row r="4802" spans="2:7" x14ac:dyDescent="0.2">
      <c r="B4802" s="32">
        <v>45936</v>
      </c>
      <c r="C4802" t="s">
        <v>110</v>
      </c>
      <c r="D4802" s="13" t="s">
        <v>633</v>
      </c>
      <c r="E4802" t="s">
        <v>427</v>
      </c>
      <c r="F4802" s="11">
        <v>1</v>
      </c>
      <c r="G4802" s="11">
        <v>54621.85</v>
      </c>
    </row>
    <row r="4803" spans="2:7" x14ac:dyDescent="0.2">
      <c r="B4803" s="32">
        <v>45936</v>
      </c>
      <c r="C4803" t="s">
        <v>109</v>
      </c>
      <c r="D4803" s="13" t="s">
        <v>634</v>
      </c>
      <c r="E4803" t="s">
        <v>2029</v>
      </c>
      <c r="F4803" s="11">
        <v>1</v>
      </c>
      <c r="G4803" s="11">
        <v>243697.48</v>
      </c>
    </row>
    <row r="4804" spans="2:7" x14ac:dyDescent="0.2">
      <c r="B4804" s="32">
        <v>45936</v>
      </c>
      <c r="C4804" t="s">
        <v>109</v>
      </c>
      <c r="D4804" s="13" t="s">
        <v>634</v>
      </c>
      <c r="E4804" t="s">
        <v>291</v>
      </c>
      <c r="F4804" s="11">
        <v>2</v>
      </c>
      <c r="G4804" s="11">
        <v>92436.97</v>
      </c>
    </row>
    <row r="4805" spans="2:7" x14ac:dyDescent="0.2">
      <c r="B4805" s="32">
        <v>45936</v>
      </c>
      <c r="C4805" t="s">
        <v>109</v>
      </c>
      <c r="D4805" s="13" t="s">
        <v>634</v>
      </c>
      <c r="E4805" t="s">
        <v>563</v>
      </c>
      <c r="F4805" s="11">
        <v>1</v>
      </c>
      <c r="G4805" s="11">
        <v>92436.97</v>
      </c>
    </row>
    <row r="4806" spans="2:7" x14ac:dyDescent="0.2">
      <c r="B4806" s="32">
        <v>45936</v>
      </c>
      <c r="C4806" t="s">
        <v>109</v>
      </c>
      <c r="D4806" s="13" t="s">
        <v>634</v>
      </c>
      <c r="E4806" t="s">
        <v>147</v>
      </c>
      <c r="F4806" s="11">
        <v>1</v>
      </c>
      <c r="G4806" s="11">
        <v>71428.570000000007</v>
      </c>
    </row>
    <row r="4807" spans="2:7" x14ac:dyDescent="0.2">
      <c r="B4807" s="32">
        <v>45936</v>
      </c>
      <c r="C4807" t="s">
        <v>109</v>
      </c>
      <c r="D4807" s="13" t="s">
        <v>634</v>
      </c>
      <c r="E4807" t="s">
        <v>357</v>
      </c>
      <c r="F4807" s="11">
        <v>1</v>
      </c>
      <c r="G4807" s="11">
        <v>71428.570000000007</v>
      </c>
    </row>
    <row r="4808" spans="2:7" x14ac:dyDescent="0.2">
      <c r="B4808" s="32">
        <v>45936</v>
      </c>
      <c r="C4808" t="s">
        <v>109</v>
      </c>
      <c r="D4808" s="13" t="s">
        <v>634</v>
      </c>
      <c r="E4808" t="s">
        <v>320</v>
      </c>
      <c r="F4808" s="11">
        <v>1</v>
      </c>
      <c r="G4808" s="11">
        <v>58823.53</v>
      </c>
    </row>
    <row r="4809" spans="2:7" x14ac:dyDescent="0.2">
      <c r="B4809" s="32">
        <v>45936</v>
      </c>
      <c r="C4809" t="s">
        <v>109</v>
      </c>
      <c r="D4809" s="13" t="s">
        <v>634</v>
      </c>
      <c r="E4809" t="s">
        <v>238</v>
      </c>
      <c r="F4809" s="11">
        <v>1</v>
      </c>
      <c r="G4809" s="11">
        <v>46218.49</v>
      </c>
    </row>
    <row r="4810" spans="2:7" x14ac:dyDescent="0.2">
      <c r="B4810" s="32">
        <v>45936</v>
      </c>
      <c r="C4810" t="s">
        <v>109</v>
      </c>
      <c r="D4810" s="13" t="s">
        <v>634</v>
      </c>
      <c r="E4810" t="s">
        <v>234</v>
      </c>
      <c r="F4810" s="11">
        <v>1</v>
      </c>
      <c r="G4810" s="11">
        <v>37815.129999999997</v>
      </c>
    </row>
    <row r="4811" spans="2:7" x14ac:dyDescent="0.2">
      <c r="B4811" s="32">
        <v>45936</v>
      </c>
      <c r="C4811" t="s">
        <v>109</v>
      </c>
      <c r="D4811" s="13" t="s">
        <v>634</v>
      </c>
      <c r="E4811" t="s">
        <v>1846</v>
      </c>
      <c r="F4811" s="11">
        <v>1</v>
      </c>
      <c r="G4811" s="11">
        <v>21008.400000000001</v>
      </c>
    </row>
    <row r="4812" spans="2:7" x14ac:dyDescent="0.2">
      <c r="B4812" s="32">
        <v>45936</v>
      </c>
      <c r="C4812" t="s">
        <v>109</v>
      </c>
      <c r="D4812" s="13" t="s">
        <v>634</v>
      </c>
      <c r="E4812" t="s">
        <v>2030</v>
      </c>
      <c r="F4812" s="11">
        <v>1</v>
      </c>
      <c r="G4812" s="11">
        <v>16806.72</v>
      </c>
    </row>
    <row r="4813" spans="2:7" x14ac:dyDescent="0.2">
      <c r="B4813" s="32">
        <v>45936</v>
      </c>
      <c r="C4813" t="s">
        <v>109</v>
      </c>
      <c r="D4813" s="13" t="s">
        <v>633</v>
      </c>
      <c r="E4813" t="s">
        <v>1873</v>
      </c>
      <c r="F4813" s="11">
        <v>2</v>
      </c>
      <c r="G4813" s="11">
        <v>302521</v>
      </c>
    </row>
    <row r="4814" spans="2:7" x14ac:dyDescent="0.2">
      <c r="B4814" s="32">
        <v>45936</v>
      </c>
      <c r="C4814" t="s">
        <v>109</v>
      </c>
      <c r="D4814" s="13" t="s">
        <v>633</v>
      </c>
      <c r="E4814" t="s">
        <v>191</v>
      </c>
      <c r="F4814" s="11">
        <v>1</v>
      </c>
      <c r="G4814" s="11">
        <v>130252.1</v>
      </c>
    </row>
    <row r="4815" spans="2:7" x14ac:dyDescent="0.2">
      <c r="B4815" s="32">
        <v>45936</v>
      </c>
      <c r="C4815" t="s">
        <v>109</v>
      </c>
      <c r="D4815" s="13" t="s">
        <v>633</v>
      </c>
      <c r="E4815" t="s">
        <v>1871</v>
      </c>
      <c r="F4815" s="11">
        <v>1</v>
      </c>
      <c r="G4815" s="11">
        <v>126050.42</v>
      </c>
    </row>
    <row r="4816" spans="2:7" x14ac:dyDescent="0.2">
      <c r="B4816" s="32">
        <v>45936</v>
      </c>
      <c r="C4816" t="s">
        <v>109</v>
      </c>
      <c r="D4816" s="13" t="s">
        <v>633</v>
      </c>
      <c r="E4816" t="s">
        <v>413</v>
      </c>
      <c r="F4816" s="11">
        <v>1</v>
      </c>
      <c r="G4816" s="11">
        <v>100840.34</v>
      </c>
    </row>
    <row r="4817" spans="2:7" x14ac:dyDescent="0.2">
      <c r="B4817" s="32">
        <v>45936</v>
      </c>
      <c r="C4817" t="s">
        <v>109</v>
      </c>
      <c r="D4817" s="13" t="s">
        <v>633</v>
      </c>
      <c r="E4817" t="s">
        <v>624</v>
      </c>
      <c r="F4817" s="11">
        <v>1</v>
      </c>
      <c r="G4817" s="11">
        <v>71428.570000000007</v>
      </c>
    </row>
    <row r="4818" spans="2:7" x14ac:dyDescent="0.2">
      <c r="B4818" s="32">
        <v>45936</v>
      </c>
      <c r="C4818" t="s">
        <v>109</v>
      </c>
      <c r="D4818" s="13" t="s">
        <v>633</v>
      </c>
      <c r="E4818" t="s">
        <v>635</v>
      </c>
      <c r="F4818" s="11">
        <v>20</v>
      </c>
      <c r="G4818" s="11">
        <v>58823.53</v>
      </c>
    </row>
    <row r="4819" spans="2:7" x14ac:dyDescent="0.2">
      <c r="B4819" s="32">
        <v>45936</v>
      </c>
      <c r="C4819" t="s">
        <v>109</v>
      </c>
      <c r="D4819" s="13" t="s">
        <v>633</v>
      </c>
      <c r="E4819" t="s">
        <v>325</v>
      </c>
      <c r="F4819" s="11">
        <v>1</v>
      </c>
      <c r="G4819" s="11">
        <v>58823.53</v>
      </c>
    </row>
    <row r="4820" spans="2:7" x14ac:dyDescent="0.2">
      <c r="B4820" s="32">
        <v>45936</v>
      </c>
      <c r="C4820" t="s">
        <v>109</v>
      </c>
      <c r="D4820" s="13" t="s">
        <v>633</v>
      </c>
      <c r="E4820" t="s">
        <v>201</v>
      </c>
      <c r="F4820" s="11">
        <v>2</v>
      </c>
      <c r="G4820" s="11">
        <v>44537.82</v>
      </c>
    </row>
    <row r="4821" spans="2:7" x14ac:dyDescent="0.2">
      <c r="B4821" s="32">
        <v>45936</v>
      </c>
      <c r="C4821" t="s">
        <v>109</v>
      </c>
      <c r="D4821" s="13" t="s">
        <v>633</v>
      </c>
      <c r="F4821" s="11">
        <v>1</v>
      </c>
      <c r="G4821" s="11">
        <v>1</v>
      </c>
    </row>
    <row r="4822" spans="2:7" x14ac:dyDescent="0.2">
      <c r="B4822" s="32">
        <v>45937</v>
      </c>
      <c r="C4822" t="s">
        <v>142</v>
      </c>
      <c r="D4822" s="13" t="s">
        <v>634</v>
      </c>
      <c r="E4822" t="s">
        <v>163</v>
      </c>
      <c r="F4822" s="11">
        <v>1</v>
      </c>
      <c r="G4822" s="11">
        <v>58823.53</v>
      </c>
    </row>
    <row r="4823" spans="2:7" x14ac:dyDescent="0.2">
      <c r="B4823" s="32">
        <v>45937</v>
      </c>
      <c r="C4823" t="s">
        <v>142</v>
      </c>
      <c r="D4823" s="13" t="s">
        <v>634</v>
      </c>
      <c r="E4823" t="s">
        <v>233</v>
      </c>
      <c r="F4823" s="11">
        <v>1</v>
      </c>
      <c r="G4823" s="11">
        <v>58823.53</v>
      </c>
    </row>
    <row r="4824" spans="2:7" x14ac:dyDescent="0.2">
      <c r="B4824" s="32">
        <v>45937</v>
      </c>
      <c r="C4824" t="s">
        <v>142</v>
      </c>
      <c r="D4824" s="13" t="s">
        <v>634</v>
      </c>
      <c r="E4824" t="s">
        <v>1796</v>
      </c>
      <c r="F4824" s="11">
        <v>2</v>
      </c>
      <c r="G4824" s="11">
        <v>42016.81</v>
      </c>
    </row>
    <row r="4825" spans="2:7" x14ac:dyDescent="0.2">
      <c r="B4825" s="32">
        <v>45937</v>
      </c>
      <c r="C4825" t="s">
        <v>142</v>
      </c>
      <c r="D4825" s="13" t="s">
        <v>634</v>
      </c>
      <c r="F4825" s="11">
        <v>0</v>
      </c>
      <c r="G4825" s="11">
        <v>0</v>
      </c>
    </row>
    <row r="4826" spans="2:7" x14ac:dyDescent="0.2">
      <c r="B4826" s="32">
        <v>45937</v>
      </c>
      <c r="C4826" t="s">
        <v>142</v>
      </c>
      <c r="D4826" s="13" t="s">
        <v>633</v>
      </c>
      <c r="E4826" t="s">
        <v>439</v>
      </c>
      <c r="F4826" s="11">
        <v>1</v>
      </c>
      <c r="G4826" s="11">
        <v>109243.7</v>
      </c>
    </row>
    <row r="4827" spans="2:7" x14ac:dyDescent="0.2">
      <c r="B4827" s="32">
        <v>45937</v>
      </c>
      <c r="C4827" t="s">
        <v>142</v>
      </c>
      <c r="D4827" s="13" t="s">
        <v>633</v>
      </c>
      <c r="E4827" t="s">
        <v>147</v>
      </c>
      <c r="F4827" s="11">
        <v>1</v>
      </c>
      <c r="G4827" s="11">
        <v>71428.570000000007</v>
      </c>
    </row>
    <row r="4828" spans="2:7" x14ac:dyDescent="0.2">
      <c r="B4828" s="32">
        <v>45937</v>
      </c>
      <c r="C4828" t="s">
        <v>110</v>
      </c>
      <c r="D4828" s="13" t="s">
        <v>634</v>
      </c>
      <c r="E4828" t="s">
        <v>1988</v>
      </c>
      <c r="F4828" s="11">
        <v>1</v>
      </c>
      <c r="G4828" s="11">
        <v>71428.570000000007</v>
      </c>
    </row>
    <row r="4829" spans="2:7" x14ac:dyDescent="0.2">
      <c r="B4829" s="32">
        <v>45937</v>
      </c>
      <c r="C4829" t="s">
        <v>110</v>
      </c>
      <c r="D4829" s="13" t="s">
        <v>634</v>
      </c>
      <c r="E4829" t="s">
        <v>303</v>
      </c>
      <c r="F4829" s="11">
        <v>1</v>
      </c>
      <c r="G4829" s="11">
        <v>50420.17</v>
      </c>
    </row>
    <row r="4830" spans="2:7" x14ac:dyDescent="0.2">
      <c r="B4830" s="32">
        <v>45937</v>
      </c>
      <c r="C4830" t="s">
        <v>1739</v>
      </c>
      <c r="D4830" s="13" t="s">
        <v>633</v>
      </c>
      <c r="E4830" t="s">
        <v>312</v>
      </c>
      <c r="F4830" s="11">
        <v>3</v>
      </c>
      <c r="G4830" s="11">
        <v>163865.54999999999</v>
      </c>
    </row>
    <row r="4831" spans="2:7" x14ac:dyDescent="0.2">
      <c r="B4831" s="32">
        <v>45937</v>
      </c>
      <c r="C4831" t="s">
        <v>109</v>
      </c>
      <c r="D4831" s="13" t="s">
        <v>634</v>
      </c>
      <c r="E4831" t="s">
        <v>439</v>
      </c>
      <c r="F4831" s="11">
        <v>1</v>
      </c>
      <c r="G4831" s="11">
        <v>126050.42</v>
      </c>
    </row>
    <row r="4832" spans="2:7" x14ac:dyDescent="0.2">
      <c r="B4832" s="32">
        <v>45937</v>
      </c>
      <c r="C4832" t="s">
        <v>109</v>
      </c>
      <c r="D4832" s="13" t="s">
        <v>634</v>
      </c>
      <c r="E4832" t="s">
        <v>352</v>
      </c>
      <c r="F4832" s="11">
        <v>1</v>
      </c>
      <c r="G4832" s="11">
        <v>71428.570000000007</v>
      </c>
    </row>
    <row r="4833" spans="2:7" x14ac:dyDescent="0.2">
      <c r="B4833" s="32">
        <v>45937</v>
      </c>
      <c r="C4833" t="s">
        <v>109</v>
      </c>
      <c r="D4833" s="13" t="s">
        <v>634</v>
      </c>
      <c r="E4833" t="s">
        <v>212</v>
      </c>
      <c r="F4833" s="11">
        <v>1</v>
      </c>
      <c r="G4833" s="11">
        <v>54621.85</v>
      </c>
    </row>
    <row r="4834" spans="2:7" x14ac:dyDescent="0.2">
      <c r="B4834" s="32">
        <v>45937</v>
      </c>
      <c r="C4834" t="s">
        <v>109</v>
      </c>
      <c r="D4834" s="13" t="s">
        <v>634</v>
      </c>
      <c r="E4834" t="s">
        <v>427</v>
      </c>
      <c r="F4834" s="11">
        <v>1</v>
      </c>
      <c r="G4834" s="11">
        <v>54621.85</v>
      </c>
    </row>
    <row r="4835" spans="2:7" x14ac:dyDescent="0.2">
      <c r="B4835" s="32">
        <v>45937</v>
      </c>
      <c r="C4835" t="s">
        <v>109</v>
      </c>
      <c r="D4835" s="13" t="s">
        <v>634</v>
      </c>
      <c r="E4835" t="s">
        <v>198</v>
      </c>
      <c r="F4835" s="11">
        <v>1</v>
      </c>
      <c r="G4835" s="11">
        <v>46218.49</v>
      </c>
    </row>
    <row r="4836" spans="2:7" x14ac:dyDescent="0.2">
      <c r="B4836" s="32">
        <v>45937</v>
      </c>
      <c r="C4836" t="s">
        <v>109</v>
      </c>
      <c r="D4836" s="13" t="s">
        <v>634</v>
      </c>
      <c r="E4836" t="s">
        <v>1918</v>
      </c>
      <c r="F4836" s="11">
        <v>1</v>
      </c>
      <c r="G4836" s="11">
        <v>42016.800000000003</v>
      </c>
    </row>
    <row r="4837" spans="2:7" x14ac:dyDescent="0.2">
      <c r="B4837" s="32">
        <v>45937</v>
      </c>
      <c r="C4837" t="s">
        <v>109</v>
      </c>
      <c r="D4837" s="13" t="s">
        <v>634</v>
      </c>
      <c r="E4837" t="s">
        <v>722</v>
      </c>
      <c r="F4837" s="11">
        <v>1</v>
      </c>
      <c r="G4837" s="11">
        <v>37815.129999999997</v>
      </c>
    </row>
    <row r="4838" spans="2:7" x14ac:dyDescent="0.2">
      <c r="B4838" s="32">
        <v>45937</v>
      </c>
      <c r="C4838" t="s">
        <v>109</v>
      </c>
      <c r="D4838" s="13" t="s">
        <v>634</v>
      </c>
      <c r="E4838" t="s">
        <v>204</v>
      </c>
      <c r="F4838" s="11">
        <v>1</v>
      </c>
      <c r="G4838" s="11">
        <v>37815.129999999997</v>
      </c>
    </row>
    <row r="4839" spans="2:7" x14ac:dyDescent="0.2">
      <c r="B4839" s="32">
        <v>45937</v>
      </c>
      <c r="C4839" t="s">
        <v>109</v>
      </c>
      <c r="D4839" s="13" t="s">
        <v>634</v>
      </c>
      <c r="E4839" t="s">
        <v>144</v>
      </c>
      <c r="F4839" s="11">
        <v>2</v>
      </c>
      <c r="G4839" s="11">
        <v>36974.79</v>
      </c>
    </row>
    <row r="4840" spans="2:7" x14ac:dyDescent="0.2">
      <c r="B4840" s="32">
        <v>45937</v>
      </c>
      <c r="C4840" t="s">
        <v>109</v>
      </c>
      <c r="D4840" s="13" t="s">
        <v>634</v>
      </c>
      <c r="E4840" t="s">
        <v>218</v>
      </c>
      <c r="F4840" s="11">
        <v>1</v>
      </c>
      <c r="G4840" s="11">
        <v>29411.759999999998</v>
      </c>
    </row>
    <row r="4841" spans="2:7" x14ac:dyDescent="0.2">
      <c r="B4841" s="32">
        <v>45937</v>
      </c>
      <c r="C4841" t="s">
        <v>109</v>
      </c>
      <c r="D4841" s="13" t="s">
        <v>634</v>
      </c>
      <c r="E4841" t="s">
        <v>2030</v>
      </c>
      <c r="F4841" s="11">
        <v>1</v>
      </c>
      <c r="G4841" s="11">
        <v>16806.72</v>
      </c>
    </row>
    <row r="4842" spans="2:7" x14ac:dyDescent="0.2">
      <c r="B4842" s="32">
        <v>45937</v>
      </c>
      <c r="C4842" t="s">
        <v>109</v>
      </c>
      <c r="D4842" s="13" t="s">
        <v>633</v>
      </c>
      <c r="E4842" t="s">
        <v>234</v>
      </c>
      <c r="F4842" s="11">
        <v>2</v>
      </c>
      <c r="G4842" s="11">
        <v>75630.25</v>
      </c>
    </row>
    <row r="4843" spans="2:7" x14ac:dyDescent="0.2">
      <c r="B4843" s="32">
        <v>45937</v>
      </c>
      <c r="C4843" t="s">
        <v>109</v>
      </c>
      <c r="D4843" s="13" t="s">
        <v>633</v>
      </c>
      <c r="E4843" t="s">
        <v>1795</v>
      </c>
      <c r="F4843" s="11">
        <v>1</v>
      </c>
      <c r="G4843" s="11">
        <v>58823.53</v>
      </c>
    </row>
    <row r="4844" spans="2:7" x14ac:dyDescent="0.2">
      <c r="B4844" s="32">
        <v>45937</v>
      </c>
      <c r="C4844" t="s">
        <v>109</v>
      </c>
      <c r="D4844" s="13" t="s">
        <v>633</v>
      </c>
      <c r="E4844" t="s">
        <v>150</v>
      </c>
      <c r="F4844" s="11">
        <v>1</v>
      </c>
      <c r="G4844" s="11">
        <v>42016.800000000003</v>
      </c>
    </row>
    <row r="4845" spans="2:7" x14ac:dyDescent="0.2">
      <c r="B4845" s="32">
        <v>45937</v>
      </c>
      <c r="C4845" t="s">
        <v>109</v>
      </c>
      <c r="D4845" s="13" t="s">
        <v>633</v>
      </c>
      <c r="E4845" t="s">
        <v>148</v>
      </c>
      <c r="F4845" s="11">
        <v>1</v>
      </c>
      <c r="G4845" s="11">
        <v>37815.129999999997</v>
      </c>
    </row>
    <row r="4846" spans="2:7" x14ac:dyDescent="0.2">
      <c r="B4846" s="32">
        <v>45938</v>
      </c>
      <c r="C4846" t="s">
        <v>142</v>
      </c>
      <c r="D4846" s="13" t="s">
        <v>634</v>
      </c>
      <c r="E4846" t="s">
        <v>149</v>
      </c>
      <c r="F4846" s="11">
        <v>1</v>
      </c>
      <c r="G4846" s="11">
        <v>71428.570000000007</v>
      </c>
    </row>
    <row r="4847" spans="2:7" x14ac:dyDescent="0.2">
      <c r="B4847" s="32">
        <v>45938</v>
      </c>
      <c r="C4847" t="s">
        <v>142</v>
      </c>
      <c r="D4847" s="13" t="s">
        <v>634</v>
      </c>
      <c r="F4847" s="11">
        <v>0</v>
      </c>
      <c r="G4847" s="11">
        <v>0</v>
      </c>
    </row>
    <row r="4848" spans="2:7" x14ac:dyDescent="0.2">
      <c r="B4848" s="32">
        <v>45938</v>
      </c>
      <c r="C4848" t="s">
        <v>142</v>
      </c>
      <c r="D4848" s="13" t="s">
        <v>633</v>
      </c>
      <c r="E4848" t="s">
        <v>412</v>
      </c>
      <c r="F4848" s="11">
        <v>1</v>
      </c>
      <c r="G4848" s="11">
        <v>130252.11</v>
      </c>
    </row>
    <row r="4849" spans="2:7" x14ac:dyDescent="0.2">
      <c r="B4849" s="32">
        <v>45938</v>
      </c>
      <c r="C4849" t="s">
        <v>142</v>
      </c>
      <c r="D4849" s="13" t="s">
        <v>633</v>
      </c>
      <c r="E4849" t="s">
        <v>154</v>
      </c>
      <c r="F4849" s="11">
        <v>1</v>
      </c>
      <c r="G4849" s="11">
        <v>100840.34</v>
      </c>
    </row>
    <row r="4850" spans="2:7" x14ac:dyDescent="0.2">
      <c r="B4850" s="32">
        <v>45938</v>
      </c>
      <c r="C4850" t="s">
        <v>142</v>
      </c>
      <c r="D4850" s="13" t="s">
        <v>633</v>
      </c>
      <c r="E4850" t="s">
        <v>2031</v>
      </c>
      <c r="F4850" s="11">
        <v>1</v>
      </c>
      <c r="G4850" s="11">
        <v>84033.61</v>
      </c>
    </row>
    <row r="4851" spans="2:7" x14ac:dyDescent="0.2">
      <c r="B4851" s="32">
        <v>45938</v>
      </c>
      <c r="C4851" t="s">
        <v>142</v>
      </c>
      <c r="D4851" s="13" t="s">
        <v>633</v>
      </c>
      <c r="E4851" t="s">
        <v>534</v>
      </c>
      <c r="F4851" s="11">
        <v>1</v>
      </c>
      <c r="G4851" s="11">
        <v>71428.570000000007</v>
      </c>
    </row>
    <row r="4852" spans="2:7" x14ac:dyDescent="0.2">
      <c r="B4852" s="32">
        <v>45938</v>
      </c>
      <c r="C4852" t="s">
        <v>142</v>
      </c>
      <c r="D4852" s="13" t="s">
        <v>633</v>
      </c>
      <c r="E4852" t="s">
        <v>653</v>
      </c>
      <c r="F4852" s="11">
        <v>1</v>
      </c>
      <c r="G4852" s="11">
        <v>58823.53</v>
      </c>
    </row>
    <row r="4853" spans="2:7" x14ac:dyDescent="0.2">
      <c r="B4853" s="32">
        <v>45938</v>
      </c>
      <c r="C4853" t="s">
        <v>142</v>
      </c>
      <c r="D4853" s="13" t="s">
        <v>633</v>
      </c>
      <c r="E4853" t="s">
        <v>788</v>
      </c>
      <c r="F4853" s="11">
        <v>1</v>
      </c>
      <c r="G4853" s="11">
        <v>54621.85</v>
      </c>
    </row>
    <row r="4854" spans="2:7" x14ac:dyDescent="0.2">
      <c r="B4854" s="32">
        <v>45938</v>
      </c>
      <c r="C4854" t="s">
        <v>142</v>
      </c>
      <c r="D4854" s="13" t="s">
        <v>633</v>
      </c>
      <c r="E4854" t="s">
        <v>1752</v>
      </c>
      <c r="F4854" s="11">
        <v>1</v>
      </c>
      <c r="G4854" s="11">
        <v>54621.85</v>
      </c>
    </row>
    <row r="4855" spans="2:7" x14ac:dyDescent="0.2">
      <c r="B4855" s="32">
        <v>45938</v>
      </c>
      <c r="C4855" t="s">
        <v>142</v>
      </c>
      <c r="D4855" s="13" t="s">
        <v>633</v>
      </c>
      <c r="E4855" t="s">
        <v>234</v>
      </c>
      <c r="F4855" s="11">
        <v>1</v>
      </c>
      <c r="G4855" s="11">
        <v>45000</v>
      </c>
    </row>
    <row r="4856" spans="2:7" x14ac:dyDescent="0.2">
      <c r="B4856" s="32">
        <v>45938</v>
      </c>
      <c r="C4856" t="s">
        <v>142</v>
      </c>
      <c r="D4856" s="13" t="s">
        <v>633</v>
      </c>
      <c r="E4856" t="s">
        <v>441</v>
      </c>
      <c r="F4856" s="11">
        <v>1</v>
      </c>
      <c r="G4856" s="11">
        <v>29411.759999999998</v>
      </c>
    </row>
    <row r="4857" spans="2:7" x14ac:dyDescent="0.2">
      <c r="B4857" s="32">
        <v>45938</v>
      </c>
      <c r="C4857" t="s">
        <v>109</v>
      </c>
      <c r="D4857" s="13" t="s">
        <v>634</v>
      </c>
      <c r="E4857" t="s">
        <v>423</v>
      </c>
      <c r="F4857" s="11">
        <v>2</v>
      </c>
      <c r="G4857" s="11">
        <v>168067.22</v>
      </c>
    </row>
    <row r="4858" spans="2:7" x14ac:dyDescent="0.2">
      <c r="B4858" s="32">
        <v>45938</v>
      </c>
      <c r="C4858" t="s">
        <v>109</v>
      </c>
      <c r="D4858" s="13" t="s">
        <v>634</v>
      </c>
      <c r="E4858" t="s">
        <v>545</v>
      </c>
      <c r="F4858" s="11">
        <v>2</v>
      </c>
      <c r="G4858" s="11">
        <v>109243.7</v>
      </c>
    </row>
    <row r="4859" spans="2:7" x14ac:dyDescent="0.2">
      <c r="B4859" s="32">
        <v>45938</v>
      </c>
      <c r="C4859" t="s">
        <v>109</v>
      </c>
      <c r="D4859" s="13" t="s">
        <v>634</v>
      </c>
      <c r="E4859" t="s">
        <v>155</v>
      </c>
      <c r="F4859" s="11">
        <v>1</v>
      </c>
      <c r="G4859" s="11">
        <v>100840.34</v>
      </c>
    </row>
    <row r="4860" spans="2:7" x14ac:dyDescent="0.2">
      <c r="B4860" s="32">
        <v>45938</v>
      </c>
      <c r="C4860" t="s">
        <v>109</v>
      </c>
      <c r="D4860" s="13" t="s">
        <v>634</v>
      </c>
      <c r="E4860" t="s">
        <v>144</v>
      </c>
      <c r="F4860" s="11">
        <v>4</v>
      </c>
      <c r="G4860" s="11">
        <v>73949.570000000007</v>
      </c>
    </row>
    <row r="4861" spans="2:7" x14ac:dyDescent="0.2">
      <c r="B4861" s="32">
        <v>45938</v>
      </c>
      <c r="C4861" t="s">
        <v>109</v>
      </c>
      <c r="D4861" s="13" t="s">
        <v>634</v>
      </c>
      <c r="E4861" t="s">
        <v>654</v>
      </c>
      <c r="F4861" s="11">
        <v>1</v>
      </c>
      <c r="G4861" s="11">
        <v>54621.85</v>
      </c>
    </row>
    <row r="4862" spans="2:7" x14ac:dyDescent="0.2">
      <c r="B4862" s="32">
        <v>45938</v>
      </c>
      <c r="C4862" t="s">
        <v>109</v>
      </c>
      <c r="D4862" s="13" t="s">
        <v>634</v>
      </c>
      <c r="E4862" t="s">
        <v>158</v>
      </c>
      <c r="F4862" s="11">
        <v>1</v>
      </c>
      <c r="G4862" s="11">
        <v>46218.49</v>
      </c>
    </row>
    <row r="4863" spans="2:7" x14ac:dyDescent="0.2">
      <c r="B4863" s="32">
        <v>45938</v>
      </c>
      <c r="C4863" t="s">
        <v>109</v>
      </c>
      <c r="D4863" s="13" t="s">
        <v>634</v>
      </c>
      <c r="E4863" t="s">
        <v>1822</v>
      </c>
      <c r="F4863" s="11">
        <v>1</v>
      </c>
      <c r="G4863" s="11">
        <v>16806.72</v>
      </c>
    </row>
    <row r="4864" spans="2:7" x14ac:dyDescent="0.2">
      <c r="B4864" s="32">
        <v>45938</v>
      </c>
      <c r="C4864" t="s">
        <v>109</v>
      </c>
      <c r="D4864" s="13" t="s">
        <v>633</v>
      </c>
      <c r="E4864" t="s">
        <v>212</v>
      </c>
      <c r="F4864" s="11">
        <v>1</v>
      </c>
      <c r="G4864" s="11">
        <v>54621.85</v>
      </c>
    </row>
    <row r="4865" spans="2:7" x14ac:dyDescent="0.2">
      <c r="B4865" s="32">
        <v>45938</v>
      </c>
      <c r="C4865" t="s">
        <v>109</v>
      </c>
      <c r="D4865" s="13" t="s">
        <v>633</v>
      </c>
      <c r="E4865" t="s">
        <v>144</v>
      </c>
      <c r="F4865" s="11">
        <v>2</v>
      </c>
      <c r="G4865" s="11">
        <v>22268.91</v>
      </c>
    </row>
    <row r="4866" spans="2:7" x14ac:dyDescent="0.2">
      <c r="B4866" s="32">
        <v>45939</v>
      </c>
      <c r="C4866" t="s">
        <v>142</v>
      </c>
      <c r="D4866" s="13" t="s">
        <v>634</v>
      </c>
      <c r="E4866" t="s">
        <v>148</v>
      </c>
      <c r="F4866" s="11">
        <v>1</v>
      </c>
      <c r="G4866" s="11">
        <v>37815.129999999997</v>
      </c>
    </row>
    <row r="4867" spans="2:7" x14ac:dyDescent="0.2">
      <c r="B4867" s="32">
        <v>45939</v>
      </c>
      <c r="C4867" t="s">
        <v>142</v>
      </c>
      <c r="D4867" s="13" t="s">
        <v>634</v>
      </c>
      <c r="E4867" t="s">
        <v>234</v>
      </c>
      <c r="F4867" s="11">
        <v>1</v>
      </c>
      <c r="G4867" s="11">
        <v>37815.120000000003</v>
      </c>
    </row>
    <row r="4868" spans="2:7" x14ac:dyDescent="0.2">
      <c r="B4868" s="32">
        <v>45939</v>
      </c>
      <c r="C4868" t="s">
        <v>142</v>
      </c>
      <c r="D4868" s="13" t="s">
        <v>633</v>
      </c>
      <c r="E4868" t="s">
        <v>354</v>
      </c>
      <c r="F4868" s="11">
        <v>1</v>
      </c>
      <c r="G4868" s="11">
        <v>58823.53</v>
      </c>
    </row>
    <row r="4869" spans="2:7" x14ac:dyDescent="0.2">
      <c r="B4869" s="32">
        <v>45939</v>
      </c>
      <c r="C4869" t="s">
        <v>142</v>
      </c>
      <c r="D4869" s="13" t="s">
        <v>633</v>
      </c>
      <c r="E4869" t="s">
        <v>831</v>
      </c>
      <c r="F4869" s="11">
        <v>1</v>
      </c>
      <c r="G4869" s="11">
        <v>0.84</v>
      </c>
    </row>
    <row r="4870" spans="2:7" x14ac:dyDescent="0.2">
      <c r="B4870" s="32">
        <v>45939</v>
      </c>
      <c r="C4870" t="s">
        <v>110</v>
      </c>
      <c r="D4870" s="13" t="s">
        <v>634</v>
      </c>
      <c r="E4870" t="s">
        <v>616</v>
      </c>
      <c r="F4870" s="11">
        <v>1</v>
      </c>
      <c r="G4870" s="11">
        <v>54621.85</v>
      </c>
    </row>
    <row r="4871" spans="2:7" x14ac:dyDescent="0.2">
      <c r="B4871" s="32">
        <v>45939</v>
      </c>
      <c r="C4871" t="s">
        <v>110</v>
      </c>
      <c r="D4871" s="13" t="s">
        <v>634</v>
      </c>
      <c r="E4871" t="s">
        <v>212</v>
      </c>
      <c r="F4871" s="11">
        <v>1</v>
      </c>
      <c r="G4871" s="11">
        <v>54621.85</v>
      </c>
    </row>
    <row r="4872" spans="2:7" x14ac:dyDescent="0.2">
      <c r="B4872" s="32">
        <v>45939</v>
      </c>
      <c r="C4872" t="s">
        <v>110</v>
      </c>
      <c r="D4872" s="13" t="s">
        <v>634</v>
      </c>
      <c r="E4872" t="s">
        <v>166</v>
      </c>
      <c r="F4872" s="11">
        <v>1</v>
      </c>
      <c r="G4872" s="11">
        <v>42016.81</v>
      </c>
    </row>
    <row r="4873" spans="2:7" x14ac:dyDescent="0.2">
      <c r="B4873" s="32">
        <v>45939</v>
      </c>
      <c r="C4873" t="s">
        <v>109</v>
      </c>
      <c r="D4873" s="13" t="s">
        <v>634</v>
      </c>
      <c r="E4873" t="s">
        <v>149</v>
      </c>
      <c r="F4873" s="11">
        <v>1</v>
      </c>
      <c r="G4873" s="11">
        <v>71428.570000000007</v>
      </c>
    </row>
    <row r="4874" spans="2:7" x14ac:dyDescent="0.2">
      <c r="B4874" s="32">
        <v>45939</v>
      </c>
      <c r="C4874" t="s">
        <v>109</v>
      </c>
      <c r="D4874" s="13" t="s">
        <v>634</v>
      </c>
      <c r="E4874" t="s">
        <v>144</v>
      </c>
      <c r="F4874" s="11">
        <v>4</v>
      </c>
      <c r="G4874" s="11">
        <v>64285.72</v>
      </c>
    </row>
    <row r="4875" spans="2:7" x14ac:dyDescent="0.2">
      <c r="B4875" s="32">
        <v>45939</v>
      </c>
      <c r="C4875" t="s">
        <v>109</v>
      </c>
      <c r="D4875" s="13" t="s">
        <v>634</v>
      </c>
      <c r="E4875" t="s">
        <v>809</v>
      </c>
      <c r="F4875" s="11">
        <v>1</v>
      </c>
      <c r="G4875" s="11">
        <v>58823.53</v>
      </c>
    </row>
    <row r="4876" spans="2:7" x14ac:dyDescent="0.2">
      <c r="B4876" s="32">
        <v>45939</v>
      </c>
      <c r="C4876" t="s">
        <v>109</v>
      </c>
      <c r="D4876" s="13" t="s">
        <v>634</v>
      </c>
      <c r="E4876" t="s">
        <v>477</v>
      </c>
      <c r="F4876" s="11">
        <v>1</v>
      </c>
      <c r="G4876" s="11">
        <v>58823.53</v>
      </c>
    </row>
    <row r="4877" spans="2:7" x14ac:dyDescent="0.2">
      <c r="B4877" s="32">
        <v>45939</v>
      </c>
      <c r="C4877" t="s">
        <v>109</v>
      </c>
      <c r="D4877" s="13" t="s">
        <v>634</v>
      </c>
      <c r="E4877" t="s">
        <v>318</v>
      </c>
      <c r="F4877" s="11">
        <v>1</v>
      </c>
      <c r="G4877" s="11">
        <v>58823.53</v>
      </c>
    </row>
    <row r="4878" spans="2:7" x14ac:dyDescent="0.2">
      <c r="B4878" s="32">
        <v>45939</v>
      </c>
      <c r="C4878" t="s">
        <v>109</v>
      </c>
      <c r="D4878" s="13" t="s">
        <v>634</v>
      </c>
      <c r="E4878" t="s">
        <v>1918</v>
      </c>
      <c r="F4878" s="11">
        <v>1</v>
      </c>
      <c r="G4878" s="11">
        <v>42016.81</v>
      </c>
    </row>
    <row r="4879" spans="2:7" x14ac:dyDescent="0.2">
      <c r="B4879" s="32">
        <v>45939</v>
      </c>
      <c r="C4879" t="s">
        <v>109</v>
      </c>
      <c r="D4879" s="13" t="s">
        <v>634</v>
      </c>
      <c r="E4879" t="s">
        <v>327</v>
      </c>
      <c r="F4879" s="11">
        <v>1</v>
      </c>
      <c r="G4879" s="11">
        <v>30000</v>
      </c>
    </row>
    <row r="4880" spans="2:7" x14ac:dyDescent="0.2">
      <c r="B4880" s="32">
        <v>45939</v>
      </c>
      <c r="C4880" t="s">
        <v>109</v>
      </c>
      <c r="D4880" s="13" t="s">
        <v>633</v>
      </c>
      <c r="E4880" t="s">
        <v>606</v>
      </c>
      <c r="F4880" s="11">
        <v>1</v>
      </c>
      <c r="G4880" s="11">
        <v>218487.39</v>
      </c>
    </row>
    <row r="4881" spans="2:7" x14ac:dyDescent="0.2">
      <c r="B4881" s="32">
        <v>45939</v>
      </c>
      <c r="C4881" t="s">
        <v>109</v>
      </c>
      <c r="D4881" s="13" t="s">
        <v>633</v>
      </c>
      <c r="E4881" t="s">
        <v>154</v>
      </c>
      <c r="F4881" s="11">
        <v>1</v>
      </c>
      <c r="G4881" s="11">
        <v>100840.34</v>
      </c>
    </row>
    <row r="4882" spans="2:7" x14ac:dyDescent="0.2">
      <c r="B4882" s="32">
        <v>45939</v>
      </c>
      <c r="C4882" t="s">
        <v>109</v>
      </c>
      <c r="D4882" s="13" t="s">
        <v>633</v>
      </c>
      <c r="E4882" t="s">
        <v>364</v>
      </c>
      <c r="F4882" s="11">
        <v>1</v>
      </c>
      <c r="G4882" s="11">
        <v>100840.34</v>
      </c>
    </row>
    <row r="4883" spans="2:7" x14ac:dyDescent="0.2">
      <c r="B4883" s="32">
        <v>45939</v>
      </c>
      <c r="C4883" t="s">
        <v>109</v>
      </c>
      <c r="D4883" s="13" t="s">
        <v>633</v>
      </c>
      <c r="E4883" t="s">
        <v>169</v>
      </c>
      <c r="F4883" s="11">
        <v>1</v>
      </c>
      <c r="G4883" s="11">
        <v>100840.33</v>
      </c>
    </row>
    <row r="4884" spans="2:7" x14ac:dyDescent="0.2">
      <c r="B4884" s="32">
        <v>45939</v>
      </c>
      <c r="C4884" t="s">
        <v>109</v>
      </c>
      <c r="D4884" s="13" t="s">
        <v>633</v>
      </c>
      <c r="E4884" t="s">
        <v>829</v>
      </c>
      <c r="F4884" s="11">
        <v>1</v>
      </c>
      <c r="G4884" s="11">
        <v>79831.94</v>
      </c>
    </row>
    <row r="4885" spans="2:7" x14ac:dyDescent="0.2">
      <c r="B4885" s="32">
        <v>45939</v>
      </c>
      <c r="C4885" t="s">
        <v>109</v>
      </c>
      <c r="D4885" s="13" t="s">
        <v>633</v>
      </c>
      <c r="E4885" t="s">
        <v>1798</v>
      </c>
      <c r="F4885" s="11">
        <v>1</v>
      </c>
      <c r="G4885" s="11">
        <v>79831.929999999993</v>
      </c>
    </row>
    <row r="4886" spans="2:7" x14ac:dyDescent="0.2">
      <c r="B4886" s="32">
        <v>45939</v>
      </c>
      <c r="C4886" t="s">
        <v>109</v>
      </c>
      <c r="D4886" s="13" t="s">
        <v>633</v>
      </c>
      <c r="E4886" t="s">
        <v>538</v>
      </c>
      <c r="F4886" s="11">
        <v>1</v>
      </c>
      <c r="G4886" s="11">
        <v>79831.929999999993</v>
      </c>
    </row>
    <row r="4887" spans="2:7" x14ac:dyDescent="0.2">
      <c r="B4887" s="32">
        <v>45939</v>
      </c>
      <c r="C4887" t="s">
        <v>109</v>
      </c>
      <c r="D4887" s="13" t="s">
        <v>633</v>
      </c>
      <c r="E4887" t="s">
        <v>2032</v>
      </c>
      <c r="F4887" s="11">
        <v>1</v>
      </c>
      <c r="G4887" s="11">
        <v>79831.929999999993</v>
      </c>
    </row>
    <row r="4888" spans="2:7" x14ac:dyDescent="0.2">
      <c r="B4888" s="32">
        <v>45939</v>
      </c>
      <c r="C4888" t="s">
        <v>109</v>
      </c>
      <c r="D4888" s="13" t="s">
        <v>633</v>
      </c>
      <c r="E4888" t="s">
        <v>410</v>
      </c>
      <c r="F4888" s="11">
        <v>1</v>
      </c>
      <c r="G4888" s="11">
        <v>79831.929999999993</v>
      </c>
    </row>
    <row r="4889" spans="2:7" x14ac:dyDescent="0.2">
      <c r="B4889" s="32">
        <v>45939</v>
      </c>
      <c r="C4889" t="s">
        <v>109</v>
      </c>
      <c r="D4889" s="13" t="s">
        <v>633</v>
      </c>
      <c r="E4889" t="s">
        <v>173</v>
      </c>
      <c r="F4889" s="11">
        <v>2</v>
      </c>
      <c r="G4889" s="11">
        <v>75630.259999999995</v>
      </c>
    </row>
    <row r="4890" spans="2:7" x14ac:dyDescent="0.2">
      <c r="B4890" s="32">
        <v>45939</v>
      </c>
      <c r="C4890" t="s">
        <v>109</v>
      </c>
      <c r="D4890" s="13" t="s">
        <v>633</v>
      </c>
      <c r="E4890" t="s">
        <v>2017</v>
      </c>
      <c r="F4890" s="11">
        <v>1</v>
      </c>
      <c r="G4890" s="11">
        <v>75630.25</v>
      </c>
    </row>
    <row r="4891" spans="2:7" x14ac:dyDescent="0.2">
      <c r="B4891" s="32">
        <v>45939</v>
      </c>
      <c r="C4891" t="s">
        <v>109</v>
      </c>
      <c r="D4891" s="13" t="s">
        <v>633</v>
      </c>
      <c r="E4891" t="s">
        <v>534</v>
      </c>
      <c r="F4891" s="11">
        <v>1</v>
      </c>
      <c r="G4891" s="11">
        <v>71428.570000000007</v>
      </c>
    </row>
    <row r="4892" spans="2:7" x14ac:dyDescent="0.2">
      <c r="B4892" s="32">
        <v>45939</v>
      </c>
      <c r="C4892" t="s">
        <v>109</v>
      </c>
      <c r="D4892" s="13" t="s">
        <v>633</v>
      </c>
      <c r="E4892" t="s">
        <v>2014</v>
      </c>
      <c r="F4892" s="11">
        <v>1</v>
      </c>
      <c r="G4892" s="11">
        <v>71428.570000000007</v>
      </c>
    </row>
    <row r="4893" spans="2:7" x14ac:dyDescent="0.2">
      <c r="B4893" s="32">
        <v>45939</v>
      </c>
      <c r="C4893" t="s">
        <v>109</v>
      </c>
      <c r="D4893" s="13" t="s">
        <v>633</v>
      </c>
      <c r="E4893" t="s">
        <v>495</v>
      </c>
      <c r="F4893" s="11">
        <v>1</v>
      </c>
      <c r="G4893" s="11">
        <v>54621.85</v>
      </c>
    </row>
    <row r="4894" spans="2:7" x14ac:dyDescent="0.2">
      <c r="B4894" s="32">
        <v>45939</v>
      </c>
      <c r="C4894" t="s">
        <v>109</v>
      </c>
      <c r="D4894" s="13" t="s">
        <v>633</v>
      </c>
      <c r="E4894" t="s">
        <v>158</v>
      </c>
      <c r="F4894" s="11">
        <v>1</v>
      </c>
      <c r="G4894" s="11">
        <v>46218.49</v>
      </c>
    </row>
    <row r="4895" spans="2:7" x14ac:dyDescent="0.2">
      <c r="B4895" s="32">
        <v>45939</v>
      </c>
      <c r="C4895" t="s">
        <v>109</v>
      </c>
      <c r="D4895" s="13" t="s">
        <v>633</v>
      </c>
      <c r="E4895" t="s">
        <v>225</v>
      </c>
      <c r="F4895" s="11">
        <v>1</v>
      </c>
      <c r="G4895" s="11">
        <v>46218.48</v>
      </c>
    </row>
    <row r="4896" spans="2:7" x14ac:dyDescent="0.2">
      <c r="B4896" s="32">
        <v>45939</v>
      </c>
      <c r="C4896" t="s">
        <v>109</v>
      </c>
      <c r="D4896" s="13" t="s">
        <v>633</v>
      </c>
      <c r="E4896" t="s">
        <v>707</v>
      </c>
      <c r="F4896" s="11">
        <v>1</v>
      </c>
      <c r="G4896" s="11">
        <v>46218.48</v>
      </c>
    </row>
    <row r="4897" spans="2:7" x14ac:dyDescent="0.2">
      <c r="B4897" s="32">
        <v>45939</v>
      </c>
      <c r="C4897" t="s">
        <v>109</v>
      </c>
      <c r="D4897" s="13" t="s">
        <v>633</v>
      </c>
      <c r="E4897" t="s">
        <v>309</v>
      </c>
      <c r="F4897" s="11">
        <v>1</v>
      </c>
      <c r="G4897" s="11">
        <v>42016.81</v>
      </c>
    </row>
    <row r="4898" spans="2:7" x14ac:dyDescent="0.2">
      <c r="B4898" s="32">
        <v>45939</v>
      </c>
      <c r="C4898" t="s">
        <v>109</v>
      </c>
      <c r="D4898" s="13" t="s">
        <v>633</v>
      </c>
      <c r="E4898" t="s">
        <v>1963</v>
      </c>
      <c r="F4898" s="11">
        <v>1</v>
      </c>
      <c r="G4898" s="11">
        <v>42016.81</v>
      </c>
    </row>
    <row r="4899" spans="2:7" x14ac:dyDescent="0.2">
      <c r="B4899" s="32">
        <v>45939</v>
      </c>
      <c r="C4899" t="s">
        <v>109</v>
      </c>
      <c r="D4899" s="13" t="s">
        <v>633</v>
      </c>
      <c r="E4899" t="s">
        <v>293</v>
      </c>
      <c r="F4899" s="11">
        <v>1</v>
      </c>
      <c r="G4899" s="11">
        <v>37815.129999999997</v>
      </c>
    </row>
    <row r="4900" spans="2:7" x14ac:dyDescent="0.2">
      <c r="B4900" s="32">
        <v>45939</v>
      </c>
      <c r="C4900" t="s">
        <v>109</v>
      </c>
      <c r="D4900" s="13" t="s">
        <v>633</v>
      </c>
      <c r="E4900" t="s">
        <v>144</v>
      </c>
      <c r="F4900" s="11">
        <v>2</v>
      </c>
      <c r="G4900" s="11">
        <v>36974.79</v>
      </c>
    </row>
    <row r="4901" spans="2:7" x14ac:dyDescent="0.2">
      <c r="B4901" s="32">
        <v>45940</v>
      </c>
      <c r="C4901" t="s">
        <v>142</v>
      </c>
      <c r="D4901" s="13" t="s">
        <v>634</v>
      </c>
      <c r="E4901" t="s">
        <v>1796</v>
      </c>
      <c r="F4901" s="11">
        <v>15</v>
      </c>
      <c r="G4901" s="11">
        <v>315126.05</v>
      </c>
    </row>
    <row r="4902" spans="2:7" x14ac:dyDescent="0.2">
      <c r="B4902" s="32">
        <v>45940</v>
      </c>
      <c r="C4902" t="s">
        <v>142</v>
      </c>
      <c r="D4902" s="13" t="s">
        <v>634</v>
      </c>
      <c r="F4902" s="11">
        <v>3</v>
      </c>
      <c r="G4902" s="11">
        <v>252100.85</v>
      </c>
    </row>
    <row r="4903" spans="2:7" x14ac:dyDescent="0.2">
      <c r="B4903" s="32">
        <v>45940</v>
      </c>
      <c r="C4903" t="s">
        <v>142</v>
      </c>
      <c r="D4903" s="13" t="s">
        <v>634</v>
      </c>
      <c r="E4903" t="s">
        <v>2033</v>
      </c>
      <c r="F4903" s="11">
        <v>1</v>
      </c>
      <c r="G4903" s="11">
        <v>84033.62</v>
      </c>
    </row>
    <row r="4904" spans="2:7" x14ac:dyDescent="0.2">
      <c r="B4904" s="32">
        <v>45940</v>
      </c>
      <c r="C4904" t="s">
        <v>142</v>
      </c>
      <c r="D4904" s="13" t="s">
        <v>634</v>
      </c>
      <c r="E4904" t="s">
        <v>2034</v>
      </c>
      <c r="F4904" s="11">
        <v>1</v>
      </c>
      <c r="G4904" s="11">
        <v>84033.62</v>
      </c>
    </row>
    <row r="4905" spans="2:7" x14ac:dyDescent="0.2">
      <c r="B4905" s="32">
        <v>45940</v>
      </c>
      <c r="C4905" t="s">
        <v>142</v>
      </c>
      <c r="D4905" s="13" t="s">
        <v>634</v>
      </c>
      <c r="E4905" t="s">
        <v>2035</v>
      </c>
      <c r="F4905" s="11">
        <v>1</v>
      </c>
      <c r="G4905" s="11">
        <v>84033.62</v>
      </c>
    </row>
    <row r="4906" spans="2:7" x14ac:dyDescent="0.2">
      <c r="B4906" s="32">
        <v>45940</v>
      </c>
      <c r="C4906" t="s">
        <v>142</v>
      </c>
      <c r="D4906" s="13" t="s">
        <v>634</v>
      </c>
      <c r="E4906" t="s">
        <v>2036</v>
      </c>
      <c r="F4906" s="11">
        <v>1</v>
      </c>
      <c r="G4906" s="11">
        <v>84033.61</v>
      </c>
    </row>
    <row r="4907" spans="2:7" x14ac:dyDescent="0.2">
      <c r="B4907" s="32">
        <v>45940</v>
      </c>
      <c r="C4907" t="s">
        <v>142</v>
      </c>
      <c r="D4907" s="13" t="s">
        <v>634</v>
      </c>
      <c r="E4907" t="s">
        <v>1879</v>
      </c>
      <c r="F4907" s="11">
        <v>1</v>
      </c>
      <c r="G4907" s="11">
        <v>84033.61</v>
      </c>
    </row>
    <row r="4908" spans="2:7" x14ac:dyDescent="0.2">
      <c r="B4908" s="32">
        <v>45940</v>
      </c>
      <c r="C4908" t="s">
        <v>142</v>
      </c>
      <c r="D4908" s="13" t="s">
        <v>634</v>
      </c>
      <c r="E4908" t="s">
        <v>2037</v>
      </c>
      <c r="F4908" s="11">
        <v>1</v>
      </c>
      <c r="G4908" s="11">
        <v>84033.61</v>
      </c>
    </row>
    <row r="4909" spans="2:7" x14ac:dyDescent="0.2">
      <c r="B4909" s="32">
        <v>45940</v>
      </c>
      <c r="C4909" t="s">
        <v>142</v>
      </c>
      <c r="D4909" s="13" t="s">
        <v>634</v>
      </c>
      <c r="E4909" t="s">
        <v>2038</v>
      </c>
      <c r="F4909" s="11">
        <v>1</v>
      </c>
      <c r="G4909" s="11">
        <v>84033.61</v>
      </c>
    </row>
    <row r="4910" spans="2:7" x14ac:dyDescent="0.2">
      <c r="B4910" s="32">
        <v>45940</v>
      </c>
      <c r="C4910" t="s">
        <v>142</v>
      </c>
      <c r="D4910" s="13" t="s">
        <v>634</v>
      </c>
      <c r="E4910" t="s">
        <v>750</v>
      </c>
      <c r="F4910" s="11">
        <v>1</v>
      </c>
      <c r="G4910" s="11">
        <v>84033.61</v>
      </c>
    </row>
    <row r="4911" spans="2:7" x14ac:dyDescent="0.2">
      <c r="B4911" s="32">
        <v>45940</v>
      </c>
      <c r="C4911" t="s">
        <v>142</v>
      </c>
      <c r="D4911" s="13" t="s">
        <v>634</v>
      </c>
      <c r="E4911" t="s">
        <v>2039</v>
      </c>
      <c r="F4911" s="11">
        <v>1</v>
      </c>
      <c r="G4911" s="11">
        <v>84033.61</v>
      </c>
    </row>
    <row r="4912" spans="2:7" x14ac:dyDescent="0.2">
      <c r="B4912" s="32">
        <v>45940</v>
      </c>
      <c r="C4912" t="s">
        <v>142</v>
      </c>
      <c r="D4912" s="13" t="s">
        <v>634</v>
      </c>
      <c r="E4912" t="s">
        <v>2040</v>
      </c>
      <c r="F4912" s="11">
        <v>1</v>
      </c>
      <c r="G4912" s="11">
        <v>84033.61</v>
      </c>
    </row>
    <row r="4913" spans="2:7" x14ac:dyDescent="0.2">
      <c r="B4913" s="32">
        <v>45940</v>
      </c>
      <c r="C4913" t="s">
        <v>142</v>
      </c>
      <c r="D4913" s="13" t="s">
        <v>634</v>
      </c>
      <c r="E4913" t="s">
        <v>2041</v>
      </c>
      <c r="F4913" s="11">
        <v>1</v>
      </c>
      <c r="G4913" s="11">
        <v>84033.61</v>
      </c>
    </row>
    <row r="4914" spans="2:7" x14ac:dyDescent="0.2">
      <c r="B4914" s="32">
        <v>45940</v>
      </c>
      <c r="C4914" t="s">
        <v>142</v>
      </c>
      <c r="D4914" s="13" t="s">
        <v>634</v>
      </c>
      <c r="E4914" t="s">
        <v>2042</v>
      </c>
      <c r="F4914" s="11">
        <v>1</v>
      </c>
      <c r="G4914" s="11">
        <v>84033.61</v>
      </c>
    </row>
    <row r="4915" spans="2:7" x14ac:dyDescent="0.2">
      <c r="B4915" s="32">
        <v>45940</v>
      </c>
      <c r="C4915" t="s">
        <v>142</v>
      </c>
      <c r="D4915" s="13" t="s">
        <v>633</v>
      </c>
      <c r="E4915" t="s">
        <v>2043</v>
      </c>
      <c r="F4915" s="11">
        <v>1</v>
      </c>
      <c r="G4915" s="11">
        <v>126050.42</v>
      </c>
    </row>
    <row r="4916" spans="2:7" x14ac:dyDescent="0.2">
      <c r="B4916" s="32">
        <v>45940</v>
      </c>
      <c r="C4916" t="s">
        <v>142</v>
      </c>
      <c r="D4916" s="13" t="s">
        <v>633</v>
      </c>
      <c r="E4916" t="s">
        <v>323</v>
      </c>
      <c r="F4916" s="11">
        <v>1</v>
      </c>
      <c r="G4916" s="11">
        <v>58823.53</v>
      </c>
    </row>
    <row r="4917" spans="2:7" x14ac:dyDescent="0.2">
      <c r="B4917" s="32">
        <v>45940</v>
      </c>
      <c r="C4917" t="s">
        <v>142</v>
      </c>
      <c r="D4917" s="13" t="s">
        <v>633</v>
      </c>
      <c r="E4917" t="s">
        <v>553</v>
      </c>
      <c r="F4917" s="11">
        <v>1</v>
      </c>
      <c r="G4917" s="11">
        <v>58823.53</v>
      </c>
    </row>
    <row r="4918" spans="2:7" x14ac:dyDescent="0.2">
      <c r="B4918" s="32">
        <v>45940</v>
      </c>
      <c r="C4918" t="s">
        <v>142</v>
      </c>
      <c r="D4918" s="13" t="s">
        <v>633</v>
      </c>
      <c r="E4918" t="s">
        <v>536</v>
      </c>
      <c r="F4918" s="11">
        <v>1</v>
      </c>
      <c r="G4918" s="11">
        <v>54621.85</v>
      </c>
    </row>
    <row r="4919" spans="2:7" x14ac:dyDescent="0.2">
      <c r="B4919" s="32">
        <v>45940</v>
      </c>
      <c r="C4919" t="s">
        <v>142</v>
      </c>
      <c r="D4919" s="13" t="s">
        <v>633</v>
      </c>
      <c r="E4919" t="s">
        <v>178</v>
      </c>
      <c r="F4919" s="11">
        <v>1</v>
      </c>
      <c r="G4919" s="11">
        <v>54621.85</v>
      </c>
    </row>
    <row r="4920" spans="2:7" x14ac:dyDescent="0.2">
      <c r="B4920" s="32">
        <v>45940</v>
      </c>
      <c r="C4920" t="s">
        <v>142</v>
      </c>
      <c r="D4920" s="13" t="s">
        <v>633</v>
      </c>
      <c r="E4920" t="s">
        <v>218</v>
      </c>
      <c r="F4920" s="11">
        <v>1</v>
      </c>
      <c r="G4920" s="11">
        <v>50420.17</v>
      </c>
    </row>
    <row r="4921" spans="2:7" x14ac:dyDescent="0.2">
      <c r="B4921" s="32">
        <v>45940</v>
      </c>
      <c r="C4921" t="s">
        <v>110</v>
      </c>
      <c r="D4921" s="13" t="s">
        <v>634</v>
      </c>
      <c r="E4921" t="s">
        <v>427</v>
      </c>
      <c r="F4921" s="11">
        <v>1</v>
      </c>
      <c r="G4921" s="11">
        <v>54621.85</v>
      </c>
    </row>
    <row r="4922" spans="2:7" x14ac:dyDescent="0.2">
      <c r="B4922" s="32">
        <v>45940</v>
      </c>
      <c r="C4922" t="s">
        <v>110</v>
      </c>
      <c r="D4922" s="13" t="s">
        <v>634</v>
      </c>
      <c r="E4922" t="s">
        <v>161</v>
      </c>
      <c r="F4922" s="11">
        <v>1</v>
      </c>
      <c r="G4922" s="11">
        <v>42016.81</v>
      </c>
    </row>
    <row r="4923" spans="2:7" x14ac:dyDescent="0.2">
      <c r="B4923" s="32">
        <v>45940</v>
      </c>
      <c r="C4923" t="s">
        <v>1739</v>
      </c>
      <c r="D4923" s="13" t="s">
        <v>633</v>
      </c>
      <c r="E4923" t="s">
        <v>427</v>
      </c>
      <c r="F4923" s="11">
        <v>1</v>
      </c>
      <c r="G4923" s="11">
        <v>54621.85</v>
      </c>
    </row>
    <row r="4924" spans="2:7" x14ac:dyDescent="0.2">
      <c r="B4924" s="32">
        <v>45940</v>
      </c>
      <c r="C4924" t="s">
        <v>109</v>
      </c>
      <c r="D4924" s="13" t="s">
        <v>634</v>
      </c>
      <c r="E4924" t="s">
        <v>184</v>
      </c>
      <c r="F4924" s="11">
        <v>1</v>
      </c>
      <c r="G4924" s="11">
        <v>100840.34</v>
      </c>
    </row>
    <row r="4925" spans="2:7" x14ac:dyDescent="0.2">
      <c r="B4925" s="32">
        <v>45940</v>
      </c>
      <c r="C4925" t="s">
        <v>109</v>
      </c>
      <c r="D4925" s="13" t="s">
        <v>634</v>
      </c>
      <c r="E4925" t="s">
        <v>173</v>
      </c>
      <c r="F4925" s="11">
        <v>2</v>
      </c>
      <c r="G4925" s="11">
        <v>75630.25</v>
      </c>
    </row>
    <row r="4926" spans="2:7" x14ac:dyDescent="0.2">
      <c r="B4926" s="32">
        <v>45940</v>
      </c>
      <c r="C4926" t="s">
        <v>109</v>
      </c>
      <c r="D4926" s="13" t="s">
        <v>634</v>
      </c>
      <c r="E4926" t="s">
        <v>1890</v>
      </c>
      <c r="F4926" s="11">
        <v>1</v>
      </c>
      <c r="G4926" s="11">
        <v>75630.25</v>
      </c>
    </row>
    <row r="4927" spans="2:7" x14ac:dyDescent="0.2">
      <c r="B4927" s="32">
        <v>45940</v>
      </c>
      <c r="C4927" t="s">
        <v>109</v>
      </c>
      <c r="D4927" s="13" t="s">
        <v>634</v>
      </c>
      <c r="E4927" t="s">
        <v>534</v>
      </c>
      <c r="F4927" s="11">
        <v>1</v>
      </c>
      <c r="G4927" s="11">
        <v>71428.570000000007</v>
      </c>
    </row>
    <row r="4928" spans="2:7" x14ac:dyDescent="0.2">
      <c r="B4928" s="32">
        <v>45940</v>
      </c>
      <c r="C4928" t="s">
        <v>109</v>
      </c>
      <c r="D4928" s="13" t="s">
        <v>634</v>
      </c>
      <c r="E4928" t="s">
        <v>352</v>
      </c>
      <c r="F4928" s="11">
        <v>1</v>
      </c>
      <c r="G4928" s="11">
        <v>71428.570000000007</v>
      </c>
    </row>
    <row r="4929" spans="2:7" x14ac:dyDescent="0.2">
      <c r="B4929" s="32">
        <v>45940</v>
      </c>
      <c r="C4929" t="s">
        <v>109</v>
      </c>
      <c r="D4929" s="13" t="s">
        <v>634</v>
      </c>
      <c r="E4929" t="s">
        <v>2044</v>
      </c>
      <c r="F4929" s="11">
        <v>1</v>
      </c>
      <c r="G4929" s="11">
        <v>67226.89</v>
      </c>
    </row>
    <row r="4930" spans="2:7" x14ac:dyDescent="0.2">
      <c r="B4930" s="32">
        <v>45940</v>
      </c>
      <c r="C4930" t="s">
        <v>109</v>
      </c>
      <c r="D4930" s="13" t="s">
        <v>634</v>
      </c>
      <c r="E4930" t="s">
        <v>1923</v>
      </c>
      <c r="F4930" s="11">
        <v>1</v>
      </c>
      <c r="G4930" s="11">
        <v>58823.53</v>
      </c>
    </row>
    <row r="4931" spans="2:7" x14ac:dyDescent="0.2">
      <c r="B4931" s="32">
        <v>45940</v>
      </c>
      <c r="C4931" t="s">
        <v>109</v>
      </c>
      <c r="D4931" s="13" t="s">
        <v>634</v>
      </c>
      <c r="E4931" t="s">
        <v>323</v>
      </c>
      <c r="F4931" s="11">
        <v>1</v>
      </c>
      <c r="G4931" s="11">
        <v>58823.53</v>
      </c>
    </row>
    <row r="4932" spans="2:7" x14ac:dyDescent="0.2">
      <c r="B4932" s="32">
        <v>45940</v>
      </c>
      <c r="C4932" t="s">
        <v>109</v>
      </c>
      <c r="D4932" s="13" t="s">
        <v>634</v>
      </c>
      <c r="E4932" t="s">
        <v>439</v>
      </c>
      <c r="F4932" s="11">
        <v>1</v>
      </c>
      <c r="G4932" s="11">
        <v>58823.53</v>
      </c>
    </row>
    <row r="4933" spans="2:7" x14ac:dyDescent="0.2">
      <c r="B4933" s="32">
        <v>45940</v>
      </c>
      <c r="C4933" t="s">
        <v>109</v>
      </c>
      <c r="D4933" s="13" t="s">
        <v>634</v>
      </c>
      <c r="E4933" t="s">
        <v>218</v>
      </c>
      <c r="F4933" s="11">
        <v>1</v>
      </c>
      <c r="G4933" s="11">
        <v>50420.17</v>
      </c>
    </row>
    <row r="4934" spans="2:7" x14ac:dyDescent="0.2">
      <c r="B4934" s="32">
        <v>45940</v>
      </c>
      <c r="C4934" t="s">
        <v>109</v>
      </c>
      <c r="D4934" s="13" t="s">
        <v>634</v>
      </c>
      <c r="E4934" t="s">
        <v>473</v>
      </c>
      <c r="F4934" s="11">
        <v>1</v>
      </c>
      <c r="G4934" s="11">
        <v>50420.17</v>
      </c>
    </row>
    <row r="4935" spans="2:7" x14ac:dyDescent="0.2">
      <c r="B4935" s="32">
        <v>45940</v>
      </c>
      <c r="C4935" t="s">
        <v>109</v>
      </c>
      <c r="D4935" s="13" t="s">
        <v>634</v>
      </c>
      <c r="E4935" t="s">
        <v>195</v>
      </c>
      <c r="F4935" s="11">
        <v>1</v>
      </c>
      <c r="G4935" s="11">
        <v>46218.48</v>
      </c>
    </row>
    <row r="4936" spans="2:7" x14ac:dyDescent="0.2">
      <c r="B4936" s="32">
        <v>45940</v>
      </c>
      <c r="C4936" t="s">
        <v>109</v>
      </c>
      <c r="D4936" s="13" t="s">
        <v>634</v>
      </c>
      <c r="E4936" t="s">
        <v>144</v>
      </c>
      <c r="F4936" s="11">
        <v>2</v>
      </c>
      <c r="G4936" s="11">
        <v>36974.79</v>
      </c>
    </row>
    <row r="4937" spans="2:7" x14ac:dyDescent="0.2">
      <c r="B4937" s="32">
        <v>45940</v>
      </c>
      <c r="C4937" t="s">
        <v>109</v>
      </c>
      <c r="D4937" s="13" t="s">
        <v>634</v>
      </c>
      <c r="E4937" t="s">
        <v>1932</v>
      </c>
      <c r="F4937" s="11">
        <v>1</v>
      </c>
      <c r="G4937" s="11">
        <v>33000</v>
      </c>
    </row>
    <row r="4938" spans="2:7" x14ac:dyDescent="0.2">
      <c r="B4938" s="32">
        <v>45940</v>
      </c>
      <c r="C4938" t="s">
        <v>109</v>
      </c>
      <c r="D4938" s="13" t="s">
        <v>634</v>
      </c>
      <c r="E4938" t="s">
        <v>327</v>
      </c>
      <c r="F4938" s="11">
        <v>1</v>
      </c>
      <c r="G4938" s="11">
        <v>30000</v>
      </c>
    </row>
    <row r="4939" spans="2:7" x14ac:dyDescent="0.2">
      <c r="B4939" s="32">
        <v>45940</v>
      </c>
      <c r="C4939" t="s">
        <v>109</v>
      </c>
      <c r="D4939" s="13" t="s">
        <v>633</v>
      </c>
      <c r="E4939" t="s">
        <v>2045</v>
      </c>
      <c r="F4939" s="11">
        <v>1</v>
      </c>
      <c r="G4939" s="11">
        <v>242857.14</v>
      </c>
    </row>
    <row r="4940" spans="2:7" x14ac:dyDescent="0.2">
      <c r="B4940" s="32">
        <v>45940</v>
      </c>
      <c r="C4940" t="s">
        <v>109</v>
      </c>
      <c r="D4940" s="13" t="s">
        <v>633</v>
      </c>
      <c r="E4940" t="s">
        <v>2002</v>
      </c>
      <c r="F4940" s="11">
        <v>1</v>
      </c>
      <c r="G4940" s="11">
        <v>214285.72</v>
      </c>
    </row>
    <row r="4941" spans="2:7" x14ac:dyDescent="0.2">
      <c r="B4941" s="32">
        <v>45940</v>
      </c>
      <c r="C4941" t="s">
        <v>109</v>
      </c>
      <c r="D4941" s="13" t="s">
        <v>633</v>
      </c>
      <c r="E4941" t="s">
        <v>2008</v>
      </c>
      <c r="F4941" s="11">
        <v>1</v>
      </c>
      <c r="G4941" s="11">
        <v>214285.71</v>
      </c>
    </row>
    <row r="4942" spans="2:7" x14ac:dyDescent="0.2">
      <c r="B4942" s="32">
        <v>45940</v>
      </c>
      <c r="C4942" t="s">
        <v>109</v>
      </c>
      <c r="D4942" s="13" t="s">
        <v>633</v>
      </c>
      <c r="E4942" t="s">
        <v>610</v>
      </c>
      <c r="F4942" s="11">
        <v>1</v>
      </c>
      <c r="G4942" s="11">
        <v>214285.71</v>
      </c>
    </row>
    <row r="4943" spans="2:7" x14ac:dyDescent="0.2">
      <c r="B4943" s="32">
        <v>45940</v>
      </c>
      <c r="C4943" t="s">
        <v>109</v>
      </c>
      <c r="D4943" s="13" t="s">
        <v>633</v>
      </c>
      <c r="E4943" t="s">
        <v>154</v>
      </c>
      <c r="F4943" s="11">
        <v>1</v>
      </c>
      <c r="G4943" s="11">
        <v>85714.29</v>
      </c>
    </row>
    <row r="4944" spans="2:7" x14ac:dyDescent="0.2">
      <c r="B4944" s="32">
        <v>45940</v>
      </c>
      <c r="C4944" t="s">
        <v>109</v>
      </c>
      <c r="D4944" s="13" t="s">
        <v>633</v>
      </c>
      <c r="E4944" t="s">
        <v>264</v>
      </c>
      <c r="F4944" s="11">
        <v>1</v>
      </c>
      <c r="G4944" s="11">
        <v>75630.25</v>
      </c>
    </row>
    <row r="4945" spans="2:7" x14ac:dyDescent="0.2">
      <c r="B4945" s="32">
        <v>45940</v>
      </c>
      <c r="C4945" t="s">
        <v>109</v>
      </c>
      <c r="D4945" s="13" t="s">
        <v>633</v>
      </c>
      <c r="E4945" t="s">
        <v>144</v>
      </c>
      <c r="F4945" s="11">
        <v>1</v>
      </c>
      <c r="G4945" s="11">
        <v>4621.8500000000004</v>
      </c>
    </row>
    <row r="4946" spans="2:7" x14ac:dyDescent="0.2">
      <c r="B4946" s="32">
        <v>45941</v>
      </c>
      <c r="C4946" t="s">
        <v>109</v>
      </c>
      <c r="D4946" s="13" t="s">
        <v>634</v>
      </c>
      <c r="E4946" t="s">
        <v>328</v>
      </c>
      <c r="F4946" s="11">
        <v>4</v>
      </c>
      <c r="G4946" s="11">
        <v>151260.5</v>
      </c>
    </row>
    <row r="4947" spans="2:7" x14ac:dyDescent="0.2">
      <c r="B4947" s="32">
        <v>45941</v>
      </c>
      <c r="C4947" t="s">
        <v>109</v>
      </c>
      <c r="D4947" s="13" t="s">
        <v>634</v>
      </c>
      <c r="E4947" t="s">
        <v>327</v>
      </c>
      <c r="F4947" s="11">
        <v>4</v>
      </c>
      <c r="G4947" s="11">
        <v>120000</v>
      </c>
    </row>
    <row r="4948" spans="2:7" x14ac:dyDescent="0.2">
      <c r="B4948" s="32">
        <v>45941</v>
      </c>
      <c r="C4948" t="s">
        <v>109</v>
      </c>
      <c r="D4948" s="13" t="s">
        <v>634</v>
      </c>
      <c r="E4948" t="s">
        <v>1818</v>
      </c>
      <c r="F4948" s="11">
        <v>2</v>
      </c>
      <c r="G4948" s="11">
        <v>75630.259999999995</v>
      </c>
    </row>
    <row r="4949" spans="2:7" x14ac:dyDescent="0.2">
      <c r="B4949" s="32">
        <v>45941</v>
      </c>
      <c r="C4949" t="s">
        <v>109</v>
      </c>
      <c r="D4949" s="13" t="s">
        <v>634</v>
      </c>
      <c r="E4949" t="s">
        <v>152</v>
      </c>
      <c r="F4949" s="11">
        <v>1</v>
      </c>
      <c r="G4949" s="11">
        <v>75630.25</v>
      </c>
    </row>
    <row r="4950" spans="2:7" x14ac:dyDescent="0.2">
      <c r="B4950" s="32">
        <v>45941</v>
      </c>
      <c r="C4950" t="s">
        <v>109</v>
      </c>
      <c r="D4950" s="13" t="s">
        <v>634</v>
      </c>
      <c r="E4950" t="s">
        <v>264</v>
      </c>
      <c r="F4950" s="11">
        <v>1</v>
      </c>
      <c r="G4950" s="11">
        <v>75630.25</v>
      </c>
    </row>
    <row r="4951" spans="2:7" x14ac:dyDescent="0.2">
      <c r="B4951" s="32">
        <v>45941</v>
      </c>
      <c r="C4951" t="s">
        <v>109</v>
      </c>
      <c r="D4951" s="13" t="s">
        <v>634</v>
      </c>
      <c r="E4951" t="s">
        <v>206</v>
      </c>
      <c r="F4951" s="11">
        <v>2</v>
      </c>
      <c r="G4951" s="11">
        <v>75630.25</v>
      </c>
    </row>
    <row r="4952" spans="2:7" x14ac:dyDescent="0.2">
      <c r="B4952" s="32">
        <v>45941</v>
      </c>
      <c r="C4952" t="s">
        <v>109</v>
      </c>
      <c r="D4952" s="13" t="s">
        <v>634</v>
      </c>
      <c r="E4952" t="s">
        <v>147</v>
      </c>
      <c r="F4952" s="11">
        <v>1</v>
      </c>
      <c r="G4952" s="11">
        <v>71428.570000000007</v>
      </c>
    </row>
    <row r="4953" spans="2:7" x14ac:dyDescent="0.2">
      <c r="B4953" s="32">
        <v>45941</v>
      </c>
      <c r="C4953" t="s">
        <v>109</v>
      </c>
      <c r="D4953" s="13" t="s">
        <v>634</v>
      </c>
      <c r="E4953" t="s">
        <v>2046</v>
      </c>
      <c r="F4953" s="11">
        <v>1</v>
      </c>
      <c r="G4953" s="11">
        <v>61344.54</v>
      </c>
    </row>
    <row r="4954" spans="2:7" x14ac:dyDescent="0.2">
      <c r="B4954" s="32">
        <v>45941</v>
      </c>
      <c r="C4954" t="s">
        <v>109</v>
      </c>
      <c r="D4954" s="13" t="s">
        <v>634</v>
      </c>
      <c r="E4954" t="s">
        <v>287</v>
      </c>
      <c r="F4954" s="11">
        <v>1</v>
      </c>
      <c r="G4954" s="11">
        <v>58823.53</v>
      </c>
    </row>
    <row r="4955" spans="2:7" x14ac:dyDescent="0.2">
      <c r="B4955" s="32">
        <v>45941</v>
      </c>
      <c r="C4955" t="s">
        <v>109</v>
      </c>
      <c r="D4955" s="13" t="s">
        <v>634</v>
      </c>
      <c r="E4955" t="s">
        <v>251</v>
      </c>
      <c r="F4955" s="11">
        <v>1</v>
      </c>
      <c r="G4955" s="11">
        <v>58823.53</v>
      </c>
    </row>
    <row r="4956" spans="2:7" x14ac:dyDescent="0.2">
      <c r="B4956" s="32">
        <v>45941</v>
      </c>
      <c r="C4956" t="s">
        <v>109</v>
      </c>
      <c r="D4956" s="13" t="s">
        <v>634</v>
      </c>
      <c r="E4956" t="s">
        <v>427</v>
      </c>
      <c r="F4956" s="11">
        <v>1</v>
      </c>
      <c r="G4956" s="11">
        <v>54621.85</v>
      </c>
    </row>
    <row r="4957" spans="2:7" x14ac:dyDescent="0.2">
      <c r="B4957" s="32">
        <v>45941</v>
      </c>
      <c r="C4957" t="s">
        <v>109</v>
      </c>
      <c r="D4957" s="13" t="s">
        <v>634</v>
      </c>
      <c r="E4957" t="s">
        <v>166</v>
      </c>
      <c r="F4957" s="11">
        <v>1</v>
      </c>
      <c r="G4957" s="11">
        <v>42016.81</v>
      </c>
    </row>
    <row r="4958" spans="2:7" x14ac:dyDescent="0.2">
      <c r="B4958" s="32">
        <v>45941</v>
      </c>
      <c r="C4958" t="s">
        <v>109</v>
      </c>
      <c r="D4958" s="13" t="s">
        <v>634</v>
      </c>
      <c r="E4958" t="s">
        <v>1963</v>
      </c>
      <c r="F4958" s="11">
        <v>1</v>
      </c>
      <c r="G4958" s="11">
        <v>42016.81</v>
      </c>
    </row>
    <row r="4959" spans="2:7" x14ac:dyDescent="0.2">
      <c r="B4959" s="32">
        <v>45941</v>
      </c>
      <c r="C4959" t="s">
        <v>109</v>
      </c>
      <c r="D4959" s="13" t="s">
        <v>634</v>
      </c>
      <c r="E4959" t="s">
        <v>468</v>
      </c>
      <c r="F4959" s="11">
        <v>1</v>
      </c>
      <c r="G4959" s="11">
        <v>37815.129999999997</v>
      </c>
    </row>
    <row r="4960" spans="2:7" x14ac:dyDescent="0.2">
      <c r="B4960" s="32">
        <v>45941</v>
      </c>
      <c r="C4960" t="s">
        <v>109</v>
      </c>
      <c r="D4960" s="13" t="s">
        <v>634</v>
      </c>
      <c r="E4960" t="s">
        <v>144</v>
      </c>
      <c r="F4960" s="11">
        <v>1</v>
      </c>
      <c r="G4960" s="11">
        <v>18487.39</v>
      </c>
    </row>
    <row r="4961" spans="2:7" x14ac:dyDescent="0.2">
      <c r="B4961" s="32">
        <v>45941</v>
      </c>
      <c r="C4961" t="s">
        <v>109</v>
      </c>
      <c r="D4961" s="13" t="s">
        <v>633</v>
      </c>
      <c r="E4961" t="s">
        <v>167</v>
      </c>
      <c r="F4961" s="11">
        <v>1</v>
      </c>
      <c r="G4961" s="11">
        <v>100840.34</v>
      </c>
    </row>
    <row r="4962" spans="2:7" x14ac:dyDescent="0.2">
      <c r="B4962" s="32">
        <v>45941</v>
      </c>
      <c r="C4962" t="s">
        <v>109</v>
      </c>
      <c r="D4962" s="13" t="s">
        <v>633</v>
      </c>
      <c r="E4962" t="s">
        <v>149</v>
      </c>
      <c r="F4962" s="11">
        <v>1</v>
      </c>
      <c r="G4962" s="11">
        <v>71428.570000000007</v>
      </c>
    </row>
    <row r="4963" spans="2:7" x14ac:dyDescent="0.2">
      <c r="B4963" s="32">
        <v>45941</v>
      </c>
      <c r="C4963" t="s">
        <v>109</v>
      </c>
      <c r="D4963" s="13" t="s">
        <v>633</v>
      </c>
      <c r="E4963" t="s">
        <v>238</v>
      </c>
      <c r="F4963" s="11">
        <v>1</v>
      </c>
      <c r="G4963" s="11">
        <v>46218.49</v>
      </c>
    </row>
    <row r="4964" spans="2:7" x14ac:dyDescent="0.2">
      <c r="B4964" s="32">
        <v>45941</v>
      </c>
      <c r="C4964" t="s">
        <v>109</v>
      </c>
      <c r="D4964" s="13" t="s">
        <v>633</v>
      </c>
      <c r="E4964" t="s">
        <v>234</v>
      </c>
      <c r="F4964" s="11">
        <v>1</v>
      </c>
      <c r="G4964" s="11">
        <v>37815.120000000003</v>
      </c>
    </row>
    <row r="4965" spans="2:7" x14ac:dyDescent="0.2">
      <c r="B4965" s="32">
        <v>45941</v>
      </c>
      <c r="C4965" t="s">
        <v>109</v>
      </c>
      <c r="D4965" s="13" t="s">
        <v>633</v>
      </c>
      <c r="E4965" t="s">
        <v>327</v>
      </c>
      <c r="F4965" s="11">
        <v>1</v>
      </c>
      <c r="G4965" s="11">
        <v>30000</v>
      </c>
    </row>
    <row r="4966" spans="2:7" x14ac:dyDescent="0.2">
      <c r="B4966" s="32">
        <v>45941</v>
      </c>
      <c r="C4966" t="s">
        <v>109</v>
      </c>
      <c r="D4966" s="13" t="s">
        <v>633</v>
      </c>
      <c r="E4966" t="s">
        <v>441</v>
      </c>
      <c r="F4966" s="11">
        <v>1</v>
      </c>
      <c r="G4966" s="11">
        <v>29411.759999999998</v>
      </c>
    </row>
    <row r="4967" spans="2:7" x14ac:dyDescent="0.2">
      <c r="B4967" s="32">
        <v>45941</v>
      </c>
      <c r="C4967" t="s">
        <v>109</v>
      </c>
      <c r="D4967" s="13" t="s">
        <v>633</v>
      </c>
      <c r="F4967" s="11">
        <v>0</v>
      </c>
      <c r="G4967" s="11">
        <v>0</v>
      </c>
    </row>
    <row r="4968" spans="2:7" x14ac:dyDescent="0.2">
      <c r="B4968" s="32">
        <v>45942</v>
      </c>
      <c r="C4968" t="s">
        <v>142</v>
      </c>
      <c r="D4968" s="13" t="s">
        <v>634</v>
      </c>
      <c r="E4968" t="s">
        <v>308</v>
      </c>
      <c r="F4968" s="11">
        <v>1</v>
      </c>
      <c r="G4968" s="11">
        <v>100840.34</v>
      </c>
    </row>
    <row r="4969" spans="2:7" x14ac:dyDescent="0.2">
      <c r="B4969" s="32">
        <v>45942</v>
      </c>
      <c r="C4969" t="s">
        <v>142</v>
      </c>
      <c r="D4969" s="13" t="s">
        <v>634</v>
      </c>
      <c r="E4969" t="s">
        <v>2037</v>
      </c>
      <c r="F4969" s="11">
        <v>1</v>
      </c>
      <c r="G4969" s="11">
        <v>84033.62</v>
      </c>
    </row>
    <row r="4970" spans="2:7" x14ac:dyDescent="0.2">
      <c r="B4970" s="32">
        <v>45942</v>
      </c>
      <c r="C4970" t="s">
        <v>142</v>
      </c>
      <c r="D4970" s="13" t="s">
        <v>634</v>
      </c>
      <c r="E4970" t="s">
        <v>2047</v>
      </c>
      <c r="F4970" s="11">
        <v>1</v>
      </c>
      <c r="G4970" s="11">
        <v>84033.61</v>
      </c>
    </row>
    <row r="4971" spans="2:7" x14ac:dyDescent="0.2">
      <c r="B4971" s="32">
        <v>45942</v>
      </c>
      <c r="C4971" t="s">
        <v>142</v>
      </c>
      <c r="D4971" s="13" t="s">
        <v>634</v>
      </c>
      <c r="E4971" t="s">
        <v>2031</v>
      </c>
      <c r="F4971" s="11">
        <v>1</v>
      </c>
      <c r="G4971" s="11">
        <v>84033.61</v>
      </c>
    </row>
    <row r="4972" spans="2:7" x14ac:dyDescent="0.2">
      <c r="B4972" s="32">
        <v>45942</v>
      </c>
      <c r="C4972" t="s">
        <v>142</v>
      </c>
      <c r="D4972" s="13" t="s">
        <v>633</v>
      </c>
      <c r="E4972" t="s">
        <v>2048</v>
      </c>
      <c r="F4972" s="11">
        <v>1</v>
      </c>
      <c r="G4972" s="11">
        <v>453781.51</v>
      </c>
    </row>
    <row r="4973" spans="2:7" x14ac:dyDescent="0.2">
      <c r="B4973" s="32">
        <v>45942</v>
      </c>
      <c r="C4973" t="s">
        <v>142</v>
      </c>
      <c r="D4973" s="13" t="s">
        <v>633</v>
      </c>
      <c r="E4973" t="s">
        <v>191</v>
      </c>
      <c r="F4973" s="11">
        <v>1</v>
      </c>
      <c r="G4973" s="11">
        <v>151260.5</v>
      </c>
    </row>
    <row r="4974" spans="2:7" x14ac:dyDescent="0.2">
      <c r="B4974" s="32">
        <v>45942</v>
      </c>
      <c r="C4974" t="s">
        <v>142</v>
      </c>
      <c r="D4974" s="13" t="s">
        <v>633</v>
      </c>
      <c r="E4974" t="s">
        <v>194</v>
      </c>
      <c r="F4974" s="11">
        <v>1</v>
      </c>
      <c r="G4974" s="11">
        <v>100840.34</v>
      </c>
    </row>
    <row r="4975" spans="2:7" x14ac:dyDescent="0.2">
      <c r="B4975" s="32">
        <v>45942</v>
      </c>
      <c r="C4975" t="s">
        <v>142</v>
      </c>
      <c r="D4975" s="13" t="s">
        <v>633</v>
      </c>
      <c r="E4975" t="s">
        <v>553</v>
      </c>
      <c r="F4975" s="11">
        <v>1</v>
      </c>
      <c r="G4975" s="11">
        <v>58823.53</v>
      </c>
    </row>
    <row r="4976" spans="2:7" x14ac:dyDescent="0.2">
      <c r="B4976" s="32">
        <v>45942</v>
      </c>
      <c r="C4976" t="s">
        <v>142</v>
      </c>
      <c r="D4976" s="13" t="s">
        <v>633</v>
      </c>
      <c r="E4976" t="s">
        <v>345</v>
      </c>
      <c r="F4976" s="11">
        <v>1</v>
      </c>
      <c r="G4976" s="11">
        <v>54621.85</v>
      </c>
    </row>
    <row r="4977" spans="2:7" x14ac:dyDescent="0.2">
      <c r="B4977" s="32">
        <v>45942</v>
      </c>
      <c r="C4977" t="s">
        <v>142</v>
      </c>
      <c r="D4977" s="13" t="s">
        <v>633</v>
      </c>
      <c r="F4977" s="11">
        <v>1</v>
      </c>
      <c r="G4977" s="11">
        <v>1</v>
      </c>
    </row>
    <row r="4978" spans="2:7" x14ac:dyDescent="0.2">
      <c r="B4978" s="32">
        <v>45942</v>
      </c>
      <c r="C4978" t="s">
        <v>109</v>
      </c>
      <c r="D4978" s="13" t="s">
        <v>634</v>
      </c>
      <c r="E4978" t="s">
        <v>1993</v>
      </c>
      <c r="F4978" s="11">
        <v>1</v>
      </c>
      <c r="G4978" s="11">
        <v>218487.4</v>
      </c>
    </row>
    <row r="4979" spans="2:7" x14ac:dyDescent="0.2">
      <c r="B4979" s="32">
        <v>45942</v>
      </c>
      <c r="C4979" t="s">
        <v>109</v>
      </c>
      <c r="D4979" s="13" t="s">
        <v>634</v>
      </c>
      <c r="E4979" t="s">
        <v>228</v>
      </c>
      <c r="F4979" s="11">
        <v>1</v>
      </c>
      <c r="G4979" s="11">
        <v>100840.34</v>
      </c>
    </row>
    <row r="4980" spans="2:7" x14ac:dyDescent="0.2">
      <c r="B4980" s="32">
        <v>45942</v>
      </c>
      <c r="C4980" t="s">
        <v>109</v>
      </c>
      <c r="D4980" s="13" t="s">
        <v>634</v>
      </c>
      <c r="E4980" t="s">
        <v>423</v>
      </c>
      <c r="F4980" s="11">
        <v>1</v>
      </c>
      <c r="G4980" s="11">
        <v>92436.97</v>
      </c>
    </row>
    <row r="4981" spans="2:7" x14ac:dyDescent="0.2">
      <c r="B4981" s="32">
        <v>45942</v>
      </c>
      <c r="C4981" t="s">
        <v>109</v>
      </c>
      <c r="D4981" s="13" t="s">
        <v>634</v>
      </c>
      <c r="E4981" t="s">
        <v>236</v>
      </c>
      <c r="F4981" s="11">
        <v>1</v>
      </c>
      <c r="G4981" s="11">
        <v>84033.61</v>
      </c>
    </row>
    <row r="4982" spans="2:7" x14ac:dyDescent="0.2">
      <c r="B4982" s="32">
        <v>45942</v>
      </c>
      <c r="C4982" t="s">
        <v>109</v>
      </c>
      <c r="D4982" s="13" t="s">
        <v>634</v>
      </c>
      <c r="E4982" t="s">
        <v>2037</v>
      </c>
      <c r="F4982" s="11">
        <v>1</v>
      </c>
      <c r="G4982" s="11">
        <v>84033.61</v>
      </c>
    </row>
    <row r="4983" spans="2:7" x14ac:dyDescent="0.2">
      <c r="B4983" s="32">
        <v>45942</v>
      </c>
      <c r="C4983" t="s">
        <v>109</v>
      </c>
      <c r="D4983" s="13" t="s">
        <v>634</v>
      </c>
      <c r="E4983" t="s">
        <v>1956</v>
      </c>
      <c r="F4983" s="11">
        <v>1</v>
      </c>
      <c r="G4983" s="11">
        <v>69000</v>
      </c>
    </row>
    <row r="4984" spans="2:7" x14ac:dyDescent="0.2">
      <c r="B4984" s="32">
        <v>45942</v>
      </c>
      <c r="C4984" t="s">
        <v>109</v>
      </c>
      <c r="D4984" s="13" t="s">
        <v>634</v>
      </c>
      <c r="E4984" t="s">
        <v>144</v>
      </c>
      <c r="F4984" s="11">
        <v>3</v>
      </c>
      <c r="G4984" s="11">
        <v>62605.05</v>
      </c>
    </row>
    <row r="4985" spans="2:7" x14ac:dyDescent="0.2">
      <c r="B4985" s="32">
        <v>45942</v>
      </c>
      <c r="C4985" t="s">
        <v>109</v>
      </c>
      <c r="D4985" s="13" t="s">
        <v>634</v>
      </c>
      <c r="E4985" t="s">
        <v>307</v>
      </c>
      <c r="F4985" s="11">
        <v>1</v>
      </c>
      <c r="G4985" s="11">
        <v>50420.160000000003</v>
      </c>
    </row>
    <row r="4986" spans="2:7" x14ac:dyDescent="0.2">
      <c r="B4986" s="32">
        <v>45942</v>
      </c>
      <c r="C4986" t="s">
        <v>109</v>
      </c>
      <c r="D4986" s="13" t="s">
        <v>634</v>
      </c>
      <c r="E4986" t="s">
        <v>327</v>
      </c>
      <c r="F4986" s="11">
        <v>1</v>
      </c>
      <c r="G4986" s="11">
        <v>30000</v>
      </c>
    </row>
    <row r="4987" spans="2:7" x14ac:dyDescent="0.2">
      <c r="B4987" s="32">
        <v>45942</v>
      </c>
      <c r="C4987" t="s">
        <v>109</v>
      </c>
      <c r="D4987" s="13" t="s">
        <v>634</v>
      </c>
      <c r="E4987" t="s">
        <v>1822</v>
      </c>
      <c r="F4987" s="11">
        <v>1</v>
      </c>
      <c r="G4987" s="11">
        <v>16806.72</v>
      </c>
    </row>
    <row r="4988" spans="2:7" x14ac:dyDescent="0.2">
      <c r="B4988" s="32">
        <v>45942</v>
      </c>
      <c r="C4988" t="s">
        <v>109</v>
      </c>
      <c r="D4988" s="13" t="s">
        <v>633</v>
      </c>
      <c r="E4988" t="s">
        <v>336</v>
      </c>
      <c r="F4988" s="11">
        <v>2</v>
      </c>
      <c r="G4988" s="11">
        <v>142857.14000000001</v>
      </c>
    </row>
    <row r="4989" spans="2:7" x14ac:dyDescent="0.2">
      <c r="B4989" s="32">
        <v>45942</v>
      </c>
      <c r="C4989" t="s">
        <v>109</v>
      </c>
      <c r="D4989" s="13" t="s">
        <v>633</v>
      </c>
      <c r="E4989" t="s">
        <v>608</v>
      </c>
      <c r="F4989" s="11">
        <v>1</v>
      </c>
      <c r="G4989" s="11">
        <v>126050.42</v>
      </c>
    </row>
    <row r="4990" spans="2:7" x14ac:dyDescent="0.2">
      <c r="B4990" s="32">
        <v>45942</v>
      </c>
      <c r="C4990" t="s">
        <v>109</v>
      </c>
      <c r="D4990" s="13" t="s">
        <v>633</v>
      </c>
      <c r="E4990" t="s">
        <v>669</v>
      </c>
      <c r="F4990" s="11">
        <v>1</v>
      </c>
      <c r="G4990" s="11">
        <v>102000</v>
      </c>
    </row>
    <row r="4991" spans="2:7" x14ac:dyDescent="0.2">
      <c r="B4991" s="32">
        <v>45942</v>
      </c>
      <c r="C4991" t="s">
        <v>109</v>
      </c>
      <c r="D4991" s="13" t="s">
        <v>633</v>
      </c>
      <c r="E4991" t="s">
        <v>1918</v>
      </c>
      <c r="F4991" s="11">
        <v>2</v>
      </c>
      <c r="G4991" s="11">
        <v>84033.62</v>
      </c>
    </row>
    <row r="4992" spans="2:7" x14ac:dyDescent="0.2">
      <c r="B4992" s="32">
        <v>45942</v>
      </c>
      <c r="C4992" t="s">
        <v>109</v>
      </c>
      <c r="D4992" s="13" t="s">
        <v>633</v>
      </c>
      <c r="E4992" t="s">
        <v>756</v>
      </c>
      <c r="F4992" s="11">
        <v>1</v>
      </c>
      <c r="G4992" s="11">
        <v>79831.929999999993</v>
      </c>
    </row>
    <row r="4993" spans="2:7" x14ac:dyDescent="0.2">
      <c r="B4993" s="32">
        <v>45942</v>
      </c>
      <c r="C4993" t="s">
        <v>109</v>
      </c>
      <c r="D4993" s="13" t="s">
        <v>633</v>
      </c>
      <c r="E4993" t="s">
        <v>233</v>
      </c>
      <c r="F4993" s="11">
        <v>1</v>
      </c>
      <c r="G4993" s="11">
        <v>58823.53</v>
      </c>
    </row>
    <row r="4994" spans="2:7" x14ac:dyDescent="0.2">
      <c r="B4994" s="32">
        <v>45942</v>
      </c>
      <c r="C4994" t="s">
        <v>109</v>
      </c>
      <c r="D4994" s="13" t="s">
        <v>633</v>
      </c>
      <c r="E4994" t="s">
        <v>398</v>
      </c>
      <c r="F4994" s="11">
        <v>1</v>
      </c>
      <c r="G4994" s="11">
        <v>58823.53</v>
      </c>
    </row>
    <row r="4995" spans="2:7" x14ac:dyDescent="0.2">
      <c r="B4995" s="32">
        <v>45942</v>
      </c>
      <c r="C4995" t="s">
        <v>109</v>
      </c>
      <c r="D4995" s="13" t="s">
        <v>633</v>
      </c>
      <c r="E4995" t="s">
        <v>206</v>
      </c>
      <c r="F4995" s="11">
        <v>1</v>
      </c>
      <c r="G4995" s="11">
        <v>37815.129999999997</v>
      </c>
    </row>
    <row r="4996" spans="2:7" x14ac:dyDescent="0.2">
      <c r="B4996" s="32">
        <v>45942</v>
      </c>
      <c r="C4996" t="s">
        <v>109</v>
      </c>
      <c r="D4996" s="13" t="s">
        <v>633</v>
      </c>
      <c r="E4996" t="s">
        <v>327</v>
      </c>
      <c r="F4996" s="11">
        <v>1</v>
      </c>
      <c r="G4996" s="11">
        <v>30000</v>
      </c>
    </row>
    <row r="4997" spans="2:7" x14ac:dyDescent="0.2">
      <c r="B4997" s="32">
        <v>45942</v>
      </c>
      <c r="C4997" t="s">
        <v>109</v>
      </c>
      <c r="D4997" s="13" t="s">
        <v>633</v>
      </c>
      <c r="E4997" t="s">
        <v>182</v>
      </c>
      <c r="F4997" s="11">
        <v>1</v>
      </c>
      <c r="G4997" s="11">
        <v>29411.759999999998</v>
      </c>
    </row>
    <row r="4998" spans="2:7" x14ac:dyDescent="0.2">
      <c r="B4998" s="32">
        <v>45942</v>
      </c>
      <c r="C4998" t="s">
        <v>109</v>
      </c>
      <c r="D4998" s="13" t="s">
        <v>633</v>
      </c>
      <c r="E4998" t="s">
        <v>144</v>
      </c>
      <c r="F4998" s="11">
        <v>3</v>
      </c>
      <c r="G4998" s="11">
        <v>21008.41</v>
      </c>
    </row>
    <row r="4999" spans="2:7" x14ac:dyDescent="0.2">
      <c r="B4999" s="32">
        <v>45943</v>
      </c>
      <c r="C4999" t="s">
        <v>142</v>
      </c>
      <c r="D4999" s="13" t="s">
        <v>634</v>
      </c>
      <c r="E4999" t="s">
        <v>157</v>
      </c>
      <c r="F4999" s="11">
        <v>2</v>
      </c>
      <c r="G4999" s="11">
        <v>168067.23</v>
      </c>
    </row>
    <row r="5000" spans="2:7" x14ac:dyDescent="0.2">
      <c r="B5000" s="32">
        <v>45943</v>
      </c>
      <c r="C5000" t="s">
        <v>142</v>
      </c>
      <c r="D5000" s="13" t="s">
        <v>634</v>
      </c>
      <c r="E5000" t="s">
        <v>668</v>
      </c>
      <c r="F5000" s="11">
        <v>2</v>
      </c>
      <c r="G5000" s="11">
        <v>168067.22</v>
      </c>
    </row>
    <row r="5001" spans="2:7" x14ac:dyDescent="0.2">
      <c r="B5001" s="32">
        <v>45943</v>
      </c>
      <c r="C5001" t="s">
        <v>142</v>
      </c>
      <c r="D5001" s="13" t="s">
        <v>634</v>
      </c>
      <c r="E5001" t="s">
        <v>243</v>
      </c>
      <c r="F5001" s="11">
        <v>1</v>
      </c>
      <c r="G5001" s="11">
        <v>54621.85</v>
      </c>
    </row>
    <row r="5002" spans="2:7" x14ac:dyDescent="0.2">
      <c r="B5002" s="32">
        <v>45943</v>
      </c>
      <c r="C5002" t="s">
        <v>142</v>
      </c>
      <c r="D5002" s="13" t="s">
        <v>633</v>
      </c>
      <c r="E5002" t="s">
        <v>1873</v>
      </c>
      <c r="F5002" s="11">
        <v>1</v>
      </c>
      <c r="G5002" s="11">
        <v>151260.51</v>
      </c>
    </row>
    <row r="5003" spans="2:7" x14ac:dyDescent="0.2">
      <c r="B5003" s="32">
        <v>45943</v>
      </c>
      <c r="C5003" t="s">
        <v>142</v>
      </c>
      <c r="D5003" s="13" t="s">
        <v>633</v>
      </c>
      <c r="E5003" t="s">
        <v>201</v>
      </c>
      <c r="F5003" s="11">
        <v>3</v>
      </c>
      <c r="G5003" s="11">
        <v>66806.720000000001</v>
      </c>
    </row>
    <row r="5004" spans="2:7" x14ac:dyDescent="0.2">
      <c r="B5004" s="32">
        <v>45943</v>
      </c>
      <c r="C5004" t="s">
        <v>142</v>
      </c>
      <c r="D5004" s="13" t="s">
        <v>633</v>
      </c>
      <c r="E5004" t="s">
        <v>635</v>
      </c>
      <c r="F5004" s="11">
        <v>10</v>
      </c>
      <c r="G5004" s="11">
        <v>29411.759999999998</v>
      </c>
    </row>
    <row r="5005" spans="2:7" x14ac:dyDescent="0.2">
      <c r="B5005" s="32">
        <v>45943</v>
      </c>
      <c r="C5005" t="s">
        <v>109</v>
      </c>
      <c r="D5005" s="13" t="s">
        <v>634</v>
      </c>
      <c r="E5005" t="s">
        <v>594</v>
      </c>
      <c r="F5005" s="11">
        <v>1</v>
      </c>
      <c r="G5005" s="11">
        <v>218487.39</v>
      </c>
    </row>
    <row r="5006" spans="2:7" x14ac:dyDescent="0.2">
      <c r="B5006" s="32">
        <v>45943</v>
      </c>
      <c r="C5006" t="s">
        <v>109</v>
      </c>
      <c r="D5006" s="13" t="s">
        <v>634</v>
      </c>
      <c r="E5006" t="s">
        <v>646</v>
      </c>
      <c r="F5006" s="11">
        <v>1</v>
      </c>
      <c r="G5006" s="11">
        <v>113445.38</v>
      </c>
    </row>
    <row r="5007" spans="2:7" x14ac:dyDescent="0.2">
      <c r="B5007" s="32">
        <v>45943</v>
      </c>
      <c r="C5007" t="s">
        <v>109</v>
      </c>
      <c r="D5007" s="13" t="s">
        <v>634</v>
      </c>
      <c r="E5007" t="s">
        <v>184</v>
      </c>
      <c r="F5007" s="11">
        <v>1</v>
      </c>
      <c r="G5007" s="11">
        <v>100840.34</v>
      </c>
    </row>
    <row r="5008" spans="2:7" x14ac:dyDescent="0.2">
      <c r="B5008" s="32">
        <v>45943</v>
      </c>
      <c r="C5008" t="s">
        <v>109</v>
      </c>
      <c r="D5008" s="13" t="s">
        <v>634</v>
      </c>
      <c r="E5008" t="s">
        <v>336</v>
      </c>
      <c r="F5008" s="11">
        <v>1</v>
      </c>
      <c r="G5008" s="11">
        <v>71428.570000000007</v>
      </c>
    </row>
    <row r="5009" spans="2:7" x14ac:dyDescent="0.2">
      <c r="B5009" s="32">
        <v>45943</v>
      </c>
      <c r="C5009" t="s">
        <v>109</v>
      </c>
      <c r="D5009" s="13" t="s">
        <v>634</v>
      </c>
      <c r="E5009" t="s">
        <v>706</v>
      </c>
      <c r="F5009" s="11">
        <v>1</v>
      </c>
      <c r="G5009" s="11">
        <v>46218.49</v>
      </c>
    </row>
    <row r="5010" spans="2:7" x14ac:dyDescent="0.2">
      <c r="B5010" s="32">
        <v>45943</v>
      </c>
      <c r="C5010" t="s">
        <v>109</v>
      </c>
      <c r="D5010" s="13" t="s">
        <v>634</v>
      </c>
      <c r="E5010" t="s">
        <v>182</v>
      </c>
      <c r="F5010" s="11">
        <v>1</v>
      </c>
      <c r="G5010" s="11">
        <v>29411.759999999998</v>
      </c>
    </row>
    <row r="5011" spans="2:7" x14ac:dyDescent="0.2">
      <c r="B5011" s="32">
        <v>45943</v>
      </c>
      <c r="C5011" t="s">
        <v>109</v>
      </c>
      <c r="D5011" s="13" t="s">
        <v>634</v>
      </c>
      <c r="E5011" t="s">
        <v>144</v>
      </c>
      <c r="F5011" s="11">
        <v>1</v>
      </c>
      <c r="G5011" s="11">
        <v>8403.3700000000008</v>
      </c>
    </row>
    <row r="5012" spans="2:7" x14ac:dyDescent="0.2">
      <c r="B5012" s="32">
        <v>45943</v>
      </c>
      <c r="C5012" t="s">
        <v>109</v>
      </c>
      <c r="D5012" s="13" t="s">
        <v>633</v>
      </c>
      <c r="E5012" t="s">
        <v>2049</v>
      </c>
      <c r="F5012" s="11">
        <v>2</v>
      </c>
      <c r="G5012" s="11">
        <v>159663.87</v>
      </c>
    </row>
    <row r="5013" spans="2:7" x14ac:dyDescent="0.2">
      <c r="B5013" s="32">
        <v>45943</v>
      </c>
      <c r="C5013" t="s">
        <v>109</v>
      </c>
      <c r="D5013" s="13" t="s">
        <v>633</v>
      </c>
      <c r="E5013" t="s">
        <v>624</v>
      </c>
      <c r="F5013" s="11">
        <v>2</v>
      </c>
      <c r="G5013" s="11">
        <v>142857.14000000001</v>
      </c>
    </row>
    <row r="5014" spans="2:7" x14ac:dyDescent="0.2">
      <c r="B5014" s="32">
        <v>45943</v>
      </c>
      <c r="C5014" t="s">
        <v>109</v>
      </c>
      <c r="D5014" s="13" t="s">
        <v>633</v>
      </c>
      <c r="E5014" t="s">
        <v>225</v>
      </c>
      <c r="F5014" s="11">
        <v>1</v>
      </c>
      <c r="G5014" s="11">
        <v>46218.49</v>
      </c>
    </row>
    <row r="5015" spans="2:7" x14ac:dyDescent="0.2">
      <c r="B5015" s="32">
        <v>45944</v>
      </c>
      <c r="C5015" t="s">
        <v>142</v>
      </c>
      <c r="D5015" s="13" t="s">
        <v>634</v>
      </c>
      <c r="E5015" t="s">
        <v>554</v>
      </c>
      <c r="F5015" s="11">
        <v>1</v>
      </c>
      <c r="G5015" s="11">
        <v>285714.28999999998</v>
      </c>
    </row>
    <row r="5016" spans="2:7" x14ac:dyDescent="0.2">
      <c r="B5016" s="32">
        <v>45944</v>
      </c>
      <c r="C5016" t="s">
        <v>142</v>
      </c>
      <c r="D5016" s="13" t="s">
        <v>633</v>
      </c>
      <c r="E5016" t="s">
        <v>1859</v>
      </c>
      <c r="F5016" s="11">
        <v>1</v>
      </c>
      <c r="G5016" s="11">
        <v>100840.34</v>
      </c>
    </row>
    <row r="5017" spans="2:7" x14ac:dyDescent="0.2">
      <c r="B5017" s="32">
        <v>45944</v>
      </c>
      <c r="C5017" t="s">
        <v>142</v>
      </c>
      <c r="D5017" s="13" t="s">
        <v>633</v>
      </c>
      <c r="E5017" t="s">
        <v>308</v>
      </c>
      <c r="F5017" s="11">
        <v>1</v>
      </c>
      <c r="G5017" s="11">
        <v>100840.34</v>
      </c>
    </row>
    <row r="5018" spans="2:7" x14ac:dyDescent="0.2">
      <c r="B5018" s="32">
        <v>45944</v>
      </c>
      <c r="C5018" t="s">
        <v>142</v>
      </c>
      <c r="D5018" s="13" t="s">
        <v>633</v>
      </c>
      <c r="E5018" t="s">
        <v>1927</v>
      </c>
      <c r="F5018" s="11">
        <v>1</v>
      </c>
      <c r="G5018" s="11">
        <v>100840.34</v>
      </c>
    </row>
    <row r="5019" spans="2:7" x14ac:dyDescent="0.2">
      <c r="B5019" s="32">
        <v>45944</v>
      </c>
      <c r="C5019" t="s">
        <v>142</v>
      </c>
      <c r="D5019" s="13" t="s">
        <v>633</v>
      </c>
      <c r="E5019" t="s">
        <v>226</v>
      </c>
      <c r="F5019" s="11">
        <v>1</v>
      </c>
      <c r="G5019" s="11">
        <v>100840.33</v>
      </c>
    </row>
    <row r="5020" spans="2:7" x14ac:dyDescent="0.2">
      <c r="B5020" s="32">
        <v>45944</v>
      </c>
      <c r="C5020" t="s">
        <v>142</v>
      </c>
      <c r="D5020" s="13" t="s">
        <v>633</v>
      </c>
      <c r="E5020" t="s">
        <v>364</v>
      </c>
      <c r="F5020" s="11">
        <v>1</v>
      </c>
      <c r="G5020" s="11">
        <v>100840.33</v>
      </c>
    </row>
    <row r="5021" spans="2:7" x14ac:dyDescent="0.2">
      <c r="B5021" s="32">
        <v>45944</v>
      </c>
      <c r="C5021" t="s">
        <v>142</v>
      </c>
      <c r="D5021" s="13" t="s">
        <v>633</v>
      </c>
      <c r="E5021" t="s">
        <v>244</v>
      </c>
      <c r="F5021" s="11">
        <v>1</v>
      </c>
      <c r="G5021" s="11">
        <v>58823.53</v>
      </c>
    </row>
    <row r="5022" spans="2:7" x14ac:dyDescent="0.2">
      <c r="B5022" s="32">
        <v>45944</v>
      </c>
      <c r="C5022" t="s">
        <v>142</v>
      </c>
      <c r="D5022" s="13" t="s">
        <v>633</v>
      </c>
      <c r="E5022" t="s">
        <v>208</v>
      </c>
      <c r="F5022" s="11">
        <v>1</v>
      </c>
      <c r="G5022" s="11">
        <v>58823.53</v>
      </c>
    </row>
    <row r="5023" spans="2:7" x14ac:dyDescent="0.2">
      <c r="B5023" s="32">
        <v>45944</v>
      </c>
      <c r="C5023" t="s">
        <v>109</v>
      </c>
      <c r="D5023" s="13" t="s">
        <v>634</v>
      </c>
      <c r="E5023" t="s">
        <v>2011</v>
      </c>
      <c r="F5023" s="11">
        <v>3</v>
      </c>
      <c r="G5023" s="11">
        <v>163865.54999999999</v>
      </c>
    </row>
    <row r="5024" spans="2:7" x14ac:dyDescent="0.2">
      <c r="B5024" s="32">
        <v>45944</v>
      </c>
      <c r="C5024" t="s">
        <v>109</v>
      </c>
      <c r="D5024" s="13" t="s">
        <v>634</v>
      </c>
      <c r="E5024" t="s">
        <v>149</v>
      </c>
      <c r="F5024" s="11">
        <v>2</v>
      </c>
      <c r="G5024" s="11">
        <v>142857.14000000001</v>
      </c>
    </row>
    <row r="5025" spans="2:7" x14ac:dyDescent="0.2">
      <c r="B5025" s="32">
        <v>45944</v>
      </c>
      <c r="C5025" t="s">
        <v>109</v>
      </c>
      <c r="D5025" s="13" t="s">
        <v>634</v>
      </c>
      <c r="F5025" s="11">
        <v>1</v>
      </c>
      <c r="G5025" s="11">
        <v>117647.06</v>
      </c>
    </row>
    <row r="5026" spans="2:7" x14ac:dyDescent="0.2">
      <c r="B5026" s="32">
        <v>45944</v>
      </c>
      <c r="C5026" t="s">
        <v>109</v>
      </c>
      <c r="D5026" s="13" t="s">
        <v>634</v>
      </c>
      <c r="E5026" t="s">
        <v>2017</v>
      </c>
      <c r="F5026" s="11">
        <v>1</v>
      </c>
      <c r="G5026" s="11">
        <v>75630.25</v>
      </c>
    </row>
    <row r="5027" spans="2:7" x14ac:dyDescent="0.2">
      <c r="B5027" s="32">
        <v>45944</v>
      </c>
      <c r="C5027" t="s">
        <v>109</v>
      </c>
      <c r="D5027" s="13" t="s">
        <v>634</v>
      </c>
      <c r="E5027" t="s">
        <v>534</v>
      </c>
      <c r="F5027" s="11">
        <v>1</v>
      </c>
      <c r="G5027" s="11">
        <v>71428.570000000007</v>
      </c>
    </row>
    <row r="5028" spans="2:7" x14ac:dyDescent="0.2">
      <c r="B5028" s="32">
        <v>45944</v>
      </c>
      <c r="C5028" t="s">
        <v>109</v>
      </c>
      <c r="D5028" s="13" t="s">
        <v>634</v>
      </c>
      <c r="E5028" t="s">
        <v>144</v>
      </c>
      <c r="F5028" s="11">
        <v>4</v>
      </c>
      <c r="G5028" s="11">
        <v>66806.720000000001</v>
      </c>
    </row>
    <row r="5029" spans="2:7" x14ac:dyDescent="0.2">
      <c r="B5029" s="32">
        <v>45944</v>
      </c>
      <c r="C5029" t="s">
        <v>109</v>
      </c>
      <c r="D5029" s="13" t="s">
        <v>634</v>
      </c>
      <c r="E5029" t="s">
        <v>533</v>
      </c>
      <c r="F5029" s="11">
        <v>1</v>
      </c>
      <c r="G5029" s="11">
        <v>58823.53</v>
      </c>
    </row>
    <row r="5030" spans="2:7" x14ac:dyDescent="0.2">
      <c r="B5030" s="32">
        <v>45944</v>
      </c>
      <c r="C5030" t="s">
        <v>109</v>
      </c>
      <c r="D5030" s="13" t="s">
        <v>634</v>
      </c>
      <c r="E5030" t="s">
        <v>234</v>
      </c>
      <c r="F5030" s="11">
        <v>1</v>
      </c>
      <c r="G5030" s="11">
        <v>37815.129999999997</v>
      </c>
    </row>
    <row r="5031" spans="2:7" x14ac:dyDescent="0.2">
      <c r="B5031" s="32">
        <v>45944</v>
      </c>
      <c r="C5031" t="s">
        <v>109</v>
      </c>
      <c r="D5031" s="13" t="s">
        <v>634</v>
      </c>
      <c r="E5031" t="s">
        <v>327</v>
      </c>
      <c r="F5031" s="11">
        <v>1</v>
      </c>
      <c r="G5031" s="11">
        <v>30000</v>
      </c>
    </row>
    <row r="5032" spans="2:7" x14ac:dyDescent="0.2">
      <c r="B5032" s="32">
        <v>45944</v>
      </c>
      <c r="C5032" t="s">
        <v>109</v>
      </c>
      <c r="D5032" s="13" t="s">
        <v>633</v>
      </c>
      <c r="E5032" t="s">
        <v>200</v>
      </c>
      <c r="F5032" s="11">
        <v>1</v>
      </c>
      <c r="G5032" s="11">
        <v>142857.14000000001</v>
      </c>
    </row>
    <row r="5033" spans="2:7" x14ac:dyDescent="0.2">
      <c r="B5033" s="32">
        <v>45944</v>
      </c>
      <c r="C5033" t="s">
        <v>109</v>
      </c>
      <c r="D5033" s="13" t="s">
        <v>633</v>
      </c>
      <c r="E5033" t="s">
        <v>250</v>
      </c>
      <c r="F5033" s="11">
        <v>1</v>
      </c>
      <c r="G5033" s="11">
        <v>100840.34</v>
      </c>
    </row>
    <row r="5034" spans="2:7" x14ac:dyDescent="0.2">
      <c r="B5034" s="32">
        <v>45944</v>
      </c>
      <c r="C5034" t="s">
        <v>109</v>
      </c>
      <c r="D5034" s="13" t="s">
        <v>633</v>
      </c>
      <c r="E5034" t="s">
        <v>2014</v>
      </c>
      <c r="F5034" s="11">
        <v>1</v>
      </c>
      <c r="G5034" s="11">
        <v>71428.570000000007</v>
      </c>
    </row>
    <row r="5035" spans="2:7" x14ac:dyDescent="0.2">
      <c r="B5035" s="32">
        <v>45944</v>
      </c>
      <c r="C5035" t="s">
        <v>109</v>
      </c>
      <c r="D5035" s="13" t="s">
        <v>633</v>
      </c>
      <c r="E5035" t="s">
        <v>149</v>
      </c>
      <c r="F5035" s="11">
        <v>1</v>
      </c>
      <c r="G5035" s="11">
        <v>71428.570000000007</v>
      </c>
    </row>
    <row r="5036" spans="2:7" x14ac:dyDescent="0.2">
      <c r="B5036" s="32">
        <v>45944</v>
      </c>
      <c r="C5036" t="s">
        <v>109</v>
      </c>
      <c r="D5036" s="13" t="s">
        <v>633</v>
      </c>
      <c r="E5036" t="s">
        <v>1928</v>
      </c>
      <c r="F5036" s="11">
        <v>1</v>
      </c>
      <c r="G5036" s="11">
        <v>71428.570000000007</v>
      </c>
    </row>
    <row r="5037" spans="2:7" x14ac:dyDescent="0.2">
      <c r="B5037" s="32">
        <v>45944</v>
      </c>
      <c r="C5037" t="s">
        <v>109</v>
      </c>
      <c r="D5037" s="13" t="s">
        <v>633</v>
      </c>
      <c r="E5037" t="s">
        <v>642</v>
      </c>
      <c r="F5037" s="11">
        <v>1</v>
      </c>
      <c r="G5037" s="11">
        <v>49000</v>
      </c>
    </row>
    <row r="5038" spans="2:7" x14ac:dyDescent="0.2">
      <c r="B5038" s="32">
        <v>45945</v>
      </c>
      <c r="C5038" t="s">
        <v>142</v>
      </c>
      <c r="D5038" s="13" t="s">
        <v>634</v>
      </c>
      <c r="E5038" t="s">
        <v>233</v>
      </c>
      <c r="F5038" s="11">
        <v>2</v>
      </c>
      <c r="G5038" s="11">
        <v>117647.06</v>
      </c>
    </row>
    <row r="5039" spans="2:7" x14ac:dyDescent="0.2">
      <c r="B5039" s="32">
        <v>45945</v>
      </c>
      <c r="C5039" t="s">
        <v>142</v>
      </c>
      <c r="D5039" s="13" t="s">
        <v>634</v>
      </c>
      <c r="E5039" t="s">
        <v>313</v>
      </c>
      <c r="F5039" s="11">
        <v>1</v>
      </c>
      <c r="G5039" s="11">
        <v>100840.34</v>
      </c>
    </row>
    <row r="5040" spans="2:7" x14ac:dyDescent="0.2">
      <c r="B5040" s="32">
        <v>45945</v>
      </c>
      <c r="C5040" t="s">
        <v>142</v>
      </c>
      <c r="D5040" s="13" t="s">
        <v>634</v>
      </c>
      <c r="E5040" t="s">
        <v>364</v>
      </c>
      <c r="F5040" s="11">
        <v>1</v>
      </c>
      <c r="G5040" s="11">
        <v>100840.34</v>
      </c>
    </row>
    <row r="5041" spans="2:7" x14ac:dyDescent="0.2">
      <c r="B5041" s="32">
        <v>45945</v>
      </c>
      <c r="C5041" t="s">
        <v>142</v>
      </c>
      <c r="D5041" s="13" t="s">
        <v>634</v>
      </c>
      <c r="E5041" t="s">
        <v>2041</v>
      </c>
      <c r="F5041" s="11">
        <v>1</v>
      </c>
      <c r="G5041" s="11">
        <v>84033.61</v>
      </c>
    </row>
    <row r="5042" spans="2:7" x14ac:dyDescent="0.2">
      <c r="B5042" s="32">
        <v>45945</v>
      </c>
      <c r="C5042" t="s">
        <v>142</v>
      </c>
      <c r="D5042" s="13" t="s">
        <v>634</v>
      </c>
      <c r="E5042" t="s">
        <v>496</v>
      </c>
      <c r="F5042" s="11">
        <v>1</v>
      </c>
      <c r="G5042" s="11">
        <v>58823.53</v>
      </c>
    </row>
    <row r="5043" spans="2:7" x14ac:dyDescent="0.2">
      <c r="B5043" s="32">
        <v>45945</v>
      </c>
      <c r="C5043" t="s">
        <v>142</v>
      </c>
      <c r="D5043" s="13" t="s">
        <v>634</v>
      </c>
      <c r="E5043" t="s">
        <v>507</v>
      </c>
      <c r="F5043" s="11">
        <v>1</v>
      </c>
      <c r="G5043" s="11">
        <v>54621.85</v>
      </c>
    </row>
    <row r="5044" spans="2:7" x14ac:dyDescent="0.2">
      <c r="B5044" s="32">
        <v>45945</v>
      </c>
      <c r="C5044" t="s">
        <v>142</v>
      </c>
      <c r="D5044" s="13" t="s">
        <v>634</v>
      </c>
      <c r="E5044" t="s">
        <v>215</v>
      </c>
      <c r="F5044" s="11">
        <v>1</v>
      </c>
      <c r="G5044" s="11">
        <v>46218.49</v>
      </c>
    </row>
    <row r="5045" spans="2:7" x14ac:dyDescent="0.2">
      <c r="B5045" s="32">
        <v>45945</v>
      </c>
      <c r="C5045" t="s">
        <v>142</v>
      </c>
      <c r="D5045" s="13" t="s">
        <v>634</v>
      </c>
      <c r="F5045" s="11">
        <v>0</v>
      </c>
      <c r="G5045" s="11">
        <v>0</v>
      </c>
    </row>
    <row r="5046" spans="2:7" x14ac:dyDescent="0.2">
      <c r="B5046" s="32">
        <v>45945</v>
      </c>
      <c r="C5046" t="s">
        <v>142</v>
      </c>
      <c r="D5046" s="13" t="s">
        <v>633</v>
      </c>
      <c r="E5046" t="s">
        <v>674</v>
      </c>
      <c r="F5046" s="11">
        <v>2</v>
      </c>
      <c r="G5046" s="11">
        <v>319327.73</v>
      </c>
    </row>
    <row r="5047" spans="2:7" x14ac:dyDescent="0.2">
      <c r="B5047" s="32">
        <v>45945</v>
      </c>
      <c r="C5047" t="s">
        <v>142</v>
      </c>
      <c r="D5047" s="13" t="s">
        <v>633</v>
      </c>
      <c r="E5047" t="s">
        <v>2050</v>
      </c>
      <c r="F5047" s="11">
        <v>1</v>
      </c>
      <c r="G5047" s="11">
        <v>159000</v>
      </c>
    </row>
    <row r="5048" spans="2:7" x14ac:dyDescent="0.2">
      <c r="B5048" s="32">
        <v>45945</v>
      </c>
      <c r="C5048" t="s">
        <v>142</v>
      </c>
      <c r="D5048" s="13" t="s">
        <v>633</v>
      </c>
      <c r="E5048" t="s">
        <v>169</v>
      </c>
      <c r="F5048" s="11">
        <v>1</v>
      </c>
      <c r="G5048" s="11">
        <v>100840.34</v>
      </c>
    </row>
    <row r="5049" spans="2:7" x14ac:dyDescent="0.2">
      <c r="B5049" s="32">
        <v>45945</v>
      </c>
      <c r="C5049" t="s">
        <v>142</v>
      </c>
      <c r="D5049" s="13" t="s">
        <v>633</v>
      </c>
      <c r="E5049" t="s">
        <v>185</v>
      </c>
      <c r="F5049" s="11">
        <v>1</v>
      </c>
      <c r="G5049" s="11">
        <v>100840.33</v>
      </c>
    </row>
    <row r="5050" spans="2:7" x14ac:dyDescent="0.2">
      <c r="B5050" s="32">
        <v>45945</v>
      </c>
      <c r="C5050" t="s">
        <v>142</v>
      </c>
      <c r="D5050" s="13" t="s">
        <v>633</v>
      </c>
      <c r="E5050" t="s">
        <v>233</v>
      </c>
      <c r="F5050" s="11">
        <v>1</v>
      </c>
      <c r="G5050" s="11">
        <v>84033.61</v>
      </c>
    </row>
    <row r="5051" spans="2:7" x14ac:dyDescent="0.2">
      <c r="B5051" s="32">
        <v>45945</v>
      </c>
      <c r="C5051" t="s">
        <v>142</v>
      </c>
      <c r="D5051" s="13" t="s">
        <v>633</v>
      </c>
      <c r="E5051" t="s">
        <v>475</v>
      </c>
      <c r="F5051" s="11">
        <v>1</v>
      </c>
      <c r="G5051" s="11">
        <v>71428.570000000007</v>
      </c>
    </row>
    <row r="5052" spans="2:7" x14ac:dyDescent="0.2">
      <c r="B5052" s="32">
        <v>45945</v>
      </c>
      <c r="C5052" t="s">
        <v>142</v>
      </c>
      <c r="D5052" s="13" t="s">
        <v>633</v>
      </c>
      <c r="E5052" t="s">
        <v>534</v>
      </c>
      <c r="F5052" s="11">
        <v>1</v>
      </c>
      <c r="G5052" s="11">
        <v>71428.570000000007</v>
      </c>
    </row>
    <row r="5053" spans="2:7" x14ac:dyDescent="0.2">
      <c r="B5053" s="32">
        <v>45945</v>
      </c>
      <c r="C5053" t="s">
        <v>142</v>
      </c>
      <c r="D5053" s="13" t="s">
        <v>633</v>
      </c>
      <c r="E5053" t="s">
        <v>285</v>
      </c>
      <c r="F5053" s="11">
        <v>1</v>
      </c>
      <c r="G5053" s="11">
        <v>58823.53</v>
      </c>
    </row>
    <row r="5054" spans="2:7" x14ac:dyDescent="0.2">
      <c r="B5054" s="32">
        <v>45945</v>
      </c>
      <c r="C5054" t="s">
        <v>142</v>
      </c>
      <c r="D5054" s="13" t="s">
        <v>633</v>
      </c>
      <c r="E5054" t="s">
        <v>399</v>
      </c>
      <c r="F5054" s="11">
        <v>1</v>
      </c>
      <c r="G5054" s="11">
        <v>54621.85</v>
      </c>
    </row>
    <row r="5055" spans="2:7" x14ac:dyDescent="0.2">
      <c r="B5055" s="32">
        <v>45945</v>
      </c>
      <c r="C5055" t="s">
        <v>109</v>
      </c>
      <c r="D5055" s="13" t="s">
        <v>634</v>
      </c>
      <c r="E5055" t="s">
        <v>181</v>
      </c>
      <c r="F5055" s="11">
        <v>3</v>
      </c>
      <c r="G5055" s="11">
        <v>176470.59</v>
      </c>
    </row>
    <row r="5056" spans="2:7" x14ac:dyDescent="0.2">
      <c r="B5056" s="32">
        <v>45945</v>
      </c>
      <c r="C5056" t="s">
        <v>109</v>
      </c>
      <c r="D5056" s="13" t="s">
        <v>634</v>
      </c>
      <c r="E5056" t="s">
        <v>567</v>
      </c>
      <c r="F5056" s="11">
        <v>1</v>
      </c>
      <c r="G5056" s="11">
        <v>126050.42</v>
      </c>
    </row>
    <row r="5057" spans="2:7" x14ac:dyDescent="0.2">
      <c r="B5057" s="32">
        <v>45945</v>
      </c>
      <c r="C5057" t="s">
        <v>109</v>
      </c>
      <c r="D5057" s="13" t="s">
        <v>634</v>
      </c>
      <c r="E5057" t="s">
        <v>602</v>
      </c>
      <c r="F5057" s="11">
        <v>1</v>
      </c>
      <c r="G5057" s="11">
        <v>117647.06</v>
      </c>
    </row>
    <row r="5058" spans="2:7" x14ac:dyDescent="0.2">
      <c r="B5058" s="32">
        <v>45945</v>
      </c>
      <c r="C5058" t="s">
        <v>109</v>
      </c>
      <c r="D5058" s="13" t="s">
        <v>634</v>
      </c>
      <c r="E5058" t="s">
        <v>475</v>
      </c>
      <c r="F5058" s="11">
        <v>1</v>
      </c>
      <c r="G5058" s="11">
        <v>71428.570000000007</v>
      </c>
    </row>
    <row r="5059" spans="2:7" x14ac:dyDescent="0.2">
      <c r="B5059" s="32">
        <v>45945</v>
      </c>
      <c r="C5059" t="s">
        <v>109</v>
      </c>
      <c r="D5059" s="13" t="s">
        <v>634</v>
      </c>
      <c r="E5059" t="s">
        <v>534</v>
      </c>
      <c r="F5059" s="11">
        <v>1</v>
      </c>
      <c r="G5059" s="11">
        <v>71428.56</v>
      </c>
    </row>
    <row r="5060" spans="2:7" x14ac:dyDescent="0.2">
      <c r="B5060" s="32">
        <v>45945</v>
      </c>
      <c r="C5060" t="s">
        <v>109</v>
      </c>
      <c r="D5060" s="13" t="s">
        <v>634</v>
      </c>
      <c r="E5060" t="s">
        <v>446</v>
      </c>
      <c r="F5060" s="11">
        <v>1</v>
      </c>
      <c r="G5060" s="11">
        <v>64285.71</v>
      </c>
    </row>
    <row r="5061" spans="2:7" x14ac:dyDescent="0.2">
      <c r="B5061" s="32">
        <v>45945</v>
      </c>
      <c r="C5061" t="s">
        <v>109</v>
      </c>
      <c r="D5061" s="13" t="s">
        <v>634</v>
      </c>
      <c r="E5061" t="s">
        <v>327</v>
      </c>
      <c r="F5061" s="11">
        <v>1</v>
      </c>
      <c r="G5061" s="11">
        <v>60000</v>
      </c>
    </row>
    <row r="5062" spans="2:7" x14ac:dyDescent="0.2">
      <c r="B5062" s="32">
        <v>45945</v>
      </c>
      <c r="C5062" t="s">
        <v>109</v>
      </c>
      <c r="D5062" s="13" t="s">
        <v>634</v>
      </c>
      <c r="E5062" t="s">
        <v>1920</v>
      </c>
      <c r="F5062" s="11">
        <v>1</v>
      </c>
      <c r="G5062" s="11">
        <v>58823.53</v>
      </c>
    </row>
    <row r="5063" spans="2:7" x14ac:dyDescent="0.2">
      <c r="B5063" s="32">
        <v>45945</v>
      </c>
      <c r="C5063" t="s">
        <v>109</v>
      </c>
      <c r="D5063" s="13" t="s">
        <v>634</v>
      </c>
      <c r="E5063" t="s">
        <v>616</v>
      </c>
      <c r="F5063" s="11">
        <v>1</v>
      </c>
      <c r="G5063" s="11">
        <v>54621.85</v>
      </c>
    </row>
    <row r="5064" spans="2:7" x14ac:dyDescent="0.2">
      <c r="B5064" s="32">
        <v>45945</v>
      </c>
      <c r="C5064" t="s">
        <v>109</v>
      </c>
      <c r="D5064" s="13" t="s">
        <v>634</v>
      </c>
      <c r="E5064" t="s">
        <v>427</v>
      </c>
      <c r="F5064" s="11">
        <v>1</v>
      </c>
      <c r="G5064" s="11">
        <v>54621.85</v>
      </c>
    </row>
    <row r="5065" spans="2:7" x14ac:dyDescent="0.2">
      <c r="B5065" s="32">
        <v>45945</v>
      </c>
      <c r="C5065" t="s">
        <v>109</v>
      </c>
      <c r="D5065" s="13" t="s">
        <v>634</v>
      </c>
      <c r="E5065" t="s">
        <v>473</v>
      </c>
      <c r="F5065" s="11">
        <v>1</v>
      </c>
      <c r="G5065" s="11">
        <v>50420.17</v>
      </c>
    </row>
    <row r="5066" spans="2:7" x14ac:dyDescent="0.2">
      <c r="B5066" s="32">
        <v>45945</v>
      </c>
      <c r="C5066" t="s">
        <v>109</v>
      </c>
      <c r="D5066" s="13" t="s">
        <v>634</v>
      </c>
      <c r="E5066" t="s">
        <v>269</v>
      </c>
      <c r="F5066" s="11">
        <v>1</v>
      </c>
      <c r="G5066" s="11">
        <v>50420.17</v>
      </c>
    </row>
    <row r="5067" spans="2:7" x14ac:dyDescent="0.2">
      <c r="B5067" s="32">
        <v>45945</v>
      </c>
      <c r="C5067" t="s">
        <v>109</v>
      </c>
      <c r="D5067" s="13" t="s">
        <v>634</v>
      </c>
      <c r="E5067" t="s">
        <v>704</v>
      </c>
      <c r="F5067" s="11">
        <v>1</v>
      </c>
      <c r="G5067" s="11">
        <v>46218.49</v>
      </c>
    </row>
    <row r="5068" spans="2:7" x14ac:dyDescent="0.2">
      <c r="B5068" s="32">
        <v>45945</v>
      </c>
      <c r="C5068" t="s">
        <v>109</v>
      </c>
      <c r="D5068" s="13" t="s">
        <v>634</v>
      </c>
      <c r="E5068" t="s">
        <v>350</v>
      </c>
      <c r="F5068" s="11">
        <v>1</v>
      </c>
      <c r="G5068" s="11">
        <v>46218.49</v>
      </c>
    </row>
    <row r="5069" spans="2:7" x14ac:dyDescent="0.2">
      <c r="B5069" s="32">
        <v>45945</v>
      </c>
      <c r="C5069" t="s">
        <v>109</v>
      </c>
      <c r="D5069" s="13" t="s">
        <v>634</v>
      </c>
      <c r="E5069" t="s">
        <v>151</v>
      </c>
      <c r="F5069" s="11">
        <v>1</v>
      </c>
      <c r="G5069" s="11">
        <v>46218.49</v>
      </c>
    </row>
    <row r="5070" spans="2:7" x14ac:dyDescent="0.2">
      <c r="B5070" s="32">
        <v>45945</v>
      </c>
      <c r="C5070" t="s">
        <v>109</v>
      </c>
      <c r="D5070" s="13" t="s">
        <v>634</v>
      </c>
      <c r="E5070" t="s">
        <v>614</v>
      </c>
      <c r="F5070" s="11">
        <v>1</v>
      </c>
      <c r="G5070" s="11">
        <v>42857.15</v>
      </c>
    </row>
    <row r="5071" spans="2:7" x14ac:dyDescent="0.2">
      <c r="B5071" s="32">
        <v>45945</v>
      </c>
      <c r="C5071" t="s">
        <v>109</v>
      </c>
      <c r="D5071" s="13" t="s">
        <v>634</v>
      </c>
      <c r="F5071" s="11">
        <v>0</v>
      </c>
      <c r="G5071" s="11">
        <v>0</v>
      </c>
    </row>
    <row r="5072" spans="2:7" x14ac:dyDescent="0.2">
      <c r="B5072" s="32">
        <v>45945</v>
      </c>
      <c r="C5072" t="s">
        <v>109</v>
      </c>
      <c r="D5072" s="13" t="s">
        <v>633</v>
      </c>
      <c r="F5072" s="11">
        <v>1</v>
      </c>
      <c r="G5072" s="11">
        <v>117647.06</v>
      </c>
    </row>
    <row r="5073" spans="2:7" x14ac:dyDescent="0.2">
      <c r="B5073" s="32">
        <v>45945</v>
      </c>
      <c r="C5073" t="s">
        <v>109</v>
      </c>
      <c r="D5073" s="13" t="s">
        <v>633</v>
      </c>
      <c r="E5073" t="s">
        <v>1988</v>
      </c>
      <c r="F5073" s="11">
        <v>1</v>
      </c>
      <c r="G5073" s="11">
        <v>71428.570000000007</v>
      </c>
    </row>
    <row r="5074" spans="2:7" x14ac:dyDescent="0.2">
      <c r="B5074" s="32">
        <v>45945</v>
      </c>
      <c r="C5074" t="s">
        <v>109</v>
      </c>
      <c r="D5074" s="13" t="s">
        <v>633</v>
      </c>
      <c r="E5074" t="s">
        <v>149</v>
      </c>
      <c r="F5074" s="11">
        <v>1</v>
      </c>
      <c r="G5074" s="11">
        <v>71428.570000000007</v>
      </c>
    </row>
    <row r="5075" spans="2:7" x14ac:dyDescent="0.2">
      <c r="B5075" s="32">
        <v>45945</v>
      </c>
      <c r="C5075" t="s">
        <v>109</v>
      </c>
      <c r="D5075" s="13" t="s">
        <v>633</v>
      </c>
      <c r="E5075" t="s">
        <v>163</v>
      </c>
      <c r="F5075" s="11">
        <v>1</v>
      </c>
      <c r="G5075" s="11">
        <v>58823.53</v>
      </c>
    </row>
    <row r="5076" spans="2:7" x14ac:dyDescent="0.2">
      <c r="B5076" s="32">
        <v>45945</v>
      </c>
      <c r="C5076" t="s">
        <v>109</v>
      </c>
      <c r="D5076" s="13" t="s">
        <v>633</v>
      </c>
      <c r="E5076" t="s">
        <v>1784</v>
      </c>
      <c r="F5076" s="11">
        <v>1</v>
      </c>
      <c r="G5076" s="11">
        <v>58823.53</v>
      </c>
    </row>
    <row r="5077" spans="2:7" x14ac:dyDescent="0.2">
      <c r="B5077" s="32">
        <v>45945</v>
      </c>
      <c r="C5077" t="s">
        <v>109</v>
      </c>
      <c r="D5077" s="13" t="s">
        <v>633</v>
      </c>
      <c r="E5077" t="s">
        <v>782</v>
      </c>
      <c r="F5077" s="11">
        <v>1</v>
      </c>
      <c r="G5077" s="11">
        <v>54621.85</v>
      </c>
    </row>
    <row r="5078" spans="2:7" x14ac:dyDescent="0.2">
      <c r="B5078" s="32">
        <v>45945</v>
      </c>
      <c r="C5078" t="s">
        <v>109</v>
      </c>
      <c r="D5078" s="13" t="s">
        <v>633</v>
      </c>
      <c r="E5078" t="s">
        <v>330</v>
      </c>
      <c r="F5078" s="11">
        <v>1</v>
      </c>
      <c r="G5078" s="11">
        <v>37815.129999999997</v>
      </c>
    </row>
    <row r="5079" spans="2:7" x14ac:dyDescent="0.2">
      <c r="B5079" s="32">
        <v>45945</v>
      </c>
      <c r="C5079" t="s">
        <v>109</v>
      </c>
      <c r="D5079" s="13" t="s">
        <v>633</v>
      </c>
      <c r="E5079" t="s">
        <v>328</v>
      </c>
      <c r="F5079" s="11">
        <v>1</v>
      </c>
      <c r="G5079" s="11">
        <v>37815.129999999997</v>
      </c>
    </row>
    <row r="5080" spans="2:7" x14ac:dyDescent="0.2">
      <c r="B5080" s="32">
        <v>45945</v>
      </c>
      <c r="C5080" t="s">
        <v>109</v>
      </c>
      <c r="D5080" s="13" t="s">
        <v>633</v>
      </c>
      <c r="E5080" t="s">
        <v>173</v>
      </c>
      <c r="F5080" s="11">
        <v>1</v>
      </c>
      <c r="G5080" s="11">
        <v>37815.129999999997</v>
      </c>
    </row>
    <row r="5081" spans="2:7" x14ac:dyDescent="0.2">
      <c r="B5081" s="32">
        <v>45945</v>
      </c>
      <c r="C5081" t="s">
        <v>109</v>
      </c>
      <c r="D5081" s="13" t="s">
        <v>633</v>
      </c>
      <c r="E5081" t="s">
        <v>234</v>
      </c>
      <c r="F5081" s="11">
        <v>1</v>
      </c>
      <c r="G5081" s="11">
        <v>37815.120000000003</v>
      </c>
    </row>
    <row r="5082" spans="2:7" x14ac:dyDescent="0.2">
      <c r="B5082" s="32">
        <v>45945</v>
      </c>
      <c r="C5082" t="s">
        <v>109</v>
      </c>
      <c r="D5082" s="13" t="s">
        <v>633</v>
      </c>
      <c r="E5082" t="s">
        <v>144</v>
      </c>
      <c r="F5082" s="11">
        <v>3</v>
      </c>
      <c r="G5082" s="11">
        <v>34453.78</v>
      </c>
    </row>
    <row r="5083" spans="2:7" x14ac:dyDescent="0.2">
      <c r="B5083" s="32">
        <v>45945</v>
      </c>
      <c r="C5083" t="s">
        <v>109</v>
      </c>
      <c r="D5083" s="13" t="s">
        <v>633</v>
      </c>
      <c r="E5083" t="s">
        <v>351</v>
      </c>
      <c r="F5083" s="11">
        <v>1</v>
      </c>
      <c r="G5083" s="11">
        <v>16806.72</v>
      </c>
    </row>
    <row r="5084" spans="2:7" x14ac:dyDescent="0.2">
      <c r="B5084" s="32">
        <v>45945</v>
      </c>
      <c r="C5084" t="s">
        <v>109</v>
      </c>
      <c r="D5084" s="13" t="s">
        <v>633</v>
      </c>
      <c r="E5084" t="s">
        <v>670</v>
      </c>
      <c r="F5084" s="11">
        <v>1</v>
      </c>
      <c r="G5084" s="11">
        <v>0</v>
      </c>
    </row>
    <row r="5085" spans="2:7" x14ac:dyDescent="0.2">
      <c r="B5085" s="32">
        <v>45946</v>
      </c>
      <c r="C5085" t="s">
        <v>108</v>
      </c>
      <c r="D5085" s="13" t="s">
        <v>634</v>
      </c>
      <c r="E5085" t="s">
        <v>2051</v>
      </c>
      <c r="F5085" s="11">
        <v>15</v>
      </c>
      <c r="G5085" s="11">
        <v>750000</v>
      </c>
    </row>
    <row r="5086" spans="2:7" x14ac:dyDescent="0.2">
      <c r="B5086" s="32">
        <v>45946</v>
      </c>
      <c r="C5086" t="s">
        <v>108</v>
      </c>
      <c r="D5086" s="13" t="s">
        <v>634</v>
      </c>
      <c r="E5086" t="s">
        <v>259</v>
      </c>
      <c r="F5086" s="11">
        <v>15</v>
      </c>
      <c r="G5086" s="11">
        <v>750000</v>
      </c>
    </row>
    <row r="5087" spans="2:7" x14ac:dyDescent="0.2">
      <c r="B5087" s="32">
        <v>45946</v>
      </c>
      <c r="C5087" t="s">
        <v>108</v>
      </c>
      <c r="D5087" s="13" t="s">
        <v>634</v>
      </c>
      <c r="E5087" t="s">
        <v>208</v>
      </c>
      <c r="F5087" s="11">
        <v>10</v>
      </c>
      <c r="G5087" s="11">
        <v>500000</v>
      </c>
    </row>
    <row r="5088" spans="2:7" x14ac:dyDescent="0.2">
      <c r="B5088" s="32">
        <v>45946</v>
      </c>
      <c r="C5088" t="s">
        <v>108</v>
      </c>
      <c r="D5088" s="13" t="s">
        <v>634</v>
      </c>
      <c r="E5088" t="s">
        <v>374</v>
      </c>
      <c r="F5088" s="11">
        <v>10</v>
      </c>
      <c r="G5088" s="11">
        <v>500000</v>
      </c>
    </row>
    <row r="5089" spans="2:7" x14ac:dyDescent="0.2">
      <c r="B5089" s="32">
        <v>45946</v>
      </c>
      <c r="C5089" t="s">
        <v>142</v>
      </c>
      <c r="D5089" s="13" t="s">
        <v>634</v>
      </c>
      <c r="E5089" t="s">
        <v>2052</v>
      </c>
      <c r="F5089" s="11">
        <v>1</v>
      </c>
      <c r="G5089" s="11">
        <v>117226.89</v>
      </c>
    </row>
    <row r="5090" spans="2:7" x14ac:dyDescent="0.2">
      <c r="B5090" s="32">
        <v>45946</v>
      </c>
      <c r="C5090" t="s">
        <v>142</v>
      </c>
      <c r="D5090" s="13" t="s">
        <v>634</v>
      </c>
      <c r="E5090" t="s">
        <v>359</v>
      </c>
      <c r="F5090" s="11">
        <v>1</v>
      </c>
      <c r="G5090" s="11">
        <v>100840.34</v>
      </c>
    </row>
    <row r="5091" spans="2:7" x14ac:dyDescent="0.2">
      <c r="B5091" s="32">
        <v>45946</v>
      </c>
      <c r="C5091" t="s">
        <v>142</v>
      </c>
      <c r="D5091" s="13" t="s">
        <v>634</v>
      </c>
      <c r="E5091" t="s">
        <v>444</v>
      </c>
      <c r="F5091" s="11">
        <v>1</v>
      </c>
      <c r="G5091" s="11">
        <v>83193.279999999999</v>
      </c>
    </row>
    <row r="5092" spans="2:7" x14ac:dyDescent="0.2">
      <c r="B5092" s="32">
        <v>45946</v>
      </c>
      <c r="C5092" t="s">
        <v>142</v>
      </c>
      <c r="D5092" s="13" t="s">
        <v>634</v>
      </c>
      <c r="E5092" t="s">
        <v>2053</v>
      </c>
      <c r="F5092" s="11">
        <v>1</v>
      </c>
      <c r="G5092" s="11">
        <v>71848.740000000005</v>
      </c>
    </row>
    <row r="5093" spans="2:7" x14ac:dyDescent="0.2">
      <c r="B5093" s="32">
        <v>45946</v>
      </c>
      <c r="C5093" t="s">
        <v>142</v>
      </c>
      <c r="D5093" s="13" t="s">
        <v>634</v>
      </c>
      <c r="E5093" t="s">
        <v>529</v>
      </c>
      <c r="F5093" s="11">
        <v>1</v>
      </c>
      <c r="G5093" s="11">
        <v>71848.740000000005</v>
      </c>
    </row>
    <row r="5094" spans="2:7" x14ac:dyDescent="0.2">
      <c r="B5094" s="32">
        <v>45946</v>
      </c>
      <c r="C5094" t="s">
        <v>142</v>
      </c>
      <c r="D5094" s="13" t="s">
        <v>634</v>
      </c>
      <c r="E5094" t="s">
        <v>413</v>
      </c>
      <c r="F5094" s="11">
        <v>1</v>
      </c>
      <c r="G5094" s="11">
        <v>71848.740000000005</v>
      </c>
    </row>
    <row r="5095" spans="2:7" x14ac:dyDescent="0.2">
      <c r="B5095" s="32">
        <v>45946</v>
      </c>
      <c r="C5095" t="s">
        <v>142</v>
      </c>
      <c r="D5095" s="13" t="s">
        <v>634</v>
      </c>
      <c r="E5095" t="s">
        <v>691</v>
      </c>
      <c r="F5095" s="11">
        <v>1</v>
      </c>
      <c r="G5095" s="11">
        <v>71848.740000000005</v>
      </c>
    </row>
    <row r="5096" spans="2:7" x14ac:dyDescent="0.2">
      <c r="B5096" s="32">
        <v>45946</v>
      </c>
      <c r="C5096" t="s">
        <v>142</v>
      </c>
      <c r="D5096" s="13" t="s">
        <v>634</v>
      </c>
      <c r="E5096" t="s">
        <v>163</v>
      </c>
      <c r="F5096" s="11">
        <v>1</v>
      </c>
      <c r="G5096" s="11">
        <v>58823.53</v>
      </c>
    </row>
    <row r="5097" spans="2:7" x14ac:dyDescent="0.2">
      <c r="B5097" s="32">
        <v>45946</v>
      </c>
      <c r="C5097" t="s">
        <v>142</v>
      </c>
      <c r="D5097" s="13" t="s">
        <v>634</v>
      </c>
      <c r="E5097" t="s">
        <v>181</v>
      </c>
      <c r="F5097" s="11">
        <v>1</v>
      </c>
      <c r="G5097" s="11">
        <v>58823.53</v>
      </c>
    </row>
    <row r="5098" spans="2:7" x14ac:dyDescent="0.2">
      <c r="B5098" s="32">
        <v>45946</v>
      </c>
      <c r="C5098" t="s">
        <v>142</v>
      </c>
      <c r="D5098" s="13" t="s">
        <v>634</v>
      </c>
      <c r="F5098" s="11">
        <v>0</v>
      </c>
      <c r="G5098" s="11">
        <v>0</v>
      </c>
    </row>
    <row r="5099" spans="2:7" x14ac:dyDescent="0.2">
      <c r="B5099" s="32">
        <v>45946</v>
      </c>
      <c r="C5099" t="s">
        <v>142</v>
      </c>
      <c r="D5099" s="13" t="s">
        <v>633</v>
      </c>
      <c r="E5099" t="s">
        <v>2054</v>
      </c>
      <c r="F5099" s="11">
        <v>1</v>
      </c>
      <c r="G5099" s="11">
        <v>138655.46</v>
      </c>
    </row>
    <row r="5100" spans="2:7" x14ac:dyDescent="0.2">
      <c r="B5100" s="32">
        <v>45946</v>
      </c>
      <c r="C5100" t="s">
        <v>142</v>
      </c>
      <c r="D5100" s="13" t="s">
        <v>633</v>
      </c>
      <c r="E5100" t="s">
        <v>211</v>
      </c>
      <c r="F5100" s="11">
        <v>1</v>
      </c>
      <c r="G5100" s="11">
        <v>130252.1</v>
      </c>
    </row>
    <row r="5101" spans="2:7" x14ac:dyDescent="0.2">
      <c r="B5101" s="32">
        <v>45946</v>
      </c>
      <c r="C5101" t="s">
        <v>142</v>
      </c>
      <c r="D5101" s="13" t="s">
        <v>633</v>
      </c>
      <c r="E5101" t="s">
        <v>694</v>
      </c>
      <c r="F5101" s="11">
        <v>1</v>
      </c>
      <c r="G5101" s="11">
        <v>130252.1</v>
      </c>
    </row>
    <row r="5102" spans="2:7" x14ac:dyDescent="0.2">
      <c r="B5102" s="32">
        <v>45946</v>
      </c>
      <c r="C5102" t="s">
        <v>142</v>
      </c>
      <c r="D5102" s="13" t="s">
        <v>633</v>
      </c>
      <c r="E5102" t="s">
        <v>224</v>
      </c>
      <c r="F5102" s="11">
        <v>2</v>
      </c>
      <c r="G5102" s="11">
        <v>117647.06</v>
      </c>
    </row>
    <row r="5103" spans="2:7" x14ac:dyDescent="0.2">
      <c r="B5103" s="32">
        <v>45946</v>
      </c>
      <c r="C5103" t="s">
        <v>142</v>
      </c>
      <c r="D5103" s="13" t="s">
        <v>633</v>
      </c>
      <c r="E5103" t="s">
        <v>1713</v>
      </c>
      <c r="F5103" s="11">
        <v>1</v>
      </c>
      <c r="G5103" s="11">
        <v>100840.34</v>
      </c>
    </row>
    <row r="5104" spans="2:7" x14ac:dyDescent="0.2">
      <c r="B5104" s="32">
        <v>45946</v>
      </c>
      <c r="C5104" t="s">
        <v>142</v>
      </c>
      <c r="D5104" s="13" t="s">
        <v>633</v>
      </c>
      <c r="E5104" t="s">
        <v>444</v>
      </c>
      <c r="F5104" s="11">
        <v>1</v>
      </c>
      <c r="G5104" s="11">
        <v>92436.98</v>
      </c>
    </row>
    <row r="5105" spans="2:7" x14ac:dyDescent="0.2">
      <c r="B5105" s="32">
        <v>45946</v>
      </c>
      <c r="C5105" t="s">
        <v>142</v>
      </c>
      <c r="D5105" s="13" t="s">
        <v>633</v>
      </c>
      <c r="E5105" t="s">
        <v>806</v>
      </c>
      <c r="F5105" s="11">
        <v>1</v>
      </c>
      <c r="G5105" s="11">
        <v>92436.97</v>
      </c>
    </row>
    <row r="5106" spans="2:7" x14ac:dyDescent="0.2">
      <c r="B5106" s="32">
        <v>45946</v>
      </c>
      <c r="C5106" t="s">
        <v>142</v>
      </c>
      <c r="D5106" s="13" t="s">
        <v>633</v>
      </c>
      <c r="E5106" t="s">
        <v>533</v>
      </c>
      <c r="F5106" s="11">
        <v>1</v>
      </c>
      <c r="G5106" s="11">
        <v>84033.61</v>
      </c>
    </row>
    <row r="5107" spans="2:7" x14ac:dyDescent="0.2">
      <c r="B5107" s="32">
        <v>45946</v>
      </c>
      <c r="C5107" t="s">
        <v>142</v>
      </c>
      <c r="D5107" s="13" t="s">
        <v>633</v>
      </c>
      <c r="E5107" t="s">
        <v>370</v>
      </c>
      <c r="F5107" s="11">
        <v>1</v>
      </c>
      <c r="G5107" s="11">
        <v>79831.929999999993</v>
      </c>
    </row>
    <row r="5108" spans="2:7" x14ac:dyDescent="0.2">
      <c r="B5108" s="32">
        <v>45946</v>
      </c>
      <c r="C5108" t="s">
        <v>142</v>
      </c>
      <c r="D5108" s="13" t="s">
        <v>633</v>
      </c>
      <c r="E5108" t="s">
        <v>1845</v>
      </c>
      <c r="F5108" s="11">
        <v>1</v>
      </c>
      <c r="G5108" s="11">
        <v>58823.53</v>
      </c>
    </row>
    <row r="5109" spans="2:7" x14ac:dyDescent="0.2">
      <c r="B5109" s="32">
        <v>45946</v>
      </c>
      <c r="C5109" t="s">
        <v>142</v>
      </c>
      <c r="D5109" s="13" t="s">
        <v>633</v>
      </c>
      <c r="E5109" t="s">
        <v>282</v>
      </c>
      <c r="F5109" s="11">
        <v>1</v>
      </c>
      <c r="G5109" s="11">
        <v>58823.53</v>
      </c>
    </row>
    <row r="5110" spans="2:7" x14ac:dyDescent="0.2">
      <c r="B5110" s="32">
        <v>45946</v>
      </c>
      <c r="C5110" t="s">
        <v>110</v>
      </c>
      <c r="D5110" s="13" t="s">
        <v>634</v>
      </c>
      <c r="E5110" t="s">
        <v>347</v>
      </c>
      <c r="F5110" s="11">
        <v>1</v>
      </c>
      <c r="G5110" s="11">
        <v>75630.25</v>
      </c>
    </row>
    <row r="5111" spans="2:7" x14ac:dyDescent="0.2">
      <c r="B5111" s="32">
        <v>45946</v>
      </c>
      <c r="C5111" t="s">
        <v>109</v>
      </c>
      <c r="D5111" s="13" t="s">
        <v>634</v>
      </c>
      <c r="E5111" t="s">
        <v>1835</v>
      </c>
      <c r="F5111" s="11">
        <v>1</v>
      </c>
      <c r="G5111" s="11">
        <v>252100.84</v>
      </c>
    </row>
    <row r="5112" spans="2:7" x14ac:dyDescent="0.2">
      <c r="B5112" s="32">
        <v>45946</v>
      </c>
      <c r="C5112" t="s">
        <v>109</v>
      </c>
      <c r="D5112" s="13" t="s">
        <v>634</v>
      </c>
      <c r="E5112" t="s">
        <v>1827</v>
      </c>
      <c r="F5112" s="11">
        <v>1</v>
      </c>
      <c r="G5112" s="11">
        <v>210084.03</v>
      </c>
    </row>
    <row r="5113" spans="2:7" x14ac:dyDescent="0.2">
      <c r="B5113" s="32">
        <v>45946</v>
      </c>
      <c r="C5113" t="s">
        <v>109</v>
      </c>
      <c r="D5113" s="13" t="s">
        <v>634</v>
      </c>
      <c r="E5113" t="s">
        <v>407</v>
      </c>
      <c r="F5113" s="11">
        <v>1</v>
      </c>
      <c r="G5113" s="11">
        <v>100840.34</v>
      </c>
    </row>
    <row r="5114" spans="2:7" x14ac:dyDescent="0.2">
      <c r="B5114" s="32">
        <v>45946</v>
      </c>
      <c r="C5114" t="s">
        <v>109</v>
      </c>
      <c r="D5114" s="13" t="s">
        <v>634</v>
      </c>
      <c r="E5114" t="s">
        <v>184</v>
      </c>
      <c r="F5114" s="11">
        <v>1</v>
      </c>
      <c r="G5114" s="11">
        <v>100840.34</v>
      </c>
    </row>
    <row r="5115" spans="2:7" x14ac:dyDescent="0.2">
      <c r="B5115" s="32">
        <v>45946</v>
      </c>
      <c r="C5115" t="s">
        <v>109</v>
      </c>
      <c r="D5115" s="13" t="s">
        <v>634</v>
      </c>
      <c r="E5115" t="s">
        <v>438</v>
      </c>
      <c r="F5115" s="11">
        <v>1</v>
      </c>
      <c r="G5115" s="11">
        <v>100840.34</v>
      </c>
    </row>
    <row r="5116" spans="2:7" x14ac:dyDescent="0.2">
      <c r="B5116" s="32">
        <v>45946</v>
      </c>
      <c r="C5116" t="s">
        <v>109</v>
      </c>
      <c r="D5116" s="13" t="s">
        <v>634</v>
      </c>
      <c r="E5116" t="s">
        <v>149</v>
      </c>
      <c r="F5116" s="11">
        <v>1</v>
      </c>
      <c r="G5116" s="11">
        <v>71428.570000000007</v>
      </c>
    </row>
    <row r="5117" spans="2:7" x14ac:dyDescent="0.2">
      <c r="B5117" s="32">
        <v>45946</v>
      </c>
      <c r="C5117" t="s">
        <v>109</v>
      </c>
      <c r="D5117" s="13" t="s">
        <v>634</v>
      </c>
      <c r="E5117" t="s">
        <v>2014</v>
      </c>
      <c r="F5117" s="11">
        <v>1</v>
      </c>
      <c r="G5117" s="11">
        <v>71428.570000000007</v>
      </c>
    </row>
    <row r="5118" spans="2:7" x14ac:dyDescent="0.2">
      <c r="B5118" s="32">
        <v>45946</v>
      </c>
      <c r="C5118" t="s">
        <v>109</v>
      </c>
      <c r="D5118" s="13" t="s">
        <v>634</v>
      </c>
      <c r="E5118" t="s">
        <v>616</v>
      </c>
      <c r="F5118" s="11">
        <v>1</v>
      </c>
      <c r="G5118" s="11">
        <v>54621.85</v>
      </c>
    </row>
    <row r="5119" spans="2:7" x14ac:dyDescent="0.2">
      <c r="B5119" s="32">
        <v>45946</v>
      </c>
      <c r="C5119" t="s">
        <v>109</v>
      </c>
      <c r="D5119" s="13" t="s">
        <v>633</v>
      </c>
      <c r="E5119" t="s">
        <v>2055</v>
      </c>
      <c r="F5119" s="11">
        <v>1</v>
      </c>
      <c r="G5119" s="11">
        <v>420168.07</v>
      </c>
    </row>
    <row r="5120" spans="2:7" x14ac:dyDescent="0.2">
      <c r="B5120" s="32">
        <v>45946</v>
      </c>
      <c r="C5120" t="s">
        <v>109</v>
      </c>
      <c r="D5120" s="13" t="s">
        <v>633</v>
      </c>
      <c r="E5120" t="s">
        <v>159</v>
      </c>
      <c r="F5120" s="11">
        <v>1</v>
      </c>
      <c r="G5120" s="11">
        <v>239495.8</v>
      </c>
    </row>
    <row r="5121" spans="2:7" x14ac:dyDescent="0.2">
      <c r="B5121" s="32">
        <v>45946</v>
      </c>
      <c r="C5121" t="s">
        <v>109</v>
      </c>
      <c r="D5121" s="13" t="s">
        <v>633</v>
      </c>
      <c r="E5121" t="s">
        <v>2011</v>
      </c>
      <c r="F5121" s="11">
        <v>1</v>
      </c>
      <c r="G5121" s="11">
        <v>54621.85</v>
      </c>
    </row>
    <row r="5122" spans="2:7" x14ac:dyDescent="0.2">
      <c r="B5122" s="32">
        <v>45946</v>
      </c>
      <c r="C5122" t="s">
        <v>109</v>
      </c>
      <c r="D5122" s="13" t="s">
        <v>633</v>
      </c>
      <c r="E5122" t="s">
        <v>156</v>
      </c>
      <c r="F5122" s="11">
        <v>1</v>
      </c>
      <c r="G5122" s="11">
        <v>42016.800000000003</v>
      </c>
    </row>
    <row r="5123" spans="2:7" x14ac:dyDescent="0.2">
      <c r="B5123" s="32">
        <v>45946</v>
      </c>
      <c r="C5123" t="s">
        <v>109</v>
      </c>
      <c r="D5123" s="13" t="s">
        <v>633</v>
      </c>
      <c r="E5123" t="s">
        <v>452</v>
      </c>
      <c r="F5123" s="11">
        <v>1</v>
      </c>
      <c r="G5123" s="11">
        <v>37815.129999999997</v>
      </c>
    </row>
    <row r="5124" spans="2:7" x14ac:dyDescent="0.2">
      <c r="B5124" s="32">
        <v>45947</v>
      </c>
      <c r="C5124" t="s">
        <v>142</v>
      </c>
      <c r="D5124" s="13"/>
      <c r="E5124" t="s">
        <v>431</v>
      </c>
      <c r="F5124" s="11">
        <v>1</v>
      </c>
      <c r="G5124" s="11">
        <v>0</v>
      </c>
    </row>
    <row r="5125" spans="2:7" x14ac:dyDescent="0.2">
      <c r="B5125" s="32">
        <v>45947</v>
      </c>
      <c r="C5125" t="s">
        <v>142</v>
      </c>
      <c r="D5125" s="13"/>
      <c r="E5125" t="s">
        <v>282</v>
      </c>
      <c r="F5125" s="11">
        <v>1</v>
      </c>
      <c r="G5125" s="11">
        <v>0</v>
      </c>
    </row>
    <row r="5126" spans="2:7" x14ac:dyDescent="0.2">
      <c r="B5126" s="32">
        <v>45947</v>
      </c>
      <c r="C5126" t="s">
        <v>142</v>
      </c>
      <c r="D5126" s="13" t="s">
        <v>634</v>
      </c>
      <c r="E5126" t="s">
        <v>308</v>
      </c>
      <c r="F5126" s="11">
        <v>1</v>
      </c>
      <c r="G5126" s="11">
        <v>90756.3</v>
      </c>
    </row>
    <row r="5127" spans="2:7" x14ac:dyDescent="0.2">
      <c r="B5127" s="32">
        <v>45947</v>
      </c>
      <c r="C5127" t="s">
        <v>142</v>
      </c>
      <c r="D5127" s="13" t="s">
        <v>634</v>
      </c>
      <c r="E5127" t="s">
        <v>430</v>
      </c>
      <c r="F5127" s="11">
        <v>1</v>
      </c>
      <c r="G5127" s="11">
        <v>58823.53</v>
      </c>
    </row>
    <row r="5128" spans="2:7" x14ac:dyDescent="0.2">
      <c r="B5128" s="32">
        <v>45947</v>
      </c>
      <c r="C5128" t="s">
        <v>142</v>
      </c>
      <c r="D5128" s="13" t="s">
        <v>634</v>
      </c>
      <c r="E5128" t="s">
        <v>181</v>
      </c>
      <c r="F5128" s="11">
        <v>1</v>
      </c>
      <c r="G5128" s="11">
        <v>58823.53</v>
      </c>
    </row>
    <row r="5129" spans="2:7" x14ac:dyDescent="0.2">
      <c r="B5129" s="32">
        <v>45947</v>
      </c>
      <c r="C5129" t="s">
        <v>142</v>
      </c>
      <c r="D5129" s="13" t="s">
        <v>634</v>
      </c>
      <c r="E5129" t="s">
        <v>307</v>
      </c>
      <c r="F5129" s="11">
        <v>1</v>
      </c>
      <c r="G5129" s="11">
        <v>50420.17</v>
      </c>
    </row>
    <row r="5130" spans="2:7" x14ac:dyDescent="0.2">
      <c r="B5130" s="32">
        <v>45947</v>
      </c>
      <c r="C5130" t="s">
        <v>142</v>
      </c>
      <c r="D5130" s="13" t="s">
        <v>634</v>
      </c>
      <c r="E5130" t="s">
        <v>473</v>
      </c>
      <c r="F5130" s="11">
        <v>1</v>
      </c>
      <c r="G5130" s="11">
        <v>50420.17</v>
      </c>
    </row>
    <row r="5131" spans="2:7" x14ac:dyDescent="0.2">
      <c r="B5131" s="32">
        <v>45947</v>
      </c>
      <c r="C5131" t="s">
        <v>142</v>
      </c>
      <c r="D5131" s="13" t="s">
        <v>633</v>
      </c>
      <c r="E5131" t="s">
        <v>162</v>
      </c>
      <c r="F5131" s="11">
        <v>1</v>
      </c>
      <c r="G5131" s="11">
        <v>58823.53</v>
      </c>
    </row>
    <row r="5132" spans="2:7" x14ac:dyDescent="0.2">
      <c r="B5132" s="32">
        <v>45947</v>
      </c>
      <c r="C5132" t="s">
        <v>110</v>
      </c>
      <c r="D5132" s="13" t="s">
        <v>634</v>
      </c>
      <c r="E5132" t="s">
        <v>161</v>
      </c>
      <c r="F5132" s="11">
        <v>1</v>
      </c>
      <c r="G5132" s="11">
        <v>42016.81</v>
      </c>
    </row>
    <row r="5133" spans="2:7" x14ac:dyDescent="0.2">
      <c r="B5133" s="32">
        <v>45947</v>
      </c>
      <c r="C5133" t="s">
        <v>109</v>
      </c>
      <c r="D5133" s="13" t="s">
        <v>634</v>
      </c>
      <c r="E5133" t="s">
        <v>2017</v>
      </c>
      <c r="F5133" s="11">
        <v>1</v>
      </c>
      <c r="G5133" s="11">
        <v>75630.25</v>
      </c>
    </row>
    <row r="5134" spans="2:7" x14ac:dyDescent="0.2">
      <c r="B5134" s="32">
        <v>45947</v>
      </c>
      <c r="C5134" t="s">
        <v>109</v>
      </c>
      <c r="D5134" s="13" t="s">
        <v>634</v>
      </c>
      <c r="E5134" t="s">
        <v>431</v>
      </c>
      <c r="F5134" s="11">
        <v>1</v>
      </c>
      <c r="G5134" s="11">
        <v>58823.53</v>
      </c>
    </row>
    <row r="5135" spans="2:7" x14ac:dyDescent="0.2">
      <c r="B5135" s="32">
        <v>45947</v>
      </c>
      <c r="C5135" t="s">
        <v>109</v>
      </c>
      <c r="D5135" s="13" t="s">
        <v>634</v>
      </c>
      <c r="E5135" t="s">
        <v>282</v>
      </c>
      <c r="F5135" s="11">
        <v>1</v>
      </c>
      <c r="G5135" s="11">
        <v>58823.53</v>
      </c>
    </row>
    <row r="5136" spans="2:7" x14ac:dyDescent="0.2">
      <c r="B5136" s="32">
        <v>45947</v>
      </c>
      <c r="C5136" t="s">
        <v>109</v>
      </c>
      <c r="D5136" s="13" t="s">
        <v>634</v>
      </c>
      <c r="E5136" t="s">
        <v>587</v>
      </c>
      <c r="F5136" s="11">
        <v>1</v>
      </c>
      <c r="G5136" s="11">
        <v>50420.17</v>
      </c>
    </row>
    <row r="5137" spans="2:7" x14ac:dyDescent="0.2">
      <c r="B5137" s="32">
        <v>45947</v>
      </c>
      <c r="C5137" t="s">
        <v>109</v>
      </c>
      <c r="D5137" s="13" t="s">
        <v>633</v>
      </c>
      <c r="E5137" t="s">
        <v>439</v>
      </c>
      <c r="F5137" s="11">
        <v>4</v>
      </c>
      <c r="G5137" s="11">
        <v>235294.12</v>
      </c>
    </row>
    <row r="5138" spans="2:7" x14ac:dyDescent="0.2">
      <c r="B5138" s="32">
        <v>45947</v>
      </c>
      <c r="C5138" t="s">
        <v>109</v>
      </c>
      <c r="D5138" s="13" t="s">
        <v>633</v>
      </c>
      <c r="E5138" t="s">
        <v>2050</v>
      </c>
      <c r="F5138" s="11">
        <v>1</v>
      </c>
      <c r="G5138" s="11">
        <v>159000</v>
      </c>
    </row>
    <row r="5139" spans="2:7" x14ac:dyDescent="0.2">
      <c r="B5139" s="32">
        <v>45947</v>
      </c>
      <c r="C5139" t="s">
        <v>109</v>
      </c>
      <c r="D5139" s="13" t="s">
        <v>633</v>
      </c>
      <c r="E5139" t="s">
        <v>327</v>
      </c>
      <c r="F5139" s="11">
        <v>4</v>
      </c>
      <c r="G5139" s="11">
        <v>120000</v>
      </c>
    </row>
    <row r="5140" spans="2:7" x14ac:dyDescent="0.2">
      <c r="B5140" s="32">
        <v>45947</v>
      </c>
      <c r="C5140" t="s">
        <v>109</v>
      </c>
      <c r="D5140" s="13" t="s">
        <v>633</v>
      </c>
      <c r="E5140" t="s">
        <v>532</v>
      </c>
      <c r="F5140" s="11">
        <v>1</v>
      </c>
      <c r="G5140" s="11">
        <v>100840.33</v>
      </c>
    </row>
    <row r="5141" spans="2:7" x14ac:dyDescent="0.2">
      <c r="B5141" s="32">
        <v>45947</v>
      </c>
      <c r="C5141" t="s">
        <v>109</v>
      </c>
      <c r="D5141" s="13" t="s">
        <v>633</v>
      </c>
      <c r="E5141" t="s">
        <v>170</v>
      </c>
      <c r="F5141" s="11">
        <v>2</v>
      </c>
      <c r="G5141" s="11">
        <v>92436.97</v>
      </c>
    </row>
    <row r="5142" spans="2:7" x14ac:dyDescent="0.2">
      <c r="B5142" s="32">
        <v>45947</v>
      </c>
      <c r="C5142" t="s">
        <v>109</v>
      </c>
      <c r="D5142" s="13" t="s">
        <v>633</v>
      </c>
      <c r="E5142" t="s">
        <v>1855</v>
      </c>
      <c r="F5142" s="11">
        <v>1</v>
      </c>
      <c r="G5142" s="11">
        <v>79831.929999999993</v>
      </c>
    </row>
    <row r="5143" spans="2:7" x14ac:dyDescent="0.2">
      <c r="B5143" s="32">
        <v>45947</v>
      </c>
      <c r="C5143" t="s">
        <v>109</v>
      </c>
      <c r="D5143" s="13" t="s">
        <v>633</v>
      </c>
      <c r="E5143" t="s">
        <v>524</v>
      </c>
      <c r="F5143" s="11">
        <v>1</v>
      </c>
      <c r="G5143" s="11">
        <v>58823.53</v>
      </c>
    </row>
    <row r="5144" spans="2:7" x14ac:dyDescent="0.2">
      <c r="B5144" s="32">
        <v>45947</v>
      </c>
      <c r="C5144" t="s">
        <v>109</v>
      </c>
      <c r="D5144" s="13" t="s">
        <v>633</v>
      </c>
      <c r="E5144" t="s">
        <v>374</v>
      </c>
      <c r="F5144" s="11">
        <v>1</v>
      </c>
      <c r="G5144" s="11">
        <v>58823.53</v>
      </c>
    </row>
    <row r="5145" spans="2:7" x14ac:dyDescent="0.2">
      <c r="B5145" s="32">
        <v>45947</v>
      </c>
      <c r="C5145" t="s">
        <v>109</v>
      </c>
      <c r="D5145" s="13" t="s">
        <v>633</v>
      </c>
      <c r="E5145" t="s">
        <v>1871</v>
      </c>
      <c r="F5145" s="11">
        <v>1</v>
      </c>
      <c r="G5145" s="11">
        <v>58823.53</v>
      </c>
    </row>
    <row r="5146" spans="2:7" x14ac:dyDescent="0.2">
      <c r="B5146" s="32">
        <v>45947</v>
      </c>
      <c r="C5146" t="s">
        <v>109</v>
      </c>
      <c r="D5146" s="13" t="s">
        <v>633</v>
      </c>
      <c r="E5146" t="s">
        <v>208</v>
      </c>
      <c r="F5146" s="11">
        <v>1</v>
      </c>
      <c r="G5146" s="11">
        <v>58823.53</v>
      </c>
    </row>
    <row r="5147" spans="2:7" x14ac:dyDescent="0.2">
      <c r="B5147" s="32">
        <v>45947</v>
      </c>
      <c r="C5147" t="s">
        <v>109</v>
      </c>
      <c r="D5147" s="13" t="s">
        <v>633</v>
      </c>
      <c r="E5147" t="s">
        <v>144</v>
      </c>
      <c r="F5147" s="11">
        <v>1</v>
      </c>
      <c r="G5147" s="11">
        <v>42016.81</v>
      </c>
    </row>
    <row r="5148" spans="2:7" x14ac:dyDescent="0.2">
      <c r="B5148" s="32">
        <v>45947</v>
      </c>
      <c r="C5148" t="s">
        <v>109</v>
      </c>
      <c r="D5148" s="13" t="s">
        <v>633</v>
      </c>
      <c r="E5148" t="s">
        <v>1822</v>
      </c>
      <c r="F5148" s="11">
        <v>2</v>
      </c>
      <c r="G5148" s="11">
        <v>33613.440000000002</v>
      </c>
    </row>
    <row r="5149" spans="2:7" x14ac:dyDescent="0.2">
      <c r="B5149" s="32">
        <v>45947</v>
      </c>
      <c r="C5149" t="s">
        <v>109</v>
      </c>
      <c r="D5149" s="13" t="s">
        <v>633</v>
      </c>
      <c r="E5149" t="s">
        <v>198</v>
      </c>
      <c r="F5149" s="11">
        <v>1</v>
      </c>
      <c r="G5149" s="11">
        <v>0</v>
      </c>
    </row>
    <row r="5150" spans="2:7" x14ac:dyDescent="0.2">
      <c r="B5150" s="32">
        <v>45948</v>
      </c>
      <c r="C5150" t="s">
        <v>110</v>
      </c>
      <c r="D5150" s="13" t="s">
        <v>634</v>
      </c>
      <c r="E5150" t="s">
        <v>166</v>
      </c>
      <c r="F5150" s="11">
        <v>2</v>
      </c>
      <c r="G5150" s="11">
        <v>84033.62</v>
      </c>
    </row>
    <row r="5151" spans="2:7" x14ac:dyDescent="0.2">
      <c r="B5151" s="32">
        <v>45948</v>
      </c>
      <c r="C5151" t="s">
        <v>110</v>
      </c>
      <c r="D5151" s="13" t="s">
        <v>634</v>
      </c>
      <c r="E5151" t="s">
        <v>161</v>
      </c>
      <c r="F5151" s="11">
        <v>2</v>
      </c>
      <c r="G5151" s="11">
        <v>84033.62</v>
      </c>
    </row>
    <row r="5152" spans="2:7" x14ac:dyDescent="0.2">
      <c r="B5152" s="32">
        <v>45948</v>
      </c>
      <c r="C5152" t="s">
        <v>110</v>
      </c>
      <c r="D5152" s="13" t="s">
        <v>633</v>
      </c>
      <c r="E5152" t="s">
        <v>173</v>
      </c>
      <c r="F5152" s="11">
        <v>1</v>
      </c>
      <c r="G5152" s="11">
        <v>37815.129999999997</v>
      </c>
    </row>
    <row r="5153" spans="2:7" x14ac:dyDescent="0.2">
      <c r="B5153" s="32">
        <v>45948</v>
      </c>
      <c r="C5153" t="s">
        <v>110</v>
      </c>
      <c r="D5153" s="13" t="s">
        <v>633</v>
      </c>
      <c r="E5153" t="s">
        <v>330</v>
      </c>
      <c r="F5153" s="11">
        <v>1</v>
      </c>
      <c r="G5153" s="11">
        <v>37815.120000000003</v>
      </c>
    </row>
    <row r="5154" spans="2:7" x14ac:dyDescent="0.2">
      <c r="B5154" s="32">
        <v>45948</v>
      </c>
      <c r="C5154" t="s">
        <v>109</v>
      </c>
      <c r="D5154" s="13" t="s">
        <v>634</v>
      </c>
      <c r="E5154" t="s">
        <v>144</v>
      </c>
      <c r="F5154" s="11">
        <v>4</v>
      </c>
      <c r="G5154" s="11">
        <v>193277.31</v>
      </c>
    </row>
    <row r="5155" spans="2:7" x14ac:dyDescent="0.2">
      <c r="B5155" s="32">
        <v>45948</v>
      </c>
      <c r="C5155" t="s">
        <v>109</v>
      </c>
      <c r="D5155" s="13" t="s">
        <v>634</v>
      </c>
      <c r="E5155" t="s">
        <v>485</v>
      </c>
      <c r="F5155" s="11">
        <v>1</v>
      </c>
      <c r="G5155" s="11">
        <v>186554.63</v>
      </c>
    </row>
    <row r="5156" spans="2:7" x14ac:dyDescent="0.2">
      <c r="B5156" s="32">
        <v>45948</v>
      </c>
      <c r="C5156" t="s">
        <v>109</v>
      </c>
      <c r="D5156" s="13" t="s">
        <v>634</v>
      </c>
      <c r="E5156" t="s">
        <v>679</v>
      </c>
      <c r="F5156" s="11">
        <v>2</v>
      </c>
      <c r="G5156" s="11">
        <v>155462.19</v>
      </c>
    </row>
    <row r="5157" spans="2:7" x14ac:dyDescent="0.2">
      <c r="B5157" s="32">
        <v>45948</v>
      </c>
      <c r="C5157" t="s">
        <v>109</v>
      </c>
      <c r="D5157" s="13" t="s">
        <v>634</v>
      </c>
      <c r="E5157" t="s">
        <v>446</v>
      </c>
      <c r="F5157" s="11">
        <v>2</v>
      </c>
      <c r="G5157" s="11">
        <v>151260.5</v>
      </c>
    </row>
    <row r="5158" spans="2:7" x14ac:dyDescent="0.2">
      <c r="B5158" s="32">
        <v>45948</v>
      </c>
      <c r="C5158" t="s">
        <v>109</v>
      </c>
      <c r="D5158" s="13" t="s">
        <v>634</v>
      </c>
      <c r="E5158" t="s">
        <v>478</v>
      </c>
      <c r="F5158" s="11">
        <v>1</v>
      </c>
      <c r="G5158" s="11">
        <v>136134.45000000001</v>
      </c>
    </row>
    <row r="5159" spans="2:7" x14ac:dyDescent="0.2">
      <c r="B5159" s="32">
        <v>45948</v>
      </c>
      <c r="C5159" t="s">
        <v>109</v>
      </c>
      <c r="D5159" s="13" t="s">
        <v>634</v>
      </c>
      <c r="E5159" t="s">
        <v>669</v>
      </c>
      <c r="F5159" s="11">
        <v>1</v>
      </c>
      <c r="G5159" s="11">
        <v>102000</v>
      </c>
    </row>
    <row r="5160" spans="2:7" x14ac:dyDescent="0.2">
      <c r="B5160" s="32">
        <v>45948</v>
      </c>
      <c r="C5160" t="s">
        <v>109</v>
      </c>
      <c r="D5160" s="13" t="s">
        <v>634</v>
      </c>
      <c r="E5160" t="s">
        <v>642</v>
      </c>
      <c r="F5160" s="11">
        <v>2</v>
      </c>
      <c r="G5160" s="11">
        <v>98000</v>
      </c>
    </row>
    <row r="5161" spans="2:7" x14ac:dyDescent="0.2">
      <c r="B5161" s="32">
        <v>45948</v>
      </c>
      <c r="C5161" t="s">
        <v>109</v>
      </c>
      <c r="D5161" s="13" t="s">
        <v>634</v>
      </c>
      <c r="E5161" t="s">
        <v>146</v>
      </c>
      <c r="F5161" s="11">
        <v>2</v>
      </c>
      <c r="G5161" s="11">
        <v>92436.97</v>
      </c>
    </row>
    <row r="5162" spans="2:7" x14ac:dyDescent="0.2">
      <c r="B5162" s="32">
        <v>45948</v>
      </c>
      <c r="C5162" t="s">
        <v>109</v>
      </c>
      <c r="D5162" s="13" t="s">
        <v>634</v>
      </c>
      <c r="E5162" t="s">
        <v>281</v>
      </c>
      <c r="F5162" s="11">
        <v>1</v>
      </c>
      <c r="G5162" s="11">
        <v>84033.61</v>
      </c>
    </row>
    <row r="5163" spans="2:7" x14ac:dyDescent="0.2">
      <c r="B5163" s="32">
        <v>45948</v>
      </c>
      <c r="C5163" t="s">
        <v>109</v>
      </c>
      <c r="D5163" s="13" t="s">
        <v>634</v>
      </c>
      <c r="E5163" t="s">
        <v>731</v>
      </c>
      <c r="F5163" s="11">
        <v>1</v>
      </c>
      <c r="G5163" s="11">
        <v>74000</v>
      </c>
    </row>
    <row r="5164" spans="2:7" x14ac:dyDescent="0.2">
      <c r="B5164" s="32">
        <v>45948</v>
      </c>
      <c r="C5164" t="s">
        <v>109</v>
      </c>
      <c r="D5164" s="13" t="s">
        <v>634</v>
      </c>
      <c r="E5164" t="s">
        <v>233</v>
      </c>
      <c r="F5164" s="11">
        <v>1</v>
      </c>
      <c r="G5164" s="11">
        <v>58823.53</v>
      </c>
    </row>
    <row r="5165" spans="2:7" x14ac:dyDescent="0.2">
      <c r="B5165" s="32">
        <v>45948</v>
      </c>
      <c r="C5165" t="s">
        <v>109</v>
      </c>
      <c r="D5165" s="13" t="s">
        <v>634</v>
      </c>
      <c r="E5165" t="s">
        <v>2011</v>
      </c>
      <c r="F5165" s="11">
        <v>1</v>
      </c>
      <c r="G5165" s="11">
        <v>54621.85</v>
      </c>
    </row>
    <row r="5166" spans="2:7" x14ac:dyDescent="0.2">
      <c r="B5166" s="32">
        <v>45948</v>
      </c>
      <c r="C5166" t="s">
        <v>109</v>
      </c>
      <c r="D5166" s="13" t="s">
        <v>634</v>
      </c>
      <c r="E5166" t="s">
        <v>243</v>
      </c>
      <c r="F5166" s="11">
        <v>1</v>
      </c>
      <c r="G5166" s="11">
        <v>54621.85</v>
      </c>
    </row>
    <row r="5167" spans="2:7" x14ac:dyDescent="0.2">
      <c r="B5167" s="32">
        <v>45948</v>
      </c>
      <c r="C5167" t="s">
        <v>109</v>
      </c>
      <c r="D5167" s="13" t="s">
        <v>634</v>
      </c>
      <c r="E5167" t="s">
        <v>473</v>
      </c>
      <c r="F5167" s="11">
        <v>1</v>
      </c>
      <c r="G5167" s="11">
        <v>50420.17</v>
      </c>
    </row>
    <row r="5168" spans="2:7" x14ac:dyDescent="0.2">
      <c r="B5168" s="32">
        <v>45948</v>
      </c>
      <c r="C5168" t="s">
        <v>109</v>
      </c>
      <c r="D5168" s="13" t="s">
        <v>634</v>
      </c>
      <c r="E5168" t="s">
        <v>269</v>
      </c>
      <c r="F5168" s="11">
        <v>1</v>
      </c>
      <c r="G5168" s="11">
        <v>50420.17</v>
      </c>
    </row>
    <row r="5169" spans="2:7" x14ac:dyDescent="0.2">
      <c r="B5169" s="32">
        <v>45948</v>
      </c>
      <c r="C5169" t="s">
        <v>109</v>
      </c>
      <c r="D5169" s="13" t="s">
        <v>634</v>
      </c>
      <c r="E5169" t="s">
        <v>260</v>
      </c>
      <c r="F5169" s="11">
        <v>1</v>
      </c>
      <c r="G5169" s="11">
        <v>46218.49</v>
      </c>
    </row>
    <row r="5170" spans="2:7" x14ac:dyDescent="0.2">
      <c r="B5170" s="32">
        <v>45948</v>
      </c>
      <c r="C5170" t="s">
        <v>109</v>
      </c>
      <c r="D5170" s="13" t="s">
        <v>634</v>
      </c>
      <c r="E5170" t="s">
        <v>443</v>
      </c>
      <c r="F5170" s="11">
        <v>1</v>
      </c>
      <c r="G5170" s="11">
        <v>46218.49</v>
      </c>
    </row>
    <row r="5171" spans="2:7" x14ac:dyDescent="0.2">
      <c r="B5171" s="32">
        <v>45948</v>
      </c>
      <c r="C5171" t="s">
        <v>109</v>
      </c>
      <c r="D5171" s="13" t="s">
        <v>634</v>
      </c>
      <c r="E5171" t="s">
        <v>391</v>
      </c>
      <c r="F5171" s="11">
        <v>1</v>
      </c>
      <c r="G5171" s="11">
        <v>46218.48</v>
      </c>
    </row>
    <row r="5172" spans="2:7" x14ac:dyDescent="0.2">
      <c r="B5172" s="32">
        <v>45948</v>
      </c>
      <c r="C5172" t="s">
        <v>109</v>
      </c>
      <c r="D5172" s="13" t="s">
        <v>634</v>
      </c>
      <c r="E5172" t="s">
        <v>327</v>
      </c>
      <c r="F5172" s="11">
        <v>1</v>
      </c>
      <c r="G5172" s="11">
        <v>30000</v>
      </c>
    </row>
    <row r="5173" spans="2:7" x14ac:dyDescent="0.2">
      <c r="B5173" s="32">
        <v>45948</v>
      </c>
      <c r="C5173" t="s">
        <v>109</v>
      </c>
      <c r="D5173" s="13" t="s">
        <v>634</v>
      </c>
      <c r="E5173" t="s">
        <v>1822</v>
      </c>
      <c r="F5173" s="11">
        <v>1</v>
      </c>
      <c r="G5173" s="11">
        <v>16806.72</v>
      </c>
    </row>
    <row r="5174" spans="2:7" x14ac:dyDescent="0.2">
      <c r="B5174" s="32">
        <v>45948</v>
      </c>
      <c r="C5174" t="s">
        <v>109</v>
      </c>
      <c r="D5174" s="13" t="s">
        <v>633</v>
      </c>
      <c r="E5174" t="s">
        <v>639</v>
      </c>
      <c r="F5174" s="11">
        <v>2</v>
      </c>
      <c r="G5174" s="11">
        <v>198000</v>
      </c>
    </row>
    <row r="5175" spans="2:7" x14ac:dyDescent="0.2">
      <c r="B5175" s="32">
        <v>45948</v>
      </c>
      <c r="C5175" t="s">
        <v>109</v>
      </c>
      <c r="D5175" s="13" t="s">
        <v>633</v>
      </c>
      <c r="E5175" t="s">
        <v>144</v>
      </c>
      <c r="F5175" s="11">
        <v>4</v>
      </c>
      <c r="G5175" s="11">
        <v>172689.08</v>
      </c>
    </row>
    <row r="5176" spans="2:7" x14ac:dyDescent="0.2">
      <c r="B5176" s="32">
        <v>45948</v>
      </c>
      <c r="C5176" t="s">
        <v>109</v>
      </c>
      <c r="D5176" s="13" t="s">
        <v>633</v>
      </c>
      <c r="E5176" t="s">
        <v>283</v>
      </c>
      <c r="F5176" s="11">
        <v>2</v>
      </c>
      <c r="G5176" s="11">
        <v>155462.19</v>
      </c>
    </row>
    <row r="5177" spans="2:7" x14ac:dyDescent="0.2">
      <c r="B5177" s="32">
        <v>45948</v>
      </c>
      <c r="C5177" t="s">
        <v>109</v>
      </c>
      <c r="D5177" s="13" t="s">
        <v>633</v>
      </c>
      <c r="E5177" t="s">
        <v>1859</v>
      </c>
      <c r="F5177" s="11">
        <v>1</v>
      </c>
      <c r="G5177" s="11">
        <v>100840.34</v>
      </c>
    </row>
    <row r="5178" spans="2:7" x14ac:dyDescent="0.2">
      <c r="B5178" s="32">
        <v>45948</v>
      </c>
      <c r="C5178" t="s">
        <v>109</v>
      </c>
      <c r="D5178" s="13" t="s">
        <v>633</v>
      </c>
      <c r="E5178" t="s">
        <v>292</v>
      </c>
      <c r="F5178" s="11">
        <v>1</v>
      </c>
      <c r="G5178" s="11">
        <v>100840.33</v>
      </c>
    </row>
    <row r="5179" spans="2:7" x14ac:dyDescent="0.2">
      <c r="B5179" s="32">
        <v>45948</v>
      </c>
      <c r="C5179" t="s">
        <v>109</v>
      </c>
      <c r="D5179" s="13" t="s">
        <v>633</v>
      </c>
      <c r="E5179" t="s">
        <v>148</v>
      </c>
      <c r="F5179" s="11">
        <v>2</v>
      </c>
      <c r="G5179" s="11">
        <v>75630.259999999995</v>
      </c>
    </row>
    <row r="5180" spans="2:7" x14ac:dyDescent="0.2">
      <c r="B5180" s="32">
        <v>45948</v>
      </c>
      <c r="C5180" t="s">
        <v>109</v>
      </c>
      <c r="D5180" s="13" t="s">
        <v>633</v>
      </c>
      <c r="E5180" t="s">
        <v>368</v>
      </c>
      <c r="F5180" s="11">
        <v>1</v>
      </c>
      <c r="G5180" s="11">
        <v>75630.25</v>
      </c>
    </row>
    <row r="5181" spans="2:7" x14ac:dyDescent="0.2">
      <c r="B5181" s="32">
        <v>45948</v>
      </c>
      <c r="C5181" t="s">
        <v>109</v>
      </c>
      <c r="D5181" s="13" t="s">
        <v>633</v>
      </c>
      <c r="E5181" t="s">
        <v>174</v>
      </c>
      <c r="F5181" s="11">
        <v>1</v>
      </c>
      <c r="G5181" s="11">
        <v>75630.25</v>
      </c>
    </row>
    <row r="5182" spans="2:7" x14ac:dyDescent="0.2">
      <c r="B5182" s="32">
        <v>45948</v>
      </c>
      <c r="C5182" t="s">
        <v>109</v>
      </c>
      <c r="D5182" s="13" t="s">
        <v>633</v>
      </c>
      <c r="E5182" t="s">
        <v>1988</v>
      </c>
      <c r="F5182" s="11">
        <v>1</v>
      </c>
      <c r="G5182" s="11">
        <v>71428.570000000007</v>
      </c>
    </row>
    <row r="5183" spans="2:7" x14ac:dyDescent="0.2">
      <c r="B5183" s="32">
        <v>45948</v>
      </c>
      <c r="C5183" t="s">
        <v>109</v>
      </c>
      <c r="D5183" s="13" t="s">
        <v>633</v>
      </c>
      <c r="E5183" t="s">
        <v>624</v>
      </c>
      <c r="F5183" s="11">
        <v>1</v>
      </c>
      <c r="G5183" s="11">
        <v>71428.570000000007</v>
      </c>
    </row>
    <row r="5184" spans="2:7" x14ac:dyDescent="0.2">
      <c r="B5184" s="32">
        <v>45948</v>
      </c>
      <c r="C5184" t="s">
        <v>109</v>
      </c>
      <c r="D5184" s="13" t="s">
        <v>633</v>
      </c>
      <c r="E5184" t="s">
        <v>149</v>
      </c>
      <c r="F5184" s="11">
        <v>1</v>
      </c>
      <c r="G5184" s="11">
        <v>71428.570000000007</v>
      </c>
    </row>
    <row r="5185" spans="2:7" x14ac:dyDescent="0.2">
      <c r="B5185" s="32">
        <v>45948</v>
      </c>
      <c r="C5185" t="s">
        <v>109</v>
      </c>
      <c r="D5185" s="13" t="s">
        <v>633</v>
      </c>
      <c r="E5185" t="s">
        <v>2014</v>
      </c>
      <c r="F5185" s="11">
        <v>1</v>
      </c>
      <c r="G5185" s="11">
        <v>71428.570000000007</v>
      </c>
    </row>
    <row r="5186" spans="2:7" x14ac:dyDescent="0.2">
      <c r="B5186" s="32">
        <v>45948</v>
      </c>
      <c r="C5186" t="s">
        <v>109</v>
      </c>
      <c r="D5186" s="13" t="s">
        <v>633</v>
      </c>
      <c r="E5186" t="s">
        <v>282</v>
      </c>
      <c r="F5186" s="11">
        <v>1</v>
      </c>
      <c r="G5186" s="11">
        <v>58823.53</v>
      </c>
    </row>
    <row r="5187" spans="2:7" x14ac:dyDescent="0.2">
      <c r="B5187" s="32">
        <v>45948</v>
      </c>
      <c r="C5187" t="s">
        <v>109</v>
      </c>
      <c r="D5187" s="13" t="s">
        <v>633</v>
      </c>
      <c r="E5187" t="s">
        <v>348</v>
      </c>
      <c r="F5187" s="11">
        <v>1</v>
      </c>
      <c r="G5187" s="11">
        <v>54621.85</v>
      </c>
    </row>
    <row r="5188" spans="2:7" x14ac:dyDescent="0.2">
      <c r="B5188" s="32">
        <v>45948</v>
      </c>
      <c r="C5188" t="s">
        <v>109</v>
      </c>
      <c r="D5188" s="13" t="s">
        <v>633</v>
      </c>
      <c r="E5188" t="s">
        <v>495</v>
      </c>
      <c r="F5188" s="11">
        <v>1</v>
      </c>
      <c r="G5188" s="11">
        <v>54621.85</v>
      </c>
    </row>
    <row r="5189" spans="2:7" x14ac:dyDescent="0.2">
      <c r="B5189" s="32">
        <v>45948</v>
      </c>
      <c r="C5189" t="s">
        <v>109</v>
      </c>
      <c r="D5189" s="13" t="s">
        <v>633</v>
      </c>
      <c r="E5189" t="s">
        <v>212</v>
      </c>
      <c r="F5189" s="11">
        <v>1</v>
      </c>
      <c r="G5189" s="11">
        <v>54621.85</v>
      </c>
    </row>
    <row r="5190" spans="2:7" x14ac:dyDescent="0.2">
      <c r="B5190" s="32">
        <v>45948</v>
      </c>
      <c r="C5190" t="s">
        <v>109</v>
      </c>
      <c r="D5190" s="13" t="s">
        <v>633</v>
      </c>
      <c r="E5190" t="s">
        <v>1947</v>
      </c>
      <c r="F5190" s="11">
        <v>1</v>
      </c>
      <c r="G5190" s="11">
        <v>54621.85</v>
      </c>
    </row>
    <row r="5191" spans="2:7" x14ac:dyDescent="0.2">
      <c r="B5191" s="32">
        <v>45948</v>
      </c>
      <c r="C5191" t="s">
        <v>109</v>
      </c>
      <c r="D5191" s="13" t="s">
        <v>633</v>
      </c>
      <c r="E5191" t="s">
        <v>1810</v>
      </c>
      <c r="F5191" s="11">
        <v>1</v>
      </c>
      <c r="G5191" s="11">
        <v>54621.85</v>
      </c>
    </row>
    <row r="5192" spans="2:7" x14ac:dyDescent="0.2">
      <c r="B5192" s="32">
        <v>45948</v>
      </c>
      <c r="C5192" t="s">
        <v>109</v>
      </c>
      <c r="D5192" s="13" t="s">
        <v>633</v>
      </c>
      <c r="E5192" t="s">
        <v>427</v>
      </c>
      <c r="F5192" s="11">
        <v>1</v>
      </c>
      <c r="G5192" s="11">
        <v>54621.84</v>
      </c>
    </row>
    <row r="5193" spans="2:7" x14ac:dyDescent="0.2">
      <c r="B5193" s="32">
        <v>45948</v>
      </c>
      <c r="C5193" t="s">
        <v>109</v>
      </c>
      <c r="D5193" s="13" t="s">
        <v>633</v>
      </c>
      <c r="E5193" t="s">
        <v>151</v>
      </c>
      <c r="F5193" s="11">
        <v>0</v>
      </c>
      <c r="G5193" s="11">
        <v>46218.49</v>
      </c>
    </row>
    <row r="5194" spans="2:7" x14ac:dyDescent="0.2">
      <c r="B5194" s="32">
        <v>45948</v>
      </c>
      <c r="C5194" t="s">
        <v>109</v>
      </c>
      <c r="D5194" s="13" t="s">
        <v>633</v>
      </c>
      <c r="E5194" t="s">
        <v>203</v>
      </c>
      <c r="F5194" s="11">
        <v>1</v>
      </c>
      <c r="G5194" s="11">
        <v>42016.81</v>
      </c>
    </row>
    <row r="5195" spans="2:7" x14ac:dyDescent="0.2">
      <c r="B5195" s="32">
        <v>45948</v>
      </c>
      <c r="C5195" t="s">
        <v>109</v>
      </c>
      <c r="D5195" s="13" t="s">
        <v>633</v>
      </c>
      <c r="E5195" t="s">
        <v>328</v>
      </c>
      <c r="F5195" s="11">
        <v>1</v>
      </c>
      <c r="G5195" s="11">
        <v>37815.129999999997</v>
      </c>
    </row>
    <row r="5196" spans="2:7" x14ac:dyDescent="0.2">
      <c r="B5196" s="32">
        <v>45948</v>
      </c>
      <c r="C5196" t="s">
        <v>109</v>
      </c>
      <c r="D5196" s="13" t="s">
        <v>633</v>
      </c>
      <c r="E5196" t="s">
        <v>234</v>
      </c>
      <c r="F5196" s="11">
        <v>1</v>
      </c>
      <c r="G5196" s="11">
        <v>37815.129999999997</v>
      </c>
    </row>
    <row r="5197" spans="2:7" x14ac:dyDescent="0.2">
      <c r="B5197" s="32">
        <v>45948</v>
      </c>
      <c r="C5197" t="s">
        <v>109</v>
      </c>
      <c r="D5197" s="13" t="s">
        <v>633</v>
      </c>
      <c r="E5197" t="s">
        <v>206</v>
      </c>
      <c r="F5197" s="11">
        <v>1</v>
      </c>
      <c r="G5197" s="11">
        <v>37815.129999999997</v>
      </c>
    </row>
    <row r="5198" spans="2:7" x14ac:dyDescent="0.2">
      <c r="B5198" s="32">
        <v>45948</v>
      </c>
      <c r="C5198" t="s">
        <v>109</v>
      </c>
      <c r="D5198" s="13" t="s">
        <v>633</v>
      </c>
      <c r="E5198" t="s">
        <v>1818</v>
      </c>
      <c r="F5198" s="11">
        <v>1</v>
      </c>
      <c r="G5198" s="11">
        <v>37815.120000000003</v>
      </c>
    </row>
    <row r="5199" spans="2:7" x14ac:dyDescent="0.2">
      <c r="B5199" s="32">
        <v>45948</v>
      </c>
      <c r="C5199" t="s">
        <v>109</v>
      </c>
      <c r="D5199" s="13" t="s">
        <v>633</v>
      </c>
      <c r="E5199" t="s">
        <v>182</v>
      </c>
      <c r="F5199" s="11">
        <v>1</v>
      </c>
      <c r="G5199" s="11">
        <v>29411.759999999998</v>
      </c>
    </row>
    <row r="5200" spans="2:7" x14ac:dyDescent="0.2">
      <c r="B5200" s="32">
        <v>45948</v>
      </c>
      <c r="C5200" t="s">
        <v>109</v>
      </c>
      <c r="D5200" s="13" t="s">
        <v>633</v>
      </c>
      <c r="E5200" t="s">
        <v>1769</v>
      </c>
      <c r="F5200" s="11">
        <v>1</v>
      </c>
      <c r="G5200" s="11">
        <v>21008.400000000001</v>
      </c>
    </row>
    <row r="5201" spans="2:7" x14ac:dyDescent="0.2">
      <c r="B5201" s="32">
        <v>45949</v>
      </c>
      <c r="C5201" t="s">
        <v>142</v>
      </c>
      <c r="D5201" s="13" t="s">
        <v>634</v>
      </c>
      <c r="E5201" t="s">
        <v>308</v>
      </c>
      <c r="F5201" s="11">
        <v>1</v>
      </c>
      <c r="G5201" s="11">
        <v>100840.34</v>
      </c>
    </row>
    <row r="5202" spans="2:7" x14ac:dyDescent="0.2">
      <c r="B5202" s="32">
        <v>45949</v>
      </c>
      <c r="C5202" t="s">
        <v>142</v>
      </c>
      <c r="D5202" s="13" t="s">
        <v>634</v>
      </c>
      <c r="E5202" t="s">
        <v>320</v>
      </c>
      <c r="F5202" s="11">
        <v>1</v>
      </c>
      <c r="G5202" s="11">
        <v>52941.18</v>
      </c>
    </row>
    <row r="5203" spans="2:7" x14ac:dyDescent="0.2">
      <c r="B5203" s="32">
        <v>45949</v>
      </c>
      <c r="C5203" t="s">
        <v>142</v>
      </c>
      <c r="D5203" s="13" t="s">
        <v>633</v>
      </c>
      <c r="E5203" t="s">
        <v>154</v>
      </c>
      <c r="F5203" s="11">
        <v>2</v>
      </c>
      <c r="G5203" s="11">
        <v>201680.67</v>
      </c>
    </row>
    <row r="5204" spans="2:7" x14ac:dyDescent="0.2">
      <c r="B5204" s="32">
        <v>45949</v>
      </c>
      <c r="C5204" t="s">
        <v>142</v>
      </c>
      <c r="D5204" s="13" t="s">
        <v>633</v>
      </c>
      <c r="E5204" t="s">
        <v>227</v>
      </c>
      <c r="F5204" s="11">
        <v>1</v>
      </c>
      <c r="G5204" s="11">
        <v>100840.34</v>
      </c>
    </row>
    <row r="5205" spans="2:7" x14ac:dyDescent="0.2">
      <c r="B5205" s="32">
        <v>45949</v>
      </c>
      <c r="C5205" t="s">
        <v>142</v>
      </c>
      <c r="D5205" s="13" t="s">
        <v>633</v>
      </c>
      <c r="E5205" t="s">
        <v>304</v>
      </c>
      <c r="F5205" s="11">
        <v>1</v>
      </c>
      <c r="G5205" s="11">
        <v>100840.34</v>
      </c>
    </row>
    <row r="5206" spans="2:7" x14ac:dyDescent="0.2">
      <c r="B5206" s="32">
        <v>45949</v>
      </c>
      <c r="C5206" t="s">
        <v>142</v>
      </c>
      <c r="D5206" s="13" t="s">
        <v>633</v>
      </c>
      <c r="E5206" t="s">
        <v>2034</v>
      </c>
      <c r="F5206" s="11">
        <v>1</v>
      </c>
      <c r="G5206" s="11">
        <v>84033.61</v>
      </c>
    </row>
    <row r="5207" spans="2:7" x14ac:dyDescent="0.2">
      <c r="B5207" s="32">
        <v>45949</v>
      </c>
      <c r="C5207" t="s">
        <v>142</v>
      </c>
      <c r="D5207" s="13" t="s">
        <v>633</v>
      </c>
      <c r="F5207" s="11">
        <v>0</v>
      </c>
      <c r="G5207" s="11">
        <v>0</v>
      </c>
    </row>
    <row r="5208" spans="2:7" x14ac:dyDescent="0.2">
      <c r="B5208" s="32">
        <v>45949</v>
      </c>
      <c r="C5208" t="s">
        <v>109</v>
      </c>
      <c r="D5208" s="13"/>
      <c r="E5208" t="s">
        <v>199</v>
      </c>
      <c r="F5208" s="11">
        <v>1</v>
      </c>
      <c r="G5208" s="11">
        <v>75630.25</v>
      </c>
    </row>
    <row r="5209" spans="2:7" x14ac:dyDescent="0.2">
      <c r="B5209" s="32">
        <v>45949</v>
      </c>
      <c r="C5209" t="s">
        <v>109</v>
      </c>
      <c r="D5209" s="13" t="s">
        <v>634</v>
      </c>
      <c r="E5209" t="s">
        <v>167</v>
      </c>
      <c r="F5209" s="11">
        <v>1</v>
      </c>
      <c r="G5209" s="11">
        <v>100840.34</v>
      </c>
    </row>
    <row r="5210" spans="2:7" x14ac:dyDescent="0.2">
      <c r="B5210" s="32">
        <v>45949</v>
      </c>
      <c r="C5210" t="s">
        <v>109</v>
      </c>
      <c r="D5210" s="13" t="s">
        <v>634</v>
      </c>
      <c r="E5210" t="s">
        <v>2046</v>
      </c>
      <c r="F5210" s="11">
        <v>1</v>
      </c>
      <c r="G5210" s="11">
        <v>61344.54</v>
      </c>
    </row>
    <row r="5211" spans="2:7" x14ac:dyDescent="0.2">
      <c r="B5211" s="32">
        <v>45949</v>
      </c>
      <c r="C5211" t="s">
        <v>109</v>
      </c>
      <c r="D5211" s="13" t="s">
        <v>634</v>
      </c>
      <c r="E5211" t="s">
        <v>281</v>
      </c>
      <c r="F5211" s="11">
        <v>1</v>
      </c>
      <c r="G5211" s="11">
        <v>58823.53</v>
      </c>
    </row>
    <row r="5212" spans="2:7" x14ac:dyDescent="0.2">
      <c r="B5212" s="32">
        <v>45949</v>
      </c>
      <c r="C5212" t="s">
        <v>109</v>
      </c>
      <c r="D5212" s="13" t="s">
        <v>634</v>
      </c>
      <c r="E5212" t="s">
        <v>614</v>
      </c>
      <c r="F5212" s="11">
        <v>1</v>
      </c>
      <c r="G5212" s="11">
        <v>50420.17</v>
      </c>
    </row>
    <row r="5213" spans="2:7" x14ac:dyDescent="0.2">
      <c r="B5213" s="32">
        <v>45949</v>
      </c>
      <c r="C5213" t="s">
        <v>109</v>
      </c>
      <c r="D5213" s="13" t="s">
        <v>634</v>
      </c>
      <c r="E5213" t="s">
        <v>397</v>
      </c>
      <c r="F5213" s="11">
        <v>1</v>
      </c>
      <c r="G5213" s="11">
        <v>46218.48</v>
      </c>
    </row>
    <row r="5214" spans="2:7" x14ac:dyDescent="0.2">
      <c r="B5214" s="32">
        <v>45949</v>
      </c>
      <c r="C5214" t="s">
        <v>109</v>
      </c>
      <c r="D5214" s="13" t="s">
        <v>634</v>
      </c>
      <c r="E5214" t="s">
        <v>1918</v>
      </c>
      <c r="F5214" s="11">
        <v>1</v>
      </c>
      <c r="G5214" s="11">
        <v>42016.81</v>
      </c>
    </row>
    <row r="5215" spans="2:7" x14ac:dyDescent="0.2">
      <c r="B5215" s="32">
        <v>45949</v>
      </c>
      <c r="C5215" t="s">
        <v>109</v>
      </c>
      <c r="D5215" s="13" t="s">
        <v>634</v>
      </c>
      <c r="E5215" t="s">
        <v>309</v>
      </c>
      <c r="F5215" s="11">
        <v>1</v>
      </c>
      <c r="G5215" s="11">
        <v>42016.81</v>
      </c>
    </row>
    <row r="5216" spans="2:7" x14ac:dyDescent="0.2">
      <c r="B5216" s="32">
        <v>45949</v>
      </c>
      <c r="C5216" t="s">
        <v>109</v>
      </c>
      <c r="D5216" s="13" t="s">
        <v>634</v>
      </c>
      <c r="E5216" t="s">
        <v>328</v>
      </c>
      <c r="F5216" s="11">
        <v>1</v>
      </c>
      <c r="G5216" s="11">
        <v>37815.129999999997</v>
      </c>
    </row>
    <row r="5217" spans="2:7" x14ac:dyDescent="0.2">
      <c r="B5217" s="32">
        <v>45949</v>
      </c>
      <c r="C5217" t="s">
        <v>109</v>
      </c>
      <c r="D5217" s="13" t="s">
        <v>634</v>
      </c>
      <c r="E5217" t="s">
        <v>452</v>
      </c>
      <c r="F5217" s="11">
        <v>1</v>
      </c>
      <c r="G5217" s="11">
        <v>37815.129999999997</v>
      </c>
    </row>
    <row r="5218" spans="2:7" x14ac:dyDescent="0.2">
      <c r="B5218" s="32">
        <v>45949</v>
      </c>
      <c r="C5218" t="s">
        <v>109</v>
      </c>
      <c r="D5218" s="13" t="s">
        <v>634</v>
      </c>
      <c r="E5218" t="s">
        <v>327</v>
      </c>
      <c r="F5218" s="11">
        <v>1</v>
      </c>
      <c r="G5218" s="11">
        <v>30000</v>
      </c>
    </row>
    <row r="5219" spans="2:7" x14ac:dyDescent="0.2">
      <c r="B5219" s="32">
        <v>45949</v>
      </c>
      <c r="C5219" t="s">
        <v>109</v>
      </c>
      <c r="D5219" s="13" t="s">
        <v>634</v>
      </c>
      <c r="E5219" t="s">
        <v>144</v>
      </c>
      <c r="F5219" s="11">
        <v>1</v>
      </c>
      <c r="G5219" s="11">
        <v>25210.080000000002</v>
      </c>
    </row>
    <row r="5220" spans="2:7" x14ac:dyDescent="0.2">
      <c r="B5220" s="32">
        <v>45949</v>
      </c>
      <c r="C5220" t="s">
        <v>109</v>
      </c>
      <c r="D5220" s="13" t="s">
        <v>633</v>
      </c>
      <c r="E5220" t="s">
        <v>144</v>
      </c>
      <c r="F5220" s="11">
        <v>4</v>
      </c>
      <c r="G5220" s="11">
        <v>87394.96</v>
      </c>
    </row>
    <row r="5221" spans="2:7" x14ac:dyDescent="0.2">
      <c r="B5221" s="32">
        <v>45949</v>
      </c>
      <c r="C5221" t="s">
        <v>109</v>
      </c>
      <c r="D5221" s="13" t="s">
        <v>633</v>
      </c>
      <c r="E5221" t="s">
        <v>475</v>
      </c>
      <c r="F5221" s="11">
        <v>1</v>
      </c>
      <c r="G5221" s="11">
        <v>71428.570000000007</v>
      </c>
    </row>
    <row r="5222" spans="2:7" x14ac:dyDescent="0.2">
      <c r="B5222" s="32">
        <v>45949</v>
      </c>
      <c r="C5222" t="s">
        <v>109</v>
      </c>
      <c r="D5222" s="13" t="s">
        <v>633</v>
      </c>
      <c r="E5222" t="s">
        <v>281</v>
      </c>
      <c r="F5222" s="11">
        <v>1</v>
      </c>
      <c r="G5222" s="11">
        <v>58823.53</v>
      </c>
    </row>
    <row r="5223" spans="2:7" x14ac:dyDescent="0.2">
      <c r="B5223" s="32">
        <v>45949</v>
      </c>
      <c r="C5223" t="s">
        <v>109</v>
      </c>
      <c r="D5223" s="13" t="s">
        <v>633</v>
      </c>
      <c r="E5223" t="s">
        <v>509</v>
      </c>
      <c r="F5223" s="11">
        <v>1</v>
      </c>
      <c r="G5223" s="11">
        <v>16806.72</v>
      </c>
    </row>
    <row r="5224" spans="2:7" x14ac:dyDescent="0.2">
      <c r="B5224" s="32">
        <v>45950</v>
      </c>
      <c r="C5224" t="s">
        <v>142</v>
      </c>
      <c r="D5224" s="13" t="s">
        <v>634</v>
      </c>
      <c r="E5224" t="s">
        <v>609</v>
      </c>
      <c r="F5224" s="11">
        <v>1</v>
      </c>
      <c r="G5224" s="11">
        <v>215546.22</v>
      </c>
    </row>
    <row r="5225" spans="2:7" x14ac:dyDescent="0.2">
      <c r="B5225" s="32">
        <v>45950</v>
      </c>
      <c r="C5225" t="s">
        <v>142</v>
      </c>
      <c r="D5225" s="13" t="s">
        <v>634</v>
      </c>
      <c r="E5225" t="s">
        <v>680</v>
      </c>
      <c r="F5225" s="11">
        <v>1</v>
      </c>
      <c r="G5225" s="11">
        <v>75630.25</v>
      </c>
    </row>
    <row r="5226" spans="2:7" x14ac:dyDescent="0.2">
      <c r="B5226" s="32">
        <v>45950</v>
      </c>
      <c r="C5226" t="s">
        <v>142</v>
      </c>
      <c r="D5226" s="13" t="s">
        <v>634</v>
      </c>
      <c r="E5226" t="s">
        <v>176</v>
      </c>
      <c r="F5226" s="11">
        <v>1</v>
      </c>
      <c r="G5226" s="11">
        <v>75630.25</v>
      </c>
    </row>
    <row r="5227" spans="2:7" x14ac:dyDescent="0.2">
      <c r="B5227" s="32">
        <v>45950</v>
      </c>
      <c r="C5227" t="s">
        <v>142</v>
      </c>
      <c r="D5227" s="13" t="s">
        <v>634</v>
      </c>
      <c r="E5227" t="s">
        <v>1796</v>
      </c>
      <c r="F5227" s="11">
        <v>2</v>
      </c>
      <c r="G5227" s="11">
        <v>37815.129999999997</v>
      </c>
    </row>
    <row r="5228" spans="2:7" x14ac:dyDescent="0.2">
      <c r="B5228" s="32">
        <v>45950</v>
      </c>
      <c r="C5228" t="s">
        <v>142</v>
      </c>
      <c r="D5228" s="13" t="s">
        <v>634</v>
      </c>
      <c r="F5228" s="11">
        <v>0</v>
      </c>
      <c r="G5228" s="11">
        <v>0</v>
      </c>
    </row>
    <row r="5229" spans="2:7" x14ac:dyDescent="0.2">
      <c r="B5229" s="32">
        <v>45950</v>
      </c>
      <c r="C5229" t="s">
        <v>142</v>
      </c>
      <c r="D5229" s="13" t="s">
        <v>633</v>
      </c>
      <c r="E5229" t="s">
        <v>1710</v>
      </c>
      <c r="F5229" s="11">
        <v>1</v>
      </c>
      <c r="G5229" s="11">
        <v>107563.03</v>
      </c>
    </row>
    <row r="5230" spans="2:7" x14ac:dyDescent="0.2">
      <c r="B5230" s="32">
        <v>45950</v>
      </c>
      <c r="C5230" t="s">
        <v>142</v>
      </c>
      <c r="D5230" s="13" t="s">
        <v>633</v>
      </c>
      <c r="E5230" t="s">
        <v>493</v>
      </c>
      <c r="F5230" s="11">
        <v>1</v>
      </c>
      <c r="G5230" s="11">
        <v>100840.34</v>
      </c>
    </row>
    <row r="5231" spans="2:7" x14ac:dyDescent="0.2">
      <c r="B5231" s="32">
        <v>45950</v>
      </c>
      <c r="C5231" t="s">
        <v>142</v>
      </c>
      <c r="D5231" s="13" t="s">
        <v>633</v>
      </c>
      <c r="E5231" t="s">
        <v>447</v>
      </c>
      <c r="F5231" s="11">
        <v>1</v>
      </c>
      <c r="G5231" s="11">
        <v>58823.53</v>
      </c>
    </row>
    <row r="5232" spans="2:7" x14ac:dyDescent="0.2">
      <c r="B5232" s="32">
        <v>45950</v>
      </c>
      <c r="C5232" t="s">
        <v>142</v>
      </c>
      <c r="D5232" s="13" t="s">
        <v>633</v>
      </c>
      <c r="E5232" t="s">
        <v>2056</v>
      </c>
      <c r="F5232" s="11">
        <v>1</v>
      </c>
      <c r="G5232" s="11">
        <v>58823.53</v>
      </c>
    </row>
    <row r="5233" spans="2:7" x14ac:dyDescent="0.2">
      <c r="B5233" s="32">
        <v>45950</v>
      </c>
      <c r="C5233" t="s">
        <v>142</v>
      </c>
      <c r="D5233" s="13" t="s">
        <v>633</v>
      </c>
      <c r="E5233" t="s">
        <v>178</v>
      </c>
      <c r="F5233" s="11">
        <v>1</v>
      </c>
      <c r="G5233" s="11">
        <v>54621.85</v>
      </c>
    </row>
    <row r="5234" spans="2:7" x14ac:dyDescent="0.2">
      <c r="B5234" s="32">
        <v>45950</v>
      </c>
      <c r="C5234" t="s">
        <v>142</v>
      </c>
      <c r="D5234" s="13" t="s">
        <v>633</v>
      </c>
      <c r="E5234" t="s">
        <v>1793</v>
      </c>
      <c r="F5234" s="11">
        <v>1</v>
      </c>
      <c r="G5234" s="11">
        <v>54621.85</v>
      </c>
    </row>
    <row r="5235" spans="2:7" x14ac:dyDescent="0.2">
      <c r="B5235" s="32">
        <v>45950</v>
      </c>
      <c r="C5235" t="s">
        <v>142</v>
      </c>
      <c r="D5235" s="13" t="s">
        <v>633</v>
      </c>
      <c r="E5235" t="s">
        <v>1705</v>
      </c>
      <c r="F5235" s="11">
        <v>1</v>
      </c>
      <c r="G5235" s="11">
        <v>54621.85</v>
      </c>
    </row>
    <row r="5236" spans="2:7" x14ac:dyDescent="0.2">
      <c r="B5236" s="32">
        <v>45950</v>
      </c>
      <c r="C5236" t="s">
        <v>142</v>
      </c>
      <c r="D5236" s="13" t="s">
        <v>633</v>
      </c>
      <c r="E5236" t="s">
        <v>1741</v>
      </c>
      <c r="F5236" s="11">
        <v>1</v>
      </c>
      <c r="G5236" s="11">
        <v>54621.85</v>
      </c>
    </row>
    <row r="5237" spans="2:7" x14ac:dyDescent="0.2">
      <c r="B5237" s="32">
        <v>45950</v>
      </c>
      <c r="C5237" t="s">
        <v>142</v>
      </c>
      <c r="D5237" s="13" t="s">
        <v>633</v>
      </c>
      <c r="E5237" t="s">
        <v>228</v>
      </c>
      <c r="F5237" s="11">
        <v>1</v>
      </c>
      <c r="G5237" s="11">
        <v>54621.85</v>
      </c>
    </row>
    <row r="5238" spans="2:7" x14ac:dyDescent="0.2">
      <c r="B5238" s="32">
        <v>45950</v>
      </c>
      <c r="C5238" t="s">
        <v>142</v>
      </c>
      <c r="D5238" s="13" t="s">
        <v>633</v>
      </c>
      <c r="E5238" t="s">
        <v>274</v>
      </c>
      <c r="F5238" s="11">
        <v>1</v>
      </c>
      <c r="G5238" s="11">
        <v>54621.85</v>
      </c>
    </row>
    <row r="5239" spans="2:7" x14ac:dyDescent="0.2">
      <c r="B5239" s="32">
        <v>45950</v>
      </c>
      <c r="C5239" t="s">
        <v>142</v>
      </c>
      <c r="D5239" s="13" t="s">
        <v>633</v>
      </c>
      <c r="E5239" t="s">
        <v>1753</v>
      </c>
      <c r="F5239" s="11">
        <v>1</v>
      </c>
      <c r="G5239" s="11">
        <v>54621.85</v>
      </c>
    </row>
    <row r="5240" spans="2:7" x14ac:dyDescent="0.2">
      <c r="B5240" s="32">
        <v>45950</v>
      </c>
      <c r="C5240" t="s">
        <v>142</v>
      </c>
      <c r="D5240" s="13" t="s">
        <v>633</v>
      </c>
      <c r="E5240" t="s">
        <v>640</v>
      </c>
      <c r="F5240" s="11">
        <v>1</v>
      </c>
      <c r="G5240" s="11">
        <v>54621.85</v>
      </c>
    </row>
    <row r="5241" spans="2:7" x14ac:dyDescent="0.2">
      <c r="B5241" s="32">
        <v>45950</v>
      </c>
      <c r="C5241" t="s">
        <v>142</v>
      </c>
      <c r="D5241" s="13" t="s">
        <v>633</v>
      </c>
      <c r="E5241" t="s">
        <v>305</v>
      </c>
      <c r="F5241" s="11">
        <v>1</v>
      </c>
      <c r="G5241" s="11">
        <v>54621.84</v>
      </c>
    </row>
    <row r="5242" spans="2:7" x14ac:dyDescent="0.2">
      <c r="B5242" s="32">
        <v>45950</v>
      </c>
      <c r="C5242" t="s">
        <v>142</v>
      </c>
      <c r="D5242" s="13" t="s">
        <v>633</v>
      </c>
      <c r="E5242" t="s">
        <v>392</v>
      </c>
      <c r="F5242" s="11">
        <v>1</v>
      </c>
      <c r="G5242" s="11">
        <v>46218.49</v>
      </c>
    </row>
    <row r="5243" spans="2:7" x14ac:dyDescent="0.2">
      <c r="B5243" s="32">
        <v>45950</v>
      </c>
      <c r="C5243" t="s">
        <v>142</v>
      </c>
      <c r="D5243" s="13" t="s">
        <v>633</v>
      </c>
      <c r="E5243" t="s">
        <v>836</v>
      </c>
      <c r="F5243" s="11">
        <v>1</v>
      </c>
      <c r="G5243" s="11">
        <v>46218.48</v>
      </c>
    </row>
    <row r="5244" spans="2:7" x14ac:dyDescent="0.2">
      <c r="B5244" s="32">
        <v>45950</v>
      </c>
      <c r="C5244" t="s">
        <v>142</v>
      </c>
      <c r="D5244" s="13" t="s">
        <v>633</v>
      </c>
      <c r="E5244" t="s">
        <v>684</v>
      </c>
      <c r="F5244" s="11">
        <v>1</v>
      </c>
      <c r="G5244" s="11">
        <v>0</v>
      </c>
    </row>
    <row r="5245" spans="2:7" x14ac:dyDescent="0.2">
      <c r="B5245" s="32">
        <v>45950</v>
      </c>
      <c r="C5245" t="s">
        <v>142</v>
      </c>
      <c r="D5245" s="13" t="s">
        <v>633</v>
      </c>
      <c r="E5245" t="s">
        <v>234</v>
      </c>
      <c r="F5245" s="11">
        <v>1</v>
      </c>
      <c r="G5245" s="11">
        <v>0</v>
      </c>
    </row>
    <row r="5246" spans="2:7" x14ac:dyDescent="0.2">
      <c r="B5246" s="32">
        <v>45950</v>
      </c>
      <c r="C5246" t="s">
        <v>142</v>
      </c>
      <c r="D5246" s="13" t="s">
        <v>633</v>
      </c>
      <c r="E5246" t="s">
        <v>694</v>
      </c>
      <c r="F5246" s="11">
        <v>1</v>
      </c>
      <c r="G5246" s="11">
        <v>0</v>
      </c>
    </row>
    <row r="5247" spans="2:7" x14ac:dyDescent="0.2">
      <c r="B5247" s="32">
        <v>45950</v>
      </c>
      <c r="C5247" t="s">
        <v>142</v>
      </c>
      <c r="D5247" s="13" t="s">
        <v>633</v>
      </c>
      <c r="F5247" s="11">
        <v>0</v>
      </c>
      <c r="G5247" s="11">
        <v>0</v>
      </c>
    </row>
    <row r="5248" spans="2:7" x14ac:dyDescent="0.2">
      <c r="B5248" s="32">
        <v>45950</v>
      </c>
      <c r="C5248" t="s">
        <v>142</v>
      </c>
      <c r="D5248" s="13" t="s">
        <v>633</v>
      </c>
      <c r="E5248" t="s">
        <v>156</v>
      </c>
      <c r="F5248" s="11">
        <v>1</v>
      </c>
      <c r="G5248" s="11">
        <v>0</v>
      </c>
    </row>
    <row r="5249" spans="2:7" x14ac:dyDescent="0.2">
      <c r="B5249" s="32">
        <v>45950</v>
      </c>
      <c r="C5249" t="s">
        <v>1739</v>
      </c>
      <c r="D5249" s="13" t="s">
        <v>633</v>
      </c>
      <c r="E5249" t="s">
        <v>679</v>
      </c>
      <c r="F5249" s="11">
        <v>1</v>
      </c>
      <c r="G5249" s="11">
        <v>54621.85</v>
      </c>
    </row>
    <row r="5250" spans="2:7" x14ac:dyDescent="0.2">
      <c r="B5250" s="32">
        <v>45950</v>
      </c>
      <c r="C5250" t="s">
        <v>109</v>
      </c>
      <c r="D5250" s="13" t="s">
        <v>634</v>
      </c>
      <c r="E5250" t="s">
        <v>268</v>
      </c>
      <c r="F5250" s="11">
        <v>1</v>
      </c>
      <c r="G5250" s="11">
        <v>142857.14000000001</v>
      </c>
    </row>
    <row r="5251" spans="2:7" x14ac:dyDescent="0.2">
      <c r="B5251" s="32">
        <v>45950</v>
      </c>
      <c r="C5251" t="s">
        <v>109</v>
      </c>
      <c r="D5251" s="13" t="s">
        <v>634</v>
      </c>
      <c r="E5251" t="s">
        <v>2017</v>
      </c>
      <c r="F5251" s="11">
        <v>1</v>
      </c>
      <c r="G5251" s="11">
        <v>75630.25</v>
      </c>
    </row>
    <row r="5252" spans="2:7" x14ac:dyDescent="0.2">
      <c r="B5252" s="32">
        <v>45950</v>
      </c>
      <c r="C5252" t="s">
        <v>109</v>
      </c>
      <c r="D5252" s="13" t="s">
        <v>634</v>
      </c>
      <c r="E5252" t="s">
        <v>1890</v>
      </c>
      <c r="F5252" s="11">
        <v>1</v>
      </c>
      <c r="G5252" s="11">
        <v>75630.25</v>
      </c>
    </row>
    <row r="5253" spans="2:7" x14ac:dyDescent="0.2">
      <c r="B5253" s="32">
        <v>45950</v>
      </c>
      <c r="C5253" t="s">
        <v>109</v>
      </c>
      <c r="D5253" s="13" t="s">
        <v>634</v>
      </c>
      <c r="E5253" t="s">
        <v>174</v>
      </c>
      <c r="F5253" s="11">
        <v>1</v>
      </c>
      <c r="G5253" s="11">
        <v>75630.25</v>
      </c>
    </row>
    <row r="5254" spans="2:7" x14ac:dyDescent="0.2">
      <c r="B5254" s="32">
        <v>45950</v>
      </c>
      <c r="C5254" t="s">
        <v>109</v>
      </c>
      <c r="D5254" s="13" t="s">
        <v>634</v>
      </c>
      <c r="E5254" t="s">
        <v>2014</v>
      </c>
      <c r="F5254" s="11">
        <v>1</v>
      </c>
      <c r="G5254" s="11">
        <v>71428.570000000007</v>
      </c>
    </row>
    <row r="5255" spans="2:7" x14ac:dyDescent="0.2">
      <c r="B5255" s="32">
        <v>45950</v>
      </c>
      <c r="C5255" t="s">
        <v>109</v>
      </c>
      <c r="D5255" s="13" t="s">
        <v>634</v>
      </c>
      <c r="E5255" t="s">
        <v>479</v>
      </c>
      <c r="F5255" s="11">
        <v>1</v>
      </c>
      <c r="G5255" s="11">
        <v>58823.53</v>
      </c>
    </row>
    <row r="5256" spans="2:7" x14ac:dyDescent="0.2">
      <c r="B5256" s="32">
        <v>45950</v>
      </c>
      <c r="C5256" t="s">
        <v>109</v>
      </c>
      <c r="D5256" s="13" t="s">
        <v>634</v>
      </c>
      <c r="E5256" t="s">
        <v>148</v>
      </c>
      <c r="F5256" s="11">
        <v>1</v>
      </c>
      <c r="G5256" s="11">
        <v>37815.129999999997</v>
      </c>
    </row>
    <row r="5257" spans="2:7" x14ac:dyDescent="0.2">
      <c r="B5257" s="32">
        <v>45950</v>
      </c>
      <c r="C5257" t="s">
        <v>109</v>
      </c>
      <c r="D5257" s="13" t="s">
        <v>634</v>
      </c>
      <c r="E5257" t="s">
        <v>328</v>
      </c>
      <c r="F5257" s="11">
        <v>1</v>
      </c>
      <c r="G5257" s="11">
        <v>37815.120000000003</v>
      </c>
    </row>
    <row r="5258" spans="2:7" x14ac:dyDescent="0.2">
      <c r="B5258" s="32">
        <v>45950</v>
      </c>
      <c r="C5258" t="s">
        <v>109</v>
      </c>
      <c r="D5258" s="13" t="s">
        <v>634</v>
      </c>
      <c r="E5258" t="s">
        <v>144</v>
      </c>
      <c r="F5258" s="11">
        <v>1</v>
      </c>
      <c r="G5258" s="11">
        <v>35294.120000000003</v>
      </c>
    </row>
    <row r="5259" spans="2:7" x14ac:dyDescent="0.2">
      <c r="B5259" s="32">
        <v>45950</v>
      </c>
      <c r="C5259" t="s">
        <v>109</v>
      </c>
      <c r="D5259" s="13" t="s">
        <v>634</v>
      </c>
      <c r="E5259" t="s">
        <v>2057</v>
      </c>
      <c r="F5259" s="11">
        <v>1</v>
      </c>
      <c r="G5259" s="11">
        <v>16806.72</v>
      </c>
    </row>
    <row r="5260" spans="2:7" x14ac:dyDescent="0.2">
      <c r="B5260" s="32">
        <v>45950</v>
      </c>
      <c r="C5260" t="s">
        <v>109</v>
      </c>
      <c r="D5260" s="13" t="s">
        <v>633</v>
      </c>
      <c r="E5260" t="s">
        <v>684</v>
      </c>
      <c r="F5260" s="11">
        <v>1</v>
      </c>
      <c r="G5260" s="11">
        <v>142857.14000000001</v>
      </c>
    </row>
    <row r="5261" spans="2:7" x14ac:dyDescent="0.2">
      <c r="B5261" s="32">
        <v>45950</v>
      </c>
      <c r="C5261" t="s">
        <v>109</v>
      </c>
      <c r="D5261" s="13" t="s">
        <v>633</v>
      </c>
      <c r="E5261" t="s">
        <v>694</v>
      </c>
      <c r="F5261" s="11">
        <v>1</v>
      </c>
      <c r="G5261" s="11">
        <v>142857.14000000001</v>
      </c>
    </row>
    <row r="5262" spans="2:7" x14ac:dyDescent="0.2">
      <c r="B5262" s="32">
        <v>45950</v>
      </c>
      <c r="C5262" t="s">
        <v>109</v>
      </c>
      <c r="D5262" s="13" t="s">
        <v>633</v>
      </c>
      <c r="E5262" t="s">
        <v>156</v>
      </c>
      <c r="F5262" s="11">
        <v>1</v>
      </c>
      <c r="G5262" s="11">
        <v>42016.81</v>
      </c>
    </row>
    <row r="5263" spans="2:7" x14ac:dyDescent="0.2">
      <c r="B5263" s="32">
        <v>45950</v>
      </c>
      <c r="C5263" t="s">
        <v>109</v>
      </c>
      <c r="D5263" s="13" t="s">
        <v>633</v>
      </c>
      <c r="E5263" t="s">
        <v>234</v>
      </c>
      <c r="F5263" s="11">
        <v>1</v>
      </c>
      <c r="G5263" s="11">
        <v>37815.129999999997</v>
      </c>
    </row>
    <row r="5264" spans="2:7" x14ac:dyDescent="0.2">
      <c r="B5264" s="32">
        <v>45950</v>
      </c>
      <c r="C5264" t="s">
        <v>109</v>
      </c>
      <c r="D5264" s="13" t="s">
        <v>633</v>
      </c>
      <c r="E5264" t="s">
        <v>144</v>
      </c>
      <c r="F5264" s="11">
        <v>2</v>
      </c>
      <c r="G5264" s="11">
        <v>29831.93</v>
      </c>
    </row>
    <row r="5265" spans="2:7" x14ac:dyDescent="0.2">
      <c r="B5265" s="32">
        <v>45951</v>
      </c>
      <c r="C5265" t="s">
        <v>108</v>
      </c>
      <c r="D5265" s="13" t="s">
        <v>634</v>
      </c>
      <c r="E5265" t="s">
        <v>1914</v>
      </c>
      <c r="F5265" s="11">
        <v>200</v>
      </c>
      <c r="G5265" s="11">
        <v>21037815.129999999</v>
      </c>
    </row>
    <row r="5266" spans="2:7" x14ac:dyDescent="0.2">
      <c r="B5266" s="32">
        <v>45951</v>
      </c>
      <c r="C5266" t="s">
        <v>142</v>
      </c>
      <c r="D5266" s="13" t="s">
        <v>634</v>
      </c>
      <c r="E5266" t="s">
        <v>252</v>
      </c>
      <c r="F5266" s="11">
        <v>1</v>
      </c>
      <c r="G5266" s="11">
        <v>239495.8</v>
      </c>
    </row>
    <row r="5267" spans="2:7" x14ac:dyDescent="0.2">
      <c r="B5267" s="32">
        <v>45951</v>
      </c>
      <c r="C5267" t="s">
        <v>142</v>
      </c>
      <c r="D5267" s="13" t="s">
        <v>634</v>
      </c>
      <c r="E5267" t="s">
        <v>420</v>
      </c>
      <c r="F5267" s="11">
        <v>2</v>
      </c>
      <c r="G5267" s="11">
        <v>201680.67</v>
      </c>
    </row>
    <row r="5268" spans="2:7" x14ac:dyDescent="0.2">
      <c r="B5268" s="32">
        <v>45951</v>
      </c>
      <c r="C5268" t="s">
        <v>142</v>
      </c>
      <c r="D5268" s="13" t="s">
        <v>634</v>
      </c>
      <c r="E5268" t="s">
        <v>227</v>
      </c>
      <c r="F5268" s="11">
        <v>1</v>
      </c>
      <c r="G5268" s="11">
        <v>100840.34</v>
      </c>
    </row>
    <row r="5269" spans="2:7" x14ac:dyDescent="0.2">
      <c r="B5269" s="32">
        <v>45951</v>
      </c>
      <c r="C5269" t="s">
        <v>142</v>
      </c>
      <c r="D5269" s="13" t="s">
        <v>634</v>
      </c>
      <c r="E5269" t="s">
        <v>393</v>
      </c>
      <c r="F5269" s="11">
        <v>1</v>
      </c>
      <c r="G5269" s="11">
        <v>79831.929999999993</v>
      </c>
    </row>
    <row r="5270" spans="2:7" x14ac:dyDescent="0.2">
      <c r="B5270" s="32">
        <v>45951</v>
      </c>
      <c r="C5270" t="s">
        <v>142</v>
      </c>
      <c r="D5270" s="13" t="s">
        <v>634</v>
      </c>
      <c r="E5270" t="s">
        <v>727</v>
      </c>
      <c r="F5270" s="11">
        <v>1</v>
      </c>
      <c r="G5270" s="11">
        <v>58823.53</v>
      </c>
    </row>
    <row r="5271" spans="2:7" x14ac:dyDescent="0.2">
      <c r="B5271" s="32">
        <v>45951</v>
      </c>
      <c r="C5271" t="s">
        <v>142</v>
      </c>
      <c r="D5271" s="13" t="s">
        <v>634</v>
      </c>
      <c r="E5271" t="s">
        <v>162</v>
      </c>
      <c r="F5271" s="11">
        <v>1</v>
      </c>
      <c r="G5271" s="11">
        <v>58823.53</v>
      </c>
    </row>
    <row r="5272" spans="2:7" x14ac:dyDescent="0.2">
      <c r="B5272" s="32">
        <v>45951</v>
      </c>
      <c r="C5272" t="s">
        <v>142</v>
      </c>
      <c r="D5272" s="13" t="s">
        <v>634</v>
      </c>
      <c r="E5272" t="s">
        <v>1868</v>
      </c>
      <c r="F5272" s="11">
        <v>1</v>
      </c>
      <c r="G5272" s="11">
        <v>58823.53</v>
      </c>
    </row>
    <row r="5273" spans="2:7" x14ac:dyDescent="0.2">
      <c r="B5273" s="32">
        <v>45951</v>
      </c>
      <c r="C5273" t="s">
        <v>142</v>
      </c>
      <c r="D5273" s="13" t="s">
        <v>634</v>
      </c>
      <c r="E5273" t="s">
        <v>500</v>
      </c>
      <c r="F5273" s="11">
        <v>1</v>
      </c>
      <c r="G5273" s="11">
        <v>58823.53</v>
      </c>
    </row>
    <row r="5274" spans="2:7" x14ac:dyDescent="0.2">
      <c r="B5274" s="32">
        <v>45951</v>
      </c>
      <c r="C5274" t="s">
        <v>142</v>
      </c>
      <c r="D5274" s="13" t="s">
        <v>634</v>
      </c>
      <c r="E5274" t="s">
        <v>511</v>
      </c>
      <c r="F5274" s="11">
        <v>1</v>
      </c>
      <c r="G5274" s="11">
        <v>54621.85</v>
      </c>
    </row>
    <row r="5275" spans="2:7" x14ac:dyDescent="0.2">
      <c r="B5275" s="32">
        <v>45951</v>
      </c>
      <c r="C5275" t="s">
        <v>142</v>
      </c>
      <c r="D5275" s="13" t="s">
        <v>634</v>
      </c>
      <c r="E5275" t="s">
        <v>536</v>
      </c>
      <c r="F5275" s="11">
        <v>1</v>
      </c>
      <c r="G5275" s="11">
        <v>54621.85</v>
      </c>
    </row>
    <row r="5276" spans="2:7" x14ac:dyDescent="0.2">
      <c r="B5276" s="32">
        <v>45951</v>
      </c>
      <c r="C5276" t="s">
        <v>142</v>
      </c>
      <c r="D5276" s="13" t="s">
        <v>634</v>
      </c>
      <c r="E5276" t="s">
        <v>1796</v>
      </c>
      <c r="F5276" s="11">
        <v>1</v>
      </c>
      <c r="G5276" s="11">
        <v>21008.400000000001</v>
      </c>
    </row>
    <row r="5277" spans="2:7" x14ac:dyDescent="0.2">
      <c r="B5277" s="32">
        <v>45951</v>
      </c>
      <c r="C5277" t="s">
        <v>142</v>
      </c>
      <c r="D5277" s="13" t="s">
        <v>633</v>
      </c>
      <c r="E5277" t="s">
        <v>197</v>
      </c>
      <c r="F5277" s="11">
        <v>1</v>
      </c>
      <c r="G5277" s="11">
        <v>100840.34</v>
      </c>
    </row>
    <row r="5278" spans="2:7" x14ac:dyDescent="0.2">
      <c r="B5278" s="32">
        <v>45951</v>
      </c>
      <c r="C5278" t="s">
        <v>142</v>
      </c>
      <c r="D5278" s="13" t="s">
        <v>633</v>
      </c>
      <c r="E5278" t="s">
        <v>428</v>
      </c>
      <c r="F5278" s="11">
        <v>1</v>
      </c>
      <c r="G5278" s="11">
        <v>100840.34</v>
      </c>
    </row>
    <row r="5279" spans="2:7" x14ac:dyDescent="0.2">
      <c r="B5279" s="32">
        <v>45951</v>
      </c>
      <c r="C5279" t="s">
        <v>142</v>
      </c>
      <c r="D5279" s="13" t="s">
        <v>633</v>
      </c>
      <c r="E5279" t="s">
        <v>444</v>
      </c>
      <c r="F5279" s="11">
        <v>1</v>
      </c>
      <c r="G5279" s="11">
        <v>92436.97</v>
      </c>
    </row>
    <row r="5280" spans="2:7" x14ac:dyDescent="0.2">
      <c r="B5280" s="32">
        <v>45951</v>
      </c>
      <c r="C5280" t="s">
        <v>142</v>
      </c>
      <c r="D5280" s="13" t="s">
        <v>633</v>
      </c>
      <c r="E5280" t="s">
        <v>700</v>
      </c>
      <c r="F5280" s="11">
        <v>1</v>
      </c>
      <c r="G5280" s="11">
        <v>58823.53</v>
      </c>
    </row>
    <row r="5281" spans="2:7" x14ac:dyDescent="0.2">
      <c r="B5281" s="32">
        <v>45951</v>
      </c>
      <c r="C5281" t="s">
        <v>142</v>
      </c>
      <c r="D5281" s="13" t="s">
        <v>633</v>
      </c>
      <c r="E5281" t="s">
        <v>705</v>
      </c>
      <c r="F5281" s="11">
        <v>1</v>
      </c>
      <c r="G5281" s="11">
        <v>58823.53</v>
      </c>
    </row>
    <row r="5282" spans="2:7" x14ac:dyDescent="0.2">
      <c r="B5282" s="32">
        <v>45951</v>
      </c>
      <c r="C5282" t="s">
        <v>142</v>
      </c>
      <c r="D5282" s="13" t="s">
        <v>633</v>
      </c>
      <c r="E5282" t="s">
        <v>332</v>
      </c>
      <c r="F5282" s="11">
        <v>1</v>
      </c>
      <c r="G5282" s="11">
        <v>58823.519999999997</v>
      </c>
    </row>
    <row r="5283" spans="2:7" x14ac:dyDescent="0.2">
      <c r="B5283" s="32">
        <v>45951</v>
      </c>
      <c r="C5283" t="s">
        <v>142</v>
      </c>
      <c r="D5283" s="13" t="s">
        <v>633</v>
      </c>
      <c r="E5283" t="s">
        <v>536</v>
      </c>
      <c r="F5283" s="11">
        <v>1</v>
      </c>
      <c r="G5283" s="11">
        <v>54621.85</v>
      </c>
    </row>
    <row r="5284" spans="2:7" x14ac:dyDescent="0.2">
      <c r="B5284" s="32">
        <v>45951</v>
      </c>
      <c r="C5284" t="s">
        <v>142</v>
      </c>
      <c r="D5284" s="13" t="s">
        <v>633</v>
      </c>
      <c r="E5284" t="s">
        <v>1796</v>
      </c>
      <c r="F5284" s="11">
        <v>1</v>
      </c>
      <c r="G5284" s="11">
        <v>21008.400000000001</v>
      </c>
    </row>
    <row r="5285" spans="2:7" x14ac:dyDescent="0.2">
      <c r="B5285" s="32">
        <v>45951</v>
      </c>
      <c r="C5285" t="s">
        <v>142</v>
      </c>
      <c r="D5285" s="13" t="s">
        <v>633</v>
      </c>
      <c r="E5285" t="s">
        <v>310</v>
      </c>
      <c r="F5285" s="11">
        <v>1</v>
      </c>
      <c r="G5285" s="11">
        <v>16806.73</v>
      </c>
    </row>
    <row r="5286" spans="2:7" x14ac:dyDescent="0.2">
      <c r="B5286" s="32">
        <v>45951</v>
      </c>
      <c r="C5286" t="s">
        <v>142</v>
      </c>
      <c r="D5286" s="13" t="s">
        <v>633</v>
      </c>
      <c r="E5286" t="s">
        <v>1858</v>
      </c>
      <c r="F5286" s="11">
        <v>2</v>
      </c>
      <c r="G5286" s="11">
        <v>14957.98</v>
      </c>
    </row>
    <row r="5287" spans="2:7" x14ac:dyDescent="0.2">
      <c r="B5287" s="32">
        <v>45951</v>
      </c>
      <c r="C5287" t="s">
        <v>109</v>
      </c>
      <c r="D5287" s="13" t="s">
        <v>634</v>
      </c>
      <c r="E5287" t="s">
        <v>2058</v>
      </c>
      <c r="F5287" s="11">
        <v>1</v>
      </c>
      <c r="G5287" s="11">
        <v>252100.84</v>
      </c>
    </row>
    <row r="5288" spans="2:7" x14ac:dyDescent="0.2">
      <c r="B5288" s="32">
        <v>45951</v>
      </c>
      <c r="C5288" t="s">
        <v>109</v>
      </c>
      <c r="D5288" s="13" t="s">
        <v>634</v>
      </c>
      <c r="E5288" t="s">
        <v>436</v>
      </c>
      <c r="F5288" s="11">
        <v>1</v>
      </c>
      <c r="G5288" s="11">
        <v>109243.7</v>
      </c>
    </row>
    <row r="5289" spans="2:7" x14ac:dyDescent="0.2">
      <c r="B5289" s="32">
        <v>45951</v>
      </c>
      <c r="C5289" t="s">
        <v>109</v>
      </c>
      <c r="D5289" s="13" t="s">
        <v>634</v>
      </c>
      <c r="E5289" t="s">
        <v>721</v>
      </c>
      <c r="F5289" s="11">
        <v>1</v>
      </c>
      <c r="G5289" s="11">
        <v>58823.519999999997</v>
      </c>
    </row>
    <row r="5290" spans="2:7" x14ac:dyDescent="0.2">
      <c r="B5290" s="32">
        <v>45951</v>
      </c>
      <c r="C5290" t="s">
        <v>109</v>
      </c>
      <c r="D5290" s="13" t="s">
        <v>634</v>
      </c>
      <c r="E5290" t="s">
        <v>258</v>
      </c>
      <c r="F5290" s="11">
        <v>1</v>
      </c>
      <c r="G5290" s="11">
        <v>54621.85</v>
      </c>
    </row>
    <row r="5291" spans="2:7" x14ac:dyDescent="0.2">
      <c r="B5291" s="32">
        <v>45951</v>
      </c>
      <c r="C5291" t="s">
        <v>109</v>
      </c>
      <c r="D5291" s="13" t="s">
        <v>634</v>
      </c>
      <c r="E5291" t="s">
        <v>495</v>
      </c>
      <c r="F5291" s="11">
        <v>1</v>
      </c>
      <c r="G5291" s="11">
        <v>54621.85</v>
      </c>
    </row>
    <row r="5292" spans="2:7" x14ac:dyDescent="0.2">
      <c r="B5292" s="32">
        <v>45951</v>
      </c>
      <c r="C5292" t="s">
        <v>109</v>
      </c>
      <c r="D5292" s="13" t="s">
        <v>634</v>
      </c>
      <c r="E5292" t="s">
        <v>198</v>
      </c>
      <c r="F5292" s="11">
        <v>1</v>
      </c>
      <c r="G5292" s="11">
        <v>46218.49</v>
      </c>
    </row>
    <row r="5293" spans="2:7" x14ac:dyDescent="0.2">
      <c r="B5293" s="32">
        <v>45951</v>
      </c>
      <c r="C5293" t="s">
        <v>109</v>
      </c>
      <c r="D5293" s="13" t="s">
        <v>634</v>
      </c>
      <c r="E5293" t="s">
        <v>179</v>
      </c>
      <c r="F5293" s="11">
        <v>1</v>
      </c>
      <c r="G5293" s="11">
        <v>46218.48</v>
      </c>
    </row>
    <row r="5294" spans="2:7" x14ac:dyDescent="0.2">
      <c r="B5294" s="32">
        <v>45951</v>
      </c>
      <c r="C5294" t="s">
        <v>109</v>
      </c>
      <c r="D5294" s="13" t="s">
        <v>634</v>
      </c>
      <c r="E5294" t="s">
        <v>145</v>
      </c>
      <c r="F5294" s="11">
        <v>2</v>
      </c>
      <c r="G5294" s="11">
        <v>45378.16</v>
      </c>
    </row>
    <row r="5295" spans="2:7" x14ac:dyDescent="0.2">
      <c r="B5295" s="32">
        <v>45951</v>
      </c>
      <c r="C5295" t="s">
        <v>109</v>
      </c>
      <c r="D5295" s="13" t="s">
        <v>634</v>
      </c>
      <c r="E5295" t="s">
        <v>166</v>
      </c>
      <c r="F5295" s="11">
        <v>1</v>
      </c>
      <c r="G5295" s="11">
        <v>42016.81</v>
      </c>
    </row>
    <row r="5296" spans="2:7" x14ac:dyDescent="0.2">
      <c r="B5296" s="32">
        <v>45951</v>
      </c>
      <c r="C5296" t="s">
        <v>109</v>
      </c>
      <c r="D5296" s="13" t="s">
        <v>634</v>
      </c>
      <c r="E5296" t="s">
        <v>2059</v>
      </c>
      <c r="F5296" s="11">
        <v>1</v>
      </c>
      <c r="G5296" s="11">
        <v>16806.72</v>
      </c>
    </row>
    <row r="5297" spans="2:7" x14ac:dyDescent="0.2">
      <c r="B5297" s="32">
        <v>45951</v>
      </c>
      <c r="C5297" t="s">
        <v>109</v>
      </c>
      <c r="D5297" s="13" t="s">
        <v>633</v>
      </c>
      <c r="E5297" t="s">
        <v>226</v>
      </c>
      <c r="F5297" s="11">
        <v>1</v>
      </c>
      <c r="G5297" s="11">
        <v>117647.06</v>
      </c>
    </row>
    <row r="5298" spans="2:7" x14ac:dyDescent="0.2">
      <c r="B5298" s="32">
        <v>45951</v>
      </c>
      <c r="C5298" t="s">
        <v>109</v>
      </c>
      <c r="D5298" s="13" t="s">
        <v>633</v>
      </c>
      <c r="E5298" t="s">
        <v>158</v>
      </c>
      <c r="F5298" s="11">
        <v>2</v>
      </c>
      <c r="G5298" s="11">
        <v>92436.98</v>
      </c>
    </row>
    <row r="5299" spans="2:7" x14ac:dyDescent="0.2">
      <c r="B5299" s="32">
        <v>45951</v>
      </c>
      <c r="C5299" t="s">
        <v>109</v>
      </c>
      <c r="D5299" s="13" t="s">
        <v>633</v>
      </c>
      <c r="E5299" t="s">
        <v>161</v>
      </c>
      <c r="F5299" s="11">
        <v>1</v>
      </c>
      <c r="G5299" s="11">
        <v>42016.81</v>
      </c>
    </row>
    <row r="5300" spans="2:7" x14ac:dyDescent="0.2">
      <c r="B5300" s="32">
        <v>45951</v>
      </c>
      <c r="C5300" t="s">
        <v>109</v>
      </c>
      <c r="D5300" s="13" t="s">
        <v>633</v>
      </c>
      <c r="E5300" t="s">
        <v>144</v>
      </c>
      <c r="F5300" s="11">
        <v>1</v>
      </c>
      <c r="G5300" s="11">
        <v>35294.120000000003</v>
      </c>
    </row>
    <row r="5301" spans="2:7" x14ac:dyDescent="0.2">
      <c r="B5301" s="32">
        <v>45952</v>
      </c>
      <c r="C5301" t="s">
        <v>142</v>
      </c>
      <c r="D5301" s="13" t="s">
        <v>634</v>
      </c>
      <c r="E5301" t="s">
        <v>2060</v>
      </c>
      <c r="F5301" s="11">
        <v>1</v>
      </c>
      <c r="G5301" s="11">
        <v>109243.7</v>
      </c>
    </row>
    <row r="5302" spans="2:7" x14ac:dyDescent="0.2">
      <c r="B5302" s="32">
        <v>45952</v>
      </c>
      <c r="C5302" t="s">
        <v>142</v>
      </c>
      <c r="D5302" s="13" t="s">
        <v>634</v>
      </c>
      <c r="E5302" t="s">
        <v>1810</v>
      </c>
      <c r="F5302" s="11">
        <v>1</v>
      </c>
      <c r="G5302" s="11">
        <v>54621.85</v>
      </c>
    </row>
    <row r="5303" spans="2:7" x14ac:dyDescent="0.2">
      <c r="B5303" s="32">
        <v>45952</v>
      </c>
      <c r="C5303" t="s">
        <v>142</v>
      </c>
      <c r="D5303" s="13" t="s">
        <v>633</v>
      </c>
      <c r="E5303" t="s">
        <v>489</v>
      </c>
      <c r="F5303" s="11">
        <v>4</v>
      </c>
      <c r="G5303" s="11">
        <v>235294.12</v>
      </c>
    </row>
    <row r="5304" spans="2:7" x14ac:dyDescent="0.2">
      <c r="B5304" s="32">
        <v>45952</v>
      </c>
      <c r="C5304" t="s">
        <v>142</v>
      </c>
      <c r="D5304" s="13" t="s">
        <v>633</v>
      </c>
      <c r="E5304" t="s">
        <v>154</v>
      </c>
      <c r="F5304" s="11">
        <v>1</v>
      </c>
      <c r="G5304" s="11">
        <v>100840.33</v>
      </c>
    </row>
    <row r="5305" spans="2:7" x14ac:dyDescent="0.2">
      <c r="B5305" s="32">
        <v>45952</v>
      </c>
      <c r="C5305" t="s">
        <v>142</v>
      </c>
      <c r="D5305" s="13" t="s">
        <v>633</v>
      </c>
      <c r="E5305" t="s">
        <v>411</v>
      </c>
      <c r="F5305" s="11">
        <v>1</v>
      </c>
      <c r="G5305" s="11">
        <v>58823.53</v>
      </c>
    </row>
    <row r="5306" spans="2:7" x14ac:dyDescent="0.2">
      <c r="B5306" s="32">
        <v>45952</v>
      </c>
      <c r="C5306" t="s">
        <v>142</v>
      </c>
      <c r="D5306" s="13" t="s">
        <v>633</v>
      </c>
      <c r="E5306" t="s">
        <v>809</v>
      </c>
      <c r="F5306" s="11">
        <v>1</v>
      </c>
      <c r="G5306" s="11">
        <v>58823.53</v>
      </c>
    </row>
    <row r="5307" spans="2:7" x14ac:dyDescent="0.2">
      <c r="B5307" s="32">
        <v>45952</v>
      </c>
      <c r="C5307" t="s">
        <v>142</v>
      </c>
      <c r="D5307" s="13" t="s">
        <v>633</v>
      </c>
      <c r="E5307" t="s">
        <v>1871</v>
      </c>
      <c r="F5307" s="11">
        <v>1</v>
      </c>
      <c r="G5307" s="11">
        <v>58823.53</v>
      </c>
    </row>
    <row r="5308" spans="2:7" x14ac:dyDescent="0.2">
      <c r="B5308" s="32">
        <v>45952</v>
      </c>
      <c r="C5308" t="s">
        <v>142</v>
      </c>
      <c r="D5308" s="13" t="s">
        <v>633</v>
      </c>
      <c r="E5308" t="s">
        <v>281</v>
      </c>
      <c r="F5308" s="11">
        <v>1</v>
      </c>
      <c r="G5308" s="11">
        <v>58823.53</v>
      </c>
    </row>
    <row r="5309" spans="2:7" x14ac:dyDescent="0.2">
      <c r="B5309" s="32">
        <v>45952</v>
      </c>
      <c r="C5309" t="s">
        <v>142</v>
      </c>
      <c r="D5309" s="13" t="s">
        <v>633</v>
      </c>
      <c r="E5309" t="s">
        <v>1747</v>
      </c>
      <c r="F5309" s="11">
        <v>1</v>
      </c>
      <c r="G5309" s="11">
        <v>58823.53</v>
      </c>
    </row>
    <row r="5310" spans="2:7" x14ac:dyDescent="0.2">
      <c r="B5310" s="32">
        <v>45952</v>
      </c>
      <c r="C5310" t="s">
        <v>142</v>
      </c>
      <c r="D5310" s="13" t="s">
        <v>633</v>
      </c>
      <c r="E5310" t="s">
        <v>423</v>
      </c>
      <c r="F5310" s="11">
        <v>1</v>
      </c>
      <c r="G5310" s="11">
        <v>58823.53</v>
      </c>
    </row>
    <row r="5311" spans="2:7" x14ac:dyDescent="0.2">
      <c r="B5311" s="32">
        <v>45952</v>
      </c>
      <c r="C5311" t="s">
        <v>142</v>
      </c>
      <c r="D5311" s="13" t="s">
        <v>633</v>
      </c>
      <c r="E5311" t="s">
        <v>793</v>
      </c>
      <c r="F5311" s="11">
        <v>1</v>
      </c>
      <c r="G5311" s="11">
        <v>46218.49</v>
      </c>
    </row>
    <row r="5312" spans="2:7" x14ac:dyDescent="0.2">
      <c r="B5312" s="32">
        <v>45952</v>
      </c>
      <c r="C5312" t="s">
        <v>109</v>
      </c>
      <c r="D5312" s="13" t="s">
        <v>634</v>
      </c>
      <c r="E5312" t="s">
        <v>1890</v>
      </c>
      <c r="F5312" s="11">
        <v>1</v>
      </c>
      <c r="G5312" s="11">
        <v>75630.25</v>
      </c>
    </row>
    <row r="5313" spans="2:7" x14ac:dyDescent="0.2">
      <c r="B5313" s="32">
        <v>45952</v>
      </c>
      <c r="C5313" t="s">
        <v>109</v>
      </c>
      <c r="D5313" s="13" t="s">
        <v>634</v>
      </c>
      <c r="E5313" t="s">
        <v>1946</v>
      </c>
      <c r="F5313" s="11">
        <v>1</v>
      </c>
      <c r="G5313" s="11">
        <v>58823.53</v>
      </c>
    </row>
    <row r="5314" spans="2:7" x14ac:dyDescent="0.2">
      <c r="B5314" s="32">
        <v>45952</v>
      </c>
      <c r="C5314" t="s">
        <v>109</v>
      </c>
      <c r="D5314" s="13" t="s">
        <v>634</v>
      </c>
      <c r="E5314" t="s">
        <v>328</v>
      </c>
      <c r="F5314" s="11">
        <v>1</v>
      </c>
      <c r="G5314" s="11">
        <v>37815.129999999997</v>
      </c>
    </row>
    <row r="5315" spans="2:7" x14ac:dyDescent="0.2">
      <c r="B5315" s="32">
        <v>45952</v>
      </c>
      <c r="C5315" t="s">
        <v>109</v>
      </c>
      <c r="D5315" s="13" t="s">
        <v>634</v>
      </c>
      <c r="E5315" t="s">
        <v>182</v>
      </c>
      <c r="F5315" s="11">
        <v>1</v>
      </c>
      <c r="G5315" s="11">
        <v>29411.759999999998</v>
      </c>
    </row>
    <row r="5316" spans="2:7" x14ac:dyDescent="0.2">
      <c r="B5316" s="32">
        <v>45952</v>
      </c>
      <c r="C5316" t="s">
        <v>109</v>
      </c>
      <c r="D5316" s="13" t="s">
        <v>633</v>
      </c>
      <c r="E5316" t="s">
        <v>416</v>
      </c>
      <c r="F5316" s="11">
        <v>10</v>
      </c>
      <c r="G5316" s="11">
        <v>323529.40999999997</v>
      </c>
    </row>
    <row r="5317" spans="2:7" x14ac:dyDescent="0.2">
      <c r="B5317" s="32">
        <v>45952</v>
      </c>
      <c r="C5317" t="s">
        <v>109</v>
      </c>
      <c r="D5317" s="13" t="s">
        <v>633</v>
      </c>
      <c r="E5317" t="s">
        <v>329</v>
      </c>
      <c r="F5317" s="11">
        <v>1</v>
      </c>
      <c r="G5317" s="11">
        <v>210084.03</v>
      </c>
    </row>
    <row r="5318" spans="2:7" x14ac:dyDescent="0.2">
      <c r="B5318" s="32">
        <v>45952</v>
      </c>
      <c r="C5318" t="s">
        <v>109</v>
      </c>
      <c r="D5318" s="13" t="s">
        <v>633</v>
      </c>
      <c r="E5318" t="s">
        <v>394</v>
      </c>
      <c r="F5318" s="11">
        <v>2</v>
      </c>
      <c r="G5318" s="11">
        <v>201680.68</v>
      </c>
    </row>
    <row r="5319" spans="2:7" x14ac:dyDescent="0.2">
      <c r="B5319" s="32">
        <v>45952</v>
      </c>
      <c r="C5319" t="s">
        <v>109</v>
      </c>
      <c r="D5319" s="13" t="s">
        <v>633</v>
      </c>
      <c r="E5319" t="s">
        <v>242</v>
      </c>
      <c r="F5319" s="11">
        <v>1</v>
      </c>
      <c r="G5319" s="11">
        <v>130252.1</v>
      </c>
    </row>
    <row r="5320" spans="2:7" x14ac:dyDescent="0.2">
      <c r="B5320" s="32">
        <v>45952</v>
      </c>
      <c r="C5320" t="s">
        <v>109</v>
      </c>
      <c r="D5320" s="13" t="s">
        <v>633</v>
      </c>
      <c r="E5320" t="s">
        <v>1747</v>
      </c>
      <c r="F5320" s="11">
        <v>1</v>
      </c>
      <c r="G5320" s="11">
        <v>126050.42</v>
      </c>
    </row>
    <row r="5321" spans="2:7" x14ac:dyDescent="0.2">
      <c r="B5321" s="32">
        <v>45952</v>
      </c>
      <c r="C5321" t="s">
        <v>109</v>
      </c>
      <c r="D5321" s="13" t="s">
        <v>633</v>
      </c>
      <c r="E5321" t="s">
        <v>292</v>
      </c>
      <c r="F5321" s="11">
        <v>2</v>
      </c>
      <c r="G5321" s="11">
        <v>109243.7</v>
      </c>
    </row>
    <row r="5322" spans="2:7" x14ac:dyDescent="0.2">
      <c r="B5322" s="32">
        <v>45952</v>
      </c>
      <c r="C5322" t="s">
        <v>109</v>
      </c>
      <c r="D5322" s="13" t="s">
        <v>633</v>
      </c>
      <c r="E5322" t="s">
        <v>184</v>
      </c>
      <c r="F5322" s="11">
        <v>1</v>
      </c>
      <c r="G5322" s="11">
        <v>100840.34</v>
      </c>
    </row>
    <row r="5323" spans="2:7" x14ac:dyDescent="0.2">
      <c r="B5323" s="32">
        <v>45952</v>
      </c>
      <c r="C5323" t="s">
        <v>109</v>
      </c>
      <c r="D5323" s="13" t="s">
        <v>633</v>
      </c>
      <c r="E5323" t="s">
        <v>174</v>
      </c>
      <c r="F5323" s="11">
        <v>1</v>
      </c>
      <c r="G5323" s="11">
        <v>75630.259999999995</v>
      </c>
    </row>
    <row r="5324" spans="2:7" x14ac:dyDescent="0.2">
      <c r="B5324" s="32">
        <v>45952</v>
      </c>
      <c r="C5324" t="s">
        <v>109</v>
      </c>
      <c r="D5324" s="13" t="s">
        <v>633</v>
      </c>
      <c r="E5324" t="s">
        <v>340</v>
      </c>
      <c r="F5324" s="11">
        <v>1</v>
      </c>
      <c r="G5324" s="11">
        <v>75630.25</v>
      </c>
    </row>
    <row r="5325" spans="2:7" x14ac:dyDescent="0.2">
      <c r="B5325" s="32">
        <v>45952</v>
      </c>
      <c r="C5325" t="s">
        <v>109</v>
      </c>
      <c r="D5325" s="13" t="s">
        <v>633</v>
      </c>
      <c r="E5325" t="s">
        <v>440</v>
      </c>
      <c r="F5325" s="11">
        <v>1</v>
      </c>
      <c r="G5325" s="11">
        <v>58823.53</v>
      </c>
    </row>
    <row r="5326" spans="2:7" x14ac:dyDescent="0.2">
      <c r="B5326" s="32">
        <v>45952</v>
      </c>
      <c r="C5326" t="s">
        <v>109</v>
      </c>
      <c r="D5326" s="13" t="s">
        <v>633</v>
      </c>
      <c r="E5326" t="s">
        <v>809</v>
      </c>
      <c r="F5326" s="11">
        <v>1</v>
      </c>
      <c r="G5326" s="11">
        <v>58823.53</v>
      </c>
    </row>
    <row r="5327" spans="2:7" x14ac:dyDescent="0.2">
      <c r="B5327" s="32">
        <v>45952</v>
      </c>
      <c r="C5327" t="s">
        <v>109</v>
      </c>
      <c r="D5327" s="13" t="s">
        <v>633</v>
      </c>
      <c r="E5327" t="s">
        <v>608</v>
      </c>
      <c r="F5327" s="11">
        <v>1</v>
      </c>
      <c r="G5327" s="11">
        <v>58823.53</v>
      </c>
    </row>
    <row r="5328" spans="2:7" x14ac:dyDescent="0.2">
      <c r="B5328" s="32">
        <v>45952</v>
      </c>
      <c r="C5328" t="s">
        <v>109</v>
      </c>
      <c r="D5328" s="13" t="s">
        <v>633</v>
      </c>
      <c r="E5328" t="s">
        <v>323</v>
      </c>
      <c r="F5328" s="11">
        <v>1</v>
      </c>
      <c r="G5328" s="11">
        <v>58823.53</v>
      </c>
    </row>
    <row r="5329" spans="2:7" x14ac:dyDescent="0.2">
      <c r="B5329" s="32">
        <v>45952</v>
      </c>
      <c r="C5329" t="s">
        <v>109</v>
      </c>
      <c r="D5329" s="13" t="s">
        <v>633</v>
      </c>
      <c r="E5329" t="s">
        <v>479</v>
      </c>
      <c r="F5329" s="11">
        <v>1</v>
      </c>
      <c r="G5329" s="11">
        <v>58823.53</v>
      </c>
    </row>
    <row r="5330" spans="2:7" x14ac:dyDescent="0.2">
      <c r="B5330" s="32">
        <v>45952</v>
      </c>
      <c r="C5330" t="s">
        <v>109</v>
      </c>
      <c r="D5330" s="13" t="s">
        <v>633</v>
      </c>
      <c r="E5330" t="s">
        <v>244</v>
      </c>
      <c r="F5330" s="11">
        <v>1</v>
      </c>
      <c r="G5330" s="11">
        <v>58823.519999999997</v>
      </c>
    </row>
    <row r="5331" spans="2:7" x14ac:dyDescent="0.2">
      <c r="B5331" s="32">
        <v>45952</v>
      </c>
      <c r="C5331" t="s">
        <v>109</v>
      </c>
      <c r="D5331" s="13" t="s">
        <v>633</v>
      </c>
      <c r="E5331" t="s">
        <v>256</v>
      </c>
      <c r="F5331" s="11">
        <v>1</v>
      </c>
      <c r="G5331" s="11">
        <v>46218.49</v>
      </c>
    </row>
    <row r="5332" spans="2:7" x14ac:dyDescent="0.2">
      <c r="B5332" s="32">
        <v>45953</v>
      </c>
      <c r="C5332" t="s">
        <v>142</v>
      </c>
      <c r="D5332" s="13" t="s">
        <v>634</v>
      </c>
      <c r="E5332" t="s">
        <v>363</v>
      </c>
      <c r="F5332" s="11">
        <v>1</v>
      </c>
      <c r="G5332" s="11">
        <v>92436.98</v>
      </c>
    </row>
    <row r="5333" spans="2:7" x14ac:dyDescent="0.2">
      <c r="B5333" s="32">
        <v>45953</v>
      </c>
      <c r="C5333" t="s">
        <v>142</v>
      </c>
      <c r="D5333" s="13" t="s">
        <v>634</v>
      </c>
      <c r="E5333" t="s">
        <v>233</v>
      </c>
      <c r="F5333" s="11">
        <v>1</v>
      </c>
      <c r="G5333" s="11">
        <v>58823.53</v>
      </c>
    </row>
    <row r="5334" spans="2:7" x14ac:dyDescent="0.2">
      <c r="B5334" s="32">
        <v>45953</v>
      </c>
      <c r="C5334" t="s">
        <v>142</v>
      </c>
      <c r="D5334" s="13" t="s">
        <v>634</v>
      </c>
      <c r="E5334" t="s">
        <v>772</v>
      </c>
      <c r="F5334" s="11">
        <v>1</v>
      </c>
      <c r="G5334" s="11">
        <v>54621.85</v>
      </c>
    </row>
    <row r="5335" spans="2:7" x14ac:dyDescent="0.2">
      <c r="B5335" s="32">
        <v>45953</v>
      </c>
      <c r="C5335" t="s">
        <v>142</v>
      </c>
      <c r="D5335" s="13" t="s">
        <v>634</v>
      </c>
      <c r="E5335" t="s">
        <v>218</v>
      </c>
      <c r="F5335" s="11">
        <v>1</v>
      </c>
      <c r="G5335" s="11">
        <v>29411.759999999998</v>
      </c>
    </row>
    <row r="5336" spans="2:7" x14ac:dyDescent="0.2">
      <c r="B5336" s="32">
        <v>45953</v>
      </c>
      <c r="C5336" t="s">
        <v>142</v>
      </c>
      <c r="D5336" s="13" t="s">
        <v>633</v>
      </c>
      <c r="E5336" t="s">
        <v>454</v>
      </c>
      <c r="F5336" s="11">
        <v>2</v>
      </c>
      <c r="G5336" s="11">
        <v>117647.06</v>
      </c>
    </row>
    <row r="5337" spans="2:7" x14ac:dyDescent="0.2">
      <c r="B5337" s="32">
        <v>45953</v>
      </c>
      <c r="C5337" t="s">
        <v>142</v>
      </c>
      <c r="D5337" s="13" t="s">
        <v>633</v>
      </c>
      <c r="E5337" t="s">
        <v>165</v>
      </c>
      <c r="F5337" s="11">
        <v>1</v>
      </c>
      <c r="G5337" s="11">
        <v>58823.53</v>
      </c>
    </row>
    <row r="5338" spans="2:7" x14ac:dyDescent="0.2">
      <c r="B5338" s="32">
        <v>45953</v>
      </c>
      <c r="C5338" t="s">
        <v>110</v>
      </c>
      <c r="D5338" s="13" t="s">
        <v>634</v>
      </c>
      <c r="E5338" t="s">
        <v>166</v>
      </c>
      <c r="F5338" s="11">
        <v>1</v>
      </c>
      <c r="G5338" s="11">
        <v>42016.81</v>
      </c>
    </row>
    <row r="5339" spans="2:7" x14ac:dyDescent="0.2">
      <c r="B5339" s="32">
        <v>45953</v>
      </c>
      <c r="C5339" t="s">
        <v>109</v>
      </c>
      <c r="D5339" s="13" t="s">
        <v>634</v>
      </c>
      <c r="E5339" t="s">
        <v>2046</v>
      </c>
      <c r="F5339" s="11">
        <v>1</v>
      </c>
      <c r="G5339" s="11">
        <v>61344.54</v>
      </c>
    </row>
    <row r="5340" spans="2:7" x14ac:dyDescent="0.2">
      <c r="B5340" s="32">
        <v>45953</v>
      </c>
      <c r="C5340" t="s">
        <v>109</v>
      </c>
      <c r="D5340" s="13" t="s">
        <v>634</v>
      </c>
      <c r="E5340" t="s">
        <v>179</v>
      </c>
      <c r="F5340" s="11">
        <v>1</v>
      </c>
      <c r="G5340" s="11">
        <v>46218.49</v>
      </c>
    </row>
    <row r="5341" spans="2:7" x14ac:dyDescent="0.2">
      <c r="B5341" s="32">
        <v>45953</v>
      </c>
      <c r="C5341" t="s">
        <v>109</v>
      </c>
      <c r="D5341" s="13" t="s">
        <v>634</v>
      </c>
      <c r="E5341" t="s">
        <v>1769</v>
      </c>
      <c r="F5341" s="11">
        <v>1</v>
      </c>
      <c r="G5341" s="11">
        <v>21008.400000000001</v>
      </c>
    </row>
    <row r="5342" spans="2:7" x14ac:dyDescent="0.2">
      <c r="B5342" s="32">
        <v>45953</v>
      </c>
      <c r="C5342" t="s">
        <v>109</v>
      </c>
      <c r="D5342" s="13" t="s">
        <v>634</v>
      </c>
      <c r="E5342" t="s">
        <v>2061</v>
      </c>
      <c r="F5342" s="11">
        <v>1</v>
      </c>
      <c r="G5342" s="11">
        <v>16806.72</v>
      </c>
    </row>
    <row r="5343" spans="2:7" x14ac:dyDescent="0.2">
      <c r="B5343" s="32">
        <v>45953</v>
      </c>
      <c r="C5343" t="s">
        <v>109</v>
      </c>
      <c r="D5343" s="13" t="s">
        <v>634</v>
      </c>
      <c r="E5343" t="s">
        <v>2059</v>
      </c>
      <c r="F5343" s="11">
        <v>1</v>
      </c>
      <c r="G5343" s="11">
        <v>16806.72</v>
      </c>
    </row>
    <row r="5344" spans="2:7" x14ac:dyDescent="0.2">
      <c r="B5344" s="32">
        <v>45953</v>
      </c>
      <c r="C5344" t="s">
        <v>109</v>
      </c>
      <c r="D5344" s="13" t="s">
        <v>633</v>
      </c>
      <c r="E5344" t="s">
        <v>645</v>
      </c>
      <c r="F5344" s="11">
        <v>1</v>
      </c>
      <c r="G5344" s="11">
        <v>151260.5</v>
      </c>
    </row>
    <row r="5345" spans="2:7" x14ac:dyDescent="0.2">
      <c r="B5345" s="32">
        <v>45953</v>
      </c>
      <c r="C5345" t="s">
        <v>109</v>
      </c>
      <c r="D5345" s="13" t="s">
        <v>633</v>
      </c>
      <c r="E5345" t="s">
        <v>678</v>
      </c>
      <c r="F5345" s="11">
        <v>2</v>
      </c>
      <c r="G5345" s="11">
        <v>90756.3</v>
      </c>
    </row>
    <row r="5346" spans="2:7" x14ac:dyDescent="0.2">
      <c r="B5346" s="32">
        <v>45953</v>
      </c>
      <c r="C5346" t="s">
        <v>109</v>
      </c>
      <c r="D5346" s="13" t="s">
        <v>633</v>
      </c>
      <c r="E5346" t="s">
        <v>186</v>
      </c>
      <c r="F5346" s="11">
        <v>1</v>
      </c>
      <c r="G5346" s="11">
        <v>84033.61</v>
      </c>
    </row>
    <row r="5347" spans="2:7" x14ac:dyDescent="0.2">
      <c r="B5347" s="32">
        <v>45953</v>
      </c>
      <c r="C5347" t="s">
        <v>109</v>
      </c>
      <c r="D5347" s="13" t="s">
        <v>633</v>
      </c>
      <c r="E5347" t="s">
        <v>426</v>
      </c>
      <c r="F5347" s="11">
        <v>1</v>
      </c>
      <c r="G5347" s="11">
        <v>50420.17</v>
      </c>
    </row>
    <row r="5348" spans="2:7" x14ac:dyDescent="0.2">
      <c r="B5348" s="32">
        <v>45953</v>
      </c>
      <c r="C5348" t="s">
        <v>109</v>
      </c>
      <c r="D5348" s="13" t="s">
        <v>633</v>
      </c>
      <c r="E5348" t="s">
        <v>196</v>
      </c>
      <c r="F5348" s="11">
        <v>1</v>
      </c>
      <c r="G5348" s="11">
        <v>42016.81</v>
      </c>
    </row>
    <row r="5349" spans="2:7" x14ac:dyDescent="0.2">
      <c r="B5349" s="32">
        <v>45953</v>
      </c>
      <c r="C5349" t="s">
        <v>109</v>
      </c>
      <c r="D5349" s="13" t="s">
        <v>633</v>
      </c>
      <c r="E5349" t="s">
        <v>587</v>
      </c>
      <c r="F5349" s="11">
        <v>1</v>
      </c>
      <c r="G5349" s="11">
        <v>40336.14</v>
      </c>
    </row>
    <row r="5350" spans="2:7" x14ac:dyDescent="0.2">
      <c r="B5350" s="32">
        <v>45953</v>
      </c>
      <c r="C5350" t="s">
        <v>109</v>
      </c>
      <c r="D5350" s="13" t="s">
        <v>633</v>
      </c>
      <c r="E5350" t="s">
        <v>317</v>
      </c>
      <c r="F5350" s="11">
        <v>1</v>
      </c>
      <c r="G5350" s="11">
        <v>40336.14</v>
      </c>
    </row>
    <row r="5351" spans="2:7" x14ac:dyDescent="0.2">
      <c r="B5351" s="32">
        <v>45953</v>
      </c>
      <c r="C5351" t="s">
        <v>109</v>
      </c>
      <c r="D5351" s="13" t="s">
        <v>633</v>
      </c>
      <c r="E5351" t="s">
        <v>614</v>
      </c>
      <c r="F5351" s="11">
        <v>1</v>
      </c>
      <c r="G5351" s="11">
        <v>40336.14</v>
      </c>
    </row>
    <row r="5352" spans="2:7" x14ac:dyDescent="0.2">
      <c r="B5352" s="32">
        <v>45953</v>
      </c>
      <c r="C5352" t="s">
        <v>109</v>
      </c>
      <c r="D5352" s="13" t="s">
        <v>633</v>
      </c>
      <c r="E5352" t="s">
        <v>445</v>
      </c>
      <c r="F5352" s="11">
        <v>1</v>
      </c>
      <c r="G5352" s="11">
        <v>40336.129999999997</v>
      </c>
    </row>
    <row r="5353" spans="2:7" x14ac:dyDescent="0.2">
      <c r="B5353" s="32">
        <v>45953</v>
      </c>
      <c r="C5353" t="s">
        <v>109</v>
      </c>
      <c r="D5353" s="13" t="s">
        <v>633</v>
      </c>
      <c r="E5353" t="s">
        <v>491</v>
      </c>
      <c r="F5353" s="11">
        <v>1</v>
      </c>
      <c r="G5353" s="11">
        <v>40336.129999999997</v>
      </c>
    </row>
    <row r="5354" spans="2:7" x14ac:dyDescent="0.2">
      <c r="B5354" s="32">
        <v>45953</v>
      </c>
      <c r="C5354" t="s">
        <v>109</v>
      </c>
      <c r="D5354" s="13" t="s">
        <v>633</v>
      </c>
      <c r="E5354" t="s">
        <v>234</v>
      </c>
      <c r="F5354" s="11">
        <v>1</v>
      </c>
      <c r="G5354" s="11">
        <v>37815.129999999997</v>
      </c>
    </row>
    <row r="5355" spans="2:7" x14ac:dyDescent="0.2">
      <c r="B5355" s="32">
        <v>45953</v>
      </c>
      <c r="C5355" t="s">
        <v>109</v>
      </c>
      <c r="D5355" s="13" t="s">
        <v>633</v>
      </c>
      <c r="E5355" t="s">
        <v>145</v>
      </c>
      <c r="F5355" s="11">
        <v>1</v>
      </c>
      <c r="G5355" s="11">
        <v>22689.08</v>
      </c>
    </row>
    <row r="5356" spans="2:7" x14ac:dyDescent="0.2">
      <c r="B5356" s="32">
        <v>45953</v>
      </c>
      <c r="C5356" t="s">
        <v>109</v>
      </c>
      <c r="D5356" s="13" t="s">
        <v>633</v>
      </c>
      <c r="E5356" t="s">
        <v>144</v>
      </c>
      <c r="F5356" s="11">
        <v>2</v>
      </c>
      <c r="G5356" s="11">
        <v>9243.7000000000007</v>
      </c>
    </row>
    <row r="5357" spans="2:7" x14ac:dyDescent="0.2">
      <c r="B5357" s="32">
        <v>45954</v>
      </c>
      <c r="C5357" t="s">
        <v>142</v>
      </c>
      <c r="D5357" s="13" t="s">
        <v>634</v>
      </c>
      <c r="E5357" t="s">
        <v>541</v>
      </c>
      <c r="F5357" s="11">
        <v>1</v>
      </c>
      <c r="G5357" s="11">
        <v>151260.5</v>
      </c>
    </row>
    <row r="5358" spans="2:7" x14ac:dyDescent="0.2">
      <c r="B5358" s="32">
        <v>45954</v>
      </c>
      <c r="C5358" t="s">
        <v>142</v>
      </c>
      <c r="D5358" s="13" t="s">
        <v>634</v>
      </c>
      <c r="E5358" t="s">
        <v>2041</v>
      </c>
      <c r="F5358" s="11">
        <v>1</v>
      </c>
      <c r="G5358" s="11">
        <v>84033.61</v>
      </c>
    </row>
    <row r="5359" spans="2:7" x14ac:dyDescent="0.2">
      <c r="B5359" s="32">
        <v>45954</v>
      </c>
      <c r="C5359" t="s">
        <v>142</v>
      </c>
      <c r="D5359" s="13" t="s">
        <v>634</v>
      </c>
      <c r="E5359" t="s">
        <v>430</v>
      </c>
      <c r="F5359" s="11">
        <v>1</v>
      </c>
      <c r="G5359" s="11">
        <v>58823.53</v>
      </c>
    </row>
    <row r="5360" spans="2:7" x14ac:dyDescent="0.2">
      <c r="B5360" s="32">
        <v>45954</v>
      </c>
      <c r="C5360" t="s">
        <v>142</v>
      </c>
      <c r="D5360" s="13" t="s">
        <v>634</v>
      </c>
      <c r="E5360" t="s">
        <v>166</v>
      </c>
      <c r="F5360" s="11">
        <v>1</v>
      </c>
      <c r="G5360" s="11">
        <v>42016.81</v>
      </c>
    </row>
    <row r="5361" spans="2:7" x14ac:dyDescent="0.2">
      <c r="B5361" s="32">
        <v>45954</v>
      </c>
      <c r="C5361" t="s">
        <v>109</v>
      </c>
      <c r="D5361" s="13"/>
      <c r="E5361" t="s">
        <v>258</v>
      </c>
      <c r="F5361" s="11">
        <v>1</v>
      </c>
      <c r="G5361" s="11">
        <v>54621.85</v>
      </c>
    </row>
    <row r="5362" spans="2:7" x14ac:dyDescent="0.2">
      <c r="B5362" s="32">
        <v>45954</v>
      </c>
      <c r="C5362" t="s">
        <v>109</v>
      </c>
      <c r="D5362" s="13"/>
      <c r="E5362" t="s">
        <v>218</v>
      </c>
      <c r="F5362" s="11">
        <v>1</v>
      </c>
      <c r="G5362" s="11">
        <v>42016.81</v>
      </c>
    </row>
    <row r="5363" spans="2:7" x14ac:dyDescent="0.2">
      <c r="B5363" s="32">
        <v>45954</v>
      </c>
      <c r="C5363" t="s">
        <v>109</v>
      </c>
      <c r="D5363" s="13" t="s">
        <v>634</v>
      </c>
      <c r="E5363" t="s">
        <v>1713</v>
      </c>
      <c r="F5363" s="11">
        <v>1</v>
      </c>
      <c r="G5363" s="11">
        <v>100840.34</v>
      </c>
    </row>
    <row r="5364" spans="2:7" x14ac:dyDescent="0.2">
      <c r="B5364" s="32">
        <v>45954</v>
      </c>
      <c r="C5364" t="s">
        <v>109</v>
      </c>
      <c r="D5364" s="13" t="s">
        <v>634</v>
      </c>
      <c r="E5364" t="s">
        <v>347</v>
      </c>
      <c r="F5364" s="11">
        <v>1</v>
      </c>
      <c r="G5364" s="11">
        <v>75630.25</v>
      </c>
    </row>
    <row r="5365" spans="2:7" x14ac:dyDescent="0.2">
      <c r="B5365" s="32">
        <v>45954</v>
      </c>
      <c r="C5365" t="s">
        <v>109</v>
      </c>
      <c r="D5365" s="13" t="s">
        <v>634</v>
      </c>
      <c r="E5365" t="s">
        <v>327</v>
      </c>
      <c r="F5365" s="11">
        <v>2</v>
      </c>
      <c r="G5365" s="11">
        <v>60000</v>
      </c>
    </row>
    <row r="5366" spans="2:7" x14ac:dyDescent="0.2">
      <c r="B5366" s="32">
        <v>45954</v>
      </c>
      <c r="C5366" t="s">
        <v>109</v>
      </c>
      <c r="D5366" s="13" t="s">
        <v>634</v>
      </c>
      <c r="E5366" t="s">
        <v>2062</v>
      </c>
      <c r="F5366" s="11">
        <v>1</v>
      </c>
      <c r="G5366" s="11">
        <v>58823.53</v>
      </c>
    </row>
    <row r="5367" spans="2:7" x14ac:dyDescent="0.2">
      <c r="B5367" s="32">
        <v>45954</v>
      </c>
      <c r="C5367" t="s">
        <v>109</v>
      </c>
      <c r="D5367" s="13" t="s">
        <v>634</v>
      </c>
      <c r="E5367" t="s">
        <v>661</v>
      </c>
      <c r="F5367" s="11">
        <v>1</v>
      </c>
      <c r="G5367" s="11">
        <v>58823.53</v>
      </c>
    </row>
    <row r="5368" spans="2:7" x14ac:dyDescent="0.2">
      <c r="B5368" s="32">
        <v>45954</v>
      </c>
      <c r="C5368" t="s">
        <v>109</v>
      </c>
      <c r="D5368" s="13" t="s">
        <v>634</v>
      </c>
      <c r="E5368" t="s">
        <v>1924</v>
      </c>
      <c r="F5368" s="11">
        <v>1</v>
      </c>
      <c r="G5368" s="11">
        <v>58823.53</v>
      </c>
    </row>
    <row r="5369" spans="2:7" x14ac:dyDescent="0.2">
      <c r="B5369" s="32">
        <v>45954</v>
      </c>
      <c r="C5369" t="s">
        <v>109</v>
      </c>
      <c r="D5369" s="13" t="s">
        <v>634</v>
      </c>
      <c r="E5369" t="s">
        <v>533</v>
      </c>
      <c r="F5369" s="11">
        <v>1</v>
      </c>
      <c r="G5369" s="11">
        <v>58823.53</v>
      </c>
    </row>
    <row r="5370" spans="2:7" x14ac:dyDescent="0.2">
      <c r="B5370" s="32">
        <v>45954</v>
      </c>
      <c r="C5370" t="s">
        <v>109</v>
      </c>
      <c r="D5370" s="13" t="s">
        <v>634</v>
      </c>
      <c r="E5370" t="s">
        <v>613</v>
      </c>
      <c r="F5370" s="11">
        <v>1</v>
      </c>
      <c r="G5370" s="11">
        <v>55000</v>
      </c>
    </row>
    <row r="5371" spans="2:7" x14ac:dyDescent="0.2">
      <c r="B5371" s="32">
        <v>45954</v>
      </c>
      <c r="C5371" t="s">
        <v>109</v>
      </c>
      <c r="D5371" s="13" t="s">
        <v>634</v>
      </c>
      <c r="E5371" t="s">
        <v>292</v>
      </c>
      <c r="F5371" s="11">
        <v>1</v>
      </c>
      <c r="G5371" s="11">
        <v>54621.85</v>
      </c>
    </row>
    <row r="5372" spans="2:7" x14ac:dyDescent="0.2">
      <c r="B5372" s="32">
        <v>45954</v>
      </c>
      <c r="C5372" t="s">
        <v>109</v>
      </c>
      <c r="D5372" s="13" t="s">
        <v>634</v>
      </c>
      <c r="E5372" t="s">
        <v>158</v>
      </c>
      <c r="F5372" s="11">
        <v>1</v>
      </c>
      <c r="G5372" s="11">
        <v>46218.49</v>
      </c>
    </row>
    <row r="5373" spans="2:7" x14ac:dyDescent="0.2">
      <c r="B5373" s="32">
        <v>45954</v>
      </c>
      <c r="C5373" t="s">
        <v>109</v>
      </c>
      <c r="D5373" s="13" t="s">
        <v>634</v>
      </c>
      <c r="E5373" t="s">
        <v>145</v>
      </c>
      <c r="F5373" s="11">
        <v>1</v>
      </c>
      <c r="G5373" s="11">
        <v>22689.08</v>
      </c>
    </row>
    <row r="5374" spans="2:7" x14ac:dyDescent="0.2">
      <c r="B5374" s="32">
        <v>45954</v>
      </c>
      <c r="C5374" t="s">
        <v>109</v>
      </c>
      <c r="D5374" s="13" t="s">
        <v>633</v>
      </c>
      <c r="E5374" t="s">
        <v>446</v>
      </c>
      <c r="F5374" s="11">
        <v>1</v>
      </c>
      <c r="G5374" s="11">
        <v>75630.25</v>
      </c>
    </row>
    <row r="5375" spans="2:7" x14ac:dyDescent="0.2">
      <c r="B5375" s="32">
        <v>45954</v>
      </c>
      <c r="C5375" t="s">
        <v>109</v>
      </c>
      <c r="D5375" s="13" t="s">
        <v>633</v>
      </c>
      <c r="E5375" t="s">
        <v>357</v>
      </c>
      <c r="F5375" s="11">
        <v>1</v>
      </c>
      <c r="G5375" s="11">
        <v>71428.570000000007</v>
      </c>
    </row>
    <row r="5376" spans="2:7" x14ac:dyDescent="0.2">
      <c r="B5376" s="32">
        <v>45954</v>
      </c>
      <c r="C5376" t="s">
        <v>109</v>
      </c>
      <c r="D5376" s="13" t="s">
        <v>633</v>
      </c>
      <c r="E5376" t="s">
        <v>149</v>
      </c>
      <c r="F5376" s="11">
        <v>1</v>
      </c>
      <c r="G5376" s="11">
        <v>71428.570000000007</v>
      </c>
    </row>
    <row r="5377" spans="2:7" x14ac:dyDescent="0.2">
      <c r="B5377" s="32">
        <v>45954</v>
      </c>
      <c r="C5377" t="s">
        <v>109</v>
      </c>
      <c r="D5377" s="13" t="s">
        <v>633</v>
      </c>
      <c r="E5377" t="s">
        <v>233</v>
      </c>
      <c r="F5377" s="11">
        <v>1</v>
      </c>
      <c r="G5377" s="11">
        <v>58823.53</v>
      </c>
    </row>
    <row r="5378" spans="2:7" x14ac:dyDescent="0.2">
      <c r="B5378" s="32">
        <v>45954</v>
      </c>
      <c r="C5378" t="s">
        <v>109</v>
      </c>
      <c r="D5378" s="13" t="s">
        <v>633</v>
      </c>
      <c r="E5378" t="s">
        <v>287</v>
      </c>
      <c r="F5378" s="11">
        <v>1</v>
      </c>
      <c r="G5378" s="11">
        <v>58823.53</v>
      </c>
    </row>
    <row r="5379" spans="2:7" x14ac:dyDescent="0.2">
      <c r="B5379" s="32">
        <v>45954</v>
      </c>
      <c r="C5379" t="s">
        <v>109</v>
      </c>
      <c r="D5379" s="13" t="s">
        <v>633</v>
      </c>
      <c r="E5379" t="s">
        <v>508</v>
      </c>
      <c r="F5379" s="11">
        <v>1</v>
      </c>
      <c r="G5379" s="11">
        <v>58823.53</v>
      </c>
    </row>
    <row r="5380" spans="2:7" x14ac:dyDescent="0.2">
      <c r="B5380" s="32">
        <v>45954</v>
      </c>
      <c r="C5380" t="s">
        <v>109</v>
      </c>
      <c r="D5380" s="13" t="s">
        <v>633</v>
      </c>
      <c r="E5380" t="s">
        <v>427</v>
      </c>
      <c r="F5380" s="11">
        <v>1</v>
      </c>
      <c r="G5380" s="11">
        <v>54621.85</v>
      </c>
    </row>
    <row r="5381" spans="2:7" x14ac:dyDescent="0.2">
      <c r="B5381" s="32">
        <v>45954</v>
      </c>
      <c r="C5381" t="s">
        <v>109</v>
      </c>
      <c r="D5381" s="13" t="s">
        <v>633</v>
      </c>
      <c r="E5381" t="s">
        <v>654</v>
      </c>
      <c r="F5381" s="11">
        <v>1</v>
      </c>
      <c r="G5381" s="11">
        <v>54621.85</v>
      </c>
    </row>
    <row r="5382" spans="2:7" x14ac:dyDescent="0.2">
      <c r="B5382" s="32">
        <v>45954</v>
      </c>
      <c r="C5382" t="s">
        <v>109</v>
      </c>
      <c r="D5382" s="13" t="s">
        <v>633</v>
      </c>
      <c r="E5382" t="s">
        <v>1947</v>
      </c>
      <c r="F5382" s="11">
        <v>1</v>
      </c>
      <c r="G5382" s="11">
        <v>54621.85</v>
      </c>
    </row>
    <row r="5383" spans="2:7" x14ac:dyDescent="0.2">
      <c r="B5383" s="32">
        <v>45954</v>
      </c>
      <c r="C5383" t="s">
        <v>109</v>
      </c>
      <c r="D5383" s="13" t="s">
        <v>633</v>
      </c>
      <c r="E5383" t="s">
        <v>348</v>
      </c>
      <c r="F5383" s="11">
        <v>1</v>
      </c>
      <c r="G5383" s="11">
        <v>54621.85</v>
      </c>
    </row>
    <row r="5384" spans="2:7" x14ac:dyDescent="0.2">
      <c r="B5384" s="32">
        <v>45954</v>
      </c>
      <c r="C5384" t="s">
        <v>109</v>
      </c>
      <c r="D5384" s="13" t="s">
        <v>633</v>
      </c>
      <c r="E5384" t="s">
        <v>513</v>
      </c>
      <c r="F5384" s="11">
        <v>1</v>
      </c>
      <c r="G5384" s="11">
        <v>50420.17</v>
      </c>
    </row>
    <row r="5385" spans="2:7" x14ac:dyDescent="0.2">
      <c r="B5385" s="32">
        <v>45954</v>
      </c>
      <c r="C5385" t="s">
        <v>109</v>
      </c>
      <c r="D5385" s="13" t="s">
        <v>633</v>
      </c>
      <c r="E5385" t="s">
        <v>170</v>
      </c>
      <c r="F5385" s="11">
        <v>1</v>
      </c>
      <c r="G5385" s="11">
        <v>46218.49</v>
      </c>
    </row>
    <row r="5386" spans="2:7" x14ac:dyDescent="0.2">
      <c r="B5386" s="32">
        <v>45954</v>
      </c>
      <c r="C5386" t="s">
        <v>109</v>
      </c>
      <c r="D5386" s="13" t="s">
        <v>633</v>
      </c>
      <c r="E5386" t="s">
        <v>158</v>
      </c>
      <c r="F5386" s="11">
        <v>1</v>
      </c>
      <c r="G5386" s="11">
        <v>46218.49</v>
      </c>
    </row>
    <row r="5387" spans="2:7" x14ac:dyDescent="0.2">
      <c r="B5387" s="32">
        <v>45954</v>
      </c>
      <c r="C5387" t="s">
        <v>109</v>
      </c>
      <c r="D5387" s="13" t="s">
        <v>633</v>
      </c>
      <c r="E5387" t="s">
        <v>238</v>
      </c>
      <c r="F5387" s="11">
        <v>1</v>
      </c>
      <c r="G5387" s="11">
        <v>46218.48</v>
      </c>
    </row>
    <row r="5388" spans="2:7" x14ac:dyDescent="0.2">
      <c r="B5388" s="32">
        <v>45954</v>
      </c>
      <c r="C5388" t="s">
        <v>109</v>
      </c>
      <c r="D5388" s="13" t="s">
        <v>633</v>
      </c>
      <c r="E5388" t="s">
        <v>2063</v>
      </c>
      <c r="F5388" s="11">
        <v>1</v>
      </c>
      <c r="G5388" s="11">
        <v>42016.81</v>
      </c>
    </row>
    <row r="5389" spans="2:7" x14ac:dyDescent="0.2">
      <c r="B5389" s="32">
        <v>45954</v>
      </c>
      <c r="C5389" t="s">
        <v>109</v>
      </c>
      <c r="D5389" s="13" t="s">
        <v>633</v>
      </c>
      <c r="E5389" t="s">
        <v>153</v>
      </c>
      <c r="F5389" s="11">
        <v>1</v>
      </c>
      <c r="G5389" s="11">
        <v>42016.81</v>
      </c>
    </row>
    <row r="5390" spans="2:7" x14ac:dyDescent="0.2">
      <c r="B5390" s="32">
        <v>45954</v>
      </c>
      <c r="C5390" t="s">
        <v>109</v>
      </c>
      <c r="D5390" s="13" t="s">
        <v>633</v>
      </c>
      <c r="E5390" t="s">
        <v>330</v>
      </c>
      <c r="F5390" s="11">
        <v>1</v>
      </c>
      <c r="G5390" s="11">
        <v>37815.129999999997</v>
      </c>
    </row>
    <row r="5391" spans="2:7" x14ac:dyDescent="0.2">
      <c r="B5391" s="32">
        <v>45954</v>
      </c>
      <c r="C5391" t="s">
        <v>109</v>
      </c>
      <c r="D5391" s="13" t="s">
        <v>633</v>
      </c>
      <c r="E5391" t="s">
        <v>144</v>
      </c>
      <c r="F5391" s="11">
        <v>2</v>
      </c>
      <c r="G5391" s="11">
        <v>36974.79</v>
      </c>
    </row>
    <row r="5392" spans="2:7" x14ac:dyDescent="0.2">
      <c r="B5392" s="32">
        <v>45954</v>
      </c>
      <c r="C5392" t="s">
        <v>109</v>
      </c>
      <c r="D5392" s="13" t="s">
        <v>633</v>
      </c>
      <c r="F5392" s="11">
        <v>0</v>
      </c>
      <c r="G5392" s="11">
        <v>0</v>
      </c>
    </row>
    <row r="5393" spans="2:7" x14ac:dyDescent="0.2">
      <c r="B5393" s="32">
        <v>45955</v>
      </c>
      <c r="C5393" t="s">
        <v>142</v>
      </c>
      <c r="D5393" s="13" t="s">
        <v>634</v>
      </c>
      <c r="E5393" t="s">
        <v>1858</v>
      </c>
      <c r="F5393" s="11">
        <v>200</v>
      </c>
      <c r="G5393" s="11">
        <v>626639.14</v>
      </c>
    </row>
    <row r="5394" spans="2:7" x14ac:dyDescent="0.2">
      <c r="B5394" s="32">
        <v>45955</v>
      </c>
      <c r="C5394" t="s">
        <v>142</v>
      </c>
      <c r="D5394" s="13" t="s">
        <v>634</v>
      </c>
      <c r="E5394" t="s">
        <v>1836</v>
      </c>
      <c r="F5394" s="11">
        <v>10</v>
      </c>
      <c r="G5394" s="11">
        <v>190167.58</v>
      </c>
    </row>
    <row r="5395" spans="2:7" x14ac:dyDescent="0.2">
      <c r="B5395" s="32">
        <v>45955</v>
      </c>
      <c r="C5395" t="s">
        <v>142</v>
      </c>
      <c r="D5395" s="13" t="s">
        <v>634</v>
      </c>
      <c r="E5395" t="s">
        <v>233</v>
      </c>
      <c r="F5395" s="11">
        <v>1</v>
      </c>
      <c r="G5395" s="11">
        <v>58823.53</v>
      </c>
    </row>
    <row r="5396" spans="2:7" x14ac:dyDescent="0.2">
      <c r="B5396" s="32">
        <v>45955</v>
      </c>
      <c r="C5396" t="s">
        <v>142</v>
      </c>
      <c r="D5396" s="13" t="s">
        <v>633</v>
      </c>
      <c r="E5396" t="s">
        <v>2064</v>
      </c>
      <c r="F5396" s="11">
        <v>1</v>
      </c>
      <c r="G5396" s="11">
        <v>79831.94</v>
      </c>
    </row>
    <row r="5397" spans="2:7" x14ac:dyDescent="0.2">
      <c r="B5397" s="32">
        <v>45955</v>
      </c>
      <c r="C5397" t="s">
        <v>142</v>
      </c>
      <c r="D5397" s="13" t="s">
        <v>633</v>
      </c>
      <c r="E5397" t="s">
        <v>2065</v>
      </c>
      <c r="F5397" s="11">
        <v>1</v>
      </c>
      <c r="G5397" s="11">
        <v>79831.929999999993</v>
      </c>
    </row>
    <row r="5398" spans="2:7" x14ac:dyDescent="0.2">
      <c r="B5398" s="32">
        <v>45955</v>
      </c>
      <c r="C5398" t="s">
        <v>142</v>
      </c>
      <c r="D5398" s="13" t="s">
        <v>633</v>
      </c>
      <c r="E5398" t="s">
        <v>280</v>
      </c>
      <c r="F5398" s="11">
        <v>1</v>
      </c>
      <c r="G5398" s="11">
        <v>54621.85</v>
      </c>
    </row>
    <row r="5399" spans="2:7" x14ac:dyDescent="0.2">
      <c r="B5399" s="32">
        <v>45955</v>
      </c>
      <c r="C5399" t="s">
        <v>109</v>
      </c>
      <c r="D5399" s="13"/>
      <c r="E5399" t="s">
        <v>246</v>
      </c>
      <c r="F5399" s="11">
        <v>1</v>
      </c>
      <c r="G5399" s="11">
        <v>42016.81</v>
      </c>
    </row>
    <row r="5400" spans="2:7" x14ac:dyDescent="0.2">
      <c r="B5400" s="32">
        <v>45955</v>
      </c>
      <c r="C5400" t="s">
        <v>109</v>
      </c>
      <c r="D5400" s="13"/>
      <c r="E5400" t="s">
        <v>144</v>
      </c>
      <c r="F5400" s="11">
        <v>1</v>
      </c>
      <c r="G5400" s="11">
        <v>18487.39</v>
      </c>
    </row>
    <row r="5401" spans="2:7" x14ac:dyDescent="0.2">
      <c r="B5401" s="32">
        <v>45955</v>
      </c>
      <c r="C5401" t="s">
        <v>109</v>
      </c>
      <c r="D5401" s="13" t="s">
        <v>634</v>
      </c>
      <c r="E5401" t="s">
        <v>316</v>
      </c>
      <c r="F5401" s="11">
        <v>1</v>
      </c>
      <c r="G5401" s="11">
        <v>100840.34</v>
      </c>
    </row>
    <row r="5402" spans="2:7" x14ac:dyDescent="0.2">
      <c r="B5402" s="32">
        <v>45955</v>
      </c>
      <c r="C5402" t="s">
        <v>109</v>
      </c>
      <c r="D5402" s="13" t="s">
        <v>634</v>
      </c>
      <c r="E5402" t="s">
        <v>304</v>
      </c>
      <c r="F5402" s="11">
        <v>1</v>
      </c>
      <c r="G5402" s="11">
        <v>100840.34</v>
      </c>
    </row>
    <row r="5403" spans="2:7" x14ac:dyDescent="0.2">
      <c r="B5403" s="32">
        <v>45955</v>
      </c>
      <c r="C5403" t="s">
        <v>109</v>
      </c>
      <c r="D5403" s="13" t="s">
        <v>634</v>
      </c>
      <c r="E5403" t="s">
        <v>313</v>
      </c>
      <c r="F5403" s="11">
        <v>1</v>
      </c>
      <c r="G5403" s="11">
        <v>100840.34</v>
      </c>
    </row>
    <row r="5404" spans="2:7" x14ac:dyDescent="0.2">
      <c r="B5404" s="32">
        <v>45955</v>
      </c>
      <c r="C5404" t="s">
        <v>109</v>
      </c>
      <c r="D5404" s="13" t="s">
        <v>634</v>
      </c>
      <c r="E5404" t="s">
        <v>207</v>
      </c>
      <c r="F5404" s="11">
        <v>1</v>
      </c>
      <c r="G5404" s="11">
        <v>100840.33</v>
      </c>
    </row>
    <row r="5405" spans="2:7" x14ac:dyDescent="0.2">
      <c r="B5405" s="32">
        <v>45955</v>
      </c>
      <c r="C5405" t="s">
        <v>109</v>
      </c>
      <c r="D5405" s="13" t="s">
        <v>634</v>
      </c>
      <c r="E5405" t="s">
        <v>182</v>
      </c>
      <c r="F5405" s="11">
        <v>2</v>
      </c>
      <c r="G5405" s="11">
        <v>58823.53</v>
      </c>
    </row>
    <row r="5406" spans="2:7" x14ac:dyDescent="0.2">
      <c r="B5406" s="32">
        <v>45955</v>
      </c>
      <c r="C5406" t="s">
        <v>109</v>
      </c>
      <c r="D5406" s="13" t="s">
        <v>634</v>
      </c>
      <c r="E5406" t="s">
        <v>223</v>
      </c>
      <c r="F5406" s="11">
        <v>1</v>
      </c>
      <c r="G5406" s="11">
        <v>58823.53</v>
      </c>
    </row>
    <row r="5407" spans="2:7" x14ac:dyDescent="0.2">
      <c r="B5407" s="32">
        <v>45955</v>
      </c>
      <c r="C5407" t="s">
        <v>109</v>
      </c>
      <c r="D5407" s="13" t="s">
        <v>634</v>
      </c>
      <c r="E5407" t="s">
        <v>479</v>
      </c>
      <c r="F5407" s="11">
        <v>1</v>
      </c>
      <c r="G5407" s="11">
        <v>58823.53</v>
      </c>
    </row>
    <row r="5408" spans="2:7" x14ac:dyDescent="0.2">
      <c r="B5408" s="32">
        <v>45955</v>
      </c>
      <c r="C5408" t="s">
        <v>109</v>
      </c>
      <c r="D5408" s="13" t="s">
        <v>634</v>
      </c>
      <c r="E5408" t="s">
        <v>430</v>
      </c>
      <c r="F5408" s="11">
        <v>1</v>
      </c>
      <c r="G5408" s="11">
        <v>58823.53</v>
      </c>
    </row>
    <row r="5409" spans="2:7" x14ac:dyDescent="0.2">
      <c r="B5409" s="32">
        <v>45955</v>
      </c>
      <c r="C5409" t="s">
        <v>109</v>
      </c>
      <c r="D5409" s="13" t="s">
        <v>634</v>
      </c>
      <c r="E5409" t="s">
        <v>320</v>
      </c>
      <c r="F5409" s="11">
        <v>1</v>
      </c>
      <c r="G5409" s="11">
        <v>58823.53</v>
      </c>
    </row>
    <row r="5410" spans="2:7" x14ac:dyDescent="0.2">
      <c r="B5410" s="32">
        <v>45955</v>
      </c>
      <c r="C5410" t="s">
        <v>109</v>
      </c>
      <c r="D5410" s="13" t="s">
        <v>634</v>
      </c>
      <c r="E5410" t="s">
        <v>219</v>
      </c>
      <c r="F5410" s="11">
        <v>1</v>
      </c>
      <c r="G5410" s="11">
        <v>58823.53</v>
      </c>
    </row>
    <row r="5411" spans="2:7" x14ac:dyDescent="0.2">
      <c r="B5411" s="32">
        <v>45955</v>
      </c>
      <c r="C5411" t="s">
        <v>109</v>
      </c>
      <c r="D5411" s="13" t="s">
        <v>634</v>
      </c>
      <c r="E5411" t="s">
        <v>208</v>
      </c>
      <c r="F5411" s="11">
        <v>1</v>
      </c>
      <c r="G5411" s="11">
        <v>58823.519999999997</v>
      </c>
    </row>
    <row r="5412" spans="2:7" x14ac:dyDescent="0.2">
      <c r="B5412" s="32">
        <v>45955</v>
      </c>
      <c r="C5412" t="s">
        <v>109</v>
      </c>
      <c r="D5412" s="13" t="s">
        <v>634</v>
      </c>
      <c r="E5412" t="s">
        <v>243</v>
      </c>
      <c r="F5412" s="11">
        <v>1</v>
      </c>
      <c r="G5412" s="11">
        <v>54621.85</v>
      </c>
    </row>
    <row r="5413" spans="2:7" x14ac:dyDescent="0.2">
      <c r="B5413" s="32">
        <v>45955</v>
      </c>
      <c r="C5413" t="s">
        <v>109</v>
      </c>
      <c r="D5413" s="13" t="s">
        <v>634</v>
      </c>
      <c r="E5413" t="s">
        <v>679</v>
      </c>
      <c r="F5413" s="11">
        <v>1</v>
      </c>
      <c r="G5413" s="11">
        <v>54621.85</v>
      </c>
    </row>
    <row r="5414" spans="2:7" x14ac:dyDescent="0.2">
      <c r="B5414" s="32">
        <v>45955</v>
      </c>
      <c r="C5414" t="s">
        <v>109</v>
      </c>
      <c r="D5414" s="13" t="s">
        <v>634</v>
      </c>
      <c r="E5414" t="s">
        <v>228</v>
      </c>
      <c r="F5414" s="11">
        <v>1</v>
      </c>
      <c r="G5414" s="11">
        <v>54621.85</v>
      </c>
    </row>
    <row r="5415" spans="2:7" x14ac:dyDescent="0.2">
      <c r="B5415" s="32">
        <v>45955</v>
      </c>
      <c r="C5415" t="s">
        <v>109</v>
      </c>
      <c r="D5415" s="13" t="s">
        <v>634</v>
      </c>
      <c r="E5415" t="s">
        <v>153</v>
      </c>
      <c r="F5415" s="11">
        <v>1</v>
      </c>
      <c r="G5415" s="11">
        <v>42016.81</v>
      </c>
    </row>
    <row r="5416" spans="2:7" x14ac:dyDescent="0.2">
      <c r="B5416" s="32">
        <v>45955</v>
      </c>
      <c r="C5416" t="s">
        <v>109</v>
      </c>
      <c r="D5416" s="13" t="s">
        <v>634</v>
      </c>
      <c r="E5416" t="s">
        <v>206</v>
      </c>
      <c r="F5416" s="11">
        <v>1</v>
      </c>
      <c r="G5416" s="11">
        <v>37815.129999999997</v>
      </c>
    </row>
    <row r="5417" spans="2:7" x14ac:dyDescent="0.2">
      <c r="B5417" s="32">
        <v>45955</v>
      </c>
      <c r="C5417" t="s">
        <v>109</v>
      </c>
      <c r="D5417" s="13" t="s">
        <v>634</v>
      </c>
      <c r="E5417" t="s">
        <v>145</v>
      </c>
      <c r="F5417" s="11">
        <v>1</v>
      </c>
      <c r="G5417" s="11">
        <v>22689.08</v>
      </c>
    </row>
    <row r="5418" spans="2:7" x14ac:dyDescent="0.2">
      <c r="B5418" s="32">
        <v>45955</v>
      </c>
      <c r="C5418" t="s">
        <v>109</v>
      </c>
      <c r="D5418" s="13" t="s">
        <v>634</v>
      </c>
      <c r="E5418" t="s">
        <v>2057</v>
      </c>
      <c r="F5418" s="11">
        <v>1</v>
      </c>
      <c r="G5418" s="11">
        <v>16806.72</v>
      </c>
    </row>
    <row r="5419" spans="2:7" x14ac:dyDescent="0.2">
      <c r="B5419" s="32">
        <v>45955</v>
      </c>
      <c r="C5419" t="s">
        <v>109</v>
      </c>
      <c r="D5419" s="13" t="s">
        <v>633</v>
      </c>
      <c r="E5419" t="s">
        <v>240</v>
      </c>
      <c r="F5419" s="11">
        <v>3</v>
      </c>
      <c r="G5419" s="11">
        <v>126050.43</v>
      </c>
    </row>
    <row r="5420" spans="2:7" x14ac:dyDescent="0.2">
      <c r="B5420" s="32">
        <v>45955</v>
      </c>
      <c r="C5420" t="s">
        <v>109</v>
      </c>
      <c r="D5420" s="13" t="s">
        <v>633</v>
      </c>
      <c r="E5420" t="s">
        <v>144</v>
      </c>
      <c r="F5420" s="11">
        <v>7</v>
      </c>
      <c r="G5420" s="11">
        <v>124369.75</v>
      </c>
    </row>
    <row r="5421" spans="2:7" x14ac:dyDescent="0.2">
      <c r="B5421" s="32">
        <v>45955</v>
      </c>
      <c r="C5421" t="s">
        <v>109</v>
      </c>
      <c r="D5421" s="13" t="s">
        <v>633</v>
      </c>
      <c r="E5421" t="s">
        <v>196</v>
      </c>
      <c r="F5421" s="11">
        <v>2</v>
      </c>
      <c r="G5421" s="11">
        <v>84033.62</v>
      </c>
    </row>
    <row r="5422" spans="2:7" x14ac:dyDescent="0.2">
      <c r="B5422" s="32">
        <v>45955</v>
      </c>
      <c r="C5422" t="s">
        <v>109</v>
      </c>
      <c r="D5422" s="13" t="s">
        <v>633</v>
      </c>
      <c r="E5422" t="s">
        <v>166</v>
      </c>
      <c r="F5422" s="11">
        <v>2</v>
      </c>
      <c r="G5422" s="11">
        <v>84033.61</v>
      </c>
    </row>
    <row r="5423" spans="2:7" x14ac:dyDescent="0.2">
      <c r="B5423" s="32">
        <v>45955</v>
      </c>
      <c r="C5423" t="s">
        <v>109</v>
      </c>
      <c r="D5423" s="13" t="s">
        <v>633</v>
      </c>
      <c r="E5423" t="s">
        <v>174</v>
      </c>
      <c r="F5423" s="11">
        <v>1</v>
      </c>
      <c r="G5423" s="11">
        <v>75630.25</v>
      </c>
    </row>
    <row r="5424" spans="2:7" x14ac:dyDescent="0.2">
      <c r="B5424" s="32">
        <v>45955</v>
      </c>
      <c r="C5424" t="s">
        <v>109</v>
      </c>
      <c r="D5424" s="13" t="s">
        <v>633</v>
      </c>
      <c r="E5424" t="s">
        <v>624</v>
      </c>
      <c r="F5424" s="11">
        <v>1</v>
      </c>
      <c r="G5424" s="11">
        <v>71428.570000000007</v>
      </c>
    </row>
    <row r="5425" spans="2:7" x14ac:dyDescent="0.2">
      <c r="B5425" s="32">
        <v>45955</v>
      </c>
      <c r="C5425" t="s">
        <v>109</v>
      </c>
      <c r="D5425" s="13" t="s">
        <v>633</v>
      </c>
      <c r="E5425" t="s">
        <v>1845</v>
      </c>
      <c r="F5425" s="11">
        <v>1</v>
      </c>
      <c r="G5425" s="11">
        <v>58823.53</v>
      </c>
    </row>
    <row r="5426" spans="2:7" x14ac:dyDescent="0.2">
      <c r="B5426" s="32">
        <v>45955</v>
      </c>
      <c r="C5426" t="s">
        <v>109</v>
      </c>
      <c r="D5426" s="13" t="s">
        <v>633</v>
      </c>
      <c r="E5426" t="s">
        <v>560</v>
      </c>
      <c r="F5426" s="11">
        <v>1</v>
      </c>
      <c r="G5426" s="11">
        <v>46218.49</v>
      </c>
    </row>
    <row r="5427" spans="2:7" x14ac:dyDescent="0.2">
      <c r="B5427" s="32">
        <v>45955</v>
      </c>
      <c r="C5427" t="s">
        <v>109</v>
      </c>
      <c r="D5427" s="13" t="s">
        <v>633</v>
      </c>
      <c r="E5427" t="s">
        <v>153</v>
      </c>
      <c r="F5427" s="11">
        <v>1</v>
      </c>
      <c r="G5427" s="11">
        <v>42016.800000000003</v>
      </c>
    </row>
    <row r="5428" spans="2:7" x14ac:dyDescent="0.2">
      <c r="B5428" s="32">
        <v>45955</v>
      </c>
      <c r="C5428" t="s">
        <v>109</v>
      </c>
      <c r="D5428" s="13" t="s">
        <v>633</v>
      </c>
      <c r="E5428" t="s">
        <v>330</v>
      </c>
      <c r="F5428" s="11">
        <v>1</v>
      </c>
      <c r="G5428" s="11">
        <v>37815.129999999997</v>
      </c>
    </row>
    <row r="5429" spans="2:7" x14ac:dyDescent="0.2">
      <c r="B5429" s="32">
        <v>45955</v>
      </c>
      <c r="C5429" t="s">
        <v>109</v>
      </c>
      <c r="D5429" s="13" t="s">
        <v>633</v>
      </c>
      <c r="E5429" t="s">
        <v>234</v>
      </c>
      <c r="F5429" s="11">
        <v>1</v>
      </c>
      <c r="G5429" s="11">
        <v>37815.120000000003</v>
      </c>
    </row>
    <row r="5430" spans="2:7" x14ac:dyDescent="0.2">
      <c r="B5430" s="32">
        <v>45955</v>
      </c>
      <c r="C5430" t="s">
        <v>109</v>
      </c>
      <c r="D5430" s="13" t="s">
        <v>633</v>
      </c>
      <c r="E5430" t="s">
        <v>180</v>
      </c>
      <c r="F5430" s="11">
        <v>1</v>
      </c>
      <c r="G5430" s="11">
        <v>16806.73</v>
      </c>
    </row>
    <row r="5431" spans="2:7" x14ac:dyDescent="0.2">
      <c r="B5431" s="32">
        <v>45955</v>
      </c>
      <c r="C5431" t="s">
        <v>109</v>
      </c>
      <c r="D5431" s="13" t="s">
        <v>633</v>
      </c>
      <c r="E5431" t="s">
        <v>333</v>
      </c>
      <c r="F5431" s="11">
        <v>1</v>
      </c>
      <c r="G5431" s="11">
        <v>16806.72</v>
      </c>
    </row>
    <row r="5432" spans="2:7" x14ac:dyDescent="0.2">
      <c r="B5432" s="32">
        <v>45956</v>
      </c>
      <c r="C5432" t="s">
        <v>142</v>
      </c>
      <c r="D5432" s="13" t="s">
        <v>634</v>
      </c>
      <c r="E5432" t="s">
        <v>252</v>
      </c>
      <c r="F5432" s="11">
        <v>1</v>
      </c>
      <c r="G5432" s="11">
        <v>239495.8</v>
      </c>
    </row>
    <row r="5433" spans="2:7" x14ac:dyDescent="0.2">
      <c r="B5433" s="32">
        <v>45956</v>
      </c>
      <c r="C5433" t="s">
        <v>142</v>
      </c>
      <c r="D5433" s="13" t="s">
        <v>634</v>
      </c>
      <c r="E5433" t="s">
        <v>155</v>
      </c>
      <c r="F5433" s="11">
        <v>1</v>
      </c>
      <c r="G5433" s="11">
        <v>100840.34</v>
      </c>
    </row>
    <row r="5434" spans="2:7" x14ac:dyDescent="0.2">
      <c r="B5434" s="32">
        <v>45956</v>
      </c>
      <c r="C5434" t="s">
        <v>142</v>
      </c>
      <c r="D5434" s="13" t="s">
        <v>634</v>
      </c>
      <c r="E5434" t="s">
        <v>533</v>
      </c>
      <c r="F5434" s="11">
        <v>1</v>
      </c>
      <c r="G5434" s="11">
        <v>58823.53</v>
      </c>
    </row>
    <row r="5435" spans="2:7" x14ac:dyDescent="0.2">
      <c r="B5435" s="32">
        <v>45956</v>
      </c>
      <c r="C5435" t="s">
        <v>142</v>
      </c>
      <c r="D5435" s="13" t="s">
        <v>634</v>
      </c>
      <c r="E5435" t="s">
        <v>793</v>
      </c>
      <c r="F5435" s="11">
        <v>1</v>
      </c>
      <c r="G5435" s="11">
        <v>46218.49</v>
      </c>
    </row>
    <row r="5436" spans="2:7" x14ac:dyDescent="0.2">
      <c r="B5436" s="32">
        <v>45956</v>
      </c>
      <c r="C5436" t="s">
        <v>142</v>
      </c>
      <c r="D5436" s="13" t="s">
        <v>634</v>
      </c>
      <c r="E5436" t="s">
        <v>546</v>
      </c>
      <c r="F5436" s="11">
        <v>1</v>
      </c>
      <c r="G5436" s="11">
        <v>46218.49</v>
      </c>
    </row>
    <row r="5437" spans="2:7" x14ac:dyDescent="0.2">
      <c r="B5437" s="32">
        <v>45956</v>
      </c>
      <c r="C5437" t="s">
        <v>142</v>
      </c>
      <c r="D5437" s="13" t="s">
        <v>634</v>
      </c>
      <c r="E5437" t="s">
        <v>1908</v>
      </c>
      <c r="F5437" s="11">
        <v>1</v>
      </c>
      <c r="G5437" s="11">
        <v>46218.49</v>
      </c>
    </row>
    <row r="5438" spans="2:7" x14ac:dyDescent="0.2">
      <c r="B5438" s="32">
        <v>45956</v>
      </c>
      <c r="C5438" t="s">
        <v>142</v>
      </c>
      <c r="D5438" s="13" t="s">
        <v>634</v>
      </c>
      <c r="E5438" t="s">
        <v>824</v>
      </c>
      <c r="F5438" s="11">
        <v>1</v>
      </c>
      <c r="G5438" s="11">
        <v>46218.48</v>
      </c>
    </row>
    <row r="5439" spans="2:7" x14ac:dyDescent="0.2">
      <c r="B5439" s="32">
        <v>45956</v>
      </c>
      <c r="C5439" t="s">
        <v>142</v>
      </c>
      <c r="D5439" s="13" t="s">
        <v>634</v>
      </c>
      <c r="F5439" s="11">
        <v>0</v>
      </c>
      <c r="G5439" s="11">
        <v>0</v>
      </c>
    </row>
    <row r="5440" spans="2:7" x14ac:dyDescent="0.2">
      <c r="B5440" s="32">
        <v>45956</v>
      </c>
      <c r="C5440" t="s">
        <v>109</v>
      </c>
      <c r="D5440" s="13" t="s">
        <v>634</v>
      </c>
      <c r="E5440" t="s">
        <v>301</v>
      </c>
      <c r="F5440" s="11">
        <v>1</v>
      </c>
      <c r="G5440" s="11">
        <v>169000</v>
      </c>
    </row>
    <row r="5441" spans="2:7" x14ac:dyDescent="0.2">
      <c r="B5441" s="32">
        <v>45956</v>
      </c>
      <c r="C5441" t="s">
        <v>109</v>
      </c>
      <c r="D5441" s="13" t="s">
        <v>634</v>
      </c>
      <c r="E5441" t="s">
        <v>2066</v>
      </c>
      <c r="F5441" s="11">
        <v>1</v>
      </c>
      <c r="G5441" s="11">
        <v>138655.46</v>
      </c>
    </row>
    <row r="5442" spans="2:7" x14ac:dyDescent="0.2">
      <c r="B5442" s="32">
        <v>45956</v>
      </c>
      <c r="C5442" t="s">
        <v>109</v>
      </c>
      <c r="D5442" s="13" t="s">
        <v>634</v>
      </c>
      <c r="E5442" t="s">
        <v>2042</v>
      </c>
      <c r="F5442" s="11">
        <v>1</v>
      </c>
      <c r="G5442" s="11">
        <v>84033.61</v>
      </c>
    </row>
    <row r="5443" spans="2:7" x14ac:dyDescent="0.2">
      <c r="B5443" s="32">
        <v>45956</v>
      </c>
      <c r="C5443" t="s">
        <v>109</v>
      </c>
      <c r="D5443" s="13" t="s">
        <v>634</v>
      </c>
      <c r="E5443" t="s">
        <v>199</v>
      </c>
      <c r="F5443" s="11">
        <v>1</v>
      </c>
      <c r="G5443" s="11">
        <v>75630.25</v>
      </c>
    </row>
    <row r="5444" spans="2:7" x14ac:dyDescent="0.2">
      <c r="B5444" s="32">
        <v>45956</v>
      </c>
      <c r="C5444" t="s">
        <v>109</v>
      </c>
      <c r="D5444" s="13" t="s">
        <v>634</v>
      </c>
      <c r="E5444" t="s">
        <v>395</v>
      </c>
      <c r="F5444" s="11">
        <v>1</v>
      </c>
      <c r="G5444" s="11">
        <v>75630.25</v>
      </c>
    </row>
    <row r="5445" spans="2:7" x14ac:dyDescent="0.2">
      <c r="B5445" s="32">
        <v>45956</v>
      </c>
      <c r="C5445" t="s">
        <v>109</v>
      </c>
      <c r="D5445" s="13" t="s">
        <v>634</v>
      </c>
      <c r="E5445" t="s">
        <v>2014</v>
      </c>
      <c r="F5445" s="11">
        <v>1</v>
      </c>
      <c r="G5445" s="11">
        <v>71428.58</v>
      </c>
    </row>
    <row r="5446" spans="2:7" x14ac:dyDescent="0.2">
      <c r="B5446" s="32">
        <v>45956</v>
      </c>
      <c r="C5446" t="s">
        <v>109</v>
      </c>
      <c r="D5446" s="13" t="s">
        <v>634</v>
      </c>
      <c r="E5446" t="s">
        <v>170</v>
      </c>
      <c r="F5446" s="11">
        <v>1</v>
      </c>
      <c r="G5446" s="11">
        <v>46218.49</v>
      </c>
    </row>
    <row r="5447" spans="2:7" x14ac:dyDescent="0.2">
      <c r="B5447" s="32">
        <v>45956</v>
      </c>
      <c r="C5447" t="s">
        <v>109</v>
      </c>
      <c r="D5447" s="13" t="s">
        <v>634</v>
      </c>
      <c r="E5447" t="s">
        <v>2067</v>
      </c>
      <c r="F5447" s="11">
        <v>1</v>
      </c>
      <c r="G5447" s="11">
        <v>46218.48</v>
      </c>
    </row>
    <row r="5448" spans="2:7" x14ac:dyDescent="0.2">
      <c r="B5448" s="32">
        <v>45956</v>
      </c>
      <c r="C5448" t="s">
        <v>109</v>
      </c>
      <c r="D5448" s="13" t="s">
        <v>634</v>
      </c>
      <c r="E5448" t="s">
        <v>145</v>
      </c>
      <c r="F5448" s="11">
        <v>1</v>
      </c>
      <c r="G5448" s="11">
        <v>22689.08</v>
      </c>
    </row>
    <row r="5449" spans="2:7" x14ac:dyDescent="0.2">
      <c r="B5449" s="32">
        <v>45956</v>
      </c>
      <c r="C5449" t="s">
        <v>109</v>
      </c>
      <c r="D5449" s="13" t="s">
        <v>633</v>
      </c>
      <c r="E5449" t="s">
        <v>2017</v>
      </c>
      <c r="F5449" s="11">
        <v>1</v>
      </c>
      <c r="G5449" s="11">
        <v>75630.25</v>
      </c>
    </row>
    <row r="5450" spans="2:7" x14ac:dyDescent="0.2">
      <c r="B5450" s="32">
        <v>45956</v>
      </c>
      <c r="C5450" t="s">
        <v>109</v>
      </c>
      <c r="D5450" s="13" t="s">
        <v>633</v>
      </c>
      <c r="E5450" t="s">
        <v>1900</v>
      </c>
      <c r="F5450" s="11">
        <v>1</v>
      </c>
      <c r="G5450" s="11">
        <v>75630.25</v>
      </c>
    </row>
    <row r="5451" spans="2:7" x14ac:dyDescent="0.2">
      <c r="B5451" s="32">
        <v>45956</v>
      </c>
      <c r="C5451" t="s">
        <v>109</v>
      </c>
      <c r="D5451" s="13" t="s">
        <v>633</v>
      </c>
      <c r="E5451" t="s">
        <v>164</v>
      </c>
      <c r="F5451" s="11">
        <v>1</v>
      </c>
      <c r="G5451" s="11">
        <v>71428.570000000007</v>
      </c>
    </row>
    <row r="5452" spans="2:7" x14ac:dyDescent="0.2">
      <c r="B5452" s="32">
        <v>45956</v>
      </c>
      <c r="C5452" t="s">
        <v>109</v>
      </c>
      <c r="D5452" s="13" t="s">
        <v>633</v>
      </c>
      <c r="E5452" t="s">
        <v>348</v>
      </c>
      <c r="F5452" s="11">
        <v>1</v>
      </c>
      <c r="G5452" s="11">
        <v>54621.85</v>
      </c>
    </row>
    <row r="5453" spans="2:7" x14ac:dyDescent="0.2">
      <c r="B5453" s="32">
        <v>45956</v>
      </c>
      <c r="C5453" t="s">
        <v>109</v>
      </c>
      <c r="D5453" s="13" t="s">
        <v>633</v>
      </c>
      <c r="E5453" t="s">
        <v>628</v>
      </c>
      <c r="F5453" s="11">
        <v>1</v>
      </c>
      <c r="G5453" s="11">
        <v>54621.84</v>
      </c>
    </row>
    <row r="5454" spans="2:7" x14ac:dyDescent="0.2">
      <c r="B5454" s="32">
        <v>45956</v>
      </c>
      <c r="C5454" t="s">
        <v>109</v>
      </c>
      <c r="D5454" s="13" t="s">
        <v>633</v>
      </c>
      <c r="E5454" t="s">
        <v>642</v>
      </c>
      <c r="F5454" s="11">
        <v>1</v>
      </c>
      <c r="G5454" s="11">
        <v>49000</v>
      </c>
    </row>
    <row r="5455" spans="2:7" x14ac:dyDescent="0.2">
      <c r="B5455" s="32">
        <v>45956</v>
      </c>
      <c r="C5455" t="s">
        <v>109</v>
      </c>
      <c r="D5455" s="13" t="s">
        <v>633</v>
      </c>
      <c r="E5455" t="s">
        <v>2067</v>
      </c>
      <c r="F5455" s="11">
        <v>1</v>
      </c>
      <c r="G5455" s="11">
        <v>46218.49</v>
      </c>
    </row>
    <row r="5456" spans="2:7" x14ac:dyDescent="0.2">
      <c r="B5456" s="32">
        <v>45956</v>
      </c>
      <c r="C5456" t="s">
        <v>109</v>
      </c>
      <c r="D5456" s="13" t="s">
        <v>633</v>
      </c>
      <c r="E5456" t="s">
        <v>158</v>
      </c>
      <c r="F5456" s="11">
        <v>1</v>
      </c>
      <c r="G5456" s="11">
        <v>46218.49</v>
      </c>
    </row>
    <row r="5457" spans="2:7" x14ac:dyDescent="0.2">
      <c r="B5457" s="32">
        <v>45956</v>
      </c>
      <c r="C5457" t="s">
        <v>109</v>
      </c>
      <c r="D5457" s="13" t="s">
        <v>633</v>
      </c>
      <c r="E5457" t="s">
        <v>1963</v>
      </c>
      <c r="F5457" s="11">
        <v>0</v>
      </c>
      <c r="G5457" s="11">
        <v>42016.81</v>
      </c>
    </row>
    <row r="5458" spans="2:7" x14ac:dyDescent="0.2">
      <c r="B5458" s="32">
        <v>45956</v>
      </c>
      <c r="C5458" t="s">
        <v>109</v>
      </c>
      <c r="D5458" s="13" t="s">
        <v>633</v>
      </c>
      <c r="E5458" t="s">
        <v>166</v>
      </c>
      <c r="F5458" s="11">
        <v>1</v>
      </c>
      <c r="G5458" s="11">
        <v>42016.81</v>
      </c>
    </row>
    <row r="5459" spans="2:7" x14ac:dyDescent="0.2">
      <c r="B5459" s="32">
        <v>45956</v>
      </c>
      <c r="C5459" t="s">
        <v>109</v>
      </c>
      <c r="D5459" s="13" t="s">
        <v>633</v>
      </c>
      <c r="E5459" t="s">
        <v>144</v>
      </c>
      <c r="F5459" s="11">
        <v>1</v>
      </c>
      <c r="G5459" s="11">
        <v>3781.51</v>
      </c>
    </row>
    <row r="5460" spans="2:7" x14ac:dyDescent="0.2">
      <c r="B5460" s="32">
        <v>45956</v>
      </c>
      <c r="C5460" t="s">
        <v>109</v>
      </c>
      <c r="D5460" s="13" t="s">
        <v>633</v>
      </c>
      <c r="E5460" t="s">
        <v>240</v>
      </c>
      <c r="F5460" s="11">
        <v>1</v>
      </c>
      <c r="G5460" s="11">
        <v>0</v>
      </c>
    </row>
    <row r="5461" spans="2:7" x14ac:dyDescent="0.2">
      <c r="B5461" s="32">
        <v>45957</v>
      </c>
      <c r="C5461" t="s">
        <v>142</v>
      </c>
      <c r="D5461" s="13" t="s">
        <v>634</v>
      </c>
      <c r="E5461" t="s">
        <v>1911</v>
      </c>
      <c r="F5461" s="11">
        <v>1</v>
      </c>
      <c r="G5461" s="11">
        <v>306000</v>
      </c>
    </row>
    <row r="5462" spans="2:7" x14ac:dyDescent="0.2">
      <c r="B5462" s="32">
        <v>45957</v>
      </c>
      <c r="C5462" t="s">
        <v>142</v>
      </c>
      <c r="D5462" s="13" t="s">
        <v>634</v>
      </c>
      <c r="E5462" t="s">
        <v>759</v>
      </c>
      <c r="F5462" s="11">
        <v>1</v>
      </c>
      <c r="G5462" s="11">
        <v>186554.62</v>
      </c>
    </row>
    <row r="5463" spans="2:7" x14ac:dyDescent="0.2">
      <c r="B5463" s="32">
        <v>45957</v>
      </c>
      <c r="C5463" t="s">
        <v>142</v>
      </c>
      <c r="D5463" s="13" t="s">
        <v>634</v>
      </c>
      <c r="E5463" t="s">
        <v>1839</v>
      </c>
      <c r="F5463" s="11">
        <v>1</v>
      </c>
      <c r="G5463" s="11">
        <v>151260.51</v>
      </c>
    </row>
    <row r="5464" spans="2:7" x14ac:dyDescent="0.2">
      <c r="B5464" s="32">
        <v>45957</v>
      </c>
      <c r="C5464" t="s">
        <v>142</v>
      </c>
      <c r="D5464" s="13" t="s">
        <v>634</v>
      </c>
      <c r="E5464" t="s">
        <v>249</v>
      </c>
      <c r="F5464" s="11">
        <v>1</v>
      </c>
      <c r="G5464" s="11">
        <v>100840.34</v>
      </c>
    </row>
    <row r="5465" spans="2:7" x14ac:dyDescent="0.2">
      <c r="B5465" s="32">
        <v>45957</v>
      </c>
      <c r="C5465" t="s">
        <v>142</v>
      </c>
      <c r="D5465" s="13" t="s">
        <v>634</v>
      </c>
      <c r="E5465" t="s">
        <v>521</v>
      </c>
      <c r="F5465" s="11">
        <v>1</v>
      </c>
      <c r="G5465" s="11">
        <v>92436.97</v>
      </c>
    </row>
    <row r="5466" spans="2:7" x14ac:dyDescent="0.2">
      <c r="B5466" s="32">
        <v>45957</v>
      </c>
      <c r="C5466" t="s">
        <v>142</v>
      </c>
      <c r="D5466" s="13" t="s">
        <v>634</v>
      </c>
      <c r="E5466" t="s">
        <v>335</v>
      </c>
      <c r="F5466" s="11">
        <v>1</v>
      </c>
      <c r="G5466" s="11">
        <v>58823.53</v>
      </c>
    </row>
    <row r="5467" spans="2:7" x14ac:dyDescent="0.2">
      <c r="B5467" s="32">
        <v>45957</v>
      </c>
      <c r="C5467" t="s">
        <v>142</v>
      </c>
      <c r="D5467" s="13" t="s">
        <v>634</v>
      </c>
      <c r="E5467" t="s">
        <v>285</v>
      </c>
      <c r="F5467" s="11">
        <v>1</v>
      </c>
      <c r="G5467" s="11">
        <v>58823.53</v>
      </c>
    </row>
    <row r="5468" spans="2:7" x14ac:dyDescent="0.2">
      <c r="B5468" s="32">
        <v>45957</v>
      </c>
      <c r="C5468" t="s">
        <v>142</v>
      </c>
      <c r="D5468" s="13" t="s">
        <v>634</v>
      </c>
      <c r="E5468" t="s">
        <v>275</v>
      </c>
      <c r="F5468" s="11">
        <v>1</v>
      </c>
      <c r="G5468" s="11">
        <v>58823.53</v>
      </c>
    </row>
    <row r="5469" spans="2:7" x14ac:dyDescent="0.2">
      <c r="B5469" s="32">
        <v>45957</v>
      </c>
      <c r="C5469" t="s">
        <v>142</v>
      </c>
      <c r="D5469" s="13" t="s">
        <v>634</v>
      </c>
      <c r="E5469" t="s">
        <v>576</v>
      </c>
      <c r="F5469" s="11">
        <v>1</v>
      </c>
      <c r="G5469" s="11">
        <v>58823.53</v>
      </c>
    </row>
    <row r="5470" spans="2:7" x14ac:dyDescent="0.2">
      <c r="B5470" s="32">
        <v>45957</v>
      </c>
      <c r="C5470" t="s">
        <v>142</v>
      </c>
      <c r="D5470" s="13" t="s">
        <v>634</v>
      </c>
      <c r="E5470" t="s">
        <v>398</v>
      </c>
      <c r="F5470" s="11">
        <v>1</v>
      </c>
      <c r="G5470" s="11">
        <v>58823.53</v>
      </c>
    </row>
    <row r="5471" spans="2:7" x14ac:dyDescent="0.2">
      <c r="B5471" s="32">
        <v>45957</v>
      </c>
      <c r="C5471" t="s">
        <v>142</v>
      </c>
      <c r="D5471" s="13" t="s">
        <v>634</v>
      </c>
      <c r="E5471" t="s">
        <v>282</v>
      </c>
      <c r="F5471" s="11">
        <v>1</v>
      </c>
      <c r="G5471" s="11">
        <v>58823.53</v>
      </c>
    </row>
    <row r="5472" spans="2:7" x14ac:dyDescent="0.2">
      <c r="B5472" s="32">
        <v>45957</v>
      </c>
      <c r="C5472" t="s">
        <v>142</v>
      </c>
      <c r="D5472" s="13" t="s">
        <v>634</v>
      </c>
      <c r="E5472" t="s">
        <v>430</v>
      </c>
      <c r="F5472" s="11">
        <v>1</v>
      </c>
      <c r="G5472" s="11">
        <v>58823.53</v>
      </c>
    </row>
    <row r="5473" spans="2:7" x14ac:dyDescent="0.2">
      <c r="B5473" s="32">
        <v>45957</v>
      </c>
      <c r="C5473" t="s">
        <v>142</v>
      </c>
      <c r="D5473" s="13" t="s">
        <v>634</v>
      </c>
      <c r="E5473" t="s">
        <v>440</v>
      </c>
      <c r="F5473" s="11">
        <v>1</v>
      </c>
      <c r="G5473" s="11">
        <v>58823.53</v>
      </c>
    </row>
    <row r="5474" spans="2:7" x14ac:dyDescent="0.2">
      <c r="B5474" s="32">
        <v>45957</v>
      </c>
      <c r="C5474" t="s">
        <v>142</v>
      </c>
      <c r="D5474" s="13" t="s">
        <v>634</v>
      </c>
      <c r="E5474" t="s">
        <v>441</v>
      </c>
      <c r="F5474" s="11">
        <v>1</v>
      </c>
      <c r="G5474" s="11">
        <v>29411.759999999998</v>
      </c>
    </row>
    <row r="5475" spans="2:7" x14ac:dyDescent="0.2">
      <c r="B5475" s="32">
        <v>45957</v>
      </c>
      <c r="C5475" t="s">
        <v>109</v>
      </c>
      <c r="D5475" s="13"/>
      <c r="E5475" t="s">
        <v>145</v>
      </c>
      <c r="F5475" s="11">
        <v>1</v>
      </c>
      <c r="G5475" s="11">
        <v>22689.08</v>
      </c>
    </row>
    <row r="5476" spans="2:7" x14ac:dyDescent="0.2">
      <c r="B5476" s="32">
        <v>45957</v>
      </c>
      <c r="C5476" t="s">
        <v>109</v>
      </c>
      <c r="D5476" s="13"/>
      <c r="E5476" t="s">
        <v>144</v>
      </c>
      <c r="F5476" s="11">
        <v>1</v>
      </c>
      <c r="G5476" s="11">
        <v>7983.19</v>
      </c>
    </row>
    <row r="5477" spans="2:7" x14ac:dyDescent="0.2">
      <c r="B5477" s="32">
        <v>45957</v>
      </c>
      <c r="C5477" t="s">
        <v>109</v>
      </c>
      <c r="D5477" s="13" t="s">
        <v>634</v>
      </c>
      <c r="E5477" t="s">
        <v>2068</v>
      </c>
      <c r="F5477" s="11">
        <v>1</v>
      </c>
      <c r="G5477" s="11">
        <v>226890.75</v>
      </c>
    </row>
    <row r="5478" spans="2:7" x14ac:dyDescent="0.2">
      <c r="B5478" s="32">
        <v>45957</v>
      </c>
      <c r="C5478" t="s">
        <v>109</v>
      </c>
      <c r="D5478" s="13" t="s">
        <v>634</v>
      </c>
      <c r="E5478" t="s">
        <v>364</v>
      </c>
      <c r="F5478" s="11">
        <v>1</v>
      </c>
      <c r="G5478" s="11">
        <v>100840.33</v>
      </c>
    </row>
    <row r="5479" spans="2:7" x14ac:dyDescent="0.2">
      <c r="B5479" s="32">
        <v>45957</v>
      </c>
      <c r="C5479" t="s">
        <v>109</v>
      </c>
      <c r="D5479" s="13" t="s">
        <v>634</v>
      </c>
      <c r="E5479" t="s">
        <v>327</v>
      </c>
      <c r="F5479" s="11">
        <v>3</v>
      </c>
      <c r="G5479" s="11">
        <v>90000</v>
      </c>
    </row>
    <row r="5480" spans="2:7" x14ac:dyDescent="0.2">
      <c r="B5480" s="32">
        <v>45957</v>
      </c>
      <c r="C5480" t="s">
        <v>109</v>
      </c>
      <c r="D5480" s="13" t="s">
        <v>634</v>
      </c>
      <c r="E5480" t="s">
        <v>181</v>
      </c>
      <c r="F5480" s="11">
        <v>0</v>
      </c>
      <c r="G5480" s="11">
        <v>58823.53</v>
      </c>
    </row>
    <row r="5481" spans="2:7" x14ac:dyDescent="0.2">
      <c r="B5481" s="32">
        <v>45957</v>
      </c>
      <c r="C5481" t="s">
        <v>109</v>
      </c>
      <c r="D5481" s="13" t="s">
        <v>634</v>
      </c>
      <c r="E5481" t="s">
        <v>397</v>
      </c>
      <c r="F5481" s="11">
        <v>1</v>
      </c>
      <c r="G5481" s="11">
        <v>46218.49</v>
      </c>
    </row>
    <row r="5482" spans="2:7" x14ac:dyDescent="0.2">
      <c r="B5482" s="32">
        <v>45957</v>
      </c>
      <c r="C5482" t="s">
        <v>109</v>
      </c>
      <c r="D5482" s="13" t="s">
        <v>634</v>
      </c>
      <c r="E5482" t="s">
        <v>172</v>
      </c>
      <c r="F5482" s="11">
        <v>1</v>
      </c>
      <c r="G5482" s="11">
        <v>46218.49</v>
      </c>
    </row>
    <row r="5483" spans="2:7" x14ac:dyDescent="0.2">
      <c r="B5483" s="32">
        <v>45957</v>
      </c>
      <c r="C5483" t="s">
        <v>109</v>
      </c>
      <c r="D5483" s="13" t="s">
        <v>634</v>
      </c>
      <c r="E5483" t="s">
        <v>555</v>
      </c>
      <c r="F5483" s="11">
        <v>1</v>
      </c>
      <c r="G5483" s="11">
        <v>46218.49</v>
      </c>
    </row>
    <row r="5484" spans="2:7" x14ac:dyDescent="0.2">
      <c r="B5484" s="32">
        <v>45957</v>
      </c>
      <c r="C5484" t="s">
        <v>109</v>
      </c>
      <c r="D5484" s="13" t="s">
        <v>634</v>
      </c>
      <c r="E5484" t="s">
        <v>328</v>
      </c>
      <c r="F5484" s="11">
        <v>1</v>
      </c>
      <c r="G5484" s="11">
        <v>37815.120000000003</v>
      </c>
    </row>
    <row r="5485" spans="2:7" x14ac:dyDescent="0.2">
      <c r="B5485" s="32">
        <v>45957</v>
      </c>
      <c r="C5485" t="s">
        <v>109</v>
      </c>
      <c r="D5485" s="13" t="s">
        <v>634</v>
      </c>
      <c r="E5485" t="s">
        <v>1846</v>
      </c>
      <c r="F5485" s="11">
        <v>1</v>
      </c>
      <c r="G5485" s="11">
        <v>21008.400000000001</v>
      </c>
    </row>
    <row r="5486" spans="2:7" x14ac:dyDescent="0.2">
      <c r="B5486" s="32">
        <v>45957</v>
      </c>
      <c r="C5486" t="s">
        <v>109</v>
      </c>
      <c r="D5486" s="13" t="s">
        <v>634</v>
      </c>
      <c r="E5486" t="s">
        <v>1727</v>
      </c>
      <c r="F5486" s="11">
        <v>1</v>
      </c>
      <c r="G5486" s="11">
        <v>0</v>
      </c>
    </row>
    <row r="5487" spans="2:7" x14ac:dyDescent="0.2">
      <c r="B5487" s="32">
        <v>45957</v>
      </c>
      <c r="C5487" t="s">
        <v>109</v>
      </c>
      <c r="D5487" s="13" t="s">
        <v>634</v>
      </c>
      <c r="E5487" t="s">
        <v>705</v>
      </c>
      <c r="F5487" s="11">
        <v>1</v>
      </c>
      <c r="G5487" s="11">
        <v>0</v>
      </c>
    </row>
    <row r="5488" spans="2:7" x14ac:dyDescent="0.2">
      <c r="B5488" s="32">
        <v>45957</v>
      </c>
      <c r="C5488" t="s">
        <v>109</v>
      </c>
      <c r="D5488" s="13" t="s">
        <v>634</v>
      </c>
      <c r="F5488" s="11">
        <v>0</v>
      </c>
      <c r="G5488" s="11">
        <v>0</v>
      </c>
    </row>
    <row r="5489" spans="2:7" x14ac:dyDescent="0.2">
      <c r="B5489" s="32">
        <v>45957</v>
      </c>
      <c r="C5489" t="s">
        <v>109</v>
      </c>
      <c r="D5489" s="13" t="s">
        <v>633</v>
      </c>
      <c r="E5489" t="s">
        <v>166</v>
      </c>
      <c r="F5489" s="11">
        <v>1</v>
      </c>
      <c r="G5489" s="11">
        <v>42016.81</v>
      </c>
    </row>
    <row r="5490" spans="2:7" x14ac:dyDescent="0.2">
      <c r="B5490" s="32">
        <v>45957</v>
      </c>
      <c r="C5490" t="s">
        <v>109</v>
      </c>
      <c r="D5490" s="13" t="s">
        <v>633</v>
      </c>
      <c r="E5490" t="s">
        <v>196</v>
      </c>
      <c r="F5490" s="11">
        <v>1</v>
      </c>
      <c r="G5490" s="11">
        <v>42016.81</v>
      </c>
    </row>
    <row r="5491" spans="2:7" x14ac:dyDescent="0.2">
      <c r="B5491" s="32">
        <v>45957</v>
      </c>
      <c r="C5491" t="s">
        <v>109</v>
      </c>
      <c r="D5491" s="13" t="s">
        <v>633</v>
      </c>
      <c r="E5491" t="s">
        <v>156</v>
      </c>
      <c r="F5491" s="11">
        <v>1</v>
      </c>
      <c r="G5491" s="11">
        <v>42016.81</v>
      </c>
    </row>
    <row r="5492" spans="2:7" x14ac:dyDescent="0.2">
      <c r="B5492" s="32">
        <v>45957</v>
      </c>
      <c r="C5492" t="s">
        <v>109</v>
      </c>
      <c r="D5492" s="13" t="s">
        <v>633</v>
      </c>
      <c r="E5492" t="s">
        <v>203</v>
      </c>
      <c r="F5492" s="11">
        <v>1</v>
      </c>
      <c r="G5492" s="11">
        <v>42016.800000000003</v>
      </c>
    </row>
    <row r="5493" spans="2:7" x14ac:dyDescent="0.2">
      <c r="B5493" s="32">
        <v>45957</v>
      </c>
      <c r="C5493" t="s">
        <v>109</v>
      </c>
      <c r="D5493" s="13" t="s">
        <v>633</v>
      </c>
      <c r="E5493" t="s">
        <v>144</v>
      </c>
      <c r="F5493" s="11">
        <v>1</v>
      </c>
      <c r="G5493" s="11">
        <v>4621.8500000000004</v>
      </c>
    </row>
    <row r="5494" spans="2:7" x14ac:dyDescent="0.2">
      <c r="B5494" s="32">
        <v>45958</v>
      </c>
      <c r="C5494" t="s">
        <v>142</v>
      </c>
      <c r="D5494" s="13" t="s">
        <v>634</v>
      </c>
      <c r="E5494" t="s">
        <v>494</v>
      </c>
      <c r="F5494" s="11">
        <v>5</v>
      </c>
      <c r="G5494" s="11">
        <v>250000</v>
      </c>
    </row>
    <row r="5495" spans="2:7" x14ac:dyDescent="0.2">
      <c r="B5495" s="32">
        <v>45958</v>
      </c>
      <c r="C5495" t="s">
        <v>142</v>
      </c>
      <c r="D5495" s="13" t="s">
        <v>634</v>
      </c>
      <c r="E5495" t="s">
        <v>541</v>
      </c>
      <c r="F5495" s="11">
        <v>2</v>
      </c>
      <c r="G5495" s="11">
        <v>221428.56</v>
      </c>
    </row>
    <row r="5496" spans="2:7" x14ac:dyDescent="0.2">
      <c r="B5496" s="32">
        <v>45958</v>
      </c>
      <c r="C5496" t="s">
        <v>142</v>
      </c>
      <c r="D5496" s="13" t="s">
        <v>634</v>
      </c>
      <c r="E5496" t="s">
        <v>205</v>
      </c>
      <c r="F5496" s="11">
        <v>4</v>
      </c>
      <c r="G5496" s="11">
        <v>200000</v>
      </c>
    </row>
    <row r="5497" spans="2:7" x14ac:dyDescent="0.2">
      <c r="B5497" s="32">
        <v>45958</v>
      </c>
      <c r="C5497" t="s">
        <v>142</v>
      </c>
      <c r="D5497" s="13" t="s">
        <v>634</v>
      </c>
      <c r="E5497" t="s">
        <v>2069</v>
      </c>
      <c r="F5497" s="11">
        <v>1</v>
      </c>
      <c r="G5497" s="11">
        <v>130252.11</v>
      </c>
    </row>
    <row r="5498" spans="2:7" x14ac:dyDescent="0.2">
      <c r="B5498" s="32">
        <v>45958</v>
      </c>
      <c r="C5498" t="s">
        <v>142</v>
      </c>
      <c r="D5498" s="13" t="s">
        <v>634</v>
      </c>
      <c r="E5498" t="s">
        <v>365</v>
      </c>
      <c r="F5498" s="11">
        <v>1</v>
      </c>
      <c r="G5498" s="11">
        <v>100840.34</v>
      </c>
    </row>
    <row r="5499" spans="2:7" x14ac:dyDescent="0.2">
      <c r="B5499" s="32">
        <v>45958</v>
      </c>
      <c r="C5499" t="s">
        <v>142</v>
      </c>
      <c r="D5499" s="13" t="s">
        <v>634</v>
      </c>
      <c r="E5499" t="s">
        <v>149</v>
      </c>
      <c r="F5499" s="11">
        <v>1</v>
      </c>
      <c r="G5499" s="11">
        <v>60714.29</v>
      </c>
    </row>
    <row r="5500" spans="2:7" x14ac:dyDescent="0.2">
      <c r="B5500" s="32">
        <v>45958</v>
      </c>
      <c r="C5500" t="s">
        <v>142</v>
      </c>
      <c r="D5500" s="13" t="s">
        <v>634</v>
      </c>
      <c r="E5500" t="s">
        <v>147</v>
      </c>
      <c r="F5500" s="11">
        <v>1</v>
      </c>
      <c r="G5500" s="11">
        <v>60714.29</v>
      </c>
    </row>
    <row r="5501" spans="2:7" x14ac:dyDescent="0.2">
      <c r="B5501" s="32">
        <v>45958</v>
      </c>
      <c r="C5501" t="s">
        <v>142</v>
      </c>
      <c r="D5501" s="13" t="s">
        <v>634</v>
      </c>
      <c r="E5501" t="s">
        <v>165</v>
      </c>
      <c r="F5501" s="11">
        <v>1</v>
      </c>
      <c r="G5501" s="11">
        <v>58823.53</v>
      </c>
    </row>
    <row r="5502" spans="2:7" x14ac:dyDescent="0.2">
      <c r="B5502" s="32">
        <v>45958</v>
      </c>
      <c r="C5502" t="s">
        <v>142</v>
      </c>
      <c r="D5502" s="13" t="s">
        <v>634</v>
      </c>
      <c r="E5502" t="s">
        <v>576</v>
      </c>
      <c r="F5502" s="11">
        <v>1</v>
      </c>
      <c r="G5502" s="11">
        <v>58823.53</v>
      </c>
    </row>
    <row r="5503" spans="2:7" x14ac:dyDescent="0.2">
      <c r="B5503" s="32">
        <v>45958</v>
      </c>
      <c r="C5503" t="s">
        <v>142</v>
      </c>
      <c r="D5503" s="13" t="s">
        <v>634</v>
      </c>
      <c r="E5503" t="s">
        <v>793</v>
      </c>
      <c r="F5503" s="11">
        <v>1</v>
      </c>
      <c r="G5503" s="11">
        <v>46218.49</v>
      </c>
    </row>
    <row r="5504" spans="2:7" x14ac:dyDescent="0.2">
      <c r="B5504" s="32">
        <v>45958</v>
      </c>
      <c r="C5504" t="s">
        <v>142</v>
      </c>
      <c r="D5504" s="13" t="s">
        <v>634</v>
      </c>
      <c r="E5504" t="s">
        <v>441</v>
      </c>
      <c r="F5504" s="11">
        <v>1</v>
      </c>
      <c r="G5504" s="11">
        <v>29411.759999999998</v>
      </c>
    </row>
    <row r="5505" spans="2:7" x14ac:dyDescent="0.2">
      <c r="B5505" s="32">
        <v>45958</v>
      </c>
      <c r="C5505" t="s">
        <v>142</v>
      </c>
      <c r="D5505" s="13" t="s">
        <v>634</v>
      </c>
      <c r="E5505" t="s">
        <v>1796</v>
      </c>
      <c r="F5505" s="11">
        <v>1</v>
      </c>
      <c r="G5505" s="11">
        <v>21008.400000000001</v>
      </c>
    </row>
    <row r="5506" spans="2:7" x14ac:dyDescent="0.2">
      <c r="B5506" s="32">
        <v>45958</v>
      </c>
      <c r="C5506" t="s">
        <v>142</v>
      </c>
      <c r="D5506" s="13" t="s">
        <v>633</v>
      </c>
      <c r="E5506" t="s">
        <v>2070</v>
      </c>
      <c r="F5506" s="11">
        <v>4</v>
      </c>
      <c r="G5506" s="11">
        <v>184873.95</v>
      </c>
    </row>
    <row r="5507" spans="2:7" x14ac:dyDescent="0.2">
      <c r="B5507" s="32">
        <v>45958</v>
      </c>
      <c r="C5507" t="s">
        <v>142</v>
      </c>
      <c r="D5507" s="13" t="s">
        <v>633</v>
      </c>
      <c r="E5507" t="s">
        <v>363</v>
      </c>
      <c r="F5507" s="11">
        <v>2</v>
      </c>
      <c r="G5507" s="11">
        <v>159663.87</v>
      </c>
    </row>
    <row r="5508" spans="2:7" x14ac:dyDescent="0.2">
      <c r="B5508" s="32">
        <v>45958</v>
      </c>
      <c r="C5508" t="s">
        <v>142</v>
      </c>
      <c r="D5508" s="13" t="s">
        <v>633</v>
      </c>
      <c r="E5508" t="s">
        <v>770</v>
      </c>
      <c r="F5508" s="11">
        <v>2</v>
      </c>
      <c r="G5508" s="11">
        <v>117647.06</v>
      </c>
    </row>
    <row r="5509" spans="2:7" x14ac:dyDescent="0.2">
      <c r="B5509" s="32">
        <v>45958</v>
      </c>
      <c r="C5509" t="s">
        <v>142</v>
      </c>
      <c r="D5509" s="13" t="s">
        <v>633</v>
      </c>
      <c r="E5509" t="s">
        <v>2071</v>
      </c>
      <c r="F5509" s="11">
        <v>1</v>
      </c>
      <c r="G5509" s="11">
        <v>46218.49</v>
      </c>
    </row>
    <row r="5510" spans="2:7" x14ac:dyDescent="0.2">
      <c r="B5510" s="32">
        <v>45958</v>
      </c>
      <c r="C5510" t="s">
        <v>142</v>
      </c>
      <c r="D5510" s="13" t="s">
        <v>633</v>
      </c>
      <c r="E5510" t="s">
        <v>1919</v>
      </c>
      <c r="F5510" s="11">
        <v>1</v>
      </c>
      <c r="G5510" s="11">
        <v>46218.49</v>
      </c>
    </row>
    <row r="5511" spans="2:7" x14ac:dyDescent="0.2">
      <c r="B5511" s="32">
        <v>45958</v>
      </c>
      <c r="C5511" t="s">
        <v>142</v>
      </c>
      <c r="D5511" s="13" t="s">
        <v>633</v>
      </c>
      <c r="E5511" t="s">
        <v>836</v>
      </c>
      <c r="F5511" s="11">
        <v>1</v>
      </c>
      <c r="G5511" s="11">
        <v>46218.48</v>
      </c>
    </row>
    <row r="5512" spans="2:7" x14ac:dyDescent="0.2">
      <c r="B5512" s="32">
        <v>45958</v>
      </c>
      <c r="C5512" t="s">
        <v>110</v>
      </c>
      <c r="D5512" s="13" t="s">
        <v>633</v>
      </c>
      <c r="E5512" t="s">
        <v>382</v>
      </c>
      <c r="F5512" s="11">
        <v>1</v>
      </c>
      <c r="G5512" s="11">
        <v>37815.129999999997</v>
      </c>
    </row>
    <row r="5513" spans="2:7" x14ac:dyDescent="0.2">
      <c r="B5513" s="32">
        <v>45958</v>
      </c>
      <c r="C5513" t="s">
        <v>110</v>
      </c>
      <c r="D5513" s="13" t="s">
        <v>633</v>
      </c>
      <c r="E5513" t="s">
        <v>456</v>
      </c>
      <c r="F5513" s="11">
        <v>1</v>
      </c>
      <c r="G5513" s="11">
        <v>16806.72</v>
      </c>
    </row>
    <row r="5514" spans="2:7" x14ac:dyDescent="0.2">
      <c r="B5514" s="32">
        <v>45958</v>
      </c>
      <c r="C5514" t="s">
        <v>109</v>
      </c>
      <c r="D5514" s="13" t="s">
        <v>634</v>
      </c>
      <c r="E5514" t="s">
        <v>738</v>
      </c>
      <c r="F5514" s="11">
        <v>2</v>
      </c>
      <c r="G5514" s="11">
        <v>239795.44</v>
      </c>
    </row>
    <row r="5515" spans="2:7" x14ac:dyDescent="0.2">
      <c r="B5515" s="32">
        <v>45958</v>
      </c>
      <c r="C5515" t="s">
        <v>109</v>
      </c>
      <c r="D5515" s="13" t="s">
        <v>634</v>
      </c>
      <c r="E5515" t="s">
        <v>1832</v>
      </c>
      <c r="F5515" s="11">
        <v>7</v>
      </c>
      <c r="G5515" s="11">
        <v>212618.63</v>
      </c>
    </row>
    <row r="5516" spans="2:7" x14ac:dyDescent="0.2">
      <c r="B5516" s="32">
        <v>45958</v>
      </c>
      <c r="C5516" t="s">
        <v>109</v>
      </c>
      <c r="D5516" s="13" t="s">
        <v>634</v>
      </c>
      <c r="E5516" t="s">
        <v>212</v>
      </c>
      <c r="F5516" s="11">
        <v>2</v>
      </c>
      <c r="G5516" s="11">
        <v>109243.7</v>
      </c>
    </row>
    <row r="5517" spans="2:7" x14ac:dyDescent="0.2">
      <c r="B5517" s="32">
        <v>45958</v>
      </c>
      <c r="C5517" t="s">
        <v>109</v>
      </c>
      <c r="D5517" s="13" t="s">
        <v>634</v>
      </c>
      <c r="E5517" t="s">
        <v>348</v>
      </c>
      <c r="F5517" s="11">
        <v>2</v>
      </c>
      <c r="G5517" s="11">
        <v>109243.7</v>
      </c>
    </row>
    <row r="5518" spans="2:7" x14ac:dyDescent="0.2">
      <c r="B5518" s="32">
        <v>45958</v>
      </c>
      <c r="C5518" t="s">
        <v>109</v>
      </c>
      <c r="D5518" s="13" t="s">
        <v>634</v>
      </c>
      <c r="E5518" t="s">
        <v>1947</v>
      </c>
      <c r="F5518" s="11">
        <v>2</v>
      </c>
      <c r="G5518" s="11">
        <v>109243.69</v>
      </c>
    </row>
    <row r="5519" spans="2:7" x14ac:dyDescent="0.2">
      <c r="B5519" s="32">
        <v>45958</v>
      </c>
      <c r="C5519" t="s">
        <v>109</v>
      </c>
      <c r="D5519" s="13" t="s">
        <v>634</v>
      </c>
      <c r="E5519" t="s">
        <v>266</v>
      </c>
      <c r="F5519" s="11">
        <v>1</v>
      </c>
      <c r="G5519" s="11">
        <v>75630.25</v>
      </c>
    </row>
    <row r="5520" spans="2:7" x14ac:dyDescent="0.2">
      <c r="B5520" s="32">
        <v>45958</v>
      </c>
      <c r="C5520" t="s">
        <v>109</v>
      </c>
      <c r="D5520" s="13" t="s">
        <v>634</v>
      </c>
      <c r="E5520" t="s">
        <v>174</v>
      </c>
      <c r="F5520" s="11">
        <v>1</v>
      </c>
      <c r="G5520" s="11">
        <v>75630.25</v>
      </c>
    </row>
    <row r="5521" spans="2:7" x14ac:dyDescent="0.2">
      <c r="B5521" s="32">
        <v>45958</v>
      </c>
      <c r="C5521" t="s">
        <v>109</v>
      </c>
      <c r="D5521" s="13" t="s">
        <v>634</v>
      </c>
      <c r="E5521" t="s">
        <v>1988</v>
      </c>
      <c r="F5521" s="11">
        <v>1</v>
      </c>
      <c r="G5521" s="11">
        <v>71428.570000000007</v>
      </c>
    </row>
    <row r="5522" spans="2:7" x14ac:dyDescent="0.2">
      <c r="B5522" s="32">
        <v>45958</v>
      </c>
      <c r="C5522" t="s">
        <v>109</v>
      </c>
      <c r="D5522" s="13" t="s">
        <v>634</v>
      </c>
      <c r="E5522" t="s">
        <v>1983</v>
      </c>
      <c r="F5522" s="11">
        <v>10</v>
      </c>
      <c r="G5522" s="11">
        <v>51955.68</v>
      </c>
    </row>
    <row r="5523" spans="2:7" x14ac:dyDescent="0.2">
      <c r="B5523" s="32">
        <v>45958</v>
      </c>
      <c r="C5523" t="s">
        <v>109</v>
      </c>
      <c r="D5523" s="13" t="s">
        <v>634</v>
      </c>
      <c r="E5523" t="s">
        <v>2072</v>
      </c>
      <c r="F5523" s="11">
        <v>1</v>
      </c>
      <c r="G5523" s="11">
        <v>50420.17</v>
      </c>
    </row>
    <row r="5524" spans="2:7" x14ac:dyDescent="0.2">
      <c r="B5524" s="32">
        <v>45958</v>
      </c>
      <c r="C5524" t="s">
        <v>109</v>
      </c>
      <c r="D5524" s="13" t="s">
        <v>634</v>
      </c>
      <c r="E5524" t="s">
        <v>522</v>
      </c>
      <c r="F5524" s="11">
        <v>1</v>
      </c>
      <c r="G5524" s="11">
        <v>35000</v>
      </c>
    </row>
    <row r="5525" spans="2:7" x14ac:dyDescent="0.2">
      <c r="B5525" s="32">
        <v>45958</v>
      </c>
      <c r="C5525" t="s">
        <v>109</v>
      </c>
      <c r="D5525" s="13" t="s">
        <v>634</v>
      </c>
      <c r="E5525" t="s">
        <v>144</v>
      </c>
      <c r="F5525" s="11">
        <v>3</v>
      </c>
      <c r="G5525" s="11">
        <v>23109.25</v>
      </c>
    </row>
    <row r="5526" spans="2:7" x14ac:dyDescent="0.2">
      <c r="B5526" s="32">
        <v>45958</v>
      </c>
      <c r="C5526" t="s">
        <v>109</v>
      </c>
      <c r="D5526" s="13" t="s">
        <v>634</v>
      </c>
      <c r="E5526" t="s">
        <v>145</v>
      </c>
      <c r="F5526" s="11">
        <v>1</v>
      </c>
      <c r="G5526" s="11">
        <v>22689.08</v>
      </c>
    </row>
    <row r="5527" spans="2:7" x14ac:dyDescent="0.2">
      <c r="B5527" s="32">
        <v>45958</v>
      </c>
      <c r="C5527" t="s">
        <v>109</v>
      </c>
      <c r="D5527" s="13" t="s">
        <v>634</v>
      </c>
      <c r="F5527" s="11">
        <v>0</v>
      </c>
      <c r="G5527" s="11">
        <v>0</v>
      </c>
    </row>
    <row r="5528" spans="2:7" x14ac:dyDescent="0.2">
      <c r="B5528" s="32">
        <v>45958</v>
      </c>
      <c r="C5528" t="s">
        <v>109</v>
      </c>
      <c r="D5528" s="13" t="s">
        <v>633</v>
      </c>
      <c r="E5528" t="s">
        <v>144</v>
      </c>
      <c r="F5528" s="11">
        <v>3</v>
      </c>
      <c r="G5528" s="11">
        <v>184873.95</v>
      </c>
    </row>
    <row r="5529" spans="2:7" x14ac:dyDescent="0.2">
      <c r="B5529" s="32">
        <v>45958</v>
      </c>
      <c r="C5529" t="s">
        <v>109</v>
      </c>
      <c r="D5529" s="13" t="s">
        <v>633</v>
      </c>
      <c r="E5529" t="s">
        <v>301</v>
      </c>
      <c r="F5529" s="11">
        <v>1</v>
      </c>
      <c r="G5529" s="11">
        <v>169000</v>
      </c>
    </row>
    <row r="5530" spans="2:7" x14ac:dyDescent="0.2">
      <c r="B5530" s="32">
        <v>45958</v>
      </c>
      <c r="C5530" t="s">
        <v>109</v>
      </c>
      <c r="D5530" s="13" t="s">
        <v>633</v>
      </c>
      <c r="E5530" t="s">
        <v>200</v>
      </c>
      <c r="F5530" s="11">
        <v>1</v>
      </c>
      <c r="G5530" s="11">
        <v>142857.15</v>
      </c>
    </row>
    <row r="5531" spans="2:7" x14ac:dyDescent="0.2">
      <c r="B5531" s="32">
        <v>45958</v>
      </c>
      <c r="C5531" t="s">
        <v>109</v>
      </c>
      <c r="D5531" s="13" t="s">
        <v>633</v>
      </c>
      <c r="E5531" t="s">
        <v>2039</v>
      </c>
      <c r="F5531" s="11">
        <v>1</v>
      </c>
      <c r="G5531" s="11">
        <v>84033.61</v>
      </c>
    </row>
    <row r="5532" spans="2:7" x14ac:dyDescent="0.2">
      <c r="B5532" s="32">
        <v>45958</v>
      </c>
      <c r="C5532" t="s">
        <v>109</v>
      </c>
      <c r="D5532" s="13" t="s">
        <v>633</v>
      </c>
      <c r="E5532" t="s">
        <v>336</v>
      </c>
      <c r="F5532" s="11">
        <v>1</v>
      </c>
      <c r="G5532" s="11">
        <v>71428.570000000007</v>
      </c>
    </row>
    <row r="5533" spans="2:7" x14ac:dyDescent="0.2">
      <c r="B5533" s="32">
        <v>45959</v>
      </c>
      <c r="C5533" t="s">
        <v>108</v>
      </c>
      <c r="D5533" s="13"/>
      <c r="E5533" t="s">
        <v>2073</v>
      </c>
      <c r="F5533" s="11">
        <v>145</v>
      </c>
      <c r="G5533" s="11">
        <v>1754621.85</v>
      </c>
    </row>
    <row r="5534" spans="2:7" x14ac:dyDescent="0.2">
      <c r="B5534" s="32">
        <v>45959</v>
      </c>
      <c r="C5534" t="s">
        <v>108</v>
      </c>
      <c r="D5534" s="13"/>
      <c r="E5534" t="s">
        <v>1858</v>
      </c>
      <c r="F5534" s="11">
        <v>55</v>
      </c>
      <c r="G5534" s="11">
        <v>332773.11</v>
      </c>
    </row>
    <row r="5535" spans="2:7" x14ac:dyDescent="0.2">
      <c r="B5535" s="32">
        <v>45959</v>
      </c>
      <c r="C5535" t="s">
        <v>108</v>
      </c>
      <c r="D5535" s="13"/>
      <c r="F5535" s="11">
        <v>0</v>
      </c>
      <c r="G5535" s="11">
        <v>0</v>
      </c>
    </row>
    <row r="5536" spans="2:7" x14ac:dyDescent="0.2">
      <c r="B5536" s="32">
        <v>45959</v>
      </c>
      <c r="C5536" t="s">
        <v>142</v>
      </c>
      <c r="D5536" s="13" t="s">
        <v>633</v>
      </c>
      <c r="E5536" t="s">
        <v>2002</v>
      </c>
      <c r="F5536" s="11">
        <v>1</v>
      </c>
      <c r="G5536" s="11">
        <v>252100.84</v>
      </c>
    </row>
    <row r="5537" spans="2:7" x14ac:dyDescent="0.2">
      <c r="B5537" s="32">
        <v>45959</v>
      </c>
      <c r="C5537" t="s">
        <v>142</v>
      </c>
      <c r="D5537" s="13" t="s">
        <v>633</v>
      </c>
      <c r="E5537" t="s">
        <v>2004</v>
      </c>
      <c r="F5537" s="11">
        <v>1</v>
      </c>
      <c r="G5537" s="11">
        <v>252100.84</v>
      </c>
    </row>
    <row r="5538" spans="2:7" x14ac:dyDescent="0.2">
      <c r="B5538" s="32">
        <v>45959</v>
      </c>
      <c r="C5538" t="s">
        <v>142</v>
      </c>
      <c r="D5538" s="13" t="s">
        <v>633</v>
      </c>
      <c r="E5538" t="s">
        <v>744</v>
      </c>
      <c r="F5538" s="11">
        <v>1</v>
      </c>
      <c r="G5538" s="11">
        <v>109243.7</v>
      </c>
    </row>
    <row r="5539" spans="2:7" x14ac:dyDescent="0.2">
      <c r="B5539" s="32">
        <v>45959</v>
      </c>
      <c r="C5539" t="s">
        <v>142</v>
      </c>
      <c r="D5539" s="13" t="s">
        <v>633</v>
      </c>
      <c r="E5539" t="s">
        <v>229</v>
      </c>
      <c r="F5539" s="11">
        <v>2</v>
      </c>
      <c r="G5539" s="11">
        <v>84033.62</v>
      </c>
    </row>
    <row r="5540" spans="2:7" x14ac:dyDescent="0.2">
      <c r="B5540" s="32">
        <v>45959</v>
      </c>
      <c r="C5540" t="s">
        <v>142</v>
      </c>
      <c r="D5540" s="13" t="s">
        <v>633</v>
      </c>
      <c r="E5540" t="s">
        <v>2074</v>
      </c>
      <c r="F5540" s="11">
        <v>1</v>
      </c>
      <c r="G5540" s="11">
        <v>79831.929999999993</v>
      </c>
    </row>
    <row r="5541" spans="2:7" x14ac:dyDescent="0.2">
      <c r="B5541" s="32">
        <v>45959</v>
      </c>
      <c r="C5541" t="s">
        <v>142</v>
      </c>
      <c r="D5541" s="13" t="s">
        <v>633</v>
      </c>
      <c r="E5541" t="s">
        <v>233</v>
      </c>
      <c r="F5541" s="11">
        <v>1</v>
      </c>
      <c r="G5541" s="11">
        <v>58823.53</v>
      </c>
    </row>
    <row r="5542" spans="2:7" x14ac:dyDescent="0.2">
      <c r="B5542" s="32">
        <v>45959</v>
      </c>
      <c r="C5542" t="s">
        <v>142</v>
      </c>
      <c r="D5542" s="13" t="s">
        <v>633</v>
      </c>
      <c r="E5542" t="s">
        <v>371</v>
      </c>
      <c r="F5542" s="11">
        <v>1</v>
      </c>
      <c r="G5542" s="11">
        <v>58823.53</v>
      </c>
    </row>
    <row r="5543" spans="2:7" x14ac:dyDescent="0.2">
      <c r="B5543" s="32">
        <v>45959</v>
      </c>
      <c r="C5543" t="s">
        <v>142</v>
      </c>
      <c r="D5543" s="13" t="s">
        <v>633</v>
      </c>
      <c r="E5543" t="s">
        <v>218</v>
      </c>
      <c r="F5543" s="11">
        <v>1</v>
      </c>
      <c r="G5543" s="11">
        <v>29411.759999999998</v>
      </c>
    </row>
    <row r="5544" spans="2:7" x14ac:dyDescent="0.2">
      <c r="B5544" s="32">
        <v>45959</v>
      </c>
      <c r="C5544" t="s">
        <v>142</v>
      </c>
      <c r="D5544" s="13" t="s">
        <v>633</v>
      </c>
      <c r="E5544" t="s">
        <v>180</v>
      </c>
      <c r="F5544" s="11">
        <v>1</v>
      </c>
      <c r="G5544" s="11">
        <v>16806.72</v>
      </c>
    </row>
    <row r="5545" spans="2:7" x14ac:dyDescent="0.2">
      <c r="B5545" s="32">
        <v>45959</v>
      </c>
      <c r="C5545" t="s">
        <v>142</v>
      </c>
      <c r="D5545" s="13" t="s">
        <v>633</v>
      </c>
      <c r="E5545" t="s">
        <v>197</v>
      </c>
      <c r="F5545" s="11">
        <v>4</v>
      </c>
      <c r="G5545" s="11">
        <v>0</v>
      </c>
    </row>
    <row r="5546" spans="2:7" x14ac:dyDescent="0.2">
      <c r="B5546" s="32">
        <v>45959</v>
      </c>
      <c r="C5546" t="s">
        <v>142</v>
      </c>
      <c r="D5546" s="13" t="s">
        <v>633</v>
      </c>
      <c r="E5546" t="s">
        <v>454</v>
      </c>
      <c r="F5546" s="11">
        <v>2</v>
      </c>
      <c r="G5546" s="11">
        <v>0</v>
      </c>
    </row>
    <row r="5547" spans="2:7" x14ac:dyDescent="0.2">
      <c r="B5547" s="32">
        <v>45959</v>
      </c>
      <c r="C5547" t="s">
        <v>142</v>
      </c>
      <c r="D5547" s="13" t="s">
        <v>633</v>
      </c>
      <c r="E5547" t="s">
        <v>1977</v>
      </c>
      <c r="F5547" s="11">
        <v>1</v>
      </c>
      <c r="G5547" s="11">
        <v>0</v>
      </c>
    </row>
    <row r="5548" spans="2:7" x14ac:dyDescent="0.2">
      <c r="B5548" s="32">
        <v>45959</v>
      </c>
      <c r="C5548" t="s">
        <v>142</v>
      </c>
      <c r="D5548" s="13" t="s">
        <v>633</v>
      </c>
      <c r="E5548" t="s">
        <v>1918</v>
      </c>
      <c r="F5548" s="11">
        <v>1</v>
      </c>
      <c r="G5548" s="11">
        <v>0</v>
      </c>
    </row>
    <row r="5549" spans="2:7" x14ac:dyDescent="0.2">
      <c r="B5549" s="32">
        <v>45959</v>
      </c>
      <c r="C5549" t="s">
        <v>142</v>
      </c>
      <c r="D5549" s="13" t="s">
        <v>633</v>
      </c>
      <c r="F5549" s="11">
        <v>0</v>
      </c>
      <c r="G5549" s="11">
        <v>0</v>
      </c>
    </row>
    <row r="5550" spans="2:7" x14ac:dyDescent="0.2">
      <c r="B5550" s="32">
        <v>45959</v>
      </c>
      <c r="C5550" t="s">
        <v>142</v>
      </c>
      <c r="D5550" s="13" t="s">
        <v>633</v>
      </c>
      <c r="E5550" t="s">
        <v>164</v>
      </c>
      <c r="F5550" s="11">
        <v>1</v>
      </c>
      <c r="G5550" s="11">
        <v>0</v>
      </c>
    </row>
    <row r="5551" spans="2:7" x14ac:dyDescent="0.2">
      <c r="B5551" s="32">
        <v>45959</v>
      </c>
      <c r="C5551" t="s">
        <v>142</v>
      </c>
      <c r="D5551" s="13" t="s">
        <v>633</v>
      </c>
      <c r="E5551" t="s">
        <v>144</v>
      </c>
      <c r="F5551" s="11">
        <v>1</v>
      </c>
      <c r="G5551" s="11">
        <v>0</v>
      </c>
    </row>
    <row r="5552" spans="2:7" x14ac:dyDescent="0.2">
      <c r="B5552" s="32">
        <v>45959</v>
      </c>
      <c r="C5552" t="s">
        <v>110</v>
      </c>
      <c r="D5552" s="13" t="s">
        <v>634</v>
      </c>
      <c r="E5552" t="s">
        <v>195</v>
      </c>
      <c r="F5552" s="11">
        <v>1</v>
      </c>
      <c r="G5552" s="11">
        <v>46218.49</v>
      </c>
    </row>
    <row r="5553" spans="2:7" x14ac:dyDescent="0.2">
      <c r="B5553" s="32">
        <v>45959</v>
      </c>
      <c r="C5553" t="s">
        <v>110</v>
      </c>
      <c r="D5553" s="13" t="s">
        <v>634</v>
      </c>
      <c r="E5553" t="s">
        <v>1834</v>
      </c>
      <c r="F5553" s="11">
        <v>1</v>
      </c>
      <c r="G5553" s="11">
        <v>42016.81</v>
      </c>
    </row>
    <row r="5554" spans="2:7" x14ac:dyDescent="0.2">
      <c r="B5554" s="32">
        <v>45959</v>
      </c>
      <c r="C5554" t="s">
        <v>110</v>
      </c>
      <c r="D5554" s="13" t="s">
        <v>634</v>
      </c>
      <c r="E5554" t="s">
        <v>246</v>
      </c>
      <c r="F5554" s="11">
        <v>1</v>
      </c>
      <c r="G5554" s="11">
        <v>42016.800000000003</v>
      </c>
    </row>
    <row r="5555" spans="2:7" x14ac:dyDescent="0.2">
      <c r="B5555" s="32">
        <v>45959</v>
      </c>
      <c r="C5555" t="s">
        <v>109</v>
      </c>
      <c r="D5555" s="13"/>
      <c r="E5555" t="s">
        <v>670</v>
      </c>
      <c r="F5555" s="11">
        <v>1</v>
      </c>
      <c r="G5555" s="11">
        <v>0</v>
      </c>
    </row>
    <row r="5556" spans="2:7" x14ac:dyDescent="0.2">
      <c r="B5556" s="32">
        <v>45959</v>
      </c>
      <c r="C5556" t="s">
        <v>109</v>
      </c>
      <c r="D5556" s="13" t="s">
        <v>634</v>
      </c>
      <c r="E5556" t="s">
        <v>2040</v>
      </c>
      <c r="F5556" s="11">
        <v>1</v>
      </c>
      <c r="G5556" s="11">
        <v>84033.61</v>
      </c>
    </row>
    <row r="5557" spans="2:7" x14ac:dyDescent="0.2">
      <c r="B5557" s="32">
        <v>45959</v>
      </c>
      <c r="C5557" t="s">
        <v>109</v>
      </c>
      <c r="D5557" s="13" t="s">
        <v>634</v>
      </c>
      <c r="E5557" t="s">
        <v>1945</v>
      </c>
      <c r="F5557" s="11">
        <v>1</v>
      </c>
      <c r="G5557" s="11">
        <v>67226.89</v>
      </c>
    </row>
    <row r="5558" spans="2:7" x14ac:dyDescent="0.2">
      <c r="B5558" s="32">
        <v>45959</v>
      </c>
      <c r="C5558" t="s">
        <v>109</v>
      </c>
      <c r="D5558" s="13" t="s">
        <v>634</v>
      </c>
      <c r="E5558" t="s">
        <v>218</v>
      </c>
      <c r="F5558" s="11">
        <v>1</v>
      </c>
      <c r="G5558" s="11">
        <v>42016.81</v>
      </c>
    </row>
    <row r="5559" spans="2:7" x14ac:dyDescent="0.2">
      <c r="B5559" s="32">
        <v>45959</v>
      </c>
      <c r="C5559" t="s">
        <v>109</v>
      </c>
      <c r="D5559" s="13" t="s">
        <v>634</v>
      </c>
      <c r="E5559" t="s">
        <v>145</v>
      </c>
      <c r="F5559" s="11">
        <v>1</v>
      </c>
      <c r="G5559" s="11">
        <v>22689.08</v>
      </c>
    </row>
    <row r="5560" spans="2:7" x14ac:dyDescent="0.2">
      <c r="B5560" s="32">
        <v>45959</v>
      </c>
      <c r="C5560" t="s">
        <v>109</v>
      </c>
      <c r="D5560" s="13" t="s">
        <v>634</v>
      </c>
      <c r="E5560" t="s">
        <v>209</v>
      </c>
      <c r="F5560" s="11">
        <v>1</v>
      </c>
      <c r="G5560" s="11">
        <v>16806.72</v>
      </c>
    </row>
    <row r="5561" spans="2:7" x14ac:dyDescent="0.2">
      <c r="B5561" s="32">
        <v>45959</v>
      </c>
      <c r="C5561" t="s">
        <v>109</v>
      </c>
      <c r="D5561" s="13" t="s">
        <v>633</v>
      </c>
      <c r="E5561" t="s">
        <v>409</v>
      </c>
      <c r="F5561" s="11">
        <v>6</v>
      </c>
      <c r="G5561" s="11">
        <v>327731.09000000003</v>
      </c>
    </row>
    <row r="5562" spans="2:7" x14ac:dyDescent="0.2">
      <c r="B5562" s="32">
        <v>45959</v>
      </c>
      <c r="C5562" t="s">
        <v>109</v>
      </c>
      <c r="D5562" s="13" t="s">
        <v>633</v>
      </c>
      <c r="E5562" t="s">
        <v>554</v>
      </c>
      <c r="F5562" s="11">
        <v>1</v>
      </c>
      <c r="G5562" s="11">
        <v>285714.28999999998</v>
      </c>
    </row>
    <row r="5563" spans="2:7" x14ac:dyDescent="0.2">
      <c r="B5563" s="32">
        <v>45959</v>
      </c>
      <c r="C5563" t="s">
        <v>109</v>
      </c>
      <c r="D5563" s="13" t="s">
        <v>633</v>
      </c>
      <c r="E5563" t="s">
        <v>197</v>
      </c>
      <c r="F5563" s="11">
        <v>5</v>
      </c>
      <c r="G5563" s="11">
        <v>259453.78</v>
      </c>
    </row>
    <row r="5564" spans="2:7" x14ac:dyDescent="0.2">
      <c r="B5564" s="32">
        <v>45959</v>
      </c>
      <c r="C5564" t="s">
        <v>109</v>
      </c>
      <c r="D5564" s="13" t="s">
        <v>633</v>
      </c>
      <c r="E5564" t="s">
        <v>196</v>
      </c>
      <c r="F5564" s="11">
        <v>4</v>
      </c>
      <c r="G5564" s="11">
        <v>168067.23</v>
      </c>
    </row>
    <row r="5565" spans="2:7" x14ac:dyDescent="0.2">
      <c r="B5565" s="32">
        <v>45959</v>
      </c>
      <c r="C5565" t="s">
        <v>109</v>
      </c>
      <c r="D5565" s="13" t="s">
        <v>633</v>
      </c>
      <c r="E5565" t="s">
        <v>454</v>
      </c>
      <c r="F5565" s="11">
        <v>3</v>
      </c>
      <c r="G5565" s="11">
        <v>167647.06</v>
      </c>
    </row>
    <row r="5566" spans="2:7" x14ac:dyDescent="0.2">
      <c r="B5566" s="32">
        <v>45959</v>
      </c>
      <c r="C5566" t="s">
        <v>109</v>
      </c>
      <c r="D5566" s="13" t="s">
        <v>633</v>
      </c>
      <c r="E5566" t="s">
        <v>2050</v>
      </c>
      <c r="F5566" s="11">
        <v>1</v>
      </c>
      <c r="G5566" s="11">
        <v>159000</v>
      </c>
    </row>
    <row r="5567" spans="2:7" x14ac:dyDescent="0.2">
      <c r="B5567" s="32">
        <v>45959</v>
      </c>
      <c r="C5567" t="s">
        <v>109</v>
      </c>
      <c r="D5567" s="13" t="s">
        <v>633</v>
      </c>
      <c r="E5567" t="s">
        <v>164</v>
      </c>
      <c r="F5567" s="11">
        <v>2</v>
      </c>
      <c r="G5567" s="11">
        <v>142857.14000000001</v>
      </c>
    </row>
    <row r="5568" spans="2:7" x14ac:dyDescent="0.2">
      <c r="B5568" s="32">
        <v>45959</v>
      </c>
      <c r="C5568" t="s">
        <v>109</v>
      </c>
      <c r="D5568" s="13" t="s">
        <v>633</v>
      </c>
      <c r="E5568" t="s">
        <v>268</v>
      </c>
      <c r="F5568" s="11">
        <v>1</v>
      </c>
      <c r="G5568" s="11">
        <v>130252.1</v>
      </c>
    </row>
    <row r="5569" spans="2:7" x14ac:dyDescent="0.2">
      <c r="B5569" s="32">
        <v>45959</v>
      </c>
      <c r="C5569" t="s">
        <v>109</v>
      </c>
      <c r="D5569" s="13" t="s">
        <v>633</v>
      </c>
      <c r="E5569" t="s">
        <v>698</v>
      </c>
      <c r="F5569" s="11">
        <v>1</v>
      </c>
      <c r="G5569" s="11">
        <v>75630.25</v>
      </c>
    </row>
    <row r="5570" spans="2:7" x14ac:dyDescent="0.2">
      <c r="B5570" s="32">
        <v>45959</v>
      </c>
      <c r="C5570" t="s">
        <v>109</v>
      </c>
      <c r="D5570" s="13" t="s">
        <v>633</v>
      </c>
      <c r="E5570" t="s">
        <v>234</v>
      </c>
      <c r="F5570" s="11">
        <v>2</v>
      </c>
      <c r="G5570" s="11">
        <v>75630.240000000005</v>
      </c>
    </row>
    <row r="5571" spans="2:7" x14ac:dyDescent="0.2">
      <c r="B5571" s="32">
        <v>45959</v>
      </c>
      <c r="C5571" t="s">
        <v>109</v>
      </c>
      <c r="D5571" s="13" t="s">
        <v>633</v>
      </c>
      <c r="E5571" t="s">
        <v>144</v>
      </c>
      <c r="F5571" s="11">
        <v>3</v>
      </c>
      <c r="G5571" s="11">
        <v>55462.18</v>
      </c>
    </row>
    <row r="5572" spans="2:7" x14ac:dyDescent="0.2">
      <c r="B5572" s="32">
        <v>45959</v>
      </c>
      <c r="C5572" t="s">
        <v>109</v>
      </c>
      <c r="D5572" s="13" t="s">
        <v>633</v>
      </c>
      <c r="E5572" t="s">
        <v>348</v>
      </c>
      <c r="F5572" s="11">
        <v>1</v>
      </c>
      <c r="G5572" s="11">
        <v>54621.85</v>
      </c>
    </row>
    <row r="5573" spans="2:7" x14ac:dyDescent="0.2">
      <c r="B5573" s="32">
        <v>45959</v>
      </c>
      <c r="C5573" t="s">
        <v>109</v>
      </c>
      <c r="D5573" s="13" t="s">
        <v>633</v>
      </c>
      <c r="E5573" t="s">
        <v>495</v>
      </c>
      <c r="F5573" s="11">
        <v>1</v>
      </c>
      <c r="G5573" s="11">
        <v>54621.85</v>
      </c>
    </row>
    <row r="5574" spans="2:7" x14ac:dyDescent="0.2">
      <c r="B5574" s="32">
        <v>45959</v>
      </c>
      <c r="C5574" t="s">
        <v>109</v>
      </c>
      <c r="D5574" s="13" t="s">
        <v>633</v>
      </c>
      <c r="E5574" t="s">
        <v>212</v>
      </c>
      <c r="F5574" s="11">
        <v>1</v>
      </c>
      <c r="G5574" s="11">
        <v>54621.85</v>
      </c>
    </row>
    <row r="5575" spans="2:7" x14ac:dyDescent="0.2">
      <c r="B5575" s="32">
        <v>45959</v>
      </c>
      <c r="C5575" t="s">
        <v>109</v>
      </c>
      <c r="D5575" s="13" t="s">
        <v>633</v>
      </c>
      <c r="E5575" t="s">
        <v>427</v>
      </c>
      <c r="F5575" s="11">
        <v>1</v>
      </c>
      <c r="G5575" s="11">
        <v>54621.85</v>
      </c>
    </row>
    <row r="5576" spans="2:7" x14ac:dyDescent="0.2">
      <c r="B5576" s="32">
        <v>45959</v>
      </c>
      <c r="C5576" t="s">
        <v>109</v>
      </c>
      <c r="D5576" s="13" t="s">
        <v>633</v>
      </c>
      <c r="E5576" t="s">
        <v>616</v>
      </c>
      <c r="F5576" s="11">
        <v>1</v>
      </c>
      <c r="G5576" s="11">
        <v>54621.85</v>
      </c>
    </row>
    <row r="5577" spans="2:7" x14ac:dyDescent="0.2">
      <c r="B5577" s="32">
        <v>45959</v>
      </c>
      <c r="C5577" t="s">
        <v>109</v>
      </c>
      <c r="D5577" s="13" t="s">
        <v>633</v>
      </c>
      <c r="E5577" t="s">
        <v>1947</v>
      </c>
      <c r="F5577" s="11">
        <v>1</v>
      </c>
      <c r="G5577" s="11">
        <v>54621.84</v>
      </c>
    </row>
    <row r="5578" spans="2:7" x14ac:dyDescent="0.2">
      <c r="B5578" s="32">
        <v>45959</v>
      </c>
      <c r="C5578" t="s">
        <v>109</v>
      </c>
      <c r="D5578" s="13" t="s">
        <v>633</v>
      </c>
      <c r="E5578" t="s">
        <v>491</v>
      </c>
      <c r="F5578" s="11">
        <v>1</v>
      </c>
      <c r="G5578" s="11">
        <v>50420.17</v>
      </c>
    </row>
    <row r="5579" spans="2:7" x14ac:dyDescent="0.2">
      <c r="B5579" s="32">
        <v>45959</v>
      </c>
      <c r="C5579" t="s">
        <v>109</v>
      </c>
      <c r="D5579" s="13" t="s">
        <v>633</v>
      </c>
      <c r="E5579" t="s">
        <v>337</v>
      </c>
      <c r="F5579" s="11">
        <v>1</v>
      </c>
      <c r="G5579" s="11">
        <v>46218.49</v>
      </c>
    </row>
    <row r="5580" spans="2:7" x14ac:dyDescent="0.2">
      <c r="B5580" s="32">
        <v>45959</v>
      </c>
      <c r="C5580" t="s">
        <v>109</v>
      </c>
      <c r="D5580" s="13" t="s">
        <v>633</v>
      </c>
      <c r="E5580" t="s">
        <v>158</v>
      </c>
      <c r="F5580" s="11">
        <v>1</v>
      </c>
      <c r="G5580" s="11">
        <v>46218.49</v>
      </c>
    </row>
    <row r="5581" spans="2:7" x14ac:dyDescent="0.2">
      <c r="B5581" s="32">
        <v>45959</v>
      </c>
      <c r="C5581" t="s">
        <v>109</v>
      </c>
      <c r="D5581" s="13" t="s">
        <v>633</v>
      </c>
      <c r="E5581" t="s">
        <v>704</v>
      </c>
      <c r="F5581" s="11">
        <v>1</v>
      </c>
      <c r="G5581" s="11">
        <v>46218.48</v>
      </c>
    </row>
    <row r="5582" spans="2:7" x14ac:dyDescent="0.2">
      <c r="B5582" s="32">
        <v>45959</v>
      </c>
      <c r="C5582" t="s">
        <v>109</v>
      </c>
      <c r="D5582" s="13" t="s">
        <v>633</v>
      </c>
      <c r="E5582" t="s">
        <v>166</v>
      </c>
      <c r="F5582" s="11">
        <v>1</v>
      </c>
      <c r="G5582" s="11">
        <v>42016.81</v>
      </c>
    </row>
    <row r="5583" spans="2:7" x14ac:dyDescent="0.2">
      <c r="B5583" s="32">
        <v>45959</v>
      </c>
      <c r="C5583" t="s">
        <v>109</v>
      </c>
      <c r="D5583" s="13" t="s">
        <v>633</v>
      </c>
      <c r="E5583" t="s">
        <v>153</v>
      </c>
      <c r="F5583" s="11">
        <v>1</v>
      </c>
      <c r="G5583" s="11">
        <v>42016.81</v>
      </c>
    </row>
    <row r="5584" spans="2:7" x14ac:dyDescent="0.2">
      <c r="B5584" s="32">
        <v>45959</v>
      </c>
      <c r="C5584" t="s">
        <v>109</v>
      </c>
      <c r="D5584" s="13" t="s">
        <v>633</v>
      </c>
      <c r="E5584" t="s">
        <v>1918</v>
      </c>
      <c r="F5584" s="11">
        <v>1</v>
      </c>
      <c r="G5584" s="11">
        <v>42016.81</v>
      </c>
    </row>
    <row r="5585" spans="2:7" x14ac:dyDescent="0.2">
      <c r="B5585" s="32">
        <v>45959</v>
      </c>
      <c r="C5585" t="s">
        <v>109</v>
      </c>
      <c r="D5585" s="13" t="s">
        <v>633</v>
      </c>
      <c r="E5585" t="s">
        <v>330</v>
      </c>
      <c r="F5585" s="11">
        <v>1</v>
      </c>
      <c r="G5585" s="11">
        <v>37815.129999999997</v>
      </c>
    </row>
    <row r="5586" spans="2:7" x14ac:dyDescent="0.2">
      <c r="B5586" s="32">
        <v>45959</v>
      </c>
      <c r="C5586" t="s">
        <v>109</v>
      </c>
      <c r="D5586" s="13" t="s">
        <v>633</v>
      </c>
      <c r="E5586" t="s">
        <v>148</v>
      </c>
      <c r="F5586" s="11">
        <v>1</v>
      </c>
      <c r="G5586" s="11">
        <v>37815.129999999997</v>
      </c>
    </row>
    <row r="5587" spans="2:7" x14ac:dyDescent="0.2">
      <c r="B5587" s="32">
        <v>45959</v>
      </c>
      <c r="C5587" t="s">
        <v>109</v>
      </c>
      <c r="D5587" s="13" t="s">
        <v>633</v>
      </c>
      <c r="E5587" t="s">
        <v>327</v>
      </c>
      <c r="F5587" s="11">
        <v>1</v>
      </c>
      <c r="G5587" s="11">
        <v>30000</v>
      </c>
    </row>
    <row r="5588" spans="2:7" x14ac:dyDescent="0.2">
      <c r="B5588" s="32">
        <v>45959</v>
      </c>
      <c r="C5588" t="s">
        <v>109</v>
      </c>
      <c r="D5588" s="13" t="s">
        <v>633</v>
      </c>
      <c r="E5588" t="s">
        <v>1977</v>
      </c>
      <c r="F5588" s="11">
        <v>1</v>
      </c>
      <c r="G5588" s="11">
        <v>15126.05</v>
      </c>
    </row>
    <row r="5589" spans="2:7" x14ac:dyDescent="0.2">
      <c r="B5589" s="32">
        <v>45960</v>
      </c>
      <c r="C5589" t="s">
        <v>142</v>
      </c>
      <c r="D5589" s="13" t="s">
        <v>633</v>
      </c>
      <c r="E5589" t="s">
        <v>728</v>
      </c>
      <c r="F5589" s="11">
        <v>1</v>
      </c>
      <c r="G5589" s="11">
        <v>197478.99</v>
      </c>
    </row>
    <row r="5590" spans="2:7" x14ac:dyDescent="0.2">
      <c r="B5590" s="32">
        <v>45960</v>
      </c>
      <c r="C5590" t="s">
        <v>142</v>
      </c>
      <c r="D5590" s="13" t="s">
        <v>633</v>
      </c>
      <c r="E5590" t="s">
        <v>2009</v>
      </c>
      <c r="F5590" s="11">
        <v>1</v>
      </c>
      <c r="G5590" s="11">
        <v>121848.74</v>
      </c>
    </row>
    <row r="5591" spans="2:7" x14ac:dyDescent="0.2">
      <c r="B5591" s="32">
        <v>45960</v>
      </c>
      <c r="C5591" t="s">
        <v>142</v>
      </c>
      <c r="D5591" s="13" t="s">
        <v>633</v>
      </c>
      <c r="E5591" t="s">
        <v>448</v>
      </c>
      <c r="F5591" s="11">
        <v>1</v>
      </c>
      <c r="G5591" s="11">
        <v>110714.29</v>
      </c>
    </row>
    <row r="5592" spans="2:7" x14ac:dyDescent="0.2">
      <c r="B5592" s="32">
        <v>45960</v>
      </c>
      <c r="C5592" t="s">
        <v>142</v>
      </c>
      <c r="D5592" s="13" t="s">
        <v>633</v>
      </c>
      <c r="E5592" t="s">
        <v>200</v>
      </c>
      <c r="F5592" s="11">
        <v>1</v>
      </c>
      <c r="G5592" s="11">
        <v>110714.28</v>
      </c>
    </row>
    <row r="5593" spans="2:7" x14ac:dyDescent="0.2">
      <c r="B5593" s="32">
        <v>45960</v>
      </c>
      <c r="C5593" t="s">
        <v>142</v>
      </c>
      <c r="D5593" s="13" t="s">
        <v>633</v>
      </c>
      <c r="E5593" t="s">
        <v>2042</v>
      </c>
      <c r="F5593" s="11">
        <v>1</v>
      </c>
      <c r="G5593" s="11">
        <v>84033.61</v>
      </c>
    </row>
    <row r="5594" spans="2:7" x14ac:dyDescent="0.2">
      <c r="B5594" s="32">
        <v>45960</v>
      </c>
      <c r="C5594" t="s">
        <v>142</v>
      </c>
      <c r="D5594" s="13" t="s">
        <v>633</v>
      </c>
      <c r="E5594" t="s">
        <v>666</v>
      </c>
      <c r="F5594" s="11">
        <v>1</v>
      </c>
      <c r="G5594" s="11">
        <v>79831.929999999993</v>
      </c>
    </row>
    <row r="5595" spans="2:7" x14ac:dyDescent="0.2">
      <c r="B5595" s="32">
        <v>45960</v>
      </c>
      <c r="C5595" t="s">
        <v>142</v>
      </c>
      <c r="D5595" s="13" t="s">
        <v>633</v>
      </c>
      <c r="E5595" t="s">
        <v>411</v>
      </c>
      <c r="F5595" s="11">
        <v>1</v>
      </c>
      <c r="G5595" s="11">
        <v>58823.53</v>
      </c>
    </row>
    <row r="5596" spans="2:7" x14ac:dyDescent="0.2">
      <c r="B5596" s="32">
        <v>45960</v>
      </c>
      <c r="C5596" t="s">
        <v>142</v>
      </c>
      <c r="D5596" s="13" t="s">
        <v>633</v>
      </c>
      <c r="E5596" t="s">
        <v>440</v>
      </c>
      <c r="F5596" s="11">
        <v>1</v>
      </c>
      <c r="G5596" s="11">
        <v>58823.53</v>
      </c>
    </row>
    <row r="5597" spans="2:7" x14ac:dyDescent="0.2">
      <c r="B5597" s="32">
        <v>45960</v>
      </c>
      <c r="C5597" t="s">
        <v>142</v>
      </c>
      <c r="D5597" s="13" t="s">
        <v>633</v>
      </c>
      <c r="E5597" t="s">
        <v>233</v>
      </c>
      <c r="F5597" s="11">
        <v>1</v>
      </c>
      <c r="G5597" s="11">
        <v>58823.53</v>
      </c>
    </row>
    <row r="5598" spans="2:7" x14ac:dyDescent="0.2">
      <c r="B5598" s="32">
        <v>45960</v>
      </c>
      <c r="C5598" t="s">
        <v>142</v>
      </c>
      <c r="D5598" s="13" t="s">
        <v>633</v>
      </c>
      <c r="E5598" t="s">
        <v>251</v>
      </c>
      <c r="F5598" s="11">
        <v>1</v>
      </c>
      <c r="G5598" s="11">
        <v>58823.53</v>
      </c>
    </row>
    <row r="5599" spans="2:7" x14ac:dyDescent="0.2">
      <c r="B5599" s="32">
        <v>45960</v>
      </c>
      <c r="C5599" t="s">
        <v>142</v>
      </c>
      <c r="D5599" s="13" t="s">
        <v>633</v>
      </c>
      <c r="E5599" t="s">
        <v>1796</v>
      </c>
      <c r="F5599" s="11">
        <v>1</v>
      </c>
      <c r="G5599" s="11">
        <v>21008.400000000001</v>
      </c>
    </row>
    <row r="5600" spans="2:7" x14ac:dyDescent="0.2">
      <c r="B5600" s="32">
        <v>45960</v>
      </c>
      <c r="C5600" t="s">
        <v>142</v>
      </c>
      <c r="D5600" s="13" t="s">
        <v>633</v>
      </c>
      <c r="F5600" s="11">
        <v>0</v>
      </c>
      <c r="G5600" s="11">
        <v>0</v>
      </c>
    </row>
    <row r="5601" spans="2:7" x14ac:dyDescent="0.2">
      <c r="B5601" s="32">
        <v>45960</v>
      </c>
      <c r="C5601" t="s">
        <v>110</v>
      </c>
      <c r="D5601" s="13" t="s">
        <v>634</v>
      </c>
      <c r="E5601" t="s">
        <v>151</v>
      </c>
      <c r="F5601" s="11">
        <v>1</v>
      </c>
      <c r="G5601" s="11">
        <v>46218.49</v>
      </c>
    </row>
    <row r="5602" spans="2:7" x14ac:dyDescent="0.2">
      <c r="B5602" s="32">
        <v>45960</v>
      </c>
      <c r="C5602" t="s">
        <v>109</v>
      </c>
      <c r="D5602" s="13" t="s">
        <v>634</v>
      </c>
      <c r="E5602" t="s">
        <v>639</v>
      </c>
      <c r="F5602" s="11">
        <v>1</v>
      </c>
      <c r="G5602" s="11">
        <v>99000</v>
      </c>
    </row>
    <row r="5603" spans="2:7" x14ac:dyDescent="0.2">
      <c r="B5603" s="32">
        <v>45960</v>
      </c>
      <c r="C5603" t="s">
        <v>109</v>
      </c>
      <c r="D5603" s="13" t="s">
        <v>634</v>
      </c>
      <c r="E5603" t="s">
        <v>1963</v>
      </c>
      <c r="F5603" s="11">
        <v>2</v>
      </c>
      <c r="G5603" s="11">
        <v>84033.61</v>
      </c>
    </row>
    <row r="5604" spans="2:7" x14ac:dyDescent="0.2">
      <c r="B5604" s="32">
        <v>45960</v>
      </c>
      <c r="C5604" t="s">
        <v>109</v>
      </c>
      <c r="D5604" s="13" t="s">
        <v>634</v>
      </c>
      <c r="E5604" t="s">
        <v>336</v>
      </c>
      <c r="F5604" s="11">
        <v>1</v>
      </c>
      <c r="G5604" s="11">
        <v>71428.570000000007</v>
      </c>
    </row>
    <row r="5605" spans="2:7" x14ac:dyDescent="0.2">
      <c r="B5605" s="32">
        <v>45960</v>
      </c>
      <c r="C5605" t="s">
        <v>109</v>
      </c>
      <c r="D5605" s="13" t="s">
        <v>634</v>
      </c>
      <c r="E5605" t="s">
        <v>164</v>
      </c>
      <c r="F5605" s="11">
        <v>1</v>
      </c>
      <c r="G5605" s="11">
        <v>71428.570000000007</v>
      </c>
    </row>
    <row r="5606" spans="2:7" x14ac:dyDescent="0.2">
      <c r="B5606" s="32">
        <v>45960</v>
      </c>
      <c r="C5606" t="s">
        <v>109</v>
      </c>
      <c r="D5606" s="13" t="s">
        <v>634</v>
      </c>
      <c r="E5606" t="s">
        <v>2046</v>
      </c>
      <c r="F5606" s="11">
        <v>1</v>
      </c>
      <c r="G5606" s="11">
        <v>61344.54</v>
      </c>
    </row>
    <row r="5607" spans="2:7" x14ac:dyDescent="0.2">
      <c r="B5607" s="32">
        <v>45960</v>
      </c>
      <c r="C5607" t="s">
        <v>109</v>
      </c>
      <c r="D5607" s="13" t="s">
        <v>634</v>
      </c>
      <c r="E5607" t="s">
        <v>1968</v>
      </c>
      <c r="F5607" s="11">
        <v>1</v>
      </c>
      <c r="G5607" s="11">
        <v>42016.81</v>
      </c>
    </row>
    <row r="5608" spans="2:7" x14ac:dyDescent="0.2">
      <c r="B5608" s="32">
        <v>45960</v>
      </c>
      <c r="C5608" t="s">
        <v>109</v>
      </c>
      <c r="D5608" s="13" t="s">
        <v>633</v>
      </c>
      <c r="E5608" t="s">
        <v>2047</v>
      </c>
      <c r="F5608" s="11">
        <v>1</v>
      </c>
      <c r="G5608" s="11">
        <v>84033.61</v>
      </c>
    </row>
    <row r="5609" spans="2:7" x14ac:dyDescent="0.2">
      <c r="B5609" s="32">
        <v>45960</v>
      </c>
      <c r="C5609" t="s">
        <v>109</v>
      </c>
      <c r="D5609" s="13" t="s">
        <v>633</v>
      </c>
      <c r="E5609" t="s">
        <v>347</v>
      </c>
      <c r="F5609" s="11">
        <v>1</v>
      </c>
      <c r="G5609" s="11">
        <v>75630.25</v>
      </c>
    </row>
    <row r="5610" spans="2:7" x14ac:dyDescent="0.2">
      <c r="B5610" s="32">
        <v>45960</v>
      </c>
      <c r="C5610" t="s">
        <v>109</v>
      </c>
      <c r="D5610" s="13" t="s">
        <v>633</v>
      </c>
      <c r="E5610" t="s">
        <v>327</v>
      </c>
      <c r="F5610" s="11">
        <v>2</v>
      </c>
      <c r="G5610" s="11">
        <v>60000</v>
      </c>
    </row>
    <row r="5611" spans="2:7" x14ac:dyDescent="0.2">
      <c r="B5611" s="32">
        <v>45960</v>
      </c>
      <c r="C5611" t="s">
        <v>109</v>
      </c>
      <c r="D5611" s="13" t="s">
        <v>633</v>
      </c>
      <c r="E5611" t="s">
        <v>427</v>
      </c>
      <c r="F5611" s="11">
        <v>1</v>
      </c>
      <c r="G5611" s="11">
        <v>54621.85</v>
      </c>
    </row>
    <row r="5612" spans="2:7" x14ac:dyDescent="0.2">
      <c r="B5612" s="32">
        <v>45960</v>
      </c>
      <c r="C5612" t="s">
        <v>109</v>
      </c>
      <c r="D5612" s="13" t="s">
        <v>633</v>
      </c>
      <c r="E5612" t="s">
        <v>1968</v>
      </c>
      <c r="F5612" s="11">
        <v>1</v>
      </c>
      <c r="G5612" s="11">
        <v>42016.81</v>
      </c>
    </row>
    <row r="5613" spans="2:7" x14ac:dyDescent="0.2">
      <c r="B5613" s="32">
        <v>45960</v>
      </c>
      <c r="C5613" t="s">
        <v>109</v>
      </c>
      <c r="D5613" s="13" t="s">
        <v>633</v>
      </c>
      <c r="E5613" t="s">
        <v>145</v>
      </c>
      <c r="F5613" s="11">
        <v>1</v>
      </c>
      <c r="G5613" s="11">
        <v>22689.08</v>
      </c>
    </row>
    <row r="5614" spans="2:7" x14ac:dyDescent="0.2">
      <c r="B5614" s="32">
        <v>45960</v>
      </c>
      <c r="C5614" t="s">
        <v>109</v>
      </c>
      <c r="D5614" s="13" t="s">
        <v>633</v>
      </c>
      <c r="E5614" t="s">
        <v>1769</v>
      </c>
      <c r="F5614" s="11">
        <v>1</v>
      </c>
      <c r="G5614" s="11">
        <v>21008.400000000001</v>
      </c>
    </row>
    <row r="5615" spans="2:7" x14ac:dyDescent="0.2">
      <c r="B5615" s="32">
        <v>45960</v>
      </c>
      <c r="C5615" t="s">
        <v>109</v>
      </c>
      <c r="D5615" s="13" t="s">
        <v>633</v>
      </c>
      <c r="E5615" t="s">
        <v>144</v>
      </c>
      <c r="F5615" s="11">
        <v>1</v>
      </c>
      <c r="G5615" s="11">
        <v>18487.39</v>
      </c>
    </row>
    <row r="5616" spans="2:7" x14ac:dyDescent="0.2">
      <c r="B5616" s="32">
        <v>45961</v>
      </c>
      <c r="C5616" t="s">
        <v>142</v>
      </c>
      <c r="D5616" s="13" t="s">
        <v>633</v>
      </c>
      <c r="E5616" t="s">
        <v>732</v>
      </c>
      <c r="F5616" s="11">
        <v>64</v>
      </c>
      <c r="G5616" s="11">
        <v>949579.83</v>
      </c>
    </row>
    <row r="5617" spans="2:7" x14ac:dyDescent="0.2">
      <c r="B5617" s="32">
        <v>45961</v>
      </c>
      <c r="C5617" t="s">
        <v>142</v>
      </c>
      <c r="D5617" s="13" t="s">
        <v>633</v>
      </c>
      <c r="E5617" t="s">
        <v>539</v>
      </c>
      <c r="F5617" s="11">
        <v>5</v>
      </c>
      <c r="G5617" s="11">
        <v>252100.84</v>
      </c>
    </row>
    <row r="5618" spans="2:7" x14ac:dyDescent="0.2">
      <c r="B5618" s="32">
        <v>45961</v>
      </c>
      <c r="C5618" t="s">
        <v>142</v>
      </c>
      <c r="D5618" s="13" t="s">
        <v>633</v>
      </c>
      <c r="E5618" t="s">
        <v>478</v>
      </c>
      <c r="F5618" s="11">
        <v>5</v>
      </c>
      <c r="G5618" s="11">
        <v>189075.63</v>
      </c>
    </row>
    <row r="5619" spans="2:7" x14ac:dyDescent="0.2">
      <c r="B5619" s="32">
        <v>45961</v>
      </c>
      <c r="C5619" t="s">
        <v>142</v>
      </c>
      <c r="D5619" s="13" t="s">
        <v>633</v>
      </c>
      <c r="E5619" t="s">
        <v>578</v>
      </c>
      <c r="F5619" s="11">
        <v>1</v>
      </c>
      <c r="G5619" s="11">
        <v>114285.71</v>
      </c>
    </row>
    <row r="5620" spans="2:7" x14ac:dyDescent="0.2">
      <c r="B5620" s="32">
        <v>45961</v>
      </c>
      <c r="C5620" t="s">
        <v>142</v>
      </c>
      <c r="D5620" s="13" t="s">
        <v>633</v>
      </c>
      <c r="E5620" t="s">
        <v>1871</v>
      </c>
      <c r="F5620" s="11">
        <v>1</v>
      </c>
      <c r="G5620" s="11">
        <v>107142.86</v>
      </c>
    </row>
    <row r="5621" spans="2:7" x14ac:dyDescent="0.2">
      <c r="B5621" s="32">
        <v>45961</v>
      </c>
      <c r="C5621" t="s">
        <v>142</v>
      </c>
      <c r="D5621" s="13" t="s">
        <v>633</v>
      </c>
      <c r="E5621" t="s">
        <v>664</v>
      </c>
      <c r="F5621" s="11">
        <v>1</v>
      </c>
      <c r="G5621" s="11">
        <v>107142.86</v>
      </c>
    </row>
    <row r="5622" spans="2:7" x14ac:dyDescent="0.2">
      <c r="B5622" s="32">
        <v>45961</v>
      </c>
      <c r="C5622" t="s">
        <v>142</v>
      </c>
      <c r="D5622" s="13" t="s">
        <v>633</v>
      </c>
      <c r="E5622" t="s">
        <v>1744</v>
      </c>
      <c r="F5622" s="11">
        <v>1</v>
      </c>
      <c r="G5622" s="11">
        <v>107142.86</v>
      </c>
    </row>
    <row r="5623" spans="2:7" x14ac:dyDescent="0.2">
      <c r="B5623" s="32">
        <v>45961</v>
      </c>
      <c r="C5623" t="s">
        <v>142</v>
      </c>
      <c r="D5623" s="13" t="s">
        <v>633</v>
      </c>
      <c r="E5623" t="s">
        <v>318</v>
      </c>
      <c r="F5623" s="11">
        <v>1</v>
      </c>
      <c r="G5623" s="11">
        <v>107142.85</v>
      </c>
    </row>
    <row r="5624" spans="2:7" x14ac:dyDescent="0.2">
      <c r="B5624" s="32">
        <v>45961</v>
      </c>
      <c r="C5624" t="s">
        <v>142</v>
      </c>
      <c r="D5624" s="13" t="s">
        <v>633</v>
      </c>
      <c r="E5624" t="s">
        <v>2075</v>
      </c>
      <c r="F5624" s="11">
        <v>2</v>
      </c>
      <c r="G5624" s="11">
        <v>92436.97</v>
      </c>
    </row>
    <row r="5625" spans="2:7" x14ac:dyDescent="0.2">
      <c r="B5625" s="32">
        <v>45961</v>
      </c>
      <c r="C5625" t="s">
        <v>142</v>
      </c>
      <c r="D5625" s="13" t="s">
        <v>633</v>
      </c>
      <c r="E5625" t="s">
        <v>169</v>
      </c>
      <c r="F5625" s="11">
        <v>1</v>
      </c>
      <c r="G5625" s="11">
        <v>85714.29</v>
      </c>
    </row>
    <row r="5626" spans="2:7" x14ac:dyDescent="0.2">
      <c r="B5626" s="32">
        <v>45961</v>
      </c>
      <c r="C5626" t="s">
        <v>142</v>
      </c>
      <c r="D5626" s="13" t="s">
        <v>633</v>
      </c>
      <c r="E5626" t="s">
        <v>308</v>
      </c>
      <c r="F5626" s="11">
        <v>1</v>
      </c>
      <c r="G5626" s="11">
        <v>85714.29</v>
      </c>
    </row>
    <row r="5627" spans="2:7" x14ac:dyDescent="0.2">
      <c r="B5627" s="32">
        <v>45961</v>
      </c>
      <c r="C5627" t="s">
        <v>142</v>
      </c>
      <c r="D5627" s="13" t="s">
        <v>633</v>
      </c>
      <c r="E5627" t="s">
        <v>364</v>
      </c>
      <c r="F5627" s="11">
        <v>1</v>
      </c>
      <c r="G5627" s="11">
        <v>85714.29</v>
      </c>
    </row>
    <row r="5628" spans="2:7" x14ac:dyDescent="0.2">
      <c r="B5628" s="32">
        <v>45961</v>
      </c>
      <c r="C5628" t="s">
        <v>142</v>
      </c>
      <c r="D5628" s="13" t="s">
        <v>633</v>
      </c>
      <c r="E5628" t="s">
        <v>2034</v>
      </c>
      <c r="F5628" s="11">
        <v>1</v>
      </c>
      <c r="G5628" s="11">
        <v>71428.56</v>
      </c>
    </row>
    <row r="5629" spans="2:7" x14ac:dyDescent="0.2">
      <c r="B5629" s="32">
        <v>45961</v>
      </c>
      <c r="C5629" t="s">
        <v>142</v>
      </c>
      <c r="D5629" s="13" t="s">
        <v>633</v>
      </c>
      <c r="E5629" t="s">
        <v>2076</v>
      </c>
      <c r="F5629" s="11">
        <v>1</v>
      </c>
      <c r="G5629" s="11">
        <v>58823.53</v>
      </c>
    </row>
    <row r="5630" spans="2:7" x14ac:dyDescent="0.2">
      <c r="B5630" s="32">
        <v>45961</v>
      </c>
      <c r="C5630" t="s">
        <v>142</v>
      </c>
      <c r="D5630" s="13" t="s">
        <v>633</v>
      </c>
      <c r="E5630" t="s">
        <v>1748</v>
      </c>
      <c r="F5630" s="11">
        <v>1</v>
      </c>
      <c r="G5630" s="11">
        <v>58823.53</v>
      </c>
    </row>
    <row r="5631" spans="2:7" x14ac:dyDescent="0.2">
      <c r="B5631" s="32">
        <v>45961</v>
      </c>
      <c r="C5631" t="s">
        <v>142</v>
      </c>
      <c r="D5631" s="13" t="s">
        <v>633</v>
      </c>
      <c r="E5631" t="s">
        <v>374</v>
      </c>
      <c r="F5631" s="11">
        <v>1</v>
      </c>
      <c r="G5631" s="11">
        <v>50000</v>
      </c>
    </row>
    <row r="5632" spans="2:7" x14ac:dyDescent="0.2">
      <c r="B5632" s="32">
        <v>45961</v>
      </c>
      <c r="C5632" t="s">
        <v>142</v>
      </c>
      <c r="D5632" s="13" t="s">
        <v>633</v>
      </c>
      <c r="E5632" t="s">
        <v>540</v>
      </c>
      <c r="F5632" s="11">
        <v>1</v>
      </c>
      <c r="G5632" s="11">
        <v>46218.49</v>
      </c>
    </row>
    <row r="5633" spans="2:7" x14ac:dyDescent="0.2">
      <c r="B5633" s="32">
        <v>45961</v>
      </c>
      <c r="C5633" t="s">
        <v>109</v>
      </c>
      <c r="D5633" s="13" t="s">
        <v>634</v>
      </c>
      <c r="E5633" t="s">
        <v>567</v>
      </c>
      <c r="F5633" s="11">
        <v>1</v>
      </c>
      <c r="G5633" s="11">
        <v>109243.7</v>
      </c>
    </row>
    <row r="5634" spans="2:7" x14ac:dyDescent="0.2">
      <c r="B5634" s="32">
        <v>45961</v>
      </c>
      <c r="C5634" t="s">
        <v>109</v>
      </c>
      <c r="D5634" s="13" t="s">
        <v>634</v>
      </c>
      <c r="E5634" t="s">
        <v>2017</v>
      </c>
      <c r="F5634" s="11">
        <v>1</v>
      </c>
      <c r="G5634" s="11">
        <v>75630.25</v>
      </c>
    </row>
    <row r="5635" spans="2:7" x14ac:dyDescent="0.2">
      <c r="B5635" s="32">
        <v>45961</v>
      </c>
      <c r="C5635" t="s">
        <v>109</v>
      </c>
      <c r="D5635" s="13" t="s">
        <v>634</v>
      </c>
      <c r="E5635" t="s">
        <v>149</v>
      </c>
      <c r="F5635" s="11">
        <v>1</v>
      </c>
      <c r="G5635" s="11">
        <v>71428.570000000007</v>
      </c>
    </row>
    <row r="5636" spans="2:7" x14ac:dyDescent="0.2">
      <c r="B5636" s="32">
        <v>45961</v>
      </c>
      <c r="C5636" t="s">
        <v>109</v>
      </c>
      <c r="D5636" s="13" t="s">
        <v>634</v>
      </c>
      <c r="E5636" t="s">
        <v>624</v>
      </c>
      <c r="F5636" s="11">
        <v>1</v>
      </c>
      <c r="G5636" s="11">
        <v>71428.570000000007</v>
      </c>
    </row>
    <row r="5637" spans="2:7" x14ac:dyDescent="0.2">
      <c r="B5637" s="32">
        <v>45961</v>
      </c>
      <c r="C5637" t="s">
        <v>109</v>
      </c>
      <c r="D5637" s="13" t="s">
        <v>634</v>
      </c>
      <c r="E5637" t="s">
        <v>704</v>
      </c>
      <c r="F5637" s="11">
        <v>1</v>
      </c>
      <c r="G5637" s="11">
        <v>46218.49</v>
      </c>
    </row>
    <row r="5638" spans="2:7" x14ac:dyDescent="0.2">
      <c r="B5638" s="32">
        <v>45961</v>
      </c>
      <c r="C5638" t="s">
        <v>109</v>
      </c>
      <c r="D5638" s="13" t="s">
        <v>634</v>
      </c>
      <c r="E5638" t="s">
        <v>158</v>
      </c>
      <c r="F5638" s="11">
        <v>1</v>
      </c>
      <c r="G5638" s="11">
        <v>46218.49</v>
      </c>
    </row>
    <row r="5639" spans="2:7" x14ac:dyDescent="0.2">
      <c r="B5639" s="32">
        <v>45961</v>
      </c>
      <c r="C5639" t="s">
        <v>109</v>
      </c>
      <c r="D5639" s="13" t="s">
        <v>634</v>
      </c>
      <c r="E5639" t="s">
        <v>225</v>
      </c>
      <c r="F5639" s="11">
        <v>1</v>
      </c>
      <c r="G5639" s="11">
        <v>46218.48</v>
      </c>
    </row>
    <row r="5640" spans="2:7" x14ac:dyDescent="0.2">
      <c r="B5640" s="32">
        <v>45961</v>
      </c>
      <c r="C5640" t="s">
        <v>109</v>
      </c>
      <c r="D5640" s="13" t="s">
        <v>634</v>
      </c>
      <c r="E5640" t="s">
        <v>153</v>
      </c>
      <c r="F5640" s="11">
        <v>1</v>
      </c>
      <c r="G5640" s="11">
        <v>42016.81</v>
      </c>
    </row>
    <row r="5641" spans="2:7" x14ac:dyDescent="0.2">
      <c r="B5641" s="32">
        <v>45961</v>
      </c>
      <c r="C5641" t="s">
        <v>109</v>
      </c>
      <c r="D5641" s="13" t="s">
        <v>634</v>
      </c>
      <c r="E5641" t="s">
        <v>173</v>
      </c>
      <c r="F5641" s="11">
        <v>1</v>
      </c>
      <c r="G5641" s="11">
        <v>37815.129999999997</v>
      </c>
    </row>
    <row r="5642" spans="2:7" x14ac:dyDescent="0.2">
      <c r="B5642" s="32">
        <v>45961</v>
      </c>
      <c r="C5642" t="s">
        <v>109</v>
      </c>
      <c r="D5642" s="13" t="s">
        <v>634</v>
      </c>
      <c r="E5642" t="s">
        <v>662</v>
      </c>
      <c r="F5642" s="11">
        <v>1</v>
      </c>
      <c r="G5642" s="11">
        <v>37815.120000000003</v>
      </c>
    </row>
    <row r="5643" spans="2:7" x14ac:dyDescent="0.2">
      <c r="B5643" s="32">
        <v>45961</v>
      </c>
      <c r="C5643" t="s">
        <v>109</v>
      </c>
      <c r="D5643" s="13" t="s">
        <v>634</v>
      </c>
      <c r="E5643" t="s">
        <v>145</v>
      </c>
      <c r="F5643" s="11">
        <v>1</v>
      </c>
      <c r="G5643" s="11">
        <v>22689.08</v>
      </c>
    </row>
    <row r="5644" spans="2:7" x14ac:dyDescent="0.2">
      <c r="B5644" s="32">
        <v>45961</v>
      </c>
      <c r="C5644" t="s">
        <v>109</v>
      </c>
      <c r="D5644" s="13" t="s">
        <v>633</v>
      </c>
      <c r="E5644" t="s">
        <v>669</v>
      </c>
      <c r="F5644" s="11">
        <v>1</v>
      </c>
      <c r="G5644" s="11">
        <v>102000</v>
      </c>
    </row>
    <row r="5645" spans="2:7" x14ac:dyDescent="0.2">
      <c r="B5645" s="32">
        <v>45961</v>
      </c>
      <c r="C5645" t="s">
        <v>109</v>
      </c>
      <c r="D5645" s="13" t="s">
        <v>633</v>
      </c>
      <c r="E5645" t="s">
        <v>155</v>
      </c>
      <c r="F5645" s="11">
        <v>1</v>
      </c>
      <c r="G5645" s="11">
        <v>100840.34</v>
      </c>
    </row>
    <row r="5646" spans="2:7" x14ac:dyDescent="0.2">
      <c r="B5646" s="32">
        <v>45961</v>
      </c>
      <c r="C5646" t="s">
        <v>109</v>
      </c>
      <c r="D5646" s="13" t="s">
        <v>633</v>
      </c>
      <c r="E5646" t="s">
        <v>313</v>
      </c>
      <c r="F5646" s="11">
        <v>1</v>
      </c>
      <c r="G5646" s="11">
        <v>100840.33</v>
      </c>
    </row>
    <row r="5647" spans="2:7" x14ac:dyDescent="0.2">
      <c r="B5647" s="32">
        <v>45961</v>
      </c>
      <c r="C5647" t="s">
        <v>109</v>
      </c>
      <c r="D5647" s="13" t="s">
        <v>633</v>
      </c>
      <c r="E5647" t="s">
        <v>1945</v>
      </c>
      <c r="F5647" s="11">
        <v>1</v>
      </c>
      <c r="G5647" s="11">
        <v>67226.89</v>
      </c>
    </row>
    <row r="5648" spans="2:7" x14ac:dyDescent="0.2">
      <c r="B5648" s="32">
        <v>45961</v>
      </c>
      <c r="C5648" t="s">
        <v>109</v>
      </c>
      <c r="D5648" s="13" t="s">
        <v>633</v>
      </c>
      <c r="E5648" t="s">
        <v>1946</v>
      </c>
      <c r="F5648" s="11">
        <v>1</v>
      </c>
      <c r="G5648" s="11">
        <v>58823.53</v>
      </c>
    </row>
    <row r="5649" spans="2:7" x14ac:dyDescent="0.2">
      <c r="B5649" s="32">
        <v>45961</v>
      </c>
      <c r="C5649" t="s">
        <v>109</v>
      </c>
      <c r="D5649" s="13" t="s">
        <v>633</v>
      </c>
      <c r="E5649" t="s">
        <v>1744</v>
      </c>
      <c r="F5649" s="11">
        <v>1</v>
      </c>
      <c r="G5649" s="11">
        <v>58823.53</v>
      </c>
    </row>
    <row r="5650" spans="2:7" x14ac:dyDescent="0.2">
      <c r="B5650" s="32">
        <v>45961</v>
      </c>
      <c r="C5650" t="s">
        <v>109</v>
      </c>
      <c r="D5650" s="13" t="s">
        <v>633</v>
      </c>
      <c r="E5650" t="s">
        <v>258</v>
      </c>
      <c r="F5650" s="11">
        <v>1</v>
      </c>
      <c r="G5650" s="11">
        <v>54621.85</v>
      </c>
    </row>
    <row r="5651" spans="2:7" x14ac:dyDescent="0.2">
      <c r="B5651" s="32">
        <v>45961</v>
      </c>
      <c r="C5651" t="s">
        <v>109</v>
      </c>
      <c r="D5651" s="13" t="s">
        <v>633</v>
      </c>
      <c r="E5651" t="s">
        <v>246</v>
      </c>
      <c r="F5651" s="11">
        <v>1</v>
      </c>
      <c r="G5651" s="11">
        <v>42016.81</v>
      </c>
    </row>
    <row r="5652" spans="2:7" x14ac:dyDescent="0.2">
      <c r="B5652" s="32">
        <v>45961</v>
      </c>
      <c r="C5652" t="s">
        <v>109</v>
      </c>
      <c r="D5652" s="13" t="s">
        <v>633</v>
      </c>
      <c r="E5652" t="s">
        <v>240</v>
      </c>
      <c r="F5652" s="11">
        <v>1</v>
      </c>
      <c r="G5652" s="11">
        <v>42016.81</v>
      </c>
    </row>
    <row r="5653" spans="2:7" x14ac:dyDescent="0.2">
      <c r="B5653" s="32">
        <v>45961</v>
      </c>
      <c r="C5653" t="s">
        <v>109</v>
      </c>
      <c r="D5653" s="13" t="s">
        <v>633</v>
      </c>
      <c r="E5653" t="s">
        <v>144</v>
      </c>
      <c r="F5653" s="11">
        <v>3</v>
      </c>
      <c r="G5653" s="11">
        <v>40336.129999999997</v>
      </c>
    </row>
    <row r="5654" spans="2:7" x14ac:dyDescent="0.2">
      <c r="B5654" s="32">
        <v>45961</v>
      </c>
      <c r="C5654" t="s">
        <v>109</v>
      </c>
      <c r="D5654" s="13" t="s">
        <v>633</v>
      </c>
      <c r="E5654" t="s">
        <v>328</v>
      </c>
      <c r="F5654" s="11">
        <v>1</v>
      </c>
      <c r="G5654" s="11">
        <v>37815.129999999997</v>
      </c>
    </row>
    <row r="5655" spans="2:7" x14ac:dyDescent="0.2">
      <c r="B5655" s="32">
        <v>45961</v>
      </c>
      <c r="C5655" t="s">
        <v>109</v>
      </c>
      <c r="D5655" s="13" t="s">
        <v>633</v>
      </c>
      <c r="E5655" t="s">
        <v>1818</v>
      </c>
      <c r="F5655" s="11">
        <v>1</v>
      </c>
      <c r="G5655" s="11">
        <v>37815.120000000003</v>
      </c>
    </row>
    <row r="5656" spans="2:7" x14ac:dyDescent="0.2">
      <c r="B5656" s="32">
        <v>45962</v>
      </c>
      <c r="C5656" t="s">
        <v>142</v>
      </c>
      <c r="D5656" s="13" t="s">
        <v>633</v>
      </c>
      <c r="E5656" t="s">
        <v>155</v>
      </c>
      <c r="F5656" s="11">
        <v>2</v>
      </c>
      <c r="G5656" s="11">
        <v>201680.67</v>
      </c>
    </row>
    <row r="5657" spans="2:7" x14ac:dyDescent="0.2">
      <c r="B5657" s="32">
        <v>45962</v>
      </c>
      <c r="C5657" t="s">
        <v>142</v>
      </c>
      <c r="D5657" s="13" t="s">
        <v>633</v>
      </c>
      <c r="E5657" t="s">
        <v>2077</v>
      </c>
      <c r="F5657" s="11">
        <v>2</v>
      </c>
      <c r="G5657" s="11">
        <v>117647.06</v>
      </c>
    </row>
    <row r="5658" spans="2:7" x14ac:dyDescent="0.2">
      <c r="B5658" s="32">
        <v>45962</v>
      </c>
      <c r="C5658" t="s">
        <v>142</v>
      </c>
      <c r="D5658" s="13" t="s">
        <v>633</v>
      </c>
      <c r="E5658" t="s">
        <v>283</v>
      </c>
      <c r="F5658" s="11">
        <v>2</v>
      </c>
      <c r="G5658" s="11">
        <v>109243.7</v>
      </c>
    </row>
    <row r="5659" spans="2:7" x14ac:dyDescent="0.2">
      <c r="B5659" s="32">
        <v>45962</v>
      </c>
      <c r="C5659" t="s">
        <v>142</v>
      </c>
      <c r="D5659" s="13" t="s">
        <v>633</v>
      </c>
      <c r="E5659" t="s">
        <v>287</v>
      </c>
      <c r="F5659" s="11">
        <v>1</v>
      </c>
      <c r="G5659" s="11">
        <v>58823.53</v>
      </c>
    </row>
    <row r="5660" spans="2:7" x14ac:dyDescent="0.2">
      <c r="B5660" s="32">
        <v>45962</v>
      </c>
      <c r="C5660" t="s">
        <v>110</v>
      </c>
      <c r="D5660" s="13" t="s">
        <v>634</v>
      </c>
      <c r="E5660" t="s">
        <v>347</v>
      </c>
      <c r="F5660" s="11">
        <v>1</v>
      </c>
      <c r="G5660" s="11">
        <v>75630.25</v>
      </c>
    </row>
    <row r="5661" spans="2:7" x14ac:dyDescent="0.2">
      <c r="B5661" s="32">
        <v>45962</v>
      </c>
      <c r="C5661" t="s">
        <v>109</v>
      </c>
      <c r="D5661" s="13" t="s">
        <v>634</v>
      </c>
      <c r="E5661" t="s">
        <v>329</v>
      </c>
      <c r="F5661" s="11">
        <v>2</v>
      </c>
      <c r="G5661" s="11">
        <v>420168.07</v>
      </c>
    </row>
    <row r="5662" spans="2:7" x14ac:dyDescent="0.2">
      <c r="B5662" s="32">
        <v>45962</v>
      </c>
      <c r="C5662" t="s">
        <v>109</v>
      </c>
      <c r="D5662" s="13" t="s">
        <v>634</v>
      </c>
      <c r="E5662" t="s">
        <v>181</v>
      </c>
      <c r="F5662" s="11">
        <v>2</v>
      </c>
      <c r="G5662" s="11">
        <v>142857.14000000001</v>
      </c>
    </row>
    <row r="5663" spans="2:7" x14ac:dyDescent="0.2">
      <c r="B5663" s="32">
        <v>45962</v>
      </c>
      <c r="C5663" t="s">
        <v>109</v>
      </c>
      <c r="D5663" s="13" t="s">
        <v>634</v>
      </c>
      <c r="E5663" t="s">
        <v>1968</v>
      </c>
      <c r="F5663" s="11">
        <v>2</v>
      </c>
      <c r="G5663" s="11">
        <v>84033.61</v>
      </c>
    </row>
    <row r="5664" spans="2:7" x14ac:dyDescent="0.2">
      <c r="B5664" s="32">
        <v>45962</v>
      </c>
      <c r="C5664" t="s">
        <v>109</v>
      </c>
      <c r="D5664" s="13" t="s">
        <v>634</v>
      </c>
      <c r="E5664" t="s">
        <v>208</v>
      </c>
      <c r="F5664" s="11">
        <v>1</v>
      </c>
      <c r="G5664" s="11">
        <v>58823.53</v>
      </c>
    </row>
    <row r="5665" spans="2:7" x14ac:dyDescent="0.2">
      <c r="B5665" s="32">
        <v>45962</v>
      </c>
      <c r="C5665" t="s">
        <v>109</v>
      </c>
      <c r="D5665" s="13" t="s">
        <v>634</v>
      </c>
      <c r="E5665" t="s">
        <v>348</v>
      </c>
      <c r="F5665" s="11">
        <v>1</v>
      </c>
      <c r="G5665" s="11">
        <v>54621.85</v>
      </c>
    </row>
    <row r="5666" spans="2:7" x14ac:dyDescent="0.2">
      <c r="B5666" s="32">
        <v>45962</v>
      </c>
      <c r="C5666" t="s">
        <v>109</v>
      </c>
      <c r="D5666" s="13" t="s">
        <v>633</v>
      </c>
      <c r="E5666" t="s">
        <v>446</v>
      </c>
      <c r="F5666" s="11">
        <v>1</v>
      </c>
      <c r="G5666" s="11">
        <v>151260.5</v>
      </c>
    </row>
    <row r="5667" spans="2:7" x14ac:dyDescent="0.2">
      <c r="B5667" s="32">
        <v>45962</v>
      </c>
      <c r="C5667" t="s">
        <v>109</v>
      </c>
      <c r="D5667" s="13" t="s">
        <v>633</v>
      </c>
      <c r="E5667" t="s">
        <v>1924</v>
      </c>
      <c r="F5667" s="11">
        <v>2</v>
      </c>
      <c r="G5667" s="11">
        <v>117647.06</v>
      </c>
    </row>
    <row r="5668" spans="2:7" x14ac:dyDescent="0.2">
      <c r="B5668" s="32">
        <v>45962</v>
      </c>
      <c r="C5668" t="s">
        <v>109</v>
      </c>
      <c r="D5668" s="13" t="s">
        <v>633</v>
      </c>
      <c r="E5668" t="s">
        <v>618</v>
      </c>
      <c r="F5668" s="11">
        <v>1</v>
      </c>
      <c r="G5668" s="11">
        <v>100840.34</v>
      </c>
    </row>
    <row r="5669" spans="2:7" x14ac:dyDescent="0.2">
      <c r="B5669" s="32">
        <v>45962</v>
      </c>
      <c r="C5669" t="s">
        <v>109</v>
      </c>
      <c r="D5669" s="13" t="s">
        <v>633</v>
      </c>
      <c r="E5669" t="s">
        <v>327</v>
      </c>
      <c r="F5669" s="11">
        <v>1</v>
      </c>
      <c r="G5669" s="11">
        <v>90000</v>
      </c>
    </row>
    <row r="5670" spans="2:7" x14ac:dyDescent="0.2">
      <c r="B5670" s="32">
        <v>45962</v>
      </c>
      <c r="C5670" t="s">
        <v>109</v>
      </c>
      <c r="D5670" s="13" t="s">
        <v>633</v>
      </c>
      <c r="E5670" t="s">
        <v>150</v>
      </c>
      <c r="F5670" s="11">
        <v>2</v>
      </c>
      <c r="G5670" s="11">
        <v>84033.61</v>
      </c>
    </row>
    <row r="5671" spans="2:7" x14ac:dyDescent="0.2">
      <c r="B5671" s="32">
        <v>45962</v>
      </c>
      <c r="C5671" t="s">
        <v>109</v>
      </c>
      <c r="D5671" s="13" t="s">
        <v>633</v>
      </c>
      <c r="E5671" t="s">
        <v>144</v>
      </c>
      <c r="F5671" s="11">
        <v>4</v>
      </c>
      <c r="G5671" s="11">
        <v>81512.59</v>
      </c>
    </row>
    <row r="5672" spans="2:7" x14ac:dyDescent="0.2">
      <c r="B5672" s="32">
        <v>45962</v>
      </c>
      <c r="C5672" t="s">
        <v>109</v>
      </c>
      <c r="D5672" s="13" t="s">
        <v>633</v>
      </c>
      <c r="E5672" t="s">
        <v>667</v>
      </c>
      <c r="F5672" s="11">
        <v>1</v>
      </c>
      <c r="G5672" s="11">
        <v>78000</v>
      </c>
    </row>
    <row r="5673" spans="2:7" x14ac:dyDescent="0.2">
      <c r="B5673" s="32">
        <v>45962</v>
      </c>
      <c r="C5673" t="s">
        <v>109</v>
      </c>
      <c r="D5673" s="13" t="s">
        <v>633</v>
      </c>
      <c r="E5673" t="s">
        <v>681</v>
      </c>
      <c r="F5673" s="11">
        <v>1</v>
      </c>
      <c r="G5673" s="11">
        <v>75630.25</v>
      </c>
    </row>
    <row r="5674" spans="2:7" x14ac:dyDescent="0.2">
      <c r="B5674" s="32">
        <v>45962</v>
      </c>
      <c r="C5674" t="s">
        <v>109</v>
      </c>
      <c r="D5674" s="13" t="s">
        <v>633</v>
      </c>
      <c r="E5674" t="s">
        <v>1890</v>
      </c>
      <c r="F5674" s="11">
        <v>1</v>
      </c>
      <c r="G5674" s="11">
        <v>75630.25</v>
      </c>
    </row>
    <row r="5675" spans="2:7" x14ac:dyDescent="0.2">
      <c r="B5675" s="32">
        <v>45962</v>
      </c>
      <c r="C5675" t="s">
        <v>109</v>
      </c>
      <c r="D5675" s="13" t="s">
        <v>633</v>
      </c>
      <c r="E5675" t="s">
        <v>2014</v>
      </c>
      <c r="F5675" s="11">
        <v>1</v>
      </c>
      <c r="G5675" s="11">
        <v>71428.570000000007</v>
      </c>
    </row>
    <row r="5676" spans="2:7" x14ac:dyDescent="0.2">
      <c r="B5676" s="32">
        <v>45962</v>
      </c>
      <c r="C5676" t="s">
        <v>109</v>
      </c>
      <c r="D5676" s="13" t="s">
        <v>633</v>
      </c>
      <c r="E5676" t="s">
        <v>473</v>
      </c>
      <c r="F5676" s="11">
        <v>1</v>
      </c>
      <c r="G5676" s="11">
        <v>50420.17</v>
      </c>
    </row>
    <row r="5677" spans="2:7" x14ac:dyDescent="0.2">
      <c r="B5677" s="32">
        <v>45962</v>
      </c>
      <c r="C5677" t="s">
        <v>109</v>
      </c>
      <c r="D5677" s="13" t="s">
        <v>633</v>
      </c>
      <c r="E5677" t="s">
        <v>179</v>
      </c>
      <c r="F5677" s="11">
        <v>1</v>
      </c>
      <c r="G5677" s="11">
        <v>46218.49</v>
      </c>
    </row>
    <row r="5678" spans="2:7" x14ac:dyDescent="0.2">
      <c r="B5678" s="32">
        <v>45962</v>
      </c>
      <c r="C5678" t="s">
        <v>109</v>
      </c>
      <c r="D5678" s="13" t="s">
        <v>633</v>
      </c>
      <c r="E5678" t="s">
        <v>195</v>
      </c>
      <c r="F5678" s="11">
        <v>1</v>
      </c>
      <c r="G5678" s="11">
        <v>46218.49</v>
      </c>
    </row>
    <row r="5679" spans="2:7" x14ac:dyDescent="0.2">
      <c r="B5679" s="32">
        <v>45962</v>
      </c>
      <c r="C5679" t="s">
        <v>109</v>
      </c>
      <c r="D5679" s="13" t="s">
        <v>633</v>
      </c>
      <c r="E5679" t="s">
        <v>397</v>
      </c>
      <c r="F5679" s="11">
        <v>1</v>
      </c>
      <c r="G5679" s="11">
        <v>46218.49</v>
      </c>
    </row>
    <row r="5680" spans="2:7" x14ac:dyDescent="0.2">
      <c r="B5680" s="32">
        <v>45962</v>
      </c>
      <c r="C5680" t="s">
        <v>109</v>
      </c>
      <c r="D5680" s="13" t="s">
        <v>633</v>
      </c>
      <c r="E5680" t="s">
        <v>151</v>
      </c>
      <c r="F5680" s="11">
        <v>1</v>
      </c>
      <c r="G5680" s="11">
        <v>46218.49</v>
      </c>
    </row>
    <row r="5681" spans="2:7" x14ac:dyDescent="0.2">
      <c r="B5681" s="32">
        <v>45962</v>
      </c>
      <c r="C5681" t="s">
        <v>109</v>
      </c>
      <c r="D5681" s="13" t="s">
        <v>633</v>
      </c>
      <c r="E5681" t="s">
        <v>443</v>
      </c>
      <c r="F5681" s="11">
        <v>1</v>
      </c>
      <c r="G5681" s="11">
        <v>46218.49</v>
      </c>
    </row>
    <row r="5682" spans="2:7" x14ac:dyDescent="0.2">
      <c r="B5682" s="32">
        <v>45962</v>
      </c>
      <c r="C5682" t="s">
        <v>109</v>
      </c>
      <c r="D5682" s="13" t="s">
        <v>633</v>
      </c>
      <c r="E5682" t="s">
        <v>240</v>
      </c>
      <c r="F5682" s="11">
        <v>1</v>
      </c>
      <c r="G5682" s="11">
        <v>42016.81</v>
      </c>
    </row>
    <row r="5683" spans="2:7" x14ac:dyDescent="0.2">
      <c r="B5683" s="32">
        <v>45962</v>
      </c>
      <c r="C5683" t="s">
        <v>109</v>
      </c>
      <c r="D5683" s="13" t="s">
        <v>633</v>
      </c>
      <c r="E5683" t="s">
        <v>196</v>
      </c>
      <c r="F5683" s="11">
        <v>1</v>
      </c>
      <c r="G5683" s="11">
        <v>42016.81</v>
      </c>
    </row>
    <row r="5684" spans="2:7" x14ac:dyDescent="0.2">
      <c r="B5684" s="32">
        <v>45963</v>
      </c>
      <c r="C5684" t="s">
        <v>142</v>
      </c>
      <c r="D5684" s="13" t="s">
        <v>634</v>
      </c>
      <c r="E5684" t="s">
        <v>283</v>
      </c>
      <c r="F5684" s="11">
        <v>2</v>
      </c>
      <c r="G5684" s="11">
        <v>201680.68</v>
      </c>
    </row>
    <row r="5685" spans="2:7" x14ac:dyDescent="0.2">
      <c r="B5685" s="32">
        <v>45963</v>
      </c>
      <c r="C5685" t="s">
        <v>142</v>
      </c>
      <c r="D5685" s="13" t="s">
        <v>634</v>
      </c>
      <c r="E5685" t="s">
        <v>175</v>
      </c>
      <c r="F5685" s="11">
        <v>1</v>
      </c>
      <c r="G5685" s="11">
        <v>58823.519999999997</v>
      </c>
    </row>
    <row r="5686" spans="2:7" x14ac:dyDescent="0.2">
      <c r="B5686" s="32">
        <v>45963</v>
      </c>
      <c r="C5686" t="s">
        <v>142</v>
      </c>
      <c r="D5686" s="13" t="s">
        <v>633</v>
      </c>
      <c r="E5686" t="s">
        <v>281</v>
      </c>
      <c r="F5686" s="11">
        <v>1</v>
      </c>
      <c r="G5686" s="11">
        <v>58823.53</v>
      </c>
    </row>
    <row r="5687" spans="2:7" x14ac:dyDescent="0.2">
      <c r="B5687" s="32">
        <v>45963</v>
      </c>
      <c r="C5687" t="s">
        <v>142</v>
      </c>
      <c r="D5687" s="13" t="s">
        <v>633</v>
      </c>
      <c r="E5687" t="s">
        <v>282</v>
      </c>
      <c r="F5687" s="11">
        <v>1</v>
      </c>
      <c r="G5687" s="11">
        <v>58823.53</v>
      </c>
    </row>
    <row r="5688" spans="2:7" x14ac:dyDescent="0.2">
      <c r="B5688" s="32">
        <v>45963</v>
      </c>
      <c r="C5688" t="s">
        <v>109</v>
      </c>
      <c r="D5688" s="13" t="s">
        <v>634</v>
      </c>
      <c r="E5688" t="s">
        <v>271</v>
      </c>
      <c r="F5688" s="11">
        <v>12</v>
      </c>
      <c r="G5688" s="11">
        <v>705882.35</v>
      </c>
    </row>
    <row r="5689" spans="2:7" x14ac:dyDescent="0.2">
      <c r="B5689" s="32">
        <v>45963</v>
      </c>
      <c r="C5689" t="s">
        <v>109</v>
      </c>
      <c r="D5689" s="13" t="s">
        <v>634</v>
      </c>
      <c r="E5689" t="s">
        <v>318</v>
      </c>
      <c r="F5689" s="11">
        <v>1</v>
      </c>
      <c r="G5689" s="11">
        <v>58823.53</v>
      </c>
    </row>
    <row r="5690" spans="2:7" x14ac:dyDescent="0.2">
      <c r="B5690" s="32">
        <v>45963</v>
      </c>
      <c r="C5690" t="s">
        <v>109</v>
      </c>
      <c r="D5690" s="13" t="s">
        <v>634</v>
      </c>
      <c r="E5690" t="s">
        <v>553</v>
      </c>
      <c r="F5690" s="11">
        <v>1</v>
      </c>
      <c r="G5690" s="11">
        <v>58823.53</v>
      </c>
    </row>
    <row r="5691" spans="2:7" x14ac:dyDescent="0.2">
      <c r="B5691" s="32">
        <v>45963</v>
      </c>
      <c r="C5691" t="s">
        <v>109</v>
      </c>
      <c r="D5691" s="13" t="s">
        <v>634</v>
      </c>
      <c r="E5691" t="s">
        <v>327</v>
      </c>
      <c r="F5691" s="11">
        <v>1</v>
      </c>
      <c r="G5691" s="11">
        <v>30000</v>
      </c>
    </row>
    <row r="5692" spans="2:7" x14ac:dyDescent="0.2">
      <c r="B5692" s="32">
        <v>45963</v>
      </c>
      <c r="C5692" t="s">
        <v>109</v>
      </c>
      <c r="D5692" s="13" t="s">
        <v>634</v>
      </c>
      <c r="E5692" t="s">
        <v>526</v>
      </c>
      <c r="F5692" s="11">
        <v>12</v>
      </c>
      <c r="G5692" s="11">
        <v>0</v>
      </c>
    </row>
    <row r="5693" spans="2:7" x14ac:dyDescent="0.2">
      <c r="B5693" s="32">
        <v>45963</v>
      </c>
      <c r="C5693" t="s">
        <v>109</v>
      </c>
      <c r="D5693" s="13" t="s">
        <v>633</v>
      </c>
      <c r="E5693" t="s">
        <v>144</v>
      </c>
      <c r="F5693" s="11">
        <v>7</v>
      </c>
      <c r="G5693" s="11">
        <v>130672.27</v>
      </c>
    </row>
    <row r="5694" spans="2:7" x14ac:dyDescent="0.2">
      <c r="B5694" s="32">
        <v>45963</v>
      </c>
      <c r="C5694" t="s">
        <v>109</v>
      </c>
      <c r="D5694" s="13" t="s">
        <v>633</v>
      </c>
      <c r="E5694" t="s">
        <v>218</v>
      </c>
      <c r="F5694" s="11">
        <v>1</v>
      </c>
      <c r="G5694" s="11">
        <v>42016.81</v>
      </c>
    </row>
    <row r="5695" spans="2:7" x14ac:dyDescent="0.2">
      <c r="B5695" s="32">
        <v>45964</v>
      </c>
      <c r="C5695" t="s">
        <v>142</v>
      </c>
      <c r="D5695" s="13" t="s">
        <v>634</v>
      </c>
      <c r="E5695" t="s">
        <v>2041</v>
      </c>
      <c r="F5695" s="11">
        <v>1</v>
      </c>
      <c r="G5695" s="11">
        <v>84033.61</v>
      </c>
    </row>
    <row r="5696" spans="2:7" x14ac:dyDescent="0.2">
      <c r="B5696" s="32">
        <v>45964</v>
      </c>
      <c r="C5696" t="s">
        <v>142</v>
      </c>
      <c r="D5696" s="13" t="s">
        <v>634</v>
      </c>
      <c r="E5696" t="s">
        <v>285</v>
      </c>
      <c r="F5696" s="11">
        <v>1</v>
      </c>
      <c r="G5696" s="11">
        <v>58823.53</v>
      </c>
    </row>
    <row r="5697" spans="2:7" x14ac:dyDescent="0.2">
      <c r="B5697" s="32">
        <v>45964</v>
      </c>
      <c r="C5697" t="s">
        <v>142</v>
      </c>
      <c r="D5697" s="13" t="s">
        <v>634</v>
      </c>
      <c r="E5697" t="s">
        <v>447</v>
      </c>
      <c r="F5697" s="11">
        <v>1</v>
      </c>
      <c r="G5697" s="11">
        <v>58823.53</v>
      </c>
    </row>
    <row r="5698" spans="2:7" x14ac:dyDescent="0.2">
      <c r="B5698" s="32">
        <v>45964</v>
      </c>
      <c r="C5698" t="s">
        <v>142</v>
      </c>
      <c r="D5698" s="13" t="s">
        <v>633</v>
      </c>
      <c r="E5698" t="s">
        <v>581</v>
      </c>
      <c r="F5698" s="11">
        <v>1</v>
      </c>
      <c r="G5698" s="11">
        <v>121428.57</v>
      </c>
    </row>
    <row r="5699" spans="2:7" x14ac:dyDescent="0.2">
      <c r="B5699" s="32">
        <v>45964</v>
      </c>
      <c r="C5699" t="s">
        <v>142</v>
      </c>
      <c r="D5699" s="13" t="s">
        <v>633</v>
      </c>
      <c r="E5699" t="s">
        <v>620</v>
      </c>
      <c r="F5699" s="11">
        <v>1</v>
      </c>
      <c r="G5699" s="11">
        <v>121428.57</v>
      </c>
    </row>
    <row r="5700" spans="2:7" x14ac:dyDescent="0.2">
      <c r="B5700" s="32">
        <v>45964</v>
      </c>
      <c r="C5700" t="s">
        <v>142</v>
      </c>
      <c r="D5700" s="13" t="s">
        <v>633</v>
      </c>
      <c r="E5700" t="s">
        <v>767</v>
      </c>
      <c r="F5700" s="11">
        <v>1</v>
      </c>
      <c r="G5700" s="11">
        <v>110714.29</v>
      </c>
    </row>
    <row r="5701" spans="2:7" x14ac:dyDescent="0.2">
      <c r="B5701" s="32">
        <v>45964</v>
      </c>
      <c r="C5701" t="s">
        <v>142</v>
      </c>
      <c r="D5701" s="13" t="s">
        <v>633</v>
      </c>
      <c r="E5701" t="s">
        <v>1740</v>
      </c>
      <c r="F5701" s="11">
        <v>1</v>
      </c>
      <c r="G5701" s="11">
        <v>110714.29</v>
      </c>
    </row>
    <row r="5702" spans="2:7" x14ac:dyDescent="0.2">
      <c r="B5702" s="32">
        <v>45964</v>
      </c>
      <c r="C5702" t="s">
        <v>142</v>
      </c>
      <c r="D5702" s="13" t="s">
        <v>633</v>
      </c>
      <c r="E5702" t="s">
        <v>441</v>
      </c>
      <c r="F5702" s="11">
        <v>1</v>
      </c>
      <c r="G5702" s="11">
        <v>29411.75</v>
      </c>
    </row>
    <row r="5703" spans="2:7" x14ac:dyDescent="0.2">
      <c r="B5703" s="32">
        <v>45964</v>
      </c>
      <c r="C5703" t="s">
        <v>142</v>
      </c>
      <c r="D5703" s="13" t="s">
        <v>633</v>
      </c>
      <c r="F5703" s="11">
        <v>1</v>
      </c>
      <c r="G5703" s="11">
        <v>0.85</v>
      </c>
    </row>
    <row r="5704" spans="2:7" x14ac:dyDescent="0.2">
      <c r="B5704" s="32">
        <v>45964</v>
      </c>
      <c r="C5704" t="s">
        <v>109</v>
      </c>
      <c r="D5704" s="13" t="s">
        <v>634</v>
      </c>
      <c r="E5704" t="s">
        <v>364</v>
      </c>
      <c r="F5704" s="11">
        <v>1</v>
      </c>
      <c r="G5704" s="11">
        <v>100840.34</v>
      </c>
    </row>
    <row r="5705" spans="2:7" x14ac:dyDescent="0.2">
      <c r="B5705" s="32">
        <v>45964</v>
      </c>
      <c r="C5705" t="s">
        <v>109</v>
      </c>
      <c r="D5705" s="13" t="s">
        <v>633</v>
      </c>
      <c r="E5705" t="s">
        <v>175</v>
      </c>
      <c r="F5705" s="11">
        <v>2</v>
      </c>
      <c r="G5705" s="11">
        <v>117647.06</v>
      </c>
    </row>
    <row r="5706" spans="2:7" x14ac:dyDescent="0.2">
      <c r="B5706" s="32">
        <v>45964</v>
      </c>
      <c r="C5706" t="s">
        <v>109</v>
      </c>
      <c r="D5706" s="13" t="s">
        <v>633</v>
      </c>
      <c r="E5706" t="s">
        <v>144</v>
      </c>
      <c r="F5706" s="11">
        <v>1</v>
      </c>
      <c r="G5706" s="11">
        <v>25210.080000000002</v>
      </c>
    </row>
    <row r="5707" spans="2:7" x14ac:dyDescent="0.2">
      <c r="B5707" s="32">
        <v>45965</v>
      </c>
      <c r="C5707" t="s">
        <v>142</v>
      </c>
      <c r="D5707" s="13" t="s">
        <v>634</v>
      </c>
      <c r="E5707" t="s">
        <v>154</v>
      </c>
      <c r="F5707" s="11">
        <v>2</v>
      </c>
      <c r="G5707" s="11">
        <v>201680.68</v>
      </c>
    </row>
    <row r="5708" spans="2:7" x14ac:dyDescent="0.2">
      <c r="B5708" s="32">
        <v>45965</v>
      </c>
      <c r="C5708" t="s">
        <v>142</v>
      </c>
      <c r="D5708" s="13" t="s">
        <v>634</v>
      </c>
      <c r="E5708" t="s">
        <v>313</v>
      </c>
      <c r="F5708" s="11">
        <v>1</v>
      </c>
      <c r="G5708" s="11">
        <v>100840.34</v>
      </c>
    </row>
    <row r="5709" spans="2:7" x14ac:dyDescent="0.2">
      <c r="B5709" s="32">
        <v>45965</v>
      </c>
      <c r="C5709" t="s">
        <v>142</v>
      </c>
      <c r="D5709" s="13" t="s">
        <v>634</v>
      </c>
      <c r="E5709" t="s">
        <v>233</v>
      </c>
      <c r="F5709" s="11">
        <v>1</v>
      </c>
      <c r="G5709" s="11">
        <v>58823.53</v>
      </c>
    </row>
    <row r="5710" spans="2:7" x14ac:dyDescent="0.2">
      <c r="B5710" s="32">
        <v>45965</v>
      </c>
      <c r="C5710" t="s">
        <v>142</v>
      </c>
      <c r="D5710" s="13" t="s">
        <v>633</v>
      </c>
      <c r="E5710" t="s">
        <v>554</v>
      </c>
      <c r="F5710" s="11">
        <v>2</v>
      </c>
      <c r="G5710" s="11">
        <v>537815.13</v>
      </c>
    </row>
    <row r="5711" spans="2:7" x14ac:dyDescent="0.2">
      <c r="B5711" s="32">
        <v>45965</v>
      </c>
      <c r="C5711" t="s">
        <v>142</v>
      </c>
      <c r="D5711" s="13" t="s">
        <v>633</v>
      </c>
      <c r="E5711" t="s">
        <v>609</v>
      </c>
      <c r="F5711" s="11">
        <v>1</v>
      </c>
      <c r="G5711" s="11">
        <v>239495.8</v>
      </c>
    </row>
    <row r="5712" spans="2:7" x14ac:dyDescent="0.2">
      <c r="B5712" s="32">
        <v>45965</v>
      </c>
      <c r="C5712" t="s">
        <v>142</v>
      </c>
      <c r="D5712" s="13" t="s">
        <v>633</v>
      </c>
      <c r="E5712" t="s">
        <v>159</v>
      </c>
      <c r="F5712" s="11">
        <v>1</v>
      </c>
      <c r="G5712" s="11">
        <v>239495.79</v>
      </c>
    </row>
    <row r="5713" spans="2:7" x14ac:dyDescent="0.2">
      <c r="B5713" s="32">
        <v>45965</v>
      </c>
      <c r="C5713" t="s">
        <v>142</v>
      </c>
      <c r="D5713" s="13" t="s">
        <v>633</v>
      </c>
      <c r="E5713" t="s">
        <v>2062</v>
      </c>
      <c r="F5713" s="11">
        <v>3</v>
      </c>
      <c r="G5713" s="11">
        <v>176470.59</v>
      </c>
    </row>
    <row r="5714" spans="2:7" x14ac:dyDescent="0.2">
      <c r="B5714" s="32">
        <v>45965</v>
      </c>
      <c r="C5714" t="s">
        <v>109</v>
      </c>
      <c r="D5714" s="13" t="s">
        <v>634</v>
      </c>
      <c r="E5714" t="s">
        <v>287</v>
      </c>
      <c r="F5714" s="11">
        <v>1</v>
      </c>
      <c r="G5714" s="11">
        <v>84033.61</v>
      </c>
    </row>
    <row r="5715" spans="2:7" x14ac:dyDescent="0.2">
      <c r="B5715" s="32">
        <v>45965</v>
      </c>
      <c r="C5715" t="s">
        <v>109</v>
      </c>
      <c r="D5715" s="13" t="s">
        <v>634</v>
      </c>
      <c r="E5715" t="s">
        <v>182</v>
      </c>
      <c r="F5715" s="11">
        <v>2</v>
      </c>
      <c r="G5715" s="11">
        <v>50420.160000000003</v>
      </c>
    </row>
    <row r="5716" spans="2:7" x14ac:dyDescent="0.2">
      <c r="B5716" s="32">
        <v>45965</v>
      </c>
      <c r="C5716" t="s">
        <v>109</v>
      </c>
      <c r="D5716" s="13" t="s">
        <v>634</v>
      </c>
      <c r="E5716" t="s">
        <v>1963</v>
      </c>
      <c r="F5716" s="11">
        <v>1</v>
      </c>
      <c r="G5716" s="11">
        <v>42016.81</v>
      </c>
    </row>
    <row r="5717" spans="2:7" x14ac:dyDescent="0.2">
      <c r="B5717" s="32">
        <v>45965</v>
      </c>
      <c r="C5717" t="s">
        <v>109</v>
      </c>
      <c r="D5717" s="13" t="s">
        <v>634</v>
      </c>
      <c r="E5717" t="s">
        <v>234</v>
      </c>
      <c r="F5717" s="11">
        <v>1</v>
      </c>
      <c r="G5717" s="11">
        <v>37815.129999999997</v>
      </c>
    </row>
    <row r="5718" spans="2:7" x14ac:dyDescent="0.2">
      <c r="B5718" s="32">
        <v>45965</v>
      </c>
      <c r="C5718" t="s">
        <v>109</v>
      </c>
      <c r="D5718" s="13" t="s">
        <v>634</v>
      </c>
      <c r="E5718" t="s">
        <v>1846</v>
      </c>
      <c r="F5718" s="11">
        <v>1</v>
      </c>
      <c r="G5718" s="11">
        <v>21008.400000000001</v>
      </c>
    </row>
    <row r="5719" spans="2:7" x14ac:dyDescent="0.2">
      <c r="B5719" s="32">
        <v>45965</v>
      </c>
      <c r="C5719" t="s">
        <v>109</v>
      </c>
      <c r="D5719" s="13" t="s">
        <v>634</v>
      </c>
      <c r="E5719" t="s">
        <v>1727</v>
      </c>
      <c r="F5719" s="11">
        <v>1</v>
      </c>
      <c r="G5719" s="11">
        <v>0</v>
      </c>
    </row>
    <row r="5720" spans="2:7" x14ac:dyDescent="0.2">
      <c r="B5720" s="32">
        <v>45965</v>
      </c>
      <c r="C5720" t="s">
        <v>109</v>
      </c>
      <c r="D5720" s="13" t="s">
        <v>633</v>
      </c>
      <c r="E5720" t="s">
        <v>378</v>
      </c>
      <c r="F5720" s="11">
        <v>1</v>
      </c>
      <c r="G5720" s="11">
        <v>58823.519999999997</v>
      </c>
    </row>
    <row r="5721" spans="2:7" x14ac:dyDescent="0.2">
      <c r="B5721" s="32">
        <v>45966</v>
      </c>
      <c r="C5721" t="s">
        <v>108</v>
      </c>
      <c r="D5721" s="13" t="s">
        <v>634</v>
      </c>
      <c r="E5721" t="s">
        <v>181</v>
      </c>
      <c r="F5721" s="11">
        <v>30</v>
      </c>
      <c r="G5721" s="11">
        <v>1500000</v>
      </c>
    </row>
    <row r="5722" spans="2:7" x14ac:dyDescent="0.2">
      <c r="B5722" s="32">
        <v>45966</v>
      </c>
      <c r="C5722" t="s">
        <v>142</v>
      </c>
      <c r="D5722" s="13" t="s">
        <v>634</v>
      </c>
      <c r="E5722" t="s">
        <v>154</v>
      </c>
      <c r="F5722" s="11">
        <v>2</v>
      </c>
      <c r="G5722" s="11">
        <v>201680.67</v>
      </c>
    </row>
    <row r="5723" spans="2:7" x14ac:dyDescent="0.2">
      <c r="B5723" s="32">
        <v>45966</v>
      </c>
      <c r="C5723" t="s">
        <v>142</v>
      </c>
      <c r="D5723" s="13" t="s">
        <v>634</v>
      </c>
      <c r="E5723" t="s">
        <v>444</v>
      </c>
      <c r="F5723" s="11">
        <v>1</v>
      </c>
      <c r="G5723" s="11">
        <v>92436.97</v>
      </c>
    </row>
    <row r="5724" spans="2:7" x14ac:dyDescent="0.2">
      <c r="B5724" s="32">
        <v>45966</v>
      </c>
      <c r="C5724" t="s">
        <v>142</v>
      </c>
      <c r="D5724" s="13" t="s">
        <v>634</v>
      </c>
      <c r="E5724" t="s">
        <v>251</v>
      </c>
      <c r="F5724" s="11">
        <v>1</v>
      </c>
      <c r="G5724" s="11">
        <v>58823.53</v>
      </c>
    </row>
    <row r="5725" spans="2:7" x14ac:dyDescent="0.2">
      <c r="B5725" s="32">
        <v>45966</v>
      </c>
      <c r="C5725" t="s">
        <v>142</v>
      </c>
      <c r="D5725" s="13" t="s">
        <v>633</v>
      </c>
      <c r="E5725" t="s">
        <v>175</v>
      </c>
      <c r="F5725" s="11">
        <v>1</v>
      </c>
      <c r="G5725" s="11">
        <v>58823.53</v>
      </c>
    </row>
    <row r="5726" spans="2:7" x14ac:dyDescent="0.2">
      <c r="B5726" s="32">
        <v>45966</v>
      </c>
      <c r="C5726" t="s">
        <v>142</v>
      </c>
      <c r="D5726" s="13" t="s">
        <v>633</v>
      </c>
      <c r="E5726" t="s">
        <v>163</v>
      </c>
      <c r="F5726" s="11">
        <v>1</v>
      </c>
      <c r="G5726" s="11">
        <v>58823.53</v>
      </c>
    </row>
    <row r="5727" spans="2:7" x14ac:dyDescent="0.2">
      <c r="B5727" s="32">
        <v>45966</v>
      </c>
      <c r="C5727" t="s">
        <v>142</v>
      </c>
      <c r="D5727" s="13" t="s">
        <v>633</v>
      </c>
      <c r="E5727" t="s">
        <v>411</v>
      </c>
      <c r="F5727" s="11">
        <v>1</v>
      </c>
      <c r="G5727" s="11">
        <v>58823.53</v>
      </c>
    </row>
    <row r="5728" spans="2:7" x14ac:dyDescent="0.2">
      <c r="B5728" s="32">
        <v>45966</v>
      </c>
      <c r="C5728" t="s">
        <v>142</v>
      </c>
      <c r="D5728" s="13" t="s">
        <v>633</v>
      </c>
      <c r="E5728" t="s">
        <v>315</v>
      </c>
      <c r="F5728" s="11">
        <v>1</v>
      </c>
      <c r="G5728" s="11">
        <v>58823.53</v>
      </c>
    </row>
    <row r="5729" spans="2:7" x14ac:dyDescent="0.2">
      <c r="B5729" s="32">
        <v>45966</v>
      </c>
      <c r="C5729" t="s">
        <v>142</v>
      </c>
      <c r="D5729" s="13" t="s">
        <v>633</v>
      </c>
      <c r="E5729" t="s">
        <v>2067</v>
      </c>
      <c r="F5729" s="11">
        <v>1</v>
      </c>
      <c r="G5729" s="11">
        <v>46218.49</v>
      </c>
    </row>
    <row r="5730" spans="2:7" x14ac:dyDescent="0.2">
      <c r="B5730" s="32">
        <v>45966</v>
      </c>
      <c r="C5730" t="s">
        <v>109</v>
      </c>
      <c r="D5730" s="13" t="s">
        <v>634</v>
      </c>
      <c r="E5730" t="s">
        <v>694</v>
      </c>
      <c r="F5730" s="11">
        <v>3</v>
      </c>
      <c r="G5730" s="11">
        <v>390756.3</v>
      </c>
    </row>
    <row r="5731" spans="2:7" x14ac:dyDescent="0.2">
      <c r="B5731" s="32">
        <v>45966</v>
      </c>
      <c r="C5731" t="s">
        <v>109</v>
      </c>
      <c r="D5731" s="13" t="s">
        <v>634</v>
      </c>
      <c r="E5731" t="s">
        <v>164</v>
      </c>
      <c r="F5731" s="11">
        <v>2</v>
      </c>
      <c r="G5731" s="11">
        <v>142857.15</v>
      </c>
    </row>
    <row r="5732" spans="2:7" x14ac:dyDescent="0.2">
      <c r="B5732" s="32">
        <v>45966</v>
      </c>
      <c r="C5732" t="s">
        <v>109</v>
      </c>
      <c r="D5732" s="13" t="s">
        <v>634</v>
      </c>
      <c r="E5732" t="s">
        <v>431</v>
      </c>
      <c r="F5732" s="11">
        <v>1</v>
      </c>
      <c r="G5732" s="11">
        <v>84033.61</v>
      </c>
    </row>
    <row r="5733" spans="2:7" x14ac:dyDescent="0.2">
      <c r="B5733" s="32">
        <v>45966</v>
      </c>
      <c r="C5733" t="s">
        <v>109</v>
      </c>
      <c r="D5733" s="13" t="s">
        <v>634</v>
      </c>
      <c r="E5733" t="s">
        <v>1791</v>
      </c>
      <c r="F5733" s="11">
        <v>1</v>
      </c>
      <c r="G5733" s="11">
        <v>79831.929999999993</v>
      </c>
    </row>
    <row r="5734" spans="2:7" x14ac:dyDescent="0.2">
      <c r="B5734" s="32">
        <v>45966</v>
      </c>
      <c r="C5734" t="s">
        <v>109</v>
      </c>
      <c r="D5734" s="13" t="s">
        <v>634</v>
      </c>
      <c r="E5734" t="s">
        <v>152</v>
      </c>
      <c r="F5734" s="11">
        <v>1</v>
      </c>
      <c r="G5734" s="11">
        <v>75630.25</v>
      </c>
    </row>
    <row r="5735" spans="2:7" x14ac:dyDescent="0.2">
      <c r="B5735" s="32">
        <v>45966</v>
      </c>
      <c r="C5735" t="s">
        <v>109</v>
      </c>
      <c r="D5735" s="13" t="s">
        <v>634</v>
      </c>
      <c r="E5735" t="s">
        <v>149</v>
      </c>
      <c r="F5735" s="11">
        <v>1</v>
      </c>
      <c r="G5735" s="11">
        <v>71428.570000000007</v>
      </c>
    </row>
    <row r="5736" spans="2:7" x14ac:dyDescent="0.2">
      <c r="B5736" s="32">
        <v>45966</v>
      </c>
      <c r="C5736" t="s">
        <v>109</v>
      </c>
      <c r="D5736" s="13" t="s">
        <v>634</v>
      </c>
      <c r="E5736" t="s">
        <v>352</v>
      </c>
      <c r="F5736" s="11">
        <v>1</v>
      </c>
      <c r="G5736" s="11">
        <v>71428.570000000007</v>
      </c>
    </row>
    <row r="5737" spans="2:7" x14ac:dyDescent="0.2">
      <c r="B5737" s="32">
        <v>45966</v>
      </c>
      <c r="C5737" t="s">
        <v>109</v>
      </c>
      <c r="D5737" s="13" t="s">
        <v>633</v>
      </c>
      <c r="F5737" s="11">
        <v>1</v>
      </c>
      <c r="G5737" s="11">
        <v>117647.06</v>
      </c>
    </row>
    <row r="5738" spans="2:7" x14ac:dyDescent="0.2">
      <c r="B5738" s="32">
        <v>45966</v>
      </c>
      <c r="C5738" t="s">
        <v>109</v>
      </c>
      <c r="D5738" s="13" t="s">
        <v>633</v>
      </c>
      <c r="E5738" t="s">
        <v>185</v>
      </c>
      <c r="F5738" s="11">
        <v>1</v>
      </c>
      <c r="G5738" s="11">
        <v>100840.34</v>
      </c>
    </row>
    <row r="5739" spans="2:7" x14ac:dyDescent="0.2">
      <c r="B5739" s="32">
        <v>45966</v>
      </c>
      <c r="C5739" t="s">
        <v>109</v>
      </c>
      <c r="D5739" s="13" t="s">
        <v>633</v>
      </c>
      <c r="E5739" t="s">
        <v>212</v>
      </c>
      <c r="F5739" s="11">
        <v>1</v>
      </c>
      <c r="G5739" s="11">
        <v>54621.85</v>
      </c>
    </row>
    <row r="5740" spans="2:7" x14ac:dyDescent="0.2">
      <c r="B5740" s="32">
        <v>45966</v>
      </c>
      <c r="C5740" t="s">
        <v>109</v>
      </c>
      <c r="D5740" s="13" t="s">
        <v>633</v>
      </c>
      <c r="E5740" t="s">
        <v>1769</v>
      </c>
      <c r="F5740" s="11">
        <v>1</v>
      </c>
      <c r="G5740" s="11">
        <v>21008.400000000001</v>
      </c>
    </row>
    <row r="5741" spans="2:7" x14ac:dyDescent="0.2">
      <c r="B5741" s="32">
        <v>45967</v>
      </c>
      <c r="C5741" t="s">
        <v>142</v>
      </c>
      <c r="D5741" s="13" t="s">
        <v>633</v>
      </c>
      <c r="E5741" t="s">
        <v>1711</v>
      </c>
      <c r="F5741" s="11">
        <v>1</v>
      </c>
      <c r="G5741" s="11">
        <v>54621.85</v>
      </c>
    </row>
    <row r="5742" spans="2:7" x14ac:dyDescent="0.2">
      <c r="B5742" s="32">
        <v>45967</v>
      </c>
      <c r="C5742" t="s">
        <v>109</v>
      </c>
      <c r="D5742" s="13" t="s">
        <v>634</v>
      </c>
      <c r="E5742" t="s">
        <v>544</v>
      </c>
      <c r="F5742" s="11">
        <v>1</v>
      </c>
      <c r="G5742" s="11">
        <v>75000</v>
      </c>
    </row>
    <row r="5743" spans="2:7" x14ac:dyDescent="0.2">
      <c r="B5743" s="32">
        <v>45967</v>
      </c>
      <c r="C5743" t="s">
        <v>109</v>
      </c>
      <c r="D5743" s="13" t="s">
        <v>634</v>
      </c>
      <c r="E5743" t="s">
        <v>161</v>
      </c>
      <c r="F5743" s="11">
        <v>1</v>
      </c>
      <c r="G5743" s="11">
        <v>42016.81</v>
      </c>
    </row>
    <row r="5744" spans="2:7" x14ac:dyDescent="0.2">
      <c r="B5744" s="32">
        <v>45967</v>
      </c>
      <c r="C5744" t="s">
        <v>109</v>
      </c>
      <c r="D5744" s="13" t="s">
        <v>633</v>
      </c>
      <c r="E5744" t="s">
        <v>144</v>
      </c>
      <c r="F5744" s="11">
        <v>15</v>
      </c>
      <c r="G5744" s="11">
        <v>252100.84</v>
      </c>
    </row>
    <row r="5745" spans="2:7" x14ac:dyDescent="0.2">
      <c r="B5745" s="32">
        <v>45967</v>
      </c>
      <c r="C5745" t="s">
        <v>109</v>
      </c>
      <c r="D5745" s="13" t="s">
        <v>633</v>
      </c>
      <c r="E5745" t="s">
        <v>251</v>
      </c>
      <c r="F5745" s="11">
        <v>2</v>
      </c>
      <c r="G5745" s="11">
        <v>142857.15</v>
      </c>
    </row>
    <row r="5746" spans="2:7" x14ac:dyDescent="0.2">
      <c r="B5746" s="32">
        <v>45967</v>
      </c>
      <c r="C5746" t="s">
        <v>109</v>
      </c>
      <c r="D5746" s="13" t="s">
        <v>633</v>
      </c>
      <c r="E5746" t="s">
        <v>2071</v>
      </c>
      <c r="F5746" s="11">
        <v>3</v>
      </c>
      <c r="G5746" s="11">
        <v>138655.46</v>
      </c>
    </row>
    <row r="5747" spans="2:7" x14ac:dyDescent="0.2">
      <c r="B5747" s="32">
        <v>45967</v>
      </c>
      <c r="C5747" t="s">
        <v>109</v>
      </c>
      <c r="D5747" s="13" t="s">
        <v>633</v>
      </c>
      <c r="E5747" t="s">
        <v>181</v>
      </c>
      <c r="F5747" s="11">
        <v>1</v>
      </c>
      <c r="G5747" s="11">
        <v>84033.61</v>
      </c>
    </row>
    <row r="5748" spans="2:7" x14ac:dyDescent="0.2">
      <c r="B5748" s="32">
        <v>45967</v>
      </c>
      <c r="C5748" t="s">
        <v>109</v>
      </c>
      <c r="D5748" s="13" t="s">
        <v>633</v>
      </c>
      <c r="E5748" t="s">
        <v>1988</v>
      </c>
      <c r="F5748" s="11">
        <v>1</v>
      </c>
      <c r="G5748" s="11">
        <v>71428.570000000007</v>
      </c>
    </row>
    <row r="5749" spans="2:7" x14ac:dyDescent="0.2">
      <c r="B5749" s="32">
        <v>45967</v>
      </c>
      <c r="C5749" t="s">
        <v>109</v>
      </c>
      <c r="D5749" s="13" t="s">
        <v>633</v>
      </c>
      <c r="E5749" t="s">
        <v>357</v>
      </c>
      <c r="F5749" s="11">
        <v>1</v>
      </c>
      <c r="G5749" s="11">
        <v>71428.570000000007</v>
      </c>
    </row>
    <row r="5750" spans="2:7" x14ac:dyDescent="0.2">
      <c r="B5750" s="32">
        <v>45967</v>
      </c>
      <c r="C5750" t="s">
        <v>109</v>
      </c>
      <c r="D5750" s="13" t="s">
        <v>633</v>
      </c>
      <c r="E5750" t="s">
        <v>352</v>
      </c>
      <c r="F5750" s="11">
        <v>1</v>
      </c>
      <c r="G5750" s="11">
        <v>71428.570000000007</v>
      </c>
    </row>
    <row r="5751" spans="2:7" x14ac:dyDescent="0.2">
      <c r="B5751" s="32">
        <v>45967</v>
      </c>
      <c r="C5751" t="s">
        <v>109</v>
      </c>
      <c r="D5751" s="13" t="s">
        <v>633</v>
      </c>
      <c r="E5751" t="s">
        <v>398</v>
      </c>
      <c r="F5751" s="11">
        <v>1</v>
      </c>
      <c r="G5751" s="11">
        <v>58823.53</v>
      </c>
    </row>
    <row r="5752" spans="2:7" x14ac:dyDescent="0.2">
      <c r="B5752" s="32">
        <v>45967</v>
      </c>
      <c r="C5752" t="s">
        <v>109</v>
      </c>
      <c r="D5752" s="13" t="s">
        <v>633</v>
      </c>
      <c r="E5752" t="s">
        <v>740</v>
      </c>
      <c r="F5752" s="11">
        <v>1</v>
      </c>
      <c r="G5752" s="11">
        <v>58823.53</v>
      </c>
    </row>
    <row r="5753" spans="2:7" x14ac:dyDescent="0.2">
      <c r="B5753" s="32">
        <v>45967</v>
      </c>
      <c r="C5753" t="s">
        <v>109</v>
      </c>
      <c r="D5753" s="13" t="s">
        <v>633</v>
      </c>
      <c r="E5753" t="s">
        <v>283</v>
      </c>
      <c r="F5753" s="11">
        <v>1</v>
      </c>
      <c r="G5753" s="11">
        <v>54621.85</v>
      </c>
    </row>
    <row r="5754" spans="2:7" x14ac:dyDescent="0.2">
      <c r="B5754" s="32">
        <v>45967</v>
      </c>
      <c r="C5754" t="s">
        <v>109</v>
      </c>
      <c r="D5754" s="13" t="s">
        <v>633</v>
      </c>
      <c r="E5754" t="s">
        <v>401</v>
      </c>
      <c r="F5754" s="11">
        <v>1</v>
      </c>
      <c r="G5754" s="11">
        <v>54621.85</v>
      </c>
    </row>
    <row r="5755" spans="2:7" x14ac:dyDescent="0.2">
      <c r="B5755" s="32">
        <v>45967</v>
      </c>
      <c r="C5755" t="s">
        <v>109</v>
      </c>
      <c r="D5755" s="13" t="s">
        <v>633</v>
      </c>
      <c r="E5755" t="s">
        <v>704</v>
      </c>
      <c r="F5755" s="11">
        <v>1</v>
      </c>
      <c r="G5755" s="11">
        <v>46218.48</v>
      </c>
    </row>
    <row r="5756" spans="2:7" x14ac:dyDescent="0.2">
      <c r="B5756" s="32">
        <v>45967</v>
      </c>
      <c r="C5756" t="s">
        <v>109</v>
      </c>
      <c r="D5756" s="13" t="s">
        <v>633</v>
      </c>
      <c r="E5756" t="s">
        <v>309</v>
      </c>
      <c r="F5756" s="11">
        <v>1</v>
      </c>
      <c r="G5756" s="11">
        <v>42016.81</v>
      </c>
    </row>
    <row r="5757" spans="2:7" x14ac:dyDescent="0.2">
      <c r="B5757" s="32">
        <v>45968</v>
      </c>
      <c r="C5757" t="s">
        <v>142</v>
      </c>
      <c r="D5757" s="13" t="s">
        <v>634</v>
      </c>
      <c r="F5757" s="11">
        <v>1</v>
      </c>
      <c r="G5757" s="11">
        <v>268907.56</v>
      </c>
    </row>
    <row r="5758" spans="2:7" x14ac:dyDescent="0.2">
      <c r="B5758" s="32">
        <v>45968</v>
      </c>
      <c r="C5758" t="s">
        <v>142</v>
      </c>
      <c r="D5758" s="13" t="s">
        <v>634</v>
      </c>
      <c r="E5758" t="s">
        <v>439</v>
      </c>
      <c r="F5758" s="11">
        <v>1</v>
      </c>
      <c r="G5758" s="11">
        <v>109243.71</v>
      </c>
    </row>
    <row r="5759" spans="2:7" x14ac:dyDescent="0.2">
      <c r="B5759" s="32">
        <v>45968</v>
      </c>
      <c r="C5759" t="s">
        <v>142</v>
      </c>
      <c r="D5759" s="13" t="s">
        <v>634</v>
      </c>
      <c r="E5759" t="s">
        <v>2031</v>
      </c>
      <c r="F5759" s="11">
        <v>1</v>
      </c>
      <c r="G5759" s="11">
        <v>84033.61</v>
      </c>
    </row>
    <row r="5760" spans="2:7" x14ac:dyDescent="0.2">
      <c r="B5760" s="32">
        <v>45968</v>
      </c>
      <c r="C5760" t="s">
        <v>142</v>
      </c>
      <c r="D5760" s="13" t="s">
        <v>634</v>
      </c>
      <c r="E5760" t="s">
        <v>1989</v>
      </c>
      <c r="F5760" s="11">
        <v>2</v>
      </c>
      <c r="G5760" s="11">
        <v>75630.25</v>
      </c>
    </row>
    <row r="5761" spans="2:7" x14ac:dyDescent="0.2">
      <c r="B5761" s="32">
        <v>45968</v>
      </c>
      <c r="C5761" t="s">
        <v>110</v>
      </c>
      <c r="D5761" s="13" t="s">
        <v>634</v>
      </c>
      <c r="E5761" t="s">
        <v>427</v>
      </c>
      <c r="F5761" s="11">
        <v>1</v>
      </c>
      <c r="G5761" s="11">
        <v>54621.85</v>
      </c>
    </row>
    <row r="5762" spans="2:7" x14ac:dyDescent="0.2">
      <c r="B5762" s="32">
        <v>45968</v>
      </c>
      <c r="C5762" t="s">
        <v>109</v>
      </c>
      <c r="D5762" s="13" t="s">
        <v>634</v>
      </c>
      <c r="E5762" t="s">
        <v>624</v>
      </c>
      <c r="F5762" s="11">
        <v>2</v>
      </c>
      <c r="G5762" s="11">
        <v>142857.15</v>
      </c>
    </row>
    <row r="5763" spans="2:7" x14ac:dyDescent="0.2">
      <c r="B5763" s="32">
        <v>45968</v>
      </c>
      <c r="C5763" t="s">
        <v>109</v>
      </c>
      <c r="D5763" s="13" t="s">
        <v>634</v>
      </c>
      <c r="E5763" t="s">
        <v>1770</v>
      </c>
      <c r="F5763" s="11">
        <v>1</v>
      </c>
      <c r="G5763" s="11">
        <v>130252.1</v>
      </c>
    </row>
    <row r="5764" spans="2:7" x14ac:dyDescent="0.2">
      <c r="B5764" s="32">
        <v>45968</v>
      </c>
      <c r="C5764" t="s">
        <v>109</v>
      </c>
      <c r="D5764" s="13" t="s">
        <v>634</v>
      </c>
      <c r="E5764" t="s">
        <v>144</v>
      </c>
      <c r="F5764" s="11">
        <v>6</v>
      </c>
      <c r="G5764" s="11">
        <v>113865.54</v>
      </c>
    </row>
    <row r="5765" spans="2:7" x14ac:dyDescent="0.2">
      <c r="B5765" s="32">
        <v>45968</v>
      </c>
      <c r="C5765" t="s">
        <v>109</v>
      </c>
      <c r="D5765" s="13" t="s">
        <v>634</v>
      </c>
      <c r="E5765" t="s">
        <v>2078</v>
      </c>
      <c r="F5765" s="11">
        <v>1</v>
      </c>
      <c r="G5765" s="11">
        <v>100840.34</v>
      </c>
    </row>
    <row r="5766" spans="2:7" x14ac:dyDescent="0.2">
      <c r="B5766" s="32">
        <v>45968</v>
      </c>
      <c r="C5766" t="s">
        <v>109</v>
      </c>
      <c r="D5766" s="13" t="s">
        <v>634</v>
      </c>
      <c r="E5766" t="s">
        <v>602</v>
      </c>
      <c r="F5766" s="11">
        <v>1</v>
      </c>
      <c r="G5766" s="11">
        <v>100840.34</v>
      </c>
    </row>
    <row r="5767" spans="2:7" x14ac:dyDescent="0.2">
      <c r="B5767" s="32">
        <v>45968</v>
      </c>
      <c r="C5767" t="s">
        <v>109</v>
      </c>
      <c r="D5767" s="13" t="s">
        <v>634</v>
      </c>
      <c r="E5767" t="s">
        <v>1900</v>
      </c>
      <c r="F5767" s="11">
        <v>1</v>
      </c>
      <c r="G5767" s="11">
        <v>75630.25</v>
      </c>
    </row>
    <row r="5768" spans="2:7" x14ac:dyDescent="0.2">
      <c r="B5768" s="32">
        <v>45968</v>
      </c>
      <c r="C5768" t="s">
        <v>109</v>
      </c>
      <c r="D5768" s="13" t="s">
        <v>634</v>
      </c>
      <c r="E5768" t="s">
        <v>336</v>
      </c>
      <c r="F5768" s="11">
        <v>1</v>
      </c>
      <c r="G5768" s="11">
        <v>71428.570000000007</v>
      </c>
    </row>
    <row r="5769" spans="2:7" x14ac:dyDescent="0.2">
      <c r="B5769" s="32">
        <v>45968</v>
      </c>
      <c r="C5769" t="s">
        <v>109</v>
      </c>
      <c r="D5769" s="13" t="s">
        <v>634</v>
      </c>
      <c r="E5769" t="s">
        <v>352</v>
      </c>
      <c r="F5769" s="11">
        <v>1</v>
      </c>
      <c r="G5769" s="11">
        <v>71428.570000000007</v>
      </c>
    </row>
    <row r="5770" spans="2:7" x14ac:dyDescent="0.2">
      <c r="B5770" s="32">
        <v>45968</v>
      </c>
      <c r="C5770" t="s">
        <v>109</v>
      </c>
      <c r="D5770" s="13" t="s">
        <v>634</v>
      </c>
      <c r="E5770" t="s">
        <v>357</v>
      </c>
      <c r="F5770" s="11">
        <v>1</v>
      </c>
      <c r="G5770" s="11">
        <v>71428.570000000007</v>
      </c>
    </row>
    <row r="5771" spans="2:7" x14ac:dyDescent="0.2">
      <c r="B5771" s="32">
        <v>45968</v>
      </c>
      <c r="C5771" t="s">
        <v>109</v>
      </c>
      <c r="D5771" s="13" t="s">
        <v>634</v>
      </c>
      <c r="E5771" t="s">
        <v>320</v>
      </c>
      <c r="F5771" s="11">
        <v>1</v>
      </c>
      <c r="G5771" s="11">
        <v>58823.53</v>
      </c>
    </row>
    <row r="5772" spans="2:7" x14ac:dyDescent="0.2">
      <c r="B5772" s="32">
        <v>45968</v>
      </c>
      <c r="C5772" t="s">
        <v>109</v>
      </c>
      <c r="D5772" s="13" t="s">
        <v>634</v>
      </c>
      <c r="E5772" t="s">
        <v>287</v>
      </c>
      <c r="F5772" s="11">
        <v>1</v>
      </c>
      <c r="G5772" s="11">
        <v>58823.53</v>
      </c>
    </row>
    <row r="5773" spans="2:7" x14ac:dyDescent="0.2">
      <c r="B5773" s="32">
        <v>45968</v>
      </c>
      <c r="C5773" t="s">
        <v>109</v>
      </c>
      <c r="D5773" s="13" t="s">
        <v>634</v>
      </c>
      <c r="E5773" t="s">
        <v>809</v>
      </c>
      <c r="F5773" s="11">
        <v>1</v>
      </c>
      <c r="G5773" s="11">
        <v>58823.519999999997</v>
      </c>
    </row>
    <row r="5774" spans="2:7" x14ac:dyDescent="0.2">
      <c r="B5774" s="32">
        <v>45968</v>
      </c>
      <c r="C5774" t="s">
        <v>109</v>
      </c>
      <c r="D5774" s="13" t="s">
        <v>634</v>
      </c>
      <c r="E5774" t="s">
        <v>495</v>
      </c>
      <c r="F5774" s="11">
        <v>1</v>
      </c>
      <c r="G5774" s="11">
        <v>54621.85</v>
      </c>
    </row>
    <row r="5775" spans="2:7" x14ac:dyDescent="0.2">
      <c r="B5775" s="32">
        <v>45968</v>
      </c>
      <c r="C5775" t="s">
        <v>109</v>
      </c>
      <c r="D5775" s="13" t="s">
        <v>634</v>
      </c>
      <c r="E5775" t="s">
        <v>619</v>
      </c>
      <c r="F5775" s="11">
        <v>1</v>
      </c>
      <c r="G5775" s="11">
        <v>50420.17</v>
      </c>
    </row>
    <row r="5776" spans="2:7" x14ac:dyDescent="0.2">
      <c r="B5776" s="32">
        <v>45968</v>
      </c>
      <c r="C5776" t="s">
        <v>109</v>
      </c>
      <c r="D5776" s="13" t="s">
        <v>634</v>
      </c>
      <c r="E5776" t="s">
        <v>338</v>
      </c>
      <c r="F5776" s="11">
        <v>1</v>
      </c>
      <c r="G5776" s="11">
        <v>46218.49</v>
      </c>
    </row>
    <row r="5777" spans="2:7" x14ac:dyDescent="0.2">
      <c r="B5777" s="32">
        <v>45968</v>
      </c>
      <c r="C5777" t="s">
        <v>109</v>
      </c>
      <c r="D5777" s="13" t="s">
        <v>634</v>
      </c>
      <c r="E5777" t="s">
        <v>145</v>
      </c>
      <c r="F5777" s="11">
        <v>2</v>
      </c>
      <c r="G5777" s="11">
        <v>45378.15</v>
      </c>
    </row>
    <row r="5778" spans="2:7" x14ac:dyDescent="0.2">
      <c r="B5778" s="32">
        <v>45968</v>
      </c>
      <c r="C5778" t="s">
        <v>109</v>
      </c>
      <c r="D5778" s="13" t="s">
        <v>634</v>
      </c>
      <c r="E5778" t="s">
        <v>153</v>
      </c>
      <c r="F5778" s="11">
        <v>1</v>
      </c>
      <c r="G5778" s="11">
        <v>42016.81</v>
      </c>
    </row>
    <row r="5779" spans="2:7" x14ac:dyDescent="0.2">
      <c r="B5779" s="32">
        <v>45968</v>
      </c>
      <c r="C5779" t="s">
        <v>109</v>
      </c>
      <c r="D5779" s="13" t="s">
        <v>634</v>
      </c>
      <c r="E5779" t="s">
        <v>209</v>
      </c>
      <c r="F5779" s="11">
        <v>1</v>
      </c>
      <c r="G5779" s="11">
        <v>16806.72</v>
      </c>
    </row>
    <row r="5780" spans="2:7" x14ac:dyDescent="0.2">
      <c r="B5780" s="32">
        <v>45968</v>
      </c>
      <c r="C5780" t="s">
        <v>109</v>
      </c>
      <c r="D5780" s="13" t="s">
        <v>633</v>
      </c>
      <c r="E5780" t="s">
        <v>144</v>
      </c>
      <c r="F5780" s="11">
        <v>3</v>
      </c>
      <c r="G5780" s="11">
        <v>139495.79999999999</v>
      </c>
    </row>
    <row r="5781" spans="2:7" x14ac:dyDescent="0.2">
      <c r="B5781" s="32">
        <v>45968</v>
      </c>
      <c r="C5781" t="s">
        <v>109</v>
      </c>
      <c r="D5781" s="13" t="s">
        <v>633</v>
      </c>
      <c r="E5781" t="s">
        <v>374</v>
      </c>
      <c r="F5781" s="11">
        <v>2</v>
      </c>
      <c r="G5781" s="11">
        <v>117647.06</v>
      </c>
    </row>
    <row r="5782" spans="2:7" x14ac:dyDescent="0.2">
      <c r="B5782" s="32">
        <v>45968</v>
      </c>
      <c r="C5782" t="s">
        <v>109</v>
      </c>
      <c r="D5782" s="13" t="s">
        <v>633</v>
      </c>
      <c r="E5782" t="s">
        <v>167</v>
      </c>
      <c r="F5782" s="11">
        <v>1</v>
      </c>
      <c r="G5782" s="11">
        <v>100840.34</v>
      </c>
    </row>
    <row r="5783" spans="2:7" x14ac:dyDescent="0.2">
      <c r="B5783" s="32">
        <v>45968</v>
      </c>
      <c r="C5783" t="s">
        <v>109</v>
      </c>
      <c r="D5783" s="13" t="s">
        <v>633</v>
      </c>
      <c r="E5783" t="s">
        <v>2079</v>
      </c>
      <c r="F5783" s="11">
        <v>1</v>
      </c>
      <c r="G5783" s="11">
        <v>84033.61</v>
      </c>
    </row>
    <row r="5784" spans="2:7" x14ac:dyDescent="0.2">
      <c r="B5784" s="32">
        <v>45968</v>
      </c>
      <c r="C5784" t="s">
        <v>109</v>
      </c>
      <c r="D5784" s="13" t="s">
        <v>633</v>
      </c>
      <c r="E5784" t="s">
        <v>208</v>
      </c>
      <c r="F5784" s="11">
        <v>1</v>
      </c>
      <c r="G5784" s="11">
        <v>58823.53</v>
      </c>
    </row>
    <row r="5785" spans="2:7" x14ac:dyDescent="0.2">
      <c r="B5785" s="32">
        <v>45968</v>
      </c>
      <c r="C5785" t="s">
        <v>109</v>
      </c>
      <c r="D5785" s="13" t="s">
        <v>633</v>
      </c>
      <c r="E5785" t="s">
        <v>441</v>
      </c>
      <c r="F5785" s="11">
        <v>2</v>
      </c>
      <c r="G5785" s="11">
        <v>58823.519999999997</v>
      </c>
    </row>
    <row r="5786" spans="2:7" x14ac:dyDescent="0.2">
      <c r="B5786" s="32">
        <v>45968</v>
      </c>
      <c r="C5786" t="s">
        <v>109</v>
      </c>
      <c r="D5786" s="13" t="s">
        <v>633</v>
      </c>
      <c r="E5786" t="s">
        <v>1896</v>
      </c>
      <c r="F5786" s="11">
        <v>1</v>
      </c>
      <c r="G5786" s="11">
        <v>46218.49</v>
      </c>
    </row>
    <row r="5787" spans="2:7" x14ac:dyDescent="0.2">
      <c r="B5787" s="32">
        <v>45968</v>
      </c>
      <c r="C5787" t="s">
        <v>109</v>
      </c>
      <c r="D5787" s="13" t="s">
        <v>633</v>
      </c>
      <c r="E5787" t="s">
        <v>234</v>
      </c>
      <c r="F5787" s="11">
        <v>1</v>
      </c>
      <c r="G5787" s="11">
        <v>37815.129999999997</v>
      </c>
    </row>
    <row r="5788" spans="2:7" x14ac:dyDescent="0.2">
      <c r="B5788" s="32">
        <v>45968</v>
      </c>
      <c r="C5788" t="s">
        <v>109</v>
      </c>
      <c r="D5788" s="13" t="s">
        <v>633</v>
      </c>
      <c r="E5788" t="s">
        <v>148</v>
      </c>
      <c r="F5788" s="11">
        <v>1</v>
      </c>
      <c r="G5788" s="11">
        <v>37815.120000000003</v>
      </c>
    </row>
    <row r="5789" spans="2:7" x14ac:dyDescent="0.2">
      <c r="B5789" s="32">
        <v>45969</v>
      </c>
      <c r="C5789" t="s">
        <v>142</v>
      </c>
      <c r="D5789" s="13" t="s">
        <v>634</v>
      </c>
      <c r="E5789" t="s">
        <v>2020</v>
      </c>
      <c r="F5789" s="11">
        <v>2</v>
      </c>
      <c r="G5789" s="11">
        <v>117647.06</v>
      </c>
    </row>
    <row r="5790" spans="2:7" x14ac:dyDescent="0.2">
      <c r="B5790" s="32">
        <v>45969</v>
      </c>
      <c r="C5790" t="s">
        <v>142</v>
      </c>
      <c r="D5790" s="13" t="s">
        <v>634</v>
      </c>
      <c r="E5790" t="s">
        <v>551</v>
      </c>
      <c r="F5790" s="11">
        <v>1</v>
      </c>
      <c r="G5790" s="11">
        <v>100840.34</v>
      </c>
    </row>
    <row r="5791" spans="2:7" x14ac:dyDescent="0.2">
      <c r="B5791" s="32">
        <v>45969</v>
      </c>
      <c r="C5791" t="s">
        <v>142</v>
      </c>
      <c r="D5791" s="13" t="s">
        <v>634</v>
      </c>
      <c r="E5791" t="s">
        <v>290</v>
      </c>
      <c r="F5791" s="11">
        <v>1</v>
      </c>
      <c r="G5791" s="11">
        <v>58823.53</v>
      </c>
    </row>
    <row r="5792" spans="2:7" x14ac:dyDescent="0.2">
      <c r="B5792" s="32">
        <v>45969</v>
      </c>
      <c r="C5792" t="s">
        <v>142</v>
      </c>
      <c r="D5792" s="13" t="s">
        <v>634</v>
      </c>
      <c r="E5792" t="s">
        <v>398</v>
      </c>
      <c r="F5792" s="11">
        <v>1</v>
      </c>
      <c r="G5792" s="11">
        <v>58823.53</v>
      </c>
    </row>
    <row r="5793" spans="2:7" x14ac:dyDescent="0.2">
      <c r="B5793" s="32">
        <v>45969</v>
      </c>
      <c r="C5793" t="s">
        <v>142</v>
      </c>
      <c r="D5793" s="13" t="s">
        <v>633</v>
      </c>
      <c r="E5793" t="s">
        <v>210</v>
      </c>
      <c r="F5793" s="11">
        <v>1</v>
      </c>
      <c r="G5793" s="11">
        <v>46218.49</v>
      </c>
    </row>
    <row r="5794" spans="2:7" x14ac:dyDescent="0.2">
      <c r="B5794" s="32">
        <v>45969</v>
      </c>
      <c r="C5794" t="s">
        <v>142</v>
      </c>
      <c r="D5794" s="13" t="s">
        <v>633</v>
      </c>
      <c r="E5794" t="s">
        <v>1749</v>
      </c>
      <c r="F5794" s="11">
        <v>1</v>
      </c>
      <c r="G5794" s="11">
        <v>46218.48</v>
      </c>
    </row>
    <row r="5795" spans="2:7" x14ac:dyDescent="0.2">
      <c r="B5795" s="32">
        <v>45969</v>
      </c>
      <c r="C5795" t="s">
        <v>1739</v>
      </c>
      <c r="D5795" s="13" t="s">
        <v>634</v>
      </c>
      <c r="E5795" t="s">
        <v>1914</v>
      </c>
      <c r="F5795" s="11">
        <v>1</v>
      </c>
      <c r="G5795" s="11">
        <v>130252.1</v>
      </c>
    </row>
    <row r="5796" spans="2:7" x14ac:dyDescent="0.2">
      <c r="B5796" s="32">
        <v>45969</v>
      </c>
      <c r="C5796" t="s">
        <v>109</v>
      </c>
      <c r="D5796" s="13"/>
      <c r="E5796" t="s">
        <v>670</v>
      </c>
      <c r="F5796" s="11">
        <v>7</v>
      </c>
      <c r="G5796" s="11">
        <v>0</v>
      </c>
    </row>
    <row r="5797" spans="2:7" x14ac:dyDescent="0.2">
      <c r="B5797" s="32">
        <v>45969</v>
      </c>
      <c r="C5797" t="s">
        <v>109</v>
      </c>
      <c r="D5797" s="13" t="s">
        <v>634</v>
      </c>
      <c r="E5797" t="s">
        <v>2080</v>
      </c>
      <c r="F5797" s="11">
        <v>13</v>
      </c>
      <c r="G5797" s="11">
        <v>2089285.72</v>
      </c>
    </row>
    <row r="5798" spans="2:7" x14ac:dyDescent="0.2">
      <c r="B5798" s="32">
        <v>45969</v>
      </c>
      <c r="C5798" t="s">
        <v>109</v>
      </c>
      <c r="D5798" s="13" t="s">
        <v>634</v>
      </c>
      <c r="E5798" t="s">
        <v>1797</v>
      </c>
      <c r="F5798" s="11">
        <v>12</v>
      </c>
      <c r="G5798" s="11">
        <v>942857.14</v>
      </c>
    </row>
    <row r="5799" spans="2:7" x14ac:dyDescent="0.2">
      <c r="B5799" s="32">
        <v>45969</v>
      </c>
      <c r="C5799" t="s">
        <v>109</v>
      </c>
      <c r="D5799" s="13" t="s">
        <v>634</v>
      </c>
      <c r="E5799" t="s">
        <v>453</v>
      </c>
      <c r="F5799" s="11">
        <v>6</v>
      </c>
      <c r="G5799" s="11">
        <v>921428.57</v>
      </c>
    </row>
    <row r="5800" spans="2:7" x14ac:dyDescent="0.2">
      <c r="B5800" s="32">
        <v>45969</v>
      </c>
      <c r="C5800" t="s">
        <v>109</v>
      </c>
      <c r="D5800" s="13" t="s">
        <v>634</v>
      </c>
      <c r="E5800" t="s">
        <v>364</v>
      </c>
      <c r="F5800" s="11">
        <v>1</v>
      </c>
      <c r="G5800" s="11">
        <v>100840.34</v>
      </c>
    </row>
    <row r="5801" spans="2:7" x14ac:dyDescent="0.2">
      <c r="B5801" s="32">
        <v>45969</v>
      </c>
      <c r="C5801" t="s">
        <v>109</v>
      </c>
      <c r="D5801" s="13" t="s">
        <v>634</v>
      </c>
      <c r="E5801" t="s">
        <v>658</v>
      </c>
      <c r="F5801" s="11">
        <v>1</v>
      </c>
      <c r="G5801" s="11">
        <v>54621.85</v>
      </c>
    </row>
    <row r="5802" spans="2:7" x14ac:dyDescent="0.2">
      <c r="B5802" s="32">
        <v>45969</v>
      </c>
      <c r="C5802" t="s">
        <v>109</v>
      </c>
      <c r="D5802" s="13" t="s">
        <v>634</v>
      </c>
      <c r="E5802" t="s">
        <v>181</v>
      </c>
      <c r="F5802" s="11">
        <v>1</v>
      </c>
      <c r="G5802" s="11">
        <v>50000</v>
      </c>
    </row>
    <row r="5803" spans="2:7" x14ac:dyDescent="0.2">
      <c r="B5803" s="32">
        <v>45969</v>
      </c>
      <c r="C5803" t="s">
        <v>109</v>
      </c>
      <c r="D5803" s="13" t="s">
        <v>634</v>
      </c>
      <c r="E5803" t="s">
        <v>156</v>
      </c>
      <c r="F5803" s="11">
        <v>1</v>
      </c>
      <c r="G5803" s="11">
        <v>42016.81</v>
      </c>
    </row>
    <row r="5804" spans="2:7" x14ac:dyDescent="0.2">
      <c r="B5804" s="32">
        <v>45969</v>
      </c>
      <c r="C5804" t="s">
        <v>109</v>
      </c>
      <c r="D5804" s="13" t="s">
        <v>634</v>
      </c>
      <c r="E5804" t="s">
        <v>1834</v>
      </c>
      <c r="F5804" s="11">
        <v>1</v>
      </c>
      <c r="G5804" s="11">
        <v>42016.800000000003</v>
      </c>
    </row>
    <row r="5805" spans="2:7" x14ac:dyDescent="0.2">
      <c r="B5805" s="32">
        <v>45969</v>
      </c>
      <c r="C5805" t="s">
        <v>109</v>
      </c>
      <c r="D5805" s="13" t="s">
        <v>633</v>
      </c>
      <c r="E5805" t="s">
        <v>159</v>
      </c>
      <c r="F5805" s="11">
        <v>1</v>
      </c>
      <c r="G5805" s="11">
        <v>239495.79</v>
      </c>
    </row>
    <row r="5806" spans="2:7" x14ac:dyDescent="0.2">
      <c r="B5806" s="32">
        <v>45969</v>
      </c>
      <c r="C5806" t="s">
        <v>109</v>
      </c>
      <c r="D5806" s="13" t="s">
        <v>633</v>
      </c>
      <c r="E5806" t="s">
        <v>361</v>
      </c>
      <c r="F5806" s="11">
        <v>2</v>
      </c>
      <c r="G5806" s="11">
        <v>159663.85999999999</v>
      </c>
    </row>
    <row r="5807" spans="2:7" x14ac:dyDescent="0.2">
      <c r="B5807" s="32">
        <v>45969</v>
      </c>
      <c r="C5807" t="s">
        <v>109</v>
      </c>
      <c r="D5807" s="13" t="s">
        <v>633</v>
      </c>
      <c r="E5807" t="s">
        <v>144</v>
      </c>
      <c r="F5807" s="11">
        <v>6</v>
      </c>
      <c r="G5807" s="11">
        <v>82352.94</v>
      </c>
    </row>
    <row r="5808" spans="2:7" x14ac:dyDescent="0.2">
      <c r="B5808" s="32">
        <v>45969</v>
      </c>
      <c r="C5808" t="s">
        <v>109</v>
      </c>
      <c r="D5808" s="13" t="s">
        <v>633</v>
      </c>
      <c r="E5808" t="s">
        <v>328</v>
      </c>
      <c r="F5808" s="11">
        <v>2</v>
      </c>
      <c r="G5808" s="11">
        <v>75630.25</v>
      </c>
    </row>
    <row r="5809" spans="2:7" x14ac:dyDescent="0.2">
      <c r="B5809" s="32">
        <v>45969</v>
      </c>
      <c r="C5809" t="s">
        <v>109</v>
      </c>
      <c r="D5809" s="13" t="s">
        <v>633</v>
      </c>
      <c r="E5809" t="s">
        <v>208</v>
      </c>
      <c r="F5809" s="11">
        <v>1</v>
      </c>
      <c r="G5809" s="11">
        <v>58823.53</v>
      </c>
    </row>
    <row r="5810" spans="2:7" x14ac:dyDescent="0.2">
      <c r="B5810" s="32">
        <v>45969</v>
      </c>
      <c r="C5810" t="s">
        <v>109</v>
      </c>
      <c r="D5810" s="13" t="s">
        <v>633</v>
      </c>
      <c r="E5810" t="s">
        <v>182</v>
      </c>
      <c r="F5810" s="11">
        <v>2</v>
      </c>
      <c r="G5810" s="11">
        <v>50420.17</v>
      </c>
    </row>
    <row r="5811" spans="2:7" x14ac:dyDescent="0.2">
      <c r="B5811" s="32">
        <v>45969</v>
      </c>
      <c r="C5811" t="s">
        <v>109</v>
      </c>
      <c r="D5811" s="13" t="s">
        <v>633</v>
      </c>
      <c r="E5811" t="s">
        <v>1749</v>
      </c>
      <c r="F5811" s="11">
        <v>1</v>
      </c>
      <c r="G5811" s="11">
        <v>46218.49</v>
      </c>
    </row>
    <row r="5812" spans="2:7" x14ac:dyDescent="0.2">
      <c r="B5812" s="32">
        <v>45969</v>
      </c>
      <c r="C5812" t="s">
        <v>109</v>
      </c>
      <c r="D5812" s="13" t="s">
        <v>633</v>
      </c>
      <c r="E5812" t="s">
        <v>206</v>
      </c>
      <c r="F5812" s="11">
        <v>1</v>
      </c>
      <c r="G5812" s="11">
        <v>37815.129999999997</v>
      </c>
    </row>
    <row r="5813" spans="2:7" x14ac:dyDescent="0.2">
      <c r="B5813" s="32">
        <v>45970</v>
      </c>
      <c r="C5813" t="s">
        <v>142</v>
      </c>
      <c r="D5813" s="13" t="s">
        <v>634</v>
      </c>
      <c r="E5813" t="s">
        <v>413</v>
      </c>
      <c r="F5813" s="11">
        <v>4</v>
      </c>
      <c r="G5813" s="11">
        <v>0</v>
      </c>
    </row>
    <row r="5814" spans="2:7" x14ac:dyDescent="0.2">
      <c r="B5814" s="32">
        <v>45970</v>
      </c>
      <c r="C5814" t="s">
        <v>142</v>
      </c>
      <c r="D5814" s="13" t="s">
        <v>634</v>
      </c>
      <c r="E5814" t="s">
        <v>609</v>
      </c>
      <c r="F5814" s="11">
        <v>2</v>
      </c>
      <c r="G5814" s="11">
        <v>0</v>
      </c>
    </row>
    <row r="5815" spans="2:7" x14ac:dyDescent="0.2">
      <c r="B5815" s="32">
        <v>45970</v>
      </c>
      <c r="C5815" t="s">
        <v>142</v>
      </c>
      <c r="D5815" s="13" t="s">
        <v>634</v>
      </c>
      <c r="E5815" t="s">
        <v>563</v>
      </c>
      <c r="F5815" s="11">
        <v>1</v>
      </c>
      <c r="G5815" s="11">
        <v>0</v>
      </c>
    </row>
    <row r="5816" spans="2:7" x14ac:dyDescent="0.2">
      <c r="B5816" s="32">
        <v>45970</v>
      </c>
      <c r="C5816" t="s">
        <v>142</v>
      </c>
      <c r="D5816" s="13" t="s">
        <v>634</v>
      </c>
      <c r="E5816" t="s">
        <v>184</v>
      </c>
      <c r="F5816" s="11">
        <v>2</v>
      </c>
      <c r="G5816" s="11">
        <v>0</v>
      </c>
    </row>
    <row r="5817" spans="2:7" x14ac:dyDescent="0.2">
      <c r="B5817" s="32">
        <v>45970</v>
      </c>
      <c r="C5817" t="s">
        <v>142</v>
      </c>
      <c r="D5817" s="13" t="s">
        <v>633</v>
      </c>
      <c r="E5817" t="s">
        <v>661</v>
      </c>
      <c r="F5817" s="11">
        <v>1</v>
      </c>
      <c r="G5817" s="11">
        <v>58823.53</v>
      </c>
    </row>
    <row r="5818" spans="2:7" x14ac:dyDescent="0.2">
      <c r="B5818" s="32">
        <v>45970</v>
      </c>
      <c r="C5818" t="s">
        <v>109</v>
      </c>
      <c r="D5818" s="13" t="s">
        <v>634</v>
      </c>
      <c r="E5818" t="s">
        <v>191</v>
      </c>
      <c r="F5818" s="11">
        <v>1</v>
      </c>
      <c r="G5818" s="11">
        <v>151260.5</v>
      </c>
    </row>
    <row r="5819" spans="2:7" x14ac:dyDescent="0.2">
      <c r="B5819" s="32">
        <v>45970</v>
      </c>
      <c r="C5819" t="s">
        <v>109</v>
      </c>
      <c r="D5819" s="13" t="s">
        <v>634</v>
      </c>
      <c r="E5819" t="s">
        <v>144</v>
      </c>
      <c r="F5819" s="11">
        <v>6</v>
      </c>
      <c r="G5819" s="11">
        <v>100420.17</v>
      </c>
    </row>
    <row r="5820" spans="2:7" x14ac:dyDescent="0.2">
      <c r="B5820" s="32">
        <v>45970</v>
      </c>
      <c r="C5820" t="s">
        <v>109</v>
      </c>
      <c r="D5820" s="13" t="s">
        <v>634</v>
      </c>
      <c r="E5820" t="s">
        <v>454</v>
      </c>
      <c r="F5820" s="11">
        <v>1</v>
      </c>
      <c r="G5820" s="11">
        <v>58823.53</v>
      </c>
    </row>
    <row r="5821" spans="2:7" x14ac:dyDescent="0.2">
      <c r="B5821" s="32">
        <v>45970</v>
      </c>
      <c r="C5821" t="s">
        <v>109</v>
      </c>
      <c r="D5821" s="13" t="s">
        <v>634</v>
      </c>
      <c r="E5821" t="s">
        <v>236</v>
      </c>
      <c r="F5821" s="11">
        <v>1</v>
      </c>
      <c r="G5821" s="11">
        <v>58823.53</v>
      </c>
    </row>
    <row r="5822" spans="2:7" x14ac:dyDescent="0.2">
      <c r="B5822" s="32">
        <v>45970</v>
      </c>
      <c r="C5822" t="s">
        <v>109</v>
      </c>
      <c r="D5822" s="13" t="s">
        <v>634</v>
      </c>
      <c r="E5822" t="s">
        <v>567</v>
      </c>
      <c r="F5822" s="11">
        <v>1</v>
      </c>
      <c r="G5822" s="11">
        <v>58823.519999999997</v>
      </c>
    </row>
    <row r="5823" spans="2:7" x14ac:dyDescent="0.2">
      <c r="B5823" s="32">
        <v>45970</v>
      </c>
      <c r="C5823" t="s">
        <v>109</v>
      </c>
      <c r="D5823" s="13" t="s">
        <v>634</v>
      </c>
      <c r="E5823" t="s">
        <v>195</v>
      </c>
      <c r="F5823" s="11">
        <v>1</v>
      </c>
      <c r="G5823" s="11">
        <v>46218.49</v>
      </c>
    </row>
    <row r="5824" spans="2:7" x14ac:dyDescent="0.2">
      <c r="B5824" s="32">
        <v>45970</v>
      </c>
      <c r="C5824" t="s">
        <v>109</v>
      </c>
      <c r="D5824" s="13" t="s">
        <v>634</v>
      </c>
      <c r="E5824" t="s">
        <v>218</v>
      </c>
      <c r="F5824" s="11">
        <v>1</v>
      </c>
      <c r="G5824" s="11">
        <v>29411.759999999998</v>
      </c>
    </row>
    <row r="5825" spans="2:7" x14ac:dyDescent="0.2">
      <c r="B5825" s="32">
        <v>45970</v>
      </c>
      <c r="C5825" t="s">
        <v>109</v>
      </c>
      <c r="D5825" s="13" t="s">
        <v>633</v>
      </c>
      <c r="E5825" t="s">
        <v>609</v>
      </c>
      <c r="F5825" s="11">
        <v>2</v>
      </c>
      <c r="G5825" s="11">
        <v>407142.86</v>
      </c>
    </row>
    <row r="5826" spans="2:7" x14ac:dyDescent="0.2">
      <c r="B5826" s="32">
        <v>45970</v>
      </c>
      <c r="C5826" t="s">
        <v>109</v>
      </c>
      <c r="D5826" s="13" t="s">
        <v>633</v>
      </c>
      <c r="E5826" t="s">
        <v>184</v>
      </c>
      <c r="F5826" s="11">
        <v>2</v>
      </c>
      <c r="G5826" s="11">
        <v>201680.67</v>
      </c>
    </row>
    <row r="5827" spans="2:7" x14ac:dyDescent="0.2">
      <c r="B5827" s="32">
        <v>45970</v>
      </c>
      <c r="C5827" t="s">
        <v>109</v>
      </c>
      <c r="D5827" s="13" t="s">
        <v>633</v>
      </c>
      <c r="E5827" t="s">
        <v>413</v>
      </c>
      <c r="F5827" s="11">
        <v>2</v>
      </c>
      <c r="G5827" s="11">
        <v>135714.29</v>
      </c>
    </row>
    <row r="5828" spans="2:7" x14ac:dyDescent="0.2">
      <c r="B5828" s="32">
        <v>45970</v>
      </c>
      <c r="C5828" t="s">
        <v>109</v>
      </c>
      <c r="D5828" s="13" t="s">
        <v>633</v>
      </c>
      <c r="E5828" t="s">
        <v>639</v>
      </c>
      <c r="F5828" s="11">
        <v>1</v>
      </c>
      <c r="G5828" s="11">
        <v>99000</v>
      </c>
    </row>
    <row r="5829" spans="2:7" x14ac:dyDescent="0.2">
      <c r="B5829" s="32">
        <v>45970</v>
      </c>
      <c r="C5829" t="s">
        <v>109</v>
      </c>
      <c r="D5829" s="13" t="s">
        <v>633</v>
      </c>
      <c r="E5829" t="s">
        <v>352</v>
      </c>
      <c r="F5829" s="11">
        <v>1</v>
      </c>
      <c r="G5829" s="11">
        <v>71428.570000000007</v>
      </c>
    </row>
    <row r="5830" spans="2:7" x14ac:dyDescent="0.2">
      <c r="B5830" s="32">
        <v>45970</v>
      </c>
      <c r="C5830" t="s">
        <v>109</v>
      </c>
      <c r="D5830" s="13" t="s">
        <v>633</v>
      </c>
      <c r="E5830" t="s">
        <v>624</v>
      </c>
      <c r="F5830" s="11">
        <v>1</v>
      </c>
      <c r="G5830" s="11">
        <v>71428.570000000007</v>
      </c>
    </row>
    <row r="5831" spans="2:7" x14ac:dyDescent="0.2">
      <c r="B5831" s="32">
        <v>45971</v>
      </c>
      <c r="C5831" t="s">
        <v>108</v>
      </c>
      <c r="D5831" s="13" t="s">
        <v>633</v>
      </c>
      <c r="E5831" t="s">
        <v>169</v>
      </c>
      <c r="F5831" s="11">
        <v>6</v>
      </c>
      <c r="G5831" s="11">
        <v>552100.84</v>
      </c>
    </row>
    <row r="5832" spans="2:7" x14ac:dyDescent="0.2">
      <c r="B5832" s="32">
        <v>45971</v>
      </c>
      <c r="C5832" t="s">
        <v>142</v>
      </c>
      <c r="D5832" s="13" t="s">
        <v>634</v>
      </c>
      <c r="E5832" t="s">
        <v>165</v>
      </c>
      <c r="F5832" s="11">
        <v>1</v>
      </c>
      <c r="G5832" s="11">
        <v>58823.53</v>
      </c>
    </row>
    <row r="5833" spans="2:7" x14ac:dyDescent="0.2">
      <c r="B5833" s="32">
        <v>45971</v>
      </c>
      <c r="C5833" t="s">
        <v>142</v>
      </c>
      <c r="D5833" s="13" t="s">
        <v>634</v>
      </c>
      <c r="E5833" t="s">
        <v>2081</v>
      </c>
      <c r="F5833" s="11">
        <v>1</v>
      </c>
      <c r="G5833" s="11">
        <v>50420.17</v>
      </c>
    </row>
    <row r="5834" spans="2:7" x14ac:dyDescent="0.2">
      <c r="B5834" s="32">
        <v>45971</v>
      </c>
      <c r="C5834" t="s">
        <v>142</v>
      </c>
      <c r="D5834" s="13" t="s">
        <v>634</v>
      </c>
      <c r="E5834" t="s">
        <v>2082</v>
      </c>
      <c r="F5834" s="11">
        <v>1</v>
      </c>
      <c r="G5834" s="11">
        <v>0</v>
      </c>
    </row>
    <row r="5835" spans="2:7" x14ac:dyDescent="0.2">
      <c r="B5835" s="32">
        <v>45971</v>
      </c>
      <c r="C5835" t="s">
        <v>142</v>
      </c>
      <c r="D5835" s="13" t="s">
        <v>633</v>
      </c>
      <c r="E5835" t="s">
        <v>1953</v>
      </c>
      <c r="F5835" s="11">
        <v>2</v>
      </c>
      <c r="G5835" s="11">
        <v>103781.51</v>
      </c>
    </row>
    <row r="5836" spans="2:7" x14ac:dyDescent="0.2">
      <c r="B5836" s="32">
        <v>45971</v>
      </c>
      <c r="C5836" t="s">
        <v>142</v>
      </c>
      <c r="D5836" s="13" t="s">
        <v>633</v>
      </c>
      <c r="E5836" t="s">
        <v>345</v>
      </c>
      <c r="F5836" s="11">
        <v>2</v>
      </c>
      <c r="G5836" s="11">
        <v>103781.51</v>
      </c>
    </row>
    <row r="5837" spans="2:7" x14ac:dyDescent="0.2">
      <c r="B5837" s="32">
        <v>45971</v>
      </c>
      <c r="C5837" t="s">
        <v>142</v>
      </c>
      <c r="D5837" s="13" t="s">
        <v>633</v>
      </c>
      <c r="E5837" t="s">
        <v>2083</v>
      </c>
      <c r="F5837" s="11">
        <v>1</v>
      </c>
      <c r="G5837" s="11">
        <v>84033.61</v>
      </c>
    </row>
    <row r="5838" spans="2:7" x14ac:dyDescent="0.2">
      <c r="B5838" s="32">
        <v>45971</v>
      </c>
      <c r="C5838" t="s">
        <v>142</v>
      </c>
      <c r="D5838" s="13" t="s">
        <v>633</v>
      </c>
      <c r="E5838" t="s">
        <v>2037</v>
      </c>
      <c r="F5838" s="11">
        <v>1</v>
      </c>
      <c r="G5838" s="11">
        <v>84033.61</v>
      </c>
    </row>
    <row r="5839" spans="2:7" x14ac:dyDescent="0.2">
      <c r="B5839" s="32">
        <v>45971</v>
      </c>
      <c r="C5839" t="s">
        <v>142</v>
      </c>
      <c r="D5839" s="13" t="s">
        <v>633</v>
      </c>
      <c r="E5839" t="s">
        <v>370</v>
      </c>
      <c r="F5839" s="11">
        <v>1</v>
      </c>
      <c r="G5839" s="11">
        <v>75840.34</v>
      </c>
    </row>
    <row r="5840" spans="2:7" x14ac:dyDescent="0.2">
      <c r="B5840" s="32">
        <v>45971</v>
      </c>
      <c r="C5840" t="s">
        <v>109</v>
      </c>
      <c r="D5840" s="13" t="s">
        <v>634</v>
      </c>
      <c r="E5840" t="s">
        <v>1905</v>
      </c>
      <c r="F5840" s="11">
        <v>6</v>
      </c>
      <c r="G5840" s="11">
        <v>1134453.78</v>
      </c>
    </row>
    <row r="5841" spans="2:7" x14ac:dyDescent="0.2">
      <c r="B5841" s="32">
        <v>45971</v>
      </c>
      <c r="C5841" t="s">
        <v>109</v>
      </c>
      <c r="D5841" s="13" t="s">
        <v>634</v>
      </c>
      <c r="E5841" t="s">
        <v>1900</v>
      </c>
      <c r="F5841" s="11">
        <v>8</v>
      </c>
      <c r="G5841" s="11">
        <v>605042.01</v>
      </c>
    </row>
    <row r="5842" spans="2:7" x14ac:dyDescent="0.2">
      <c r="B5842" s="32">
        <v>45971</v>
      </c>
      <c r="C5842" t="s">
        <v>109</v>
      </c>
      <c r="D5842" s="13" t="s">
        <v>634</v>
      </c>
      <c r="E5842" t="s">
        <v>608</v>
      </c>
      <c r="F5842" s="11">
        <v>3</v>
      </c>
      <c r="G5842" s="11">
        <v>243697.48</v>
      </c>
    </row>
    <row r="5843" spans="2:7" x14ac:dyDescent="0.2">
      <c r="B5843" s="32">
        <v>45971</v>
      </c>
      <c r="C5843" t="s">
        <v>109</v>
      </c>
      <c r="D5843" s="13" t="s">
        <v>634</v>
      </c>
      <c r="E5843" t="s">
        <v>413</v>
      </c>
      <c r="F5843" s="11">
        <v>3</v>
      </c>
      <c r="G5843" s="11">
        <v>203571.43</v>
      </c>
    </row>
    <row r="5844" spans="2:7" x14ac:dyDescent="0.2">
      <c r="B5844" s="32">
        <v>45971</v>
      </c>
      <c r="C5844" t="s">
        <v>109</v>
      </c>
      <c r="D5844" s="13" t="s">
        <v>634</v>
      </c>
      <c r="E5844" t="s">
        <v>264</v>
      </c>
      <c r="F5844" s="11">
        <v>1</v>
      </c>
      <c r="G5844" s="11">
        <v>75630.25</v>
      </c>
    </row>
    <row r="5845" spans="2:7" x14ac:dyDescent="0.2">
      <c r="B5845" s="32">
        <v>45971</v>
      </c>
      <c r="C5845" t="s">
        <v>109</v>
      </c>
      <c r="D5845" s="13" t="s">
        <v>634</v>
      </c>
      <c r="E5845" t="s">
        <v>563</v>
      </c>
      <c r="F5845" s="11">
        <v>1</v>
      </c>
      <c r="G5845" s="11">
        <v>67857.14</v>
      </c>
    </row>
    <row r="5846" spans="2:7" x14ac:dyDescent="0.2">
      <c r="B5846" s="32">
        <v>45971</v>
      </c>
      <c r="C5846" t="s">
        <v>109</v>
      </c>
      <c r="D5846" s="13" t="s">
        <v>634</v>
      </c>
      <c r="E5846" t="s">
        <v>1948</v>
      </c>
      <c r="F5846" s="11">
        <v>1</v>
      </c>
      <c r="G5846" s="11">
        <v>58823.53</v>
      </c>
    </row>
    <row r="5847" spans="2:7" x14ac:dyDescent="0.2">
      <c r="B5847" s="32">
        <v>45971</v>
      </c>
      <c r="C5847" t="s">
        <v>109</v>
      </c>
      <c r="D5847" s="13" t="s">
        <v>634</v>
      </c>
      <c r="E5847" t="s">
        <v>323</v>
      </c>
      <c r="F5847" s="11">
        <v>1</v>
      </c>
      <c r="G5847" s="11">
        <v>58823.53</v>
      </c>
    </row>
    <row r="5848" spans="2:7" x14ac:dyDescent="0.2">
      <c r="B5848" s="32">
        <v>45971</v>
      </c>
      <c r="C5848" t="s">
        <v>109</v>
      </c>
      <c r="D5848" s="13" t="s">
        <v>634</v>
      </c>
      <c r="E5848" t="s">
        <v>318</v>
      </c>
      <c r="F5848" s="11">
        <v>1</v>
      </c>
      <c r="G5848" s="11">
        <v>58823.53</v>
      </c>
    </row>
    <row r="5849" spans="2:7" x14ac:dyDescent="0.2">
      <c r="B5849" s="32">
        <v>45971</v>
      </c>
      <c r="C5849" t="s">
        <v>109</v>
      </c>
      <c r="D5849" s="13" t="s">
        <v>634</v>
      </c>
      <c r="E5849" t="s">
        <v>477</v>
      </c>
      <c r="F5849" s="11">
        <v>1</v>
      </c>
      <c r="G5849" s="11">
        <v>58823.53</v>
      </c>
    </row>
    <row r="5850" spans="2:7" x14ac:dyDescent="0.2">
      <c r="B5850" s="32">
        <v>45971</v>
      </c>
      <c r="C5850" t="s">
        <v>109</v>
      </c>
      <c r="D5850" s="13" t="s">
        <v>634</v>
      </c>
      <c r="E5850" t="s">
        <v>145</v>
      </c>
      <c r="F5850" s="11">
        <v>2</v>
      </c>
      <c r="G5850" s="11">
        <v>45378.16</v>
      </c>
    </row>
    <row r="5851" spans="2:7" x14ac:dyDescent="0.2">
      <c r="B5851" s="32">
        <v>45971</v>
      </c>
      <c r="C5851" t="s">
        <v>109</v>
      </c>
      <c r="D5851" s="13" t="s">
        <v>634</v>
      </c>
      <c r="E5851" t="s">
        <v>2059</v>
      </c>
      <c r="F5851" s="11">
        <v>1</v>
      </c>
      <c r="G5851" s="11">
        <v>16806.72</v>
      </c>
    </row>
    <row r="5852" spans="2:7" x14ac:dyDescent="0.2">
      <c r="B5852" s="32">
        <v>45971</v>
      </c>
      <c r="C5852" t="s">
        <v>109</v>
      </c>
      <c r="D5852" s="13" t="s">
        <v>634</v>
      </c>
      <c r="E5852" t="s">
        <v>1727</v>
      </c>
      <c r="F5852" s="11">
        <v>2</v>
      </c>
      <c r="G5852" s="11">
        <v>15126.06</v>
      </c>
    </row>
    <row r="5853" spans="2:7" x14ac:dyDescent="0.2">
      <c r="B5853" s="32">
        <v>45971</v>
      </c>
      <c r="C5853" t="s">
        <v>109</v>
      </c>
      <c r="D5853" s="13" t="s">
        <v>633</v>
      </c>
      <c r="E5853" t="s">
        <v>2082</v>
      </c>
      <c r="F5853" s="11">
        <v>2</v>
      </c>
      <c r="G5853" s="11">
        <v>285714.28999999998</v>
      </c>
    </row>
    <row r="5854" spans="2:7" x14ac:dyDescent="0.2">
      <c r="B5854" s="32">
        <v>45971</v>
      </c>
      <c r="C5854" t="s">
        <v>109</v>
      </c>
      <c r="D5854" s="13" t="s">
        <v>633</v>
      </c>
      <c r="E5854" t="s">
        <v>160</v>
      </c>
      <c r="F5854" s="11">
        <v>3</v>
      </c>
      <c r="G5854" s="11">
        <v>138655.46</v>
      </c>
    </row>
    <row r="5855" spans="2:7" x14ac:dyDescent="0.2">
      <c r="B5855" s="32">
        <v>45971</v>
      </c>
      <c r="C5855" t="s">
        <v>109</v>
      </c>
      <c r="D5855" s="13" t="s">
        <v>633</v>
      </c>
      <c r="E5855" t="s">
        <v>283</v>
      </c>
      <c r="F5855" s="11">
        <v>1</v>
      </c>
      <c r="G5855" s="11">
        <v>100840.34</v>
      </c>
    </row>
    <row r="5856" spans="2:7" x14ac:dyDescent="0.2">
      <c r="B5856" s="32">
        <v>45971</v>
      </c>
      <c r="C5856" t="s">
        <v>109</v>
      </c>
      <c r="D5856" s="13" t="s">
        <v>633</v>
      </c>
      <c r="E5856" t="s">
        <v>147</v>
      </c>
      <c r="F5856" s="11">
        <v>1</v>
      </c>
      <c r="G5856" s="11">
        <v>71428.570000000007</v>
      </c>
    </row>
    <row r="5857" spans="2:7" x14ac:dyDescent="0.2">
      <c r="B5857" s="32">
        <v>45971</v>
      </c>
      <c r="C5857" t="s">
        <v>109</v>
      </c>
      <c r="D5857" s="13" t="s">
        <v>633</v>
      </c>
      <c r="E5857" t="s">
        <v>489</v>
      </c>
      <c r="F5857" s="11">
        <v>1</v>
      </c>
      <c r="G5857" s="11">
        <v>58823.53</v>
      </c>
    </row>
    <row r="5858" spans="2:7" x14ac:dyDescent="0.2">
      <c r="B5858" s="32">
        <v>45971</v>
      </c>
      <c r="C5858" t="s">
        <v>109</v>
      </c>
      <c r="D5858" s="13" t="s">
        <v>633</v>
      </c>
      <c r="E5858" t="s">
        <v>158</v>
      </c>
      <c r="F5858" s="11">
        <v>1</v>
      </c>
      <c r="G5858" s="11">
        <v>46218.49</v>
      </c>
    </row>
    <row r="5859" spans="2:7" x14ac:dyDescent="0.2">
      <c r="B5859" s="32">
        <v>45971</v>
      </c>
      <c r="C5859" t="s">
        <v>109</v>
      </c>
      <c r="D5859" s="13" t="s">
        <v>633</v>
      </c>
      <c r="E5859" t="s">
        <v>145</v>
      </c>
      <c r="F5859" s="11">
        <v>1</v>
      </c>
      <c r="G5859" s="11">
        <v>22689.08</v>
      </c>
    </row>
    <row r="5860" spans="2:7" x14ac:dyDescent="0.2">
      <c r="B5860" s="32">
        <v>45971</v>
      </c>
      <c r="C5860" t="s">
        <v>109</v>
      </c>
      <c r="D5860" s="13" t="s">
        <v>633</v>
      </c>
      <c r="E5860" t="s">
        <v>144</v>
      </c>
      <c r="F5860" s="11">
        <v>2</v>
      </c>
      <c r="G5860" s="11">
        <v>16806.72</v>
      </c>
    </row>
    <row r="5861" spans="2:7" x14ac:dyDescent="0.2">
      <c r="B5861" s="32">
        <v>45972</v>
      </c>
      <c r="C5861" t="s">
        <v>142</v>
      </c>
      <c r="D5861" s="13" t="s">
        <v>634</v>
      </c>
      <c r="E5861" t="s">
        <v>1835</v>
      </c>
      <c r="F5861" s="11">
        <v>2</v>
      </c>
      <c r="G5861" s="11">
        <v>428571.43</v>
      </c>
    </row>
    <row r="5862" spans="2:7" x14ac:dyDescent="0.2">
      <c r="B5862" s="32">
        <v>45972</v>
      </c>
      <c r="C5862" t="s">
        <v>142</v>
      </c>
      <c r="D5862" s="13" t="s">
        <v>634</v>
      </c>
      <c r="E5862" t="s">
        <v>252</v>
      </c>
      <c r="F5862" s="11">
        <v>1</v>
      </c>
      <c r="G5862" s="11">
        <v>239495.8</v>
      </c>
    </row>
    <row r="5863" spans="2:7" x14ac:dyDescent="0.2">
      <c r="B5863" s="32">
        <v>45972</v>
      </c>
      <c r="C5863" t="s">
        <v>142</v>
      </c>
      <c r="D5863" s="13" t="s">
        <v>634</v>
      </c>
      <c r="E5863" t="s">
        <v>242</v>
      </c>
      <c r="F5863" s="11">
        <v>2</v>
      </c>
      <c r="G5863" s="11">
        <v>221428.57</v>
      </c>
    </row>
    <row r="5864" spans="2:7" x14ac:dyDescent="0.2">
      <c r="B5864" s="32">
        <v>45972</v>
      </c>
      <c r="C5864" t="s">
        <v>142</v>
      </c>
      <c r="D5864" s="13" t="s">
        <v>634</v>
      </c>
      <c r="E5864" t="s">
        <v>689</v>
      </c>
      <c r="F5864" s="11">
        <v>1</v>
      </c>
      <c r="G5864" s="11">
        <v>79831.94</v>
      </c>
    </row>
    <row r="5865" spans="2:7" x14ac:dyDescent="0.2">
      <c r="B5865" s="32">
        <v>45972</v>
      </c>
      <c r="C5865" t="s">
        <v>142</v>
      </c>
      <c r="D5865" s="13" t="s">
        <v>634</v>
      </c>
      <c r="E5865" t="s">
        <v>829</v>
      </c>
      <c r="F5865" s="11">
        <v>1</v>
      </c>
      <c r="G5865" s="11">
        <v>79831.929999999993</v>
      </c>
    </row>
    <row r="5866" spans="2:7" x14ac:dyDescent="0.2">
      <c r="B5866" s="32">
        <v>45972</v>
      </c>
      <c r="C5866" t="s">
        <v>142</v>
      </c>
      <c r="D5866" s="13" t="s">
        <v>634</v>
      </c>
      <c r="E5866" t="s">
        <v>229</v>
      </c>
      <c r="F5866" s="11">
        <v>2</v>
      </c>
      <c r="G5866" s="11">
        <v>71428.570000000007</v>
      </c>
    </row>
    <row r="5867" spans="2:7" x14ac:dyDescent="0.2">
      <c r="B5867" s="32">
        <v>45972</v>
      </c>
      <c r="C5867" t="s">
        <v>142</v>
      </c>
      <c r="D5867" s="13" t="s">
        <v>634</v>
      </c>
      <c r="E5867" t="s">
        <v>441</v>
      </c>
      <c r="F5867" s="11">
        <v>2</v>
      </c>
      <c r="G5867" s="11">
        <v>50000</v>
      </c>
    </row>
    <row r="5868" spans="2:7" x14ac:dyDescent="0.2">
      <c r="B5868" s="32">
        <v>45972</v>
      </c>
      <c r="C5868" t="s">
        <v>142</v>
      </c>
      <c r="D5868" s="13" t="s">
        <v>633</v>
      </c>
      <c r="E5868" t="s">
        <v>292</v>
      </c>
      <c r="F5868" s="11">
        <v>11</v>
      </c>
      <c r="G5868" s="11">
        <v>510714.29</v>
      </c>
    </row>
    <row r="5869" spans="2:7" x14ac:dyDescent="0.2">
      <c r="B5869" s="32">
        <v>45972</v>
      </c>
      <c r="C5869" t="s">
        <v>142</v>
      </c>
      <c r="D5869" s="13" t="s">
        <v>633</v>
      </c>
      <c r="E5869" t="s">
        <v>283</v>
      </c>
      <c r="F5869" s="11">
        <v>8</v>
      </c>
      <c r="G5869" s="11">
        <v>371428.57</v>
      </c>
    </row>
    <row r="5870" spans="2:7" x14ac:dyDescent="0.2">
      <c r="B5870" s="32">
        <v>45972</v>
      </c>
      <c r="C5870" t="s">
        <v>142</v>
      </c>
      <c r="D5870" s="13" t="s">
        <v>633</v>
      </c>
      <c r="E5870" t="s">
        <v>243</v>
      </c>
      <c r="F5870" s="11">
        <v>8</v>
      </c>
      <c r="G5870" s="11">
        <v>371428.56</v>
      </c>
    </row>
    <row r="5871" spans="2:7" x14ac:dyDescent="0.2">
      <c r="B5871" s="32">
        <v>45972</v>
      </c>
      <c r="C5871" t="s">
        <v>142</v>
      </c>
      <c r="D5871" s="13" t="s">
        <v>633</v>
      </c>
      <c r="E5871" t="s">
        <v>387</v>
      </c>
      <c r="F5871" s="11">
        <v>7</v>
      </c>
      <c r="G5871" s="11">
        <v>325000</v>
      </c>
    </row>
    <row r="5872" spans="2:7" x14ac:dyDescent="0.2">
      <c r="B5872" s="32">
        <v>45972</v>
      </c>
      <c r="C5872" t="s">
        <v>142</v>
      </c>
      <c r="D5872" s="13" t="s">
        <v>633</v>
      </c>
      <c r="E5872" t="s">
        <v>407</v>
      </c>
      <c r="F5872" s="11">
        <v>5</v>
      </c>
      <c r="G5872" s="11">
        <v>232142.86</v>
      </c>
    </row>
    <row r="5873" spans="2:7" x14ac:dyDescent="0.2">
      <c r="B5873" s="32">
        <v>45972</v>
      </c>
      <c r="C5873" t="s">
        <v>142</v>
      </c>
      <c r="D5873" s="13" t="s">
        <v>633</v>
      </c>
      <c r="E5873" t="s">
        <v>228</v>
      </c>
      <c r="F5873" s="11">
        <v>4</v>
      </c>
      <c r="G5873" s="11">
        <v>185714.29</v>
      </c>
    </row>
    <row r="5874" spans="2:7" x14ac:dyDescent="0.2">
      <c r="B5874" s="32">
        <v>45972</v>
      </c>
      <c r="C5874" t="s">
        <v>142</v>
      </c>
      <c r="D5874" s="13" t="s">
        <v>633</v>
      </c>
      <c r="E5874" t="s">
        <v>190</v>
      </c>
      <c r="F5874" s="11">
        <v>1</v>
      </c>
      <c r="G5874" s="11">
        <v>92436.97</v>
      </c>
    </row>
    <row r="5875" spans="2:7" x14ac:dyDescent="0.2">
      <c r="B5875" s="32">
        <v>45972</v>
      </c>
      <c r="C5875" t="s">
        <v>142</v>
      </c>
      <c r="D5875" s="13" t="s">
        <v>633</v>
      </c>
      <c r="E5875" t="s">
        <v>2084</v>
      </c>
      <c r="F5875" s="11">
        <v>1</v>
      </c>
      <c r="G5875" s="11">
        <v>79831.929999999993</v>
      </c>
    </row>
    <row r="5876" spans="2:7" x14ac:dyDescent="0.2">
      <c r="B5876" s="32">
        <v>45972</v>
      </c>
      <c r="C5876" t="s">
        <v>142</v>
      </c>
      <c r="D5876" s="13" t="s">
        <v>633</v>
      </c>
      <c r="E5876" t="s">
        <v>555</v>
      </c>
      <c r="F5876" s="11">
        <v>2</v>
      </c>
      <c r="G5876" s="11">
        <v>75630.25</v>
      </c>
    </row>
    <row r="5877" spans="2:7" x14ac:dyDescent="0.2">
      <c r="B5877" s="32">
        <v>45972</v>
      </c>
      <c r="C5877" t="s">
        <v>142</v>
      </c>
      <c r="D5877" s="13" t="s">
        <v>633</v>
      </c>
      <c r="E5877" t="s">
        <v>233</v>
      </c>
      <c r="F5877" s="11">
        <v>1</v>
      </c>
      <c r="G5877" s="11">
        <v>58823.53</v>
      </c>
    </row>
    <row r="5878" spans="2:7" x14ac:dyDescent="0.2">
      <c r="B5878" s="32">
        <v>45972</v>
      </c>
      <c r="C5878" t="s">
        <v>110</v>
      </c>
      <c r="D5878" s="13" t="s">
        <v>633</v>
      </c>
      <c r="E5878" t="s">
        <v>198</v>
      </c>
      <c r="F5878" s="11">
        <v>1</v>
      </c>
      <c r="G5878" s="11">
        <v>46218.49</v>
      </c>
    </row>
    <row r="5879" spans="2:7" x14ac:dyDescent="0.2">
      <c r="B5879" s="32">
        <v>45972</v>
      </c>
      <c r="C5879" t="s">
        <v>109</v>
      </c>
      <c r="D5879" s="13" t="s">
        <v>634</v>
      </c>
      <c r="E5879" t="s">
        <v>489</v>
      </c>
      <c r="F5879" s="11">
        <v>3</v>
      </c>
      <c r="G5879" s="11">
        <v>243697.48</v>
      </c>
    </row>
    <row r="5880" spans="2:7" x14ac:dyDescent="0.2">
      <c r="B5880" s="32">
        <v>45972</v>
      </c>
      <c r="C5880" t="s">
        <v>109</v>
      </c>
      <c r="D5880" s="13" t="s">
        <v>634</v>
      </c>
      <c r="E5880" t="s">
        <v>544</v>
      </c>
      <c r="F5880" s="11">
        <v>2</v>
      </c>
      <c r="G5880" s="11">
        <v>132000</v>
      </c>
    </row>
    <row r="5881" spans="2:7" x14ac:dyDescent="0.2">
      <c r="B5881" s="32">
        <v>45972</v>
      </c>
      <c r="C5881" t="s">
        <v>109</v>
      </c>
      <c r="D5881" s="13" t="s">
        <v>634</v>
      </c>
      <c r="E5881" t="s">
        <v>420</v>
      </c>
      <c r="F5881" s="11">
        <v>1</v>
      </c>
      <c r="G5881" s="11">
        <v>100840.34</v>
      </c>
    </row>
    <row r="5882" spans="2:7" x14ac:dyDescent="0.2">
      <c r="B5882" s="32">
        <v>45972</v>
      </c>
      <c r="C5882" t="s">
        <v>109</v>
      </c>
      <c r="D5882" s="13" t="s">
        <v>634</v>
      </c>
      <c r="E5882" t="s">
        <v>368</v>
      </c>
      <c r="F5882" s="11">
        <v>1</v>
      </c>
      <c r="G5882" s="11">
        <v>75630.25</v>
      </c>
    </row>
    <row r="5883" spans="2:7" x14ac:dyDescent="0.2">
      <c r="B5883" s="32">
        <v>45972</v>
      </c>
      <c r="C5883" t="s">
        <v>109</v>
      </c>
      <c r="D5883" s="13" t="s">
        <v>634</v>
      </c>
      <c r="E5883" t="s">
        <v>357</v>
      </c>
      <c r="F5883" s="11">
        <v>1</v>
      </c>
      <c r="G5883" s="11">
        <v>71428.570000000007</v>
      </c>
    </row>
    <row r="5884" spans="2:7" x14ac:dyDescent="0.2">
      <c r="B5884" s="32">
        <v>45972</v>
      </c>
      <c r="C5884" t="s">
        <v>109</v>
      </c>
      <c r="D5884" s="13" t="s">
        <v>634</v>
      </c>
      <c r="E5884" t="s">
        <v>145</v>
      </c>
      <c r="F5884" s="11">
        <v>3</v>
      </c>
      <c r="G5884" s="11">
        <v>68067.23</v>
      </c>
    </row>
    <row r="5885" spans="2:7" x14ac:dyDescent="0.2">
      <c r="B5885" s="32">
        <v>45972</v>
      </c>
      <c r="C5885" t="s">
        <v>109</v>
      </c>
      <c r="D5885" s="13" t="s">
        <v>634</v>
      </c>
      <c r="E5885" t="s">
        <v>182</v>
      </c>
      <c r="F5885" s="11">
        <v>2</v>
      </c>
      <c r="G5885" s="11">
        <v>58823.53</v>
      </c>
    </row>
    <row r="5886" spans="2:7" x14ac:dyDescent="0.2">
      <c r="B5886" s="32">
        <v>45972</v>
      </c>
      <c r="C5886" t="s">
        <v>109</v>
      </c>
      <c r="D5886" s="13" t="s">
        <v>634</v>
      </c>
      <c r="E5886" t="s">
        <v>146</v>
      </c>
      <c r="F5886" s="11">
        <v>1</v>
      </c>
      <c r="G5886" s="11">
        <v>46218.49</v>
      </c>
    </row>
    <row r="5887" spans="2:7" x14ac:dyDescent="0.2">
      <c r="B5887" s="32">
        <v>45972</v>
      </c>
      <c r="C5887" t="s">
        <v>109</v>
      </c>
      <c r="D5887" s="13" t="s">
        <v>634</v>
      </c>
      <c r="E5887" t="s">
        <v>350</v>
      </c>
      <c r="F5887" s="11">
        <v>1</v>
      </c>
      <c r="G5887" s="11">
        <v>46218.49</v>
      </c>
    </row>
    <row r="5888" spans="2:7" x14ac:dyDescent="0.2">
      <c r="B5888" s="32">
        <v>45972</v>
      </c>
      <c r="C5888" t="s">
        <v>109</v>
      </c>
      <c r="D5888" s="13" t="s">
        <v>634</v>
      </c>
      <c r="E5888" t="s">
        <v>170</v>
      </c>
      <c r="F5888" s="11">
        <v>1</v>
      </c>
      <c r="G5888" s="11">
        <v>46218.48</v>
      </c>
    </row>
    <row r="5889" spans="2:7" x14ac:dyDescent="0.2">
      <c r="B5889" s="32">
        <v>45972</v>
      </c>
      <c r="C5889" t="s">
        <v>109</v>
      </c>
      <c r="D5889" s="13" t="s">
        <v>634</v>
      </c>
      <c r="E5889" t="s">
        <v>161</v>
      </c>
      <c r="F5889" s="11">
        <v>1</v>
      </c>
      <c r="G5889" s="11">
        <v>42016.81</v>
      </c>
    </row>
    <row r="5890" spans="2:7" x14ac:dyDescent="0.2">
      <c r="B5890" s="32">
        <v>45972</v>
      </c>
      <c r="C5890" t="s">
        <v>109</v>
      </c>
      <c r="D5890" s="13" t="s">
        <v>634</v>
      </c>
      <c r="E5890" t="s">
        <v>234</v>
      </c>
      <c r="F5890" s="11">
        <v>1</v>
      </c>
      <c r="G5890" s="11">
        <v>37815.129999999997</v>
      </c>
    </row>
    <row r="5891" spans="2:7" x14ac:dyDescent="0.2">
      <c r="B5891" s="32">
        <v>45972</v>
      </c>
      <c r="C5891" t="s">
        <v>109</v>
      </c>
      <c r="D5891" s="13" t="s">
        <v>634</v>
      </c>
      <c r="E5891" t="s">
        <v>284</v>
      </c>
      <c r="F5891" s="11">
        <v>1</v>
      </c>
      <c r="G5891" s="11">
        <v>37815.129999999997</v>
      </c>
    </row>
    <row r="5892" spans="2:7" x14ac:dyDescent="0.2">
      <c r="B5892" s="32">
        <v>45972</v>
      </c>
      <c r="C5892" t="s">
        <v>109</v>
      </c>
      <c r="D5892" s="13" t="s">
        <v>633</v>
      </c>
      <c r="E5892" t="s">
        <v>156</v>
      </c>
      <c r="F5892" s="11">
        <v>4</v>
      </c>
      <c r="G5892" s="11">
        <v>168067.23</v>
      </c>
    </row>
    <row r="5893" spans="2:7" x14ac:dyDescent="0.2">
      <c r="B5893" s="32">
        <v>45972</v>
      </c>
      <c r="C5893" t="s">
        <v>109</v>
      </c>
      <c r="D5893" s="13" t="s">
        <v>633</v>
      </c>
      <c r="E5893" t="s">
        <v>382</v>
      </c>
      <c r="F5893" s="11">
        <v>3</v>
      </c>
      <c r="G5893" s="11">
        <v>113445.38</v>
      </c>
    </row>
    <row r="5894" spans="2:7" x14ac:dyDescent="0.2">
      <c r="B5894" s="32">
        <v>45972</v>
      </c>
      <c r="C5894" t="s">
        <v>109</v>
      </c>
      <c r="D5894" s="13" t="s">
        <v>633</v>
      </c>
      <c r="E5894" t="s">
        <v>1902</v>
      </c>
      <c r="F5894" s="11">
        <v>3</v>
      </c>
      <c r="G5894" s="11">
        <v>113445.37</v>
      </c>
    </row>
    <row r="5895" spans="2:7" x14ac:dyDescent="0.2">
      <c r="B5895" s="32">
        <v>45972</v>
      </c>
      <c r="C5895" t="s">
        <v>109</v>
      </c>
      <c r="D5895" s="13" t="s">
        <v>633</v>
      </c>
      <c r="E5895" t="s">
        <v>227</v>
      </c>
      <c r="F5895" s="11">
        <v>1</v>
      </c>
      <c r="G5895" s="11">
        <v>100840.34</v>
      </c>
    </row>
    <row r="5896" spans="2:7" x14ac:dyDescent="0.2">
      <c r="B5896" s="32">
        <v>45972</v>
      </c>
      <c r="C5896" t="s">
        <v>109</v>
      </c>
      <c r="D5896" s="13" t="s">
        <v>633</v>
      </c>
      <c r="E5896" t="s">
        <v>1900</v>
      </c>
      <c r="F5896" s="11">
        <v>1</v>
      </c>
      <c r="G5896" s="11">
        <v>75630.25</v>
      </c>
    </row>
    <row r="5897" spans="2:7" x14ac:dyDescent="0.2">
      <c r="B5897" s="32">
        <v>45972</v>
      </c>
      <c r="C5897" t="s">
        <v>109</v>
      </c>
      <c r="D5897" s="13" t="s">
        <v>633</v>
      </c>
      <c r="E5897" t="s">
        <v>1846</v>
      </c>
      <c r="F5897" s="11">
        <v>3</v>
      </c>
      <c r="G5897" s="11">
        <v>63025.21</v>
      </c>
    </row>
    <row r="5898" spans="2:7" x14ac:dyDescent="0.2">
      <c r="B5898" s="32">
        <v>45972</v>
      </c>
      <c r="C5898" t="s">
        <v>109</v>
      </c>
      <c r="D5898" s="13" t="s">
        <v>633</v>
      </c>
      <c r="E5898" t="s">
        <v>182</v>
      </c>
      <c r="F5898" s="11">
        <v>2</v>
      </c>
      <c r="G5898" s="11">
        <v>58823.53</v>
      </c>
    </row>
    <row r="5899" spans="2:7" x14ac:dyDescent="0.2">
      <c r="B5899" s="32">
        <v>45972</v>
      </c>
      <c r="C5899" t="s">
        <v>109</v>
      </c>
      <c r="D5899" s="13" t="s">
        <v>633</v>
      </c>
      <c r="E5899" t="s">
        <v>271</v>
      </c>
      <c r="F5899" s="11">
        <v>1</v>
      </c>
      <c r="G5899" s="11">
        <v>58823.53</v>
      </c>
    </row>
    <row r="5900" spans="2:7" x14ac:dyDescent="0.2">
      <c r="B5900" s="32">
        <v>45972</v>
      </c>
      <c r="C5900" t="s">
        <v>109</v>
      </c>
      <c r="D5900" s="13" t="s">
        <v>633</v>
      </c>
      <c r="E5900" t="s">
        <v>1947</v>
      </c>
      <c r="F5900" s="11">
        <v>1</v>
      </c>
      <c r="G5900" s="11">
        <v>54621.85</v>
      </c>
    </row>
    <row r="5901" spans="2:7" x14ac:dyDescent="0.2">
      <c r="B5901" s="32">
        <v>45972</v>
      </c>
      <c r="C5901" t="s">
        <v>109</v>
      </c>
      <c r="D5901" s="13" t="s">
        <v>633</v>
      </c>
      <c r="E5901" t="s">
        <v>218</v>
      </c>
      <c r="F5901" s="11">
        <v>1</v>
      </c>
      <c r="G5901" s="11">
        <v>42016.81</v>
      </c>
    </row>
    <row r="5902" spans="2:7" x14ac:dyDescent="0.2">
      <c r="B5902" s="32">
        <v>45972</v>
      </c>
      <c r="C5902" t="s">
        <v>109</v>
      </c>
      <c r="D5902" s="13" t="s">
        <v>633</v>
      </c>
      <c r="E5902" t="s">
        <v>2063</v>
      </c>
      <c r="F5902" s="11">
        <v>1</v>
      </c>
      <c r="G5902" s="11">
        <v>42016.81</v>
      </c>
    </row>
    <row r="5903" spans="2:7" x14ac:dyDescent="0.2">
      <c r="B5903" s="32">
        <v>45972</v>
      </c>
      <c r="C5903" t="s">
        <v>109</v>
      </c>
      <c r="D5903" s="13" t="s">
        <v>633</v>
      </c>
      <c r="E5903" t="s">
        <v>144</v>
      </c>
      <c r="F5903" s="11">
        <v>2</v>
      </c>
      <c r="G5903" s="11">
        <v>26890.75</v>
      </c>
    </row>
    <row r="5904" spans="2:7" x14ac:dyDescent="0.2">
      <c r="B5904" s="32">
        <v>45972</v>
      </c>
      <c r="C5904" t="s">
        <v>109</v>
      </c>
      <c r="D5904" s="13" t="s">
        <v>633</v>
      </c>
      <c r="E5904" t="s">
        <v>145</v>
      </c>
      <c r="F5904" s="11">
        <v>1</v>
      </c>
      <c r="G5904" s="11">
        <v>22689.08</v>
      </c>
    </row>
    <row r="5905" spans="2:7" x14ac:dyDescent="0.2">
      <c r="B5905" s="32">
        <v>45973</v>
      </c>
      <c r="C5905" t="s">
        <v>142</v>
      </c>
      <c r="D5905" s="13" t="s">
        <v>634</v>
      </c>
      <c r="E5905" t="s">
        <v>150</v>
      </c>
      <c r="F5905" s="11">
        <v>2</v>
      </c>
      <c r="G5905" s="11">
        <v>84033.61</v>
      </c>
    </row>
    <row r="5906" spans="2:7" x14ac:dyDescent="0.2">
      <c r="B5906" s="32">
        <v>45973</v>
      </c>
      <c r="C5906" t="s">
        <v>142</v>
      </c>
      <c r="D5906" s="13" t="s">
        <v>634</v>
      </c>
      <c r="E5906" t="s">
        <v>149</v>
      </c>
      <c r="F5906" s="11">
        <v>1</v>
      </c>
      <c r="G5906" s="11">
        <v>71428.570000000007</v>
      </c>
    </row>
    <row r="5907" spans="2:7" x14ac:dyDescent="0.2">
      <c r="B5907" s="32">
        <v>45973</v>
      </c>
      <c r="C5907" t="s">
        <v>142</v>
      </c>
      <c r="D5907" s="13" t="s">
        <v>634</v>
      </c>
      <c r="E5907" t="s">
        <v>148</v>
      </c>
      <c r="F5907" s="11">
        <v>1</v>
      </c>
      <c r="G5907" s="11">
        <v>37815.129999999997</v>
      </c>
    </row>
    <row r="5908" spans="2:7" x14ac:dyDescent="0.2">
      <c r="B5908" s="32">
        <v>45973</v>
      </c>
      <c r="C5908" t="s">
        <v>142</v>
      </c>
      <c r="D5908" s="13" t="s">
        <v>633</v>
      </c>
      <c r="E5908" t="s">
        <v>429</v>
      </c>
      <c r="F5908" s="11">
        <v>1</v>
      </c>
      <c r="G5908" s="11">
        <v>54621.85</v>
      </c>
    </row>
    <row r="5909" spans="2:7" x14ac:dyDescent="0.2">
      <c r="B5909" s="32">
        <v>45973</v>
      </c>
      <c r="C5909" t="s">
        <v>109</v>
      </c>
      <c r="D5909" s="13" t="s">
        <v>634</v>
      </c>
      <c r="E5909" t="s">
        <v>728</v>
      </c>
      <c r="F5909" s="11">
        <v>2</v>
      </c>
      <c r="G5909" s="11">
        <v>359243.69</v>
      </c>
    </row>
    <row r="5910" spans="2:7" x14ac:dyDescent="0.2">
      <c r="B5910" s="32">
        <v>45973</v>
      </c>
      <c r="C5910" t="s">
        <v>109</v>
      </c>
      <c r="D5910" s="13" t="s">
        <v>634</v>
      </c>
      <c r="E5910" t="s">
        <v>159</v>
      </c>
      <c r="F5910" s="11">
        <v>1</v>
      </c>
      <c r="G5910" s="11">
        <v>239495.79</v>
      </c>
    </row>
    <row r="5911" spans="2:7" x14ac:dyDescent="0.2">
      <c r="B5911" s="32">
        <v>45973</v>
      </c>
      <c r="C5911" t="s">
        <v>109</v>
      </c>
      <c r="D5911" s="13" t="s">
        <v>634</v>
      </c>
      <c r="E5911" t="s">
        <v>602</v>
      </c>
      <c r="F5911" s="11">
        <v>2</v>
      </c>
      <c r="G5911" s="11">
        <v>201680.67</v>
      </c>
    </row>
    <row r="5912" spans="2:7" x14ac:dyDescent="0.2">
      <c r="B5912" s="32">
        <v>45973</v>
      </c>
      <c r="C5912" t="s">
        <v>109</v>
      </c>
      <c r="D5912" s="13" t="s">
        <v>634</v>
      </c>
      <c r="E5912" t="s">
        <v>240</v>
      </c>
      <c r="F5912" s="11">
        <v>5</v>
      </c>
      <c r="G5912" s="11">
        <v>189075.63</v>
      </c>
    </row>
    <row r="5913" spans="2:7" x14ac:dyDescent="0.2">
      <c r="B5913" s="32">
        <v>45973</v>
      </c>
      <c r="C5913" t="s">
        <v>109</v>
      </c>
      <c r="D5913" s="13" t="s">
        <v>634</v>
      </c>
      <c r="E5913" t="s">
        <v>168</v>
      </c>
      <c r="F5913" s="11">
        <v>5</v>
      </c>
      <c r="G5913" s="11">
        <v>189075.63</v>
      </c>
    </row>
    <row r="5914" spans="2:7" x14ac:dyDescent="0.2">
      <c r="B5914" s="32">
        <v>45973</v>
      </c>
      <c r="C5914" t="s">
        <v>109</v>
      </c>
      <c r="D5914" s="13" t="s">
        <v>634</v>
      </c>
      <c r="E5914" t="s">
        <v>153</v>
      </c>
      <c r="F5914" s="11">
        <v>5</v>
      </c>
      <c r="G5914" s="11">
        <v>189075.63</v>
      </c>
    </row>
    <row r="5915" spans="2:7" x14ac:dyDescent="0.2">
      <c r="B5915" s="32">
        <v>45973</v>
      </c>
      <c r="C5915" t="s">
        <v>109</v>
      </c>
      <c r="D5915" s="13" t="s">
        <v>634</v>
      </c>
      <c r="E5915" t="s">
        <v>1963</v>
      </c>
      <c r="F5915" s="11">
        <v>5</v>
      </c>
      <c r="G5915" s="11">
        <v>189075.63</v>
      </c>
    </row>
    <row r="5916" spans="2:7" x14ac:dyDescent="0.2">
      <c r="B5916" s="32">
        <v>45973</v>
      </c>
      <c r="C5916" t="s">
        <v>109</v>
      </c>
      <c r="D5916" s="13" t="s">
        <v>634</v>
      </c>
      <c r="E5916" t="s">
        <v>454</v>
      </c>
      <c r="F5916" s="11">
        <v>3</v>
      </c>
      <c r="G5916" s="11">
        <v>176470.59</v>
      </c>
    </row>
    <row r="5917" spans="2:7" x14ac:dyDescent="0.2">
      <c r="B5917" s="32">
        <v>45973</v>
      </c>
      <c r="C5917" t="s">
        <v>109</v>
      </c>
      <c r="D5917" s="13" t="s">
        <v>634</v>
      </c>
      <c r="E5917" t="s">
        <v>226</v>
      </c>
      <c r="F5917" s="11">
        <v>1</v>
      </c>
      <c r="G5917" s="11">
        <v>100840.34</v>
      </c>
    </row>
    <row r="5918" spans="2:7" x14ac:dyDescent="0.2">
      <c r="B5918" s="32">
        <v>45973</v>
      </c>
      <c r="C5918" t="s">
        <v>109</v>
      </c>
      <c r="D5918" s="13" t="s">
        <v>634</v>
      </c>
      <c r="E5918" t="s">
        <v>179</v>
      </c>
      <c r="F5918" s="11">
        <v>2</v>
      </c>
      <c r="G5918" s="11">
        <v>92436.98</v>
      </c>
    </row>
    <row r="5919" spans="2:7" x14ac:dyDescent="0.2">
      <c r="B5919" s="32">
        <v>45973</v>
      </c>
      <c r="C5919" t="s">
        <v>109</v>
      </c>
      <c r="D5919" s="13" t="s">
        <v>634</v>
      </c>
      <c r="E5919" t="s">
        <v>223</v>
      </c>
      <c r="F5919" s="11">
        <v>1</v>
      </c>
      <c r="G5919" s="11">
        <v>84033.61</v>
      </c>
    </row>
    <row r="5920" spans="2:7" x14ac:dyDescent="0.2">
      <c r="B5920" s="32">
        <v>45973</v>
      </c>
      <c r="C5920" t="s">
        <v>109</v>
      </c>
      <c r="D5920" s="13" t="s">
        <v>634</v>
      </c>
      <c r="E5920" t="s">
        <v>309</v>
      </c>
      <c r="F5920" s="11">
        <v>2</v>
      </c>
      <c r="G5920" s="11">
        <v>84033.61</v>
      </c>
    </row>
    <row r="5921" spans="2:7" x14ac:dyDescent="0.2">
      <c r="B5921" s="32">
        <v>45973</v>
      </c>
      <c r="C5921" t="s">
        <v>109</v>
      </c>
      <c r="D5921" s="13" t="s">
        <v>634</v>
      </c>
      <c r="E5921" t="s">
        <v>755</v>
      </c>
      <c r="F5921" s="11">
        <v>1</v>
      </c>
      <c r="G5921" s="11">
        <v>54621.85</v>
      </c>
    </row>
    <row r="5922" spans="2:7" x14ac:dyDescent="0.2">
      <c r="B5922" s="32">
        <v>45973</v>
      </c>
      <c r="C5922" t="s">
        <v>109</v>
      </c>
      <c r="D5922" s="13" t="s">
        <v>634</v>
      </c>
      <c r="E5922" t="s">
        <v>1799</v>
      </c>
      <c r="F5922" s="11">
        <v>1</v>
      </c>
      <c r="G5922" s="11">
        <v>54621.84</v>
      </c>
    </row>
    <row r="5923" spans="2:7" x14ac:dyDescent="0.2">
      <c r="B5923" s="32">
        <v>45973</v>
      </c>
      <c r="C5923" t="s">
        <v>109</v>
      </c>
      <c r="D5923" s="13" t="s">
        <v>634</v>
      </c>
      <c r="E5923" t="s">
        <v>2085</v>
      </c>
      <c r="F5923" s="11">
        <v>1</v>
      </c>
      <c r="G5923" s="11">
        <v>46218.49</v>
      </c>
    </row>
    <row r="5924" spans="2:7" x14ac:dyDescent="0.2">
      <c r="B5924" s="32">
        <v>45973</v>
      </c>
      <c r="C5924" t="s">
        <v>109</v>
      </c>
      <c r="D5924" s="13" t="s">
        <v>634</v>
      </c>
      <c r="E5924" t="s">
        <v>172</v>
      </c>
      <c r="F5924" s="11">
        <v>1</v>
      </c>
      <c r="G5924" s="11">
        <v>46218.49</v>
      </c>
    </row>
    <row r="5925" spans="2:7" x14ac:dyDescent="0.2">
      <c r="B5925" s="32">
        <v>45973</v>
      </c>
      <c r="C5925" t="s">
        <v>109</v>
      </c>
      <c r="D5925" s="13" t="s">
        <v>634</v>
      </c>
      <c r="E5925" t="s">
        <v>234</v>
      </c>
      <c r="F5925" s="11">
        <v>1</v>
      </c>
      <c r="G5925" s="11">
        <v>37815.120000000003</v>
      </c>
    </row>
    <row r="5926" spans="2:7" x14ac:dyDescent="0.2">
      <c r="B5926" s="32">
        <v>45973</v>
      </c>
      <c r="C5926" t="s">
        <v>109</v>
      </c>
      <c r="D5926" s="13" t="s">
        <v>634</v>
      </c>
      <c r="E5926" t="s">
        <v>1818</v>
      </c>
      <c r="F5926" s="11">
        <v>1</v>
      </c>
      <c r="G5926" s="11">
        <v>37815.120000000003</v>
      </c>
    </row>
    <row r="5927" spans="2:7" x14ac:dyDescent="0.2">
      <c r="B5927" s="32">
        <v>45973</v>
      </c>
      <c r="C5927" t="s">
        <v>109</v>
      </c>
      <c r="D5927" s="13" t="s">
        <v>633</v>
      </c>
      <c r="E5927" t="s">
        <v>532</v>
      </c>
      <c r="F5927" s="11">
        <v>5</v>
      </c>
      <c r="G5927" s="11">
        <v>504201.68</v>
      </c>
    </row>
    <row r="5928" spans="2:7" x14ac:dyDescent="0.2">
      <c r="B5928" s="32">
        <v>45973</v>
      </c>
      <c r="C5928" t="s">
        <v>109</v>
      </c>
      <c r="D5928" s="13" t="s">
        <v>633</v>
      </c>
      <c r="E5928" t="s">
        <v>145</v>
      </c>
      <c r="F5928" s="11">
        <v>5</v>
      </c>
      <c r="G5928" s="11">
        <v>113445.38</v>
      </c>
    </row>
    <row r="5929" spans="2:7" x14ac:dyDescent="0.2">
      <c r="B5929" s="32">
        <v>45973</v>
      </c>
      <c r="C5929" t="s">
        <v>109</v>
      </c>
      <c r="D5929" s="13" t="s">
        <v>633</v>
      </c>
      <c r="E5929" t="s">
        <v>168</v>
      </c>
      <c r="F5929" s="11">
        <v>2</v>
      </c>
      <c r="G5929" s="11">
        <v>84033.61</v>
      </c>
    </row>
    <row r="5930" spans="2:7" x14ac:dyDescent="0.2">
      <c r="B5930" s="32">
        <v>45973</v>
      </c>
      <c r="C5930" t="s">
        <v>109</v>
      </c>
      <c r="D5930" s="13" t="s">
        <v>633</v>
      </c>
      <c r="E5930" t="s">
        <v>1988</v>
      </c>
      <c r="F5930" s="11">
        <v>1</v>
      </c>
      <c r="G5930" s="11">
        <v>71428.570000000007</v>
      </c>
    </row>
    <row r="5931" spans="2:7" x14ac:dyDescent="0.2">
      <c r="B5931" s="32">
        <v>45973</v>
      </c>
      <c r="C5931" t="s">
        <v>109</v>
      </c>
      <c r="D5931" s="13" t="s">
        <v>633</v>
      </c>
      <c r="E5931" t="s">
        <v>189</v>
      </c>
      <c r="F5931" s="11">
        <v>1</v>
      </c>
      <c r="G5931" s="11">
        <v>71428.570000000007</v>
      </c>
    </row>
    <row r="5932" spans="2:7" x14ac:dyDescent="0.2">
      <c r="B5932" s="32">
        <v>45973</v>
      </c>
      <c r="C5932" t="s">
        <v>109</v>
      </c>
      <c r="D5932" s="13" t="s">
        <v>633</v>
      </c>
      <c r="E5932" t="s">
        <v>1963</v>
      </c>
      <c r="F5932" s="11">
        <v>1</v>
      </c>
      <c r="G5932" s="11">
        <v>42016.81</v>
      </c>
    </row>
    <row r="5933" spans="2:7" x14ac:dyDescent="0.2">
      <c r="B5933" s="32">
        <v>45974</v>
      </c>
      <c r="C5933" t="s">
        <v>142</v>
      </c>
      <c r="D5933" s="13" t="s">
        <v>634</v>
      </c>
      <c r="E5933" t="s">
        <v>2086</v>
      </c>
      <c r="F5933" s="11">
        <v>1</v>
      </c>
      <c r="G5933" s="11">
        <v>84033.61</v>
      </c>
    </row>
    <row r="5934" spans="2:7" x14ac:dyDescent="0.2">
      <c r="B5934" s="32">
        <v>45974</v>
      </c>
      <c r="C5934" t="s">
        <v>142</v>
      </c>
      <c r="D5934" s="13" t="s">
        <v>634</v>
      </c>
      <c r="E5934" t="s">
        <v>1900</v>
      </c>
      <c r="F5934" s="11">
        <v>1</v>
      </c>
      <c r="G5934" s="11">
        <v>75630.25</v>
      </c>
    </row>
    <row r="5935" spans="2:7" x14ac:dyDescent="0.2">
      <c r="B5935" s="32">
        <v>45974</v>
      </c>
      <c r="C5935" t="s">
        <v>142</v>
      </c>
      <c r="D5935" s="13" t="s">
        <v>634</v>
      </c>
      <c r="E5935" t="s">
        <v>582</v>
      </c>
      <c r="F5935" s="11">
        <v>1</v>
      </c>
      <c r="G5935" s="11">
        <v>67226.89</v>
      </c>
    </row>
    <row r="5936" spans="2:7" x14ac:dyDescent="0.2">
      <c r="B5936" s="32">
        <v>45974</v>
      </c>
      <c r="C5936" t="s">
        <v>142</v>
      </c>
      <c r="D5936" s="13" t="s">
        <v>634</v>
      </c>
      <c r="E5936" t="s">
        <v>233</v>
      </c>
      <c r="F5936" s="11">
        <v>1</v>
      </c>
      <c r="G5936" s="11">
        <v>58823.53</v>
      </c>
    </row>
    <row r="5937" spans="2:7" x14ac:dyDescent="0.2">
      <c r="B5937" s="32">
        <v>45974</v>
      </c>
      <c r="C5937" t="s">
        <v>142</v>
      </c>
      <c r="D5937" s="13" t="s">
        <v>634</v>
      </c>
      <c r="E5937" t="s">
        <v>496</v>
      </c>
      <c r="F5937" s="11">
        <v>1</v>
      </c>
      <c r="G5937" s="11">
        <v>58823.53</v>
      </c>
    </row>
    <row r="5938" spans="2:7" x14ac:dyDescent="0.2">
      <c r="B5938" s="32">
        <v>45974</v>
      </c>
      <c r="C5938" t="s">
        <v>142</v>
      </c>
      <c r="D5938" s="13" t="s">
        <v>634</v>
      </c>
      <c r="E5938" t="s">
        <v>441</v>
      </c>
      <c r="F5938" s="11">
        <v>1</v>
      </c>
      <c r="G5938" s="11">
        <v>29411.77</v>
      </c>
    </row>
    <row r="5939" spans="2:7" x14ac:dyDescent="0.2">
      <c r="B5939" s="32">
        <v>45974</v>
      </c>
      <c r="C5939" t="s">
        <v>142</v>
      </c>
      <c r="D5939" s="13" t="s">
        <v>633</v>
      </c>
      <c r="E5939" t="s">
        <v>150</v>
      </c>
      <c r="F5939" s="11">
        <v>2</v>
      </c>
      <c r="G5939" s="11">
        <v>84033.61</v>
      </c>
    </row>
    <row r="5940" spans="2:7" x14ac:dyDescent="0.2">
      <c r="B5940" s="32">
        <v>45974</v>
      </c>
      <c r="C5940" t="s">
        <v>142</v>
      </c>
      <c r="D5940" s="13" t="s">
        <v>633</v>
      </c>
      <c r="E5940" t="s">
        <v>205</v>
      </c>
      <c r="F5940" s="11">
        <v>1</v>
      </c>
      <c r="G5940" s="11">
        <v>58823.53</v>
      </c>
    </row>
    <row r="5941" spans="2:7" x14ac:dyDescent="0.2">
      <c r="B5941" s="32">
        <v>45974</v>
      </c>
      <c r="C5941" t="s">
        <v>110</v>
      </c>
      <c r="D5941" s="13" t="s">
        <v>633</v>
      </c>
      <c r="E5941" t="s">
        <v>195</v>
      </c>
      <c r="F5941" s="11">
        <v>1</v>
      </c>
      <c r="G5941" s="11">
        <v>46218.49</v>
      </c>
    </row>
    <row r="5942" spans="2:7" x14ac:dyDescent="0.2">
      <c r="B5942" s="32">
        <v>45974</v>
      </c>
      <c r="C5942" t="s">
        <v>1739</v>
      </c>
      <c r="D5942" s="13" t="s">
        <v>633</v>
      </c>
      <c r="E5942" t="s">
        <v>350</v>
      </c>
      <c r="F5942" s="11">
        <v>2</v>
      </c>
      <c r="G5942" s="11">
        <v>92436.97</v>
      </c>
    </row>
    <row r="5943" spans="2:7" x14ac:dyDescent="0.2">
      <c r="B5943" s="32">
        <v>45974</v>
      </c>
      <c r="C5943" t="s">
        <v>1739</v>
      </c>
      <c r="D5943" s="13" t="s">
        <v>633</v>
      </c>
      <c r="E5943" t="s">
        <v>662</v>
      </c>
      <c r="F5943" s="11">
        <v>2</v>
      </c>
      <c r="G5943" s="11">
        <v>75630.259999999995</v>
      </c>
    </row>
    <row r="5944" spans="2:7" x14ac:dyDescent="0.2">
      <c r="B5944" s="32">
        <v>45974</v>
      </c>
      <c r="C5944" t="s">
        <v>109</v>
      </c>
      <c r="D5944" s="13" t="s">
        <v>634</v>
      </c>
      <c r="E5944" t="s">
        <v>2087</v>
      </c>
      <c r="F5944" s="11">
        <v>6</v>
      </c>
      <c r="G5944" s="11">
        <v>504201.68</v>
      </c>
    </row>
    <row r="5945" spans="2:7" x14ac:dyDescent="0.2">
      <c r="B5945" s="32">
        <v>45974</v>
      </c>
      <c r="C5945" t="s">
        <v>109</v>
      </c>
      <c r="D5945" s="13" t="s">
        <v>634</v>
      </c>
      <c r="E5945" t="s">
        <v>446</v>
      </c>
      <c r="F5945" s="11">
        <v>6</v>
      </c>
      <c r="G5945" s="11">
        <v>453781.51</v>
      </c>
    </row>
    <row r="5946" spans="2:7" x14ac:dyDescent="0.2">
      <c r="B5946" s="32">
        <v>45974</v>
      </c>
      <c r="C5946" t="s">
        <v>109</v>
      </c>
      <c r="D5946" s="13" t="s">
        <v>634</v>
      </c>
      <c r="E5946" t="s">
        <v>167</v>
      </c>
      <c r="F5946" s="11">
        <v>2</v>
      </c>
      <c r="G5946" s="11">
        <v>201680.68</v>
      </c>
    </row>
    <row r="5947" spans="2:7" x14ac:dyDescent="0.2">
      <c r="B5947" s="32">
        <v>45974</v>
      </c>
      <c r="C5947" t="s">
        <v>109</v>
      </c>
      <c r="D5947" s="13" t="s">
        <v>634</v>
      </c>
      <c r="E5947" t="s">
        <v>181</v>
      </c>
      <c r="F5947" s="11">
        <v>2</v>
      </c>
      <c r="G5947" s="11">
        <v>168067.23</v>
      </c>
    </row>
    <row r="5948" spans="2:7" x14ac:dyDescent="0.2">
      <c r="B5948" s="32">
        <v>45974</v>
      </c>
      <c r="C5948" t="s">
        <v>109</v>
      </c>
      <c r="D5948" s="13" t="s">
        <v>634</v>
      </c>
      <c r="E5948" t="s">
        <v>2069</v>
      </c>
      <c r="F5948" s="11">
        <v>1</v>
      </c>
      <c r="G5948" s="11">
        <v>130252.1</v>
      </c>
    </row>
    <row r="5949" spans="2:7" x14ac:dyDescent="0.2">
      <c r="B5949" s="32">
        <v>45974</v>
      </c>
      <c r="C5949" t="s">
        <v>109</v>
      </c>
      <c r="D5949" s="13" t="s">
        <v>633</v>
      </c>
      <c r="E5949" t="s">
        <v>809</v>
      </c>
      <c r="F5949" s="11">
        <v>4</v>
      </c>
      <c r="G5949" s="11">
        <v>223529.41</v>
      </c>
    </row>
    <row r="5950" spans="2:7" x14ac:dyDescent="0.2">
      <c r="B5950" s="32">
        <v>45974</v>
      </c>
      <c r="C5950" t="s">
        <v>109</v>
      </c>
      <c r="D5950" s="13" t="s">
        <v>633</v>
      </c>
      <c r="E5950" t="s">
        <v>198</v>
      </c>
      <c r="F5950" s="11">
        <v>4</v>
      </c>
      <c r="G5950" s="11">
        <v>184873.95</v>
      </c>
    </row>
    <row r="5951" spans="2:7" x14ac:dyDescent="0.2">
      <c r="B5951" s="32">
        <v>45974</v>
      </c>
      <c r="C5951" t="s">
        <v>109</v>
      </c>
      <c r="D5951" s="13" t="s">
        <v>633</v>
      </c>
      <c r="E5951" t="s">
        <v>318</v>
      </c>
      <c r="F5951" s="11">
        <v>3</v>
      </c>
      <c r="G5951" s="11">
        <v>167647.06</v>
      </c>
    </row>
    <row r="5952" spans="2:7" x14ac:dyDescent="0.2">
      <c r="B5952" s="32">
        <v>45974</v>
      </c>
      <c r="C5952" t="s">
        <v>109</v>
      </c>
      <c r="D5952" s="13" t="s">
        <v>633</v>
      </c>
      <c r="E5952" t="s">
        <v>327</v>
      </c>
      <c r="F5952" s="11">
        <v>4</v>
      </c>
      <c r="G5952" s="11">
        <v>120000</v>
      </c>
    </row>
    <row r="5953" spans="2:7" x14ac:dyDescent="0.2">
      <c r="B5953" s="32">
        <v>45974</v>
      </c>
      <c r="C5953" t="s">
        <v>109</v>
      </c>
      <c r="D5953" s="13" t="s">
        <v>633</v>
      </c>
      <c r="E5953" t="s">
        <v>1869</v>
      </c>
      <c r="F5953" s="11">
        <v>2</v>
      </c>
      <c r="G5953" s="11">
        <v>111764.71</v>
      </c>
    </row>
    <row r="5954" spans="2:7" x14ac:dyDescent="0.2">
      <c r="B5954" s="32">
        <v>45974</v>
      </c>
      <c r="C5954" t="s">
        <v>109</v>
      </c>
      <c r="D5954" s="13" t="s">
        <v>633</v>
      </c>
      <c r="E5954" t="s">
        <v>477</v>
      </c>
      <c r="F5954" s="11">
        <v>2</v>
      </c>
      <c r="G5954" s="11">
        <v>111764.71</v>
      </c>
    </row>
    <row r="5955" spans="2:7" x14ac:dyDescent="0.2">
      <c r="B5955" s="32">
        <v>45974</v>
      </c>
      <c r="C5955" t="s">
        <v>109</v>
      </c>
      <c r="D5955" s="13" t="s">
        <v>633</v>
      </c>
      <c r="E5955" t="s">
        <v>172</v>
      </c>
      <c r="F5955" s="11">
        <v>2</v>
      </c>
      <c r="G5955" s="11">
        <v>92436.97</v>
      </c>
    </row>
    <row r="5956" spans="2:7" x14ac:dyDescent="0.2">
      <c r="B5956" s="32">
        <v>45974</v>
      </c>
      <c r="C5956" t="s">
        <v>109</v>
      </c>
      <c r="D5956" s="13" t="s">
        <v>633</v>
      </c>
      <c r="E5956" t="s">
        <v>260</v>
      </c>
      <c r="F5956" s="11">
        <v>2</v>
      </c>
      <c r="G5956" s="11">
        <v>92436.97</v>
      </c>
    </row>
    <row r="5957" spans="2:7" x14ac:dyDescent="0.2">
      <c r="B5957" s="32">
        <v>45974</v>
      </c>
      <c r="C5957" t="s">
        <v>109</v>
      </c>
      <c r="D5957" s="13" t="s">
        <v>633</v>
      </c>
      <c r="E5957" t="s">
        <v>350</v>
      </c>
      <c r="F5957" s="11">
        <v>1</v>
      </c>
      <c r="G5957" s="11">
        <v>46218.49</v>
      </c>
    </row>
    <row r="5958" spans="2:7" x14ac:dyDescent="0.2">
      <c r="B5958" s="32">
        <v>45974</v>
      </c>
      <c r="C5958" t="s">
        <v>109</v>
      </c>
      <c r="D5958" s="13" t="s">
        <v>633</v>
      </c>
      <c r="E5958" t="s">
        <v>148</v>
      </c>
      <c r="F5958" s="11">
        <v>1</v>
      </c>
      <c r="G5958" s="11">
        <v>37815.120000000003</v>
      </c>
    </row>
    <row r="5959" spans="2:7" x14ac:dyDescent="0.2">
      <c r="B5959" s="32">
        <v>45974</v>
      </c>
      <c r="C5959" t="s">
        <v>109</v>
      </c>
      <c r="D5959" s="13" t="s">
        <v>633</v>
      </c>
      <c r="E5959" t="s">
        <v>182</v>
      </c>
      <c r="F5959" s="11">
        <v>1</v>
      </c>
      <c r="G5959" s="11">
        <v>21008.400000000001</v>
      </c>
    </row>
    <row r="5960" spans="2:7" x14ac:dyDescent="0.2">
      <c r="B5960" s="32">
        <v>45974</v>
      </c>
      <c r="C5960" t="s">
        <v>109</v>
      </c>
      <c r="D5960" s="13" t="s">
        <v>633</v>
      </c>
      <c r="E5960" t="s">
        <v>206</v>
      </c>
      <c r="F5960" s="11">
        <v>1</v>
      </c>
      <c r="G5960" s="11">
        <v>0</v>
      </c>
    </row>
    <row r="5961" spans="2:7" x14ac:dyDescent="0.2">
      <c r="B5961" s="32">
        <v>45975</v>
      </c>
      <c r="C5961" t="s">
        <v>142</v>
      </c>
      <c r="D5961" s="13" t="s">
        <v>634</v>
      </c>
      <c r="E5961" t="s">
        <v>578</v>
      </c>
      <c r="F5961" s="11">
        <v>2</v>
      </c>
      <c r="G5961" s="11">
        <v>117647.06</v>
      </c>
    </row>
    <row r="5962" spans="2:7" x14ac:dyDescent="0.2">
      <c r="B5962" s="32">
        <v>45975</v>
      </c>
      <c r="C5962" t="s">
        <v>142</v>
      </c>
      <c r="D5962" s="13" t="s">
        <v>634</v>
      </c>
      <c r="E5962" t="s">
        <v>147</v>
      </c>
      <c r="F5962" s="11">
        <v>1</v>
      </c>
      <c r="G5962" s="11">
        <v>71428.570000000007</v>
      </c>
    </row>
    <row r="5963" spans="2:7" x14ac:dyDescent="0.2">
      <c r="B5963" s="32">
        <v>45975</v>
      </c>
      <c r="C5963" t="s">
        <v>142</v>
      </c>
      <c r="D5963" s="13" t="s">
        <v>633</v>
      </c>
      <c r="E5963" t="s">
        <v>347</v>
      </c>
      <c r="F5963" s="11">
        <v>2</v>
      </c>
      <c r="G5963" s="11">
        <v>151260.5</v>
      </c>
    </row>
    <row r="5964" spans="2:7" x14ac:dyDescent="0.2">
      <c r="B5964" s="32">
        <v>45975</v>
      </c>
      <c r="C5964" t="s">
        <v>142</v>
      </c>
      <c r="D5964" s="13" t="s">
        <v>633</v>
      </c>
      <c r="E5964" t="s">
        <v>567</v>
      </c>
      <c r="F5964" s="11">
        <v>1</v>
      </c>
      <c r="G5964" s="11">
        <v>103781.52</v>
      </c>
    </row>
    <row r="5965" spans="2:7" x14ac:dyDescent="0.2">
      <c r="B5965" s="32">
        <v>45975</v>
      </c>
      <c r="C5965" t="s">
        <v>142</v>
      </c>
      <c r="D5965" s="13" t="s">
        <v>633</v>
      </c>
      <c r="E5965" t="s">
        <v>2088</v>
      </c>
      <c r="F5965" s="11">
        <v>1</v>
      </c>
      <c r="G5965" s="11">
        <v>79831.929999999993</v>
      </c>
    </row>
    <row r="5966" spans="2:7" x14ac:dyDescent="0.2">
      <c r="B5966" s="32">
        <v>45975</v>
      </c>
      <c r="C5966" t="s">
        <v>142</v>
      </c>
      <c r="D5966" s="13" t="s">
        <v>633</v>
      </c>
      <c r="E5966" t="s">
        <v>181</v>
      </c>
      <c r="F5966" s="11">
        <v>1</v>
      </c>
      <c r="G5966" s="11">
        <v>55882.35</v>
      </c>
    </row>
    <row r="5967" spans="2:7" x14ac:dyDescent="0.2">
      <c r="B5967" s="32">
        <v>45975</v>
      </c>
      <c r="C5967" t="s">
        <v>109</v>
      </c>
      <c r="D5967" s="13" t="s">
        <v>634</v>
      </c>
      <c r="E5967" t="s">
        <v>417</v>
      </c>
      <c r="F5967" s="11">
        <v>2</v>
      </c>
      <c r="G5967" s="11">
        <v>272268.90000000002</v>
      </c>
    </row>
    <row r="5968" spans="2:7" x14ac:dyDescent="0.2">
      <c r="B5968" s="32">
        <v>45975</v>
      </c>
      <c r="C5968" t="s">
        <v>109</v>
      </c>
      <c r="D5968" s="13" t="s">
        <v>634</v>
      </c>
      <c r="E5968" t="s">
        <v>154</v>
      </c>
      <c r="F5968" s="11">
        <v>2</v>
      </c>
      <c r="G5968" s="11">
        <v>201680.67</v>
      </c>
    </row>
    <row r="5969" spans="2:7" x14ac:dyDescent="0.2">
      <c r="B5969" s="32">
        <v>45975</v>
      </c>
      <c r="C5969" t="s">
        <v>109</v>
      </c>
      <c r="D5969" s="13" t="s">
        <v>634</v>
      </c>
      <c r="E5969" t="s">
        <v>245</v>
      </c>
      <c r="F5969" s="11">
        <v>1</v>
      </c>
      <c r="G5969" s="11">
        <v>126050.42</v>
      </c>
    </row>
    <row r="5970" spans="2:7" x14ac:dyDescent="0.2">
      <c r="B5970" s="32">
        <v>45975</v>
      </c>
      <c r="C5970" t="s">
        <v>109</v>
      </c>
      <c r="D5970" s="13" t="s">
        <v>634</v>
      </c>
      <c r="E5970" t="s">
        <v>185</v>
      </c>
      <c r="F5970" s="11">
        <v>1</v>
      </c>
      <c r="G5970" s="11">
        <v>100840.34</v>
      </c>
    </row>
    <row r="5971" spans="2:7" x14ac:dyDescent="0.2">
      <c r="B5971" s="32">
        <v>45975</v>
      </c>
      <c r="C5971" t="s">
        <v>109</v>
      </c>
      <c r="D5971" s="13" t="s">
        <v>634</v>
      </c>
      <c r="E5971" t="s">
        <v>182</v>
      </c>
      <c r="F5971" s="11">
        <v>3</v>
      </c>
      <c r="G5971" s="11">
        <v>88235.29</v>
      </c>
    </row>
    <row r="5972" spans="2:7" x14ac:dyDescent="0.2">
      <c r="B5972" s="32">
        <v>45975</v>
      </c>
      <c r="C5972" t="s">
        <v>109</v>
      </c>
      <c r="D5972" s="13" t="s">
        <v>634</v>
      </c>
      <c r="E5972" t="s">
        <v>213</v>
      </c>
      <c r="F5972" s="11">
        <v>1</v>
      </c>
      <c r="G5972" s="11">
        <v>58823.53</v>
      </c>
    </row>
    <row r="5973" spans="2:7" x14ac:dyDescent="0.2">
      <c r="B5973" s="32">
        <v>45975</v>
      </c>
      <c r="C5973" t="s">
        <v>109</v>
      </c>
      <c r="D5973" s="13" t="s">
        <v>634</v>
      </c>
      <c r="E5973" t="s">
        <v>168</v>
      </c>
      <c r="F5973" s="11">
        <v>1</v>
      </c>
      <c r="G5973" s="11">
        <v>42016.81</v>
      </c>
    </row>
    <row r="5974" spans="2:7" x14ac:dyDescent="0.2">
      <c r="B5974" s="32">
        <v>45975</v>
      </c>
      <c r="C5974" t="s">
        <v>109</v>
      </c>
      <c r="D5974" s="13" t="s">
        <v>634</v>
      </c>
      <c r="E5974" t="s">
        <v>322</v>
      </c>
      <c r="F5974" s="11">
        <v>1</v>
      </c>
      <c r="G5974" s="11">
        <v>29000</v>
      </c>
    </row>
    <row r="5975" spans="2:7" x14ac:dyDescent="0.2">
      <c r="B5975" s="32">
        <v>45975</v>
      </c>
      <c r="C5975" t="s">
        <v>109</v>
      </c>
      <c r="D5975" s="13" t="s">
        <v>634</v>
      </c>
      <c r="E5975" t="s">
        <v>1727</v>
      </c>
      <c r="F5975" s="11">
        <v>2</v>
      </c>
      <c r="G5975" s="11">
        <v>15126.06</v>
      </c>
    </row>
    <row r="5976" spans="2:7" x14ac:dyDescent="0.2">
      <c r="B5976" s="32">
        <v>45975</v>
      </c>
      <c r="C5976" t="s">
        <v>109</v>
      </c>
      <c r="D5976" s="13" t="s">
        <v>633</v>
      </c>
      <c r="E5976" t="s">
        <v>418</v>
      </c>
      <c r="F5976" s="11">
        <v>1</v>
      </c>
      <c r="G5976" s="11">
        <v>85714.29</v>
      </c>
    </row>
    <row r="5977" spans="2:7" x14ac:dyDescent="0.2">
      <c r="B5977" s="32">
        <v>45975</v>
      </c>
      <c r="C5977" t="s">
        <v>109</v>
      </c>
      <c r="D5977" s="13" t="s">
        <v>633</v>
      </c>
      <c r="E5977" t="s">
        <v>532</v>
      </c>
      <c r="F5977" s="11">
        <v>1</v>
      </c>
      <c r="G5977" s="11">
        <v>85714.29</v>
      </c>
    </row>
    <row r="5978" spans="2:7" x14ac:dyDescent="0.2">
      <c r="B5978" s="32">
        <v>45975</v>
      </c>
      <c r="C5978" t="s">
        <v>109</v>
      </c>
      <c r="D5978" s="13" t="s">
        <v>633</v>
      </c>
      <c r="E5978" t="s">
        <v>156</v>
      </c>
      <c r="F5978" s="11">
        <v>2</v>
      </c>
      <c r="G5978" s="11">
        <v>84033.61</v>
      </c>
    </row>
    <row r="5979" spans="2:7" x14ac:dyDescent="0.2">
      <c r="B5979" s="32">
        <v>45975</v>
      </c>
      <c r="C5979" t="s">
        <v>109</v>
      </c>
      <c r="D5979" s="13" t="s">
        <v>633</v>
      </c>
      <c r="E5979" t="s">
        <v>347</v>
      </c>
      <c r="F5979" s="11">
        <v>1</v>
      </c>
      <c r="G5979" s="11">
        <v>75630.25</v>
      </c>
    </row>
    <row r="5980" spans="2:7" x14ac:dyDescent="0.2">
      <c r="B5980" s="32">
        <v>45975</v>
      </c>
      <c r="C5980" t="s">
        <v>109</v>
      </c>
      <c r="D5980" s="13" t="s">
        <v>633</v>
      </c>
      <c r="E5980" t="s">
        <v>341</v>
      </c>
      <c r="F5980" s="11">
        <v>1</v>
      </c>
      <c r="G5980" s="11">
        <v>50000</v>
      </c>
    </row>
    <row r="5981" spans="2:7" x14ac:dyDescent="0.2">
      <c r="B5981" s="32">
        <v>45975</v>
      </c>
      <c r="C5981" t="s">
        <v>109</v>
      </c>
      <c r="D5981" s="13" t="s">
        <v>633</v>
      </c>
      <c r="E5981" t="s">
        <v>251</v>
      </c>
      <c r="F5981" s="11">
        <v>1</v>
      </c>
      <c r="G5981" s="11">
        <v>50000</v>
      </c>
    </row>
    <row r="5982" spans="2:7" x14ac:dyDescent="0.2">
      <c r="B5982" s="32">
        <v>45975</v>
      </c>
      <c r="C5982" t="s">
        <v>109</v>
      </c>
      <c r="D5982" s="13" t="s">
        <v>633</v>
      </c>
      <c r="E5982" t="s">
        <v>419</v>
      </c>
      <c r="F5982" s="11">
        <v>1</v>
      </c>
      <c r="G5982" s="11">
        <v>49999.99</v>
      </c>
    </row>
    <row r="5983" spans="2:7" x14ac:dyDescent="0.2">
      <c r="B5983" s="32">
        <v>45975</v>
      </c>
      <c r="C5983" t="s">
        <v>109</v>
      </c>
      <c r="D5983" s="13" t="s">
        <v>633</v>
      </c>
      <c r="E5983" t="s">
        <v>440</v>
      </c>
      <c r="F5983" s="11">
        <v>1</v>
      </c>
      <c r="G5983" s="11">
        <v>49999.99</v>
      </c>
    </row>
    <row r="5984" spans="2:7" x14ac:dyDescent="0.2">
      <c r="B5984" s="32">
        <v>45975</v>
      </c>
      <c r="C5984" t="s">
        <v>109</v>
      </c>
      <c r="D5984" s="13" t="s">
        <v>633</v>
      </c>
      <c r="E5984" t="s">
        <v>1896</v>
      </c>
      <c r="F5984" s="11">
        <v>1</v>
      </c>
      <c r="G5984" s="11">
        <v>46218.49</v>
      </c>
    </row>
    <row r="5985" spans="2:7" x14ac:dyDescent="0.2">
      <c r="B5985" s="32">
        <v>45975</v>
      </c>
      <c r="C5985" t="s">
        <v>109</v>
      </c>
      <c r="D5985" s="13" t="s">
        <v>633</v>
      </c>
      <c r="E5985" t="s">
        <v>144</v>
      </c>
      <c r="F5985" s="11">
        <v>2</v>
      </c>
      <c r="G5985" s="11">
        <v>31932.77</v>
      </c>
    </row>
    <row r="5986" spans="2:7" x14ac:dyDescent="0.2">
      <c r="B5986" s="32">
        <v>45975</v>
      </c>
      <c r="C5986" t="s">
        <v>109</v>
      </c>
      <c r="D5986" s="13" t="s">
        <v>633</v>
      </c>
      <c r="E5986" t="s">
        <v>327</v>
      </c>
      <c r="F5986" s="11">
        <v>1</v>
      </c>
      <c r="G5986" s="11">
        <v>30000</v>
      </c>
    </row>
    <row r="5987" spans="2:7" x14ac:dyDescent="0.2">
      <c r="B5987" s="32">
        <v>45976</v>
      </c>
      <c r="C5987" t="s">
        <v>142</v>
      </c>
      <c r="D5987" s="13" t="s">
        <v>634</v>
      </c>
      <c r="E5987" t="s">
        <v>2089</v>
      </c>
      <c r="F5987" s="11">
        <v>4</v>
      </c>
      <c r="G5987" s="11">
        <v>857142.86</v>
      </c>
    </row>
    <row r="5988" spans="2:7" x14ac:dyDescent="0.2">
      <c r="B5988" s="32">
        <v>45976</v>
      </c>
      <c r="C5988" t="s">
        <v>142</v>
      </c>
      <c r="D5988" s="13" t="s">
        <v>634</v>
      </c>
      <c r="E5988" t="s">
        <v>2090</v>
      </c>
      <c r="F5988" s="11">
        <v>3</v>
      </c>
      <c r="G5988" s="11">
        <v>642857.14</v>
      </c>
    </row>
    <row r="5989" spans="2:7" x14ac:dyDescent="0.2">
      <c r="B5989" s="32">
        <v>45976</v>
      </c>
      <c r="C5989" t="s">
        <v>142</v>
      </c>
      <c r="D5989" s="13" t="s">
        <v>634</v>
      </c>
      <c r="E5989" t="s">
        <v>502</v>
      </c>
      <c r="F5989" s="11">
        <v>3</v>
      </c>
      <c r="G5989" s="11">
        <v>642857.14</v>
      </c>
    </row>
    <row r="5990" spans="2:7" x14ac:dyDescent="0.2">
      <c r="B5990" s="32">
        <v>45976</v>
      </c>
      <c r="C5990" t="s">
        <v>142</v>
      </c>
      <c r="D5990" s="13" t="s">
        <v>634</v>
      </c>
      <c r="E5990" t="s">
        <v>143</v>
      </c>
      <c r="F5990" s="11">
        <v>2</v>
      </c>
      <c r="G5990" s="11">
        <v>428571.43</v>
      </c>
    </row>
    <row r="5991" spans="2:7" x14ac:dyDescent="0.2">
      <c r="B5991" s="32">
        <v>45976</v>
      </c>
      <c r="C5991" t="s">
        <v>142</v>
      </c>
      <c r="D5991" s="13" t="s">
        <v>634</v>
      </c>
      <c r="E5991" t="s">
        <v>780</v>
      </c>
      <c r="F5991" s="11">
        <v>1</v>
      </c>
      <c r="G5991" s="11">
        <v>214285.72</v>
      </c>
    </row>
    <row r="5992" spans="2:7" x14ac:dyDescent="0.2">
      <c r="B5992" s="32">
        <v>45976</v>
      </c>
      <c r="C5992" t="s">
        <v>142</v>
      </c>
      <c r="D5992" s="13" t="s">
        <v>634</v>
      </c>
      <c r="E5992" t="s">
        <v>1704</v>
      </c>
      <c r="F5992" s="11">
        <v>1</v>
      </c>
      <c r="G5992" s="11">
        <v>54621.85</v>
      </c>
    </row>
    <row r="5993" spans="2:7" x14ac:dyDescent="0.2">
      <c r="B5993" s="32">
        <v>45976</v>
      </c>
      <c r="C5993" t="s">
        <v>142</v>
      </c>
      <c r="D5993" s="13" t="s">
        <v>633</v>
      </c>
      <c r="E5993" t="s">
        <v>423</v>
      </c>
      <c r="F5993" s="11">
        <v>4</v>
      </c>
      <c r="G5993" s="11">
        <v>420168.07</v>
      </c>
    </row>
    <row r="5994" spans="2:7" x14ac:dyDescent="0.2">
      <c r="B5994" s="32">
        <v>45976</v>
      </c>
      <c r="C5994" t="s">
        <v>142</v>
      </c>
      <c r="D5994" s="13" t="s">
        <v>633</v>
      </c>
      <c r="E5994" t="s">
        <v>313</v>
      </c>
      <c r="F5994" s="11">
        <v>1</v>
      </c>
      <c r="G5994" s="11">
        <v>100840.34</v>
      </c>
    </row>
    <row r="5995" spans="2:7" x14ac:dyDescent="0.2">
      <c r="B5995" s="32">
        <v>45976</v>
      </c>
      <c r="C5995" t="s">
        <v>109</v>
      </c>
      <c r="D5995" s="13" t="s">
        <v>634</v>
      </c>
      <c r="E5995" t="s">
        <v>308</v>
      </c>
      <c r="F5995" s="11">
        <v>2</v>
      </c>
      <c r="G5995" s="11">
        <v>196638.66</v>
      </c>
    </row>
    <row r="5996" spans="2:7" x14ac:dyDescent="0.2">
      <c r="B5996" s="32">
        <v>45976</v>
      </c>
      <c r="C5996" t="s">
        <v>109</v>
      </c>
      <c r="D5996" s="13" t="s">
        <v>634</v>
      </c>
      <c r="E5996" t="s">
        <v>154</v>
      </c>
      <c r="F5996" s="11">
        <v>2</v>
      </c>
      <c r="G5996" s="11">
        <v>196638.64</v>
      </c>
    </row>
    <row r="5997" spans="2:7" x14ac:dyDescent="0.2">
      <c r="B5997" s="32">
        <v>45976</v>
      </c>
      <c r="C5997" t="s">
        <v>109</v>
      </c>
      <c r="D5997" s="13" t="s">
        <v>634</v>
      </c>
      <c r="E5997" t="s">
        <v>368</v>
      </c>
      <c r="F5997" s="11">
        <v>2</v>
      </c>
      <c r="G5997" s="11">
        <v>151260.5</v>
      </c>
    </row>
    <row r="5998" spans="2:7" x14ac:dyDescent="0.2">
      <c r="B5998" s="32">
        <v>45976</v>
      </c>
      <c r="C5998" t="s">
        <v>109</v>
      </c>
      <c r="D5998" s="13" t="s">
        <v>634</v>
      </c>
      <c r="E5998" t="s">
        <v>645</v>
      </c>
      <c r="F5998" s="11">
        <v>1</v>
      </c>
      <c r="G5998" s="11">
        <v>151260.5</v>
      </c>
    </row>
    <row r="5999" spans="2:7" x14ac:dyDescent="0.2">
      <c r="B5999" s="32">
        <v>45976</v>
      </c>
      <c r="C5999" t="s">
        <v>109</v>
      </c>
      <c r="D5999" s="13" t="s">
        <v>634</v>
      </c>
      <c r="E5999" t="s">
        <v>2091</v>
      </c>
      <c r="F5999" s="11">
        <v>3</v>
      </c>
      <c r="G5999" s="11">
        <v>138655.46</v>
      </c>
    </row>
    <row r="6000" spans="2:7" x14ac:dyDescent="0.2">
      <c r="B6000" s="32">
        <v>45976</v>
      </c>
      <c r="C6000" t="s">
        <v>109</v>
      </c>
      <c r="D6000" s="13" t="s">
        <v>634</v>
      </c>
      <c r="E6000" t="s">
        <v>694</v>
      </c>
      <c r="F6000" s="11">
        <v>1</v>
      </c>
      <c r="G6000" s="11">
        <v>130252.1</v>
      </c>
    </row>
    <row r="6001" spans="2:7" x14ac:dyDescent="0.2">
      <c r="B6001" s="32">
        <v>45976</v>
      </c>
      <c r="C6001" t="s">
        <v>109</v>
      </c>
      <c r="D6001" s="13" t="s">
        <v>634</v>
      </c>
      <c r="E6001" t="s">
        <v>144</v>
      </c>
      <c r="F6001" s="11">
        <v>2</v>
      </c>
      <c r="G6001" s="11">
        <v>126050.42</v>
      </c>
    </row>
    <row r="6002" spans="2:7" x14ac:dyDescent="0.2">
      <c r="B6002" s="32">
        <v>45976</v>
      </c>
      <c r="C6002" t="s">
        <v>109</v>
      </c>
      <c r="D6002" s="13" t="s">
        <v>634</v>
      </c>
      <c r="E6002" t="s">
        <v>212</v>
      </c>
      <c r="F6002" s="11">
        <v>2</v>
      </c>
      <c r="G6002" s="11">
        <v>109243.7</v>
      </c>
    </row>
    <row r="6003" spans="2:7" x14ac:dyDescent="0.2">
      <c r="B6003" s="32">
        <v>45976</v>
      </c>
      <c r="C6003" t="s">
        <v>109</v>
      </c>
      <c r="D6003" s="13" t="s">
        <v>634</v>
      </c>
      <c r="E6003" t="s">
        <v>250</v>
      </c>
      <c r="F6003" s="11">
        <v>1</v>
      </c>
      <c r="G6003" s="11">
        <v>95798.32</v>
      </c>
    </row>
    <row r="6004" spans="2:7" x14ac:dyDescent="0.2">
      <c r="B6004" s="32">
        <v>45976</v>
      </c>
      <c r="C6004" t="s">
        <v>109</v>
      </c>
      <c r="D6004" s="13" t="s">
        <v>634</v>
      </c>
      <c r="E6004" t="s">
        <v>229</v>
      </c>
      <c r="F6004" s="11">
        <v>2</v>
      </c>
      <c r="G6004" s="11">
        <v>84033.61</v>
      </c>
    </row>
    <row r="6005" spans="2:7" x14ac:dyDescent="0.2">
      <c r="B6005" s="32">
        <v>45976</v>
      </c>
      <c r="C6005" t="s">
        <v>109</v>
      </c>
      <c r="D6005" s="13" t="s">
        <v>634</v>
      </c>
      <c r="E6005" t="s">
        <v>168</v>
      </c>
      <c r="F6005" s="11">
        <v>2</v>
      </c>
      <c r="G6005" s="11">
        <v>81932.789999999994</v>
      </c>
    </row>
    <row r="6006" spans="2:7" x14ac:dyDescent="0.2">
      <c r="B6006" s="32">
        <v>45976</v>
      </c>
      <c r="C6006" t="s">
        <v>109</v>
      </c>
      <c r="D6006" s="13" t="s">
        <v>634</v>
      </c>
      <c r="E6006" t="s">
        <v>342</v>
      </c>
      <c r="F6006" s="11">
        <v>2</v>
      </c>
      <c r="G6006" s="11">
        <v>75630.25</v>
      </c>
    </row>
    <row r="6007" spans="2:7" x14ac:dyDescent="0.2">
      <c r="B6007" s="32">
        <v>45976</v>
      </c>
      <c r="C6007" t="s">
        <v>109</v>
      </c>
      <c r="D6007" s="13" t="s">
        <v>634</v>
      </c>
      <c r="E6007" t="s">
        <v>164</v>
      </c>
      <c r="F6007" s="11">
        <v>1</v>
      </c>
      <c r="G6007" s="11">
        <v>71428.570000000007</v>
      </c>
    </row>
    <row r="6008" spans="2:7" x14ac:dyDescent="0.2">
      <c r="B6008" s="32">
        <v>45976</v>
      </c>
      <c r="C6008" t="s">
        <v>109</v>
      </c>
      <c r="D6008" s="13" t="s">
        <v>634</v>
      </c>
      <c r="E6008" t="s">
        <v>189</v>
      </c>
      <c r="F6008" s="11">
        <v>1</v>
      </c>
      <c r="G6008" s="11">
        <v>71428.570000000007</v>
      </c>
    </row>
    <row r="6009" spans="2:7" x14ac:dyDescent="0.2">
      <c r="B6009" s="32">
        <v>45976</v>
      </c>
      <c r="C6009" t="s">
        <v>109</v>
      </c>
      <c r="D6009" s="13" t="s">
        <v>634</v>
      </c>
      <c r="E6009" t="s">
        <v>413</v>
      </c>
      <c r="F6009" s="11">
        <v>1</v>
      </c>
      <c r="G6009" s="11">
        <v>67857.149999999994</v>
      </c>
    </row>
    <row r="6010" spans="2:7" x14ac:dyDescent="0.2">
      <c r="B6010" s="32">
        <v>45976</v>
      </c>
      <c r="C6010" t="s">
        <v>109</v>
      </c>
      <c r="D6010" s="13" t="s">
        <v>634</v>
      </c>
      <c r="E6010" t="s">
        <v>829</v>
      </c>
      <c r="F6010" s="11">
        <v>1</v>
      </c>
      <c r="G6010" s="11">
        <v>67857.14</v>
      </c>
    </row>
    <row r="6011" spans="2:7" x14ac:dyDescent="0.2">
      <c r="B6011" s="32">
        <v>45976</v>
      </c>
      <c r="C6011" t="s">
        <v>109</v>
      </c>
      <c r="D6011" s="13" t="s">
        <v>634</v>
      </c>
      <c r="E6011" t="s">
        <v>361</v>
      </c>
      <c r="F6011" s="11">
        <v>1</v>
      </c>
      <c r="G6011" s="11">
        <v>67857.14</v>
      </c>
    </row>
    <row r="6012" spans="2:7" x14ac:dyDescent="0.2">
      <c r="B6012" s="32">
        <v>45976</v>
      </c>
      <c r="C6012" t="s">
        <v>109</v>
      </c>
      <c r="D6012" s="13" t="s">
        <v>634</v>
      </c>
      <c r="E6012" t="s">
        <v>1915</v>
      </c>
      <c r="F6012" s="11">
        <v>1</v>
      </c>
      <c r="G6012" s="11">
        <v>58823.53</v>
      </c>
    </row>
    <row r="6013" spans="2:7" x14ac:dyDescent="0.2">
      <c r="B6013" s="32">
        <v>45976</v>
      </c>
      <c r="C6013" t="s">
        <v>109</v>
      </c>
      <c r="D6013" s="13" t="s">
        <v>634</v>
      </c>
      <c r="E6013" t="s">
        <v>145</v>
      </c>
      <c r="F6013" s="11">
        <v>2</v>
      </c>
      <c r="G6013" s="11">
        <v>58823.519999999997</v>
      </c>
    </row>
    <row r="6014" spans="2:7" x14ac:dyDescent="0.2">
      <c r="B6014" s="32">
        <v>45976</v>
      </c>
      <c r="C6014" t="s">
        <v>109</v>
      </c>
      <c r="D6014" s="13" t="s">
        <v>634</v>
      </c>
      <c r="E6014" t="s">
        <v>243</v>
      </c>
      <c r="F6014" s="11">
        <v>1</v>
      </c>
      <c r="G6014" s="11">
        <v>54621.85</v>
      </c>
    </row>
    <row r="6015" spans="2:7" x14ac:dyDescent="0.2">
      <c r="B6015" s="32">
        <v>45976</v>
      </c>
      <c r="C6015" t="s">
        <v>109</v>
      </c>
      <c r="D6015" s="13" t="s">
        <v>634</v>
      </c>
      <c r="E6015" t="s">
        <v>237</v>
      </c>
      <c r="F6015" s="11">
        <v>1</v>
      </c>
      <c r="G6015" s="11">
        <v>54621.85</v>
      </c>
    </row>
    <row r="6016" spans="2:7" x14ac:dyDescent="0.2">
      <c r="B6016" s="32">
        <v>45976</v>
      </c>
      <c r="C6016" t="s">
        <v>109</v>
      </c>
      <c r="D6016" s="13" t="s">
        <v>634</v>
      </c>
      <c r="E6016" t="s">
        <v>2092</v>
      </c>
      <c r="F6016" s="11">
        <v>1</v>
      </c>
      <c r="G6016" s="11">
        <v>54621.84</v>
      </c>
    </row>
    <row r="6017" spans="2:7" x14ac:dyDescent="0.2">
      <c r="B6017" s="32">
        <v>45976</v>
      </c>
      <c r="C6017" t="s">
        <v>109</v>
      </c>
      <c r="D6017" s="13" t="s">
        <v>634</v>
      </c>
      <c r="E6017" t="s">
        <v>1846</v>
      </c>
      <c r="F6017" s="11">
        <v>2</v>
      </c>
      <c r="G6017" s="11">
        <v>42016.81</v>
      </c>
    </row>
    <row r="6018" spans="2:7" x14ac:dyDescent="0.2">
      <c r="B6018" s="32">
        <v>45976</v>
      </c>
      <c r="C6018" t="s">
        <v>109</v>
      </c>
      <c r="D6018" s="13" t="s">
        <v>634</v>
      </c>
      <c r="E6018" t="s">
        <v>166</v>
      </c>
      <c r="F6018" s="11">
        <v>1</v>
      </c>
      <c r="G6018" s="11">
        <v>39915.97</v>
      </c>
    </row>
    <row r="6019" spans="2:7" x14ac:dyDescent="0.2">
      <c r="B6019" s="32">
        <v>45976</v>
      </c>
      <c r="C6019" t="s">
        <v>109</v>
      </c>
      <c r="D6019" s="13" t="s">
        <v>634</v>
      </c>
      <c r="E6019" t="s">
        <v>509</v>
      </c>
      <c r="F6019" s="11">
        <v>2</v>
      </c>
      <c r="G6019" s="11">
        <v>33613.449999999997</v>
      </c>
    </row>
    <row r="6020" spans="2:7" x14ac:dyDescent="0.2">
      <c r="B6020" s="32">
        <v>45976</v>
      </c>
      <c r="C6020" t="s">
        <v>109</v>
      </c>
      <c r="D6020" s="13" t="s">
        <v>633</v>
      </c>
      <c r="E6020" t="s">
        <v>1931</v>
      </c>
      <c r="F6020" s="11">
        <v>3</v>
      </c>
      <c r="G6020" s="11">
        <v>396428.57</v>
      </c>
    </row>
    <row r="6021" spans="2:7" x14ac:dyDescent="0.2">
      <c r="B6021" s="32">
        <v>45976</v>
      </c>
      <c r="C6021" t="s">
        <v>109</v>
      </c>
      <c r="D6021" s="13" t="s">
        <v>633</v>
      </c>
      <c r="E6021" t="s">
        <v>2075</v>
      </c>
      <c r="F6021" s="11">
        <v>10</v>
      </c>
      <c r="G6021" s="11">
        <v>392857.15</v>
      </c>
    </row>
    <row r="6022" spans="2:7" x14ac:dyDescent="0.2">
      <c r="B6022" s="32">
        <v>45976</v>
      </c>
      <c r="C6022" t="s">
        <v>109</v>
      </c>
      <c r="D6022" s="13" t="s">
        <v>633</v>
      </c>
      <c r="E6022" t="s">
        <v>2067</v>
      </c>
      <c r="F6022" s="11">
        <v>10</v>
      </c>
      <c r="G6022" s="11">
        <v>392857.14</v>
      </c>
    </row>
    <row r="6023" spans="2:7" x14ac:dyDescent="0.2">
      <c r="B6023" s="32">
        <v>45976</v>
      </c>
      <c r="C6023" t="s">
        <v>109</v>
      </c>
      <c r="D6023" s="13" t="s">
        <v>633</v>
      </c>
      <c r="E6023" t="s">
        <v>144</v>
      </c>
      <c r="F6023" s="11">
        <v>4</v>
      </c>
      <c r="G6023" s="11">
        <v>229411.77</v>
      </c>
    </row>
    <row r="6024" spans="2:7" x14ac:dyDescent="0.2">
      <c r="B6024" s="32">
        <v>45976</v>
      </c>
      <c r="C6024" t="s">
        <v>109</v>
      </c>
      <c r="D6024" s="13" t="s">
        <v>633</v>
      </c>
      <c r="E6024" t="s">
        <v>2093</v>
      </c>
      <c r="F6024" s="11">
        <v>5</v>
      </c>
      <c r="G6024" s="11">
        <v>196428.57</v>
      </c>
    </row>
    <row r="6025" spans="2:7" x14ac:dyDescent="0.2">
      <c r="B6025" s="32">
        <v>45976</v>
      </c>
      <c r="C6025" t="s">
        <v>109</v>
      </c>
      <c r="D6025" s="13" t="s">
        <v>633</v>
      </c>
      <c r="E6025" t="s">
        <v>2040</v>
      </c>
      <c r="F6025" s="11">
        <v>2</v>
      </c>
      <c r="G6025" s="11">
        <v>142857.14000000001</v>
      </c>
    </row>
    <row r="6026" spans="2:7" x14ac:dyDescent="0.2">
      <c r="B6026" s="32">
        <v>45976</v>
      </c>
      <c r="C6026" t="s">
        <v>109</v>
      </c>
      <c r="D6026" s="13" t="s">
        <v>633</v>
      </c>
      <c r="E6026" t="s">
        <v>150</v>
      </c>
      <c r="F6026" s="11">
        <v>2</v>
      </c>
      <c r="G6026" s="11">
        <v>84033.600000000006</v>
      </c>
    </row>
    <row r="6027" spans="2:7" x14ac:dyDescent="0.2">
      <c r="B6027" s="32">
        <v>45976</v>
      </c>
      <c r="C6027" t="s">
        <v>109</v>
      </c>
      <c r="D6027" s="13" t="s">
        <v>633</v>
      </c>
      <c r="E6027" t="s">
        <v>340</v>
      </c>
      <c r="F6027" s="11">
        <v>1</v>
      </c>
      <c r="G6027" s="11">
        <v>75630.25</v>
      </c>
    </row>
    <row r="6028" spans="2:7" x14ac:dyDescent="0.2">
      <c r="B6028" s="32">
        <v>45976</v>
      </c>
      <c r="C6028" t="s">
        <v>109</v>
      </c>
      <c r="D6028" s="13" t="s">
        <v>633</v>
      </c>
      <c r="E6028" t="s">
        <v>2038</v>
      </c>
      <c r="F6028" s="11">
        <v>1</v>
      </c>
      <c r="G6028" s="11">
        <v>71428.570000000007</v>
      </c>
    </row>
    <row r="6029" spans="2:7" x14ac:dyDescent="0.2">
      <c r="B6029" s="32">
        <v>45976</v>
      </c>
      <c r="C6029" t="s">
        <v>109</v>
      </c>
      <c r="D6029" s="13" t="s">
        <v>633</v>
      </c>
      <c r="E6029" t="s">
        <v>168</v>
      </c>
      <c r="F6029" s="11">
        <v>1</v>
      </c>
      <c r="G6029" s="11">
        <v>42016.800000000003</v>
      </c>
    </row>
    <row r="6030" spans="2:7" x14ac:dyDescent="0.2">
      <c r="B6030" s="32">
        <v>45976</v>
      </c>
      <c r="C6030" t="s">
        <v>109</v>
      </c>
      <c r="D6030" s="13" t="s">
        <v>633</v>
      </c>
      <c r="E6030" t="s">
        <v>1818</v>
      </c>
      <c r="F6030" s="11">
        <v>1</v>
      </c>
      <c r="G6030" s="11">
        <v>37815.129999999997</v>
      </c>
    </row>
    <row r="6031" spans="2:7" x14ac:dyDescent="0.2">
      <c r="B6031" s="32">
        <v>45977</v>
      </c>
      <c r="C6031" t="s">
        <v>142</v>
      </c>
      <c r="D6031" s="13" t="s">
        <v>634</v>
      </c>
      <c r="E6031" t="s">
        <v>247</v>
      </c>
      <c r="F6031" s="11">
        <v>1</v>
      </c>
      <c r="G6031" s="11">
        <v>58823.53</v>
      </c>
    </row>
    <row r="6032" spans="2:7" x14ac:dyDescent="0.2">
      <c r="B6032" s="32">
        <v>45977</v>
      </c>
      <c r="C6032" t="s">
        <v>142</v>
      </c>
      <c r="D6032" s="13" t="s">
        <v>634</v>
      </c>
      <c r="E6032" t="s">
        <v>233</v>
      </c>
      <c r="F6032" s="11">
        <v>1</v>
      </c>
      <c r="G6032" s="11">
        <v>58823.53</v>
      </c>
    </row>
    <row r="6033" spans="2:7" x14ac:dyDescent="0.2">
      <c r="B6033" s="32">
        <v>45977</v>
      </c>
      <c r="C6033" t="s">
        <v>142</v>
      </c>
      <c r="D6033" s="13" t="s">
        <v>633</v>
      </c>
      <c r="E6033" t="s">
        <v>444</v>
      </c>
      <c r="F6033" s="11">
        <v>1</v>
      </c>
      <c r="G6033" s="11">
        <v>79831.929999999993</v>
      </c>
    </row>
    <row r="6034" spans="2:7" x14ac:dyDescent="0.2">
      <c r="B6034" s="32">
        <v>45977</v>
      </c>
      <c r="C6034" t="s">
        <v>110</v>
      </c>
      <c r="D6034" s="13" t="s">
        <v>633</v>
      </c>
      <c r="E6034" t="s">
        <v>166</v>
      </c>
      <c r="F6034" s="11">
        <v>1</v>
      </c>
      <c r="G6034" s="11">
        <v>42016.81</v>
      </c>
    </row>
    <row r="6035" spans="2:7" x14ac:dyDescent="0.2">
      <c r="B6035" s="32">
        <v>45977</v>
      </c>
      <c r="C6035" t="s">
        <v>109</v>
      </c>
      <c r="D6035" s="13"/>
      <c r="E6035" t="s">
        <v>2094</v>
      </c>
      <c r="F6035" s="11">
        <v>1</v>
      </c>
      <c r="G6035" s="11">
        <v>46218.49</v>
      </c>
    </row>
    <row r="6036" spans="2:7" x14ac:dyDescent="0.2">
      <c r="B6036" s="32">
        <v>45977</v>
      </c>
      <c r="C6036" t="s">
        <v>109</v>
      </c>
      <c r="D6036" s="13" t="s">
        <v>634</v>
      </c>
      <c r="E6036" t="s">
        <v>283</v>
      </c>
      <c r="F6036" s="11">
        <v>1</v>
      </c>
      <c r="G6036" s="11">
        <v>100840.34</v>
      </c>
    </row>
    <row r="6037" spans="2:7" x14ac:dyDescent="0.2">
      <c r="B6037" s="32">
        <v>45977</v>
      </c>
      <c r="C6037" t="s">
        <v>109</v>
      </c>
      <c r="D6037" s="13" t="s">
        <v>634</v>
      </c>
      <c r="E6037" t="s">
        <v>377</v>
      </c>
      <c r="F6037" s="11">
        <v>1</v>
      </c>
      <c r="G6037" s="11">
        <v>58823.53</v>
      </c>
    </row>
    <row r="6038" spans="2:7" x14ac:dyDescent="0.2">
      <c r="B6038" s="32">
        <v>45977</v>
      </c>
      <c r="C6038" t="s">
        <v>109</v>
      </c>
      <c r="D6038" s="13" t="s">
        <v>634</v>
      </c>
      <c r="E6038" t="s">
        <v>500</v>
      </c>
      <c r="F6038" s="11">
        <v>1</v>
      </c>
      <c r="G6038" s="11">
        <v>58823.53</v>
      </c>
    </row>
    <row r="6039" spans="2:7" x14ac:dyDescent="0.2">
      <c r="B6039" s="32">
        <v>45977</v>
      </c>
      <c r="C6039" t="s">
        <v>109</v>
      </c>
      <c r="D6039" s="13" t="s">
        <v>633</v>
      </c>
      <c r="E6039" t="s">
        <v>535</v>
      </c>
      <c r="F6039" s="11">
        <v>2</v>
      </c>
      <c r="G6039" s="11">
        <v>285798.32</v>
      </c>
    </row>
    <row r="6040" spans="2:7" x14ac:dyDescent="0.2">
      <c r="B6040" s="32">
        <v>45977</v>
      </c>
      <c r="C6040" t="s">
        <v>109</v>
      </c>
      <c r="D6040" s="13" t="s">
        <v>633</v>
      </c>
      <c r="E6040" t="s">
        <v>145</v>
      </c>
      <c r="F6040" s="11">
        <v>4</v>
      </c>
      <c r="G6040" s="11">
        <v>117647.05</v>
      </c>
    </row>
    <row r="6041" spans="2:7" x14ac:dyDescent="0.2">
      <c r="B6041" s="32">
        <v>45977</v>
      </c>
      <c r="C6041" t="s">
        <v>109</v>
      </c>
      <c r="D6041" s="13" t="s">
        <v>633</v>
      </c>
      <c r="E6041" t="s">
        <v>327</v>
      </c>
      <c r="F6041" s="11">
        <v>3</v>
      </c>
      <c r="G6041" s="11">
        <v>90000</v>
      </c>
    </row>
    <row r="6042" spans="2:7" x14ac:dyDescent="0.2">
      <c r="B6042" s="32">
        <v>45977</v>
      </c>
      <c r="C6042" t="s">
        <v>109</v>
      </c>
      <c r="D6042" s="13" t="s">
        <v>633</v>
      </c>
      <c r="E6042" t="s">
        <v>157</v>
      </c>
      <c r="F6042" s="11">
        <v>1</v>
      </c>
      <c r="G6042" s="11">
        <v>81135.899999999994</v>
      </c>
    </row>
    <row r="6043" spans="2:7" x14ac:dyDescent="0.2">
      <c r="B6043" s="32">
        <v>45977</v>
      </c>
      <c r="C6043" t="s">
        <v>109</v>
      </c>
      <c r="D6043" s="13" t="s">
        <v>633</v>
      </c>
      <c r="E6043" t="s">
        <v>183</v>
      </c>
      <c r="F6043" s="11">
        <v>1</v>
      </c>
      <c r="G6043" s="11">
        <v>81135.899999999994</v>
      </c>
    </row>
    <row r="6044" spans="2:7" x14ac:dyDescent="0.2">
      <c r="B6044" s="32">
        <v>45977</v>
      </c>
      <c r="C6044" t="s">
        <v>109</v>
      </c>
      <c r="D6044" s="13" t="s">
        <v>633</v>
      </c>
      <c r="E6044" t="s">
        <v>234</v>
      </c>
      <c r="F6044" s="11">
        <v>2</v>
      </c>
      <c r="G6044" s="11">
        <v>73022.320000000007</v>
      </c>
    </row>
    <row r="6045" spans="2:7" x14ac:dyDescent="0.2">
      <c r="B6045" s="32">
        <v>45977</v>
      </c>
      <c r="C6045" t="s">
        <v>109</v>
      </c>
      <c r="D6045" s="13" t="s">
        <v>633</v>
      </c>
      <c r="E6045" t="s">
        <v>2091</v>
      </c>
      <c r="F6045" s="11">
        <v>1</v>
      </c>
      <c r="G6045" s="11">
        <v>43907.56</v>
      </c>
    </row>
    <row r="6046" spans="2:7" x14ac:dyDescent="0.2">
      <c r="B6046" s="32">
        <v>45977</v>
      </c>
      <c r="C6046" t="s">
        <v>109</v>
      </c>
      <c r="D6046" s="13" t="s">
        <v>633</v>
      </c>
      <c r="E6046" t="s">
        <v>1963</v>
      </c>
      <c r="F6046" s="11">
        <v>1</v>
      </c>
      <c r="G6046" s="11">
        <v>42016.81</v>
      </c>
    </row>
    <row r="6047" spans="2:7" x14ac:dyDescent="0.2">
      <c r="B6047" s="32">
        <v>45977</v>
      </c>
      <c r="C6047" t="s">
        <v>109</v>
      </c>
      <c r="D6047" s="13" t="s">
        <v>633</v>
      </c>
      <c r="E6047" t="s">
        <v>240</v>
      </c>
      <c r="F6047" s="11">
        <v>1</v>
      </c>
      <c r="G6047" s="11">
        <v>42016.81</v>
      </c>
    </row>
    <row r="6048" spans="2:7" x14ac:dyDescent="0.2">
      <c r="B6048" s="32">
        <v>45977</v>
      </c>
      <c r="C6048" t="s">
        <v>109</v>
      </c>
      <c r="D6048" s="13" t="s">
        <v>633</v>
      </c>
      <c r="E6048" t="s">
        <v>168</v>
      </c>
      <c r="F6048" s="11">
        <v>1</v>
      </c>
      <c r="G6048" s="11">
        <v>42016.81</v>
      </c>
    </row>
    <row r="6049" spans="2:7" x14ac:dyDescent="0.2">
      <c r="B6049" s="32">
        <v>45977</v>
      </c>
      <c r="C6049" t="s">
        <v>109</v>
      </c>
      <c r="D6049" s="13" t="s">
        <v>633</v>
      </c>
      <c r="E6049" t="s">
        <v>144</v>
      </c>
      <c r="F6049" s="11">
        <v>1</v>
      </c>
      <c r="G6049" s="11">
        <v>25210.080000000002</v>
      </c>
    </row>
    <row r="6050" spans="2:7" x14ac:dyDescent="0.2">
      <c r="B6050" s="32">
        <v>45978</v>
      </c>
      <c r="C6050" t="s">
        <v>142</v>
      </c>
      <c r="D6050" s="13" t="s">
        <v>634</v>
      </c>
      <c r="E6050" t="s">
        <v>2095</v>
      </c>
      <c r="F6050" s="11">
        <v>1</v>
      </c>
      <c r="G6050" s="11">
        <v>58823.53</v>
      </c>
    </row>
    <row r="6051" spans="2:7" x14ac:dyDescent="0.2">
      <c r="B6051" s="32">
        <v>45978</v>
      </c>
      <c r="C6051" t="s">
        <v>142</v>
      </c>
      <c r="D6051" s="13" t="s">
        <v>634</v>
      </c>
      <c r="E6051" t="s">
        <v>285</v>
      </c>
      <c r="F6051" s="11">
        <v>1</v>
      </c>
      <c r="G6051" s="11">
        <v>58823.53</v>
      </c>
    </row>
    <row r="6052" spans="2:7" x14ac:dyDescent="0.2">
      <c r="B6052" s="32">
        <v>45978</v>
      </c>
      <c r="C6052" t="s">
        <v>142</v>
      </c>
      <c r="D6052" s="13" t="s">
        <v>633</v>
      </c>
      <c r="E6052" t="s">
        <v>219</v>
      </c>
      <c r="F6052" s="11">
        <v>1</v>
      </c>
      <c r="G6052" s="11">
        <v>58823.53</v>
      </c>
    </row>
    <row r="6053" spans="2:7" x14ac:dyDescent="0.2">
      <c r="B6053" s="32">
        <v>45978</v>
      </c>
      <c r="C6053" t="s">
        <v>110</v>
      </c>
      <c r="D6053" s="13" t="s">
        <v>633</v>
      </c>
      <c r="E6053" t="s">
        <v>303</v>
      </c>
      <c r="F6053" s="11">
        <v>1</v>
      </c>
      <c r="G6053" s="11">
        <v>50420.17</v>
      </c>
    </row>
    <row r="6054" spans="2:7" x14ac:dyDescent="0.2">
      <c r="B6054" s="32">
        <v>45978</v>
      </c>
      <c r="C6054" t="s">
        <v>109</v>
      </c>
      <c r="D6054" s="13" t="s">
        <v>634</v>
      </c>
      <c r="E6054" t="s">
        <v>376</v>
      </c>
      <c r="F6054" s="11">
        <v>1</v>
      </c>
      <c r="G6054" s="11">
        <v>126050.42</v>
      </c>
    </row>
    <row r="6055" spans="2:7" x14ac:dyDescent="0.2">
      <c r="B6055" s="32">
        <v>45978</v>
      </c>
      <c r="C6055" t="s">
        <v>109</v>
      </c>
      <c r="D6055" s="13" t="s">
        <v>634</v>
      </c>
      <c r="E6055" t="s">
        <v>184</v>
      </c>
      <c r="F6055" s="11">
        <v>1</v>
      </c>
      <c r="G6055" s="11">
        <v>100840.34</v>
      </c>
    </row>
    <row r="6056" spans="2:7" x14ac:dyDescent="0.2">
      <c r="B6056" s="32">
        <v>45978</v>
      </c>
      <c r="C6056" t="s">
        <v>109</v>
      </c>
      <c r="D6056" s="13" t="s">
        <v>634</v>
      </c>
      <c r="E6056" t="s">
        <v>144</v>
      </c>
      <c r="F6056" s="11">
        <v>1</v>
      </c>
      <c r="G6056" s="11">
        <v>4621.8500000000004</v>
      </c>
    </row>
    <row r="6057" spans="2:7" x14ac:dyDescent="0.2">
      <c r="B6057" s="32">
        <v>45978</v>
      </c>
      <c r="C6057" t="s">
        <v>109</v>
      </c>
      <c r="D6057" s="13" t="s">
        <v>633</v>
      </c>
      <c r="E6057" t="s">
        <v>145</v>
      </c>
      <c r="F6057" s="11">
        <v>4</v>
      </c>
      <c r="G6057" s="11">
        <v>117647.05</v>
      </c>
    </row>
    <row r="6058" spans="2:7" x14ac:dyDescent="0.2">
      <c r="B6058" s="32">
        <v>45978</v>
      </c>
      <c r="C6058" t="s">
        <v>109</v>
      </c>
      <c r="D6058" s="13" t="s">
        <v>633</v>
      </c>
      <c r="E6058" t="s">
        <v>401</v>
      </c>
      <c r="F6058" s="11">
        <v>2</v>
      </c>
      <c r="G6058" s="11">
        <v>109243.7</v>
      </c>
    </row>
    <row r="6059" spans="2:7" x14ac:dyDescent="0.2">
      <c r="B6059" s="32">
        <v>45978</v>
      </c>
      <c r="C6059" t="s">
        <v>109</v>
      </c>
      <c r="D6059" s="13" t="s">
        <v>633</v>
      </c>
      <c r="E6059" t="s">
        <v>1863</v>
      </c>
      <c r="F6059" s="11">
        <v>2</v>
      </c>
      <c r="G6059" s="11">
        <v>109243.7</v>
      </c>
    </row>
    <row r="6060" spans="2:7" x14ac:dyDescent="0.2">
      <c r="B6060" s="32">
        <v>45978</v>
      </c>
      <c r="C6060" t="s">
        <v>109</v>
      </c>
      <c r="D6060" s="13" t="s">
        <v>633</v>
      </c>
      <c r="E6060" t="s">
        <v>536</v>
      </c>
      <c r="F6060" s="11">
        <v>2</v>
      </c>
      <c r="G6060" s="11">
        <v>109243.7</v>
      </c>
    </row>
    <row r="6061" spans="2:7" x14ac:dyDescent="0.2">
      <c r="B6061" s="32">
        <v>45978</v>
      </c>
      <c r="C6061" t="s">
        <v>109</v>
      </c>
      <c r="D6061" s="13" t="s">
        <v>633</v>
      </c>
      <c r="E6061" t="s">
        <v>178</v>
      </c>
      <c r="F6061" s="11">
        <v>2</v>
      </c>
      <c r="G6061" s="11">
        <v>109243.7</v>
      </c>
    </row>
    <row r="6062" spans="2:7" x14ac:dyDescent="0.2">
      <c r="B6062" s="32">
        <v>45978</v>
      </c>
      <c r="C6062" t="s">
        <v>109</v>
      </c>
      <c r="D6062" s="13" t="s">
        <v>633</v>
      </c>
      <c r="E6062" t="s">
        <v>187</v>
      </c>
      <c r="F6062" s="11">
        <v>1</v>
      </c>
      <c r="G6062" s="11">
        <v>95000</v>
      </c>
    </row>
    <row r="6063" spans="2:7" x14ac:dyDescent="0.2">
      <c r="B6063" s="32">
        <v>45978</v>
      </c>
      <c r="C6063" t="s">
        <v>109</v>
      </c>
      <c r="D6063" s="13" t="s">
        <v>633</v>
      </c>
      <c r="E6063" t="s">
        <v>2096</v>
      </c>
      <c r="F6063" s="11">
        <v>1</v>
      </c>
      <c r="G6063" s="11">
        <v>54621.85</v>
      </c>
    </row>
    <row r="6064" spans="2:7" x14ac:dyDescent="0.2">
      <c r="B6064" s="32">
        <v>45978</v>
      </c>
      <c r="C6064" t="s">
        <v>109</v>
      </c>
      <c r="D6064" s="13" t="s">
        <v>633</v>
      </c>
      <c r="E6064" t="s">
        <v>755</v>
      </c>
      <c r="F6064" s="11">
        <v>1</v>
      </c>
      <c r="G6064" s="11">
        <v>54621.85</v>
      </c>
    </row>
    <row r="6065" spans="2:7" x14ac:dyDescent="0.2">
      <c r="B6065" s="32">
        <v>45978</v>
      </c>
      <c r="C6065" t="s">
        <v>109</v>
      </c>
      <c r="D6065" s="13" t="s">
        <v>633</v>
      </c>
      <c r="E6065" t="s">
        <v>497</v>
      </c>
      <c r="F6065" s="11">
        <v>1</v>
      </c>
      <c r="G6065" s="11">
        <v>54621.85</v>
      </c>
    </row>
    <row r="6066" spans="2:7" x14ac:dyDescent="0.2">
      <c r="B6066" s="32">
        <v>45979</v>
      </c>
      <c r="C6066" t="s">
        <v>142</v>
      </c>
      <c r="D6066" s="13" t="s">
        <v>634</v>
      </c>
      <c r="E6066" t="s">
        <v>1743</v>
      </c>
      <c r="F6066" s="11">
        <v>1</v>
      </c>
      <c r="G6066" s="11">
        <v>350000</v>
      </c>
    </row>
    <row r="6067" spans="2:7" x14ac:dyDescent="0.2">
      <c r="B6067" s="32">
        <v>45979</v>
      </c>
      <c r="C6067" t="s">
        <v>142</v>
      </c>
      <c r="D6067" s="13" t="s">
        <v>634</v>
      </c>
      <c r="E6067" t="s">
        <v>418</v>
      </c>
      <c r="F6067" s="11">
        <v>1</v>
      </c>
      <c r="G6067" s="11">
        <v>178571.43</v>
      </c>
    </row>
    <row r="6068" spans="2:7" x14ac:dyDescent="0.2">
      <c r="B6068" s="32">
        <v>45979</v>
      </c>
      <c r="C6068" t="s">
        <v>142</v>
      </c>
      <c r="D6068" s="13" t="s">
        <v>634</v>
      </c>
      <c r="E6068" t="s">
        <v>620</v>
      </c>
      <c r="F6068" s="11">
        <v>1</v>
      </c>
      <c r="G6068" s="11">
        <v>142857.14000000001</v>
      </c>
    </row>
    <row r="6069" spans="2:7" x14ac:dyDescent="0.2">
      <c r="B6069" s="32">
        <v>45979</v>
      </c>
      <c r="C6069" t="s">
        <v>142</v>
      </c>
      <c r="D6069" s="13" t="s">
        <v>634</v>
      </c>
      <c r="E6069" t="s">
        <v>144</v>
      </c>
      <c r="F6069" s="11">
        <v>2</v>
      </c>
      <c r="G6069" s="11">
        <v>100840.32000000001</v>
      </c>
    </row>
    <row r="6070" spans="2:7" x14ac:dyDescent="0.2">
      <c r="B6070" s="32">
        <v>45979</v>
      </c>
      <c r="C6070" t="s">
        <v>142</v>
      </c>
      <c r="D6070" s="13" t="s">
        <v>634</v>
      </c>
      <c r="E6070" t="s">
        <v>1978</v>
      </c>
      <c r="F6070" s="11">
        <v>1</v>
      </c>
      <c r="G6070" s="11">
        <v>50420.17</v>
      </c>
    </row>
    <row r="6071" spans="2:7" x14ac:dyDescent="0.2">
      <c r="B6071" s="32">
        <v>45979</v>
      </c>
      <c r="C6071" t="s">
        <v>142</v>
      </c>
      <c r="D6071" s="13" t="s">
        <v>634</v>
      </c>
      <c r="E6071" t="s">
        <v>2063</v>
      </c>
      <c r="F6071" s="11">
        <v>1</v>
      </c>
      <c r="G6071" s="11">
        <v>42016.81</v>
      </c>
    </row>
    <row r="6072" spans="2:7" x14ac:dyDescent="0.2">
      <c r="B6072" s="32">
        <v>45979</v>
      </c>
      <c r="C6072" t="s">
        <v>142</v>
      </c>
      <c r="D6072" s="13" t="s">
        <v>634</v>
      </c>
      <c r="E6072" t="s">
        <v>1902</v>
      </c>
      <c r="F6072" s="11">
        <v>1</v>
      </c>
      <c r="G6072" s="11">
        <v>37815.129999999997</v>
      </c>
    </row>
    <row r="6073" spans="2:7" x14ac:dyDescent="0.2">
      <c r="B6073" s="32">
        <v>45979</v>
      </c>
      <c r="C6073" t="s">
        <v>142</v>
      </c>
      <c r="D6073" s="13" t="s">
        <v>633</v>
      </c>
      <c r="E6073" t="s">
        <v>698</v>
      </c>
      <c r="F6073" s="11">
        <v>2</v>
      </c>
      <c r="G6073" s="11">
        <v>151260.51</v>
      </c>
    </row>
    <row r="6074" spans="2:7" x14ac:dyDescent="0.2">
      <c r="B6074" s="32">
        <v>45979</v>
      </c>
      <c r="C6074" t="s">
        <v>142</v>
      </c>
      <c r="D6074" s="13" t="s">
        <v>633</v>
      </c>
      <c r="E6074" t="s">
        <v>2097</v>
      </c>
      <c r="F6074" s="11">
        <v>1</v>
      </c>
      <c r="G6074" s="11">
        <v>84033.61</v>
      </c>
    </row>
    <row r="6075" spans="2:7" x14ac:dyDescent="0.2">
      <c r="B6075" s="32">
        <v>45979</v>
      </c>
      <c r="C6075" t="s">
        <v>142</v>
      </c>
      <c r="D6075" s="13" t="s">
        <v>633</v>
      </c>
      <c r="E6075" t="s">
        <v>174</v>
      </c>
      <c r="F6075" s="11">
        <v>1</v>
      </c>
      <c r="G6075" s="11">
        <v>75630.25</v>
      </c>
    </row>
    <row r="6076" spans="2:7" x14ac:dyDescent="0.2">
      <c r="B6076" s="32">
        <v>45979</v>
      </c>
      <c r="C6076" t="s">
        <v>142</v>
      </c>
      <c r="D6076" s="13" t="s">
        <v>633</v>
      </c>
      <c r="E6076" t="s">
        <v>664</v>
      </c>
      <c r="F6076" s="11">
        <v>1</v>
      </c>
      <c r="G6076" s="11">
        <v>58823.53</v>
      </c>
    </row>
    <row r="6077" spans="2:7" x14ac:dyDescent="0.2">
      <c r="B6077" s="32">
        <v>45979</v>
      </c>
      <c r="C6077" t="s">
        <v>142</v>
      </c>
      <c r="D6077" s="13" t="s">
        <v>633</v>
      </c>
      <c r="E6077" t="s">
        <v>479</v>
      </c>
      <c r="F6077" s="11">
        <v>1</v>
      </c>
      <c r="G6077" s="11">
        <v>58823.53</v>
      </c>
    </row>
    <row r="6078" spans="2:7" x14ac:dyDescent="0.2">
      <c r="B6078" s="32">
        <v>45979</v>
      </c>
      <c r="C6078" t="s">
        <v>142</v>
      </c>
      <c r="D6078" s="13" t="s">
        <v>633</v>
      </c>
      <c r="E6078" t="s">
        <v>281</v>
      </c>
      <c r="F6078" s="11">
        <v>1</v>
      </c>
      <c r="G6078" s="11">
        <v>58823.53</v>
      </c>
    </row>
    <row r="6079" spans="2:7" x14ac:dyDescent="0.2">
      <c r="B6079" s="32">
        <v>45979</v>
      </c>
      <c r="C6079" t="s">
        <v>109</v>
      </c>
      <c r="D6079" s="13" t="s">
        <v>634</v>
      </c>
      <c r="E6079" t="s">
        <v>538</v>
      </c>
      <c r="F6079" s="11">
        <v>1</v>
      </c>
      <c r="G6079" s="11">
        <v>79831.929999999993</v>
      </c>
    </row>
    <row r="6080" spans="2:7" x14ac:dyDescent="0.2">
      <c r="B6080" s="32">
        <v>45979</v>
      </c>
      <c r="C6080" t="s">
        <v>109</v>
      </c>
      <c r="D6080" s="13" t="s">
        <v>634</v>
      </c>
      <c r="E6080" t="s">
        <v>145</v>
      </c>
      <c r="F6080" s="11">
        <v>1</v>
      </c>
      <c r="G6080" s="11">
        <v>29411.759999999998</v>
      </c>
    </row>
    <row r="6081" spans="2:7" x14ac:dyDescent="0.2">
      <c r="B6081" s="32">
        <v>45979</v>
      </c>
      <c r="C6081" t="s">
        <v>109</v>
      </c>
      <c r="D6081" s="13" t="s">
        <v>634</v>
      </c>
      <c r="E6081" t="s">
        <v>2061</v>
      </c>
      <c r="F6081" s="11">
        <v>1</v>
      </c>
      <c r="G6081" s="11">
        <v>16806.72</v>
      </c>
    </row>
    <row r="6082" spans="2:7" x14ac:dyDescent="0.2">
      <c r="B6082" s="32">
        <v>45979</v>
      </c>
      <c r="C6082" t="s">
        <v>109</v>
      </c>
      <c r="D6082" s="13" t="s">
        <v>634</v>
      </c>
      <c r="E6082" t="s">
        <v>1727</v>
      </c>
      <c r="F6082" s="11">
        <v>1</v>
      </c>
      <c r="G6082" s="11">
        <v>7563.03</v>
      </c>
    </row>
    <row r="6083" spans="2:7" x14ac:dyDescent="0.2">
      <c r="B6083" s="32">
        <v>45979</v>
      </c>
      <c r="C6083" t="s">
        <v>109</v>
      </c>
      <c r="D6083" s="13" t="s">
        <v>633</v>
      </c>
      <c r="E6083" t="s">
        <v>1798</v>
      </c>
      <c r="F6083" s="11">
        <v>2</v>
      </c>
      <c r="G6083" s="11">
        <v>136854.75</v>
      </c>
    </row>
    <row r="6084" spans="2:7" x14ac:dyDescent="0.2">
      <c r="B6084" s="32">
        <v>45979</v>
      </c>
      <c r="C6084" t="s">
        <v>109</v>
      </c>
      <c r="D6084" s="13" t="s">
        <v>633</v>
      </c>
      <c r="E6084" t="s">
        <v>376</v>
      </c>
      <c r="F6084" s="11">
        <v>1</v>
      </c>
      <c r="G6084" s="11">
        <v>126050.42</v>
      </c>
    </row>
    <row r="6085" spans="2:7" x14ac:dyDescent="0.2">
      <c r="B6085" s="32">
        <v>45979</v>
      </c>
      <c r="C6085" t="s">
        <v>109</v>
      </c>
      <c r="D6085" s="13" t="s">
        <v>633</v>
      </c>
      <c r="E6085" t="s">
        <v>287</v>
      </c>
      <c r="F6085" s="11">
        <v>2</v>
      </c>
      <c r="G6085" s="11">
        <v>117647.06</v>
      </c>
    </row>
    <row r="6086" spans="2:7" x14ac:dyDescent="0.2">
      <c r="B6086" s="32">
        <v>45979</v>
      </c>
      <c r="C6086" t="s">
        <v>109</v>
      </c>
      <c r="D6086" s="13" t="s">
        <v>633</v>
      </c>
      <c r="E6086" t="s">
        <v>341</v>
      </c>
      <c r="F6086" s="11">
        <v>2</v>
      </c>
      <c r="G6086" s="11">
        <v>117647.06</v>
      </c>
    </row>
    <row r="6087" spans="2:7" x14ac:dyDescent="0.2">
      <c r="B6087" s="32">
        <v>45979</v>
      </c>
      <c r="C6087" t="s">
        <v>109</v>
      </c>
      <c r="D6087" s="13" t="s">
        <v>633</v>
      </c>
      <c r="E6087" t="s">
        <v>2035</v>
      </c>
      <c r="F6087" s="11">
        <v>1</v>
      </c>
      <c r="G6087" s="11">
        <v>84033.61</v>
      </c>
    </row>
    <row r="6088" spans="2:7" x14ac:dyDescent="0.2">
      <c r="B6088" s="32">
        <v>45979</v>
      </c>
      <c r="C6088" t="s">
        <v>109</v>
      </c>
      <c r="D6088" s="13" t="s">
        <v>633</v>
      </c>
      <c r="E6088" t="s">
        <v>271</v>
      </c>
      <c r="F6088" s="11">
        <v>1</v>
      </c>
      <c r="G6088" s="11">
        <v>84033.61</v>
      </c>
    </row>
    <row r="6089" spans="2:7" x14ac:dyDescent="0.2">
      <c r="B6089" s="32">
        <v>45979</v>
      </c>
      <c r="C6089" t="s">
        <v>109</v>
      </c>
      <c r="D6089" s="13" t="s">
        <v>633</v>
      </c>
      <c r="E6089" t="s">
        <v>1879</v>
      </c>
      <c r="F6089" s="11">
        <v>1</v>
      </c>
      <c r="G6089" s="11">
        <v>84033.61</v>
      </c>
    </row>
    <row r="6090" spans="2:7" x14ac:dyDescent="0.2">
      <c r="B6090" s="32">
        <v>45979</v>
      </c>
      <c r="C6090" t="s">
        <v>109</v>
      </c>
      <c r="D6090" s="13" t="s">
        <v>633</v>
      </c>
      <c r="E6090" t="s">
        <v>251</v>
      </c>
      <c r="F6090" s="11">
        <v>1</v>
      </c>
      <c r="G6090" s="11">
        <v>58823.53</v>
      </c>
    </row>
    <row r="6091" spans="2:7" x14ac:dyDescent="0.2">
      <c r="B6091" s="32">
        <v>45979</v>
      </c>
      <c r="C6091" t="s">
        <v>109</v>
      </c>
      <c r="D6091" s="13" t="s">
        <v>633</v>
      </c>
      <c r="E6091" t="s">
        <v>212</v>
      </c>
      <c r="F6091" s="11">
        <v>1</v>
      </c>
      <c r="G6091" s="11">
        <v>54621.85</v>
      </c>
    </row>
    <row r="6092" spans="2:7" x14ac:dyDescent="0.2">
      <c r="B6092" s="32">
        <v>45979</v>
      </c>
      <c r="C6092" t="s">
        <v>109</v>
      </c>
      <c r="D6092" s="13" t="s">
        <v>633</v>
      </c>
      <c r="E6092" t="s">
        <v>145</v>
      </c>
      <c r="F6092" s="11">
        <v>2</v>
      </c>
      <c r="G6092" s="11">
        <v>54621.83</v>
      </c>
    </row>
    <row r="6093" spans="2:7" x14ac:dyDescent="0.2">
      <c r="B6093" s="32">
        <v>45979</v>
      </c>
      <c r="C6093" t="s">
        <v>109</v>
      </c>
      <c r="D6093" s="13" t="s">
        <v>633</v>
      </c>
      <c r="E6093" t="s">
        <v>229</v>
      </c>
      <c r="F6093" s="11">
        <v>1</v>
      </c>
      <c r="G6093" s="11">
        <v>42016.81</v>
      </c>
    </row>
    <row r="6094" spans="2:7" x14ac:dyDescent="0.2">
      <c r="B6094" s="32">
        <v>45979</v>
      </c>
      <c r="C6094" t="s">
        <v>109</v>
      </c>
      <c r="D6094" s="13" t="s">
        <v>633</v>
      </c>
      <c r="E6094" t="s">
        <v>225</v>
      </c>
      <c r="F6094" s="11">
        <v>1</v>
      </c>
      <c r="G6094" s="11">
        <v>39615.85</v>
      </c>
    </row>
    <row r="6095" spans="2:7" x14ac:dyDescent="0.2">
      <c r="B6095" s="32">
        <v>45979</v>
      </c>
      <c r="C6095" t="s">
        <v>109</v>
      </c>
      <c r="D6095" s="13" t="s">
        <v>633</v>
      </c>
      <c r="E6095" t="s">
        <v>2098</v>
      </c>
      <c r="F6095" s="11">
        <v>1</v>
      </c>
      <c r="G6095" s="11">
        <v>37815.129999999997</v>
      </c>
    </row>
    <row r="6096" spans="2:7" x14ac:dyDescent="0.2">
      <c r="B6096" s="32">
        <v>45979</v>
      </c>
      <c r="C6096" t="s">
        <v>109</v>
      </c>
      <c r="D6096" s="13" t="s">
        <v>633</v>
      </c>
      <c r="E6096" t="s">
        <v>144</v>
      </c>
      <c r="F6096" s="11">
        <v>2</v>
      </c>
      <c r="G6096" s="11">
        <v>36974.79</v>
      </c>
    </row>
    <row r="6097" spans="2:7" x14ac:dyDescent="0.2">
      <c r="B6097" s="32">
        <v>45980</v>
      </c>
      <c r="C6097" t="s">
        <v>142</v>
      </c>
      <c r="D6097" s="13" t="s">
        <v>634</v>
      </c>
      <c r="E6097" t="s">
        <v>420</v>
      </c>
      <c r="F6097" s="11">
        <v>1</v>
      </c>
      <c r="G6097" s="11">
        <v>100840.34</v>
      </c>
    </row>
    <row r="6098" spans="2:7" x14ac:dyDescent="0.2">
      <c r="B6098" s="32">
        <v>45980</v>
      </c>
      <c r="C6098" t="s">
        <v>142</v>
      </c>
      <c r="D6098" s="13" t="s">
        <v>634</v>
      </c>
      <c r="E6098" t="s">
        <v>788</v>
      </c>
      <c r="F6098" s="11">
        <v>1</v>
      </c>
      <c r="G6098" s="11">
        <v>100840.33</v>
      </c>
    </row>
    <row r="6099" spans="2:7" x14ac:dyDescent="0.2">
      <c r="B6099" s="32">
        <v>45980</v>
      </c>
      <c r="C6099" t="s">
        <v>142</v>
      </c>
      <c r="D6099" s="13" t="s">
        <v>634</v>
      </c>
      <c r="E6099" t="s">
        <v>482</v>
      </c>
      <c r="F6099" s="11">
        <v>2</v>
      </c>
      <c r="G6099" s="11">
        <v>100000</v>
      </c>
    </row>
    <row r="6100" spans="2:7" x14ac:dyDescent="0.2">
      <c r="B6100" s="32">
        <v>45980</v>
      </c>
      <c r="C6100" t="s">
        <v>142</v>
      </c>
      <c r="D6100" s="13" t="s">
        <v>634</v>
      </c>
      <c r="E6100" t="s">
        <v>419</v>
      </c>
      <c r="F6100" s="11">
        <v>2</v>
      </c>
      <c r="G6100" s="11">
        <v>100000</v>
      </c>
    </row>
    <row r="6101" spans="2:7" x14ac:dyDescent="0.2">
      <c r="B6101" s="32">
        <v>45980</v>
      </c>
      <c r="C6101" t="s">
        <v>142</v>
      </c>
      <c r="D6101" s="13" t="s">
        <v>634</v>
      </c>
      <c r="E6101" t="s">
        <v>2099</v>
      </c>
      <c r="F6101" s="11">
        <v>2</v>
      </c>
      <c r="G6101" s="11">
        <v>100000</v>
      </c>
    </row>
    <row r="6102" spans="2:7" x14ac:dyDescent="0.2">
      <c r="B6102" s="32">
        <v>45980</v>
      </c>
      <c r="C6102" t="s">
        <v>142</v>
      </c>
      <c r="D6102" s="13" t="s">
        <v>634</v>
      </c>
      <c r="E6102" t="s">
        <v>550</v>
      </c>
      <c r="F6102" s="11">
        <v>2</v>
      </c>
      <c r="G6102" s="11">
        <v>100000</v>
      </c>
    </row>
    <row r="6103" spans="2:7" x14ac:dyDescent="0.2">
      <c r="B6103" s="32">
        <v>45980</v>
      </c>
      <c r="C6103" t="s">
        <v>142</v>
      </c>
      <c r="D6103" s="13" t="s">
        <v>634</v>
      </c>
      <c r="E6103" t="s">
        <v>1868</v>
      </c>
      <c r="F6103" s="11">
        <v>2</v>
      </c>
      <c r="G6103" s="11">
        <v>100000</v>
      </c>
    </row>
    <row r="6104" spans="2:7" x14ac:dyDescent="0.2">
      <c r="B6104" s="32">
        <v>45980</v>
      </c>
      <c r="C6104" t="s">
        <v>142</v>
      </c>
      <c r="D6104" s="13" t="s">
        <v>634</v>
      </c>
      <c r="E6104" t="s">
        <v>287</v>
      </c>
      <c r="F6104" s="11">
        <v>2</v>
      </c>
      <c r="G6104" s="11">
        <v>100000</v>
      </c>
    </row>
    <row r="6105" spans="2:7" x14ac:dyDescent="0.2">
      <c r="B6105" s="32">
        <v>45980</v>
      </c>
      <c r="C6105" t="s">
        <v>142</v>
      </c>
      <c r="D6105" s="13" t="s">
        <v>634</v>
      </c>
      <c r="E6105" t="s">
        <v>2100</v>
      </c>
      <c r="F6105" s="11">
        <v>2</v>
      </c>
      <c r="G6105" s="11">
        <v>100000</v>
      </c>
    </row>
    <row r="6106" spans="2:7" x14ac:dyDescent="0.2">
      <c r="B6106" s="32">
        <v>45980</v>
      </c>
      <c r="C6106" t="s">
        <v>142</v>
      </c>
      <c r="D6106" s="13" t="s">
        <v>634</v>
      </c>
      <c r="E6106" t="s">
        <v>251</v>
      </c>
      <c r="F6106" s="11">
        <v>1</v>
      </c>
      <c r="G6106" s="11">
        <v>58823.53</v>
      </c>
    </row>
    <row r="6107" spans="2:7" x14ac:dyDescent="0.2">
      <c r="B6107" s="32">
        <v>45980</v>
      </c>
      <c r="C6107" t="s">
        <v>142</v>
      </c>
      <c r="D6107" s="13" t="s">
        <v>634</v>
      </c>
      <c r="E6107" t="s">
        <v>1795</v>
      </c>
      <c r="F6107" s="11">
        <v>1</v>
      </c>
      <c r="G6107" s="11">
        <v>58823.53</v>
      </c>
    </row>
    <row r="6108" spans="2:7" x14ac:dyDescent="0.2">
      <c r="B6108" s="32">
        <v>45980</v>
      </c>
      <c r="C6108" t="s">
        <v>142</v>
      </c>
      <c r="D6108" s="13" t="s">
        <v>634</v>
      </c>
      <c r="E6108" t="s">
        <v>178</v>
      </c>
      <c r="F6108" s="11">
        <v>1</v>
      </c>
      <c r="G6108" s="11">
        <v>54621.85</v>
      </c>
    </row>
    <row r="6109" spans="2:7" x14ac:dyDescent="0.2">
      <c r="B6109" s="32">
        <v>45980</v>
      </c>
      <c r="C6109" t="s">
        <v>142</v>
      </c>
      <c r="D6109" s="13" t="s">
        <v>634</v>
      </c>
      <c r="E6109" t="s">
        <v>285</v>
      </c>
      <c r="F6109" s="11">
        <v>1</v>
      </c>
      <c r="G6109" s="11">
        <v>50000</v>
      </c>
    </row>
    <row r="6110" spans="2:7" x14ac:dyDescent="0.2">
      <c r="B6110" s="32">
        <v>45980</v>
      </c>
      <c r="C6110" t="s">
        <v>142</v>
      </c>
      <c r="D6110" s="13" t="s">
        <v>634</v>
      </c>
      <c r="E6110" t="s">
        <v>2101</v>
      </c>
      <c r="F6110" s="11">
        <v>1</v>
      </c>
      <c r="G6110" s="11">
        <v>50000</v>
      </c>
    </row>
    <row r="6111" spans="2:7" x14ac:dyDescent="0.2">
      <c r="B6111" s="32">
        <v>45980</v>
      </c>
      <c r="C6111" t="s">
        <v>142</v>
      </c>
      <c r="D6111" s="13" t="s">
        <v>634</v>
      </c>
      <c r="E6111" t="s">
        <v>469</v>
      </c>
      <c r="F6111" s="11">
        <v>1</v>
      </c>
      <c r="G6111" s="11">
        <v>50000</v>
      </c>
    </row>
    <row r="6112" spans="2:7" x14ac:dyDescent="0.2">
      <c r="B6112" s="32">
        <v>45980</v>
      </c>
      <c r="C6112" t="s">
        <v>142</v>
      </c>
      <c r="D6112" s="13" t="s">
        <v>634</v>
      </c>
      <c r="E6112" t="s">
        <v>537</v>
      </c>
      <c r="F6112" s="11">
        <v>1</v>
      </c>
      <c r="G6112" s="11">
        <v>50000</v>
      </c>
    </row>
    <row r="6113" spans="2:7" x14ac:dyDescent="0.2">
      <c r="B6113" s="32">
        <v>45980</v>
      </c>
      <c r="C6113" t="s">
        <v>142</v>
      </c>
      <c r="D6113" s="13" t="s">
        <v>634</v>
      </c>
      <c r="E6113" t="s">
        <v>533</v>
      </c>
      <c r="F6113" s="11">
        <v>1</v>
      </c>
      <c r="G6113" s="11">
        <v>50000</v>
      </c>
    </row>
    <row r="6114" spans="2:7" x14ac:dyDescent="0.2">
      <c r="B6114" s="32">
        <v>45980</v>
      </c>
      <c r="C6114" t="s">
        <v>142</v>
      </c>
      <c r="D6114" s="13" t="s">
        <v>633</v>
      </c>
      <c r="E6114" t="s">
        <v>661</v>
      </c>
      <c r="F6114" s="11">
        <v>2</v>
      </c>
      <c r="G6114" s="11">
        <v>117647.06</v>
      </c>
    </row>
    <row r="6115" spans="2:7" x14ac:dyDescent="0.2">
      <c r="B6115" s="32">
        <v>45980</v>
      </c>
      <c r="C6115" t="s">
        <v>142</v>
      </c>
      <c r="D6115" s="13" t="s">
        <v>633</v>
      </c>
      <c r="E6115" t="s">
        <v>228</v>
      </c>
      <c r="F6115" s="11">
        <v>1</v>
      </c>
      <c r="G6115" s="11">
        <v>100840.34</v>
      </c>
    </row>
    <row r="6116" spans="2:7" x14ac:dyDescent="0.2">
      <c r="B6116" s="32">
        <v>45980</v>
      </c>
      <c r="C6116" t="s">
        <v>142</v>
      </c>
      <c r="D6116" s="13" t="s">
        <v>633</v>
      </c>
      <c r="E6116" t="s">
        <v>673</v>
      </c>
      <c r="F6116" s="11">
        <v>1</v>
      </c>
      <c r="G6116" s="11">
        <v>58823.53</v>
      </c>
    </row>
    <row r="6117" spans="2:7" x14ac:dyDescent="0.2">
      <c r="B6117" s="32">
        <v>45980</v>
      </c>
      <c r="C6117" t="s">
        <v>142</v>
      </c>
      <c r="D6117" s="13" t="s">
        <v>633</v>
      </c>
      <c r="E6117" t="s">
        <v>477</v>
      </c>
      <c r="F6117" s="11">
        <v>1</v>
      </c>
      <c r="G6117" s="11">
        <v>58823.53</v>
      </c>
    </row>
    <row r="6118" spans="2:7" x14ac:dyDescent="0.2">
      <c r="B6118" s="32">
        <v>45980</v>
      </c>
      <c r="C6118" t="s">
        <v>142</v>
      </c>
      <c r="D6118" s="13" t="s">
        <v>633</v>
      </c>
      <c r="E6118" t="s">
        <v>436</v>
      </c>
      <c r="F6118" s="11">
        <v>1</v>
      </c>
      <c r="G6118" s="11">
        <v>58823.53</v>
      </c>
    </row>
    <row r="6119" spans="2:7" x14ac:dyDescent="0.2">
      <c r="B6119" s="32">
        <v>45980</v>
      </c>
      <c r="C6119" t="s">
        <v>142</v>
      </c>
      <c r="D6119" s="13" t="s">
        <v>633</v>
      </c>
      <c r="E6119" t="s">
        <v>392</v>
      </c>
      <c r="F6119" s="11">
        <v>1</v>
      </c>
      <c r="G6119" s="11">
        <v>46218.49</v>
      </c>
    </row>
    <row r="6120" spans="2:7" x14ac:dyDescent="0.2">
      <c r="B6120" s="32">
        <v>45980</v>
      </c>
      <c r="C6120" t="s">
        <v>109</v>
      </c>
      <c r="D6120" s="13" t="s">
        <v>634</v>
      </c>
      <c r="E6120" t="s">
        <v>446</v>
      </c>
      <c r="F6120" s="11">
        <v>2</v>
      </c>
      <c r="G6120" s="11">
        <v>151260.5</v>
      </c>
    </row>
    <row r="6121" spans="2:7" x14ac:dyDescent="0.2">
      <c r="B6121" s="32">
        <v>45980</v>
      </c>
      <c r="C6121" t="s">
        <v>109</v>
      </c>
      <c r="D6121" s="13" t="s">
        <v>634</v>
      </c>
      <c r="E6121" t="s">
        <v>691</v>
      </c>
      <c r="F6121" s="11">
        <v>1</v>
      </c>
      <c r="G6121" s="11">
        <v>79831.929999999993</v>
      </c>
    </row>
    <row r="6122" spans="2:7" x14ac:dyDescent="0.2">
      <c r="B6122" s="32">
        <v>45980</v>
      </c>
      <c r="C6122" t="s">
        <v>109</v>
      </c>
      <c r="D6122" s="13" t="s">
        <v>634</v>
      </c>
      <c r="E6122" t="s">
        <v>2102</v>
      </c>
      <c r="F6122" s="11">
        <v>2</v>
      </c>
      <c r="G6122" s="11">
        <v>75630.25</v>
      </c>
    </row>
    <row r="6123" spans="2:7" x14ac:dyDescent="0.2">
      <c r="B6123" s="32">
        <v>45980</v>
      </c>
      <c r="C6123" t="s">
        <v>109</v>
      </c>
      <c r="D6123" s="13" t="s">
        <v>634</v>
      </c>
      <c r="E6123" t="s">
        <v>533</v>
      </c>
      <c r="F6123" s="11">
        <v>1</v>
      </c>
      <c r="G6123" s="11">
        <v>58823.53</v>
      </c>
    </row>
    <row r="6124" spans="2:7" x14ac:dyDescent="0.2">
      <c r="B6124" s="32">
        <v>45980</v>
      </c>
      <c r="C6124" t="s">
        <v>109</v>
      </c>
      <c r="D6124" s="13" t="s">
        <v>634</v>
      </c>
      <c r="E6124" t="s">
        <v>258</v>
      </c>
      <c r="F6124" s="11">
        <v>1</v>
      </c>
      <c r="G6124" s="11">
        <v>54621.85</v>
      </c>
    </row>
    <row r="6125" spans="2:7" x14ac:dyDescent="0.2">
      <c r="B6125" s="32">
        <v>45980</v>
      </c>
      <c r="C6125" t="s">
        <v>109</v>
      </c>
      <c r="D6125" s="13" t="s">
        <v>634</v>
      </c>
      <c r="E6125" t="s">
        <v>513</v>
      </c>
      <c r="F6125" s="11">
        <v>1</v>
      </c>
      <c r="G6125" s="11">
        <v>50420.17</v>
      </c>
    </row>
    <row r="6126" spans="2:7" x14ac:dyDescent="0.2">
      <c r="B6126" s="32">
        <v>45980</v>
      </c>
      <c r="C6126" t="s">
        <v>109</v>
      </c>
      <c r="D6126" s="13" t="s">
        <v>634</v>
      </c>
      <c r="E6126" t="s">
        <v>198</v>
      </c>
      <c r="F6126" s="11">
        <v>1</v>
      </c>
      <c r="G6126" s="11">
        <v>46218.49</v>
      </c>
    </row>
    <row r="6127" spans="2:7" x14ac:dyDescent="0.2">
      <c r="B6127" s="32">
        <v>45980</v>
      </c>
      <c r="C6127" t="s">
        <v>109</v>
      </c>
      <c r="D6127" s="13" t="s">
        <v>634</v>
      </c>
      <c r="E6127" t="s">
        <v>166</v>
      </c>
      <c r="F6127" s="11">
        <v>1</v>
      </c>
      <c r="G6127" s="11">
        <v>42016.81</v>
      </c>
    </row>
    <row r="6128" spans="2:7" x14ac:dyDescent="0.2">
      <c r="B6128" s="32">
        <v>45980</v>
      </c>
      <c r="C6128" t="s">
        <v>109</v>
      </c>
      <c r="D6128" s="13" t="s">
        <v>634</v>
      </c>
      <c r="E6128" t="s">
        <v>145</v>
      </c>
      <c r="F6128" s="11">
        <v>1</v>
      </c>
      <c r="G6128" s="11">
        <v>29411.759999999998</v>
      </c>
    </row>
    <row r="6129" spans="2:7" x14ac:dyDescent="0.2">
      <c r="B6129" s="32">
        <v>45980</v>
      </c>
      <c r="C6129" t="s">
        <v>109</v>
      </c>
      <c r="D6129" s="13" t="s">
        <v>634</v>
      </c>
      <c r="E6129" t="s">
        <v>670</v>
      </c>
      <c r="F6129" s="11">
        <v>2</v>
      </c>
      <c r="G6129" s="11">
        <v>0</v>
      </c>
    </row>
    <row r="6130" spans="2:7" x14ac:dyDescent="0.2">
      <c r="B6130" s="32">
        <v>45980</v>
      </c>
      <c r="C6130" t="s">
        <v>109</v>
      </c>
      <c r="D6130" s="13" t="s">
        <v>633</v>
      </c>
      <c r="E6130" t="s">
        <v>567</v>
      </c>
      <c r="F6130" s="11">
        <v>2</v>
      </c>
      <c r="G6130" s="11">
        <v>192857.14</v>
      </c>
    </row>
    <row r="6131" spans="2:7" x14ac:dyDescent="0.2">
      <c r="B6131" s="32">
        <v>45980</v>
      </c>
      <c r="C6131" t="s">
        <v>109</v>
      </c>
      <c r="D6131" s="13" t="s">
        <v>633</v>
      </c>
      <c r="E6131" t="s">
        <v>169</v>
      </c>
      <c r="F6131" s="11">
        <v>1</v>
      </c>
      <c r="G6131" s="11">
        <v>85714.29</v>
      </c>
    </row>
    <row r="6132" spans="2:7" x14ac:dyDescent="0.2">
      <c r="B6132" s="32">
        <v>45980</v>
      </c>
      <c r="C6132" t="s">
        <v>109</v>
      </c>
      <c r="D6132" s="13" t="s">
        <v>633</v>
      </c>
      <c r="E6132" t="s">
        <v>207</v>
      </c>
      <c r="F6132" s="11">
        <v>1</v>
      </c>
      <c r="G6132" s="11">
        <v>85714.29</v>
      </c>
    </row>
    <row r="6133" spans="2:7" x14ac:dyDescent="0.2">
      <c r="B6133" s="32">
        <v>45980</v>
      </c>
      <c r="C6133" t="s">
        <v>109</v>
      </c>
      <c r="D6133" s="13" t="s">
        <v>633</v>
      </c>
      <c r="E6133" t="s">
        <v>410</v>
      </c>
      <c r="F6133" s="11">
        <v>1</v>
      </c>
      <c r="G6133" s="11">
        <v>79352.59</v>
      </c>
    </row>
    <row r="6134" spans="2:7" x14ac:dyDescent="0.2">
      <c r="B6134" s="32">
        <v>45980</v>
      </c>
      <c r="C6134" t="s">
        <v>109</v>
      </c>
      <c r="D6134" s="13" t="s">
        <v>633</v>
      </c>
      <c r="E6134" t="s">
        <v>521</v>
      </c>
      <c r="F6134" s="11">
        <v>1</v>
      </c>
      <c r="G6134" s="11">
        <v>79352.59</v>
      </c>
    </row>
    <row r="6135" spans="2:7" x14ac:dyDescent="0.2">
      <c r="B6135" s="32">
        <v>45980</v>
      </c>
      <c r="C6135" t="s">
        <v>109</v>
      </c>
      <c r="D6135" s="13" t="s">
        <v>633</v>
      </c>
      <c r="E6135" t="s">
        <v>394</v>
      </c>
      <c r="F6135" s="11">
        <v>1</v>
      </c>
      <c r="G6135" s="11">
        <v>79352.58</v>
      </c>
    </row>
    <row r="6136" spans="2:7" x14ac:dyDescent="0.2">
      <c r="B6136" s="32">
        <v>45980</v>
      </c>
      <c r="C6136" t="s">
        <v>109</v>
      </c>
      <c r="D6136" s="13" t="s">
        <v>633</v>
      </c>
      <c r="E6136" t="s">
        <v>361</v>
      </c>
      <c r="F6136" s="11">
        <v>1</v>
      </c>
      <c r="G6136" s="11">
        <v>79352.58</v>
      </c>
    </row>
    <row r="6137" spans="2:7" x14ac:dyDescent="0.2">
      <c r="B6137" s="32">
        <v>45980</v>
      </c>
      <c r="C6137" t="s">
        <v>109</v>
      </c>
      <c r="D6137" s="13" t="s">
        <v>633</v>
      </c>
      <c r="E6137" t="s">
        <v>330</v>
      </c>
      <c r="F6137" s="11">
        <v>2</v>
      </c>
      <c r="G6137" s="11">
        <v>75630.25</v>
      </c>
    </row>
    <row r="6138" spans="2:7" x14ac:dyDescent="0.2">
      <c r="B6138" s="32">
        <v>45980</v>
      </c>
      <c r="C6138" t="s">
        <v>109</v>
      </c>
      <c r="D6138" s="13" t="s">
        <v>633</v>
      </c>
      <c r="E6138" t="s">
        <v>144</v>
      </c>
      <c r="F6138" s="11">
        <v>3</v>
      </c>
      <c r="G6138" s="11">
        <v>55462.18</v>
      </c>
    </row>
    <row r="6139" spans="2:7" x14ac:dyDescent="0.2">
      <c r="B6139" s="32">
        <v>45980</v>
      </c>
      <c r="C6139" t="s">
        <v>109</v>
      </c>
      <c r="D6139" s="13" t="s">
        <v>633</v>
      </c>
      <c r="E6139" t="s">
        <v>162</v>
      </c>
      <c r="F6139" s="11">
        <v>1</v>
      </c>
      <c r="G6139" s="11">
        <v>50000</v>
      </c>
    </row>
    <row r="6140" spans="2:7" x14ac:dyDescent="0.2">
      <c r="B6140" s="32">
        <v>45980</v>
      </c>
      <c r="C6140" t="s">
        <v>109</v>
      </c>
      <c r="D6140" s="13" t="s">
        <v>633</v>
      </c>
      <c r="E6140" t="s">
        <v>325</v>
      </c>
      <c r="F6140" s="11">
        <v>1</v>
      </c>
      <c r="G6140" s="11">
        <v>50000</v>
      </c>
    </row>
    <row r="6141" spans="2:7" x14ac:dyDescent="0.2">
      <c r="B6141" s="32">
        <v>45980</v>
      </c>
      <c r="C6141" t="s">
        <v>109</v>
      </c>
      <c r="D6141" s="13" t="s">
        <v>633</v>
      </c>
      <c r="E6141" t="s">
        <v>205</v>
      </c>
      <c r="F6141" s="11">
        <v>1</v>
      </c>
      <c r="G6141" s="11">
        <v>50000</v>
      </c>
    </row>
    <row r="6142" spans="2:7" x14ac:dyDescent="0.2">
      <c r="B6142" s="32">
        <v>45980</v>
      </c>
      <c r="C6142" t="s">
        <v>109</v>
      </c>
      <c r="D6142" s="13" t="s">
        <v>633</v>
      </c>
      <c r="E6142" t="s">
        <v>1818</v>
      </c>
      <c r="F6142" s="11">
        <v>1</v>
      </c>
      <c r="G6142" s="11">
        <v>37815.129999999997</v>
      </c>
    </row>
    <row r="6143" spans="2:7" x14ac:dyDescent="0.2">
      <c r="B6143" s="32">
        <v>45980</v>
      </c>
      <c r="C6143" t="s">
        <v>109</v>
      </c>
      <c r="D6143" s="13" t="s">
        <v>633</v>
      </c>
      <c r="E6143" t="s">
        <v>148</v>
      </c>
      <c r="F6143" s="11">
        <v>1</v>
      </c>
      <c r="G6143" s="11">
        <v>37815.129999999997</v>
      </c>
    </row>
    <row r="6144" spans="2:7" x14ac:dyDescent="0.2">
      <c r="B6144" s="32">
        <v>45981</v>
      </c>
      <c r="C6144" t="s">
        <v>142</v>
      </c>
      <c r="D6144" s="13" t="s">
        <v>634</v>
      </c>
      <c r="E6144" t="s">
        <v>2103</v>
      </c>
      <c r="F6144" s="11">
        <v>3</v>
      </c>
      <c r="G6144" s="11">
        <v>239495.79</v>
      </c>
    </row>
    <row r="6145" spans="2:7" x14ac:dyDescent="0.2">
      <c r="B6145" s="32">
        <v>45981</v>
      </c>
      <c r="C6145" t="s">
        <v>142</v>
      </c>
      <c r="D6145" s="13" t="s">
        <v>634</v>
      </c>
      <c r="E6145" t="s">
        <v>281</v>
      </c>
      <c r="F6145" s="11">
        <v>2</v>
      </c>
      <c r="G6145" s="11">
        <v>117647.06</v>
      </c>
    </row>
    <row r="6146" spans="2:7" x14ac:dyDescent="0.2">
      <c r="B6146" s="32">
        <v>45981</v>
      </c>
      <c r="C6146" t="s">
        <v>142</v>
      </c>
      <c r="D6146" s="13" t="s">
        <v>634</v>
      </c>
      <c r="E6146" t="s">
        <v>1796</v>
      </c>
      <c r="F6146" s="11">
        <v>5</v>
      </c>
      <c r="G6146" s="11">
        <v>105042.02</v>
      </c>
    </row>
    <row r="6147" spans="2:7" x14ac:dyDescent="0.2">
      <c r="B6147" s="32">
        <v>45981</v>
      </c>
      <c r="C6147" t="s">
        <v>142</v>
      </c>
      <c r="D6147" s="13" t="s">
        <v>634</v>
      </c>
      <c r="E6147" t="s">
        <v>402</v>
      </c>
      <c r="F6147" s="11">
        <v>1</v>
      </c>
      <c r="G6147" s="11">
        <v>100840.34</v>
      </c>
    </row>
    <row r="6148" spans="2:7" x14ac:dyDescent="0.2">
      <c r="B6148" s="32">
        <v>45981</v>
      </c>
      <c r="C6148" t="s">
        <v>142</v>
      </c>
      <c r="D6148" s="13" t="s">
        <v>634</v>
      </c>
      <c r="E6148" t="s">
        <v>2104</v>
      </c>
      <c r="F6148" s="11">
        <v>1</v>
      </c>
      <c r="G6148" s="11">
        <v>100840.34</v>
      </c>
    </row>
    <row r="6149" spans="2:7" x14ac:dyDescent="0.2">
      <c r="B6149" s="32">
        <v>45981</v>
      </c>
      <c r="C6149" t="s">
        <v>142</v>
      </c>
      <c r="D6149" s="13" t="s">
        <v>634</v>
      </c>
      <c r="E6149" t="s">
        <v>2043</v>
      </c>
      <c r="F6149" s="11">
        <v>1</v>
      </c>
      <c r="G6149" s="11">
        <v>58823.54</v>
      </c>
    </row>
    <row r="6150" spans="2:7" x14ac:dyDescent="0.2">
      <c r="B6150" s="32">
        <v>45981</v>
      </c>
      <c r="C6150" t="s">
        <v>142</v>
      </c>
      <c r="D6150" s="13" t="s">
        <v>634</v>
      </c>
      <c r="E6150" t="s">
        <v>272</v>
      </c>
      <c r="F6150" s="11">
        <v>1</v>
      </c>
      <c r="G6150" s="11">
        <v>58823.53</v>
      </c>
    </row>
    <row r="6151" spans="2:7" x14ac:dyDescent="0.2">
      <c r="B6151" s="32">
        <v>45981</v>
      </c>
      <c r="C6151" t="s">
        <v>142</v>
      </c>
      <c r="D6151" s="13" t="s">
        <v>634</v>
      </c>
      <c r="E6151" t="s">
        <v>378</v>
      </c>
      <c r="F6151" s="11">
        <v>1</v>
      </c>
      <c r="G6151" s="11">
        <v>58823.53</v>
      </c>
    </row>
    <row r="6152" spans="2:7" x14ac:dyDescent="0.2">
      <c r="B6152" s="32">
        <v>45981</v>
      </c>
      <c r="C6152" t="s">
        <v>142</v>
      </c>
      <c r="D6152" s="13" t="s">
        <v>634</v>
      </c>
      <c r="E6152" t="s">
        <v>533</v>
      </c>
      <c r="F6152" s="11">
        <v>1</v>
      </c>
      <c r="G6152" s="11">
        <v>58823.53</v>
      </c>
    </row>
    <row r="6153" spans="2:7" x14ac:dyDescent="0.2">
      <c r="B6153" s="32">
        <v>45981</v>
      </c>
      <c r="C6153" t="s">
        <v>142</v>
      </c>
      <c r="D6153" s="13" t="s">
        <v>634</v>
      </c>
      <c r="E6153" t="s">
        <v>162</v>
      </c>
      <c r="F6153" s="11">
        <v>1</v>
      </c>
      <c r="G6153" s="11">
        <v>58823.53</v>
      </c>
    </row>
    <row r="6154" spans="2:7" x14ac:dyDescent="0.2">
      <c r="B6154" s="32">
        <v>45981</v>
      </c>
      <c r="C6154" t="s">
        <v>142</v>
      </c>
      <c r="D6154" s="13" t="s">
        <v>634</v>
      </c>
      <c r="E6154" t="s">
        <v>372</v>
      </c>
      <c r="F6154" s="11">
        <v>1</v>
      </c>
      <c r="G6154" s="11">
        <v>58823.53</v>
      </c>
    </row>
    <row r="6155" spans="2:7" x14ac:dyDescent="0.2">
      <c r="B6155" s="32">
        <v>45981</v>
      </c>
      <c r="C6155" t="s">
        <v>142</v>
      </c>
      <c r="D6155" s="13" t="s">
        <v>634</v>
      </c>
      <c r="E6155" t="s">
        <v>332</v>
      </c>
      <c r="F6155" s="11">
        <v>1</v>
      </c>
      <c r="G6155" s="11">
        <v>58823.519999999997</v>
      </c>
    </row>
    <row r="6156" spans="2:7" x14ac:dyDescent="0.2">
      <c r="B6156" s="32">
        <v>45981</v>
      </c>
      <c r="C6156" t="s">
        <v>142</v>
      </c>
      <c r="D6156" s="13" t="s">
        <v>634</v>
      </c>
      <c r="E6156" t="s">
        <v>428</v>
      </c>
      <c r="F6156" s="11">
        <v>1</v>
      </c>
      <c r="G6156" s="11">
        <v>54621.85</v>
      </c>
    </row>
    <row r="6157" spans="2:7" x14ac:dyDescent="0.2">
      <c r="B6157" s="32">
        <v>45981</v>
      </c>
      <c r="C6157" t="s">
        <v>142</v>
      </c>
      <c r="D6157" s="13" t="s">
        <v>634</v>
      </c>
      <c r="E6157" t="s">
        <v>641</v>
      </c>
      <c r="F6157" s="11">
        <v>1</v>
      </c>
      <c r="G6157" s="11">
        <v>54621.85</v>
      </c>
    </row>
    <row r="6158" spans="2:7" x14ac:dyDescent="0.2">
      <c r="B6158" s="32">
        <v>45981</v>
      </c>
      <c r="C6158" t="s">
        <v>142</v>
      </c>
      <c r="D6158" s="13" t="s">
        <v>634</v>
      </c>
      <c r="E6158" t="s">
        <v>270</v>
      </c>
      <c r="F6158" s="11">
        <v>1</v>
      </c>
      <c r="G6158" s="11">
        <v>33520.589999999997</v>
      </c>
    </row>
    <row r="6159" spans="2:7" x14ac:dyDescent="0.2">
      <c r="B6159" s="32">
        <v>45981</v>
      </c>
      <c r="C6159" t="s">
        <v>142</v>
      </c>
      <c r="D6159" s="13" t="s">
        <v>634</v>
      </c>
      <c r="E6159" t="s">
        <v>181</v>
      </c>
      <c r="F6159" s="11">
        <v>1</v>
      </c>
      <c r="G6159" s="11">
        <v>24699.38</v>
      </c>
    </row>
    <row r="6160" spans="2:7" x14ac:dyDescent="0.2">
      <c r="B6160" s="32">
        <v>45981</v>
      </c>
      <c r="C6160" t="s">
        <v>142</v>
      </c>
      <c r="D6160" s="13" t="s">
        <v>634</v>
      </c>
      <c r="E6160" t="s">
        <v>144</v>
      </c>
      <c r="F6160" s="11">
        <v>1</v>
      </c>
      <c r="G6160" s="11">
        <v>5645.58</v>
      </c>
    </row>
    <row r="6161" spans="2:7" x14ac:dyDescent="0.2">
      <c r="B6161" s="32">
        <v>45981</v>
      </c>
      <c r="C6161" t="s">
        <v>142</v>
      </c>
      <c r="D6161" s="13" t="s">
        <v>633</v>
      </c>
      <c r="E6161" t="s">
        <v>2100</v>
      </c>
      <c r="F6161" s="11">
        <v>3</v>
      </c>
      <c r="G6161" s="11">
        <v>176470.59</v>
      </c>
    </row>
    <row r="6162" spans="2:7" x14ac:dyDescent="0.2">
      <c r="B6162" s="32">
        <v>45981</v>
      </c>
      <c r="C6162" t="s">
        <v>142</v>
      </c>
      <c r="D6162" s="13" t="s">
        <v>633</v>
      </c>
      <c r="E6162" t="s">
        <v>2105</v>
      </c>
      <c r="F6162" s="11">
        <v>2</v>
      </c>
      <c r="G6162" s="11">
        <v>159663.87</v>
      </c>
    </row>
    <row r="6163" spans="2:7" x14ac:dyDescent="0.2">
      <c r="B6163" s="32">
        <v>45981</v>
      </c>
      <c r="C6163" t="s">
        <v>142</v>
      </c>
      <c r="D6163" s="13" t="s">
        <v>633</v>
      </c>
      <c r="E6163" t="s">
        <v>744</v>
      </c>
      <c r="F6163" s="11">
        <v>2</v>
      </c>
      <c r="G6163" s="11">
        <v>117647.06</v>
      </c>
    </row>
    <row r="6164" spans="2:7" x14ac:dyDescent="0.2">
      <c r="B6164" s="32">
        <v>45981</v>
      </c>
      <c r="C6164" t="s">
        <v>142</v>
      </c>
      <c r="D6164" s="13" t="s">
        <v>633</v>
      </c>
      <c r="E6164" t="s">
        <v>2106</v>
      </c>
      <c r="F6164" s="11">
        <v>1</v>
      </c>
      <c r="G6164" s="11">
        <v>75630.25</v>
      </c>
    </row>
    <row r="6165" spans="2:7" x14ac:dyDescent="0.2">
      <c r="B6165" s="32">
        <v>45981</v>
      </c>
      <c r="C6165" t="s">
        <v>142</v>
      </c>
      <c r="D6165" s="13" t="s">
        <v>633</v>
      </c>
      <c r="E6165" t="s">
        <v>2107</v>
      </c>
      <c r="F6165" s="11">
        <v>1</v>
      </c>
      <c r="G6165" s="11">
        <v>37815.120000000003</v>
      </c>
    </row>
    <row r="6166" spans="2:7" x14ac:dyDescent="0.2">
      <c r="B6166" s="32">
        <v>45981</v>
      </c>
      <c r="C6166" t="s">
        <v>110</v>
      </c>
      <c r="D6166" s="13" t="s">
        <v>633</v>
      </c>
      <c r="E6166" t="s">
        <v>172</v>
      </c>
      <c r="F6166" s="11">
        <v>5</v>
      </c>
      <c r="G6166" s="11">
        <v>231092.44</v>
      </c>
    </row>
    <row r="6167" spans="2:7" x14ac:dyDescent="0.2">
      <c r="B6167" s="32">
        <v>45981</v>
      </c>
      <c r="C6167" t="s">
        <v>110</v>
      </c>
      <c r="D6167" s="13" t="s">
        <v>633</v>
      </c>
      <c r="E6167" t="s">
        <v>198</v>
      </c>
      <c r="F6167" s="11">
        <v>5</v>
      </c>
      <c r="G6167" s="11">
        <v>231092.44</v>
      </c>
    </row>
    <row r="6168" spans="2:7" x14ac:dyDescent="0.2">
      <c r="B6168" s="32">
        <v>45981</v>
      </c>
      <c r="C6168" t="s">
        <v>110</v>
      </c>
      <c r="D6168" s="13" t="s">
        <v>633</v>
      </c>
      <c r="E6168" t="s">
        <v>342</v>
      </c>
      <c r="F6168" s="11">
        <v>1</v>
      </c>
      <c r="G6168" s="11">
        <v>37815.120000000003</v>
      </c>
    </row>
    <row r="6169" spans="2:7" x14ac:dyDescent="0.2">
      <c r="B6169" s="32">
        <v>45981</v>
      </c>
      <c r="C6169" t="s">
        <v>109</v>
      </c>
      <c r="D6169" s="13" t="s">
        <v>634</v>
      </c>
      <c r="E6169" t="s">
        <v>646</v>
      </c>
      <c r="F6169" s="11">
        <v>1</v>
      </c>
      <c r="G6169" s="11">
        <v>113445.38</v>
      </c>
    </row>
    <row r="6170" spans="2:7" x14ac:dyDescent="0.2">
      <c r="B6170" s="32">
        <v>45981</v>
      </c>
      <c r="C6170" t="s">
        <v>109</v>
      </c>
      <c r="D6170" s="13" t="s">
        <v>634</v>
      </c>
      <c r="E6170" t="s">
        <v>206</v>
      </c>
      <c r="F6170" s="11">
        <v>2</v>
      </c>
      <c r="G6170" s="11">
        <v>75630.259999999995</v>
      </c>
    </row>
    <row r="6171" spans="2:7" x14ac:dyDescent="0.2">
      <c r="B6171" s="32">
        <v>45981</v>
      </c>
      <c r="C6171" t="s">
        <v>109</v>
      </c>
      <c r="D6171" s="13" t="s">
        <v>634</v>
      </c>
      <c r="E6171" t="s">
        <v>336</v>
      </c>
      <c r="F6171" s="11">
        <v>1</v>
      </c>
      <c r="G6171" s="11">
        <v>71428.570000000007</v>
      </c>
    </row>
    <row r="6172" spans="2:7" x14ac:dyDescent="0.2">
      <c r="B6172" s="32">
        <v>45981</v>
      </c>
      <c r="C6172" t="s">
        <v>109</v>
      </c>
      <c r="D6172" s="13" t="s">
        <v>634</v>
      </c>
      <c r="E6172" t="s">
        <v>374</v>
      </c>
      <c r="F6172" s="11">
        <v>1</v>
      </c>
      <c r="G6172" s="11">
        <v>58823.53</v>
      </c>
    </row>
    <row r="6173" spans="2:7" x14ac:dyDescent="0.2">
      <c r="B6173" s="32">
        <v>45981</v>
      </c>
      <c r="C6173" t="s">
        <v>109</v>
      </c>
      <c r="D6173" s="13" t="s">
        <v>634</v>
      </c>
      <c r="E6173" t="s">
        <v>145</v>
      </c>
      <c r="F6173" s="11">
        <v>2</v>
      </c>
      <c r="G6173" s="11">
        <v>58823.53</v>
      </c>
    </row>
    <row r="6174" spans="2:7" x14ac:dyDescent="0.2">
      <c r="B6174" s="32">
        <v>45981</v>
      </c>
      <c r="C6174" t="s">
        <v>109</v>
      </c>
      <c r="D6174" s="13" t="s">
        <v>634</v>
      </c>
      <c r="E6174" t="s">
        <v>430</v>
      </c>
      <c r="F6174" s="11">
        <v>1</v>
      </c>
      <c r="G6174" s="11">
        <v>58823.53</v>
      </c>
    </row>
    <row r="6175" spans="2:7" x14ac:dyDescent="0.2">
      <c r="B6175" s="32">
        <v>45981</v>
      </c>
      <c r="C6175" t="s">
        <v>109</v>
      </c>
      <c r="D6175" s="13" t="s">
        <v>634</v>
      </c>
      <c r="E6175" t="s">
        <v>233</v>
      </c>
      <c r="F6175" s="11">
        <v>1</v>
      </c>
      <c r="G6175" s="11">
        <v>58823.519999999997</v>
      </c>
    </row>
    <row r="6176" spans="2:7" x14ac:dyDescent="0.2">
      <c r="B6176" s="32">
        <v>45981</v>
      </c>
      <c r="C6176" t="s">
        <v>109</v>
      </c>
      <c r="D6176" s="13" t="s">
        <v>634</v>
      </c>
      <c r="E6176" t="s">
        <v>256</v>
      </c>
      <c r="F6176" s="11">
        <v>1</v>
      </c>
      <c r="G6176" s="11">
        <v>46218.49</v>
      </c>
    </row>
    <row r="6177" spans="2:7" x14ac:dyDescent="0.2">
      <c r="B6177" s="32">
        <v>45981</v>
      </c>
      <c r="C6177" t="s">
        <v>109</v>
      </c>
      <c r="D6177" s="13" t="s">
        <v>634</v>
      </c>
      <c r="E6177" t="s">
        <v>729</v>
      </c>
      <c r="F6177" s="11">
        <v>1</v>
      </c>
      <c r="G6177" s="11">
        <v>46218.49</v>
      </c>
    </row>
    <row r="6178" spans="2:7" x14ac:dyDescent="0.2">
      <c r="B6178" s="32">
        <v>45981</v>
      </c>
      <c r="C6178" t="s">
        <v>109</v>
      </c>
      <c r="D6178" s="13" t="s">
        <v>633</v>
      </c>
      <c r="E6178" t="s">
        <v>738</v>
      </c>
      <c r="F6178" s="11">
        <v>4</v>
      </c>
      <c r="G6178" s="11">
        <v>504201.67</v>
      </c>
    </row>
    <row r="6179" spans="2:7" x14ac:dyDescent="0.2">
      <c r="B6179" s="32">
        <v>45981</v>
      </c>
      <c r="C6179" t="s">
        <v>109</v>
      </c>
      <c r="D6179" s="13" t="s">
        <v>633</v>
      </c>
      <c r="E6179" t="s">
        <v>567</v>
      </c>
      <c r="F6179" s="11">
        <v>3</v>
      </c>
      <c r="G6179" s="11">
        <v>327731.09000000003</v>
      </c>
    </row>
    <row r="6180" spans="2:7" x14ac:dyDescent="0.2">
      <c r="B6180" s="32">
        <v>45981</v>
      </c>
      <c r="C6180" t="s">
        <v>109</v>
      </c>
      <c r="D6180" s="13" t="s">
        <v>633</v>
      </c>
      <c r="E6180" t="s">
        <v>292</v>
      </c>
      <c r="F6180" s="11">
        <v>5</v>
      </c>
      <c r="G6180" s="11">
        <v>294747.90999999997</v>
      </c>
    </row>
    <row r="6181" spans="2:7" x14ac:dyDescent="0.2">
      <c r="B6181" s="32">
        <v>45981</v>
      </c>
      <c r="C6181" t="s">
        <v>109</v>
      </c>
      <c r="D6181" s="13" t="s">
        <v>633</v>
      </c>
      <c r="E6181" t="s">
        <v>283</v>
      </c>
      <c r="F6181" s="11">
        <v>6</v>
      </c>
      <c r="G6181" s="11">
        <v>278571.43</v>
      </c>
    </row>
    <row r="6182" spans="2:7" x14ac:dyDescent="0.2">
      <c r="B6182" s="32">
        <v>45981</v>
      </c>
      <c r="C6182" t="s">
        <v>109</v>
      </c>
      <c r="D6182" s="13" t="s">
        <v>633</v>
      </c>
      <c r="E6182" t="s">
        <v>168</v>
      </c>
      <c r="F6182" s="11">
        <v>6</v>
      </c>
      <c r="G6182" s="11">
        <v>252100.84</v>
      </c>
    </row>
    <row r="6183" spans="2:7" x14ac:dyDescent="0.2">
      <c r="B6183" s="32">
        <v>45981</v>
      </c>
      <c r="C6183" t="s">
        <v>109</v>
      </c>
      <c r="D6183" s="13" t="s">
        <v>633</v>
      </c>
      <c r="E6183" t="s">
        <v>340</v>
      </c>
      <c r="F6183" s="11">
        <v>2</v>
      </c>
      <c r="G6183" s="11">
        <v>151260.5</v>
      </c>
    </row>
    <row r="6184" spans="2:7" x14ac:dyDescent="0.2">
      <c r="B6184" s="32">
        <v>45981</v>
      </c>
      <c r="C6184" t="s">
        <v>109</v>
      </c>
      <c r="D6184" s="13" t="s">
        <v>633</v>
      </c>
      <c r="E6184" t="s">
        <v>197</v>
      </c>
      <c r="F6184" s="11">
        <v>3</v>
      </c>
      <c r="G6184" s="11">
        <v>139285.71</v>
      </c>
    </row>
    <row r="6185" spans="2:7" x14ac:dyDescent="0.2">
      <c r="B6185" s="32">
        <v>45981</v>
      </c>
      <c r="C6185" t="s">
        <v>109</v>
      </c>
      <c r="D6185" s="13" t="s">
        <v>633</v>
      </c>
      <c r="E6185" t="s">
        <v>2062</v>
      </c>
      <c r="F6185" s="11">
        <v>1</v>
      </c>
      <c r="G6185" s="11">
        <v>126050.43</v>
      </c>
    </row>
    <row r="6186" spans="2:7" x14ac:dyDescent="0.2">
      <c r="B6186" s="32">
        <v>45981</v>
      </c>
      <c r="C6186" t="s">
        <v>109</v>
      </c>
      <c r="D6186" s="13" t="s">
        <v>633</v>
      </c>
      <c r="E6186" t="s">
        <v>228</v>
      </c>
      <c r="F6186" s="11">
        <v>2</v>
      </c>
      <c r="G6186" s="11">
        <v>101050.43</v>
      </c>
    </row>
    <row r="6187" spans="2:7" x14ac:dyDescent="0.2">
      <c r="B6187" s="32">
        <v>45981</v>
      </c>
      <c r="C6187" t="s">
        <v>109</v>
      </c>
      <c r="D6187" s="13" t="s">
        <v>633</v>
      </c>
      <c r="E6187" t="s">
        <v>614</v>
      </c>
      <c r="F6187" s="11">
        <v>2</v>
      </c>
      <c r="G6187" s="11">
        <v>100840.33</v>
      </c>
    </row>
    <row r="6188" spans="2:7" x14ac:dyDescent="0.2">
      <c r="B6188" s="32">
        <v>45981</v>
      </c>
      <c r="C6188" t="s">
        <v>109</v>
      </c>
      <c r="D6188" s="13" t="s">
        <v>633</v>
      </c>
      <c r="E6188" t="s">
        <v>407</v>
      </c>
      <c r="F6188" s="11">
        <v>1</v>
      </c>
      <c r="G6188" s="11">
        <v>100840.33</v>
      </c>
    </row>
    <row r="6189" spans="2:7" x14ac:dyDescent="0.2">
      <c r="B6189" s="32">
        <v>45981</v>
      </c>
      <c r="C6189" t="s">
        <v>109</v>
      </c>
      <c r="D6189" s="13" t="s">
        <v>633</v>
      </c>
      <c r="E6189" t="s">
        <v>679</v>
      </c>
      <c r="F6189" s="11">
        <v>2</v>
      </c>
      <c r="G6189" s="11">
        <v>92857.14</v>
      </c>
    </row>
    <row r="6190" spans="2:7" x14ac:dyDescent="0.2">
      <c r="B6190" s="32">
        <v>45981</v>
      </c>
      <c r="C6190" t="s">
        <v>109</v>
      </c>
      <c r="D6190" s="13" t="s">
        <v>633</v>
      </c>
      <c r="E6190" t="s">
        <v>295</v>
      </c>
      <c r="F6190" s="11">
        <v>2</v>
      </c>
      <c r="G6190" s="11">
        <v>92857.14</v>
      </c>
    </row>
    <row r="6191" spans="2:7" x14ac:dyDescent="0.2">
      <c r="B6191" s="32">
        <v>45981</v>
      </c>
      <c r="C6191" t="s">
        <v>109</v>
      </c>
      <c r="D6191" s="13" t="s">
        <v>633</v>
      </c>
      <c r="E6191" t="s">
        <v>144</v>
      </c>
      <c r="F6191" s="11">
        <v>4</v>
      </c>
      <c r="G6191" s="11">
        <v>87394.95</v>
      </c>
    </row>
    <row r="6192" spans="2:7" x14ac:dyDescent="0.2">
      <c r="B6192" s="32">
        <v>45981</v>
      </c>
      <c r="C6192" t="s">
        <v>109</v>
      </c>
      <c r="D6192" s="13" t="s">
        <v>633</v>
      </c>
      <c r="E6192" t="s">
        <v>1968</v>
      </c>
      <c r="F6192" s="11">
        <v>2</v>
      </c>
      <c r="G6192" s="11">
        <v>84033.61</v>
      </c>
    </row>
    <row r="6193" spans="2:7" x14ac:dyDescent="0.2">
      <c r="B6193" s="32">
        <v>45981</v>
      </c>
      <c r="C6193" t="s">
        <v>109</v>
      </c>
      <c r="D6193" s="13" t="s">
        <v>633</v>
      </c>
      <c r="E6193" t="s">
        <v>2108</v>
      </c>
      <c r="F6193" s="11">
        <v>1</v>
      </c>
      <c r="G6193" s="11">
        <v>79831.94</v>
      </c>
    </row>
    <row r="6194" spans="2:7" x14ac:dyDescent="0.2">
      <c r="B6194" s="32">
        <v>45981</v>
      </c>
      <c r="C6194" t="s">
        <v>109</v>
      </c>
      <c r="D6194" s="13" t="s">
        <v>633</v>
      </c>
      <c r="E6194" t="s">
        <v>249</v>
      </c>
      <c r="F6194" s="11">
        <v>1</v>
      </c>
      <c r="G6194" s="11">
        <v>79831.94</v>
      </c>
    </row>
    <row r="6195" spans="2:7" x14ac:dyDescent="0.2">
      <c r="B6195" s="32">
        <v>45981</v>
      </c>
      <c r="C6195" t="s">
        <v>109</v>
      </c>
      <c r="D6195" s="13" t="s">
        <v>633</v>
      </c>
      <c r="E6195" t="s">
        <v>361</v>
      </c>
      <c r="F6195" s="11">
        <v>1</v>
      </c>
      <c r="G6195" s="11">
        <v>79831.929999999993</v>
      </c>
    </row>
    <row r="6196" spans="2:7" x14ac:dyDescent="0.2">
      <c r="B6196" s="32">
        <v>45981</v>
      </c>
      <c r="C6196" t="s">
        <v>109</v>
      </c>
      <c r="D6196" s="13" t="s">
        <v>633</v>
      </c>
      <c r="E6196" t="s">
        <v>363</v>
      </c>
      <c r="F6196" s="11">
        <v>1</v>
      </c>
      <c r="G6196" s="11">
        <v>79831.929999999993</v>
      </c>
    </row>
    <row r="6197" spans="2:7" x14ac:dyDescent="0.2">
      <c r="B6197" s="32">
        <v>45981</v>
      </c>
      <c r="C6197" t="s">
        <v>109</v>
      </c>
      <c r="D6197" s="13" t="s">
        <v>633</v>
      </c>
      <c r="E6197" t="s">
        <v>393</v>
      </c>
      <c r="F6197" s="11">
        <v>1</v>
      </c>
      <c r="G6197" s="11">
        <v>79831.929999999993</v>
      </c>
    </row>
    <row r="6198" spans="2:7" x14ac:dyDescent="0.2">
      <c r="B6198" s="32">
        <v>45981</v>
      </c>
      <c r="C6198" t="s">
        <v>109</v>
      </c>
      <c r="D6198" s="13" t="s">
        <v>633</v>
      </c>
      <c r="E6198" t="s">
        <v>368</v>
      </c>
      <c r="F6198" s="11">
        <v>1</v>
      </c>
      <c r="G6198" s="11">
        <v>75630.25</v>
      </c>
    </row>
    <row r="6199" spans="2:7" x14ac:dyDescent="0.2">
      <c r="B6199" s="32">
        <v>45981</v>
      </c>
      <c r="C6199" t="s">
        <v>109</v>
      </c>
      <c r="D6199" s="13" t="s">
        <v>633</v>
      </c>
      <c r="E6199" t="s">
        <v>152</v>
      </c>
      <c r="F6199" s="11">
        <v>1</v>
      </c>
      <c r="G6199" s="11">
        <v>75630.25</v>
      </c>
    </row>
    <row r="6200" spans="2:7" x14ac:dyDescent="0.2">
      <c r="B6200" s="32">
        <v>45981</v>
      </c>
      <c r="C6200" t="s">
        <v>109</v>
      </c>
      <c r="D6200" s="13" t="s">
        <v>633</v>
      </c>
      <c r="E6200" t="s">
        <v>2014</v>
      </c>
      <c r="F6200" s="11">
        <v>1</v>
      </c>
      <c r="G6200" s="11">
        <v>71428.58</v>
      </c>
    </row>
    <row r="6201" spans="2:7" x14ac:dyDescent="0.2">
      <c r="B6201" s="32">
        <v>45981</v>
      </c>
      <c r="C6201" t="s">
        <v>109</v>
      </c>
      <c r="D6201" s="13" t="s">
        <v>633</v>
      </c>
      <c r="E6201" t="s">
        <v>336</v>
      </c>
      <c r="F6201" s="11">
        <v>1</v>
      </c>
      <c r="G6201" s="11">
        <v>71428.570000000007</v>
      </c>
    </row>
    <row r="6202" spans="2:7" x14ac:dyDescent="0.2">
      <c r="B6202" s="32">
        <v>45981</v>
      </c>
      <c r="C6202" t="s">
        <v>109</v>
      </c>
      <c r="D6202" s="13" t="s">
        <v>633</v>
      </c>
      <c r="E6202" t="s">
        <v>147</v>
      </c>
      <c r="F6202" s="11">
        <v>1</v>
      </c>
      <c r="G6202" s="11">
        <v>71428.570000000007</v>
      </c>
    </row>
    <row r="6203" spans="2:7" x14ac:dyDescent="0.2">
      <c r="B6203" s="32">
        <v>45981</v>
      </c>
      <c r="C6203" t="s">
        <v>109</v>
      </c>
      <c r="D6203" s="13" t="s">
        <v>633</v>
      </c>
      <c r="E6203" t="s">
        <v>522</v>
      </c>
      <c r="F6203" s="11">
        <v>2</v>
      </c>
      <c r="G6203" s="11">
        <v>70000</v>
      </c>
    </row>
    <row r="6204" spans="2:7" x14ac:dyDescent="0.2">
      <c r="B6204" s="32">
        <v>45981</v>
      </c>
      <c r="C6204" t="s">
        <v>109</v>
      </c>
      <c r="D6204" s="13" t="s">
        <v>633</v>
      </c>
      <c r="E6204" t="s">
        <v>721</v>
      </c>
      <c r="F6204" s="11">
        <v>1</v>
      </c>
      <c r="G6204" s="11">
        <v>58823.53</v>
      </c>
    </row>
    <row r="6205" spans="2:7" x14ac:dyDescent="0.2">
      <c r="B6205" s="32">
        <v>45981</v>
      </c>
      <c r="C6205" t="s">
        <v>109</v>
      </c>
      <c r="D6205" s="13" t="s">
        <v>633</v>
      </c>
      <c r="E6205" t="s">
        <v>387</v>
      </c>
      <c r="F6205" s="11">
        <v>1</v>
      </c>
      <c r="G6205" s="11">
        <v>54621.85</v>
      </c>
    </row>
    <row r="6206" spans="2:7" x14ac:dyDescent="0.2">
      <c r="B6206" s="32">
        <v>45981</v>
      </c>
      <c r="C6206" t="s">
        <v>109</v>
      </c>
      <c r="D6206" s="13" t="s">
        <v>633</v>
      </c>
      <c r="E6206" t="s">
        <v>580</v>
      </c>
      <c r="F6206" s="11">
        <v>1</v>
      </c>
      <c r="G6206" s="11">
        <v>54621.85</v>
      </c>
    </row>
    <row r="6207" spans="2:7" x14ac:dyDescent="0.2">
      <c r="B6207" s="32">
        <v>45981</v>
      </c>
      <c r="C6207" t="s">
        <v>109</v>
      </c>
      <c r="D6207" s="13" t="s">
        <v>633</v>
      </c>
      <c r="E6207" t="s">
        <v>672</v>
      </c>
      <c r="F6207" s="11">
        <v>1</v>
      </c>
      <c r="G6207" s="11">
        <v>50420.17</v>
      </c>
    </row>
    <row r="6208" spans="2:7" x14ac:dyDescent="0.2">
      <c r="B6208" s="32">
        <v>45981</v>
      </c>
      <c r="C6208" t="s">
        <v>109</v>
      </c>
      <c r="D6208" s="13" t="s">
        <v>633</v>
      </c>
      <c r="E6208" t="s">
        <v>587</v>
      </c>
      <c r="F6208" s="11">
        <v>1</v>
      </c>
      <c r="G6208" s="11">
        <v>50420.17</v>
      </c>
    </row>
    <row r="6209" spans="2:7" x14ac:dyDescent="0.2">
      <c r="B6209" s="32">
        <v>45981</v>
      </c>
      <c r="C6209" t="s">
        <v>109</v>
      </c>
      <c r="D6209" s="13" t="s">
        <v>633</v>
      </c>
      <c r="E6209" t="s">
        <v>243</v>
      </c>
      <c r="F6209" s="11">
        <v>1</v>
      </c>
      <c r="G6209" s="11">
        <v>46428.57</v>
      </c>
    </row>
    <row r="6210" spans="2:7" x14ac:dyDescent="0.2">
      <c r="B6210" s="32">
        <v>45981</v>
      </c>
      <c r="C6210" t="s">
        <v>109</v>
      </c>
      <c r="D6210" s="13" t="s">
        <v>633</v>
      </c>
      <c r="E6210" t="s">
        <v>153</v>
      </c>
      <c r="F6210" s="11">
        <v>1</v>
      </c>
      <c r="G6210" s="11">
        <v>42016.81</v>
      </c>
    </row>
    <row r="6211" spans="2:7" x14ac:dyDescent="0.2">
      <c r="B6211" s="32">
        <v>45981</v>
      </c>
      <c r="C6211" t="s">
        <v>109</v>
      </c>
      <c r="D6211" s="13" t="s">
        <v>633</v>
      </c>
      <c r="E6211" t="s">
        <v>1846</v>
      </c>
      <c r="F6211" s="11">
        <v>2</v>
      </c>
      <c r="G6211" s="11">
        <v>42016.81</v>
      </c>
    </row>
    <row r="6212" spans="2:7" x14ac:dyDescent="0.2">
      <c r="B6212" s="32">
        <v>45981</v>
      </c>
      <c r="C6212" t="s">
        <v>109</v>
      </c>
      <c r="D6212" s="13" t="s">
        <v>633</v>
      </c>
      <c r="E6212" t="s">
        <v>1818</v>
      </c>
      <c r="F6212" s="11">
        <v>1</v>
      </c>
      <c r="G6212" s="11">
        <v>37815.129999999997</v>
      </c>
    </row>
    <row r="6213" spans="2:7" x14ac:dyDescent="0.2">
      <c r="B6213" s="32">
        <v>45981</v>
      </c>
      <c r="C6213" t="s">
        <v>109</v>
      </c>
      <c r="D6213" s="13" t="s">
        <v>633</v>
      </c>
      <c r="E6213" t="s">
        <v>206</v>
      </c>
      <c r="F6213" s="11">
        <v>1</v>
      </c>
      <c r="G6213" s="11">
        <v>37815.129999999997</v>
      </c>
    </row>
    <row r="6214" spans="2:7" x14ac:dyDescent="0.2">
      <c r="B6214" s="32">
        <v>45981</v>
      </c>
      <c r="C6214" t="s">
        <v>109</v>
      </c>
      <c r="D6214" s="13" t="s">
        <v>633</v>
      </c>
      <c r="E6214" t="s">
        <v>2030</v>
      </c>
      <c r="F6214" s="11">
        <v>1</v>
      </c>
      <c r="G6214" s="11">
        <v>16806.72</v>
      </c>
    </row>
    <row r="6215" spans="2:7" x14ac:dyDescent="0.2">
      <c r="B6215" s="32">
        <v>45982</v>
      </c>
      <c r="C6215" t="s">
        <v>142</v>
      </c>
      <c r="D6215" s="13" t="s">
        <v>634</v>
      </c>
      <c r="E6215" t="s">
        <v>357</v>
      </c>
      <c r="F6215" s="11">
        <v>1</v>
      </c>
      <c r="G6215" s="11">
        <v>71428.570000000007</v>
      </c>
    </row>
    <row r="6216" spans="2:7" x14ac:dyDescent="0.2">
      <c r="B6216" s="32">
        <v>45982</v>
      </c>
      <c r="C6216" t="s">
        <v>142</v>
      </c>
      <c r="D6216" s="13" t="s">
        <v>634</v>
      </c>
      <c r="E6216" t="s">
        <v>533</v>
      </c>
      <c r="F6216" s="11">
        <v>1</v>
      </c>
      <c r="G6216" s="11">
        <v>58823.53</v>
      </c>
    </row>
    <row r="6217" spans="2:7" x14ac:dyDescent="0.2">
      <c r="B6217" s="32">
        <v>45982</v>
      </c>
      <c r="C6217" t="s">
        <v>142</v>
      </c>
      <c r="D6217" s="13" t="s">
        <v>634</v>
      </c>
      <c r="E6217" t="s">
        <v>1865</v>
      </c>
      <c r="F6217" s="11">
        <v>1</v>
      </c>
      <c r="G6217" s="11">
        <v>54621.85</v>
      </c>
    </row>
    <row r="6218" spans="2:7" x14ac:dyDescent="0.2">
      <c r="B6218" s="32">
        <v>45982</v>
      </c>
      <c r="C6218" t="s">
        <v>142</v>
      </c>
      <c r="D6218" s="13" t="s">
        <v>634</v>
      </c>
      <c r="E6218" t="s">
        <v>536</v>
      </c>
      <c r="F6218" s="11">
        <v>1</v>
      </c>
      <c r="G6218" s="11">
        <v>54621.84</v>
      </c>
    </row>
    <row r="6219" spans="2:7" x14ac:dyDescent="0.2">
      <c r="B6219" s="32">
        <v>45982</v>
      </c>
      <c r="C6219" t="s">
        <v>142</v>
      </c>
      <c r="D6219" s="13" t="s">
        <v>634</v>
      </c>
      <c r="E6219" t="s">
        <v>238</v>
      </c>
      <c r="F6219" s="11">
        <v>1</v>
      </c>
      <c r="G6219" s="11">
        <v>46218.49</v>
      </c>
    </row>
    <row r="6220" spans="2:7" x14ac:dyDescent="0.2">
      <c r="B6220" s="32">
        <v>45982</v>
      </c>
      <c r="C6220" t="s">
        <v>142</v>
      </c>
      <c r="D6220" s="13" t="s">
        <v>634</v>
      </c>
      <c r="E6220" t="s">
        <v>2094</v>
      </c>
      <c r="F6220" s="11">
        <v>1</v>
      </c>
      <c r="G6220" s="11">
        <v>46218.49</v>
      </c>
    </row>
    <row r="6221" spans="2:7" x14ac:dyDescent="0.2">
      <c r="B6221" s="32">
        <v>45982</v>
      </c>
      <c r="C6221" t="s">
        <v>142</v>
      </c>
      <c r="D6221" s="13" t="s">
        <v>634</v>
      </c>
      <c r="E6221" t="s">
        <v>2107</v>
      </c>
      <c r="F6221" s="11">
        <v>1</v>
      </c>
      <c r="G6221" s="11">
        <v>37815.129999999997</v>
      </c>
    </row>
    <row r="6222" spans="2:7" x14ac:dyDescent="0.2">
      <c r="B6222" s="32">
        <v>45982</v>
      </c>
      <c r="C6222" t="s">
        <v>142</v>
      </c>
      <c r="D6222" s="13" t="s">
        <v>634</v>
      </c>
      <c r="E6222" t="s">
        <v>145</v>
      </c>
      <c r="F6222" s="11">
        <v>1</v>
      </c>
      <c r="G6222" s="11">
        <v>29411.759999999998</v>
      </c>
    </row>
    <row r="6223" spans="2:7" x14ac:dyDescent="0.2">
      <c r="B6223" s="32">
        <v>45982</v>
      </c>
      <c r="C6223" t="s">
        <v>142</v>
      </c>
      <c r="D6223" s="13" t="s">
        <v>634</v>
      </c>
      <c r="E6223" t="s">
        <v>144</v>
      </c>
      <c r="F6223" s="11">
        <v>1</v>
      </c>
      <c r="G6223" s="11">
        <v>13445.37</v>
      </c>
    </row>
    <row r="6224" spans="2:7" x14ac:dyDescent="0.2">
      <c r="B6224" s="32">
        <v>45982</v>
      </c>
      <c r="C6224" t="s">
        <v>142</v>
      </c>
      <c r="D6224" s="13" t="s">
        <v>633</v>
      </c>
      <c r="E6224" t="s">
        <v>352</v>
      </c>
      <c r="F6224" s="11">
        <v>1</v>
      </c>
      <c r="G6224" s="11">
        <v>71428.570000000007</v>
      </c>
    </row>
    <row r="6225" spans="2:7" x14ac:dyDescent="0.2">
      <c r="B6225" s="32">
        <v>45982</v>
      </c>
      <c r="C6225" t="s">
        <v>142</v>
      </c>
      <c r="D6225" s="13" t="s">
        <v>633</v>
      </c>
      <c r="E6225" t="s">
        <v>164</v>
      </c>
      <c r="F6225" s="11">
        <v>1</v>
      </c>
      <c r="G6225" s="11">
        <v>71428.570000000007</v>
      </c>
    </row>
    <row r="6226" spans="2:7" x14ac:dyDescent="0.2">
      <c r="B6226" s="32">
        <v>45982</v>
      </c>
      <c r="C6226" t="s">
        <v>142</v>
      </c>
      <c r="D6226" s="13" t="s">
        <v>633</v>
      </c>
      <c r="E6226" t="s">
        <v>192</v>
      </c>
      <c r="F6226" s="11">
        <v>1</v>
      </c>
      <c r="G6226" s="11">
        <v>71428.570000000007</v>
      </c>
    </row>
    <row r="6227" spans="2:7" x14ac:dyDescent="0.2">
      <c r="B6227" s="32">
        <v>45982</v>
      </c>
      <c r="C6227" t="s">
        <v>142</v>
      </c>
      <c r="D6227" s="13" t="s">
        <v>633</v>
      </c>
      <c r="E6227" t="s">
        <v>271</v>
      </c>
      <c r="F6227" s="11">
        <v>1</v>
      </c>
      <c r="G6227" s="11">
        <v>58823.53</v>
      </c>
    </row>
    <row r="6228" spans="2:7" x14ac:dyDescent="0.2">
      <c r="B6228" s="32">
        <v>45982</v>
      </c>
      <c r="C6228" t="s">
        <v>142</v>
      </c>
      <c r="D6228" s="13" t="s">
        <v>633</v>
      </c>
      <c r="E6228" t="s">
        <v>376</v>
      </c>
      <c r="F6228" s="11">
        <v>1</v>
      </c>
      <c r="G6228" s="11">
        <v>58823.53</v>
      </c>
    </row>
    <row r="6229" spans="2:7" x14ac:dyDescent="0.2">
      <c r="B6229" s="32">
        <v>45982</v>
      </c>
      <c r="C6229" t="s">
        <v>142</v>
      </c>
      <c r="D6229" s="13" t="s">
        <v>633</v>
      </c>
      <c r="E6229" t="s">
        <v>809</v>
      </c>
      <c r="F6229" s="11">
        <v>1</v>
      </c>
      <c r="G6229" s="11">
        <v>58823.53</v>
      </c>
    </row>
    <row r="6230" spans="2:7" x14ac:dyDescent="0.2">
      <c r="B6230" s="32">
        <v>45982</v>
      </c>
      <c r="C6230" t="s">
        <v>142</v>
      </c>
      <c r="D6230" s="13" t="s">
        <v>633</v>
      </c>
      <c r="E6230" t="s">
        <v>331</v>
      </c>
      <c r="F6230" s="11">
        <v>1</v>
      </c>
      <c r="G6230" s="11">
        <v>58823.53</v>
      </c>
    </row>
    <row r="6231" spans="2:7" x14ac:dyDescent="0.2">
      <c r="B6231" s="32">
        <v>45982</v>
      </c>
      <c r="C6231" t="s">
        <v>109</v>
      </c>
      <c r="D6231" s="13" t="s">
        <v>634</v>
      </c>
      <c r="E6231" t="s">
        <v>196</v>
      </c>
      <c r="F6231" s="11">
        <v>2</v>
      </c>
      <c r="G6231" s="11">
        <v>84033.61</v>
      </c>
    </row>
    <row r="6232" spans="2:7" x14ac:dyDescent="0.2">
      <c r="B6232" s="32">
        <v>45982</v>
      </c>
      <c r="C6232" t="s">
        <v>109</v>
      </c>
      <c r="D6232" s="13" t="s">
        <v>634</v>
      </c>
      <c r="E6232" t="s">
        <v>290</v>
      </c>
      <c r="F6232" s="11">
        <v>1</v>
      </c>
      <c r="G6232" s="11">
        <v>58823.53</v>
      </c>
    </row>
    <row r="6233" spans="2:7" x14ac:dyDescent="0.2">
      <c r="B6233" s="32">
        <v>45982</v>
      </c>
      <c r="C6233" t="s">
        <v>109</v>
      </c>
      <c r="D6233" s="13" t="s">
        <v>634</v>
      </c>
      <c r="E6233" t="s">
        <v>168</v>
      </c>
      <c r="F6233" s="11">
        <v>1</v>
      </c>
      <c r="G6233" s="11">
        <v>42016.81</v>
      </c>
    </row>
    <row r="6234" spans="2:7" x14ac:dyDescent="0.2">
      <c r="B6234" s="32">
        <v>45982</v>
      </c>
      <c r="C6234" t="s">
        <v>109</v>
      </c>
      <c r="D6234" s="13" t="s">
        <v>634</v>
      </c>
      <c r="E6234" t="s">
        <v>1963</v>
      </c>
      <c r="F6234" s="11">
        <v>1</v>
      </c>
      <c r="G6234" s="11">
        <v>42016.81</v>
      </c>
    </row>
    <row r="6235" spans="2:7" x14ac:dyDescent="0.2">
      <c r="B6235" s="32">
        <v>45982</v>
      </c>
      <c r="C6235" t="s">
        <v>109</v>
      </c>
      <c r="D6235" s="13" t="s">
        <v>634</v>
      </c>
      <c r="E6235" t="s">
        <v>2109</v>
      </c>
      <c r="F6235" s="11">
        <v>1</v>
      </c>
      <c r="G6235" s="11">
        <v>37815.129999999997</v>
      </c>
    </row>
    <row r="6236" spans="2:7" x14ac:dyDescent="0.2">
      <c r="B6236" s="32">
        <v>45982</v>
      </c>
      <c r="C6236" t="s">
        <v>109</v>
      </c>
      <c r="D6236" s="13" t="s">
        <v>634</v>
      </c>
      <c r="E6236" t="s">
        <v>144</v>
      </c>
      <c r="F6236" s="11">
        <v>1</v>
      </c>
      <c r="G6236" s="11">
        <v>8403.36</v>
      </c>
    </row>
    <row r="6237" spans="2:7" x14ac:dyDescent="0.2">
      <c r="B6237" s="32">
        <v>45982</v>
      </c>
      <c r="C6237" t="s">
        <v>109</v>
      </c>
      <c r="D6237" s="13" t="s">
        <v>633</v>
      </c>
      <c r="E6237" t="s">
        <v>154</v>
      </c>
      <c r="F6237" s="11">
        <v>2</v>
      </c>
      <c r="G6237" s="11">
        <v>181512.61</v>
      </c>
    </row>
    <row r="6238" spans="2:7" x14ac:dyDescent="0.2">
      <c r="B6238" s="32">
        <v>45982</v>
      </c>
      <c r="C6238" t="s">
        <v>109</v>
      </c>
      <c r="D6238" s="13" t="s">
        <v>633</v>
      </c>
      <c r="E6238" t="s">
        <v>189</v>
      </c>
      <c r="F6238" s="11">
        <v>2</v>
      </c>
      <c r="G6238" s="11">
        <v>128571.43</v>
      </c>
    </row>
    <row r="6239" spans="2:7" x14ac:dyDescent="0.2">
      <c r="B6239" s="32">
        <v>45982</v>
      </c>
      <c r="C6239" t="s">
        <v>109</v>
      </c>
      <c r="D6239" s="13" t="s">
        <v>633</v>
      </c>
      <c r="E6239" t="s">
        <v>215</v>
      </c>
      <c r="F6239" s="11">
        <v>2</v>
      </c>
      <c r="G6239" s="11">
        <v>83193.279999999999</v>
      </c>
    </row>
    <row r="6240" spans="2:7" x14ac:dyDescent="0.2">
      <c r="B6240" s="32">
        <v>45982</v>
      </c>
      <c r="C6240" t="s">
        <v>109</v>
      </c>
      <c r="D6240" s="13" t="s">
        <v>633</v>
      </c>
      <c r="E6240" t="s">
        <v>2046</v>
      </c>
      <c r="F6240" s="11">
        <v>1</v>
      </c>
      <c r="G6240" s="11">
        <v>55210.080000000002</v>
      </c>
    </row>
    <row r="6241" spans="2:7" x14ac:dyDescent="0.2">
      <c r="B6241" s="32">
        <v>45983</v>
      </c>
      <c r="C6241" t="s">
        <v>142</v>
      </c>
      <c r="D6241" s="13" t="s">
        <v>634</v>
      </c>
      <c r="E6241" t="s">
        <v>335</v>
      </c>
      <c r="F6241" s="11">
        <v>1</v>
      </c>
      <c r="G6241" s="11">
        <v>58823.53</v>
      </c>
    </row>
    <row r="6242" spans="2:7" x14ac:dyDescent="0.2">
      <c r="B6242" s="32">
        <v>45983</v>
      </c>
      <c r="C6242" t="s">
        <v>142</v>
      </c>
      <c r="D6242" s="13" t="s">
        <v>634</v>
      </c>
      <c r="E6242" t="s">
        <v>295</v>
      </c>
      <c r="F6242" s="11">
        <v>1</v>
      </c>
      <c r="G6242" s="11">
        <v>54621.85</v>
      </c>
    </row>
    <row r="6243" spans="2:7" x14ac:dyDescent="0.2">
      <c r="B6243" s="32">
        <v>45983</v>
      </c>
      <c r="C6243" t="s">
        <v>142</v>
      </c>
      <c r="D6243" s="13" t="s">
        <v>634</v>
      </c>
      <c r="E6243" t="s">
        <v>300</v>
      </c>
      <c r="F6243" s="11">
        <v>1</v>
      </c>
      <c r="G6243" s="11">
        <v>37815.129999999997</v>
      </c>
    </row>
    <row r="6244" spans="2:7" x14ac:dyDescent="0.2">
      <c r="B6244" s="32">
        <v>45983</v>
      </c>
      <c r="C6244" t="s">
        <v>109</v>
      </c>
      <c r="D6244" s="13"/>
      <c r="E6244" t="s">
        <v>182</v>
      </c>
      <c r="F6244" s="11">
        <v>2</v>
      </c>
      <c r="G6244" s="11">
        <v>58823.53</v>
      </c>
    </row>
    <row r="6245" spans="2:7" x14ac:dyDescent="0.2">
      <c r="B6245" s="32">
        <v>45983</v>
      </c>
      <c r="C6245" t="s">
        <v>109</v>
      </c>
      <c r="D6245" s="13"/>
      <c r="E6245" t="s">
        <v>350</v>
      </c>
      <c r="F6245" s="11">
        <v>1</v>
      </c>
      <c r="G6245" s="11">
        <v>46218.49</v>
      </c>
    </row>
    <row r="6246" spans="2:7" x14ac:dyDescent="0.2">
      <c r="B6246" s="32">
        <v>45983</v>
      </c>
      <c r="C6246" t="s">
        <v>109</v>
      </c>
      <c r="D6246" s="13"/>
      <c r="E6246" t="s">
        <v>309</v>
      </c>
      <c r="F6246" s="11">
        <v>1</v>
      </c>
      <c r="G6246" s="11">
        <v>42016.81</v>
      </c>
    </row>
    <row r="6247" spans="2:7" x14ac:dyDescent="0.2">
      <c r="B6247" s="32">
        <v>45983</v>
      </c>
      <c r="C6247" t="s">
        <v>109</v>
      </c>
      <c r="D6247" s="13"/>
      <c r="E6247" t="s">
        <v>161</v>
      </c>
      <c r="F6247" s="11">
        <v>1</v>
      </c>
      <c r="G6247" s="11">
        <v>42016.81</v>
      </c>
    </row>
    <row r="6248" spans="2:7" x14ac:dyDescent="0.2">
      <c r="B6248" s="32">
        <v>45983</v>
      </c>
      <c r="C6248" t="s">
        <v>109</v>
      </c>
      <c r="D6248" s="13" t="s">
        <v>634</v>
      </c>
      <c r="E6248" t="s">
        <v>145</v>
      </c>
      <c r="F6248" s="11">
        <v>9</v>
      </c>
      <c r="G6248" s="11">
        <v>264705.88</v>
      </c>
    </row>
    <row r="6249" spans="2:7" x14ac:dyDescent="0.2">
      <c r="B6249" s="32">
        <v>45983</v>
      </c>
      <c r="C6249" t="s">
        <v>109</v>
      </c>
      <c r="D6249" s="13" t="s">
        <v>634</v>
      </c>
      <c r="E6249" t="s">
        <v>330</v>
      </c>
      <c r="F6249" s="11">
        <v>4</v>
      </c>
      <c r="G6249" s="11">
        <v>148424.37</v>
      </c>
    </row>
    <row r="6250" spans="2:7" x14ac:dyDescent="0.2">
      <c r="B6250" s="32">
        <v>45983</v>
      </c>
      <c r="C6250" t="s">
        <v>109</v>
      </c>
      <c r="D6250" s="13" t="s">
        <v>634</v>
      </c>
      <c r="E6250" t="s">
        <v>146</v>
      </c>
      <c r="F6250" s="11">
        <v>3</v>
      </c>
      <c r="G6250" s="11">
        <v>138655.46</v>
      </c>
    </row>
    <row r="6251" spans="2:7" x14ac:dyDescent="0.2">
      <c r="B6251" s="32">
        <v>45983</v>
      </c>
      <c r="C6251" t="s">
        <v>109</v>
      </c>
      <c r="D6251" s="13" t="s">
        <v>634</v>
      </c>
      <c r="E6251" t="s">
        <v>504</v>
      </c>
      <c r="F6251" s="11">
        <v>2</v>
      </c>
      <c r="G6251" s="11">
        <v>97058.82</v>
      </c>
    </row>
    <row r="6252" spans="2:7" x14ac:dyDescent="0.2">
      <c r="B6252" s="32">
        <v>45983</v>
      </c>
      <c r="C6252" t="s">
        <v>109</v>
      </c>
      <c r="D6252" s="13" t="s">
        <v>634</v>
      </c>
      <c r="E6252" t="s">
        <v>204</v>
      </c>
      <c r="F6252" s="11">
        <v>2</v>
      </c>
      <c r="G6252" s="11">
        <v>75630.25</v>
      </c>
    </row>
    <row r="6253" spans="2:7" x14ac:dyDescent="0.2">
      <c r="B6253" s="32">
        <v>45983</v>
      </c>
      <c r="C6253" t="s">
        <v>109</v>
      </c>
      <c r="D6253" s="13" t="s">
        <v>634</v>
      </c>
      <c r="E6253" t="s">
        <v>2110</v>
      </c>
      <c r="F6253" s="11">
        <v>1</v>
      </c>
      <c r="G6253" s="11">
        <v>73844.539999999994</v>
      </c>
    </row>
    <row r="6254" spans="2:7" x14ac:dyDescent="0.2">
      <c r="B6254" s="32">
        <v>45983</v>
      </c>
      <c r="C6254" t="s">
        <v>109</v>
      </c>
      <c r="D6254" s="13" t="s">
        <v>634</v>
      </c>
      <c r="E6254" t="s">
        <v>376</v>
      </c>
      <c r="F6254" s="11">
        <v>1</v>
      </c>
      <c r="G6254" s="11">
        <v>58823.53</v>
      </c>
    </row>
    <row r="6255" spans="2:7" x14ac:dyDescent="0.2">
      <c r="B6255" s="32">
        <v>45983</v>
      </c>
      <c r="C6255" t="s">
        <v>109</v>
      </c>
      <c r="D6255" s="13" t="s">
        <v>634</v>
      </c>
      <c r="E6255" t="s">
        <v>2096</v>
      </c>
      <c r="F6255" s="11">
        <v>1</v>
      </c>
      <c r="G6255" s="11">
        <v>54621.84</v>
      </c>
    </row>
    <row r="6256" spans="2:7" x14ac:dyDescent="0.2">
      <c r="B6256" s="32">
        <v>45983</v>
      </c>
      <c r="C6256" t="s">
        <v>109</v>
      </c>
      <c r="D6256" s="13" t="s">
        <v>634</v>
      </c>
      <c r="E6256" t="s">
        <v>303</v>
      </c>
      <c r="F6256" s="11">
        <v>1</v>
      </c>
      <c r="G6256" s="11">
        <v>50420.17</v>
      </c>
    </row>
    <row r="6257" spans="2:7" x14ac:dyDescent="0.2">
      <c r="B6257" s="32">
        <v>45983</v>
      </c>
      <c r="C6257" t="s">
        <v>109</v>
      </c>
      <c r="D6257" s="13" t="s">
        <v>634</v>
      </c>
      <c r="E6257" t="s">
        <v>470</v>
      </c>
      <c r="F6257" s="11">
        <v>1</v>
      </c>
      <c r="G6257" s="11">
        <v>50420.17</v>
      </c>
    </row>
    <row r="6258" spans="2:7" x14ac:dyDescent="0.2">
      <c r="B6258" s="32">
        <v>45983</v>
      </c>
      <c r="C6258" t="s">
        <v>109</v>
      </c>
      <c r="D6258" s="13" t="s">
        <v>634</v>
      </c>
      <c r="E6258" t="s">
        <v>195</v>
      </c>
      <c r="F6258" s="11">
        <v>1</v>
      </c>
      <c r="G6258" s="11">
        <v>46218.49</v>
      </c>
    </row>
    <row r="6259" spans="2:7" x14ac:dyDescent="0.2">
      <c r="B6259" s="32">
        <v>45983</v>
      </c>
      <c r="C6259" t="s">
        <v>109</v>
      </c>
      <c r="D6259" s="13" t="s">
        <v>634</v>
      </c>
      <c r="E6259" t="s">
        <v>196</v>
      </c>
      <c r="F6259" s="11">
        <v>1</v>
      </c>
      <c r="G6259" s="11">
        <v>42016.81</v>
      </c>
    </row>
    <row r="6260" spans="2:7" x14ac:dyDescent="0.2">
      <c r="B6260" s="32">
        <v>45983</v>
      </c>
      <c r="C6260" t="s">
        <v>109</v>
      </c>
      <c r="D6260" s="13" t="s">
        <v>634</v>
      </c>
      <c r="E6260" t="s">
        <v>342</v>
      </c>
      <c r="F6260" s="11">
        <v>1</v>
      </c>
      <c r="G6260" s="11">
        <v>37815.129999999997</v>
      </c>
    </row>
    <row r="6261" spans="2:7" x14ac:dyDescent="0.2">
      <c r="B6261" s="32">
        <v>45983</v>
      </c>
      <c r="C6261" t="s">
        <v>109</v>
      </c>
      <c r="D6261" s="13" t="s">
        <v>633</v>
      </c>
      <c r="E6261" t="s">
        <v>1911</v>
      </c>
      <c r="F6261" s="11">
        <v>1</v>
      </c>
      <c r="G6261" s="11">
        <v>252100.84</v>
      </c>
    </row>
    <row r="6262" spans="2:7" x14ac:dyDescent="0.2">
      <c r="B6262" s="32">
        <v>45983</v>
      </c>
      <c r="C6262" t="s">
        <v>109</v>
      </c>
      <c r="D6262" s="13" t="s">
        <v>633</v>
      </c>
      <c r="E6262" t="s">
        <v>152</v>
      </c>
      <c r="F6262" s="11">
        <v>1</v>
      </c>
      <c r="G6262" s="11">
        <v>75630.259999999995</v>
      </c>
    </row>
    <row r="6263" spans="2:7" x14ac:dyDescent="0.2">
      <c r="B6263" s="32">
        <v>45983</v>
      </c>
      <c r="C6263" t="s">
        <v>109</v>
      </c>
      <c r="D6263" s="13" t="s">
        <v>633</v>
      </c>
      <c r="E6263" t="s">
        <v>446</v>
      </c>
      <c r="F6263" s="11">
        <v>1</v>
      </c>
      <c r="G6263" s="11">
        <v>75630.25</v>
      </c>
    </row>
    <row r="6264" spans="2:7" x14ac:dyDescent="0.2">
      <c r="B6264" s="32">
        <v>45983</v>
      </c>
      <c r="C6264" t="s">
        <v>109</v>
      </c>
      <c r="D6264" s="13" t="s">
        <v>633</v>
      </c>
      <c r="E6264" t="s">
        <v>647</v>
      </c>
      <c r="F6264" s="11">
        <v>1</v>
      </c>
      <c r="G6264" s="11">
        <v>75630.25</v>
      </c>
    </row>
    <row r="6265" spans="2:7" x14ac:dyDescent="0.2">
      <c r="B6265" s="32">
        <v>45983</v>
      </c>
      <c r="C6265" t="s">
        <v>109</v>
      </c>
      <c r="D6265" s="13" t="s">
        <v>633</v>
      </c>
      <c r="E6265" t="s">
        <v>2014</v>
      </c>
      <c r="F6265" s="11">
        <v>1</v>
      </c>
      <c r="G6265" s="11">
        <v>71428.570000000007</v>
      </c>
    </row>
    <row r="6266" spans="2:7" x14ac:dyDescent="0.2">
      <c r="B6266" s="32">
        <v>45983</v>
      </c>
      <c r="C6266" t="s">
        <v>109</v>
      </c>
      <c r="D6266" s="13" t="s">
        <v>633</v>
      </c>
      <c r="E6266" t="s">
        <v>374</v>
      </c>
      <c r="F6266" s="11">
        <v>1</v>
      </c>
      <c r="G6266" s="11">
        <v>70000</v>
      </c>
    </row>
    <row r="6267" spans="2:7" x14ac:dyDescent="0.2">
      <c r="B6267" s="32">
        <v>45983</v>
      </c>
      <c r="C6267" t="s">
        <v>109</v>
      </c>
      <c r="D6267" s="13" t="s">
        <v>633</v>
      </c>
      <c r="E6267" t="s">
        <v>259</v>
      </c>
      <c r="F6267" s="11">
        <v>1</v>
      </c>
      <c r="G6267" s="11">
        <v>70000</v>
      </c>
    </row>
    <row r="6268" spans="2:7" x14ac:dyDescent="0.2">
      <c r="B6268" s="32">
        <v>45983</v>
      </c>
      <c r="C6268" t="s">
        <v>109</v>
      </c>
      <c r="D6268" s="13" t="s">
        <v>633</v>
      </c>
      <c r="E6268" t="s">
        <v>269</v>
      </c>
      <c r="F6268" s="11">
        <v>1</v>
      </c>
      <c r="G6268" s="11">
        <v>50420.17</v>
      </c>
    </row>
    <row r="6269" spans="2:7" x14ac:dyDescent="0.2">
      <c r="B6269" s="32">
        <v>45983</v>
      </c>
      <c r="C6269" t="s">
        <v>109</v>
      </c>
      <c r="D6269" s="13" t="s">
        <v>633</v>
      </c>
      <c r="E6269" t="s">
        <v>160</v>
      </c>
      <c r="F6269" s="11">
        <v>1</v>
      </c>
      <c r="G6269" s="11">
        <v>46218.49</v>
      </c>
    </row>
    <row r="6270" spans="2:7" x14ac:dyDescent="0.2">
      <c r="B6270" s="32">
        <v>45983</v>
      </c>
      <c r="C6270" t="s">
        <v>109</v>
      </c>
      <c r="D6270" s="13" t="s">
        <v>633</v>
      </c>
      <c r="E6270" t="s">
        <v>153</v>
      </c>
      <c r="F6270" s="11">
        <v>1</v>
      </c>
      <c r="G6270" s="11">
        <v>42016.81</v>
      </c>
    </row>
    <row r="6271" spans="2:7" x14ac:dyDescent="0.2">
      <c r="B6271" s="32">
        <v>45983</v>
      </c>
      <c r="C6271" t="s">
        <v>109</v>
      </c>
      <c r="D6271" s="13" t="s">
        <v>633</v>
      </c>
      <c r="E6271" t="s">
        <v>2107</v>
      </c>
      <c r="F6271" s="11">
        <v>1</v>
      </c>
      <c r="G6271" s="11">
        <v>37815.120000000003</v>
      </c>
    </row>
    <row r="6272" spans="2:7" x14ac:dyDescent="0.2">
      <c r="B6272" s="32">
        <v>45984</v>
      </c>
      <c r="C6272" t="s">
        <v>142</v>
      </c>
      <c r="D6272" s="13" t="s">
        <v>634</v>
      </c>
      <c r="E6272" t="s">
        <v>2111</v>
      </c>
      <c r="F6272" s="11">
        <v>1</v>
      </c>
      <c r="G6272" s="11">
        <v>176470.59</v>
      </c>
    </row>
    <row r="6273" spans="2:7" x14ac:dyDescent="0.2">
      <c r="B6273" s="32">
        <v>45984</v>
      </c>
      <c r="C6273" t="s">
        <v>142</v>
      </c>
      <c r="D6273" s="13" t="s">
        <v>634</v>
      </c>
      <c r="E6273" t="s">
        <v>207</v>
      </c>
      <c r="F6273" s="11">
        <v>1</v>
      </c>
      <c r="G6273" s="11">
        <v>100840.34</v>
      </c>
    </row>
    <row r="6274" spans="2:7" x14ac:dyDescent="0.2">
      <c r="B6274" s="32">
        <v>45984</v>
      </c>
      <c r="C6274" t="s">
        <v>142</v>
      </c>
      <c r="D6274" s="13" t="s">
        <v>634</v>
      </c>
      <c r="E6274" t="s">
        <v>167</v>
      </c>
      <c r="F6274" s="11">
        <v>1</v>
      </c>
      <c r="G6274" s="11">
        <v>100840.33</v>
      </c>
    </row>
    <row r="6275" spans="2:7" x14ac:dyDescent="0.2">
      <c r="B6275" s="32">
        <v>45984</v>
      </c>
      <c r="C6275" t="s">
        <v>142</v>
      </c>
      <c r="D6275" s="13" t="s">
        <v>634</v>
      </c>
      <c r="E6275" t="s">
        <v>1741</v>
      </c>
      <c r="F6275" s="11">
        <v>1</v>
      </c>
      <c r="G6275" s="11">
        <v>54621.85</v>
      </c>
    </row>
    <row r="6276" spans="2:7" x14ac:dyDescent="0.2">
      <c r="B6276" s="32">
        <v>45984</v>
      </c>
      <c r="C6276" t="s">
        <v>109</v>
      </c>
      <c r="D6276" s="13" t="s">
        <v>634</v>
      </c>
      <c r="E6276" t="s">
        <v>2112</v>
      </c>
      <c r="F6276" s="11">
        <v>8</v>
      </c>
      <c r="G6276" s="11">
        <v>1185714.29</v>
      </c>
    </row>
    <row r="6277" spans="2:7" x14ac:dyDescent="0.2">
      <c r="B6277" s="32">
        <v>45984</v>
      </c>
      <c r="C6277" t="s">
        <v>109</v>
      </c>
      <c r="D6277" s="13" t="s">
        <v>634</v>
      </c>
      <c r="E6277" t="s">
        <v>2110</v>
      </c>
      <c r="F6277" s="11">
        <v>2</v>
      </c>
      <c r="G6277" s="11">
        <v>137519.59</v>
      </c>
    </row>
    <row r="6278" spans="2:7" x14ac:dyDescent="0.2">
      <c r="B6278" s="32">
        <v>45984</v>
      </c>
      <c r="C6278" t="s">
        <v>109</v>
      </c>
      <c r="D6278" s="13" t="s">
        <v>634</v>
      </c>
      <c r="E6278" t="s">
        <v>1968</v>
      </c>
      <c r="F6278" s="11">
        <v>3</v>
      </c>
      <c r="G6278" s="11">
        <v>126050.42</v>
      </c>
    </row>
    <row r="6279" spans="2:7" x14ac:dyDescent="0.2">
      <c r="B6279" s="32">
        <v>45984</v>
      </c>
      <c r="C6279" t="s">
        <v>109</v>
      </c>
      <c r="D6279" s="13" t="s">
        <v>634</v>
      </c>
      <c r="E6279" t="s">
        <v>153</v>
      </c>
      <c r="F6279" s="11">
        <v>2</v>
      </c>
      <c r="G6279" s="11">
        <v>84033.62</v>
      </c>
    </row>
    <row r="6280" spans="2:7" x14ac:dyDescent="0.2">
      <c r="B6280" s="32">
        <v>45984</v>
      </c>
      <c r="C6280" t="s">
        <v>109</v>
      </c>
      <c r="D6280" s="13" t="s">
        <v>634</v>
      </c>
      <c r="E6280" t="s">
        <v>1963</v>
      </c>
      <c r="F6280" s="11">
        <v>1</v>
      </c>
      <c r="G6280" s="11">
        <v>42016.81</v>
      </c>
    </row>
    <row r="6281" spans="2:7" x14ac:dyDescent="0.2">
      <c r="B6281" s="32">
        <v>45984</v>
      </c>
      <c r="C6281" t="s">
        <v>109</v>
      </c>
      <c r="D6281" s="13" t="s">
        <v>634</v>
      </c>
      <c r="E6281" t="s">
        <v>2113</v>
      </c>
      <c r="F6281" s="11">
        <v>1</v>
      </c>
      <c r="G6281" s="11">
        <v>37815.120000000003</v>
      </c>
    </row>
    <row r="6282" spans="2:7" x14ac:dyDescent="0.2">
      <c r="B6282" s="32">
        <v>45984</v>
      </c>
      <c r="C6282" t="s">
        <v>109</v>
      </c>
      <c r="D6282" s="13" t="s">
        <v>634</v>
      </c>
      <c r="E6282" t="s">
        <v>180</v>
      </c>
      <c r="F6282" s="11">
        <v>1</v>
      </c>
      <c r="G6282" s="11">
        <v>16806.72</v>
      </c>
    </row>
    <row r="6283" spans="2:7" x14ac:dyDescent="0.2">
      <c r="B6283" s="32">
        <v>45984</v>
      </c>
      <c r="C6283" t="s">
        <v>109</v>
      </c>
      <c r="D6283" s="13" t="s">
        <v>634</v>
      </c>
      <c r="E6283" t="s">
        <v>144</v>
      </c>
      <c r="F6283" s="11">
        <v>1</v>
      </c>
      <c r="G6283" s="11">
        <v>12000.23</v>
      </c>
    </row>
    <row r="6284" spans="2:7" x14ac:dyDescent="0.2">
      <c r="B6284" s="32">
        <v>45984</v>
      </c>
      <c r="C6284" t="s">
        <v>109</v>
      </c>
      <c r="D6284" s="13" t="s">
        <v>633</v>
      </c>
      <c r="E6284" t="s">
        <v>1835</v>
      </c>
      <c r="F6284" s="11">
        <v>1</v>
      </c>
      <c r="G6284" s="11">
        <v>285714.28999999998</v>
      </c>
    </row>
    <row r="6285" spans="2:7" x14ac:dyDescent="0.2">
      <c r="B6285" s="32">
        <v>45984</v>
      </c>
      <c r="C6285" t="s">
        <v>109</v>
      </c>
      <c r="D6285" s="13" t="s">
        <v>633</v>
      </c>
      <c r="E6285" t="s">
        <v>159</v>
      </c>
      <c r="F6285" s="11">
        <v>1</v>
      </c>
      <c r="G6285" s="11">
        <v>243697.48</v>
      </c>
    </row>
    <row r="6286" spans="2:7" x14ac:dyDescent="0.2">
      <c r="B6286" s="32">
        <v>45984</v>
      </c>
      <c r="C6286" t="s">
        <v>109</v>
      </c>
      <c r="D6286" s="13" t="s">
        <v>633</v>
      </c>
      <c r="E6286" t="s">
        <v>2011</v>
      </c>
      <c r="F6286" s="11">
        <v>2</v>
      </c>
      <c r="G6286" s="11">
        <v>109243.7</v>
      </c>
    </row>
    <row r="6287" spans="2:7" x14ac:dyDescent="0.2">
      <c r="B6287" s="32">
        <v>45984</v>
      </c>
      <c r="C6287" t="s">
        <v>109</v>
      </c>
      <c r="D6287" s="13" t="s">
        <v>633</v>
      </c>
      <c r="E6287" t="s">
        <v>2114</v>
      </c>
      <c r="F6287" s="11">
        <v>1</v>
      </c>
      <c r="G6287" s="11">
        <v>92436.97</v>
      </c>
    </row>
    <row r="6288" spans="2:7" x14ac:dyDescent="0.2">
      <c r="B6288" s="32">
        <v>45984</v>
      </c>
      <c r="C6288" t="s">
        <v>109</v>
      </c>
      <c r="D6288" s="13" t="s">
        <v>633</v>
      </c>
      <c r="E6288" t="s">
        <v>2042</v>
      </c>
      <c r="F6288" s="11">
        <v>1</v>
      </c>
      <c r="G6288" s="11">
        <v>84033.61</v>
      </c>
    </row>
    <row r="6289" spans="2:7" x14ac:dyDescent="0.2">
      <c r="B6289" s="32">
        <v>45984</v>
      </c>
      <c r="C6289" t="s">
        <v>109</v>
      </c>
      <c r="D6289" s="13" t="s">
        <v>633</v>
      </c>
      <c r="E6289" t="s">
        <v>2115</v>
      </c>
      <c r="F6289" s="11">
        <v>1</v>
      </c>
      <c r="G6289" s="11">
        <v>79831.929999999993</v>
      </c>
    </row>
    <row r="6290" spans="2:7" x14ac:dyDescent="0.2">
      <c r="B6290" s="32">
        <v>45984</v>
      </c>
      <c r="C6290" t="s">
        <v>109</v>
      </c>
      <c r="D6290" s="13" t="s">
        <v>633</v>
      </c>
      <c r="E6290" t="s">
        <v>173</v>
      </c>
      <c r="F6290" s="11">
        <v>2</v>
      </c>
      <c r="G6290" s="11">
        <v>75630.259999999995</v>
      </c>
    </row>
    <row r="6291" spans="2:7" x14ac:dyDescent="0.2">
      <c r="B6291" s="32">
        <v>45984</v>
      </c>
      <c r="C6291" t="s">
        <v>109</v>
      </c>
      <c r="D6291" s="13" t="s">
        <v>633</v>
      </c>
      <c r="E6291" t="s">
        <v>2102</v>
      </c>
      <c r="F6291" s="11">
        <v>2</v>
      </c>
      <c r="G6291" s="11">
        <v>75630.259999999995</v>
      </c>
    </row>
    <row r="6292" spans="2:7" x14ac:dyDescent="0.2">
      <c r="B6292" s="32">
        <v>45984</v>
      </c>
      <c r="C6292" t="s">
        <v>109</v>
      </c>
      <c r="D6292" s="13" t="s">
        <v>633</v>
      </c>
      <c r="E6292" t="s">
        <v>698</v>
      </c>
      <c r="F6292" s="11">
        <v>1</v>
      </c>
      <c r="G6292" s="11">
        <v>75630.25</v>
      </c>
    </row>
    <row r="6293" spans="2:7" x14ac:dyDescent="0.2">
      <c r="B6293" s="32">
        <v>45984</v>
      </c>
      <c r="C6293" t="s">
        <v>109</v>
      </c>
      <c r="D6293" s="13" t="s">
        <v>633</v>
      </c>
      <c r="E6293" t="s">
        <v>2107</v>
      </c>
      <c r="F6293" s="11">
        <v>2</v>
      </c>
      <c r="G6293" s="11">
        <v>75630.25</v>
      </c>
    </row>
    <row r="6294" spans="2:7" x14ac:dyDescent="0.2">
      <c r="B6294" s="32">
        <v>45984</v>
      </c>
      <c r="C6294" t="s">
        <v>109</v>
      </c>
      <c r="D6294" s="13" t="s">
        <v>633</v>
      </c>
      <c r="E6294" t="s">
        <v>144</v>
      </c>
      <c r="F6294" s="11">
        <v>2</v>
      </c>
      <c r="G6294" s="11">
        <v>60504.2</v>
      </c>
    </row>
    <row r="6295" spans="2:7" x14ac:dyDescent="0.2">
      <c r="B6295" s="32">
        <v>45984</v>
      </c>
      <c r="C6295" t="s">
        <v>109</v>
      </c>
      <c r="D6295" s="13" t="s">
        <v>633</v>
      </c>
      <c r="E6295" t="s">
        <v>469</v>
      </c>
      <c r="F6295" s="11">
        <v>1</v>
      </c>
      <c r="G6295" s="11">
        <v>58823.519999999997</v>
      </c>
    </row>
    <row r="6296" spans="2:7" x14ac:dyDescent="0.2">
      <c r="B6296" s="32">
        <v>45984</v>
      </c>
      <c r="C6296" t="s">
        <v>109</v>
      </c>
      <c r="D6296" s="13" t="s">
        <v>633</v>
      </c>
      <c r="E6296" t="s">
        <v>495</v>
      </c>
      <c r="F6296" s="11">
        <v>1</v>
      </c>
      <c r="G6296" s="11">
        <v>54621.85</v>
      </c>
    </row>
    <row r="6297" spans="2:7" x14ac:dyDescent="0.2">
      <c r="B6297" s="32">
        <v>45984</v>
      </c>
      <c r="C6297" t="s">
        <v>109</v>
      </c>
      <c r="D6297" s="13" t="s">
        <v>633</v>
      </c>
      <c r="E6297" t="s">
        <v>150</v>
      </c>
      <c r="F6297" s="11">
        <v>1</v>
      </c>
      <c r="G6297" s="11">
        <v>42016.81</v>
      </c>
    </row>
    <row r="6298" spans="2:7" x14ac:dyDescent="0.2">
      <c r="B6298" s="32">
        <v>45984</v>
      </c>
      <c r="C6298" t="s">
        <v>109</v>
      </c>
      <c r="D6298" s="13" t="s">
        <v>633</v>
      </c>
      <c r="E6298" t="s">
        <v>229</v>
      </c>
      <c r="F6298" s="11">
        <v>1</v>
      </c>
      <c r="G6298" s="11">
        <v>42016.81</v>
      </c>
    </row>
    <row r="6299" spans="2:7" x14ac:dyDescent="0.2">
      <c r="B6299" s="32">
        <v>45984</v>
      </c>
      <c r="C6299" t="s">
        <v>109</v>
      </c>
      <c r="D6299" s="13" t="s">
        <v>633</v>
      </c>
      <c r="E6299" t="s">
        <v>1818</v>
      </c>
      <c r="F6299" s="11">
        <v>1</v>
      </c>
      <c r="G6299" s="11">
        <v>37815.129999999997</v>
      </c>
    </row>
    <row r="6300" spans="2:7" x14ac:dyDescent="0.2">
      <c r="B6300" s="32">
        <v>45984</v>
      </c>
      <c r="C6300" t="s">
        <v>109</v>
      </c>
      <c r="D6300" s="13" t="s">
        <v>633</v>
      </c>
      <c r="E6300" t="s">
        <v>330</v>
      </c>
      <c r="F6300" s="11">
        <v>1</v>
      </c>
      <c r="G6300" s="11">
        <v>37815.129999999997</v>
      </c>
    </row>
    <row r="6301" spans="2:7" x14ac:dyDescent="0.2">
      <c r="B6301" s="32">
        <v>45985</v>
      </c>
      <c r="C6301" t="s">
        <v>142</v>
      </c>
      <c r="D6301" s="13" t="s">
        <v>634</v>
      </c>
      <c r="E6301" t="s">
        <v>1914</v>
      </c>
      <c r="F6301" s="11">
        <v>11</v>
      </c>
      <c r="G6301" s="11">
        <v>1217857.1399999999</v>
      </c>
    </row>
    <row r="6302" spans="2:7" x14ac:dyDescent="0.2">
      <c r="B6302" s="32">
        <v>45985</v>
      </c>
      <c r="C6302" t="s">
        <v>142</v>
      </c>
      <c r="D6302" s="13" t="s">
        <v>634</v>
      </c>
      <c r="E6302" t="s">
        <v>2116</v>
      </c>
      <c r="F6302" s="11">
        <v>6</v>
      </c>
      <c r="G6302" s="11">
        <v>352941.18</v>
      </c>
    </row>
    <row r="6303" spans="2:7" x14ac:dyDescent="0.2">
      <c r="B6303" s="32">
        <v>45985</v>
      </c>
      <c r="C6303" t="s">
        <v>142</v>
      </c>
      <c r="D6303" s="13" t="s">
        <v>633</v>
      </c>
      <c r="E6303" t="s">
        <v>152</v>
      </c>
      <c r="F6303" s="11">
        <v>10</v>
      </c>
      <c r="G6303" s="11">
        <v>756302.52</v>
      </c>
    </row>
    <row r="6304" spans="2:7" x14ac:dyDescent="0.2">
      <c r="B6304" s="32">
        <v>45985</v>
      </c>
      <c r="C6304" t="s">
        <v>142</v>
      </c>
      <c r="D6304" s="13" t="s">
        <v>633</v>
      </c>
      <c r="E6304" t="s">
        <v>2117</v>
      </c>
      <c r="F6304" s="11">
        <v>1</v>
      </c>
      <c r="G6304" s="11">
        <v>155462.18</v>
      </c>
    </row>
    <row r="6305" spans="2:7" x14ac:dyDescent="0.2">
      <c r="B6305" s="32">
        <v>45985</v>
      </c>
      <c r="C6305" t="s">
        <v>142</v>
      </c>
      <c r="D6305" s="13" t="s">
        <v>633</v>
      </c>
      <c r="E6305" t="s">
        <v>2001</v>
      </c>
      <c r="F6305" s="11">
        <v>1</v>
      </c>
      <c r="G6305" s="11">
        <v>58823.53</v>
      </c>
    </row>
    <row r="6306" spans="2:7" x14ac:dyDescent="0.2">
      <c r="B6306" s="32">
        <v>45985</v>
      </c>
      <c r="C6306" t="s">
        <v>142</v>
      </c>
      <c r="D6306" s="13" t="s">
        <v>633</v>
      </c>
      <c r="E6306" t="s">
        <v>311</v>
      </c>
      <c r="F6306" s="11">
        <v>1</v>
      </c>
      <c r="G6306" s="11">
        <v>54621.85</v>
      </c>
    </row>
    <row r="6307" spans="2:7" x14ac:dyDescent="0.2">
      <c r="B6307" s="32">
        <v>45985</v>
      </c>
      <c r="C6307" t="s">
        <v>142</v>
      </c>
      <c r="D6307" s="13" t="s">
        <v>633</v>
      </c>
      <c r="E6307" t="s">
        <v>196</v>
      </c>
      <c r="F6307" s="11">
        <v>1</v>
      </c>
      <c r="G6307" s="11">
        <v>42016.81</v>
      </c>
    </row>
    <row r="6308" spans="2:7" x14ac:dyDescent="0.2">
      <c r="B6308" s="32">
        <v>45985</v>
      </c>
      <c r="C6308" t="s">
        <v>1739</v>
      </c>
      <c r="D6308" s="13" t="s">
        <v>634</v>
      </c>
      <c r="E6308" t="s">
        <v>805</v>
      </c>
      <c r="F6308" s="11">
        <v>1</v>
      </c>
      <c r="G6308" s="11">
        <v>123739.5</v>
      </c>
    </row>
    <row r="6309" spans="2:7" x14ac:dyDescent="0.2">
      <c r="B6309" s="32">
        <v>45985</v>
      </c>
      <c r="C6309" t="s">
        <v>1739</v>
      </c>
      <c r="D6309" s="13" t="s">
        <v>634</v>
      </c>
      <c r="E6309" t="s">
        <v>268</v>
      </c>
      <c r="F6309" s="11">
        <v>1</v>
      </c>
      <c r="G6309" s="11">
        <v>123739.49</v>
      </c>
    </row>
    <row r="6310" spans="2:7" x14ac:dyDescent="0.2">
      <c r="B6310" s="32">
        <v>45985</v>
      </c>
      <c r="C6310" t="s">
        <v>1739</v>
      </c>
      <c r="D6310" s="13" t="s">
        <v>634</v>
      </c>
      <c r="E6310" t="s">
        <v>1914</v>
      </c>
      <c r="F6310" s="11">
        <v>1</v>
      </c>
      <c r="G6310" s="11">
        <v>123739.49</v>
      </c>
    </row>
    <row r="6311" spans="2:7" x14ac:dyDescent="0.2">
      <c r="B6311" s="32">
        <v>45985</v>
      </c>
      <c r="C6311" t="s">
        <v>109</v>
      </c>
      <c r="D6311" s="13" t="s">
        <v>634</v>
      </c>
      <c r="E6311" t="s">
        <v>532</v>
      </c>
      <c r="F6311" s="11">
        <v>6</v>
      </c>
      <c r="G6311" s="11">
        <v>1071428.57</v>
      </c>
    </row>
    <row r="6312" spans="2:7" x14ac:dyDescent="0.2">
      <c r="B6312" s="32">
        <v>45985</v>
      </c>
      <c r="C6312" t="s">
        <v>109</v>
      </c>
      <c r="D6312" s="13" t="s">
        <v>634</v>
      </c>
      <c r="E6312" t="s">
        <v>376</v>
      </c>
      <c r="F6312" s="11">
        <v>6</v>
      </c>
      <c r="G6312" s="11">
        <v>557142.86</v>
      </c>
    </row>
    <row r="6313" spans="2:7" x14ac:dyDescent="0.2">
      <c r="B6313" s="32">
        <v>45985</v>
      </c>
      <c r="C6313" t="s">
        <v>109</v>
      </c>
      <c r="D6313" s="13" t="s">
        <v>634</v>
      </c>
      <c r="E6313" t="s">
        <v>205</v>
      </c>
      <c r="F6313" s="11">
        <v>7</v>
      </c>
      <c r="G6313" s="11">
        <v>414285.71</v>
      </c>
    </row>
    <row r="6314" spans="2:7" x14ac:dyDescent="0.2">
      <c r="B6314" s="32">
        <v>45985</v>
      </c>
      <c r="C6314" t="s">
        <v>109</v>
      </c>
      <c r="D6314" s="13" t="s">
        <v>634</v>
      </c>
      <c r="E6314" t="s">
        <v>423</v>
      </c>
      <c r="F6314" s="11">
        <v>3</v>
      </c>
      <c r="G6314" s="11">
        <v>278571.43</v>
      </c>
    </row>
    <row r="6315" spans="2:7" x14ac:dyDescent="0.2">
      <c r="B6315" s="32">
        <v>45985</v>
      </c>
      <c r="C6315" t="s">
        <v>109</v>
      </c>
      <c r="D6315" s="13" t="s">
        <v>634</v>
      </c>
      <c r="E6315" t="s">
        <v>365</v>
      </c>
      <c r="F6315" s="11">
        <v>1</v>
      </c>
      <c r="G6315" s="11">
        <v>218487.39</v>
      </c>
    </row>
    <row r="6316" spans="2:7" x14ac:dyDescent="0.2">
      <c r="B6316" s="32">
        <v>45985</v>
      </c>
      <c r="C6316" t="s">
        <v>109</v>
      </c>
      <c r="D6316" s="13" t="s">
        <v>634</v>
      </c>
      <c r="E6316" t="s">
        <v>301</v>
      </c>
      <c r="F6316" s="11">
        <v>1</v>
      </c>
      <c r="G6316" s="11">
        <v>169000</v>
      </c>
    </row>
    <row r="6317" spans="2:7" x14ac:dyDescent="0.2">
      <c r="B6317" s="32">
        <v>45985</v>
      </c>
      <c r="C6317" t="s">
        <v>109</v>
      </c>
      <c r="D6317" s="13" t="s">
        <v>634</v>
      </c>
      <c r="E6317" t="s">
        <v>674</v>
      </c>
      <c r="F6317" s="11">
        <v>1</v>
      </c>
      <c r="G6317" s="11">
        <v>159663.87</v>
      </c>
    </row>
    <row r="6318" spans="2:7" x14ac:dyDescent="0.2">
      <c r="B6318" s="32">
        <v>45985</v>
      </c>
      <c r="C6318" t="s">
        <v>109</v>
      </c>
      <c r="D6318" s="13" t="s">
        <v>634</v>
      </c>
      <c r="E6318" t="s">
        <v>281</v>
      </c>
      <c r="F6318" s="11">
        <v>2</v>
      </c>
      <c r="G6318" s="11">
        <v>142857.14000000001</v>
      </c>
    </row>
    <row r="6319" spans="2:7" x14ac:dyDescent="0.2">
      <c r="B6319" s="32">
        <v>45985</v>
      </c>
      <c r="C6319" t="s">
        <v>109</v>
      </c>
      <c r="D6319" s="13" t="s">
        <v>634</v>
      </c>
      <c r="E6319" t="s">
        <v>2118</v>
      </c>
      <c r="F6319" s="11">
        <v>1</v>
      </c>
      <c r="G6319" s="11">
        <v>138655.46</v>
      </c>
    </row>
    <row r="6320" spans="2:7" x14ac:dyDescent="0.2">
      <c r="B6320" s="32">
        <v>45985</v>
      </c>
      <c r="C6320" t="s">
        <v>109</v>
      </c>
      <c r="D6320" s="13" t="s">
        <v>634</v>
      </c>
      <c r="E6320" t="s">
        <v>2102</v>
      </c>
      <c r="F6320" s="11">
        <v>3</v>
      </c>
      <c r="G6320" s="11">
        <v>113445.39</v>
      </c>
    </row>
    <row r="6321" spans="2:7" x14ac:dyDescent="0.2">
      <c r="B6321" s="32">
        <v>45985</v>
      </c>
      <c r="C6321" t="s">
        <v>109</v>
      </c>
      <c r="D6321" s="13" t="s">
        <v>634</v>
      </c>
      <c r="E6321" t="s">
        <v>2113</v>
      </c>
      <c r="F6321" s="11">
        <v>3</v>
      </c>
      <c r="G6321" s="11">
        <v>113445.39</v>
      </c>
    </row>
    <row r="6322" spans="2:7" x14ac:dyDescent="0.2">
      <c r="B6322" s="32">
        <v>45985</v>
      </c>
      <c r="C6322" t="s">
        <v>109</v>
      </c>
      <c r="D6322" s="13" t="s">
        <v>634</v>
      </c>
      <c r="E6322" t="s">
        <v>173</v>
      </c>
      <c r="F6322" s="11">
        <v>3</v>
      </c>
      <c r="G6322" s="11">
        <v>113445.38</v>
      </c>
    </row>
    <row r="6323" spans="2:7" x14ac:dyDescent="0.2">
      <c r="B6323" s="32">
        <v>45985</v>
      </c>
      <c r="C6323" t="s">
        <v>109</v>
      </c>
      <c r="D6323" s="13" t="s">
        <v>634</v>
      </c>
      <c r="E6323" t="s">
        <v>669</v>
      </c>
      <c r="F6323" s="11">
        <v>1</v>
      </c>
      <c r="G6323" s="11">
        <v>102000</v>
      </c>
    </row>
    <row r="6324" spans="2:7" x14ac:dyDescent="0.2">
      <c r="B6324" s="32">
        <v>45985</v>
      </c>
      <c r="C6324" t="s">
        <v>109</v>
      </c>
      <c r="D6324" s="13" t="s">
        <v>634</v>
      </c>
      <c r="E6324" t="s">
        <v>287</v>
      </c>
      <c r="F6324" s="11">
        <v>1</v>
      </c>
      <c r="G6324" s="11">
        <v>84033.61</v>
      </c>
    </row>
    <row r="6325" spans="2:7" x14ac:dyDescent="0.2">
      <c r="B6325" s="32">
        <v>45985</v>
      </c>
      <c r="C6325" t="s">
        <v>109</v>
      </c>
      <c r="D6325" s="13" t="s">
        <v>634</v>
      </c>
      <c r="E6325" t="s">
        <v>164</v>
      </c>
      <c r="F6325" s="11">
        <v>1</v>
      </c>
      <c r="G6325" s="11">
        <v>71428.570000000007</v>
      </c>
    </row>
    <row r="6326" spans="2:7" x14ac:dyDescent="0.2">
      <c r="B6326" s="32">
        <v>45985</v>
      </c>
      <c r="C6326" t="s">
        <v>109</v>
      </c>
      <c r="D6326" s="13" t="s">
        <v>634</v>
      </c>
      <c r="E6326" t="s">
        <v>357</v>
      </c>
      <c r="F6326" s="11">
        <v>1</v>
      </c>
      <c r="G6326" s="11">
        <v>71428.570000000007</v>
      </c>
    </row>
    <row r="6327" spans="2:7" x14ac:dyDescent="0.2">
      <c r="B6327" s="32">
        <v>45985</v>
      </c>
      <c r="C6327" t="s">
        <v>109</v>
      </c>
      <c r="D6327" s="13" t="s">
        <v>634</v>
      </c>
      <c r="E6327" t="s">
        <v>352</v>
      </c>
      <c r="F6327" s="11">
        <v>1</v>
      </c>
      <c r="G6327" s="11">
        <v>71428.570000000007</v>
      </c>
    </row>
    <row r="6328" spans="2:7" x14ac:dyDescent="0.2">
      <c r="B6328" s="32">
        <v>45985</v>
      </c>
      <c r="C6328" t="s">
        <v>109</v>
      </c>
      <c r="D6328" s="13" t="s">
        <v>634</v>
      </c>
      <c r="E6328" t="s">
        <v>404</v>
      </c>
      <c r="F6328" s="11">
        <v>1</v>
      </c>
      <c r="G6328" s="11">
        <v>65000</v>
      </c>
    </row>
    <row r="6329" spans="2:7" x14ac:dyDescent="0.2">
      <c r="B6329" s="32">
        <v>45985</v>
      </c>
      <c r="C6329" t="s">
        <v>109</v>
      </c>
      <c r="D6329" s="13" t="s">
        <v>634</v>
      </c>
      <c r="E6329" t="s">
        <v>2001</v>
      </c>
      <c r="F6329" s="11">
        <v>1</v>
      </c>
      <c r="G6329" s="11">
        <v>58823.53</v>
      </c>
    </row>
    <row r="6330" spans="2:7" x14ac:dyDescent="0.2">
      <c r="B6330" s="32">
        <v>45985</v>
      </c>
      <c r="C6330" t="s">
        <v>109</v>
      </c>
      <c r="D6330" s="13" t="s">
        <v>634</v>
      </c>
      <c r="E6330" t="s">
        <v>145</v>
      </c>
      <c r="F6330" s="11">
        <v>2</v>
      </c>
      <c r="G6330" s="11">
        <v>58823.519999999997</v>
      </c>
    </row>
    <row r="6331" spans="2:7" x14ac:dyDescent="0.2">
      <c r="B6331" s="32">
        <v>45985</v>
      </c>
      <c r="C6331" t="s">
        <v>109</v>
      </c>
      <c r="D6331" s="13" t="s">
        <v>634</v>
      </c>
      <c r="E6331" t="s">
        <v>197</v>
      </c>
      <c r="F6331" s="11">
        <v>1</v>
      </c>
      <c r="G6331" s="11">
        <v>54621.85</v>
      </c>
    </row>
    <row r="6332" spans="2:7" x14ac:dyDescent="0.2">
      <c r="B6332" s="32">
        <v>45985</v>
      </c>
      <c r="C6332" t="s">
        <v>109</v>
      </c>
      <c r="D6332" s="13" t="s">
        <v>634</v>
      </c>
      <c r="E6332" t="s">
        <v>258</v>
      </c>
      <c r="F6332" s="11">
        <v>1</v>
      </c>
      <c r="G6332" s="11">
        <v>54621.85</v>
      </c>
    </row>
    <row r="6333" spans="2:7" x14ac:dyDescent="0.2">
      <c r="B6333" s="32">
        <v>45985</v>
      </c>
      <c r="C6333" t="s">
        <v>109</v>
      </c>
      <c r="D6333" s="13" t="s">
        <v>634</v>
      </c>
      <c r="E6333" t="s">
        <v>212</v>
      </c>
      <c r="F6333" s="11">
        <v>1</v>
      </c>
      <c r="G6333" s="11">
        <v>54621.84</v>
      </c>
    </row>
    <row r="6334" spans="2:7" x14ac:dyDescent="0.2">
      <c r="B6334" s="32">
        <v>45985</v>
      </c>
      <c r="C6334" t="s">
        <v>109</v>
      </c>
      <c r="D6334" s="13" t="s">
        <v>634</v>
      </c>
      <c r="E6334" t="s">
        <v>764</v>
      </c>
      <c r="F6334" s="11">
        <v>1</v>
      </c>
      <c r="G6334" s="11">
        <v>50420.17</v>
      </c>
    </row>
    <row r="6335" spans="2:7" x14ac:dyDescent="0.2">
      <c r="B6335" s="32">
        <v>45985</v>
      </c>
      <c r="C6335" t="s">
        <v>109</v>
      </c>
      <c r="D6335" s="13" t="s">
        <v>634</v>
      </c>
      <c r="E6335" t="s">
        <v>2075</v>
      </c>
      <c r="F6335" s="11">
        <v>1</v>
      </c>
      <c r="G6335" s="11">
        <v>46218.49</v>
      </c>
    </row>
    <row r="6336" spans="2:7" x14ac:dyDescent="0.2">
      <c r="B6336" s="32">
        <v>45985</v>
      </c>
      <c r="C6336" t="s">
        <v>109</v>
      </c>
      <c r="D6336" s="13" t="s">
        <v>634</v>
      </c>
      <c r="E6336" t="s">
        <v>2093</v>
      </c>
      <c r="F6336" s="11">
        <v>1</v>
      </c>
      <c r="G6336" s="11">
        <v>46218.49</v>
      </c>
    </row>
    <row r="6337" spans="2:7" x14ac:dyDescent="0.2">
      <c r="B6337" s="32">
        <v>45985</v>
      </c>
      <c r="C6337" t="s">
        <v>109</v>
      </c>
      <c r="D6337" s="13" t="s">
        <v>634</v>
      </c>
      <c r="E6337" t="s">
        <v>337</v>
      </c>
      <c r="F6337" s="11">
        <v>1</v>
      </c>
      <c r="G6337" s="11">
        <v>46218.49</v>
      </c>
    </row>
    <row r="6338" spans="2:7" x14ac:dyDescent="0.2">
      <c r="B6338" s="32">
        <v>45985</v>
      </c>
      <c r="C6338" t="s">
        <v>109</v>
      </c>
      <c r="D6338" s="13" t="s">
        <v>634</v>
      </c>
      <c r="E6338" t="s">
        <v>2119</v>
      </c>
      <c r="F6338" s="11">
        <v>1</v>
      </c>
      <c r="G6338" s="11">
        <v>46218.49</v>
      </c>
    </row>
    <row r="6339" spans="2:7" x14ac:dyDescent="0.2">
      <c r="B6339" s="32">
        <v>45985</v>
      </c>
      <c r="C6339" t="s">
        <v>109</v>
      </c>
      <c r="D6339" s="13" t="s">
        <v>634</v>
      </c>
      <c r="E6339" t="s">
        <v>309</v>
      </c>
      <c r="F6339" s="11">
        <v>1</v>
      </c>
      <c r="G6339" s="11">
        <v>42016.82</v>
      </c>
    </row>
    <row r="6340" spans="2:7" x14ac:dyDescent="0.2">
      <c r="B6340" s="32">
        <v>45985</v>
      </c>
      <c r="C6340" t="s">
        <v>109</v>
      </c>
      <c r="D6340" s="13" t="s">
        <v>634</v>
      </c>
      <c r="E6340" t="s">
        <v>206</v>
      </c>
      <c r="F6340" s="11">
        <v>1</v>
      </c>
      <c r="G6340" s="11">
        <v>37815.129999999997</v>
      </c>
    </row>
    <row r="6341" spans="2:7" x14ac:dyDescent="0.2">
      <c r="B6341" s="32">
        <v>45985</v>
      </c>
      <c r="C6341" t="s">
        <v>109</v>
      </c>
      <c r="D6341" s="13" t="s">
        <v>634</v>
      </c>
      <c r="E6341" t="s">
        <v>2061</v>
      </c>
      <c r="F6341" s="11">
        <v>1</v>
      </c>
      <c r="G6341" s="11">
        <v>16806.72</v>
      </c>
    </row>
    <row r="6342" spans="2:7" x14ac:dyDescent="0.2">
      <c r="B6342" s="32">
        <v>45985</v>
      </c>
      <c r="C6342" t="s">
        <v>109</v>
      </c>
      <c r="D6342" s="13" t="s">
        <v>634</v>
      </c>
      <c r="E6342" t="s">
        <v>144</v>
      </c>
      <c r="F6342" s="11">
        <v>1</v>
      </c>
      <c r="G6342" s="11">
        <v>13865.55</v>
      </c>
    </row>
    <row r="6343" spans="2:7" x14ac:dyDescent="0.2">
      <c r="B6343" s="32">
        <v>45985</v>
      </c>
      <c r="C6343" t="s">
        <v>109</v>
      </c>
      <c r="D6343" s="13" t="s">
        <v>633</v>
      </c>
      <c r="E6343" t="s">
        <v>533</v>
      </c>
      <c r="F6343" s="11">
        <v>21</v>
      </c>
      <c r="G6343" s="11">
        <v>1050000</v>
      </c>
    </row>
    <row r="6344" spans="2:7" x14ac:dyDescent="0.2">
      <c r="B6344" s="32">
        <v>45985</v>
      </c>
      <c r="C6344" t="s">
        <v>109</v>
      </c>
      <c r="D6344" s="13" t="s">
        <v>633</v>
      </c>
      <c r="E6344" t="s">
        <v>521</v>
      </c>
      <c r="F6344" s="11">
        <v>1</v>
      </c>
      <c r="G6344" s="11">
        <v>79831.929999999993</v>
      </c>
    </row>
    <row r="6345" spans="2:7" x14ac:dyDescent="0.2">
      <c r="B6345" s="32">
        <v>45985</v>
      </c>
      <c r="C6345" t="s">
        <v>109</v>
      </c>
      <c r="D6345" s="13" t="s">
        <v>633</v>
      </c>
      <c r="E6345" t="s">
        <v>330</v>
      </c>
      <c r="F6345" s="11">
        <v>2</v>
      </c>
      <c r="G6345" s="11">
        <v>75630.259999999995</v>
      </c>
    </row>
    <row r="6346" spans="2:7" x14ac:dyDescent="0.2">
      <c r="B6346" s="32">
        <v>45985</v>
      </c>
      <c r="C6346" t="s">
        <v>109</v>
      </c>
      <c r="D6346" s="13" t="s">
        <v>633</v>
      </c>
      <c r="E6346" t="s">
        <v>264</v>
      </c>
      <c r="F6346" s="11">
        <v>1</v>
      </c>
      <c r="G6346" s="11">
        <v>75630.25</v>
      </c>
    </row>
    <row r="6347" spans="2:7" x14ac:dyDescent="0.2">
      <c r="B6347" s="32">
        <v>45985</v>
      </c>
      <c r="C6347" t="s">
        <v>109</v>
      </c>
      <c r="D6347" s="13" t="s">
        <v>633</v>
      </c>
      <c r="E6347" t="s">
        <v>2120</v>
      </c>
      <c r="F6347" s="11">
        <v>1</v>
      </c>
      <c r="G6347" s="11">
        <v>46218.49</v>
      </c>
    </row>
    <row r="6348" spans="2:7" x14ac:dyDescent="0.2">
      <c r="B6348" s="32">
        <v>45985</v>
      </c>
      <c r="C6348" t="s">
        <v>109</v>
      </c>
      <c r="D6348" s="13" t="s">
        <v>633</v>
      </c>
      <c r="E6348" t="s">
        <v>560</v>
      </c>
      <c r="F6348" s="11">
        <v>1</v>
      </c>
      <c r="G6348" s="11">
        <v>46218.49</v>
      </c>
    </row>
    <row r="6349" spans="2:7" x14ac:dyDescent="0.2">
      <c r="B6349" s="32">
        <v>45985</v>
      </c>
      <c r="C6349" t="s">
        <v>109</v>
      </c>
      <c r="D6349" s="13" t="s">
        <v>633</v>
      </c>
      <c r="E6349" t="s">
        <v>2030</v>
      </c>
      <c r="F6349" s="11">
        <v>1</v>
      </c>
      <c r="G6349" s="11">
        <v>16806.72</v>
      </c>
    </row>
    <row r="6350" spans="2:7" x14ac:dyDescent="0.2">
      <c r="B6350" s="32">
        <v>45985</v>
      </c>
      <c r="C6350" t="s">
        <v>109</v>
      </c>
      <c r="D6350" s="13" t="s">
        <v>633</v>
      </c>
      <c r="E6350" t="s">
        <v>494</v>
      </c>
      <c r="F6350" s="11">
        <v>1</v>
      </c>
      <c r="G6350" s="11">
        <v>0</v>
      </c>
    </row>
    <row r="6351" spans="2:7" x14ac:dyDescent="0.2">
      <c r="B6351" s="32">
        <v>45985</v>
      </c>
      <c r="C6351" t="s">
        <v>109</v>
      </c>
      <c r="D6351" s="13" t="s">
        <v>633</v>
      </c>
      <c r="E6351" t="s">
        <v>1868</v>
      </c>
      <c r="F6351" s="11">
        <v>2</v>
      </c>
      <c r="G6351" s="11">
        <v>0</v>
      </c>
    </row>
    <row r="6352" spans="2:7" x14ac:dyDescent="0.2">
      <c r="B6352" s="32">
        <v>45985</v>
      </c>
      <c r="C6352" t="s">
        <v>109</v>
      </c>
      <c r="D6352" s="13" t="s">
        <v>633</v>
      </c>
      <c r="E6352" t="s">
        <v>287</v>
      </c>
      <c r="F6352" s="11">
        <v>1</v>
      </c>
      <c r="G6352" s="11">
        <v>0</v>
      </c>
    </row>
    <row r="6353" spans="2:7" x14ac:dyDescent="0.2">
      <c r="B6353" s="32">
        <v>45986</v>
      </c>
      <c r="C6353" t="s">
        <v>142</v>
      </c>
      <c r="D6353" s="13" t="s">
        <v>634</v>
      </c>
      <c r="E6353" t="s">
        <v>328</v>
      </c>
      <c r="F6353" s="11">
        <v>2</v>
      </c>
      <c r="G6353" s="11">
        <v>75630.25</v>
      </c>
    </row>
    <row r="6354" spans="2:7" x14ac:dyDescent="0.2">
      <c r="B6354" s="32">
        <v>45986</v>
      </c>
      <c r="C6354" t="s">
        <v>142</v>
      </c>
      <c r="D6354" s="13" t="s">
        <v>634</v>
      </c>
      <c r="E6354" t="s">
        <v>429</v>
      </c>
      <c r="F6354" s="11">
        <v>1</v>
      </c>
      <c r="G6354" s="11">
        <v>54621.85</v>
      </c>
    </row>
    <row r="6355" spans="2:7" x14ac:dyDescent="0.2">
      <c r="B6355" s="32">
        <v>45986</v>
      </c>
      <c r="C6355" t="s">
        <v>142</v>
      </c>
      <c r="D6355" s="13" t="s">
        <v>633</v>
      </c>
      <c r="E6355" t="s">
        <v>2121</v>
      </c>
      <c r="F6355" s="11">
        <v>2</v>
      </c>
      <c r="G6355" s="11">
        <v>342857.14</v>
      </c>
    </row>
    <row r="6356" spans="2:7" x14ac:dyDescent="0.2">
      <c r="B6356" s="32">
        <v>45986</v>
      </c>
      <c r="C6356" t="s">
        <v>142</v>
      </c>
      <c r="D6356" s="13" t="s">
        <v>633</v>
      </c>
      <c r="E6356" t="s">
        <v>2122</v>
      </c>
      <c r="F6356" s="11">
        <v>2</v>
      </c>
      <c r="G6356" s="11">
        <v>231428.57</v>
      </c>
    </row>
    <row r="6357" spans="2:7" x14ac:dyDescent="0.2">
      <c r="B6357" s="32">
        <v>45986</v>
      </c>
      <c r="C6357" t="s">
        <v>142</v>
      </c>
      <c r="D6357" s="13" t="s">
        <v>633</v>
      </c>
      <c r="E6357" t="s">
        <v>268</v>
      </c>
      <c r="F6357" s="11">
        <v>1</v>
      </c>
      <c r="G6357" s="11">
        <v>142857.14000000001</v>
      </c>
    </row>
    <row r="6358" spans="2:7" x14ac:dyDescent="0.2">
      <c r="B6358" s="32">
        <v>45986</v>
      </c>
      <c r="C6358" t="s">
        <v>142</v>
      </c>
      <c r="D6358" s="13" t="s">
        <v>633</v>
      </c>
      <c r="E6358" t="s">
        <v>2037</v>
      </c>
      <c r="F6358" s="11">
        <v>1</v>
      </c>
      <c r="G6358" s="11">
        <v>84033.61</v>
      </c>
    </row>
    <row r="6359" spans="2:7" x14ac:dyDescent="0.2">
      <c r="B6359" s="32">
        <v>45986</v>
      </c>
      <c r="C6359" t="s">
        <v>142</v>
      </c>
      <c r="D6359" s="13" t="s">
        <v>633</v>
      </c>
      <c r="E6359" t="s">
        <v>500</v>
      </c>
      <c r="F6359" s="11">
        <v>1</v>
      </c>
      <c r="G6359" s="11">
        <v>50000</v>
      </c>
    </row>
    <row r="6360" spans="2:7" x14ac:dyDescent="0.2">
      <c r="B6360" s="32">
        <v>45986</v>
      </c>
      <c r="C6360" t="s">
        <v>142</v>
      </c>
      <c r="D6360" s="13" t="s">
        <v>633</v>
      </c>
      <c r="E6360" t="s">
        <v>378</v>
      </c>
      <c r="F6360" s="11">
        <v>1</v>
      </c>
      <c r="G6360" s="11">
        <v>0</v>
      </c>
    </row>
    <row r="6361" spans="2:7" x14ac:dyDescent="0.2">
      <c r="B6361" s="32">
        <v>45986</v>
      </c>
      <c r="C6361" t="s">
        <v>109</v>
      </c>
      <c r="D6361" s="13"/>
      <c r="E6361" t="s">
        <v>495</v>
      </c>
      <c r="F6361" s="11">
        <v>1</v>
      </c>
      <c r="G6361" s="11">
        <v>54621.84</v>
      </c>
    </row>
    <row r="6362" spans="2:7" x14ac:dyDescent="0.2">
      <c r="B6362" s="32">
        <v>45986</v>
      </c>
      <c r="C6362" t="s">
        <v>109</v>
      </c>
      <c r="D6362" s="13"/>
      <c r="E6362" t="s">
        <v>206</v>
      </c>
      <c r="F6362" s="11">
        <v>1</v>
      </c>
      <c r="G6362" s="11">
        <v>37815.129999999997</v>
      </c>
    </row>
    <row r="6363" spans="2:7" x14ac:dyDescent="0.2">
      <c r="B6363" s="32">
        <v>45986</v>
      </c>
      <c r="C6363" t="s">
        <v>109</v>
      </c>
      <c r="D6363" s="13" t="s">
        <v>634</v>
      </c>
      <c r="E6363" t="s">
        <v>567</v>
      </c>
      <c r="F6363" s="11">
        <v>10</v>
      </c>
      <c r="G6363" s="11">
        <v>500000</v>
      </c>
    </row>
    <row r="6364" spans="2:7" x14ac:dyDescent="0.2">
      <c r="B6364" s="32">
        <v>45986</v>
      </c>
      <c r="C6364" t="s">
        <v>109</v>
      </c>
      <c r="D6364" s="13" t="s">
        <v>634</v>
      </c>
      <c r="E6364" t="s">
        <v>376</v>
      </c>
      <c r="F6364" s="11">
        <v>7</v>
      </c>
      <c r="G6364" s="11">
        <v>350000</v>
      </c>
    </row>
    <row r="6365" spans="2:7" x14ac:dyDescent="0.2">
      <c r="B6365" s="32">
        <v>45986</v>
      </c>
      <c r="C6365" t="s">
        <v>109</v>
      </c>
      <c r="D6365" s="13" t="s">
        <v>634</v>
      </c>
      <c r="E6365" t="s">
        <v>1892</v>
      </c>
      <c r="F6365" s="11">
        <v>1</v>
      </c>
      <c r="G6365" s="11">
        <v>160714.29</v>
      </c>
    </row>
    <row r="6366" spans="2:7" x14ac:dyDescent="0.2">
      <c r="B6366" s="32">
        <v>45986</v>
      </c>
      <c r="C6366" t="s">
        <v>109</v>
      </c>
      <c r="D6366" s="13" t="s">
        <v>634</v>
      </c>
      <c r="E6366" t="s">
        <v>1905</v>
      </c>
      <c r="F6366" s="11">
        <v>1</v>
      </c>
      <c r="G6366" s="11">
        <v>160714.29</v>
      </c>
    </row>
    <row r="6367" spans="2:7" x14ac:dyDescent="0.2">
      <c r="B6367" s="32">
        <v>45986</v>
      </c>
      <c r="C6367" t="s">
        <v>109</v>
      </c>
      <c r="D6367" s="13" t="s">
        <v>634</v>
      </c>
      <c r="E6367" t="s">
        <v>698</v>
      </c>
      <c r="F6367" s="11">
        <v>2</v>
      </c>
      <c r="G6367" s="11">
        <v>151260.5</v>
      </c>
    </row>
    <row r="6368" spans="2:7" x14ac:dyDescent="0.2">
      <c r="B6368" s="32">
        <v>45986</v>
      </c>
      <c r="C6368" t="s">
        <v>109</v>
      </c>
      <c r="D6368" s="13" t="s">
        <v>634</v>
      </c>
      <c r="E6368" t="s">
        <v>1854</v>
      </c>
      <c r="F6368" s="11">
        <v>1</v>
      </c>
      <c r="G6368" s="11">
        <v>150000</v>
      </c>
    </row>
    <row r="6369" spans="2:7" x14ac:dyDescent="0.2">
      <c r="B6369" s="32">
        <v>45986</v>
      </c>
      <c r="C6369" t="s">
        <v>109</v>
      </c>
      <c r="D6369" s="13" t="s">
        <v>634</v>
      </c>
      <c r="E6369" t="s">
        <v>191</v>
      </c>
      <c r="F6369" s="11">
        <v>1</v>
      </c>
      <c r="G6369" s="11">
        <v>110714.29</v>
      </c>
    </row>
    <row r="6370" spans="2:7" x14ac:dyDescent="0.2">
      <c r="B6370" s="32">
        <v>45986</v>
      </c>
      <c r="C6370" t="s">
        <v>109</v>
      </c>
      <c r="D6370" s="13" t="s">
        <v>634</v>
      </c>
      <c r="E6370" t="s">
        <v>258</v>
      </c>
      <c r="F6370" s="11">
        <v>2</v>
      </c>
      <c r="G6370" s="11">
        <v>101050.42</v>
      </c>
    </row>
    <row r="6371" spans="2:7" x14ac:dyDescent="0.2">
      <c r="B6371" s="32">
        <v>45986</v>
      </c>
      <c r="C6371" t="s">
        <v>109</v>
      </c>
      <c r="D6371" s="13" t="s">
        <v>634</v>
      </c>
      <c r="E6371" t="s">
        <v>228</v>
      </c>
      <c r="F6371" s="11">
        <v>1</v>
      </c>
      <c r="G6371" s="11">
        <v>100840.34</v>
      </c>
    </row>
    <row r="6372" spans="2:7" x14ac:dyDescent="0.2">
      <c r="B6372" s="32">
        <v>45986</v>
      </c>
      <c r="C6372" t="s">
        <v>109</v>
      </c>
      <c r="D6372" s="13" t="s">
        <v>634</v>
      </c>
      <c r="E6372" t="s">
        <v>160</v>
      </c>
      <c r="F6372" s="11">
        <v>2</v>
      </c>
      <c r="G6372" s="11">
        <v>85504.2</v>
      </c>
    </row>
    <row r="6373" spans="2:7" x14ac:dyDescent="0.2">
      <c r="B6373" s="32">
        <v>45986</v>
      </c>
      <c r="C6373" t="s">
        <v>109</v>
      </c>
      <c r="D6373" s="13" t="s">
        <v>634</v>
      </c>
      <c r="E6373" t="s">
        <v>368</v>
      </c>
      <c r="F6373" s="11">
        <v>1</v>
      </c>
      <c r="G6373" s="11">
        <v>75630.25</v>
      </c>
    </row>
    <row r="6374" spans="2:7" x14ac:dyDescent="0.2">
      <c r="B6374" s="32">
        <v>45986</v>
      </c>
      <c r="C6374" t="s">
        <v>109</v>
      </c>
      <c r="D6374" s="13" t="s">
        <v>634</v>
      </c>
      <c r="E6374" t="s">
        <v>395</v>
      </c>
      <c r="F6374" s="11">
        <v>1</v>
      </c>
      <c r="G6374" s="11">
        <v>75630.25</v>
      </c>
    </row>
    <row r="6375" spans="2:7" x14ac:dyDescent="0.2">
      <c r="B6375" s="32">
        <v>45986</v>
      </c>
      <c r="C6375" t="s">
        <v>109</v>
      </c>
      <c r="D6375" s="13" t="s">
        <v>634</v>
      </c>
      <c r="E6375" t="s">
        <v>206</v>
      </c>
      <c r="F6375" s="11">
        <v>2</v>
      </c>
      <c r="G6375" s="11">
        <v>64285.72</v>
      </c>
    </row>
    <row r="6376" spans="2:7" x14ac:dyDescent="0.2">
      <c r="B6376" s="32">
        <v>45986</v>
      </c>
      <c r="C6376" t="s">
        <v>109</v>
      </c>
      <c r="D6376" s="13" t="s">
        <v>634</v>
      </c>
      <c r="E6376" t="s">
        <v>174</v>
      </c>
      <c r="F6376" s="11">
        <v>1</v>
      </c>
      <c r="G6376" s="11">
        <v>64285.71</v>
      </c>
    </row>
    <row r="6377" spans="2:7" x14ac:dyDescent="0.2">
      <c r="B6377" s="32">
        <v>45986</v>
      </c>
      <c r="C6377" t="s">
        <v>109</v>
      </c>
      <c r="D6377" s="13" t="s">
        <v>634</v>
      </c>
      <c r="E6377" t="s">
        <v>494</v>
      </c>
      <c r="F6377" s="11">
        <v>1</v>
      </c>
      <c r="G6377" s="11">
        <v>58823.53</v>
      </c>
    </row>
    <row r="6378" spans="2:7" x14ac:dyDescent="0.2">
      <c r="B6378" s="32">
        <v>45986</v>
      </c>
      <c r="C6378" t="s">
        <v>109</v>
      </c>
      <c r="D6378" s="13" t="s">
        <v>634</v>
      </c>
      <c r="E6378" t="s">
        <v>544</v>
      </c>
      <c r="F6378" s="11">
        <v>1</v>
      </c>
      <c r="G6378" s="11">
        <v>54000</v>
      </c>
    </row>
    <row r="6379" spans="2:7" x14ac:dyDescent="0.2">
      <c r="B6379" s="32">
        <v>45986</v>
      </c>
      <c r="C6379" t="s">
        <v>109</v>
      </c>
      <c r="D6379" s="13" t="s">
        <v>634</v>
      </c>
      <c r="E6379" t="s">
        <v>251</v>
      </c>
      <c r="F6379" s="11">
        <v>1</v>
      </c>
      <c r="G6379" s="11">
        <v>50000</v>
      </c>
    </row>
    <row r="6380" spans="2:7" x14ac:dyDescent="0.2">
      <c r="B6380" s="32">
        <v>45986</v>
      </c>
      <c r="C6380" t="s">
        <v>109</v>
      </c>
      <c r="D6380" s="13" t="s">
        <v>634</v>
      </c>
      <c r="E6380" t="s">
        <v>2123</v>
      </c>
      <c r="F6380" s="11">
        <v>1</v>
      </c>
      <c r="G6380" s="11">
        <v>50000</v>
      </c>
    </row>
    <row r="6381" spans="2:7" x14ac:dyDescent="0.2">
      <c r="B6381" s="32">
        <v>45986</v>
      </c>
      <c r="C6381" t="s">
        <v>109</v>
      </c>
      <c r="D6381" s="13" t="s">
        <v>634</v>
      </c>
      <c r="E6381" t="s">
        <v>181</v>
      </c>
      <c r="F6381" s="11">
        <v>1</v>
      </c>
      <c r="G6381" s="11">
        <v>50000</v>
      </c>
    </row>
    <row r="6382" spans="2:7" x14ac:dyDescent="0.2">
      <c r="B6382" s="32">
        <v>45986</v>
      </c>
      <c r="C6382" t="s">
        <v>109</v>
      </c>
      <c r="D6382" s="13" t="s">
        <v>634</v>
      </c>
      <c r="E6382" t="s">
        <v>2020</v>
      </c>
      <c r="F6382" s="11">
        <v>1</v>
      </c>
      <c r="G6382" s="11">
        <v>50000</v>
      </c>
    </row>
    <row r="6383" spans="2:7" x14ac:dyDescent="0.2">
      <c r="B6383" s="32">
        <v>45986</v>
      </c>
      <c r="C6383" t="s">
        <v>109</v>
      </c>
      <c r="D6383" s="13" t="s">
        <v>634</v>
      </c>
      <c r="E6383" t="s">
        <v>148</v>
      </c>
      <c r="F6383" s="11">
        <v>1</v>
      </c>
      <c r="G6383" s="11">
        <v>37815.129999999997</v>
      </c>
    </row>
    <row r="6384" spans="2:7" x14ac:dyDescent="0.2">
      <c r="B6384" s="32">
        <v>45986</v>
      </c>
      <c r="C6384" t="s">
        <v>109</v>
      </c>
      <c r="D6384" s="13" t="s">
        <v>634</v>
      </c>
      <c r="E6384" t="s">
        <v>330</v>
      </c>
      <c r="F6384" s="11">
        <v>1</v>
      </c>
      <c r="G6384" s="11">
        <v>32142.86</v>
      </c>
    </row>
    <row r="6385" spans="2:7" x14ac:dyDescent="0.2">
      <c r="B6385" s="32">
        <v>45986</v>
      </c>
      <c r="C6385" t="s">
        <v>109</v>
      </c>
      <c r="D6385" s="13" t="s">
        <v>633</v>
      </c>
      <c r="E6385" t="s">
        <v>302</v>
      </c>
      <c r="F6385" s="11">
        <v>6</v>
      </c>
      <c r="G6385" s="11">
        <v>514285.71</v>
      </c>
    </row>
    <row r="6386" spans="2:7" x14ac:dyDescent="0.2">
      <c r="B6386" s="32">
        <v>45986</v>
      </c>
      <c r="C6386" t="s">
        <v>109</v>
      </c>
      <c r="D6386" s="13" t="s">
        <v>633</v>
      </c>
      <c r="E6386" t="s">
        <v>532</v>
      </c>
      <c r="F6386" s="11">
        <v>4</v>
      </c>
      <c r="G6386" s="11">
        <v>403361.34</v>
      </c>
    </row>
    <row r="6387" spans="2:7" x14ac:dyDescent="0.2">
      <c r="B6387" s="32">
        <v>45986</v>
      </c>
      <c r="C6387" t="s">
        <v>109</v>
      </c>
      <c r="D6387" s="13" t="s">
        <v>633</v>
      </c>
      <c r="E6387" t="s">
        <v>2093</v>
      </c>
      <c r="F6387" s="11">
        <v>6</v>
      </c>
      <c r="G6387" s="11">
        <v>277310.93</v>
      </c>
    </row>
    <row r="6388" spans="2:7" x14ac:dyDescent="0.2">
      <c r="B6388" s="32">
        <v>45986</v>
      </c>
      <c r="C6388" t="s">
        <v>109</v>
      </c>
      <c r="D6388" s="13" t="s">
        <v>633</v>
      </c>
      <c r="E6388" t="s">
        <v>154</v>
      </c>
      <c r="F6388" s="11">
        <v>3</v>
      </c>
      <c r="G6388" s="11">
        <v>257142.86</v>
      </c>
    </row>
    <row r="6389" spans="2:7" x14ac:dyDescent="0.2">
      <c r="B6389" s="32">
        <v>45986</v>
      </c>
      <c r="C6389" t="s">
        <v>109</v>
      </c>
      <c r="D6389" s="13" t="s">
        <v>633</v>
      </c>
      <c r="E6389" t="s">
        <v>420</v>
      </c>
      <c r="F6389" s="11">
        <v>3</v>
      </c>
      <c r="G6389" s="11">
        <v>257142.86</v>
      </c>
    </row>
    <row r="6390" spans="2:7" x14ac:dyDescent="0.2">
      <c r="B6390" s="32">
        <v>45986</v>
      </c>
      <c r="C6390" t="s">
        <v>109</v>
      </c>
      <c r="D6390" s="13" t="s">
        <v>633</v>
      </c>
      <c r="E6390" t="s">
        <v>167</v>
      </c>
      <c r="F6390" s="11">
        <v>3</v>
      </c>
      <c r="G6390" s="11">
        <v>257142.86</v>
      </c>
    </row>
    <row r="6391" spans="2:7" x14ac:dyDescent="0.2">
      <c r="B6391" s="32">
        <v>45986</v>
      </c>
      <c r="C6391" t="s">
        <v>109</v>
      </c>
      <c r="D6391" s="13" t="s">
        <v>633</v>
      </c>
      <c r="E6391" t="s">
        <v>226</v>
      </c>
      <c r="F6391" s="11">
        <v>2</v>
      </c>
      <c r="G6391" s="11">
        <v>200000</v>
      </c>
    </row>
    <row r="6392" spans="2:7" x14ac:dyDescent="0.2">
      <c r="B6392" s="32">
        <v>45986</v>
      </c>
      <c r="C6392" t="s">
        <v>109</v>
      </c>
      <c r="D6392" s="13" t="s">
        <v>633</v>
      </c>
      <c r="E6392" t="s">
        <v>1776</v>
      </c>
      <c r="F6392" s="11">
        <v>1</v>
      </c>
      <c r="G6392" s="11">
        <v>189075.63</v>
      </c>
    </row>
    <row r="6393" spans="2:7" x14ac:dyDescent="0.2">
      <c r="B6393" s="32">
        <v>45986</v>
      </c>
      <c r="C6393" t="s">
        <v>109</v>
      </c>
      <c r="D6393" s="13" t="s">
        <v>633</v>
      </c>
      <c r="E6393" t="s">
        <v>618</v>
      </c>
      <c r="F6393" s="11">
        <v>2</v>
      </c>
      <c r="G6393" s="11">
        <v>171428.57</v>
      </c>
    </row>
    <row r="6394" spans="2:7" x14ac:dyDescent="0.2">
      <c r="B6394" s="32">
        <v>45986</v>
      </c>
      <c r="C6394" t="s">
        <v>109</v>
      </c>
      <c r="D6394" s="13" t="s">
        <v>633</v>
      </c>
      <c r="E6394" t="s">
        <v>444</v>
      </c>
      <c r="F6394" s="11">
        <v>2</v>
      </c>
      <c r="G6394" s="11">
        <v>146428.57</v>
      </c>
    </row>
    <row r="6395" spans="2:7" x14ac:dyDescent="0.2">
      <c r="B6395" s="32">
        <v>45986</v>
      </c>
      <c r="C6395" t="s">
        <v>109</v>
      </c>
      <c r="D6395" s="13" t="s">
        <v>633</v>
      </c>
      <c r="E6395" t="s">
        <v>1799</v>
      </c>
      <c r="F6395" s="11">
        <v>2</v>
      </c>
      <c r="G6395" s="11">
        <v>132142.85999999999</v>
      </c>
    </row>
    <row r="6396" spans="2:7" x14ac:dyDescent="0.2">
      <c r="B6396" s="32">
        <v>45986</v>
      </c>
      <c r="C6396" t="s">
        <v>109</v>
      </c>
      <c r="D6396" s="13" t="s">
        <v>633</v>
      </c>
      <c r="E6396" t="s">
        <v>2113</v>
      </c>
      <c r="F6396" s="11">
        <v>3</v>
      </c>
      <c r="G6396" s="11">
        <v>107773.12</v>
      </c>
    </row>
    <row r="6397" spans="2:7" x14ac:dyDescent="0.2">
      <c r="B6397" s="32">
        <v>45986</v>
      </c>
      <c r="C6397" t="s">
        <v>109</v>
      </c>
      <c r="D6397" s="13" t="s">
        <v>633</v>
      </c>
      <c r="E6397" t="s">
        <v>2020</v>
      </c>
      <c r="F6397" s="11">
        <v>1</v>
      </c>
      <c r="G6397" s="11">
        <v>107142.86</v>
      </c>
    </row>
    <row r="6398" spans="2:7" x14ac:dyDescent="0.2">
      <c r="B6398" s="32">
        <v>45986</v>
      </c>
      <c r="C6398" t="s">
        <v>109</v>
      </c>
      <c r="D6398" s="13" t="s">
        <v>633</v>
      </c>
      <c r="E6398" t="s">
        <v>436</v>
      </c>
      <c r="F6398" s="11">
        <v>1</v>
      </c>
      <c r="G6398" s="11">
        <v>92857.14</v>
      </c>
    </row>
    <row r="6399" spans="2:7" x14ac:dyDescent="0.2">
      <c r="B6399" s="32">
        <v>45986</v>
      </c>
      <c r="C6399" t="s">
        <v>109</v>
      </c>
      <c r="D6399" s="13" t="s">
        <v>633</v>
      </c>
      <c r="E6399" t="s">
        <v>1753</v>
      </c>
      <c r="F6399" s="11">
        <v>2</v>
      </c>
      <c r="G6399" s="11">
        <v>92857.14</v>
      </c>
    </row>
    <row r="6400" spans="2:7" x14ac:dyDescent="0.2">
      <c r="B6400" s="32">
        <v>45986</v>
      </c>
      <c r="C6400" t="s">
        <v>109</v>
      </c>
      <c r="D6400" s="13" t="s">
        <v>633</v>
      </c>
      <c r="E6400" t="s">
        <v>210</v>
      </c>
      <c r="F6400" s="11">
        <v>2</v>
      </c>
      <c r="G6400" s="11">
        <v>92436.97</v>
      </c>
    </row>
    <row r="6401" spans="2:7" x14ac:dyDescent="0.2">
      <c r="B6401" s="32">
        <v>45986</v>
      </c>
      <c r="C6401" t="s">
        <v>109</v>
      </c>
      <c r="D6401" s="13" t="s">
        <v>633</v>
      </c>
      <c r="E6401" t="s">
        <v>2017</v>
      </c>
      <c r="F6401" s="11">
        <v>1</v>
      </c>
      <c r="G6401" s="11">
        <v>75630.25</v>
      </c>
    </row>
    <row r="6402" spans="2:7" x14ac:dyDescent="0.2">
      <c r="B6402" s="32">
        <v>45986</v>
      </c>
      <c r="C6402" t="s">
        <v>109</v>
      </c>
      <c r="D6402" s="13" t="s">
        <v>633</v>
      </c>
      <c r="E6402" t="s">
        <v>357</v>
      </c>
      <c r="F6402" s="11">
        <v>1</v>
      </c>
      <c r="G6402" s="11">
        <v>71428.58</v>
      </c>
    </row>
    <row r="6403" spans="2:7" x14ac:dyDescent="0.2">
      <c r="B6403" s="32">
        <v>45986</v>
      </c>
      <c r="C6403" t="s">
        <v>109</v>
      </c>
      <c r="D6403" s="13" t="s">
        <v>633</v>
      </c>
      <c r="E6403" t="s">
        <v>489</v>
      </c>
      <c r="F6403" s="11">
        <v>1</v>
      </c>
      <c r="G6403" s="11">
        <v>71428.570000000007</v>
      </c>
    </row>
    <row r="6404" spans="2:7" x14ac:dyDescent="0.2">
      <c r="B6404" s="32">
        <v>45986</v>
      </c>
      <c r="C6404" t="s">
        <v>109</v>
      </c>
      <c r="D6404" s="13" t="s">
        <v>633</v>
      </c>
      <c r="E6404" t="s">
        <v>2102</v>
      </c>
      <c r="F6404" s="11">
        <v>2</v>
      </c>
      <c r="G6404" s="11">
        <v>69957.98</v>
      </c>
    </row>
    <row r="6405" spans="2:7" x14ac:dyDescent="0.2">
      <c r="B6405" s="32">
        <v>45986</v>
      </c>
      <c r="C6405" t="s">
        <v>109</v>
      </c>
      <c r="D6405" s="13" t="s">
        <v>633</v>
      </c>
      <c r="E6405" t="s">
        <v>320</v>
      </c>
      <c r="F6405" s="11">
        <v>1</v>
      </c>
      <c r="G6405" s="11">
        <v>50000</v>
      </c>
    </row>
    <row r="6406" spans="2:7" x14ac:dyDescent="0.2">
      <c r="B6406" s="32">
        <v>45986</v>
      </c>
      <c r="C6406" t="s">
        <v>109</v>
      </c>
      <c r="D6406" s="13" t="s">
        <v>633</v>
      </c>
      <c r="E6406" t="s">
        <v>2124</v>
      </c>
      <c r="F6406" s="11">
        <v>1</v>
      </c>
      <c r="G6406" s="11">
        <v>46428.58</v>
      </c>
    </row>
    <row r="6407" spans="2:7" x14ac:dyDescent="0.2">
      <c r="B6407" s="32">
        <v>45986</v>
      </c>
      <c r="C6407" t="s">
        <v>109</v>
      </c>
      <c r="D6407" s="13" t="s">
        <v>633</v>
      </c>
      <c r="E6407" t="s">
        <v>788</v>
      </c>
      <c r="F6407" s="11">
        <v>1</v>
      </c>
      <c r="G6407" s="11">
        <v>46428.57</v>
      </c>
    </row>
    <row r="6408" spans="2:7" x14ac:dyDescent="0.2">
      <c r="B6408" s="32">
        <v>45986</v>
      </c>
      <c r="C6408" t="s">
        <v>109</v>
      </c>
      <c r="D6408" s="13" t="s">
        <v>633</v>
      </c>
      <c r="E6408" t="s">
        <v>148</v>
      </c>
      <c r="F6408" s="11">
        <v>1</v>
      </c>
      <c r="G6408" s="11">
        <v>37815.120000000003</v>
      </c>
    </row>
    <row r="6409" spans="2:7" x14ac:dyDescent="0.2">
      <c r="B6409" s="32">
        <v>45986</v>
      </c>
      <c r="C6409" t="s">
        <v>109</v>
      </c>
      <c r="D6409" s="13" t="s">
        <v>633</v>
      </c>
      <c r="E6409" t="s">
        <v>1847</v>
      </c>
      <c r="F6409" s="11">
        <v>1</v>
      </c>
      <c r="G6409" s="11">
        <v>17857.14</v>
      </c>
    </row>
    <row r="6410" spans="2:7" x14ac:dyDescent="0.2">
      <c r="B6410" s="32">
        <v>45987</v>
      </c>
      <c r="C6410" t="s">
        <v>108</v>
      </c>
      <c r="D6410" s="13" t="s">
        <v>634</v>
      </c>
      <c r="E6410" t="s">
        <v>145</v>
      </c>
      <c r="F6410" s="11">
        <v>25</v>
      </c>
      <c r="G6410" s="11">
        <v>625000</v>
      </c>
    </row>
    <row r="6411" spans="2:7" x14ac:dyDescent="0.2">
      <c r="B6411" s="32">
        <v>45987</v>
      </c>
      <c r="C6411" t="s">
        <v>108</v>
      </c>
      <c r="D6411" s="13" t="s">
        <v>634</v>
      </c>
      <c r="E6411" t="s">
        <v>336</v>
      </c>
      <c r="F6411" s="11">
        <v>9</v>
      </c>
      <c r="G6411" s="11">
        <v>546428.56999999995</v>
      </c>
    </row>
    <row r="6412" spans="2:7" x14ac:dyDescent="0.2">
      <c r="B6412" s="32">
        <v>45987</v>
      </c>
      <c r="C6412" t="s">
        <v>108</v>
      </c>
      <c r="D6412" s="13" t="s">
        <v>634</v>
      </c>
      <c r="E6412" t="s">
        <v>164</v>
      </c>
      <c r="F6412" s="11">
        <v>8</v>
      </c>
      <c r="G6412" s="11">
        <v>485714.29</v>
      </c>
    </row>
    <row r="6413" spans="2:7" x14ac:dyDescent="0.2">
      <c r="B6413" s="32">
        <v>45987</v>
      </c>
      <c r="C6413" t="s">
        <v>108</v>
      </c>
      <c r="D6413" s="13" t="s">
        <v>634</v>
      </c>
      <c r="E6413" t="s">
        <v>352</v>
      </c>
      <c r="F6413" s="11">
        <v>8</v>
      </c>
      <c r="G6413" s="11">
        <v>485714.29</v>
      </c>
    </row>
    <row r="6414" spans="2:7" x14ac:dyDescent="0.2">
      <c r="B6414" s="32">
        <v>45987</v>
      </c>
      <c r="C6414" t="s">
        <v>108</v>
      </c>
      <c r="D6414" s="13" t="s">
        <v>634</v>
      </c>
      <c r="E6414" t="s">
        <v>1858</v>
      </c>
      <c r="F6414" s="11">
        <v>25</v>
      </c>
      <c r="G6414" s="11">
        <v>128571.43</v>
      </c>
    </row>
    <row r="6415" spans="2:7" x14ac:dyDescent="0.2">
      <c r="B6415" s="32">
        <v>45987</v>
      </c>
      <c r="C6415" t="s">
        <v>108</v>
      </c>
      <c r="D6415" s="13" t="s">
        <v>634</v>
      </c>
      <c r="E6415" t="s">
        <v>342</v>
      </c>
      <c r="F6415" s="11">
        <v>2</v>
      </c>
      <c r="G6415" s="11">
        <v>64285.71</v>
      </c>
    </row>
    <row r="6416" spans="2:7" x14ac:dyDescent="0.2">
      <c r="B6416" s="32">
        <v>45987</v>
      </c>
      <c r="C6416" t="s">
        <v>108</v>
      </c>
      <c r="D6416" s="13" t="s">
        <v>634</v>
      </c>
      <c r="E6416" t="s">
        <v>263</v>
      </c>
      <c r="F6416" s="11">
        <v>2</v>
      </c>
      <c r="G6416" s="11">
        <v>64285.71</v>
      </c>
    </row>
    <row r="6417" spans="2:7" x14ac:dyDescent="0.2">
      <c r="B6417" s="32">
        <v>45987</v>
      </c>
      <c r="C6417" t="s">
        <v>108</v>
      </c>
      <c r="D6417" s="13" t="s">
        <v>634</v>
      </c>
      <c r="E6417" t="s">
        <v>466</v>
      </c>
      <c r="F6417" s="11">
        <v>1</v>
      </c>
      <c r="G6417" s="11">
        <v>32142.86</v>
      </c>
    </row>
    <row r="6418" spans="2:7" x14ac:dyDescent="0.2">
      <c r="B6418" s="32">
        <v>45987</v>
      </c>
      <c r="C6418" t="s">
        <v>142</v>
      </c>
      <c r="D6418" s="13" t="s">
        <v>634</v>
      </c>
      <c r="E6418" t="s">
        <v>355</v>
      </c>
      <c r="F6418" s="11">
        <v>1</v>
      </c>
      <c r="G6418" s="11">
        <v>126050.42</v>
      </c>
    </row>
    <row r="6419" spans="2:7" x14ac:dyDescent="0.2">
      <c r="B6419" s="32">
        <v>45987</v>
      </c>
      <c r="C6419" t="s">
        <v>142</v>
      </c>
      <c r="D6419" s="13" t="s">
        <v>634</v>
      </c>
      <c r="E6419" t="s">
        <v>444</v>
      </c>
      <c r="F6419" s="11">
        <v>1</v>
      </c>
      <c r="G6419" s="11">
        <v>79831.92</v>
      </c>
    </row>
    <row r="6420" spans="2:7" x14ac:dyDescent="0.2">
      <c r="B6420" s="32">
        <v>45987</v>
      </c>
      <c r="C6420" t="s">
        <v>142</v>
      </c>
      <c r="D6420" s="13" t="s">
        <v>634</v>
      </c>
      <c r="E6420" t="s">
        <v>1795</v>
      </c>
      <c r="F6420" s="11">
        <v>1</v>
      </c>
      <c r="G6420" s="11">
        <v>58823.53</v>
      </c>
    </row>
    <row r="6421" spans="2:7" x14ac:dyDescent="0.2">
      <c r="B6421" s="32">
        <v>45987</v>
      </c>
      <c r="C6421" t="s">
        <v>142</v>
      </c>
      <c r="D6421" s="13" t="s">
        <v>634</v>
      </c>
      <c r="E6421" t="s">
        <v>431</v>
      </c>
      <c r="F6421" s="11">
        <v>1</v>
      </c>
      <c r="G6421" s="11">
        <v>58823.53</v>
      </c>
    </row>
    <row r="6422" spans="2:7" x14ac:dyDescent="0.2">
      <c r="B6422" s="32">
        <v>45987</v>
      </c>
      <c r="C6422" t="s">
        <v>142</v>
      </c>
      <c r="D6422" s="13" t="s">
        <v>634</v>
      </c>
      <c r="E6422" t="s">
        <v>158</v>
      </c>
      <c r="F6422" s="11">
        <v>1</v>
      </c>
      <c r="G6422" s="11">
        <v>46218.49</v>
      </c>
    </row>
    <row r="6423" spans="2:7" x14ac:dyDescent="0.2">
      <c r="B6423" s="32">
        <v>45987</v>
      </c>
      <c r="C6423" t="s">
        <v>142</v>
      </c>
      <c r="D6423" s="13" t="s">
        <v>634</v>
      </c>
      <c r="E6423" t="s">
        <v>1896</v>
      </c>
      <c r="F6423" s="11">
        <v>1</v>
      </c>
      <c r="G6423" s="11">
        <v>46218.49</v>
      </c>
    </row>
    <row r="6424" spans="2:7" x14ac:dyDescent="0.2">
      <c r="B6424" s="32">
        <v>45987</v>
      </c>
      <c r="C6424" t="s">
        <v>142</v>
      </c>
      <c r="D6424" s="13" t="s">
        <v>634</v>
      </c>
      <c r="E6424" t="s">
        <v>2102</v>
      </c>
      <c r="F6424" s="11">
        <v>1</v>
      </c>
      <c r="G6424" s="11">
        <v>37815.120000000003</v>
      </c>
    </row>
    <row r="6425" spans="2:7" x14ac:dyDescent="0.2">
      <c r="B6425" s="32">
        <v>45987</v>
      </c>
      <c r="C6425" t="s">
        <v>142</v>
      </c>
      <c r="D6425" s="13" t="s">
        <v>634</v>
      </c>
      <c r="E6425" t="s">
        <v>1796</v>
      </c>
      <c r="F6425" s="11">
        <v>1</v>
      </c>
      <c r="G6425" s="11">
        <v>21008.400000000001</v>
      </c>
    </row>
    <row r="6426" spans="2:7" x14ac:dyDescent="0.2">
      <c r="B6426" s="32">
        <v>45987</v>
      </c>
      <c r="C6426" t="s">
        <v>142</v>
      </c>
      <c r="D6426" s="13" t="s">
        <v>633</v>
      </c>
      <c r="E6426" t="s">
        <v>2070</v>
      </c>
      <c r="F6426" s="11">
        <v>4</v>
      </c>
      <c r="G6426" s="11">
        <v>184873.95</v>
      </c>
    </row>
    <row r="6427" spans="2:7" x14ac:dyDescent="0.2">
      <c r="B6427" s="32">
        <v>45987</v>
      </c>
      <c r="C6427" t="s">
        <v>142</v>
      </c>
      <c r="D6427" s="13" t="s">
        <v>633</v>
      </c>
      <c r="E6427" t="s">
        <v>190</v>
      </c>
      <c r="F6427" s="11">
        <v>1</v>
      </c>
      <c r="G6427" s="11">
        <v>92436.98</v>
      </c>
    </row>
    <row r="6428" spans="2:7" x14ac:dyDescent="0.2">
      <c r="B6428" s="32">
        <v>45987</v>
      </c>
      <c r="C6428" t="s">
        <v>142</v>
      </c>
      <c r="D6428" s="13" t="s">
        <v>633</v>
      </c>
      <c r="E6428" t="s">
        <v>691</v>
      </c>
      <c r="F6428" s="11">
        <v>1</v>
      </c>
      <c r="G6428" s="11">
        <v>79831.94</v>
      </c>
    </row>
    <row r="6429" spans="2:7" x14ac:dyDescent="0.2">
      <c r="B6429" s="32">
        <v>45987</v>
      </c>
      <c r="C6429" t="s">
        <v>142</v>
      </c>
      <c r="D6429" s="13" t="s">
        <v>633</v>
      </c>
      <c r="E6429" t="s">
        <v>370</v>
      </c>
      <c r="F6429" s="11">
        <v>1</v>
      </c>
      <c r="G6429" s="11">
        <v>79831.929999999993</v>
      </c>
    </row>
    <row r="6430" spans="2:7" x14ac:dyDescent="0.2">
      <c r="B6430" s="32">
        <v>45987</v>
      </c>
      <c r="C6430" t="s">
        <v>142</v>
      </c>
      <c r="D6430" s="13" t="s">
        <v>633</v>
      </c>
      <c r="E6430" t="s">
        <v>237</v>
      </c>
      <c r="F6430" s="11">
        <v>1</v>
      </c>
      <c r="G6430" s="11">
        <v>54621.85</v>
      </c>
    </row>
    <row r="6431" spans="2:7" x14ac:dyDescent="0.2">
      <c r="B6431" s="32">
        <v>45987</v>
      </c>
      <c r="C6431" t="s">
        <v>109</v>
      </c>
      <c r="D6431" s="13" t="s">
        <v>634</v>
      </c>
      <c r="E6431" t="s">
        <v>521</v>
      </c>
      <c r="F6431" s="11">
        <v>11</v>
      </c>
      <c r="G6431" s="11">
        <v>825000</v>
      </c>
    </row>
    <row r="6432" spans="2:7" x14ac:dyDescent="0.2">
      <c r="B6432" s="32">
        <v>45987</v>
      </c>
      <c r="C6432" t="s">
        <v>109</v>
      </c>
      <c r="D6432" s="13" t="s">
        <v>634</v>
      </c>
      <c r="E6432" t="s">
        <v>493</v>
      </c>
      <c r="F6432" s="11">
        <v>6</v>
      </c>
      <c r="G6432" s="11">
        <v>466386.56</v>
      </c>
    </row>
    <row r="6433" spans="2:7" x14ac:dyDescent="0.2">
      <c r="B6433" s="32">
        <v>45987</v>
      </c>
      <c r="C6433" t="s">
        <v>109</v>
      </c>
      <c r="D6433" s="13" t="s">
        <v>634</v>
      </c>
      <c r="E6433" t="s">
        <v>200</v>
      </c>
      <c r="F6433" s="11">
        <v>2</v>
      </c>
      <c r="G6433" s="11">
        <v>285714.28000000003</v>
      </c>
    </row>
    <row r="6434" spans="2:7" x14ac:dyDescent="0.2">
      <c r="B6434" s="32">
        <v>45987</v>
      </c>
      <c r="C6434" t="s">
        <v>109</v>
      </c>
      <c r="D6434" s="13" t="s">
        <v>634</v>
      </c>
      <c r="E6434" t="s">
        <v>2125</v>
      </c>
      <c r="F6434" s="11">
        <v>3</v>
      </c>
      <c r="G6434" s="11">
        <v>189075.63</v>
      </c>
    </row>
    <row r="6435" spans="2:7" x14ac:dyDescent="0.2">
      <c r="B6435" s="32">
        <v>45987</v>
      </c>
      <c r="C6435" t="s">
        <v>109</v>
      </c>
      <c r="D6435" s="13" t="s">
        <v>634</v>
      </c>
      <c r="E6435" t="s">
        <v>357</v>
      </c>
      <c r="F6435" s="11">
        <v>2</v>
      </c>
      <c r="G6435" s="11">
        <v>142857.14000000001</v>
      </c>
    </row>
    <row r="6436" spans="2:7" x14ac:dyDescent="0.2">
      <c r="B6436" s="32">
        <v>45987</v>
      </c>
      <c r="C6436" t="s">
        <v>109</v>
      </c>
      <c r="D6436" s="13" t="s">
        <v>634</v>
      </c>
      <c r="E6436" t="s">
        <v>336</v>
      </c>
      <c r="F6436" s="11">
        <v>2</v>
      </c>
      <c r="G6436" s="11">
        <v>142857.14000000001</v>
      </c>
    </row>
    <row r="6437" spans="2:7" x14ac:dyDescent="0.2">
      <c r="B6437" s="32">
        <v>45987</v>
      </c>
      <c r="C6437" t="s">
        <v>109</v>
      </c>
      <c r="D6437" s="13" t="s">
        <v>634</v>
      </c>
      <c r="E6437" t="s">
        <v>144</v>
      </c>
      <c r="F6437" s="11">
        <v>7</v>
      </c>
      <c r="G6437" s="11">
        <v>105462.17</v>
      </c>
    </row>
    <row r="6438" spans="2:7" x14ac:dyDescent="0.2">
      <c r="B6438" s="32">
        <v>45987</v>
      </c>
      <c r="C6438" t="s">
        <v>109</v>
      </c>
      <c r="D6438" s="13" t="s">
        <v>634</v>
      </c>
      <c r="E6438" t="s">
        <v>164</v>
      </c>
      <c r="F6438" s="11">
        <v>1</v>
      </c>
      <c r="G6438" s="11">
        <v>71428.570000000007</v>
      </c>
    </row>
    <row r="6439" spans="2:7" x14ac:dyDescent="0.2">
      <c r="B6439" s="32">
        <v>45987</v>
      </c>
      <c r="C6439" t="s">
        <v>109</v>
      </c>
      <c r="D6439" s="13" t="s">
        <v>634</v>
      </c>
      <c r="E6439" t="s">
        <v>212</v>
      </c>
      <c r="F6439" s="11">
        <v>1</v>
      </c>
      <c r="G6439" s="11">
        <v>54621.85</v>
      </c>
    </row>
    <row r="6440" spans="2:7" x14ac:dyDescent="0.2">
      <c r="B6440" s="32">
        <v>45987</v>
      </c>
      <c r="C6440" t="s">
        <v>109</v>
      </c>
      <c r="D6440" s="13" t="s">
        <v>634</v>
      </c>
      <c r="E6440" t="s">
        <v>2030</v>
      </c>
      <c r="F6440" s="11">
        <v>3</v>
      </c>
      <c r="G6440" s="11">
        <v>50420.17</v>
      </c>
    </row>
    <row r="6441" spans="2:7" x14ac:dyDescent="0.2">
      <c r="B6441" s="32">
        <v>45987</v>
      </c>
      <c r="C6441" t="s">
        <v>109</v>
      </c>
      <c r="D6441" s="13" t="s">
        <v>634</v>
      </c>
      <c r="E6441" t="s">
        <v>1896</v>
      </c>
      <c r="F6441" s="11">
        <v>1</v>
      </c>
      <c r="G6441" s="11">
        <v>46218.49</v>
      </c>
    </row>
    <row r="6442" spans="2:7" x14ac:dyDescent="0.2">
      <c r="B6442" s="32">
        <v>45987</v>
      </c>
      <c r="C6442" t="s">
        <v>109</v>
      </c>
      <c r="D6442" s="13" t="s">
        <v>634</v>
      </c>
      <c r="E6442" t="s">
        <v>166</v>
      </c>
      <c r="F6442" s="11">
        <v>1</v>
      </c>
      <c r="G6442" s="11">
        <v>42016.81</v>
      </c>
    </row>
    <row r="6443" spans="2:7" x14ac:dyDescent="0.2">
      <c r="B6443" s="32">
        <v>45987</v>
      </c>
      <c r="C6443" t="s">
        <v>109</v>
      </c>
      <c r="D6443" s="13" t="s">
        <v>634</v>
      </c>
      <c r="E6443" t="s">
        <v>2098</v>
      </c>
      <c r="F6443" s="11">
        <v>1</v>
      </c>
      <c r="G6443" s="11">
        <v>37815.129999999997</v>
      </c>
    </row>
    <row r="6444" spans="2:7" x14ac:dyDescent="0.2">
      <c r="B6444" s="32">
        <v>45987</v>
      </c>
      <c r="C6444" t="s">
        <v>109</v>
      </c>
      <c r="D6444" s="13" t="s">
        <v>634</v>
      </c>
      <c r="E6444" t="s">
        <v>206</v>
      </c>
      <c r="F6444" s="11">
        <v>1</v>
      </c>
      <c r="G6444" s="11">
        <v>37815.129999999997</v>
      </c>
    </row>
    <row r="6445" spans="2:7" x14ac:dyDescent="0.2">
      <c r="B6445" s="32">
        <v>45987</v>
      </c>
      <c r="C6445" t="s">
        <v>109</v>
      </c>
      <c r="D6445" s="13" t="s">
        <v>634</v>
      </c>
      <c r="E6445" t="s">
        <v>2107</v>
      </c>
      <c r="F6445" s="11">
        <v>1</v>
      </c>
      <c r="G6445" s="11">
        <v>37815.120000000003</v>
      </c>
    </row>
    <row r="6446" spans="2:7" x14ac:dyDescent="0.2">
      <c r="B6446" s="32">
        <v>45987</v>
      </c>
      <c r="C6446" t="s">
        <v>109</v>
      </c>
      <c r="D6446" s="13" t="s">
        <v>634</v>
      </c>
      <c r="E6446" t="s">
        <v>2126</v>
      </c>
      <c r="F6446" s="11">
        <v>1</v>
      </c>
      <c r="G6446" s="11">
        <v>37815.120000000003</v>
      </c>
    </row>
    <row r="6447" spans="2:7" x14ac:dyDescent="0.2">
      <c r="B6447" s="32">
        <v>45987</v>
      </c>
      <c r="C6447" t="s">
        <v>109</v>
      </c>
      <c r="D6447" s="13" t="s">
        <v>634</v>
      </c>
      <c r="E6447" t="s">
        <v>2059</v>
      </c>
      <c r="F6447" s="11">
        <v>2</v>
      </c>
      <c r="G6447" s="11">
        <v>33613.449999999997</v>
      </c>
    </row>
    <row r="6448" spans="2:7" x14ac:dyDescent="0.2">
      <c r="B6448" s="32">
        <v>45987</v>
      </c>
      <c r="C6448" t="s">
        <v>109</v>
      </c>
      <c r="D6448" s="13" t="s">
        <v>633</v>
      </c>
      <c r="E6448" t="s">
        <v>152</v>
      </c>
      <c r="F6448" s="11">
        <v>2</v>
      </c>
      <c r="G6448" s="11">
        <v>151260.49</v>
      </c>
    </row>
    <row r="6449" spans="2:7" x14ac:dyDescent="0.2">
      <c r="B6449" s="32">
        <v>45987</v>
      </c>
      <c r="C6449" t="s">
        <v>109</v>
      </c>
      <c r="D6449" s="13" t="s">
        <v>633</v>
      </c>
      <c r="E6449" t="s">
        <v>2125</v>
      </c>
      <c r="F6449" s="11">
        <v>2</v>
      </c>
      <c r="G6449" s="11">
        <v>126050.42</v>
      </c>
    </row>
    <row r="6450" spans="2:7" x14ac:dyDescent="0.2">
      <c r="B6450" s="32">
        <v>45987</v>
      </c>
      <c r="C6450" t="s">
        <v>109</v>
      </c>
      <c r="D6450" s="13" t="s">
        <v>633</v>
      </c>
      <c r="E6450" t="s">
        <v>156</v>
      </c>
      <c r="F6450" s="11">
        <v>3</v>
      </c>
      <c r="G6450" s="11">
        <v>126050.42</v>
      </c>
    </row>
    <row r="6451" spans="2:7" x14ac:dyDescent="0.2">
      <c r="B6451" s="32">
        <v>45987</v>
      </c>
      <c r="C6451" t="s">
        <v>109</v>
      </c>
      <c r="D6451" s="13" t="s">
        <v>633</v>
      </c>
      <c r="E6451" t="s">
        <v>2102</v>
      </c>
      <c r="F6451" s="11">
        <v>2</v>
      </c>
      <c r="G6451" s="11">
        <v>75630.259999999995</v>
      </c>
    </row>
    <row r="6452" spans="2:7" x14ac:dyDescent="0.2">
      <c r="B6452" s="32">
        <v>45987</v>
      </c>
      <c r="C6452" t="s">
        <v>109</v>
      </c>
      <c r="D6452" s="13" t="s">
        <v>633</v>
      </c>
      <c r="E6452" t="s">
        <v>466</v>
      </c>
      <c r="F6452" s="11">
        <v>2</v>
      </c>
      <c r="G6452" s="11">
        <v>75630.25</v>
      </c>
    </row>
    <row r="6453" spans="2:7" x14ac:dyDescent="0.2">
      <c r="B6453" s="32">
        <v>45987</v>
      </c>
      <c r="C6453" t="s">
        <v>109</v>
      </c>
      <c r="D6453" s="13" t="s">
        <v>633</v>
      </c>
      <c r="E6453" t="s">
        <v>2127</v>
      </c>
      <c r="F6453" s="11">
        <v>1</v>
      </c>
      <c r="G6453" s="11">
        <v>54621.85</v>
      </c>
    </row>
    <row r="6454" spans="2:7" x14ac:dyDescent="0.2">
      <c r="B6454" s="32">
        <v>45987</v>
      </c>
      <c r="C6454" t="s">
        <v>109</v>
      </c>
      <c r="D6454" s="13" t="s">
        <v>633</v>
      </c>
      <c r="E6454" t="s">
        <v>348</v>
      </c>
      <c r="F6454" s="11">
        <v>1</v>
      </c>
      <c r="G6454" s="11">
        <v>54621.84</v>
      </c>
    </row>
    <row r="6455" spans="2:7" x14ac:dyDescent="0.2">
      <c r="B6455" s="32">
        <v>45987</v>
      </c>
      <c r="C6455" t="s">
        <v>109</v>
      </c>
      <c r="D6455" s="13" t="s">
        <v>633</v>
      </c>
      <c r="E6455" t="s">
        <v>2113</v>
      </c>
      <c r="F6455" s="11">
        <v>1</v>
      </c>
      <c r="G6455" s="11">
        <v>37815.129999999997</v>
      </c>
    </row>
    <row r="6456" spans="2:7" x14ac:dyDescent="0.2">
      <c r="B6456" s="32">
        <v>45987</v>
      </c>
      <c r="C6456" t="s">
        <v>109</v>
      </c>
      <c r="D6456" s="13" t="s">
        <v>633</v>
      </c>
      <c r="E6456" t="s">
        <v>2109</v>
      </c>
      <c r="F6456" s="11">
        <v>1</v>
      </c>
      <c r="G6456" s="11">
        <v>37815.120000000003</v>
      </c>
    </row>
    <row r="6457" spans="2:7" x14ac:dyDescent="0.2">
      <c r="B6457" s="32">
        <v>45987</v>
      </c>
      <c r="C6457" t="s">
        <v>109</v>
      </c>
      <c r="D6457" s="13" t="s">
        <v>633</v>
      </c>
      <c r="E6457" t="s">
        <v>144</v>
      </c>
      <c r="F6457" s="11">
        <v>1</v>
      </c>
      <c r="G6457" s="11">
        <v>18487.39</v>
      </c>
    </row>
    <row r="6458" spans="2:7" x14ac:dyDescent="0.2">
      <c r="B6458" s="32">
        <v>45988</v>
      </c>
      <c r="C6458" t="s">
        <v>142</v>
      </c>
      <c r="D6458" s="13" t="s">
        <v>633</v>
      </c>
      <c r="E6458" t="s">
        <v>1884</v>
      </c>
      <c r="F6458" s="11">
        <v>1</v>
      </c>
      <c r="G6458" s="11">
        <v>142857.15</v>
      </c>
    </row>
    <row r="6459" spans="2:7" x14ac:dyDescent="0.2">
      <c r="B6459" s="32">
        <v>45988</v>
      </c>
      <c r="C6459" t="s">
        <v>142</v>
      </c>
      <c r="D6459" s="13" t="s">
        <v>633</v>
      </c>
      <c r="E6459" t="s">
        <v>376</v>
      </c>
      <c r="F6459" s="11">
        <v>1</v>
      </c>
      <c r="G6459" s="11">
        <v>58823.53</v>
      </c>
    </row>
    <row r="6460" spans="2:7" x14ac:dyDescent="0.2">
      <c r="B6460" s="32">
        <v>45988</v>
      </c>
      <c r="C6460" t="s">
        <v>142</v>
      </c>
      <c r="D6460" s="13" t="s">
        <v>633</v>
      </c>
      <c r="E6460" t="s">
        <v>524</v>
      </c>
      <c r="F6460" s="11">
        <v>1</v>
      </c>
      <c r="G6460" s="11">
        <v>58823.53</v>
      </c>
    </row>
    <row r="6461" spans="2:7" x14ac:dyDescent="0.2">
      <c r="B6461" s="32">
        <v>45988</v>
      </c>
      <c r="C6461" t="s">
        <v>142</v>
      </c>
      <c r="D6461" s="13" t="s">
        <v>633</v>
      </c>
      <c r="E6461" t="s">
        <v>441</v>
      </c>
      <c r="F6461" s="11">
        <v>2</v>
      </c>
      <c r="G6461" s="11">
        <v>58823.53</v>
      </c>
    </row>
    <row r="6462" spans="2:7" x14ac:dyDescent="0.2">
      <c r="B6462" s="32">
        <v>45988</v>
      </c>
      <c r="C6462" t="s">
        <v>142</v>
      </c>
      <c r="D6462" s="13" t="s">
        <v>633</v>
      </c>
      <c r="E6462" t="s">
        <v>344</v>
      </c>
      <c r="F6462" s="11">
        <v>1</v>
      </c>
      <c r="G6462" s="11">
        <v>54621.85</v>
      </c>
    </row>
    <row r="6463" spans="2:7" x14ac:dyDescent="0.2">
      <c r="B6463" s="32">
        <v>45988</v>
      </c>
      <c r="C6463" t="s">
        <v>142</v>
      </c>
      <c r="D6463" s="13" t="s">
        <v>633</v>
      </c>
      <c r="E6463" t="s">
        <v>274</v>
      </c>
      <c r="F6463" s="11">
        <v>1</v>
      </c>
      <c r="G6463" s="11">
        <v>54621.85</v>
      </c>
    </row>
    <row r="6464" spans="2:7" x14ac:dyDescent="0.2">
      <c r="B6464" s="32">
        <v>45988</v>
      </c>
      <c r="C6464" t="s">
        <v>142</v>
      </c>
      <c r="D6464" s="13" t="s">
        <v>633</v>
      </c>
      <c r="E6464" t="s">
        <v>178</v>
      </c>
      <c r="F6464" s="11">
        <v>1</v>
      </c>
      <c r="G6464" s="11">
        <v>54621.85</v>
      </c>
    </row>
    <row r="6465" spans="2:7" x14ac:dyDescent="0.2">
      <c r="B6465" s="32">
        <v>45988</v>
      </c>
      <c r="C6465" t="s">
        <v>142</v>
      </c>
      <c r="D6465" s="13" t="s">
        <v>633</v>
      </c>
      <c r="E6465" t="s">
        <v>168</v>
      </c>
      <c r="F6465" s="11">
        <v>1</v>
      </c>
      <c r="G6465" s="11">
        <v>42016.81</v>
      </c>
    </row>
    <row r="6466" spans="2:7" x14ac:dyDescent="0.2">
      <c r="B6466" s="32">
        <v>45988</v>
      </c>
      <c r="C6466" t="s">
        <v>110</v>
      </c>
      <c r="D6466" s="13" t="s">
        <v>633</v>
      </c>
      <c r="E6466" t="s">
        <v>172</v>
      </c>
      <c r="F6466" s="11">
        <v>2</v>
      </c>
      <c r="G6466" s="11">
        <v>92436.97</v>
      </c>
    </row>
    <row r="6467" spans="2:7" x14ac:dyDescent="0.2">
      <c r="B6467" s="32">
        <v>45988</v>
      </c>
      <c r="C6467" t="s">
        <v>109</v>
      </c>
      <c r="D6467" s="13"/>
      <c r="E6467" t="s">
        <v>206</v>
      </c>
      <c r="F6467" s="11">
        <v>1</v>
      </c>
      <c r="G6467" s="11">
        <v>37815.129999999997</v>
      </c>
    </row>
    <row r="6468" spans="2:7" x14ac:dyDescent="0.2">
      <c r="B6468" s="32">
        <v>45988</v>
      </c>
      <c r="C6468" t="s">
        <v>109</v>
      </c>
      <c r="D6468" s="13" t="s">
        <v>634</v>
      </c>
      <c r="E6468" t="s">
        <v>350</v>
      </c>
      <c r="F6468" s="11">
        <v>2</v>
      </c>
      <c r="G6468" s="11">
        <v>92436.97</v>
      </c>
    </row>
    <row r="6469" spans="2:7" x14ac:dyDescent="0.2">
      <c r="B6469" s="32">
        <v>45988</v>
      </c>
      <c r="C6469" t="s">
        <v>109</v>
      </c>
      <c r="D6469" s="13" t="s">
        <v>634</v>
      </c>
      <c r="E6469" t="s">
        <v>156</v>
      </c>
      <c r="F6469" s="11">
        <v>2</v>
      </c>
      <c r="G6469" s="11">
        <v>84033.62</v>
      </c>
    </row>
    <row r="6470" spans="2:7" x14ac:dyDescent="0.2">
      <c r="B6470" s="32">
        <v>45988</v>
      </c>
      <c r="C6470" t="s">
        <v>109</v>
      </c>
      <c r="D6470" s="13" t="s">
        <v>634</v>
      </c>
      <c r="E6470" t="s">
        <v>152</v>
      </c>
      <c r="F6470" s="11">
        <v>1</v>
      </c>
      <c r="G6470" s="11">
        <v>75630.25</v>
      </c>
    </row>
    <row r="6471" spans="2:7" x14ac:dyDescent="0.2">
      <c r="B6471" s="32">
        <v>45988</v>
      </c>
      <c r="C6471" t="s">
        <v>109</v>
      </c>
      <c r="D6471" s="13" t="s">
        <v>634</v>
      </c>
      <c r="E6471" t="s">
        <v>151</v>
      </c>
      <c r="F6471" s="11">
        <v>1</v>
      </c>
      <c r="G6471" s="11">
        <v>46218.49</v>
      </c>
    </row>
    <row r="6472" spans="2:7" x14ac:dyDescent="0.2">
      <c r="B6472" s="32">
        <v>45988</v>
      </c>
      <c r="C6472" t="s">
        <v>109</v>
      </c>
      <c r="D6472" s="13" t="s">
        <v>634</v>
      </c>
      <c r="E6472" t="s">
        <v>240</v>
      </c>
      <c r="F6472" s="11">
        <v>1</v>
      </c>
      <c r="G6472" s="11">
        <v>42016.81</v>
      </c>
    </row>
    <row r="6473" spans="2:7" x14ac:dyDescent="0.2">
      <c r="B6473" s="32">
        <v>45988</v>
      </c>
      <c r="C6473" t="s">
        <v>109</v>
      </c>
      <c r="D6473" s="13" t="s">
        <v>634</v>
      </c>
      <c r="E6473" t="s">
        <v>310</v>
      </c>
      <c r="F6473" s="11">
        <v>1</v>
      </c>
      <c r="G6473" s="11">
        <v>16806.72</v>
      </c>
    </row>
    <row r="6474" spans="2:7" x14ac:dyDescent="0.2">
      <c r="B6474" s="32">
        <v>45988</v>
      </c>
      <c r="C6474" t="s">
        <v>109</v>
      </c>
      <c r="D6474" s="13" t="s">
        <v>633</v>
      </c>
      <c r="E6474" t="s">
        <v>302</v>
      </c>
      <c r="F6474" s="11">
        <v>14</v>
      </c>
      <c r="G6474" s="11">
        <v>1200000</v>
      </c>
    </row>
    <row r="6475" spans="2:7" x14ac:dyDescent="0.2">
      <c r="B6475" s="32">
        <v>45988</v>
      </c>
      <c r="C6475" t="s">
        <v>109</v>
      </c>
      <c r="D6475" s="13" t="s">
        <v>633</v>
      </c>
      <c r="E6475" t="s">
        <v>144</v>
      </c>
      <c r="F6475" s="11">
        <v>22</v>
      </c>
      <c r="G6475" s="11">
        <v>389915.96</v>
      </c>
    </row>
    <row r="6476" spans="2:7" x14ac:dyDescent="0.2">
      <c r="B6476" s="32">
        <v>45988</v>
      </c>
      <c r="C6476" t="s">
        <v>109</v>
      </c>
      <c r="D6476" s="13" t="s">
        <v>633</v>
      </c>
      <c r="E6476" t="s">
        <v>681</v>
      </c>
      <c r="F6476" s="11">
        <v>2</v>
      </c>
      <c r="G6476" s="11">
        <v>151260.5</v>
      </c>
    </row>
    <row r="6477" spans="2:7" x14ac:dyDescent="0.2">
      <c r="B6477" s="32">
        <v>45988</v>
      </c>
      <c r="C6477" t="s">
        <v>109</v>
      </c>
      <c r="D6477" s="13" t="s">
        <v>633</v>
      </c>
      <c r="E6477" t="s">
        <v>2125</v>
      </c>
      <c r="F6477" s="11">
        <v>2</v>
      </c>
      <c r="G6477" s="11">
        <v>126050.42</v>
      </c>
    </row>
    <row r="6478" spans="2:7" x14ac:dyDescent="0.2">
      <c r="B6478" s="32">
        <v>45988</v>
      </c>
      <c r="C6478" t="s">
        <v>109</v>
      </c>
      <c r="D6478" s="13" t="s">
        <v>633</v>
      </c>
      <c r="E6478" t="s">
        <v>151</v>
      </c>
      <c r="F6478" s="11">
        <v>2</v>
      </c>
      <c r="G6478" s="11">
        <v>92436.97</v>
      </c>
    </row>
    <row r="6479" spans="2:7" x14ac:dyDescent="0.2">
      <c r="B6479" s="32">
        <v>45988</v>
      </c>
      <c r="C6479" t="s">
        <v>109</v>
      </c>
      <c r="D6479" s="13" t="s">
        <v>633</v>
      </c>
      <c r="E6479" t="s">
        <v>148</v>
      </c>
      <c r="F6479" s="11">
        <v>2</v>
      </c>
      <c r="G6479" s="11">
        <v>75630.25</v>
      </c>
    </row>
    <row r="6480" spans="2:7" x14ac:dyDescent="0.2">
      <c r="B6480" s="32">
        <v>45988</v>
      </c>
      <c r="C6480" t="s">
        <v>109</v>
      </c>
      <c r="D6480" s="13" t="s">
        <v>633</v>
      </c>
      <c r="E6480" t="s">
        <v>1818</v>
      </c>
      <c r="F6480" s="11">
        <v>2</v>
      </c>
      <c r="G6480" s="11">
        <v>75630.25</v>
      </c>
    </row>
    <row r="6481" spans="2:7" x14ac:dyDescent="0.2">
      <c r="B6481" s="32">
        <v>45988</v>
      </c>
      <c r="C6481" t="s">
        <v>109</v>
      </c>
      <c r="D6481" s="13" t="s">
        <v>633</v>
      </c>
      <c r="E6481" t="s">
        <v>164</v>
      </c>
      <c r="F6481" s="11">
        <v>1</v>
      </c>
      <c r="G6481" s="11">
        <v>71428.570000000007</v>
      </c>
    </row>
    <row r="6482" spans="2:7" x14ac:dyDescent="0.2">
      <c r="B6482" s="32">
        <v>45988</v>
      </c>
      <c r="C6482" t="s">
        <v>109</v>
      </c>
      <c r="D6482" s="13" t="s">
        <v>633</v>
      </c>
      <c r="E6482" t="s">
        <v>495</v>
      </c>
      <c r="F6482" s="11">
        <v>1</v>
      </c>
      <c r="G6482" s="11">
        <v>54621.85</v>
      </c>
    </row>
    <row r="6483" spans="2:7" x14ac:dyDescent="0.2">
      <c r="B6483" s="32">
        <v>45988</v>
      </c>
      <c r="C6483" t="s">
        <v>109</v>
      </c>
      <c r="D6483" s="13" t="s">
        <v>633</v>
      </c>
      <c r="E6483" t="s">
        <v>2119</v>
      </c>
      <c r="F6483" s="11">
        <v>1</v>
      </c>
      <c r="G6483" s="11">
        <v>46218.49</v>
      </c>
    </row>
    <row r="6484" spans="2:7" x14ac:dyDescent="0.2">
      <c r="B6484" s="32">
        <v>45988</v>
      </c>
      <c r="C6484" t="s">
        <v>109</v>
      </c>
      <c r="D6484" s="13" t="s">
        <v>633</v>
      </c>
      <c r="E6484" t="s">
        <v>238</v>
      </c>
      <c r="F6484" s="11">
        <v>1</v>
      </c>
      <c r="G6484" s="11">
        <v>46218.49</v>
      </c>
    </row>
    <row r="6485" spans="2:7" x14ac:dyDescent="0.2">
      <c r="B6485" s="32">
        <v>45988</v>
      </c>
      <c r="C6485" t="s">
        <v>109</v>
      </c>
      <c r="D6485" s="13" t="s">
        <v>633</v>
      </c>
      <c r="E6485" t="s">
        <v>1968</v>
      </c>
      <c r="F6485" s="11">
        <v>1</v>
      </c>
      <c r="G6485" s="11">
        <v>42016.81</v>
      </c>
    </row>
    <row r="6486" spans="2:7" x14ac:dyDescent="0.2">
      <c r="B6486" s="32">
        <v>45988</v>
      </c>
      <c r="C6486" t="s">
        <v>109</v>
      </c>
      <c r="D6486" s="13" t="s">
        <v>633</v>
      </c>
      <c r="E6486" t="s">
        <v>2102</v>
      </c>
      <c r="F6486" s="11">
        <v>1</v>
      </c>
      <c r="G6486" s="11">
        <v>37815.129999999997</v>
      </c>
    </row>
    <row r="6487" spans="2:7" x14ac:dyDescent="0.2">
      <c r="B6487" s="32">
        <v>45989</v>
      </c>
      <c r="C6487" t="s">
        <v>142</v>
      </c>
      <c r="D6487" s="13" t="s">
        <v>634</v>
      </c>
      <c r="E6487" t="s">
        <v>554</v>
      </c>
      <c r="F6487" s="11">
        <v>1</v>
      </c>
      <c r="G6487" s="11">
        <v>285714.28999999998</v>
      </c>
    </row>
    <row r="6488" spans="2:7" x14ac:dyDescent="0.2">
      <c r="B6488" s="32">
        <v>45989</v>
      </c>
      <c r="C6488" t="s">
        <v>142</v>
      </c>
      <c r="D6488" s="13" t="s">
        <v>634</v>
      </c>
      <c r="E6488" t="s">
        <v>197</v>
      </c>
      <c r="F6488" s="11">
        <v>2</v>
      </c>
      <c r="G6488" s="11">
        <v>201680.67</v>
      </c>
    </row>
    <row r="6489" spans="2:7" x14ac:dyDescent="0.2">
      <c r="B6489" s="32">
        <v>45989</v>
      </c>
      <c r="C6489" t="s">
        <v>142</v>
      </c>
      <c r="D6489" s="13" t="s">
        <v>634</v>
      </c>
      <c r="E6489" t="s">
        <v>243</v>
      </c>
      <c r="F6489" s="11">
        <v>2</v>
      </c>
      <c r="G6489" s="11">
        <v>201680.67</v>
      </c>
    </row>
    <row r="6490" spans="2:7" x14ac:dyDescent="0.2">
      <c r="B6490" s="32">
        <v>45989</v>
      </c>
      <c r="C6490" t="s">
        <v>142</v>
      </c>
      <c r="D6490" s="13" t="s">
        <v>634</v>
      </c>
      <c r="E6490" t="s">
        <v>282</v>
      </c>
      <c r="F6490" s="11">
        <v>3</v>
      </c>
      <c r="G6490" s="11">
        <v>176470.59</v>
      </c>
    </row>
    <row r="6491" spans="2:7" x14ac:dyDescent="0.2">
      <c r="B6491" s="32">
        <v>45989</v>
      </c>
      <c r="C6491" t="s">
        <v>142</v>
      </c>
      <c r="D6491" s="13" t="s">
        <v>634</v>
      </c>
      <c r="E6491" t="s">
        <v>154</v>
      </c>
      <c r="F6491" s="11">
        <v>1</v>
      </c>
      <c r="G6491" s="11">
        <v>100840.34</v>
      </c>
    </row>
    <row r="6492" spans="2:7" x14ac:dyDescent="0.2">
      <c r="B6492" s="32">
        <v>45989</v>
      </c>
      <c r="C6492" t="s">
        <v>142</v>
      </c>
      <c r="D6492" s="13" t="s">
        <v>634</v>
      </c>
      <c r="E6492" t="s">
        <v>295</v>
      </c>
      <c r="F6492" s="11">
        <v>1</v>
      </c>
      <c r="G6492" s="11">
        <v>100840.34</v>
      </c>
    </row>
    <row r="6493" spans="2:7" x14ac:dyDescent="0.2">
      <c r="B6493" s="32">
        <v>45989</v>
      </c>
      <c r="C6493" t="s">
        <v>142</v>
      </c>
      <c r="D6493" s="13" t="s">
        <v>634</v>
      </c>
      <c r="E6493" t="s">
        <v>162</v>
      </c>
      <c r="F6493" s="11">
        <v>1</v>
      </c>
      <c r="G6493" s="11">
        <v>58823.53</v>
      </c>
    </row>
    <row r="6494" spans="2:7" x14ac:dyDescent="0.2">
      <c r="B6494" s="32">
        <v>45989</v>
      </c>
      <c r="C6494" t="s">
        <v>142</v>
      </c>
      <c r="D6494" s="13" t="s">
        <v>634</v>
      </c>
      <c r="E6494" t="s">
        <v>332</v>
      </c>
      <c r="F6494" s="11">
        <v>1</v>
      </c>
      <c r="G6494" s="11">
        <v>58823.53</v>
      </c>
    </row>
    <row r="6495" spans="2:7" x14ac:dyDescent="0.2">
      <c r="B6495" s="32">
        <v>45989</v>
      </c>
      <c r="C6495" t="s">
        <v>142</v>
      </c>
      <c r="D6495" s="13" t="s">
        <v>634</v>
      </c>
      <c r="E6495" t="s">
        <v>229</v>
      </c>
      <c r="F6495" s="11">
        <v>1</v>
      </c>
      <c r="G6495" s="11">
        <v>42016.81</v>
      </c>
    </row>
    <row r="6496" spans="2:7" x14ac:dyDescent="0.2">
      <c r="B6496" s="32">
        <v>45989</v>
      </c>
      <c r="C6496" t="s">
        <v>142</v>
      </c>
      <c r="D6496" s="13" t="s">
        <v>633</v>
      </c>
      <c r="E6496" t="s">
        <v>711</v>
      </c>
      <c r="F6496" s="11">
        <v>1</v>
      </c>
      <c r="G6496" s="11">
        <v>392857.14</v>
      </c>
    </row>
    <row r="6497" spans="2:7" x14ac:dyDescent="0.2">
      <c r="B6497" s="32">
        <v>45989</v>
      </c>
      <c r="C6497" t="s">
        <v>142</v>
      </c>
      <c r="D6497" s="13" t="s">
        <v>633</v>
      </c>
      <c r="E6497" t="s">
        <v>2128</v>
      </c>
      <c r="F6497" s="11">
        <v>1</v>
      </c>
      <c r="G6497" s="11">
        <v>385714.29</v>
      </c>
    </row>
    <row r="6498" spans="2:7" x14ac:dyDescent="0.2">
      <c r="B6498" s="32">
        <v>45989</v>
      </c>
      <c r="C6498" t="s">
        <v>142</v>
      </c>
      <c r="D6498" s="13" t="s">
        <v>633</v>
      </c>
      <c r="E6498" t="s">
        <v>423</v>
      </c>
      <c r="F6498" s="11">
        <v>2</v>
      </c>
      <c r="G6498" s="11">
        <v>121428.57</v>
      </c>
    </row>
    <row r="6499" spans="2:7" x14ac:dyDescent="0.2">
      <c r="B6499" s="32">
        <v>45989</v>
      </c>
      <c r="C6499" t="s">
        <v>142</v>
      </c>
      <c r="D6499" s="13" t="s">
        <v>633</v>
      </c>
      <c r="E6499" t="s">
        <v>2129</v>
      </c>
      <c r="F6499" s="11">
        <v>2</v>
      </c>
      <c r="G6499" s="11">
        <v>100000</v>
      </c>
    </row>
    <row r="6500" spans="2:7" x14ac:dyDescent="0.2">
      <c r="B6500" s="32">
        <v>45989</v>
      </c>
      <c r="C6500" t="s">
        <v>142</v>
      </c>
      <c r="D6500" s="13" t="s">
        <v>633</v>
      </c>
      <c r="E6500" t="s">
        <v>777</v>
      </c>
      <c r="F6500" s="11">
        <v>2</v>
      </c>
      <c r="G6500" s="11">
        <v>100000</v>
      </c>
    </row>
    <row r="6501" spans="2:7" x14ac:dyDescent="0.2">
      <c r="B6501" s="32">
        <v>45989</v>
      </c>
      <c r="C6501" t="s">
        <v>142</v>
      </c>
      <c r="D6501" s="13" t="s">
        <v>633</v>
      </c>
      <c r="E6501" t="s">
        <v>237</v>
      </c>
      <c r="F6501" s="11">
        <v>2</v>
      </c>
      <c r="G6501" s="11">
        <v>92857.14</v>
      </c>
    </row>
    <row r="6502" spans="2:7" x14ac:dyDescent="0.2">
      <c r="B6502" s="32">
        <v>45989</v>
      </c>
      <c r="C6502" t="s">
        <v>142</v>
      </c>
      <c r="D6502" s="13" t="s">
        <v>633</v>
      </c>
      <c r="E6502" t="s">
        <v>359</v>
      </c>
      <c r="F6502" s="11">
        <v>1</v>
      </c>
      <c r="G6502" s="11">
        <v>85714.29</v>
      </c>
    </row>
    <row r="6503" spans="2:7" x14ac:dyDescent="0.2">
      <c r="B6503" s="32">
        <v>45989</v>
      </c>
      <c r="C6503" t="s">
        <v>142</v>
      </c>
      <c r="D6503" s="13" t="s">
        <v>633</v>
      </c>
      <c r="E6503" t="s">
        <v>418</v>
      </c>
      <c r="F6503" s="11">
        <v>1</v>
      </c>
      <c r="G6503" s="11">
        <v>85714.29</v>
      </c>
    </row>
    <row r="6504" spans="2:7" x14ac:dyDescent="0.2">
      <c r="B6504" s="32">
        <v>45989</v>
      </c>
      <c r="C6504" t="s">
        <v>142</v>
      </c>
      <c r="D6504" s="13" t="s">
        <v>633</v>
      </c>
      <c r="E6504" t="s">
        <v>757</v>
      </c>
      <c r="F6504" s="11">
        <v>1</v>
      </c>
      <c r="G6504" s="11">
        <v>58823.53</v>
      </c>
    </row>
    <row r="6505" spans="2:7" x14ac:dyDescent="0.2">
      <c r="B6505" s="32">
        <v>45989</v>
      </c>
      <c r="C6505" t="s">
        <v>142</v>
      </c>
      <c r="D6505" s="13" t="s">
        <v>633</v>
      </c>
      <c r="E6505" t="s">
        <v>335</v>
      </c>
      <c r="F6505" s="11">
        <v>1</v>
      </c>
      <c r="G6505" s="11">
        <v>58823.53</v>
      </c>
    </row>
    <row r="6506" spans="2:7" x14ac:dyDescent="0.2">
      <c r="B6506" s="32">
        <v>45989</v>
      </c>
      <c r="C6506" t="s">
        <v>142</v>
      </c>
      <c r="D6506" s="13" t="s">
        <v>633</v>
      </c>
      <c r="E6506" t="s">
        <v>341</v>
      </c>
      <c r="F6506" s="11">
        <v>1</v>
      </c>
      <c r="G6506" s="11">
        <v>58823.53</v>
      </c>
    </row>
    <row r="6507" spans="2:7" x14ac:dyDescent="0.2">
      <c r="B6507" s="32">
        <v>45989</v>
      </c>
      <c r="C6507" t="s">
        <v>142</v>
      </c>
      <c r="D6507" s="13" t="s">
        <v>633</v>
      </c>
      <c r="E6507" t="s">
        <v>292</v>
      </c>
      <c r="F6507" s="11">
        <v>1</v>
      </c>
      <c r="G6507" s="11">
        <v>54621.85</v>
      </c>
    </row>
    <row r="6508" spans="2:7" x14ac:dyDescent="0.2">
      <c r="B6508" s="32">
        <v>45989</v>
      </c>
      <c r="C6508" t="s">
        <v>142</v>
      </c>
      <c r="D6508" s="13" t="s">
        <v>633</v>
      </c>
      <c r="E6508" t="s">
        <v>293</v>
      </c>
      <c r="F6508" s="11">
        <v>1</v>
      </c>
      <c r="G6508" s="11">
        <v>37815.129999999997</v>
      </c>
    </row>
    <row r="6509" spans="2:7" x14ac:dyDescent="0.2">
      <c r="B6509" s="32">
        <v>45989</v>
      </c>
      <c r="C6509" t="s">
        <v>142</v>
      </c>
      <c r="D6509" s="13" t="s">
        <v>633</v>
      </c>
      <c r="E6509" t="s">
        <v>194</v>
      </c>
      <c r="F6509" s="11">
        <v>1</v>
      </c>
      <c r="G6509" s="11">
        <v>0</v>
      </c>
    </row>
    <row r="6510" spans="2:7" x14ac:dyDescent="0.2">
      <c r="B6510" s="32">
        <v>45989</v>
      </c>
      <c r="C6510" t="s">
        <v>109</v>
      </c>
      <c r="D6510" s="13"/>
      <c r="E6510" t="s">
        <v>212</v>
      </c>
      <c r="F6510" s="11">
        <v>1</v>
      </c>
      <c r="G6510" s="11">
        <v>54621.85</v>
      </c>
    </row>
    <row r="6511" spans="2:7" x14ac:dyDescent="0.2">
      <c r="B6511" s="32">
        <v>45989</v>
      </c>
      <c r="C6511" t="s">
        <v>109</v>
      </c>
      <c r="D6511" s="13"/>
      <c r="E6511" t="s">
        <v>258</v>
      </c>
      <c r="F6511" s="11">
        <v>1</v>
      </c>
      <c r="G6511" s="11">
        <v>54621.85</v>
      </c>
    </row>
    <row r="6512" spans="2:7" x14ac:dyDescent="0.2">
      <c r="B6512" s="32">
        <v>45989</v>
      </c>
      <c r="C6512" t="s">
        <v>109</v>
      </c>
      <c r="D6512" s="13" t="s">
        <v>634</v>
      </c>
      <c r="E6512" t="s">
        <v>218</v>
      </c>
      <c r="F6512" s="11">
        <v>1</v>
      </c>
      <c r="G6512" s="11">
        <v>252100.85</v>
      </c>
    </row>
    <row r="6513" spans="2:7" x14ac:dyDescent="0.2">
      <c r="B6513" s="32">
        <v>45989</v>
      </c>
      <c r="C6513" t="s">
        <v>109</v>
      </c>
      <c r="D6513" s="13" t="s">
        <v>634</v>
      </c>
      <c r="E6513" t="s">
        <v>168</v>
      </c>
      <c r="F6513" s="11">
        <v>4</v>
      </c>
      <c r="G6513" s="11">
        <v>168067.22</v>
      </c>
    </row>
    <row r="6514" spans="2:7" x14ac:dyDescent="0.2">
      <c r="B6514" s="32">
        <v>45989</v>
      </c>
      <c r="C6514" t="s">
        <v>109</v>
      </c>
      <c r="D6514" s="13" t="s">
        <v>634</v>
      </c>
      <c r="E6514" t="s">
        <v>2017</v>
      </c>
      <c r="F6514" s="11">
        <v>2</v>
      </c>
      <c r="G6514" s="11">
        <v>151260.5</v>
      </c>
    </row>
    <row r="6515" spans="2:7" x14ac:dyDescent="0.2">
      <c r="B6515" s="32">
        <v>45989</v>
      </c>
      <c r="C6515" t="s">
        <v>109</v>
      </c>
      <c r="D6515" s="13" t="s">
        <v>634</v>
      </c>
      <c r="E6515" t="s">
        <v>2014</v>
      </c>
      <c r="F6515" s="11">
        <v>2</v>
      </c>
      <c r="G6515" s="11">
        <v>142857.14000000001</v>
      </c>
    </row>
    <row r="6516" spans="2:7" x14ac:dyDescent="0.2">
      <c r="B6516" s="32">
        <v>45989</v>
      </c>
      <c r="C6516" t="s">
        <v>109</v>
      </c>
      <c r="D6516" s="13" t="s">
        <v>634</v>
      </c>
      <c r="E6516" t="s">
        <v>2057</v>
      </c>
      <c r="F6516" s="11">
        <v>8</v>
      </c>
      <c r="G6516" s="11">
        <v>134453.79</v>
      </c>
    </row>
    <row r="6517" spans="2:7" x14ac:dyDescent="0.2">
      <c r="B6517" s="32">
        <v>45989</v>
      </c>
      <c r="C6517" t="s">
        <v>109</v>
      </c>
      <c r="D6517" s="13" t="s">
        <v>634</v>
      </c>
      <c r="E6517" t="s">
        <v>150</v>
      </c>
      <c r="F6517" s="11">
        <v>3</v>
      </c>
      <c r="G6517" s="11">
        <v>126050.42</v>
      </c>
    </row>
    <row r="6518" spans="2:7" x14ac:dyDescent="0.2">
      <c r="B6518" s="32">
        <v>45989</v>
      </c>
      <c r="C6518" t="s">
        <v>109</v>
      </c>
      <c r="D6518" s="13" t="s">
        <v>634</v>
      </c>
      <c r="E6518" t="s">
        <v>500</v>
      </c>
      <c r="F6518" s="11">
        <v>2</v>
      </c>
      <c r="G6518" s="11">
        <v>117647.06</v>
      </c>
    </row>
    <row r="6519" spans="2:7" x14ac:dyDescent="0.2">
      <c r="B6519" s="32">
        <v>45989</v>
      </c>
      <c r="C6519" t="s">
        <v>109</v>
      </c>
      <c r="D6519" s="13" t="s">
        <v>634</v>
      </c>
      <c r="E6519" t="s">
        <v>258</v>
      </c>
      <c r="F6519" s="11">
        <v>2</v>
      </c>
      <c r="G6519" s="11">
        <v>109243.68</v>
      </c>
    </row>
    <row r="6520" spans="2:7" x14ac:dyDescent="0.2">
      <c r="B6520" s="32">
        <v>45989</v>
      </c>
      <c r="C6520" t="s">
        <v>109</v>
      </c>
      <c r="D6520" s="13" t="s">
        <v>634</v>
      </c>
      <c r="E6520" t="s">
        <v>1968</v>
      </c>
      <c r="F6520" s="11">
        <v>2</v>
      </c>
      <c r="G6520" s="11">
        <v>84033.62</v>
      </c>
    </row>
    <row r="6521" spans="2:7" x14ac:dyDescent="0.2">
      <c r="B6521" s="32">
        <v>45989</v>
      </c>
      <c r="C6521" t="s">
        <v>109</v>
      </c>
      <c r="D6521" s="13" t="s">
        <v>634</v>
      </c>
      <c r="E6521" t="s">
        <v>781</v>
      </c>
      <c r="F6521" s="11">
        <v>1</v>
      </c>
      <c r="G6521" s="11">
        <v>65546.22</v>
      </c>
    </row>
    <row r="6522" spans="2:7" x14ac:dyDescent="0.2">
      <c r="B6522" s="32">
        <v>45989</v>
      </c>
      <c r="C6522" t="s">
        <v>109</v>
      </c>
      <c r="D6522" s="13" t="s">
        <v>634</v>
      </c>
      <c r="E6522" t="s">
        <v>2123</v>
      </c>
      <c r="F6522" s="11">
        <v>1</v>
      </c>
      <c r="G6522" s="11">
        <v>58823.53</v>
      </c>
    </row>
    <row r="6523" spans="2:7" x14ac:dyDescent="0.2">
      <c r="B6523" s="32">
        <v>45989</v>
      </c>
      <c r="C6523" t="s">
        <v>109</v>
      </c>
      <c r="D6523" s="13" t="s">
        <v>634</v>
      </c>
      <c r="E6523" t="s">
        <v>628</v>
      </c>
      <c r="F6523" s="11">
        <v>1</v>
      </c>
      <c r="G6523" s="11">
        <v>54621.85</v>
      </c>
    </row>
    <row r="6524" spans="2:7" x14ac:dyDescent="0.2">
      <c r="B6524" s="32">
        <v>45989</v>
      </c>
      <c r="C6524" t="s">
        <v>109</v>
      </c>
      <c r="D6524" s="13" t="s">
        <v>634</v>
      </c>
      <c r="E6524" t="s">
        <v>350</v>
      </c>
      <c r="F6524" s="11">
        <v>1</v>
      </c>
      <c r="G6524" s="11">
        <v>46218.49</v>
      </c>
    </row>
    <row r="6525" spans="2:7" x14ac:dyDescent="0.2">
      <c r="B6525" s="32">
        <v>45989</v>
      </c>
      <c r="C6525" t="s">
        <v>109</v>
      </c>
      <c r="D6525" s="13" t="s">
        <v>634</v>
      </c>
      <c r="E6525" t="s">
        <v>2093</v>
      </c>
      <c r="F6525" s="11">
        <v>1</v>
      </c>
      <c r="G6525" s="11">
        <v>46218.49</v>
      </c>
    </row>
    <row r="6526" spans="2:7" x14ac:dyDescent="0.2">
      <c r="B6526" s="32">
        <v>45989</v>
      </c>
      <c r="C6526" t="s">
        <v>109</v>
      </c>
      <c r="D6526" s="13" t="s">
        <v>634</v>
      </c>
      <c r="E6526" t="s">
        <v>2130</v>
      </c>
      <c r="F6526" s="11">
        <v>1</v>
      </c>
      <c r="G6526" s="11">
        <v>46218.49</v>
      </c>
    </row>
    <row r="6527" spans="2:7" x14ac:dyDescent="0.2">
      <c r="B6527" s="32">
        <v>45989</v>
      </c>
      <c r="C6527" t="s">
        <v>109</v>
      </c>
      <c r="D6527" s="13" t="s">
        <v>634</v>
      </c>
      <c r="E6527" t="s">
        <v>2067</v>
      </c>
      <c r="F6527" s="11">
        <v>1</v>
      </c>
      <c r="G6527" s="11">
        <v>46218.48</v>
      </c>
    </row>
    <row r="6528" spans="2:7" x14ac:dyDescent="0.2">
      <c r="B6528" s="32">
        <v>45989</v>
      </c>
      <c r="C6528" t="s">
        <v>109</v>
      </c>
      <c r="D6528" s="13" t="s">
        <v>634</v>
      </c>
      <c r="E6528" t="s">
        <v>203</v>
      </c>
      <c r="F6528" s="11">
        <v>1</v>
      </c>
      <c r="G6528" s="11">
        <v>42016.81</v>
      </c>
    </row>
    <row r="6529" spans="2:7" x14ac:dyDescent="0.2">
      <c r="B6529" s="32">
        <v>45989</v>
      </c>
      <c r="C6529" t="s">
        <v>109</v>
      </c>
      <c r="D6529" s="13" t="s">
        <v>634</v>
      </c>
      <c r="E6529" t="s">
        <v>196</v>
      </c>
      <c r="F6529" s="11">
        <v>1</v>
      </c>
      <c r="G6529" s="11">
        <v>42016.81</v>
      </c>
    </row>
    <row r="6530" spans="2:7" x14ac:dyDescent="0.2">
      <c r="B6530" s="32">
        <v>45989</v>
      </c>
      <c r="C6530" t="s">
        <v>109</v>
      </c>
      <c r="D6530" s="13" t="s">
        <v>634</v>
      </c>
      <c r="E6530" t="s">
        <v>309</v>
      </c>
      <c r="F6530" s="11">
        <v>1</v>
      </c>
      <c r="G6530" s="11">
        <v>42016.81</v>
      </c>
    </row>
    <row r="6531" spans="2:7" x14ac:dyDescent="0.2">
      <c r="B6531" s="32">
        <v>45989</v>
      </c>
      <c r="C6531" t="s">
        <v>109</v>
      </c>
      <c r="D6531" s="13" t="s">
        <v>634</v>
      </c>
      <c r="E6531" t="s">
        <v>2109</v>
      </c>
      <c r="F6531" s="11">
        <v>1</v>
      </c>
      <c r="G6531" s="11">
        <v>37815.129999999997</v>
      </c>
    </row>
    <row r="6532" spans="2:7" x14ac:dyDescent="0.2">
      <c r="B6532" s="32">
        <v>45989</v>
      </c>
      <c r="C6532" t="s">
        <v>109</v>
      </c>
      <c r="D6532" s="13" t="s">
        <v>634</v>
      </c>
      <c r="E6532" t="s">
        <v>2061</v>
      </c>
      <c r="F6532" s="11">
        <v>2</v>
      </c>
      <c r="G6532" s="11">
        <v>33613.440000000002</v>
      </c>
    </row>
    <row r="6533" spans="2:7" x14ac:dyDescent="0.2">
      <c r="B6533" s="32">
        <v>45989</v>
      </c>
      <c r="C6533" t="s">
        <v>109</v>
      </c>
      <c r="D6533" s="13" t="s">
        <v>634</v>
      </c>
      <c r="E6533" t="s">
        <v>145</v>
      </c>
      <c r="F6533" s="11">
        <v>1</v>
      </c>
      <c r="G6533" s="11">
        <v>29411.759999999998</v>
      </c>
    </row>
    <row r="6534" spans="2:7" x14ac:dyDescent="0.2">
      <c r="B6534" s="32">
        <v>45989</v>
      </c>
      <c r="C6534" t="s">
        <v>109</v>
      </c>
      <c r="D6534" s="13" t="s">
        <v>634</v>
      </c>
      <c r="E6534" t="s">
        <v>144</v>
      </c>
      <c r="F6534" s="11">
        <v>1</v>
      </c>
      <c r="G6534" s="11">
        <v>13445.38</v>
      </c>
    </row>
    <row r="6535" spans="2:7" x14ac:dyDescent="0.2">
      <c r="B6535" s="32">
        <v>45989</v>
      </c>
      <c r="C6535" t="s">
        <v>109</v>
      </c>
      <c r="D6535" s="13" t="s">
        <v>633</v>
      </c>
      <c r="E6535" t="s">
        <v>423</v>
      </c>
      <c r="F6535" s="11">
        <v>6</v>
      </c>
      <c r="G6535" s="11">
        <v>470588.24</v>
      </c>
    </row>
    <row r="6536" spans="2:7" x14ac:dyDescent="0.2">
      <c r="B6536" s="32">
        <v>45989</v>
      </c>
      <c r="C6536" t="s">
        <v>109</v>
      </c>
      <c r="D6536" s="13" t="s">
        <v>633</v>
      </c>
      <c r="E6536" t="s">
        <v>144</v>
      </c>
      <c r="F6536" s="11">
        <v>7</v>
      </c>
      <c r="G6536" s="11">
        <v>314285.71999999997</v>
      </c>
    </row>
    <row r="6537" spans="2:7" x14ac:dyDescent="0.2">
      <c r="B6537" s="32">
        <v>45989</v>
      </c>
      <c r="C6537" t="s">
        <v>109</v>
      </c>
      <c r="D6537" s="13" t="s">
        <v>633</v>
      </c>
      <c r="E6537" t="s">
        <v>184</v>
      </c>
      <c r="F6537" s="11">
        <v>3</v>
      </c>
      <c r="G6537" s="11">
        <v>272268.90999999997</v>
      </c>
    </row>
    <row r="6538" spans="2:7" x14ac:dyDescent="0.2">
      <c r="B6538" s="32">
        <v>45989</v>
      </c>
      <c r="C6538" t="s">
        <v>109</v>
      </c>
      <c r="D6538" s="13" t="s">
        <v>633</v>
      </c>
      <c r="E6538" t="s">
        <v>2011</v>
      </c>
      <c r="F6538" s="11">
        <v>4</v>
      </c>
      <c r="G6538" s="11">
        <v>218487.39</v>
      </c>
    </row>
    <row r="6539" spans="2:7" x14ac:dyDescent="0.2">
      <c r="B6539" s="32">
        <v>45989</v>
      </c>
      <c r="C6539" t="s">
        <v>109</v>
      </c>
      <c r="D6539" s="13" t="s">
        <v>633</v>
      </c>
      <c r="E6539" t="s">
        <v>2125</v>
      </c>
      <c r="F6539" s="11">
        <v>2</v>
      </c>
      <c r="G6539" s="11">
        <v>126050.41</v>
      </c>
    </row>
    <row r="6540" spans="2:7" x14ac:dyDescent="0.2">
      <c r="B6540" s="32">
        <v>45989</v>
      </c>
      <c r="C6540" t="s">
        <v>109</v>
      </c>
      <c r="D6540" s="13" t="s">
        <v>633</v>
      </c>
      <c r="E6540" t="s">
        <v>1902</v>
      </c>
      <c r="F6540" s="11">
        <v>3</v>
      </c>
      <c r="G6540" s="11">
        <v>113445.38</v>
      </c>
    </row>
    <row r="6541" spans="2:7" x14ac:dyDescent="0.2">
      <c r="B6541" s="32">
        <v>45989</v>
      </c>
      <c r="C6541" t="s">
        <v>109</v>
      </c>
      <c r="D6541" s="13" t="s">
        <v>633</v>
      </c>
      <c r="E6541" t="s">
        <v>348</v>
      </c>
      <c r="F6541" s="11">
        <v>2</v>
      </c>
      <c r="G6541" s="11">
        <v>109243.69</v>
      </c>
    </row>
    <row r="6542" spans="2:7" x14ac:dyDescent="0.2">
      <c r="B6542" s="32">
        <v>45989</v>
      </c>
      <c r="C6542" t="s">
        <v>109</v>
      </c>
      <c r="D6542" s="13" t="s">
        <v>633</v>
      </c>
      <c r="E6542" t="s">
        <v>1871</v>
      </c>
      <c r="F6542" s="11">
        <v>1</v>
      </c>
      <c r="G6542" s="11">
        <v>92857.14</v>
      </c>
    </row>
    <row r="6543" spans="2:7" x14ac:dyDescent="0.2">
      <c r="B6543" s="32">
        <v>45989</v>
      </c>
      <c r="C6543" t="s">
        <v>109</v>
      </c>
      <c r="D6543" s="13" t="s">
        <v>633</v>
      </c>
      <c r="E6543" t="s">
        <v>439</v>
      </c>
      <c r="F6543" s="11">
        <v>1</v>
      </c>
      <c r="G6543" s="11">
        <v>92857.14</v>
      </c>
    </row>
    <row r="6544" spans="2:7" x14ac:dyDescent="0.2">
      <c r="B6544" s="32">
        <v>45989</v>
      </c>
      <c r="C6544" t="s">
        <v>109</v>
      </c>
      <c r="D6544" s="13" t="s">
        <v>633</v>
      </c>
      <c r="E6544" t="s">
        <v>156</v>
      </c>
      <c r="F6544" s="11">
        <v>2</v>
      </c>
      <c r="G6544" s="11">
        <v>84033.61</v>
      </c>
    </row>
    <row r="6545" spans="2:7" x14ac:dyDescent="0.2">
      <c r="B6545" s="32">
        <v>45989</v>
      </c>
      <c r="C6545" t="s">
        <v>109</v>
      </c>
      <c r="D6545" s="13" t="s">
        <v>633</v>
      </c>
      <c r="E6545" t="s">
        <v>452</v>
      </c>
      <c r="F6545" s="11">
        <v>2</v>
      </c>
      <c r="G6545" s="11">
        <v>75630.25</v>
      </c>
    </row>
    <row r="6546" spans="2:7" x14ac:dyDescent="0.2">
      <c r="B6546" s="32">
        <v>45989</v>
      </c>
      <c r="C6546" t="s">
        <v>109</v>
      </c>
      <c r="D6546" s="13" t="s">
        <v>633</v>
      </c>
      <c r="E6546" t="s">
        <v>468</v>
      </c>
      <c r="F6546" s="11">
        <v>2</v>
      </c>
      <c r="G6546" s="11">
        <v>75630.25</v>
      </c>
    </row>
    <row r="6547" spans="2:7" x14ac:dyDescent="0.2">
      <c r="B6547" s="32">
        <v>45989</v>
      </c>
      <c r="C6547" t="s">
        <v>109</v>
      </c>
      <c r="D6547" s="13" t="s">
        <v>633</v>
      </c>
      <c r="E6547" t="s">
        <v>152</v>
      </c>
      <c r="F6547" s="11">
        <v>1</v>
      </c>
      <c r="G6547" s="11">
        <v>75630.25</v>
      </c>
    </row>
    <row r="6548" spans="2:7" x14ac:dyDescent="0.2">
      <c r="B6548" s="32">
        <v>45989</v>
      </c>
      <c r="C6548" t="s">
        <v>109</v>
      </c>
      <c r="D6548" s="13" t="s">
        <v>633</v>
      </c>
      <c r="E6548" t="s">
        <v>382</v>
      </c>
      <c r="F6548" s="11">
        <v>2</v>
      </c>
      <c r="G6548" s="11">
        <v>75630.25</v>
      </c>
    </row>
    <row r="6549" spans="2:7" x14ac:dyDescent="0.2">
      <c r="B6549" s="32">
        <v>45989</v>
      </c>
      <c r="C6549" t="s">
        <v>109</v>
      </c>
      <c r="D6549" s="13" t="s">
        <v>633</v>
      </c>
      <c r="E6549" t="s">
        <v>213</v>
      </c>
      <c r="F6549" s="11">
        <v>1</v>
      </c>
      <c r="G6549" s="11">
        <v>58823.53</v>
      </c>
    </row>
    <row r="6550" spans="2:7" x14ac:dyDescent="0.2">
      <c r="B6550" s="32">
        <v>45989</v>
      </c>
      <c r="C6550" t="s">
        <v>109</v>
      </c>
      <c r="D6550" s="13" t="s">
        <v>633</v>
      </c>
      <c r="E6550" t="s">
        <v>427</v>
      </c>
      <c r="F6550" s="11">
        <v>1</v>
      </c>
      <c r="G6550" s="11">
        <v>54621.85</v>
      </c>
    </row>
    <row r="6551" spans="2:7" x14ac:dyDescent="0.2">
      <c r="B6551" s="32">
        <v>45989</v>
      </c>
      <c r="C6551" t="s">
        <v>109</v>
      </c>
      <c r="D6551" s="13" t="s">
        <v>633</v>
      </c>
      <c r="E6551" t="s">
        <v>614</v>
      </c>
      <c r="F6551" s="11">
        <v>1</v>
      </c>
      <c r="G6551" s="11">
        <v>50420.17</v>
      </c>
    </row>
    <row r="6552" spans="2:7" x14ac:dyDescent="0.2">
      <c r="B6552" s="32">
        <v>45989</v>
      </c>
      <c r="C6552" t="s">
        <v>109</v>
      </c>
      <c r="D6552" s="13" t="s">
        <v>633</v>
      </c>
      <c r="E6552" t="s">
        <v>218</v>
      </c>
      <c r="F6552" s="11">
        <v>1</v>
      </c>
      <c r="G6552" s="11">
        <v>42016.81</v>
      </c>
    </row>
    <row r="6553" spans="2:7" x14ac:dyDescent="0.2">
      <c r="B6553" s="32">
        <v>45989</v>
      </c>
      <c r="C6553" t="s">
        <v>109</v>
      </c>
      <c r="D6553" s="13" t="s">
        <v>633</v>
      </c>
      <c r="E6553" t="s">
        <v>1847</v>
      </c>
      <c r="F6553" s="11">
        <v>2</v>
      </c>
      <c r="G6553" s="11">
        <v>42016.800000000003</v>
      </c>
    </row>
    <row r="6554" spans="2:7" x14ac:dyDescent="0.2">
      <c r="B6554" s="32">
        <v>45989</v>
      </c>
      <c r="C6554" t="s">
        <v>109</v>
      </c>
      <c r="D6554" s="13" t="s">
        <v>633</v>
      </c>
      <c r="E6554" t="s">
        <v>2107</v>
      </c>
      <c r="F6554" s="11">
        <v>1</v>
      </c>
      <c r="G6554" s="11">
        <v>37815.129999999997</v>
      </c>
    </row>
    <row r="6555" spans="2:7" x14ac:dyDescent="0.2">
      <c r="B6555" s="32">
        <v>45989</v>
      </c>
      <c r="C6555" t="s">
        <v>109</v>
      </c>
      <c r="D6555" s="13" t="s">
        <v>633</v>
      </c>
      <c r="E6555" t="s">
        <v>173</v>
      </c>
      <c r="F6555" s="11">
        <v>1</v>
      </c>
      <c r="G6555" s="11">
        <v>37815.129999999997</v>
      </c>
    </row>
    <row r="6556" spans="2:7" x14ac:dyDescent="0.2">
      <c r="B6556" s="32">
        <v>45989</v>
      </c>
      <c r="C6556" t="s">
        <v>109</v>
      </c>
      <c r="D6556" s="13" t="s">
        <v>633</v>
      </c>
      <c r="E6556" t="s">
        <v>2126</v>
      </c>
      <c r="F6556" s="11">
        <v>1</v>
      </c>
      <c r="G6556" s="11">
        <v>37815.129999999997</v>
      </c>
    </row>
    <row r="6557" spans="2:7" x14ac:dyDescent="0.2">
      <c r="B6557" s="32">
        <v>45989</v>
      </c>
      <c r="C6557" t="s">
        <v>109</v>
      </c>
      <c r="D6557" s="13" t="s">
        <v>633</v>
      </c>
      <c r="E6557" t="s">
        <v>1818</v>
      </c>
      <c r="F6557" s="11">
        <v>1</v>
      </c>
      <c r="G6557" s="11">
        <v>37815.120000000003</v>
      </c>
    </row>
    <row r="6558" spans="2:7" x14ac:dyDescent="0.2">
      <c r="B6558" s="32">
        <v>45989</v>
      </c>
      <c r="C6558" t="s">
        <v>109</v>
      </c>
      <c r="D6558" s="13" t="s">
        <v>633</v>
      </c>
      <c r="E6558" t="s">
        <v>182</v>
      </c>
      <c r="F6558" s="11">
        <v>1</v>
      </c>
      <c r="G6558" s="11">
        <v>29411.759999999998</v>
      </c>
    </row>
    <row r="6559" spans="2:7" x14ac:dyDescent="0.2">
      <c r="B6559" s="32">
        <v>45990</v>
      </c>
      <c r="C6559" t="s">
        <v>142</v>
      </c>
      <c r="D6559" s="13" t="s">
        <v>634</v>
      </c>
      <c r="E6559" t="s">
        <v>2071</v>
      </c>
      <c r="F6559" s="11">
        <v>2</v>
      </c>
      <c r="G6559" s="11">
        <v>92436.97</v>
      </c>
    </row>
    <row r="6560" spans="2:7" x14ac:dyDescent="0.2">
      <c r="B6560" s="32">
        <v>45990</v>
      </c>
      <c r="C6560" t="s">
        <v>142</v>
      </c>
      <c r="D6560" s="13" t="s">
        <v>633</v>
      </c>
      <c r="E6560" t="s">
        <v>2117</v>
      </c>
      <c r="F6560" s="11">
        <v>1</v>
      </c>
      <c r="G6560" s="11">
        <v>155462.18</v>
      </c>
    </row>
    <row r="6561" spans="2:7" x14ac:dyDescent="0.2">
      <c r="B6561" s="32">
        <v>45990</v>
      </c>
      <c r="C6561" t="s">
        <v>142</v>
      </c>
      <c r="D6561" s="13" t="s">
        <v>633</v>
      </c>
      <c r="E6561" t="s">
        <v>154</v>
      </c>
      <c r="F6561" s="11">
        <v>1</v>
      </c>
      <c r="G6561" s="11">
        <v>100840.34</v>
      </c>
    </row>
    <row r="6562" spans="2:7" x14ac:dyDescent="0.2">
      <c r="B6562" s="32">
        <v>45990</v>
      </c>
      <c r="C6562" t="s">
        <v>142</v>
      </c>
      <c r="D6562" s="13" t="s">
        <v>633</v>
      </c>
      <c r="E6562" t="s">
        <v>579</v>
      </c>
      <c r="F6562" s="11">
        <v>1</v>
      </c>
      <c r="G6562" s="11">
        <v>100840.34</v>
      </c>
    </row>
    <row r="6563" spans="2:7" x14ac:dyDescent="0.2">
      <c r="B6563" s="32">
        <v>45990</v>
      </c>
      <c r="C6563" t="s">
        <v>142</v>
      </c>
      <c r="D6563" s="13" t="s">
        <v>633</v>
      </c>
      <c r="E6563" t="s">
        <v>323</v>
      </c>
      <c r="F6563" s="11">
        <v>1</v>
      </c>
      <c r="G6563" s="11">
        <v>84033.61</v>
      </c>
    </row>
    <row r="6564" spans="2:7" x14ac:dyDescent="0.2">
      <c r="B6564" s="32">
        <v>45990</v>
      </c>
      <c r="C6564" t="s">
        <v>142</v>
      </c>
      <c r="D6564" s="13" t="s">
        <v>633</v>
      </c>
      <c r="E6564" t="s">
        <v>162</v>
      </c>
      <c r="F6564" s="11">
        <v>1</v>
      </c>
      <c r="G6564" s="11">
        <v>58823.53</v>
      </c>
    </row>
    <row r="6565" spans="2:7" x14ac:dyDescent="0.2">
      <c r="B6565" s="32">
        <v>45990</v>
      </c>
      <c r="C6565" t="s">
        <v>142</v>
      </c>
      <c r="D6565" s="13" t="s">
        <v>633</v>
      </c>
      <c r="E6565" t="s">
        <v>439</v>
      </c>
      <c r="F6565" s="11">
        <v>1</v>
      </c>
      <c r="G6565" s="11">
        <v>58823.53</v>
      </c>
    </row>
    <row r="6566" spans="2:7" x14ac:dyDescent="0.2">
      <c r="B6566" s="32">
        <v>45990</v>
      </c>
      <c r="C6566" t="s">
        <v>142</v>
      </c>
      <c r="D6566" s="13" t="s">
        <v>633</v>
      </c>
      <c r="E6566" t="s">
        <v>483</v>
      </c>
      <c r="F6566" s="11">
        <v>1</v>
      </c>
      <c r="G6566" s="11">
        <v>58823.53</v>
      </c>
    </row>
    <row r="6567" spans="2:7" x14ac:dyDescent="0.2">
      <c r="B6567" s="32">
        <v>45990</v>
      </c>
      <c r="C6567" t="s">
        <v>142</v>
      </c>
      <c r="D6567" s="13" t="s">
        <v>633</v>
      </c>
      <c r="E6567" t="s">
        <v>651</v>
      </c>
      <c r="F6567" s="11">
        <v>1</v>
      </c>
      <c r="G6567" s="11">
        <v>58823.53</v>
      </c>
    </row>
    <row r="6568" spans="2:7" x14ac:dyDescent="0.2">
      <c r="B6568" s="32">
        <v>45990</v>
      </c>
      <c r="C6568" t="s">
        <v>110</v>
      </c>
      <c r="D6568" s="13"/>
      <c r="E6568" t="s">
        <v>427</v>
      </c>
      <c r="F6568" s="11">
        <v>1</v>
      </c>
      <c r="G6568" s="11">
        <v>54621.85</v>
      </c>
    </row>
    <row r="6569" spans="2:7" x14ac:dyDescent="0.2">
      <c r="B6569" s="32">
        <v>45990</v>
      </c>
      <c r="C6569" t="s">
        <v>110</v>
      </c>
      <c r="D6569" s="13"/>
      <c r="E6569" t="s">
        <v>258</v>
      </c>
      <c r="F6569" s="11">
        <v>1</v>
      </c>
      <c r="G6569" s="11">
        <v>54621.85</v>
      </c>
    </row>
    <row r="6570" spans="2:7" x14ac:dyDescent="0.2">
      <c r="B6570" s="32">
        <v>45990</v>
      </c>
      <c r="C6570" t="s">
        <v>110</v>
      </c>
      <c r="D6570" s="13"/>
      <c r="E6570" t="s">
        <v>348</v>
      </c>
      <c r="F6570" s="11">
        <v>1</v>
      </c>
      <c r="G6570" s="11">
        <v>54621.85</v>
      </c>
    </row>
    <row r="6571" spans="2:7" x14ac:dyDescent="0.2">
      <c r="B6571" s="32">
        <v>45990</v>
      </c>
      <c r="C6571" t="s">
        <v>110</v>
      </c>
      <c r="D6571" s="13" t="s">
        <v>633</v>
      </c>
      <c r="E6571" t="s">
        <v>246</v>
      </c>
      <c r="F6571" s="11">
        <v>1</v>
      </c>
      <c r="G6571" s="11">
        <v>42016.81</v>
      </c>
    </row>
    <row r="6572" spans="2:7" x14ac:dyDescent="0.2">
      <c r="B6572" s="32">
        <v>45990</v>
      </c>
      <c r="C6572" t="s">
        <v>109</v>
      </c>
      <c r="D6572" s="13"/>
      <c r="E6572" t="s">
        <v>1818</v>
      </c>
      <c r="F6572" s="11">
        <v>3</v>
      </c>
      <c r="G6572" s="11">
        <v>113445.38</v>
      </c>
    </row>
    <row r="6573" spans="2:7" x14ac:dyDescent="0.2">
      <c r="B6573" s="32">
        <v>45990</v>
      </c>
      <c r="C6573" t="s">
        <v>109</v>
      </c>
      <c r="D6573" s="13"/>
      <c r="E6573" t="s">
        <v>2017</v>
      </c>
      <c r="F6573" s="11">
        <v>1</v>
      </c>
      <c r="G6573" s="11">
        <v>75630.25</v>
      </c>
    </row>
    <row r="6574" spans="2:7" x14ac:dyDescent="0.2">
      <c r="B6574" s="32">
        <v>45990</v>
      </c>
      <c r="C6574" t="s">
        <v>109</v>
      </c>
      <c r="D6574" s="13"/>
      <c r="E6574" t="s">
        <v>147</v>
      </c>
      <c r="F6574" s="11">
        <v>1</v>
      </c>
      <c r="G6574" s="11">
        <v>71428.570000000007</v>
      </c>
    </row>
    <row r="6575" spans="2:7" x14ac:dyDescent="0.2">
      <c r="B6575" s="32">
        <v>45990</v>
      </c>
      <c r="C6575" t="s">
        <v>109</v>
      </c>
      <c r="D6575" s="13"/>
      <c r="E6575" t="s">
        <v>206</v>
      </c>
      <c r="F6575" s="11">
        <v>1</v>
      </c>
      <c r="G6575" s="11">
        <v>37815.129999999997</v>
      </c>
    </row>
    <row r="6576" spans="2:7" x14ac:dyDescent="0.2">
      <c r="B6576" s="32">
        <v>45990</v>
      </c>
      <c r="C6576" t="s">
        <v>109</v>
      </c>
      <c r="D6576" s="13" t="s">
        <v>634</v>
      </c>
      <c r="E6576" t="s">
        <v>207</v>
      </c>
      <c r="F6576" s="11">
        <v>2</v>
      </c>
      <c r="G6576" s="11">
        <v>201680.68</v>
      </c>
    </row>
    <row r="6577" spans="2:7" x14ac:dyDescent="0.2">
      <c r="B6577" s="32">
        <v>45990</v>
      </c>
      <c r="C6577" t="s">
        <v>109</v>
      </c>
      <c r="D6577" s="13" t="s">
        <v>634</v>
      </c>
      <c r="E6577" t="s">
        <v>2011</v>
      </c>
      <c r="F6577" s="11">
        <v>2</v>
      </c>
      <c r="G6577" s="11">
        <v>109243.7</v>
      </c>
    </row>
    <row r="6578" spans="2:7" x14ac:dyDescent="0.2">
      <c r="B6578" s="32">
        <v>45990</v>
      </c>
      <c r="C6578" t="s">
        <v>109</v>
      </c>
      <c r="D6578" s="13" t="s">
        <v>634</v>
      </c>
      <c r="E6578" t="s">
        <v>313</v>
      </c>
      <c r="F6578" s="11">
        <v>1</v>
      </c>
      <c r="G6578" s="11">
        <v>100840.34</v>
      </c>
    </row>
    <row r="6579" spans="2:7" x14ac:dyDescent="0.2">
      <c r="B6579" s="32">
        <v>45990</v>
      </c>
      <c r="C6579" t="s">
        <v>109</v>
      </c>
      <c r="D6579" s="13" t="s">
        <v>634</v>
      </c>
      <c r="E6579" t="s">
        <v>154</v>
      </c>
      <c r="F6579" s="11">
        <v>1</v>
      </c>
      <c r="G6579" s="11">
        <v>100840.34</v>
      </c>
    </row>
    <row r="6580" spans="2:7" x14ac:dyDescent="0.2">
      <c r="B6580" s="32">
        <v>45990</v>
      </c>
      <c r="C6580" t="s">
        <v>109</v>
      </c>
      <c r="D6580" s="13" t="s">
        <v>634</v>
      </c>
      <c r="E6580" t="s">
        <v>364</v>
      </c>
      <c r="F6580" s="11">
        <v>1</v>
      </c>
      <c r="G6580" s="11">
        <v>100840.33</v>
      </c>
    </row>
    <row r="6581" spans="2:7" x14ac:dyDescent="0.2">
      <c r="B6581" s="32">
        <v>45990</v>
      </c>
      <c r="C6581" t="s">
        <v>109</v>
      </c>
      <c r="D6581" s="13" t="s">
        <v>634</v>
      </c>
      <c r="E6581" t="s">
        <v>203</v>
      </c>
      <c r="F6581" s="11">
        <v>2</v>
      </c>
      <c r="G6581" s="11">
        <v>84033.62</v>
      </c>
    </row>
    <row r="6582" spans="2:7" x14ac:dyDescent="0.2">
      <c r="B6582" s="32">
        <v>45990</v>
      </c>
      <c r="C6582" t="s">
        <v>109</v>
      </c>
      <c r="D6582" s="13" t="s">
        <v>634</v>
      </c>
      <c r="E6582" t="s">
        <v>2063</v>
      </c>
      <c r="F6582" s="11">
        <v>2</v>
      </c>
      <c r="G6582" s="11">
        <v>84033.61</v>
      </c>
    </row>
    <row r="6583" spans="2:7" x14ac:dyDescent="0.2">
      <c r="B6583" s="32">
        <v>45990</v>
      </c>
      <c r="C6583" t="s">
        <v>109</v>
      </c>
      <c r="D6583" s="13" t="s">
        <v>634</v>
      </c>
      <c r="E6583" t="s">
        <v>174</v>
      </c>
      <c r="F6583" s="11">
        <v>1</v>
      </c>
      <c r="G6583" s="11">
        <v>75630.25</v>
      </c>
    </row>
    <row r="6584" spans="2:7" x14ac:dyDescent="0.2">
      <c r="B6584" s="32">
        <v>45990</v>
      </c>
      <c r="C6584" t="s">
        <v>109</v>
      </c>
      <c r="D6584" s="13" t="s">
        <v>634</v>
      </c>
      <c r="E6584" t="s">
        <v>488</v>
      </c>
      <c r="F6584" s="11">
        <v>1</v>
      </c>
      <c r="G6584" s="11">
        <v>74789.919999999998</v>
      </c>
    </row>
    <row r="6585" spans="2:7" x14ac:dyDescent="0.2">
      <c r="B6585" s="32">
        <v>45990</v>
      </c>
      <c r="C6585" t="s">
        <v>109</v>
      </c>
      <c r="D6585" s="13" t="s">
        <v>634</v>
      </c>
      <c r="E6585" t="s">
        <v>147</v>
      </c>
      <c r="F6585" s="11">
        <v>1</v>
      </c>
      <c r="G6585" s="11">
        <v>71428.570000000007</v>
      </c>
    </row>
    <row r="6586" spans="2:7" x14ac:dyDescent="0.2">
      <c r="B6586" s="32">
        <v>45990</v>
      </c>
      <c r="C6586" t="s">
        <v>109</v>
      </c>
      <c r="D6586" s="13" t="s">
        <v>634</v>
      </c>
      <c r="E6586" t="s">
        <v>2014</v>
      </c>
      <c r="F6586" s="11">
        <v>1</v>
      </c>
      <c r="G6586" s="11">
        <v>71428.570000000007</v>
      </c>
    </row>
    <row r="6587" spans="2:7" x14ac:dyDescent="0.2">
      <c r="B6587" s="32">
        <v>45990</v>
      </c>
      <c r="C6587" t="s">
        <v>109</v>
      </c>
      <c r="D6587" s="13" t="s">
        <v>634</v>
      </c>
      <c r="E6587" t="s">
        <v>192</v>
      </c>
      <c r="F6587" s="11">
        <v>1</v>
      </c>
      <c r="G6587" s="11">
        <v>71428.570000000007</v>
      </c>
    </row>
    <row r="6588" spans="2:7" x14ac:dyDescent="0.2">
      <c r="B6588" s="32">
        <v>45990</v>
      </c>
      <c r="C6588" t="s">
        <v>109</v>
      </c>
      <c r="D6588" s="13" t="s">
        <v>634</v>
      </c>
      <c r="E6588" t="s">
        <v>144</v>
      </c>
      <c r="F6588" s="11">
        <v>6</v>
      </c>
      <c r="G6588" s="11">
        <v>68907.56</v>
      </c>
    </row>
    <row r="6589" spans="2:7" x14ac:dyDescent="0.2">
      <c r="B6589" s="32">
        <v>45990</v>
      </c>
      <c r="C6589" t="s">
        <v>109</v>
      </c>
      <c r="D6589" s="13" t="s">
        <v>634</v>
      </c>
      <c r="E6589" t="s">
        <v>2046</v>
      </c>
      <c r="F6589" s="11">
        <v>1</v>
      </c>
      <c r="G6589" s="11">
        <v>61344.54</v>
      </c>
    </row>
    <row r="6590" spans="2:7" x14ac:dyDescent="0.2">
      <c r="B6590" s="32">
        <v>45990</v>
      </c>
      <c r="C6590" t="s">
        <v>109</v>
      </c>
      <c r="D6590" s="13" t="s">
        <v>634</v>
      </c>
      <c r="E6590" t="s">
        <v>287</v>
      </c>
      <c r="F6590" s="11">
        <v>1</v>
      </c>
      <c r="G6590" s="11">
        <v>58823.53</v>
      </c>
    </row>
    <row r="6591" spans="2:7" x14ac:dyDescent="0.2">
      <c r="B6591" s="32">
        <v>45990</v>
      </c>
      <c r="C6591" t="s">
        <v>109</v>
      </c>
      <c r="D6591" s="13" t="s">
        <v>634</v>
      </c>
      <c r="E6591" t="s">
        <v>281</v>
      </c>
      <c r="F6591" s="11">
        <v>1</v>
      </c>
      <c r="G6591" s="11">
        <v>58823.53</v>
      </c>
    </row>
    <row r="6592" spans="2:7" x14ac:dyDescent="0.2">
      <c r="B6592" s="32">
        <v>45990</v>
      </c>
      <c r="C6592" t="s">
        <v>109</v>
      </c>
      <c r="D6592" s="13" t="s">
        <v>634</v>
      </c>
      <c r="E6592" t="s">
        <v>282</v>
      </c>
      <c r="F6592" s="11">
        <v>1</v>
      </c>
      <c r="G6592" s="11">
        <v>58823.53</v>
      </c>
    </row>
    <row r="6593" spans="2:7" x14ac:dyDescent="0.2">
      <c r="B6593" s="32">
        <v>45990</v>
      </c>
      <c r="C6593" t="s">
        <v>109</v>
      </c>
      <c r="D6593" s="13" t="s">
        <v>634</v>
      </c>
      <c r="E6593" t="s">
        <v>1819</v>
      </c>
      <c r="F6593" s="11">
        <v>1</v>
      </c>
      <c r="G6593" s="11">
        <v>58823.53</v>
      </c>
    </row>
    <row r="6594" spans="2:7" x14ac:dyDescent="0.2">
      <c r="B6594" s="32">
        <v>45990</v>
      </c>
      <c r="C6594" t="s">
        <v>109</v>
      </c>
      <c r="D6594" s="13" t="s">
        <v>634</v>
      </c>
      <c r="E6594" t="s">
        <v>335</v>
      </c>
      <c r="F6594" s="11">
        <v>1</v>
      </c>
      <c r="G6594" s="11">
        <v>58823.53</v>
      </c>
    </row>
    <row r="6595" spans="2:7" x14ac:dyDescent="0.2">
      <c r="B6595" s="32">
        <v>45990</v>
      </c>
      <c r="C6595" t="s">
        <v>109</v>
      </c>
      <c r="D6595" s="13" t="s">
        <v>634</v>
      </c>
      <c r="E6595" t="s">
        <v>254</v>
      </c>
      <c r="F6595" s="11">
        <v>1</v>
      </c>
      <c r="G6595" s="11">
        <v>50420.17</v>
      </c>
    </row>
    <row r="6596" spans="2:7" x14ac:dyDescent="0.2">
      <c r="B6596" s="32">
        <v>45990</v>
      </c>
      <c r="C6596" t="s">
        <v>109</v>
      </c>
      <c r="D6596" s="13" t="s">
        <v>634</v>
      </c>
      <c r="E6596" t="s">
        <v>704</v>
      </c>
      <c r="F6596" s="11">
        <v>1</v>
      </c>
      <c r="G6596" s="11">
        <v>46218.49</v>
      </c>
    </row>
    <row r="6597" spans="2:7" x14ac:dyDescent="0.2">
      <c r="B6597" s="32">
        <v>45990</v>
      </c>
      <c r="C6597" t="s">
        <v>109</v>
      </c>
      <c r="D6597" s="13" t="s">
        <v>634</v>
      </c>
      <c r="E6597" t="s">
        <v>2091</v>
      </c>
      <c r="F6597" s="11">
        <v>1</v>
      </c>
      <c r="G6597" s="11">
        <v>46218.48</v>
      </c>
    </row>
    <row r="6598" spans="2:7" x14ac:dyDescent="0.2">
      <c r="B6598" s="32">
        <v>45990</v>
      </c>
      <c r="C6598" t="s">
        <v>109</v>
      </c>
      <c r="D6598" s="13" t="s">
        <v>634</v>
      </c>
      <c r="E6598" t="s">
        <v>1847</v>
      </c>
      <c r="F6598" s="11">
        <v>2</v>
      </c>
      <c r="G6598" s="11">
        <v>42016.81</v>
      </c>
    </row>
    <row r="6599" spans="2:7" x14ac:dyDescent="0.2">
      <c r="B6599" s="32">
        <v>45990</v>
      </c>
      <c r="C6599" t="s">
        <v>109</v>
      </c>
      <c r="D6599" s="13" t="s">
        <v>634</v>
      </c>
      <c r="E6599" t="s">
        <v>218</v>
      </c>
      <c r="F6599" s="11">
        <v>1</v>
      </c>
      <c r="G6599" s="11">
        <v>42016.81</v>
      </c>
    </row>
    <row r="6600" spans="2:7" x14ac:dyDescent="0.2">
      <c r="B6600" s="32">
        <v>45990</v>
      </c>
      <c r="C6600" t="s">
        <v>109</v>
      </c>
      <c r="D6600" s="13" t="s">
        <v>634</v>
      </c>
      <c r="E6600" t="s">
        <v>2098</v>
      </c>
      <c r="F6600" s="11">
        <v>1</v>
      </c>
      <c r="G6600" s="11">
        <v>37815.129999999997</v>
      </c>
    </row>
    <row r="6601" spans="2:7" x14ac:dyDescent="0.2">
      <c r="B6601" s="32">
        <v>45990</v>
      </c>
      <c r="C6601" t="s">
        <v>109</v>
      </c>
      <c r="D6601" s="13" t="s">
        <v>634</v>
      </c>
      <c r="E6601" t="s">
        <v>2030</v>
      </c>
      <c r="F6601" s="11">
        <v>1</v>
      </c>
      <c r="G6601" s="11">
        <v>16806.72</v>
      </c>
    </row>
    <row r="6602" spans="2:7" x14ac:dyDescent="0.2">
      <c r="B6602" s="32">
        <v>45990</v>
      </c>
      <c r="C6602" t="s">
        <v>109</v>
      </c>
      <c r="D6602" s="13" t="s">
        <v>633</v>
      </c>
      <c r="E6602" t="s">
        <v>1782</v>
      </c>
      <c r="F6602" s="11">
        <v>1</v>
      </c>
      <c r="G6602" s="11">
        <v>130252.1</v>
      </c>
    </row>
    <row r="6603" spans="2:7" x14ac:dyDescent="0.2">
      <c r="B6603" s="32">
        <v>45990</v>
      </c>
      <c r="C6603" t="s">
        <v>109</v>
      </c>
      <c r="D6603" s="13" t="s">
        <v>633</v>
      </c>
      <c r="E6603" t="s">
        <v>763</v>
      </c>
      <c r="F6603" s="11">
        <v>1</v>
      </c>
      <c r="G6603" s="11">
        <v>117647.06</v>
      </c>
    </row>
    <row r="6604" spans="2:7" x14ac:dyDescent="0.2">
      <c r="B6604" s="32">
        <v>45990</v>
      </c>
      <c r="C6604" t="s">
        <v>109</v>
      </c>
      <c r="D6604" s="13" t="s">
        <v>633</v>
      </c>
      <c r="E6604" t="s">
        <v>1818</v>
      </c>
      <c r="F6604" s="11">
        <v>3</v>
      </c>
      <c r="G6604" s="11">
        <v>113445.38</v>
      </c>
    </row>
    <row r="6605" spans="2:7" x14ac:dyDescent="0.2">
      <c r="B6605" s="32">
        <v>45990</v>
      </c>
      <c r="C6605" t="s">
        <v>109</v>
      </c>
      <c r="D6605" s="13" t="s">
        <v>633</v>
      </c>
      <c r="E6605" t="s">
        <v>704</v>
      </c>
      <c r="F6605" s="11">
        <v>2</v>
      </c>
      <c r="G6605" s="11">
        <v>92436.97</v>
      </c>
    </row>
    <row r="6606" spans="2:7" x14ac:dyDescent="0.2">
      <c r="B6606" s="32">
        <v>45990</v>
      </c>
      <c r="C6606" t="s">
        <v>109</v>
      </c>
      <c r="D6606" s="13" t="s">
        <v>633</v>
      </c>
      <c r="E6606" t="s">
        <v>156</v>
      </c>
      <c r="F6606" s="11">
        <v>2</v>
      </c>
      <c r="G6606" s="11">
        <v>84033.62</v>
      </c>
    </row>
    <row r="6607" spans="2:7" x14ac:dyDescent="0.2">
      <c r="B6607" s="32">
        <v>45990</v>
      </c>
      <c r="C6607" t="s">
        <v>109</v>
      </c>
      <c r="D6607" s="13" t="s">
        <v>633</v>
      </c>
      <c r="E6607" t="s">
        <v>2131</v>
      </c>
      <c r="F6607" s="11">
        <v>1</v>
      </c>
      <c r="G6607" s="11">
        <v>84033.61</v>
      </c>
    </row>
    <row r="6608" spans="2:7" x14ac:dyDescent="0.2">
      <c r="B6608" s="32">
        <v>45990</v>
      </c>
      <c r="C6608" t="s">
        <v>109</v>
      </c>
      <c r="D6608" s="13" t="s">
        <v>633</v>
      </c>
      <c r="E6608" t="s">
        <v>330</v>
      </c>
      <c r="F6608" s="11">
        <v>2</v>
      </c>
      <c r="G6608" s="11">
        <v>75630.259999999995</v>
      </c>
    </row>
    <row r="6609" spans="2:7" x14ac:dyDescent="0.2">
      <c r="B6609" s="32">
        <v>45990</v>
      </c>
      <c r="C6609" t="s">
        <v>109</v>
      </c>
      <c r="D6609" s="13" t="s">
        <v>633</v>
      </c>
      <c r="E6609" t="s">
        <v>616</v>
      </c>
      <c r="F6609" s="11">
        <v>1</v>
      </c>
      <c r="G6609" s="11">
        <v>54621.85</v>
      </c>
    </row>
    <row r="6610" spans="2:7" x14ac:dyDescent="0.2">
      <c r="B6610" s="32">
        <v>45990</v>
      </c>
      <c r="C6610" t="s">
        <v>109</v>
      </c>
      <c r="D6610" s="13" t="s">
        <v>633</v>
      </c>
      <c r="E6610" t="s">
        <v>150</v>
      </c>
      <c r="F6610" s="11">
        <v>1</v>
      </c>
      <c r="G6610" s="11">
        <v>42016.81</v>
      </c>
    </row>
    <row r="6611" spans="2:7" x14ac:dyDescent="0.2">
      <c r="B6611" s="32">
        <v>45990</v>
      </c>
      <c r="C6611" t="s">
        <v>109</v>
      </c>
      <c r="D6611" s="13" t="s">
        <v>633</v>
      </c>
      <c r="E6611" t="s">
        <v>2109</v>
      </c>
      <c r="F6611" s="11">
        <v>1</v>
      </c>
      <c r="G6611" s="11">
        <v>37815.129999999997</v>
      </c>
    </row>
    <row r="6612" spans="2:7" x14ac:dyDescent="0.2">
      <c r="B6612" s="32">
        <v>45991</v>
      </c>
      <c r="C6612" t="s">
        <v>142</v>
      </c>
      <c r="D6612" s="13" t="s">
        <v>634</v>
      </c>
      <c r="E6612" t="s">
        <v>238</v>
      </c>
      <c r="F6612" s="11">
        <v>3</v>
      </c>
      <c r="G6612" s="11">
        <v>138655.46</v>
      </c>
    </row>
    <row r="6613" spans="2:7" x14ac:dyDescent="0.2">
      <c r="B6613" s="32">
        <v>45991</v>
      </c>
      <c r="C6613" t="s">
        <v>142</v>
      </c>
      <c r="D6613" s="13" t="s">
        <v>634</v>
      </c>
      <c r="E6613" t="s">
        <v>294</v>
      </c>
      <c r="F6613" s="11">
        <v>2</v>
      </c>
      <c r="G6613" s="11">
        <v>117647.06</v>
      </c>
    </row>
    <row r="6614" spans="2:7" x14ac:dyDescent="0.2">
      <c r="B6614" s="32">
        <v>45991</v>
      </c>
      <c r="C6614" t="s">
        <v>142</v>
      </c>
      <c r="D6614" s="13" t="s">
        <v>634</v>
      </c>
      <c r="E6614" t="s">
        <v>274</v>
      </c>
      <c r="F6614" s="11">
        <v>2</v>
      </c>
      <c r="G6614" s="11">
        <v>109243.7</v>
      </c>
    </row>
    <row r="6615" spans="2:7" x14ac:dyDescent="0.2">
      <c r="B6615" s="32">
        <v>45991</v>
      </c>
      <c r="C6615" t="s">
        <v>142</v>
      </c>
      <c r="D6615" s="13" t="s">
        <v>634</v>
      </c>
      <c r="E6615" t="s">
        <v>158</v>
      </c>
      <c r="F6615" s="11">
        <v>2</v>
      </c>
      <c r="G6615" s="11">
        <v>92436.97</v>
      </c>
    </row>
    <row r="6616" spans="2:7" x14ac:dyDescent="0.2">
      <c r="B6616" s="32">
        <v>45991</v>
      </c>
      <c r="C6616" t="s">
        <v>142</v>
      </c>
      <c r="D6616" s="13" t="s">
        <v>634</v>
      </c>
      <c r="E6616" t="s">
        <v>260</v>
      </c>
      <c r="F6616" s="11">
        <v>2</v>
      </c>
      <c r="G6616" s="11">
        <v>92436.97</v>
      </c>
    </row>
    <row r="6617" spans="2:7" x14ac:dyDescent="0.2">
      <c r="B6617" s="32">
        <v>45991</v>
      </c>
      <c r="C6617" t="s">
        <v>142</v>
      </c>
      <c r="D6617" s="13" t="s">
        <v>634</v>
      </c>
      <c r="E6617" t="s">
        <v>160</v>
      </c>
      <c r="F6617" s="11">
        <v>2</v>
      </c>
      <c r="G6617" s="11">
        <v>92436.97</v>
      </c>
    </row>
    <row r="6618" spans="2:7" x14ac:dyDescent="0.2">
      <c r="B6618" s="32">
        <v>45991</v>
      </c>
      <c r="C6618" t="s">
        <v>142</v>
      </c>
      <c r="D6618" s="13" t="s">
        <v>634</v>
      </c>
      <c r="E6618" t="s">
        <v>1896</v>
      </c>
      <c r="F6618" s="11">
        <v>2</v>
      </c>
      <c r="G6618" s="11">
        <v>92436.97</v>
      </c>
    </row>
    <row r="6619" spans="2:7" x14ac:dyDescent="0.2">
      <c r="B6619" s="32">
        <v>45991</v>
      </c>
      <c r="C6619" t="s">
        <v>142</v>
      </c>
      <c r="D6619" s="13" t="s">
        <v>634</v>
      </c>
      <c r="E6619" t="s">
        <v>2040</v>
      </c>
      <c r="F6619" s="11">
        <v>1</v>
      </c>
      <c r="G6619" s="11">
        <v>84033.61</v>
      </c>
    </row>
    <row r="6620" spans="2:7" x14ac:dyDescent="0.2">
      <c r="B6620" s="32">
        <v>45991</v>
      </c>
      <c r="C6620" t="s">
        <v>142</v>
      </c>
      <c r="D6620" s="13" t="s">
        <v>634</v>
      </c>
      <c r="E6620" t="s">
        <v>550</v>
      </c>
      <c r="F6620" s="11">
        <v>1</v>
      </c>
      <c r="G6620" s="11">
        <v>58823.53</v>
      </c>
    </row>
    <row r="6621" spans="2:7" x14ac:dyDescent="0.2">
      <c r="B6621" s="32">
        <v>45991</v>
      </c>
      <c r="C6621" t="s">
        <v>142</v>
      </c>
      <c r="D6621" s="13" t="s">
        <v>634</v>
      </c>
      <c r="E6621" t="s">
        <v>1856</v>
      </c>
      <c r="F6621" s="11">
        <v>1</v>
      </c>
      <c r="G6621" s="11">
        <v>58823.53</v>
      </c>
    </row>
    <row r="6622" spans="2:7" x14ac:dyDescent="0.2">
      <c r="B6622" s="32">
        <v>45991</v>
      </c>
      <c r="C6622" t="s">
        <v>142</v>
      </c>
      <c r="D6622" s="13" t="s">
        <v>634</v>
      </c>
      <c r="E6622" t="s">
        <v>319</v>
      </c>
      <c r="F6622" s="11">
        <v>1</v>
      </c>
      <c r="G6622" s="11">
        <v>58823.519999999997</v>
      </c>
    </row>
    <row r="6623" spans="2:7" x14ac:dyDescent="0.2">
      <c r="B6623" s="32">
        <v>45991</v>
      </c>
      <c r="C6623" t="s">
        <v>142</v>
      </c>
      <c r="D6623" s="13" t="s">
        <v>634</v>
      </c>
      <c r="E6623" t="s">
        <v>1821</v>
      </c>
      <c r="F6623" s="11">
        <v>1</v>
      </c>
      <c r="G6623" s="11">
        <v>54621.85</v>
      </c>
    </row>
    <row r="6624" spans="2:7" x14ac:dyDescent="0.2">
      <c r="B6624" s="32">
        <v>45991</v>
      </c>
      <c r="C6624" t="s">
        <v>142</v>
      </c>
      <c r="D6624" s="13" t="s">
        <v>634</v>
      </c>
      <c r="E6624" t="s">
        <v>408</v>
      </c>
      <c r="F6624" s="11">
        <v>1</v>
      </c>
      <c r="G6624" s="11">
        <v>54621.85</v>
      </c>
    </row>
    <row r="6625" spans="2:7" x14ac:dyDescent="0.2">
      <c r="B6625" s="32">
        <v>45991</v>
      </c>
      <c r="C6625" t="s">
        <v>142</v>
      </c>
      <c r="D6625" s="13" t="s">
        <v>634</v>
      </c>
      <c r="E6625" t="s">
        <v>178</v>
      </c>
      <c r="F6625" s="11">
        <v>1</v>
      </c>
      <c r="G6625" s="11">
        <v>54621.85</v>
      </c>
    </row>
    <row r="6626" spans="2:7" x14ac:dyDescent="0.2">
      <c r="B6626" s="32">
        <v>45991</v>
      </c>
      <c r="C6626" t="s">
        <v>142</v>
      </c>
      <c r="D6626" s="13" t="s">
        <v>633</v>
      </c>
      <c r="E6626" t="s">
        <v>2132</v>
      </c>
      <c r="F6626" s="11">
        <v>2</v>
      </c>
      <c r="G6626" s="11">
        <v>201680.67</v>
      </c>
    </row>
    <row r="6627" spans="2:7" x14ac:dyDescent="0.2">
      <c r="B6627" s="32">
        <v>45991</v>
      </c>
      <c r="C6627" t="s">
        <v>142</v>
      </c>
      <c r="D6627" s="13" t="s">
        <v>633</v>
      </c>
      <c r="E6627" t="s">
        <v>292</v>
      </c>
      <c r="F6627" s="11">
        <v>3</v>
      </c>
      <c r="G6627" s="11">
        <v>163865.54999999999</v>
      </c>
    </row>
    <row r="6628" spans="2:7" x14ac:dyDescent="0.2">
      <c r="B6628" s="32">
        <v>45991</v>
      </c>
      <c r="C6628" t="s">
        <v>142</v>
      </c>
      <c r="D6628" s="13" t="s">
        <v>633</v>
      </c>
      <c r="E6628" t="s">
        <v>2133</v>
      </c>
      <c r="F6628" s="11">
        <v>1</v>
      </c>
      <c r="G6628" s="11">
        <v>130252.1</v>
      </c>
    </row>
    <row r="6629" spans="2:7" x14ac:dyDescent="0.2">
      <c r="B6629" s="32">
        <v>45991</v>
      </c>
      <c r="C6629" t="s">
        <v>142</v>
      </c>
      <c r="D6629" s="13" t="s">
        <v>633</v>
      </c>
      <c r="E6629" t="s">
        <v>218</v>
      </c>
      <c r="F6629" s="11">
        <v>4</v>
      </c>
      <c r="G6629" s="11">
        <v>117647.06</v>
      </c>
    </row>
    <row r="6630" spans="2:7" x14ac:dyDescent="0.2">
      <c r="B6630" s="32">
        <v>45991</v>
      </c>
      <c r="C6630" t="s">
        <v>142</v>
      </c>
      <c r="D6630" s="13" t="s">
        <v>633</v>
      </c>
      <c r="E6630" t="s">
        <v>653</v>
      </c>
      <c r="F6630" s="11">
        <v>2</v>
      </c>
      <c r="G6630" s="11">
        <v>117647.06</v>
      </c>
    </row>
    <row r="6631" spans="2:7" x14ac:dyDescent="0.2">
      <c r="B6631" s="32">
        <v>45991</v>
      </c>
      <c r="C6631" t="s">
        <v>142</v>
      </c>
      <c r="D6631" s="13" t="s">
        <v>633</v>
      </c>
      <c r="E6631" t="s">
        <v>283</v>
      </c>
      <c r="F6631" s="11">
        <v>2</v>
      </c>
      <c r="G6631" s="11">
        <v>109243.7</v>
      </c>
    </row>
    <row r="6632" spans="2:7" x14ac:dyDescent="0.2">
      <c r="B6632" s="32">
        <v>45991</v>
      </c>
      <c r="C6632" t="s">
        <v>142</v>
      </c>
      <c r="D6632" s="13" t="s">
        <v>633</v>
      </c>
      <c r="E6632" t="s">
        <v>538</v>
      </c>
      <c r="F6632" s="11">
        <v>1</v>
      </c>
      <c r="G6632" s="11">
        <v>79831.929999999993</v>
      </c>
    </row>
    <row r="6633" spans="2:7" x14ac:dyDescent="0.2">
      <c r="B6633" s="32">
        <v>45991</v>
      </c>
      <c r="C6633" t="s">
        <v>142</v>
      </c>
      <c r="D6633" s="13" t="s">
        <v>633</v>
      </c>
      <c r="E6633" t="s">
        <v>295</v>
      </c>
      <c r="F6633" s="11">
        <v>1</v>
      </c>
      <c r="G6633" s="11">
        <v>54621.85</v>
      </c>
    </row>
    <row r="6634" spans="2:7" x14ac:dyDescent="0.2">
      <c r="B6634" s="32">
        <v>45991</v>
      </c>
      <c r="C6634" t="s">
        <v>142</v>
      </c>
      <c r="D6634" s="13" t="s">
        <v>633</v>
      </c>
      <c r="E6634" t="s">
        <v>178</v>
      </c>
      <c r="F6634" s="11">
        <v>1</v>
      </c>
      <c r="G6634" s="11">
        <v>54621.84</v>
      </c>
    </row>
    <row r="6635" spans="2:7" x14ac:dyDescent="0.2">
      <c r="B6635" s="32">
        <v>45991</v>
      </c>
      <c r="C6635" t="s">
        <v>142</v>
      </c>
      <c r="D6635" s="13" t="s">
        <v>633</v>
      </c>
      <c r="E6635" t="s">
        <v>328</v>
      </c>
      <c r="F6635" s="11">
        <v>1</v>
      </c>
      <c r="G6635" s="11">
        <v>37815.129999999997</v>
      </c>
    </row>
    <row r="6636" spans="2:7" x14ac:dyDescent="0.2">
      <c r="B6636" s="32">
        <v>45991</v>
      </c>
      <c r="C6636" t="s">
        <v>109</v>
      </c>
      <c r="D6636" s="13"/>
      <c r="E6636" t="s">
        <v>1818</v>
      </c>
      <c r="F6636" s="11">
        <v>2</v>
      </c>
      <c r="G6636" s="11">
        <v>75630.25</v>
      </c>
    </row>
    <row r="6637" spans="2:7" x14ac:dyDescent="0.2">
      <c r="B6637" s="32">
        <v>45991</v>
      </c>
      <c r="C6637" t="s">
        <v>109</v>
      </c>
      <c r="D6637" s="13" t="s">
        <v>634</v>
      </c>
      <c r="E6637" t="s">
        <v>620</v>
      </c>
      <c r="F6637" s="11">
        <v>1</v>
      </c>
      <c r="G6637" s="11">
        <v>130252.1</v>
      </c>
    </row>
    <row r="6638" spans="2:7" x14ac:dyDescent="0.2">
      <c r="B6638" s="32">
        <v>45991</v>
      </c>
      <c r="C6638" t="s">
        <v>109</v>
      </c>
      <c r="D6638" s="13" t="s">
        <v>634</v>
      </c>
      <c r="E6638" t="s">
        <v>182</v>
      </c>
      <c r="F6638" s="11">
        <v>3</v>
      </c>
      <c r="G6638" s="11">
        <v>88235.29</v>
      </c>
    </row>
    <row r="6639" spans="2:7" x14ac:dyDescent="0.2">
      <c r="B6639" s="32">
        <v>45991</v>
      </c>
      <c r="C6639" t="s">
        <v>109</v>
      </c>
      <c r="D6639" s="13" t="s">
        <v>634</v>
      </c>
      <c r="E6639" t="s">
        <v>282</v>
      </c>
      <c r="F6639" s="11">
        <v>1</v>
      </c>
      <c r="G6639" s="11">
        <v>84033.61</v>
      </c>
    </row>
    <row r="6640" spans="2:7" x14ac:dyDescent="0.2">
      <c r="B6640" s="32">
        <v>45991</v>
      </c>
      <c r="C6640" t="s">
        <v>109</v>
      </c>
      <c r="D6640" s="13" t="s">
        <v>634</v>
      </c>
      <c r="E6640" t="s">
        <v>403</v>
      </c>
      <c r="F6640" s="11">
        <v>1</v>
      </c>
      <c r="G6640" s="11">
        <v>75630.25</v>
      </c>
    </row>
    <row r="6641" spans="2:7" x14ac:dyDescent="0.2">
      <c r="B6641" s="32">
        <v>45991</v>
      </c>
      <c r="C6641" t="s">
        <v>109</v>
      </c>
      <c r="D6641" s="13" t="s">
        <v>634</v>
      </c>
      <c r="E6641" t="s">
        <v>1818</v>
      </c>
      <c r="F6641" s="11">
        <v>2</v>
      </c>
      <c r="G6641" s="11">
        <v>75630.25</v>
      </c>
    </row>
    <row r="6642" spans="2:7" x14ac:dyDescent="0.2">
      <c r="B6642" s="32">
        <v>45991</v>
      </c>
      <c r="C6642" t="s">
        <v>109</v>
      </c>
      <c r="D6642" s="13" t="s">
        <v>634</v>
      </c>
      <c r="E6642" t="s">
        <v>152</v>
      </c>
      <c r="F6642" s="11">
        <v>1</v>
      </c>
      <c r="G6642" s="11">
        <v>75630.25</v>
      </c>
    </row>
    <row r="6643" spans="2:7" x14ac:dyDescent="0.2">
      <c r="B6643" s="32">
        <v>45991</v>
      </c>
      <c r="C6643" t="s">
        <v>109</v>
      </c>
      <c r="D6643" s="13" t="s">
        <v>634</v>
      </c>
      <c r="E6643" t="s">
        <v>275</v>
      </c>
      <c r="F6643" s="11">
        <v>1</v>
      </c>
      <c r="G6643" s="11">
        <v>58823.53</v>
      </c>
    </row>
    <row r="6644" spans="2:7" x14ac:dyDescent="0.2">
      <c r="B6644" s="32">
        <v>45991</v>
      </c>
      <c r="C6644" t="s">
        <v>109</v>
      </c>
      <c r="D6644" s="13" t="s">
        <v>634</v>
      </c>
      <c r="E6644" t="s">
        <v>721</v>
      </c>
      <c r="F6644" s="11">
        <v>1</v>
      </c>
      <c r="G6644" s="11">
        <v>58823.53</v>
      </c>
    </row>
    <row r="6645" spans="2:7" x14ac:dyDescent="0.2">
      <c r="B6645" s="32">
        <v>45991</v>
      </c>
      <c r="C6645" t="s">
        <v>109</v>
      </c>
      <c r="D6645" s="13" t="s">
        <v>634</v>
      </c>
      <c r="E6645" t="s">
        <v>362</v>
      </c>
      <c r="F6645" s="11">
        <v>1</v>
      </c>
      <c r="G6645" s="11">
        <v>54621.85</v>
      </c>
    </row>
    <row r="6646" spans="2:7" x14ac:dyDescent="0.2">
      <c r="B6646" s="32">
        <v>45991</v>
      </c>
      <c r="C6646" t="s">
        <v>109</v>
      </c>
      <c r="D6646" s="13" t="s">
        <v>634</v>
      </c>
      <c r="E6646" t="s">
        <v>729</v>
      </c>
      <c r="F6646" s="11">
        <v>1</v>
      </c>
      <c r="G6646" s="11">
        <v>46218.48</v>
      </c>
    </row>
    <row r="6647" spans="2:7" x14ac:dyDescent="0.2">
      <c r="B6647" s="32">
        <v>45991</v>
      </c>
      <c r="C6647" t="s">
        <v>109</v>
      </c>
      <c r="D6647" s="13" t="s">
        <v>634</v>
      </c>
      <c r="E6647" t="s">
        <v>2098</v>
      </c>
      <c r="F6647" s="11">
        <v>1</v>
      </c>
      <c r="G6647" s="11">
        <v>37815.129999999997</v>
      </c>
    </row>
    <row r="6648" spans="2:7" x14ac:dyDescent="0.2">
      <c r="B6648" s="32">
        <v>45991</v>
      </c>
      <c r="C6648" t="s">
        <v>109</v>
      </c>
      <c r="D6648" s="13" t="s">
        <v>634</v>
      </c>
      <c r="E6648" t="s">
        <v>2059</v>
      </c>
      <c r="F6648" s="11">
        <v>1</v>
      </c>
      <c r="G6648" s="11">
        <v>16806.72</v>
      </c>
    </row>
    <row r="6649" spans="2:7" x14ac:dyDescent="0.2">
      <c r="B6649" s="32">
        <v>45991</v>
      </c>
      <c r="C6649" t="s">
        <v>109</v>
      </c>
      <c r="D6649" s="13" t="s">
        <v>634</v>
      </c>
      <c r="E6649" t="s">
        <v>144</v>
      </c>
      <c r="F6649" s="11">
        <v>2</v>
      </c>
      <c r="G6649" s="11">
        <v>8403.36</v>
      </c>
    </row>
    <row r="6650" spans="2:7" x14ac:dyDescent="0.2">
      <c r="B6650" s="32">
        <v>45991</v>
      </c>
      <c r="C6650" t="s">
        <v>109</v>
      </c>
      <c r="D6650" s="13" t="s">
        <v>633</v>
      </c>
      <c r="E6650" t="s">
        <v>645</v>
      </c>
      <c r="F6650" s="11">
        <v>1</v>
      </c>
      <c r="G6650" s="11">
        <v>151260.5</v>
      </c>
    </row>
    <row r="6651" spans="2:7" x14ac:dyDescent="0.2">
      <c r="B6651" s="32">
        <v>45991</v>
      </c>
      <c r="C6651" t="s">
        <v>109</v>
      </c>
      <c r="D6651" s="13" t="s">
        <v>633</v>
      </c>
      <c r="E6651" t="s">
        <v>239</v>
      </c>
      <c r="F6651" s="11">
        <v>2</v>
      </c>
      <c r="G6651" s="11">
        <v>92436.97</v>
      </c>
    </row>
    <row r="6652" spans="2:7" x14ac:dyDescent="0.2">
      <c r="B6652" s="32">
        <v>45991</v>
      </c>
      <c r="C6652" t="s">
        <v>109</v>
      </c>
      <c r="D6652" s="13" t="s">
        <v>633</v>
      </c>
      <c r="E6652" t="s">
        <v>1818</v>
      </c>
      <c r="F6652" s="11">
        <v>2</v>
      </c>
      <c r="G6652" s="11">
        <v>75630.25</v>
      </c>
    </row>
    <row r="6653" spans="2:7" x14ac:dyDescent="0.2">
      <c r="B6653" s="32">
        <v>45991</v>
      </c>
      <c r="C6653" t="s">
        <v>109</v>
      </c>
      <c r="D6653" s="13" t="s">
        <v>633</v>
      </c>
      <c r="E6653" t="s">
        <v>147</v>
      </c>
      <c r="F6653" s="11">
        <v>1</v>
      </c>
      <c r="G6653" s="11">
        <v>71428.570000000007</v>
      </c>
    </row>
    <row r="6654" spans="2:7" x14ac:dyDescent="0.2">
      <c r="B6654" s="32">
        <v>45991</v>
      </c>
      <c r="C6654" t="s">
        <v>109</v>
      </c>
      <c r="D6654" s="13" t="s">
        <v>633</v>
      </c>
      <c r="E6654" t="s">
        <v>455</v>
      </c>
      <c r="F6654" s="11">
        <v>1</v>
      </c>
      <c r="G6654" s="11">
        <v>50420.17</v>
      </c>
    </row>
    <row r="6655" spans="2:7" x14ac:dyDescent="0.2">
      <c r="B6655" s="32">
        <v>45991</v>
      </c>
      <c r="C6655" t="s">
        <v>109</v>
      </c>
      <c r="D6655" s="13" t="s">
        <v>633</v>
      </c>
      <c r="E6655" t="s">
        <v>206</v>
      </c>
      <c r="F6655" s="11">
        <v>1</v>
      </c>
      <c r="G6655" s="11">
        <v>37815.129999999997</v>
      </c>
    </row>
    <row r="6656" spans="2:7" x14ac:dyDescent="0.2">
      <c r="B6656" s="32">
        <v>45992</v>
      </c>
      <c r="C6656" t="s">
        <v>142</v>
      </c>
      <c r="D6656" s="13" t="s">
        <v>634</v>
      </c>
      <c r="E6656" t="s">
        <v>655</v>
      </c>
      <c r="F6656" s="11">
        <v>1</v>
      </c>
      <c r="G6656" s="11">
        <v>210084.02</v>
      </c>
    </row>
    <row r="6657" spans="2:7" x14ac:dyDescent="0.2">
      <c r="B6657" s="32">
        <v>45992</v>
      </c>
      <c r="C6657" t="s">
        <v>142</v>
      </c>
      <c r="D6657" s="13" t="s">
        <v>634</v>
      </c>
      <c r="E6657" t="s">
        <v>581</v>
      </c>
      <c r="F6657" s="11">
        <v>1</v>
      </c>
      <c r="G6657" s="11">
        <v>142857.14000000001</v>
      </c>
    </row>
    <row r="6658" spans="2:7" x14ac:dyDescent="0.2">
      <c r="B6658" s="32">
        <v>45992</v>
      </c>
      <c r="C6658" t="s">
        <v>142</v>
      </c>
      <c r="D6658" s="13" t="s">
        <v>634</v>
      </c>
      <c r="E6658" t="s">
        <v>200</v>
      </c>
      <c r="F6658" s="11">
        <v>1</v>
      </c>
      <c r="G6658" s="11">
        <v>142857.14000000001</v>
      </c>
    </row>
    <row r="6659" spans="2:7" x14ac:dyDescent="0.2">
      <c r="B6659" s="32">
        <v>45992</v>
      </c>
      <c r="C6659" t="s">
        <v>142</v>
      </c>
      <c r="D6659" s="13" t="s">
        <v>634</v>
      </c>
      <c r="E6659" t="s">
        <v>1795</v>
      </c>
      <c r="F6659" s="11">
        <v>2</v>
      </c>
      <c r="G6659" s="11">
        <v>117647.06</v>
      </c>
    </row>
    <row r="6660" spans="2:7" x14ac:dyDescent="0.2">
      <c r="B6660" s="32">
        <v>45992</v>
      </c>
      <c r="C6660" t="s">
        <v>142</v>
      </c>
      <c r="D6660" s="13" t="s">
        <v>634</v>
      </c>
      <c r="E6660" t="s">
        <v>197</v>
      </c>
      <c r="F6660" s="11">
        <v>1</v>
      </c>
      <c r="G6660" s="11">
        <v>100840.34</v>
      </c>
    </row>
    <row r="6661" spans="2:7" x14ac:dyDescent="0.2">
      <c r="B6661" s="32">
        <v>45992</v>
      </c>
      <c r="C6661" t="s">
        <v>142</v>
      </c>
      <c r="D6661" s="13" t="s">
        <v>634</v>
      </c>
      <c r="E6661" t="s">
        <v>2070</v>
      </c>
      <c r="F6661" s="11">
        <v>2</v>
      </c>
      <c r="G6661" s="11">
        <v>92436.97</v>
      </c>
    </row>
    <row r="6662" spans="2:7" x14ac:dyDescent="0.2">
      <c r="B6662" s="32">
        <v>45992</v>
      </c>
      <c r="C6662" t="s">
        <v>142</v>
      </c>
      <c r="D6662" s="13" t="s">
        <v>634</v>
      </c>
      <c r="E6662" t="s">
        <v>2126</v>
      </c>
      <c r="F6662" s="11">
        <v>1</v>
      </c>
      <c r="G6662" s="11">
        <v>37815.129999999997</v>
      </c>
    </row>
    <row r="6663" spans="2:7" x14ac:dyDescent="0.2">
      <c r="B6663" s="32">
        <v>45992</v>
      </c>
      <c r="C6663" t="s">
        <v>142</v>
      </c>
      <c r="D6663" s="13" t="s">
        <v>634</v>
      </c>
      <c r="E6663" t="s">
        <v>1818</v>
      </c>
      <c r="F6663" s="11">
        <v>1</v>
      </c>
      <c r="G6663" s="11">
        <v>37815.129999999997</v>
      </c>
    </row>
    <row r="6664" spans="2:7" x14ac:dyDescent="0.2">
      <c r="B6664" s="32">
        <v>45992</v>
      </c>
      <c r="C6664" t="s">
        <v>142</v>
      </c>
      <c r="D6664" s="13" t="s">
        <v>633</v>
      </c>
      <c r="E6664" t="s">
        <v>228</v>
      </c>
      <c r="F6664" s="11">
        <v>4</v>
      </c>
      <c r="G6664" s="11">
        <v>218487.4</v>
      </c>
    </row>
    <row r="6665" spans="2:7" x14ac:dyDescent="0.2">
      <c r="B6665" s="32">
        <v>45992</v>
      </c>
      <c r="C6665" t="s">
        <v>142</v>
      </c>
      <c r="D6665" s="13" t="s">
        <v>633</v>
      </c>
      <c r="E6665" t="s">
        <v>1818</v>
      </c>
      <c r="F6665" s="11">
        <v>2</v>
      </c>
      <c r="G6665" s="11">
        <v>75630.25</v>
      </c>
    </row>
    <row r="6666" spans="2:7" x14ac:dyDescent="0.2">
      <c r="B6666" s="32">
        <v>45992</v>
      </c>
      <c r="C6666" t="s">
        <v>142</v>
      </c>
      <c r="D6666" s="13" t="s">
        <v>633</v>
      </c>
      <c r="E6666" t="s">
        <v>441</v>
      </c>
      <c r="F6666" s="11">
        <v>2</v>
      </c>
      <c r="G6666" s="11">
        <v>58823.53</v>
      </c>
    </row>
    <row r="6667" spans="2:7" x14ac:dyDescent="0.2">
      <c r="B6667" s="32">
        <v>45992</v>
      </c>
      <c r="C6667" t="s">
        <v>142</v>
      </c>
      <c r="D6667" s="13" t="s">
        <v>633</v>
      </c>
      <c r="E6667" t="s">
        <v>536</v>
      </c>
      <c r="F6667" s="11">
        <v>1</v>
      </c>
      <c r="G6667" s="11">
        <v>54621.85</v>
      </c>
    </row>
    <row r="6668" spans="2:7" x14ac:dyDescent="0.2">
      <c r="B6668" s="32">
        <v>45992</v>
      </c>
      <c r="C6668" t="s">
        <v>142</v>
      </c>
      <c r="D6668" s="13" t="s">
        <v>633</v>
      </c>
      <c r="E6668" t="s">
        <v>438</v>
      </c>
      <c r="F6668" s="11">
        <v>1</v>
      </c>
      <c r="G6668" s="11">
        <v>54621.84</v>
      </c>
    </row>
    <row r="6669" spans="2:7" x14ac:dyDescent="0.2">
      <c r="B6669" s="32">
        <v>45992</v>
      </c>
      <c r="C6669" t="s">
        <v>109</v>
      </c>
      <c r="D6669" s="13" t="s">
        <v>634</v>
      </c>
      <c r="F6669" s="11">
        <v>2</v>
      </c>
      <c r="G6669" s="11">
        <v>243697.48</v>
      </c>
    </row>
    <row r="6670" spans="2:7" x14ac:dyDescent="0.2">
      <c r="B6670" s="32">
        <v>45992</v>
      </c>
      <c r="C6670" t="s">
        <v>109</v>
      </c>
      <c r="D6670" s="13" t="s">
        <v>634</v>
      </c>
      <c r="E6670" t="s">
        <v>2091</v>
      </c>
      <c r="F6670" s="11">
        <v>4</v>
      </c>
      <c r="G6670" s="11">
        <v>184873.96</v>
      </c>
    </row>
    <row r="6671" spans="2:7" x14ac:dyDescent="0.2">
      <c r="B6671" s="32">
        <v>45992</v>
      </c>
      <c r="C6671" t="s">
        <v>109</v>
      </c>
      <c r="D6671" s="13" t="s">
        <v>634</v>
      </c>
      <c r="E6671" t="s">
        <v>144</v>
      </c>
      <c r="F6671" s="11">
        <v>3</v>
      </c>
      <c r="G6671" s="11">
        <v>124369.74</v>
      </c>
    </row>
    <row r="6672" spans="2:7" x14ac:dyDescent="0.2">
      <c r="B6672" s="32">
        <v>45992</v>
      </c>
      <c r="C6672" t="s">
        <v>109</v>
      </c>
      <c r="D6672" s="13" t="s">
        <v>634</v>
      </c>
      <c r="E6672" t="s">
        <v>2094</v>
      </c>
      <c r="F6672" s="11">
        <v>2</v>
      </c>
      <c r="G6672" s="11">
        <v>92436.97</v>
      </c>
    </row>
    <row r="6673" spans="2:7" x14ac:dyDescent="0.2">
      <c r="B6673" s="32">
        <v>45992</v>
      </c>
      <c r="C6673" t="s">
        <v>109</v>
      </c>
      <c r="D6673" s="13" t="s">
        <v>634</v>
      </c>
      <c r="E6673" t="s">
        <v>2120</v>
      </c>
      <c r="F6673" s="11">
        <v>2</v>
      </c>
      <c r="G6673" s="11">
        <v>92436.97</v>
      </c>
    </row>
    <row r="6674" spans="2:7" x14ac:dyDescent="0.2">
      <c r="B6674" s="32">
        <v>45992</v>
      </c>
      <c r="C6674" t="s">
        <v>109</v>
      </c>
      <c r="D6674" s="13" t="s">
        <v>634</v>
      </c>
      <c r="E6674" t="s">
        <v>287</v>
      </c>
      <c r="F6674" s="11">
        <v>1</v>
      </c>
      <c r="G6674" s="11">
        <v>84033.61</v>
      </c>
    </row>
    <row r="6675" spans="2:7" x14ac:dyDescent="0.2">
      <c r="B6675" s="32">
        <v>45992</v>
      </c>
      <c r="C6675" t="s">
        <v>109</v>
      </c>
      <c r="D6675" s="13" t="s">
        <v>634</v>
      </c>
      <c r="E6675" t="s">
        <v>309</v>
      </c>
      <c r="F6675" s="11">
        <v>2</v>
      </c>
      <c r="G6675" s="11">
        <v>0</v>
      </c>
    </row>
    <row r="6676" spans="2:7" x14ac:dyDescent="0.2">
      <c r="B6676" s="32">
        <v>45992</v>
      </c>
      <c r="C6676" t="s">
        <v>109</v>
      </c>
      <c r="D6676" s="13" t="s">
        <v>633</v>
      </c>
      <c r="F6676" s="11">
        <v>6</v>
      </c>
      <c r="G6676" s="11">
        <v>731092.44</v>
      </c>
    </row>
    <row r="6677" spans="2:7" x14ac:dyDescent="0.2">
      <c r="B6677" s="32">
        <v>45992</v>
      </c>
      <c r="C6677" t="s">
        <v>109</v>
      </c>
      <c r="D6677" s="13" t="s">
        <v>633</v>
      </c>
      <c r="E6677" t="s">
        <v>167</v>
      </c>
      <c r="F6677" s="11">
        <v>6</v>
      </c>
      <c r="G6677" s="11">
        <v>462857.15</v>
      </c>
    </row>
    <row r="6678" spans="2:7" x14ac:dyDescent="0.2">
      <c r="B6678" s="32">
        <v>45992</v>
      </c>
      <c r="C6678" t="s">
        <v>109</v>
      </c>
      <c r="D6678" s="13" t="s">
        <v>633</v>
      </c>
      <c r="E6678" t="s">
        <v>420</v>
      </c>
      <c r="F6678" s="11">
        <v>6</v>
      </c>
      <c r="G6678" s="11">
        <v>462857.14</v>
      </c>
    </row>
    <row r="6679" spans="2:7" x14ac:dyDescent="0.2">
      <c r="B6679" s="32">
        <v>45992</v>
      </c>
      <c r="C6679" t="s">
        <v>109</v>
      </c>
      <c r="D6679" s="13" t="s">
        <v>633</v>
      </c>
      <c r="E6679" t="s">
        <v>181</v>
      </c>
      <c r="F6679" s="11">
        <v>6</v>
      </c>
      <c r="G6679" s="11">
        <v>317647.06</v>
      </c>
    </row>
    <row r="6680" spans="2:7" x14ac:dyDescent="0.2">
      <c r="B6680" s="32">
        <v>45992</v>
      </c>
      <c r="C6680" t="s">
        <v>109</v>
      </c>
      <c r="D6680" s="13" t="s">
        <v>633</v>
      </c>
      <c r="E6680" t="s">
        <v>602</v>
      </c>
      <c r="F6680" s="11">
        <v>3</v>
      </c>
      <c r="G6680" s="11">
        <v>257142.86</v>
      </c>
    </row>
    <row r="6681" spans="2:7" x14ac:dyDescent="0.2">
      <c r="B6681" s="32">
        <v>45992</v>
      </c>
      <c r="C6681" t="s">
        <v>109</v>
      </c>
      <c r="D6681" s="13" t="s">
        <v>633</v>
      </c>
      <c r="E6681" t="s">
        <v>2014</v>
      </c>
      <c r="F6681" s="11">
        <v>2</v>
      </c>
      <c r="G6681" s="11">
        <v>142857.14000000001</v>
      </c>
    </row>
    <row r="6682" spans="2:7" x14ac:dyDescent="0.2">
      <c r="B6682" s="32">
        <v>45992</v>
      </c>
      <c r="C6682" t="s">
        <v>109</v>
      </c>
      <c r="D6682" s="13" t="s">
        <v>633</v>
      </c>
      <c r="E6682" t="s">
        <v>2115</v>
      </c>
      <c r="F6682" s="11">
        <v>1</v>
      </c>
      <c r="G6682" s="11">
        <v>63025.21</v>
      </c>
    </row>
    <row r="6683" spans="2:7" x14ac:dyDescent="0.2">
      <c r="B6683" s="32">
        <v>45992</v>
      </c>
      <c r="C6683" t="s">
        <v>109</v>
      </c>
      <c r="D6683" s="13" t="s">
        <v>633</v>
      </c>
      <c r="E6683" t="s">
        <v>182</v>
      </c>
      <c r="F6683" s="11">
        <v>2</v>
      </c>
      <c r="G6683" s="11">
        <v>58823.53</v>
      </c>
    </row>
    <row r="6684" spans="2:7" x14ac:dyDescent="0.2">
      <c r="B6684" s="32">
        <v>45992</v>
      </c>
      <c r="C6684" t="s">
        <v>109</v>
      </c>
      <c r="D6684" s="13" t="s">
        <v>633</v>
      </c>
      <c r="E6684" t="s">
        <v>320</v>
      </c>
      <c r="F6684" s="11">
        <v>1</v>
      </c>
      <c r="G6684" s="11">
        <v>58823.53</v>
      </c>
    </row>
    <row r="6685" spans="2:7" x14ac:dyDescent="0.2">
      <c r="B6685" s="32">
        <v>45992</v>
      </c>
      <c r="C6685" t="s">
        <v>109</v>
      </c>
      <c r="D6685" s="13" t="s">
        <v>633</v>
      </c>
      <c r="E6685" t="s">
        <v>176</v>
      </c>
      <c r="F6685" s="11">
        <v>1</v>
      </c>
      <c r="G6685" s="11">
        <v>58823.519999999997</v>
      </c>
    </row>
    <row r="6686" spans="2:7" x14ac:dyDescent="0.2">
      <c r="B6686" s="32">
        <v>45993</v>
      </c>
      <c r="C6686" t="s">
        <v>142</v>
      </c>
      <c r="D6686" s="13" t="s">
        <v>634</v>
      </c>
      <c r="E6686" t="s">
        <v>328</v>
      </c>
      <c r="F6686" s="11">
        <v>2</v>
      </c>
      <c r="G6686" s="11">
        <v>75630.25</v>
      </c>
    </row>
    <row r="6687" spans="2:7" x14ac:dyDescent="0.2">
      <c r="B6687" s="32">
        <v>45993</v>
      </c>
      <c r="C6687" t="s">
        <v>142</v>
      </c>
      <c r="D6687" s="13" t="s">
        <v>634</v>
      </c>
      <c r="E6687" t="s">
        <v>352</v>
      </c>
      <c r="F6687" s="11">
        <v>1</v>
      </c>
      <c r="G6687" s="11">
        <v>71428.570000000007</v>
      </c>
    </row>
    <row r="6688" spans="2:7" x14ac:dyDescent="0.2">
      <c r="B6688" s="32">
        <v>45993</v>
      </c>
      <c r="C6688" t="s">
        <v>142</v>
      </c>
      <c r="D6688" s="13" t="s">
        <v>634</v>
      </c>
      <c r="E6688" t="s">
        <v>813</v>
      </c>
      <c r="F6688" s="11">
        <v>1</v>
      </c>
      <c r="G6688" s="11">
        <v>54621.85</v>
      </c>
    </row>
    <row r="6689" spans="2:7" x14ac:dyDescent="0.2">
      <c r="B6689" s="32">
        <v>45993</v>
      </c>
      <c r="C6689" t="s">
        <v>142</v>
      </c>
      <c r="D6689" s="13" t="s">
        <v>634</v>
      </c>
      <c r="E6689" t="s">
        <v>293</v>
      </c>
      <c r="F6689" s="11">
        <v>1</v>
      </c>
      <c r="G6689" s="11">
        <v>37815.120000000003</v>
      </c>
    </row>
    <row r="6690" spans="2:7" x14ac:dyDescent="0.2">
      <c r="B6690" s="32">
        <v>45993</v>
      </c>
      <c r="C6690" t="s">
        <v>142</v>
      </c>
      <c r="D6690" s="13" t="s">
        <v>633</v>
      </c>
      <c r="E6690" t="s">
        <v>2134</v>
      </c>
      <c r="F6690" s="11">
        <v>3</v>
      </c>
      <c r="G6690" s="11">
        <v>415966.39</v>
      </c>
    </row>
    <row r="6691" spans="2:7" x14ac:dyDescent="0.2">
      <c r="B6691" s="32">
        <v>45993</v>
      </c>
      <c r="C6691" t="s">
        <v>142</v>
      </c>
      <c r="D6691" s="13" t="s">
        <v>633</v>
      </c>
      <c r="E6691" t="s">
        <v>259</v>
      </c>
      <c r="F6691" s="11">
        <v>3</v>
      </c>
      <c r="G6691" s="11">
        <v>176470.59</v>
      </c>
    </row>
    <row r="6692" spans="2:7" x14ac:dyDescent="0.2">
      <c r="B6692" s="32">
        <v>45993</v>
      </c>
      <c r="C6692" t="s">
        <v>142</v>
      </c>
      <c r="D6692" s="13" t="s">
        <v>633</v>
      </c>
      <c r="E6692" t="s">
        <v>721</v>
      </c>
      <c r="F6692" s="11">
        <v>1</v>
      </c>
      <c r="G6692" s="11">
        <v>58823.53</v>
      </c>
    </row>
    <row r="6693" spans="2:7" x14ac:dyDescent="0.2">
      <c r="B6693" s="32">
        <v>45993</v>
      </c>
      <c r="C6693" t="s">
        <v>142</v>
      </c>
      <c r="D6693" s="13" t="s">
        <v>633</v>
      </c>
      <c r="E6693" t="s">
        <v>342</v>
      </c>
      <c r="F6693" s="11">
        <v>1</v>
      </c>
      <c r="G6693" s="11">
        <v>37815.120000000003</v>
      </c>
    </row>
    <row r="6694" spans="2:7" x14ac:dyDescent="0.2">
      <c r="B6694" s="32">
        <v>45993</v>
      </c>
      <c r="C6694" t="s">
        <v>109</v>
      </c>
      <c r="D6694" s="13" t="s">
        <v>634</v>
      </c>
      <c r="E6694" t="s">
        <v>212</v>
      </c>
      <c r="F6694" s="11">
        <v>3</v>
      </c>
      <c r="G6694" s="11">
        <v>163865.54999999999</v>
      </c>
    </row>
    <row r="6695" spans="2:7" x14ac:dyDescent="0.2">
      <c r="B6695" s="32">
        <v>45993</v>
      </c>
      <c r="C6695" t="s">
        <v>109</v>
      </c>
      <c r="D6695" s="13" t="s">
        <v>634</v>
      </c>
      <c r="E6695" t="s">
        <v>1830</v>
      </c>
      <c r="F6695" s="11">
        <v>2</v>
      </c>
      <c r="G6695" s="11">
        <v>117647.06</v>
      </c>
    </row>
    <row r="6696" spans="2:7" x14ac:dyDescent="0.2">
      <c r="B6696" s="32">
        <v>45993</v>
      </c>
      <c r="C6696" t="s">
        <v>109</v>
      </c>
      <c r="D6696" s="13" t="s">
        <v>634</v>
      </c>
      <c r="E6696" t="s">
        <v>820</v>
      </c>
      <c r="F6696" s="11">
        <v>2</v>
      </c>
      <c r="G6696" s="11">
        <v>117647.06</v>
      </c>
    </row>
    <row r="6697" spans="2:7" x14ac:dyDescent="0.2">
      <c r="B6697" s="32">
        <v>45993</v>
      </c>
      <c r="C6697" t="s">
        <v>109</v>
      </c>
      <c r="D6697" s="13" t="s">
        <v>634</v>
      </c>
      <c r="E6697" t="s">
        <v>182</v>
      </c>
      <c r="F6697" s="11">
        <v>4</v>
      </c>
      <c r="G6697" s="11">
        <v>117647.05</v>
      </c>
    </row>
    <row r="6698" spans="2:7" x14ac:dyDescent="0.2">
      <c r="B6698" s="32">
        <v>45993</v>
      </c>
      <c r="C6698" t="s">
        <v>109</v>
      </c>
      <c r="D6698" s="13" t="s">
        <v>634</v>
      </c>
      <c r="E6698" t="s">
        <v>158</v>
      </c>
      <c r="F6698" s="11">
        <v>2</v>
      </c>
      <c r="G6698" s="11">
        <v>92436.98</v>
      </c>
    </row>
    <row r="6699" spans="2:7" x14ac:dyDescent="0.2">
      <c r="B6699" s="32">
        <v>45993</v>
      </c>
      <c r="C6699" t="s">
        <v>109</v>
      </c>
      <c r="D6699" s="13" t="s">
        <v>634</v>
      </c>
      <c r="E6699" t="s">
        <v>202</v>
      </c>
      <c r="F6699" s="11">
        <v>2</v>
      </c>
      <c r="G6699" s="11">
        <v>92436.98</v>
      </c>
    </row>
    <row r="6700" spans="2:7" x14ac:dyDescent="0.2">
      <c r="B6700" s="32">
        <v>45993</v>
      </c>
      <c r="C6700" t="s">
        <v>109</v>
      </c>
      <c r="D6700" s="13" t="s">
        <v>634</v>
      </c>
      <c r="E6700" t="s">
        <v>342</v>
      </c>
      <c r="F6700" s="11">
        <v>2</v>
      </c>
      <c r="G6700" s="11">
        <v>82815.13</v>
      </c>
    </row>
    <row r="6701" spans="2:7" x14ac:dyDescent="0.2">
      <c r="B6701" s="32">
        <v>45993</v>
      </c>
      <c r="C6701" t="s">
        <v>109</v>
      </c>
      <c r="D6701" s="13" t="s">
        <v>634</v>
      </c>
      <c r="E6701" t="s">
        <v>2107</v>
      </c>
      <c r="F6701" s="11">
        <v>2</v>
      </c>
      <c r="G6701" s="11">
        <v>75630.259999999995</v>
      </c>
    </row>
    <row r="6702" spans="2:7" x14ac:dyDescent="0.2">
      <c r="B6702" s="32">
        <v>45993</v>
      </c>
      <c r="C6702" t="s">
        <v>109</v>
      </c>
      <c r="D6702" s="13" t="s">
        <v>634</v>
      </c>
      <c r="E6702" t="s">
        <v>2113</v>
      </c>
      <c r="F6702" s="11">
        <v>2</v>
      </c>
      <c r="G6702" s="11">
        <v>75630.259999999995</v>
      </c>
    </row>
    <row r="6703" spans="2:7" x14ac:dyDescent="0.2">
      <c r="B6703" s="32">
        <v>45993</v>
      </c>
      <c r="C6703" t="s">
        <v>109</v>
      </c>
      <c r="D6703" s="13" t="s">
        <v>634</v>
      </c>
      <c r="E6703" t="s">
        <v>144</v>
      </c>
      <c r="F6703" s="11">
        <v>2</v>
      </c>
      <c r="G6703" s="11">
        <v>70588.23</v>
      </c>
    </row>
    <row r="6704" spans="2:7" x14ac:dyDescent="0.2">
      <c r="B6704" s="32">
        <v>45993</v>
      </c>
      <c r="C6704" t="s">
        <v>109</v>
      </c>
      <c r="D6704" s="13" t="s">
        <v>634</v>
      </c>
      <c r="E6704" t="s">
        <v>1923</v>
      </c>
      <c r="F6704" s="11">
        <v>1</v>
      </c>
      <c r="G6704" s="11">
        <v>58823.53</v>
      </c>
    </row>
    <row r="6705" spans="2:7" x14ac:dyDescent="0.2">
      <c r="B6705" s="32">
        <v>45993</v>
      </c>
      <c r="C6705" t="s">
        <v>109</v>
      </c>
      <c r="D6705" s="13" t="s">
        <v>634</v>
      </c>
      <c r="E6705" t="s">
        <v>2094</v>
      </c>
      <c r="F6705" s="11">
        <v>1</v>
      </c>
      <c r="G6705" s="11">
        <v>46218.49</v>
      </c>
    </row>
    <row r="6706" spans="2:7" x14ac:dyDescent="0.2">
      <c r="B6706" s="32">
        <v>45993</v>
      </c>
      <c r="C6706" t="s">
        <v>109</v>
      </c>
      <c r="D6706" s="13" t="s">
        <v>634</v>
      </c>
      <c r="E6706" t="s">
        <v>150</v>
      </c>
      <c r="F6706" s="11">
        <v>1</v>
      </c>
      <c r="G6706" s="11">
        <v>42016.81</v>
      </c>
    </row>
    <row r="6707" spans="2:7" x14ac:dyDescent="0.2">
      <c r="B6707" s="32">
        <v>45993</v>
      </c>
      <c r="C6707" t="s">
        <v>109</v>
      </c>
      <c r="D6707" s="13" t="s">
        <v>634</v>
      </c>
      <c r="E6707" t="s">
        <v>180</v>
      </c>
      <c r="F6707" s="11">
        <v>2</v>
      </c>
      <c r="G6707" s="11">
        <v>33613.440000000002</v>
      </c>
    </row>
    <row r="6708" spans="2:7" x14ac:dyDescent="0.2">
      <c r="B6708" s="32">
        <v>45993</v>
      </c>
      <c r="C6708" t="s">
        <v>109</v>
      </c>
      <c r="D6708" s="13" t="s">
        <v>633</v>
      </c>
      <c r="E6708" t="s">
        <v>159</v>
      </c>
      <c r="F6708" s="11">
        <v>2</v>
      </c>
      <c r="G6708" s="11">
        <v>487394.96</v>
      </c>
    </row>
    <row r="6709" spans="2:7" x14ac:dyDescent="0.2">
      <c r="B6709" s="32">
        <v>45993</v>
      </c>
      <c r="C6709" t="s">
        <v>109</v>
      </c>
      <c r="D6709" s="13" t="s">
        <v>633</v>
      </c>
      <c r="F6709" s="11">
        <v>5</v>
      </c>
      <c r="G6709" s="11">
        <v>373109.24</v>
      </c>
    </row>
    <row r="6710" spans="2:7" x14ac:dyDescent="0.2">
      <c r="B6710" s="32">
        <v>45993</v>
      </c>
      <c r="C6710" t="s">
        <v>109</v>
      </c>
      <c r="D6710" s="13" t="s">
        <v>633</v>
      </c>
      <c r="E6710" t="s">
        <v>647</v>
      </c>
      <c r="F6710" s="11">
        <v>2</v>
      </c>
      <c r="G6710" s="11">
        <v>151260.51</v>
      </c>
    </row>
    <row r="6711" spans="2:7" x14ac:dyDescent="0.2">
      <c r="B6711" s="32">
        <v>45993</v>
      </c>
      <c r="C6711" t="s">
        <v>109</v>
      </c>
      <c r="D6711" s="13" t="s">
        <v>633</v>
      </c>
      <c r="E6711" t="s">
        <v>352</v>
      </c>
      <c r="F6711" s="11">
        <v>2</v>
      </c>
      <c r="G6711" s="11">
        <v>142857.14000000001</v>
      </c>
    </row>
    <row r="6712" spans="2:7" x14ac:dyDescent="0.2">
      <c r="B6712" s="32">
        <v>45993</v>
      </c>
      <c r="C6712" t="s">
        <v>109</v>
      </c>
      <c r="D6712" s="13" t="s">
        <v>633</v>
      </c>
      <c r="E6712" t="s">
        <v>144</v>
      </c>
      <c r="F6712" s="11">
        <v>9</v>
      </c>
      <c r="G6712" s="11">
        <v>121008.4</v>
      </c>
    </row>
    <row r="6713" spans="2:7" x14ac:dyDescent="0.2">
      <c r="B6713" s="32">
        <v>45993</v>
      </c>
      <c r="C6713" t="s">
        <v>109</v>
      </c>
      <c r="D6713" s="13" t="s">
        <v>633</v>
      </c>
      <c r="E6713" t="s">
        <v>2011</v>
      </c>
      <c r="F6713" s="11">
        <v>2</v>
      </c>
      <c r="G6713" s="11">
        <v>109243.7</v>
      </c>
    </row>
    <row r="6714" spans="2:7" x14ac:dyDescent="0.2">
      <c r="B6714" s="32">
        <v>45993</v>
      </c>
      <c r="C6714" t="s">
        <v>109</v>
      </c>
      <c r="D6714" s="13" t="s">
        <v>633</v>
      </c>
      <c r="E6714" t="s">
        <v>156</v>
      </c>
      <c r="F6714" s="11">
        <v>2</v>
      </c>
      <c r="G6714" s="11">
        <v>84033.62</v>
      </c>
    </row>
    <row r="6715" spans="2:7" x14ac:dyDescent="0.2">
      <c r="B6715" s="32">
        <v>45993</v>
      </c>
      <c r="C6715" t="s">
        <v>109</v>
      </c>
      <c r="D6715" s="13" t="s">
        <v>633</v>
      </c>
      <c r="E6715" t="s">
        <v>234</v>
      </c>
      <c r="F6715" s="11">
        <v>2</v>
      </c>
      <c r="G6715" s="11">
        <v>75630.259999999995</v>
      </c>
    </row>
    <row r="6716" spans="2:7" x14ac:dyDescent="0.2">
      <c r="B6716" s="32">
        <v>45993</v>
      </c>
      <c r="C6716" t="s">
        <v>109</v>
      </c>
      <c r="D6716" s="13" t="s">
        <v>633</v>
      </c>
      <c r="E6716" t="s">
        <v>403</v>
      </c>
      <c r="F6716" s="11">
        <v>1</v>
      </c>
      <c r="G6716" s="11">
        <v>75630.25</v>
      </c>
    </row>
    <row r="6717" spans="2:7" x14ac:dyDescent="0.2">
      <c r="B6717" s="32">
        <v>45993</v>
      </c>
      <c r="C6717" t="s">
        <v>109</v>
      </c>
      <c r="D6717" s="13" t="s">
        <v>633</v>
      </c>
      <c r="E6717" t="s">
        <v>489</v>
      </c>
      <c r="F6717" s="11">
        <v>1</v>
      </c>
      <c r="G6717" s="11">
        <v>58823.53</v>
      </c>
    </row>
    <row r="6718" spans="2:7" x14ac:dyDescent="0.2">
      <c r="B6718" s="32">
        <v>45993</v>
      </c>
      <c r="C6718" t="s">
        <v>109</v>
      </c>
      <c r="D6718" s="13" t="s">
        <v>633</v>
      </c>
      <c r="E6718" t="s">
        <v>1834</v>
      </c>
      <c r="F6718" s="11">
        <v>1</v>
      </c>
      <c r="G6718" s="11">
        <v>42016.81</v>
      </c>
    </row>
    <row r="6719" spans="2:7" x14ac:dyDescent="0.2">
      <c r="B6719" s="32">
        <v>45994</v>
      </c>
      <c r="C6719" t="s">
        <v>142</v>
      </c>
      <c r="D6719" s="13" t="s">
        <v>634</v>
      </c>
      <c r="E6719" t="s">
        <v>736</v>
      </c>
      <c r="F6719" s="11">
        <v>13</v>
      </c>
      <c r="G6719" s="11">
        <v>910084.03</v>
      </c>
    </row>
    <row r="6720" spans="2:7" x14ac:dyDescent="0.2">
      <c r="B6720" s="32">
        <v>45994</v>
      </c>
      <c r="C6720" t="s">
        <v>142</v>
      </c>
      <c r="D6720" s="13" t="s">
        <v>634</v>
      </c>
      <c r="E6720" t="s">
        <v>401</v>
      </c>
      <c r="F6720" s="11">
        <v>3</v>
      </c>
      <c r="G6720" s="11">
        <v>302521.01</v>
      </c>
    </row>
    <row r="6721" spans="2:7" x14ac:dyDescent="0.2">
      <c r="B6721" s="32">
        <v>45994</v>
      </c>
      <c r="C6721" t="s">
        <v>142</v>
      </c>
      <c r="D6721" s="13" t="s">
        <v>634</v>
      </c>
      <c r="E6721" t="s">
        <v>291</v>
      </c>
      <c r="F6721" s="11">
        <v>2</v>
      </c>
      <c r="G6721" s="11">
        <v>92436.96</v>
      </c>
    </row>
    <row r="6722" spans="2:7" x14ac:dyDescent="0.2">
      <c r="B6722" s="32">
        <v>45994</v>
      </c>
      <c r="C6722" t="s">
        <v>142</v>
      </c>
      <c r="D6722" s="13" t="s">
        <v>634</v>
      </c>
      <c r="E6722" t="s">
        <v>534</v>
      </c>
      <c r="F6722" s="11">
        <v>1</v>
      </c>
      <c r="G6722" s="11">
        <v>71428.570000000007</v>
      </c>
    </row>
    <row r="6723" spans="2:7" x14ac:dyDescent="0.2">
      <c r="B6723" s="32">
        <v>45994</v>
      </c>
      <c r="C6723" t="s">
        <v>142</v>
      </c>
      <c r="D6723" s="13" t="s">
        <v>634</v>
      </c>
      <c r="E6723" t="s">
        <v>189</v>
      </c>
      <c r="F6723" s="11">
        <v>1</v>
      </c>
      <c r="G6723" s="11">
        <v>71428.570000000007</v>
      </c>
    </row>
    <row r="6724" spans="2:7" x14ac:dyDescent="0.2">
      <c r="B6724" s="32">
        <v>45994</v>
      </c>
      <c r="C6724" t="s">
        <v>142</v>
      </c>
      <c r="D6724" s="13" t="s">
        <v>633</v>
      </c>
      <c r="E6724" t="s">
        <v>736</v>
      </c>
      <c r="F6724" s="11">
        <v>8</v>
      </c>
      <c r="G6724" s="11">
        <v>579411.76</v>
      </c>
    </row>
    <row r="6725" spans="2:7" x14ac:dyDescent="0.2">
      <c r="B6725" s="32">
        <v>45994</v>
      </c>
      <c r="C6725" t="s">
        <v>142</v>
      </c>
      <c r="D6725" s="13" t="s">
        <v>633</v>
      </c>
      <c r="E6725" t="s">
        <v>2062</v>
      </c>
      <c r="F6725" s="11">
        <v>2</v>
      </c>
      <c r="G6725" s="11">
        <v>235294.13</v>
      </c>
    </row>
    <row r="6726" spans="2:7" x14ac:dyDescent="0.2">
      <c r="B6726" s="32">
        <v>45994</v>
      </c>
      <c r="C6726" t="s">
        <v>142</v>
      </c>
      <c r="D6726" s="13" t="s">
        <v>633</v>
      </c>
      <c r="E6726" t="s">
        <v>1879</v>
      </c>
      <c r="F6726" s="11">
        <v>2</v>
      </c>
      <c r="G6726" s="11">
        <v>168067.22</v>
      </c>
    </row>
    <row r="6727" spans="2:7" x14ac:dyDescent="0.2">
      <c r="B6727" s="32">
        <v>45994</v>
      </c>
      <c r="C6727" t="s">
        <v>142</v>
      </c>
      <c r="D6727" s="13" t="s">
        <v>633</v>
      </c>
      <c r="E6727" t="s">
        <v>144</v>
      </c>
      <c r="F6727" s="11">
        <v>3</v>
      </c>
      <c r="G6727" s="11">
        <v>126050.42</v>
      </c>
    </row>
    <row r="6728" spans="2:7" x14ac:dyDescent="0.2">
      <c r="B6728" s="32">
        <v>45994</v>
      </c>
      <c r="C6728" t="s">
        <v>142</v>
      </c>
      <c r="D6728" s="13" t="s">
        <v>633</v>
      </c>
      <c r="E6728" t="s">
        <v>155</v>
      </c>
      <c r="F6728" s="11">
        <v>1</v>
      </c>
      <c r="G6728" s="11">
        <v>100840.33</v>
      </c>
    </row>
    <row r="6729" spans="2:7" x14ac:dyDescent="0.2">
      <c r="B6729" s="32">
        <v>45994</v>
      </c>
      <c r="C6729" t="s">
        <v>142</v>
      </c>
      <c r="D6729" s="13" t="s">
        <v>633</v>
      </c>
      <c r="E6729" t="s">
        <v>208</v>
      </c>
      <c r="F6729" s="11">
        <v>1</v>
      </c>
      <c r="G6729" s="11">
        <v>58823.53</v>
      </c>
    </row>
    <row r="6730" spans="2:7" x14ac:dyDescent="0.2">
      <c r="B6730" s="32">
        <v>45994</v>
      </c>
      <c r="C6730" t="s">
        <v>109</v>
      </c>
      <c r="D6730" s="13" t="s">
        <v>634</v>
      </c>
      <c r="E6730" t="s">
        <v>159</v>
      </c>
      <c r="F6730" s="11">
        <v>3</v>
      </c>
      <c r="G6730" s="11">
        <v>731092.44</v>
      </c>
    </row>
    <row r="6731" spans="2:7" x14ac:dyDescent="0.2">
      <c r="B6731" s="32">
        <v>45994</v>
      </c>
      <c r="C6731" t="s">
        <v>109</v>
      </c>
      <c r="D6731" s="13" t="s">
        <v>634</v>
      </c>
      <c r="E6731" t="s">
        <v>1770</v>
      </c>
      <c r="F6731" s="11">
        <v>4</v>
      </c>
      <c r="G6731" s="11">
        <v>521008.4</v>
      </c>
    </row>
    <row r="6732" spans="2:7" x14ac:dyDescent="0.2">
      <c r="B6732" s="32">
        <v>45994</v>
      </c>
      <c r="C6732" t="s">
        <v>109</v>
      </c>
      <c r="D6732" s="13" t="s">
        <v>634</v>
      </c>
      <c r="E6732" t="s">
        <v>145</v>
      </c>
      <c r="F6732" s="11">
        <v>17</v>
      </c>
      <c r="G6732" s="11">
        <v>499999.99</v>
      </c>
    </row>
    <row r="6733" spans="2:7" x14ac:dyDescent="0.2">
      <c r="B6733" s="32">
        <v>45994</v>
      </c>
      <c r="C6733" t="s">
        <v>109</v>
      </c>
      <c r="D6733" s="13" t="s">
        <v>634</v>
      </c>
      <c r="E6733" t="s">
        <v>713</v>
      </c>
      <c r="F6733" s="11">
        <v>2</v>
      </c>
      <c r="G6733" s="11">
        <v>487394.96</v>
      </c>
    </row>
    <row r="6734" spans="2:7" x14ac:dyDescent="0.2">
      <c r="B6734" s="32">
        <v>45994</v>
      </c>
      <c r="C6734" t="s">
        <v>109</v>
      </c>
      <c r="D6734" s="13" t="s">
        <v>634</v>
      </c>
      <c r="E6734" t="s">
        <v>2135</v>
      </c>
      <c r="F6734" s="11">
        <v>4</v>
      </c>
      <c r="G6734" s="11">
        <v>453781.51</v>
      </c>
    </row>
    <row r="6735" spans="2:7" x14ac:dyDescent="0.2">
      <c r="B6735" s="32">
        <v>45994</v>
      </c>
      <c r="C6735" t="s">
        <v>109</v>
      </c>
      <c r="D6735" s="13" t="s">
        <v>634</v>
      </c>
      <c r="E6735" t="s">
        <v>148</v>
      </c>
      <c r="F6735" s="11">
        <v>11</v>
      </c>
      <c r="G6735" s="11">
        <v>415966.38</v>
      </c>
    </row>
    <row r="6736" spans="2:7" x14ac:dyDescent="0.2">
      <c r="B6736" s="32">
        <v>45994</v>
      </c>
      <c r="C6736" t="s">
        <v>109</v>
      </c>
      <c r="D6736" s="13" t="s">
        <v>634</v>
      </c>
      <c r="E6736" t="s">
        <v>189</v>
      </c>
      <c r="F6736" s="11">
        <v>5</v>
      </c>
      <c r="G6736" s="11">
        <v>357142.86</v>
      </c>
    </row>
    <row r="6737" spans="2:7" x14ac:dyDescent="0.2">
      <c r="B6737" s="32">
        <v>45994</v>
      </c>
      <c r="C6737" t="s">
        <v>109</v>
      </c>
      <c r="D6737" s="13" t="s">
        <v>634</v>
      </c>
      <c r="E6737" t="s">
        <v>534</v>
      </c>
      <c r="F6737" s="11">
        <v>5</v>
      </c>
      <c r="G6737" s="11">
        <v>357142.85</v>
      </c>
    </row>
    <row r="6738" spans="2:7" x14ac:dyDescent="0.2">
      <c r="B6738" s="32">
        <v>45994</v>
      </c>
      <c r="C6738" t="s">
        <v>109</v>
      </c>
      <c r="D6738" s="13" t="s">
        <v>634</v>
      </c>
      <c r="E6738" t="s">
        <v>191</v>
      </c>
      <c r="F6738" s="11">
        <v>2</v>
      </c>
      <c r="G6738" s="11">
        <v>285714.28999999998</v>
      </c>
    </row>
    <row r="6739" spans="2:7" x14ac:dyDescent="0.2">
      <c r="B6739" s="32">
        <v>45994</v>
      </c>
      <c r="C6739" t="s">
        <v>109</v>
      </c>
      <c r="D6739" s="13" t="s">
        <v>634</v>
      </c>
      <c r="E6739" t="s">
        <v>169</v>
      </c>
      <c r="F6739" s="11">
        <v>2</v>
      </c>
      <c r="G6739" s="11">
        <v>201680.68</v>
      </c>
    </row>
    <row r="6740" spans="2:7" x14ac:dyDescent="0.2">
      <c r="B6740" s="32">
        <v>45994</v>
      </c>
      <c r="C6740" t="s">
        <v>109</v>
      </c>
      <c r="D6740" s="13" t="s">
        <v>634</v>
      </c>
      <c r="E6740" t="s">
        <v>506</v>
      </c>
      <c r="F6740" s="11">
        <v>2</v>
      </c>
      <c r="G6740" s="11">
        <v>201680.67</v>
      </c>
    </row>
    <row r="6741" spans="2:7" x14ac:dyDescent="0.2">
      <c r="B6741" s="32">
        <v>45994</v>
      </c>
      <c r="C6741" t="s">
        <v>109</v>
      </c>
      <c r="D6741" s="13" t="s">
        <v>634</v>
      </c>
      <c r="E6741" t="s">
        <v>158</v>
      </c>
      <c r="F6741" s="11">
        <v>4</v>
      </c>
      <c r="G6741" s="11">
        <v>184873.95</v>
      </c>
    </row>
    <row r="6742" spans="2:7" x14ac:dyDescent="0.2">
      <c r="B6742" s="32">
        <v>45994</v>
      </c>
      <c r="C6742" t="s">
        <v>109</v>
      </c>
      <c r="D6742" s="13" t="s">
        <v>634</v>
      </c>
      <c r="E6742" t="s">
        <v>199</v>
      </c>
      <c r="F6742" s="11">
        <v>2</v>
      </c>
      <c r="G6742" s="11">
        <v>151260.5</v>
      </c>
    </row>
    <row r="6743" spans="2:7" x14ac:dyDescent="0.2">
      <c r="B6743" s="32">
        <v>45994</v>
      </c>
      <c r="C6743" t="s">
        <v>109</v>
      </c>
      <c r="D6743" s="13" t="s">
        <v>634</v>
      </c>
      <c r="E6743" t="s">
        <v>368</v>
      </c>
      <c r="F6743" s="11">
        <v>2</v>
      </c>
      <c r="G6743" s="11">
        <v>151260.49</v>
      </c>
    </row>
    <row r="6744" spans="2:7" x14ac:dyDescent="0.2">
      <c r="B6744" s="32">
        <v>45994</v>
      </c>
      <c r="C6744" t="s">
        <v>109</v>
      </c>
      <c r="D6744" s="13" t="s">
        <v>634</v>
      </c>
      <c r="E6744" t="s">
        <v>149</v>
      </c>
      <c r="F6744" s="11">
        <v>2</v>
      </c>
      <c r="G6744" s="11">
        <v>142857.14000000001</v>
      </c>
    </row>
    <row r="6745" spans="2:7" x14ac:dyDescent="0.2">
      <c r="B6745" s="32">
        <v>45994</v>
      </c>
      <c r="C6745" t="s">
        <v>109</v>
      </c>
      <c r="D6745" s="13" t="s">
        <v>634</v>
      </c>
      <c r="E6745" t="s">
        <v>1896</v>
      </c>
      <c r="F6745" s="11">
        <v>3</v>
      </c>
      <c r="G6745" s="11">
        <v>138655.46</v>
      </c>
    </row>
    <row r="6746" spans="2:7" x14ac:dyDescent="0.2">
      <c r="B6746" s="32">
        <v>45994</v>
      </c>
      <c r="C6746" t="s">
        <v>109</v>
      </c>
      <c r="D6746" s="13" t="s">
        <v>634</v>
      </c>
      <c r="E6746" t="s">
        <v>246</v>
      </c>
      <c r="F6746" s="11">
        <v>3</v>
      </c>
      <c r="G6746" s="11">
        <v>126050.41</v>
      </c>
    </row>
    <row r="6747" spans="2:7" x14ac:dyDescent="0.2">
      <c r="B6747" s="32">
        <v>45994</v>
      </c>
      <c r="C6747" t="s">
        <v>109</v>
      </c>
      <c r="D6747" s="13" t="s">
        <v>634</v>
      </c>
      <c r="E6747" t="s">
        <v>654</v>
      </c>
      <c r="F6747" s="11">
        <v>2</v>
      </c>
      <c r="G6747" s="11">
        <v>109243.7</v>
      </c>
    </row>
    <row r="6748" spans="2:7" x14ac:dyDescent="0.2">
      <c r="B6748" s="32">
        <v>45994</v>
      </c>
      <c r="C6748" t="s">
        <v>109</v>
      </c>
      <c r="D6748" s="13" t="s">
        <v>634</v>
      </c>
      <c r="E6748" t="s">
        <v>348</v>
      </c>
      <c r="F6748" s="11">
        <v>2</v>
      </c>
      <c r="G6748" s="11">
        <v>109243.69</v>
      </c>
    </row>
    <row r="6749" spans="2:7" x14ac:dyDescent="0.2">
      <c r="B6749" s="32">
        <v>45994</v>
      </c>
      <c r="C6749" t="s">
        <v>109</v>
      </c>
      <c r="D6749" s="13" t="s">
        <v>634</v>
      </c>
      <c r="E6749" t="s">
        <v>551</v>
      </c>
      <c r="F6749" s="11">
        <v>1</v>
      </c>
      <c r="G6749" s="11">
        <v>100840.34</v>
      </c>
    </row>
    <row r="6750" spans="2:7" x14ac:dyDescent="0.2">
      <c r="B6750" s="32">
        <v>45994</v>
      </c>
      <c r="C6750" t="s">
        <v>109</v>
      </c>
      <c r="D6750" s="13" t="s">
        <v>634</v>
      </c>
      <c r="E6750" t="s">
        <v>154</v>
      </c>
      <c r="F6750" s="11">
        <v>1</v>
      </c>
      <c r="G6750" s="11">
        <v>100840.34</v>
      </c>
    </row>
    <row r="6751" spans="2:7" x14ac:dyDescent="0.2">
      <c r="B6751" s="32">
        <v>45994</v>
      </c>
      <c r="C6751" t="s">
        <v>109</v>
      </c>
      <c r="D6751" s="13" t="s">
        <v>634</v>
      </c>
      <c r="E6751" t="s">
        <v>225</v>
      </c>
      <c r="F6751" s="11">
        <v>2</v>
      </c>
      <c r="G6751" s="11">
        <v>92436.98</v>
      </c>
    </row>
    <row r="6752" spans="2:7" x14ac:dyDescent="0.2">
      <c r="B6752" s="32">
        <v>45994</v>
      </c>
      <c r="C6752" t="s">
        <v>109</v>
      </c>
      <c r="D6752" s="13" t="s">
        <v>634</v>
      </c>
      <c r="E6752" t="s">
        <v>1968</v>
      </c>
      <c r="F6752" s="11">
        <v>2</v>
      </c>
      <c r="G6752" s="11">
        <v>84033.61</v>
      </c>
    </row>
    <row r="6753" spans="2:7" x14ac:dyDescent="0.2">
      <c r="B6753" s="32">
        <v>45994</v>
      </c>
      <c r="C6753" t="s">
        <v>109</v>
      </c>
      <c r="D6753" s="13" t="s">
        <v>634</v>
      </c>
      <c r="E6753" t="s">
        <v>382</v>
      </c>
      <c r="F6753" s="11">
        <v>2</v>
      </c>
      <c r="G6753" s="11">
        <v>75630.259999999995</v>
      </c>
    </row>
    <row r="6754" spans="2:7" x14ac:dyDescent="0.2">
      <c r="B6754" s="32">
        <v>45994</v>
      </c>
      <c r="C6754" t="s">
        <v>109</v>
      </c>
      <c r="D6754" s="13" t="s">
        <v>634</v>
      </c>
      <c r="E6754" t="s">
        <v>2109</v>
      </c>
      <c r="F6754" s="11">
        <v>2</v>
      </c>
      <c r="G6754" s="11">
        <v>75630.259999999995</v>
      </c>
    </row>
    <row r="6755" spans="2:7" x14ac:dyDescent="0.2">
      <c r="B6755" s="32">
        <v>45994</v>
      </c>
      <c r="C6755" t="s">
        <v>109</v>
      </c>
      <c r="D6755" s="13" t="s">
        <v>634</v>
      </c>
      <c r="E6755" t="s">
        <v>2126</v>
      </c>
      <c r="F6755" s="11">
        <v>2</v>
      </c>
      <c r="G6755" s="11">
        <v>75630.25</v>
      </c>
    </row>
    <row r="6756" spans="2:7" x14ac:dyDescent="0.2">
      <c r="B6756" s="32">
        <v>45994</v>
      </c>
      <c r="C6756" t="s">
        <v>109</v>
      </c>
      <c r="D6756" s="13" t="s">
        <v>634</v>
      </c>
      <c r="E6756" t="s">
        <v>300</v>
      </c>
      <c r="F6756" s="11">
        <v>2</v>
      </c>
      <c r="G6756" s="11">
        <v>75630.25</v>
      </c>
    </row>
    <row r="6757" spans="2:7" x14ac:dyDescent="0.2">
      <c r="B6757" s="32">
        <v>45994</v>
      </c>
      <c r="C6757" t="s">
        <v>109</v>
      </c>
      <c r="D6757" s="13" t="s">
        <v>634</v>
      </c>
      <c r="E6757" t="s">
        <v>340</v>
      </c>
      <c r="F6757" s="11">
        <v>1</v>
      </c>
      <c r="G6757" s="11">
        <v>75630.25</v>
      </c>
    </row>
    <row r="6758" spans="2:7" x14ac:dyDescent="0.2">
      <c r="B6758" s="32">
        <v>45994</v>
      </c>
      <c r="C6758" t="s">
        <v>109</v>
      </c>
      <c r="D6758" s="13" t="s">
        <v>634</v>
      </c>
      <c r="E6758" t="s">
        <v>152</v>
      </c>
      <c r="F6758" s="11">
        <v>1</v>
      </c>
      <c r="G6758" s="11">
        <v>75630.25</v>
      </c>
    </row>
    <row r="6759" spans="2:7" x14ac:dyDescent="0.2">
      <c r="B6759" s="32">
        <v>45994</v>
      </c>
      <c r="C6759" t="s">
        <v>109</v>
      </c>
      <c r="D6759" s="13" t="s">
        <v>634</v>
      </c>
      <c r="E6759" t="s">
        <v>164</v>
      </c>
      <c r="F6759" s="11">
        <v>1</v>
      </c>
      <c r="G6759" s="11">
        <v>71428.570000000007</v>
      </c>
    </row>
    <row r="6760" spans="2:7" x14ac:dyDescent="0.2">
      <c r="B6760" s="32">
        <v>45994</v>
      </c>
      <c r="C6760" t="s">
        <v>109</v>
      </c>
      <c r="D6760" s="13" t="s">
        <v>634</v>
      </c>
      <c r="E6760" t="s">
        <v>219</v>
      </c>
      <c r="F6760" s="11">
        <v>1</v>
      </c>
      <c r="G6760" s="11">
        <v>58823.53</v>
      </c>
    </row>
    <row r="6761" spans="2:7" x14ac:dyDescent="0.2">
      <c r="B6761" s="32">
        <v>45994</v>
      </c>
      <c r="C6761" t="s">
        <v>109</v>
      </c>
      <c r="D6761" s="13" t="s">
        <v>634</v>
      </c>
      <c r="E6761" t="s">
        <v>427</v>
      </c>
      <c r="F6761" s="11">
        <v>1</v>
      </c>
      <c r="G6761" s="11">
        <v>54621.85</v>
      </c>
    </row>
    <row r="6762" spans="2:7" x14ac:dyDescent="0.2">
      <c r="B6762" s="32">
        <v>45994</v>
      </c>
      <c r="C6762" t="s">
        <v>109</v>
      </c>
      <c r="D6762" s="13" t="s">
        <v>634</v>
      </c>
      <c r="E6762" t="s">
        <v>173</v>
      </c>
      <c r="F6762" s="11">
        <v>1</v>
      </c>
      <c r="G6762" s="11">
        <v>37815.129999999997</v>
      </c>
    </row>
    <row r="6763" spans="2:7" x14ac:dyDescent="0.2">
      <c r="B6763" s="32">
        <v>45994</v>
      </c>
      <c r="C6763" t="s">
        <v>109</v>
      </c>
      <c r="D6763" s="13" t="s">
        <v>634</v>
      </c>
      <c r="E6763" t="s">
        <v>468</v>
      </c>
      <c r="F6763" s="11">
        <v>1</v>
      </c>
      <c r="G6763" s="11">
        <v>37815.129999999997</v>
      </c>
    </row>
    <row r="6764" spans="2:7" x14ac:dyDescent="0.2">
      <c r="B6764" s="32">
        <v>45994</v>
      </c>
      <c r="C6764" t="s">
        <v>109</v>
      </c>
      <c r="D6764" s="13" t="s">
        <v>633</v>
      </c>
      <c r="E6764" t="s">
        <v>758</v>
      </c>
      <c r="F6764" s="11">
        <v>1</v>
      </c>
      <c r="G6764" s="11">
        <v>252100.84</v>
      </c>
    </row>
    <row r="6765" spans="2:7" x14ac:dyDescent="0.2">
      <c r="B6765" s="32">
        <v>45994</v>
      </c>
      <c r="C6765" t="s">
        <v>109</v>
      </c>
      <c r="D6765" s="13" t="s">
        <v>633</v>
      </c>
      <c r="E6765" t="s">
        <v>347</v>
      </c>
      <c r="F6765" s="11">
        <v>3</v>
      </c>
      <c r="G6765" s="11">
        <v>226890.75</v>
      </c>
    </row>
    <row r="6766" spans="2:7" x14ac:dyDescent="0.2">
      <c r="B6766" s="32">
        <v>45994</v>
      </c>
      <c r="C6766" t="s">
        <v>109</v>
      </c>
      <c r="D6766" s="13" t="s">
        <v>633</v>
      </c>
      <c r="E6766" t="s">
        <v>196</v>
      </c>
      <c r="F6766" s="11">
        <v>5</v>
      </c>
      <c r="G6766" s="11">
        <v>210084.03</v>
      </c>
    </row>
    <row r="6767" spans="2:7" x14ac:dyDescent="0.2">
      <c r="B6767" s="32">
        <v>45994</v>
      </c>
      <c r="C6767" t="s">
        <v>109</v>
      </c>
      <c r="D6767" s="13" t="s">
        <v>633</v>
      </c>
      <c r="E6767" t="s">
        <v>402</v>
      </c>
      <c r="F6767" s="11">
        <v>1</v>
      </c>
      <c r="G6767" s="11">
        <v>184873.95</v>
      </c>
    </row>
    <row r="6768" spans="2:7" x14ac:dyDescent="0.2">
      <c r="B6768" s="32">
        <v>45994</v>
      </c>
      <c r="C6768" t="s">
        <v>109</v>
      </c>
      <c r="D6768" s="13" t="s">
        <v>633</v>
      </c>
      <c r="E6768" t="s">
        <v>145</v>
      </c>
      <c r="F6768" s="11">
        <v>6</v>
      </c>
      <c r="G6768" s="11">
        <v>176470.57</v>
      </c>
    </row>
    <row r="6769" spans="2:7" x14ac:dyDescent="0.2">
      <c r="B6769" s="32">
        <v>45994</v>
      </c>
      <c r="C6769" t="s">
        <v>109</v>
      </c>
      <c r="D6769" s="13" t="s">
        <v>633</v>
      </c>
      <c r="E6769" t="s">
        <v>617</v>
      </c>
      <c r="F6769" s="11">
        <v>3</v>
      </c>
      <c r="G6769" s="11">
        <v>163865.54</v>
      </c>
    </row>
    <row r="6770" spans="2:7" x14ac:dyDescent="0.2">
      <c r="B6770" s="32">
        <v>45994</v>
      </c>
      <c r="C6770" t="s">
        <v>109</v>
      </c>
      <c r="D6770" s="13" t="s">
        <v>633</v>
      </c>
      <c r="E6770" t="s">
        <v>352</v>
      </c>
      <c r="F6770" s="11">
        <v>2</v>
      </c>
      <c r="G6770" s="11">
        <v>142857.14000000001</v>
      </c>
    </row>
    <row r="6771" spans="2:7" x14ac:dyDescent="0.2">
      <c r="B6771" s="32">
        <v>45994</v>
      </c>
      <c r="C6771" t="s">
        <v>109</v>
      </c>
      <c r="D6771" s="13" t="s">
        <v>633</v>
      </c>
      <c r="E6771" t="s">
        <v>336</v>
      </c>
      <c r="F6771" s="11">
        <v>2</v>
      </c>
      <c r="G6771" s="11">
        <v>142857.14000000001</v>
      </c>
    </row>
    <row r="6772" spans="2:7" x14ac:dyDescent="0.2">
      <c r="B6772" s="32">
        <v>45994</v>
      </c>
      <c r="C6772" t="s">
        <v>109</v>
      </c>
      <c r="D6772" s="13" t="s">
        <v>633</v>
      </c>
      <c r="E6772" t="s">
        <v>151</v>
      </c>
      <c r="F6772" s="11">
        <v>3</v>
      </c>
      <c r="G6772" s="11">
        <v>138655.46</v>
      </c>
    </row>
    <row r="6773" spans="2:7" x14ac:dyDescent="0.2">
      <c r="B6773" s="32">
        <v>45994</v>
      </c>
      <c r="C6773" t="s">
        <v>109</v>
      </c>
      <c r="D6773" s="13" t="s">
        <v>633</v>
      </c>
      <c r="E6773" t="s">
        <v>150</v>
      </c>
      <c r="F6773" s="11">
        <v>3</v>
      </c>
      <c r="G6773" s="11">
        <v>126050.42</v>
      </c>
    </row>
    <row r="6774" spans="2:7" x14ac:dyDescent="0.2">
      <c r="B6774" s="32">
        <v>45994</v>
      </c>
      <c r="C6774" t="s">
        <v>109</v>
      </c>
      <c r="D6774" s="13" t="s">
        <v>633</v>
      </c>
      <c r="E6774" t="s">
        <v>1968</v>
      </c>
      <c r="F6774" s="11">
        <v>3</v>
      </c>
      <c r="G6774" s="11">
        <v>126050.42</v>
      </c>
    </row>
    <row r="6775" spans="2:7" x14ac:dyDescent="0.2">
      <c r="B6775" s="32">
        <v>45994</v>
      </c>
      <c r="C6775" t="s">
        <v>109</v>
      </c>
      <c r="D6775" s="13" t="s">
        <v>633</v>
      </c>
      <c r="E6775" t="s">
        <v>2136</v>
      </c>
      <c r="F6775" s="11">
        <v>3</v>
      </c>
      <c r="G6775" s="11">
        <v>113445.38</v>
      </c>
    </row>
    <row r="6776" spans="2:7" x14ac:dyDescent="0.2">
      <c r="B6776" s="32">
        <v>45994</v>
      </c>
      <c r="C6776" t="s">
        <v>109</v>
      </c>
      <c r="D6776" s="13" t="s">
        <v>633</v>
      </c>
      <c r="E6776" t="s">
        <v>234</v>
      </c>
      <c r="F6776" s="11">
        <v>3</v>
      </c>
      <c r="G6776" s="11">
        <v>113445.38</v>
      </c>
    </row>
    <row r="6777" spans="2:7" x14ac:dyDescent="0.2">
      <c r="B6777" s="32">
        <v>45994</v>
      </c>
      <c r="C6777" t="s">
        <v>109</v>
      </c>
      <c r="D6777" s="13" t="s">
        <v>633</v>
      </c>
      <c r="E6777" t="s">
        <v>328</v>
      </c>
      <c r="F6777" s="11">
        <v>2</v>
      </c>
      <c r="G6777" s="11">
        <v>75630.25</v>
      </c>
    </row>
    <row r="6778" spans="2:7" x14ac:dyDescent="0.2">
      <c r="B6778" s="32">
        <v>45994</v>
      </c>
      <c r="C6778" t="s">
        <v>109</v>
      </c>
      <c r="D6778" s="13" t="s">
        <v>633</v>
      </c>
      <c r="E6778" t="s">
        <v>144</v>
      </c>
      <c r="F6778" s="11">
        <v>6</v>
      </c>
      <c r="G6778" s="11">
        <v>68067.22</v>
      </c>
    </row>
    <row r="6779" spans="2:7" x14ac:dyDescent="0.2">
      <c r="B6779" s="32">
        <v>45994</v>
      </c>
      <c r="C6779" t="s">
        <v>109</v>
      </c>
      <c r="D6779" s="13" t="s">
        <v>633</v>
      </c>
      <c r="E6779" t="s">
        <v>2091</v>
      </c>
      <c r="F6779" s="11">
        <v>1</v>
      </c>
      <c r="G6779" s="11">
        <v>46218.49</v>
      </c>
    </row>
    <row r="6780" spans="2:7" x14ac:dyDescent="0.2">
      <c r="B6780" s="32">
        <v>45994</v>
      </c>
      <c r="C6780" t="s">
        <v>109</v>
      </c>
      <c r="D6780" s="13" t="s">
        <v>633</v>
      </c>
      <c r="E6780" t="s">
        <v>277</v>
      </c>
      <c r="F6780" s="11">
        <v>1</v>
      </c>
      <c r="G6780" s="11">
        <v>46218.49</v>
      </c>
    </row>
    <row r="6781" spans="2:7" x14ac:dyDescent="0.2">
      <c r="B6781" s="32">
        <v>45994</v>
      </c>
      <c r="C6781" t="s">
        <v>109</v>
      </c>
      <c r="D6781" s="13" t="s">
        <v>633</v>
      </c>
      <c r="E6781" t="s">
        <v>2107</v>
      </c>
      <c r="F6781" s="11">
        <v>1</v>
      </c>
      <c r="G6781" s="11">
        <v>37815.129999999997</v>
      </c>
    </row>
    <row r="6782" spans="2:7" x14ac:dyDescent="0.2">
      <c r="B6782" s="32">
        <v>45995</v>
      </c>
      <c r="C6782" t="s">
        <v>142</v>
      </c>
      <c r="D6782" s="13" t="s">
        <v>634</v>
      </c>
      <c r="E6782" t="s">
        <v>2137</v>
      </c>
      <c r="F6782" s="11">
        <v>3</v>
      </c>
      <c r="G6782" s="11">
        <v>415966.39</v>
      </c>
    </row>
    <row r="6783" spans="2:7" x14ac:dyDescent="0.2">
      <c r="B6783" s="32">
        <v>45995</v>
      </c>
      <c r="C6783" t="s">
        <v>142</v>
      </c>
      <c r="D6783" s="13" t="s">
        <v>634</v>
      </c>
      <c r="E6783" t="s">
        <v>788</v>
      </c>
      <c r="F6783" s="11">
        <v>2</v>
      </c>
      <c r="G6783" s="11">
        <v>155462.19</v>
      </c>
    </row>
    <row r="6784" spans="2:7" x14ac:dyDescent="0.2">
      <c r="B6784" s="32">
        <v>45995</v>
      </c>
      <c r="C6784" t="s">
        <v>142</v>
      </c>
      <c r="D6784" s="13" t="s">
        <v>634</v>
      </c>
      <c r="E6784" t="s">
        <v>392</v>
      </c>
      <c r="F6784" s="11">
        <v>2</v>
      </c>
      <c r="G6784" s="11">
        <v>92436.98</v>
      </c>
    </row>
    <row r="6785" spans="2:7" x14ac:dyDescent="0.2">
      <c r="B6785" s="32">
        <v>45995</v>
      </c>
      <c r="C6785" t="s">
        <v>142</v>
      </c>
      <c r="D6785" s="13" t="s">
        <v>634</v>
      </c>
      <c r="E6785" t="s">
        <v>410</v>
      </c>
      <c r="F6785" s="11">
        <v>1</v>
      </c>
      <c r="G6785" s="11">
        <v>92436.98</v>
      </c>
    </row>
    <row r="6786" spans="2:7" x14ac:dyDescent="0.2">
      <c r="B6786" s="32">
        <v>45995</v>
      </c>
      <c r="C6786" t="s">
        <v>142</v>
      </c>
      <c r="D6786" s="13" t="s">
        <v>634</v>
      </c>
      <c r="E6786" t="s">
        <v>681</v>
      </c>
      <c r="F6786" s="11">
        <v>1</v>
      </c>
      <c r="G6786" s="11">
        <v>75630.25</v>
      </c>
    </row>
    <row r="6787" spans="2:7" x14ac:dyDescent="0.2">
      <c r="B6787" s="32">
        <v>45995</v>
      </c>
      <c r="C6787" t="s">
        <v>142</v>
      </c>
      <c r="D6787" s="13" t="s">
        <v>634</v>
      </c>
      <c r="E6787" t="s">
        <v>218</v>
      </c>
      <c r="F6787" s="11">
        <v>2</v>
      </c>
      <c r="G6787" s="11">
        <v>58823.519999999997</v>
      </c>
    </row>
    <row r="6788" spans="2:7" x14ac:dyDescent="0.2">
      <c r="B6788" s="32">
        <v>45995</v>
      </c>
      <c r="C6788" t="s">
        <v>142</v>
      </c>
      <c r="D6788" s="13" t="s">
        <v>633</v>
      </c>
      <c r="E6788" t="s">
        <v>201</v>
      </c>
      <c r="F6788" s="11">
        <v>6</v>
      </c>
      <c r="G6788" s="11">
        <v>262184.87</v>
      </c>
    </row>
    <row r="6789" spans="2:7" x14ac:dyDescent="0.2">
      <c r="B6789" s="32">
        <v>45995</v>
      </c>
      <c r="C6789" t="s">
        <v>142</v>
      </c>
      <c r="D6789" s="13" t="s">
        <v>633</v>
      </c>
      <c r="E6789" t="s">
        <v>159</v>
      </c>
      <c r="F6789" s="11">
        <v>1</v>
      </c>
      <c r="G6789" s="11">
        <v>243697.48</v>
      </c>
    </row>
    <row r="6790" spans="2:7" x14ac:dyDescent="0.2">
      <c r="B6790" s="32">
        <v>45995</v>
      </c>
      <c r="C6790" t="s">
        <v>109</v>
      </c>
      <c r="D6790" s="13" t="s">
        <v>634</v>
      </c>
      <c r="E6790" t="s">
        <v>740</v>
      </c>
      <c r="F6790" s="11">
        <v>13</v>
      </c>
      <c r="G6790" s="11">
        <v>764705.88</v>
      </c>
    </row>
    <row r="6791" spans="2:7" x14ac:dyDescent="0.2">
      <c r="B6791" s="32">
        <v>45995</v>
      </c>
      <c r="C6791" t="s">
        <v>109</v>
      </c>
      <c r="D6791" s="13" t="s">
        <v>634</v>
      </c>
      <c r="E6791" t="s">
        <v>673</v>
      </c>
      <c r="F6791" s="11">
        <v>12</v>
      </c>
      <c r="G6791" s="11">
        <v>705882.35</v>
      </c>
    </row>
    <row r="6792" spans="2:7" x14ac:dyDescent="0.2">
      <c r="B6792" s="32">
        <v>45995</v>
      </c>
      <c r="C6792" t="s">
        <v>109</v>
      </c>
      <c r="D6792" s="13" t="s">
        <v>634</v>
      </c>
      <c r="E6792" t="s">
        <v>2017</v>
      </c>
      <c r="F6792" s="11">
        <v>5</v>
      </c>
      <c r="G6792" s="11">
        <v>378151.26</v>
      </c>
    </row>
    <row r="6793" spans="2:7" x14ac:dyDescent="0.2">
      <c r="B6793" s="32">
        <v>45995</v>
      </c>
      <c r="C6793" t="s">
        <v>109</v>
      </c>
      <c r="D6793" s="13" t="s">
        <v>634</v>
      </c>
      <c r="E6793" t="s">
        <v>182</v>
      </c>
      <c r="F6793" s="11">
        <v>6</v>
      </c>
      <c r="G6793" s="11">
        <v>176470.59</v>
      </c>
    </row>
    <row r="6794" spans="2:7" x14ac:dyDescent="0.2">
      <c r="B6794" s="32">
        <v>45995</v>
      </c>
      <c r="C6794" t="s">
        <v>109</v>
      </c>
      <c r="D6794" s="13" t="s">
        <v>634</v>
      </c>
      <c r="E6794" t="s">
        <v>1946</v>
      </c>
      <c r="F6794" s="11">
        <v>3</v>
      </c>
      <c r="G6794" s="11">
        <v>176470.59</v>
      </c>
    </row>
    <row r="6795" spans="2:7" x14ac:dyDescent="0.2">
      <c r="B6795" s="32">
        <v>45995</v>
      </c>
      <c r="C6795" t="s">
        <v>109</v>
      </c>
      <c r="D6795" s="13" t="s">
        <v>634</v>
      </c>
      <c r="E6795" t="s">
        <v>2110</v>
      </c>
      <c r="F6795" s="11">
        <v>2</v>
      </c>
      <c r="G6795" s="11">
        <v>159663.85999999999</v>
      </c>
    </row>
    <row r="6796" spans="2:7" x14ac:dyDescent="0.2">
      <c r="B6796" s="32">
        <v>45995</v>
      </c>
      <c r="C6796" t="s">
        <v>109</v>
      </c>
      <c r="D6796" s="13" t="s">
        <v>634</v>
      </c>
      <c r="E6796" t="s">
        <v>144</v>
      </c>
      <c r="F6796" s="11">
        <v>13</v>
      </c>
      <c r="G6796" s="11">
        <v>157142.85</v>
      </c>
    </row>
    <row r="6797" spans="2:7" x14ac:dyDescent="0.2">
      <c r="B6797" s="32">
        <v>45995</v>
      </c>
      <c r="C6797" t="s">
        <v>109</v>
      </c>
      <c r="D6797" s="13" t="s">
        <v>634</v>
      </c>
      <c r="E6797" t="s">
        <v>218</v>
      </c>
      <c r="F6797" s="11">
        <v>4</v>
      </c>
      <c r="G6797" s="11">
        <v>117647.05</v>
      </c>
    </row>
    <row r="6798" spans="2:7" x14ac:dyDescent="0.2">
      <c r="B6798" s="32">
        <v>45995</v>
      </c>
      <c r="C6798" t="s">
        <v>109</v>
      </c>
      <c r="D6798" s="13" t="s">
        <v>634</v>
      </c>
      <c r="E6798" t="s">
        <v>148</v>
      </c>
      <c r="F6798" s="11">
        <v>3</v>
      </c>
      <c r="G6798" s="11">
        <v>113445.38</v>
      </c>
    </row>
    <row r="6799" spans="2:7" x14ac:dyDescent="0.2">
      <c r="B6799" s="32">
        <v>45995</v>
      </c>
      <c r="C6799" t="s">
        <v>109</v>
      </c>
      <c r="D6799" s="13" t="s">
        <v>634</v>
      </c>
      <c r="E6799" t="s">
        <v>250</v>
      </c>
      <c r="F6799" s="11">
        <v>1</v>
      </c>
      <c r="G6799" s="11">
        <v>100840.34</v>
      </c>
    </row>
    <row r="6800" spans="2:7" x14ac:dyDescent="0.2">
      <c r="B6800" s="32">
        <v>45995</v>
      </c>
      <c r="C6800" t="s">
        <v>109</v>
      </c>
      <c r="D6800" s="13" t="s">
        <v>634</v>
      </c>
      <c r="E6800" t="s">
        <v>169</v>
      </c>
      <c r="F6800" s="11">
        <v>1</v>
      </c>
      <c r="G6800" s="11">
        <v>100840.33</v>
      </c>
    </row>
    <row r="6801" spans="2:7" x14ac:dyDescent="0.2">
      <c r="B6801" s="32">
        <v>45995</v>
      </c>
      <c r="C6801" t="s">
        <v>109</v>
      </c>
      <c r="D6801" s="13" t="s">
        <v>634</v>
      </c>
      <c r="E6801" t="s">
        <v>753</v>
      </c>
      <c r="F6801" s="11">
        <v>2</v>
      </c>
      <c r="G6801" s="11">
        <v>92436.97</v>
      </c>
    </row>
    <row r="6802" spans="2:7" x14ac:dyDescent="0.2">
      <c r="B6802" s="32">
        <v>45995</v>
      </c>
      <c r="C6802" t="s">
        <v>109</v>
      </c>
      <c r="D6802" s="13" t="s">
        <v>634</v>
      </c>
      <c r="E6802" t="s">
        <v>150</v>
      </c>
      <c r="F6802" s="11">
        <v>2</v>
      </c>
      <c r="G6802" s="11">
        <v>84033.62</v>
      </c>
    </row>
    <row r="6803" spans="2:7" x14ac:dyDescent="0.2">
      <c r="B6803" s="32">
        <v>45995</v>
      </c>
      <c r="C6803" t="s">
        <v>109</v>
      </c>
      <c r="D6803" s="13" t="s">
        <v>634</v>
      </c>
      <c r="E6803" t="s">
        <v>153</v>
      </c>
      <c r="F6803" s="11">
        <v>2</v>
      </c>
      <c r="G6803" s="11">
        <v>84033.61</v>
      </c>
    </row>
    <row r="6804" spans="2:7" x14ac:dyDescent="0.2">
      <c r="B6804" s="32">
        <v>45995</v>
      </c>
      <c r="C6804" t="s">
        <v>109</v>
      </c>
      <c r="D6804" s="13" t="s">
        <v>634</v>
      </c>
      <c r="E6804" t="s">
        <v>240</v>
      </c>
      <c r="F6804" s="11">
        <v>2</v>
      </c>
      <c r="G6804" s="11">
        <v>84033.61</v>
      </c>
    </row>
    <row r="6805" spans="2:7" x14ac:dyDescent="0.2">
      <c r="B6805" s="32">
        <v>45995</v>
      </c>
      <c r="C6805" t="s">
        <v>109</v>
      </c>
      <c r="D6805" s="13" t="s">
        <v>634</v>
      </c>
      <c r="E6805" t="s">
        <v>2094</v>
      </c>
      <c r="F6805" s="11">
        <v>1</v>
      </c>
      <c r="G6805" s="11">
        <v>46218.49</v>
      </c>
    </row>
    <row r="6806" spans="2:7" x14ac:dyDescent="0.2">
      <c r="B6806" s="32">
        <v>45995</v>
      </c>
      <c r="C6806" t="s">
        <v>109</v>
      </c>
      <c r="D6806" s="13" t="s">
        <v>634</v>
      </c>
      <c r="E6806" t="s">
        <v>234</v>
      </c>
      <c r="F6806" s="11">
        <v>1</v>
      </c>
      <c r="G6806" s="11">
        <v>37815.129999999997</v>
      </c>
    </row>
    <row r="6807" spans="2:7" x14ac:dyDescent="0.2">
      <c r="B6807" s="32">
        <v>45995</v>
      </c>
      <c r="C6807" t="s">
        <v>109</v>
      </c>
      <c r="D6807" s="13" t="s">
        <v>633</v>
      </c>
      <c r="F6807" s="11">
        <v>3</v>
      </c>
      <c r="G6807" s="11">
        <v>365546.21</v>
      </c>
    </row>
    <row r="6808" spans="2:7" x14ac:dyDescent="0.2">
      <c r="B6808" s="32">
        <v>45995</v>
      </c>
      <c r="C6808" t="s">
        <v>109</v>
      </c>
      <c r="D6808" s="13" t="s">
        <v>633</v>
      </c>
      <c r="E6808" t="s">
        <v>264</v>
      </c>
      <c r="F6808" s="11">
        <v>2</v>
      </c>
      <c r="G6808" s="11">
        <v>151260.5</v>
      </c>
    </row>
    <row r="6809" spans="2:7" x14ac:dyDescent="0.2">
      <c r="B6809" s="32">
        <v>45995</v>
      </c>
      <c r="C6809" t="s">
        <v>109</v>
      </c>
      <c r="D6809" s="13" t="s">
        <v>633</v>
      </c>
      <c r="E6809" t="s">
        <v>336</v>
      </c>
      <c r="F6809" s="11">
        <v>2</v>
      </c>
      <c r="G6809" s="11">
        <v>142857.14000000001</v>
      </c>
    </row>
    <row r="6810" spans="2:7" x14ac:dyDescent="0.2">
      <c r="B6810" s="32">
        <v>45995</v>
      </c>
      <c r="C6810" t="s">
        <v>109</v>
      </c>
      <c r="D6810" s="13" t="s">
        <v>633</v>
      </c>
      <c r="E6810" t="s">
        <v>156</v>
      </c>
      <c r="F6810" s="11">
        <v>3</v>
      </c>
      <c r="G6810" s="11">
        <v>126050.42</v>
      </c>
    </row>
    <row r="6811" spans="2:7" x14ac:dyDescent="0.2">
      <c r="B6811" s="32">
        <v>45995</v>
      </c>
      <c r="C6811" t="s">
        <v>109</v>
      </c>
      <c r="D6811" s="13" t="s">
        <v>633</v>
      </c>
      <c r="E6811" t="s">
        <v>182</v>
      </c>
      <c r="F6811" s="11">
        <v>4</v>
      </c>
      <c r="G6811" s="11">
        <v>117647.06</v>
      </c>
    </row>
    <row r="6812" spans="2:7" x14ac:dyDescent="0.2">
      <c r="B6812" s="32">
        <v>45995</v>
      </c>
      <c r="C6812" t="s">
        <v>109</v>
      </c>
      <c r="D6812" s="13" t="s">
        <v>633</v>
      </c>
      <c r="E6812" t="s">
        <v>567</v>
      </c>
      <c r="F6812" s="11">
        <v>2</v>
      </c>
      <c r="G6812" s="11">
        <v>117647.06</v>
      </c>
    </row>
    <row r="6813" spans="2:7" x14ac:dyDescent="0.2">
      <c r="B6813" s="32">
        <v>45995</v>
      </c>
      <c r="C6813" t="s">
        <v>109</v>
      </c>
      <c r="D6813" s="13" t="s">
        <v>633</v>
      </c>
      <c r="E6813" t="s">
        <v>145</v>
      </c>
      <c r="F6813" s="11">
        <v>4</v>
      </c>
      <c r="G6813" s="11">
        <v>117647.05</v>
      </c>
    </row>
    <row r="6814" spans="2:7" x14ac:dyDescent="0.2">
      <c r="B6814" s="32">
        <v>45995</v>
      </c>
      <c r="C6814" t="s">
        <v>109</v>
      </c>
      <c r="D6814" s="13" t="s">
        <v>633</v>
      </c>
      <c r="E6814" t="s">
        <v>218</v>
      </c>
      <c r="F6814" s="11">
        <v>2</v>
      </c>
      <c r="G6814" s="11">
        <v>84033.61</v>
      </c>
    </row>
    <row r="6815" spans="2:7" x14ac:dyDescent="0.2">
      <c r="B6815" s="32">
        <v>45995</v>
      </c>
      <c r="C6815" t="s">
        <v>109</v>
      </c>
      <c r="D6815" s="13" t="s">
        <v>633</v>
      </c>
      <c r="E6815" t="s">
        <v>2113</v>
      </c>
      <c r="F6815" s="11">
        <v>2</v>
      </c>
      <c r="G6815" s="11">
        <v>75630.259999999995</v>
      </c>
    </row>
    <row r="6816" spans="2:7" x14ac:dyDescent="0.2">
      <c r="B6816" s="32">
        <v>45995</v>
      </c>
      <c r="C6816" t="s">
        <v>109</v>
      </c>
      <c r="D6816" s="13" t="s">
        <v>633</v>
      </c>
      <c r="E6816" t="s">
        <v>2098</v>
      </c>
      <c r="F6816" s="11">
        <v>2</v>
      </c>
      <c r="G6816" s="11">
        <v>75630.25</v>
      </c>
    </row>
    <row r="6817" spans="2:7" x14ac:dyDescent="0.2">
      <c r="B6817" s="32">
        <v>45995</v>
      </c>
      <c r="C6817" t="s">
        <v>109</v>
      </c>
      <c r="D6817" s="13" t="s">
        <v>633</v>
      </c>
      <c r="E6817" t="s">
        <v>2115</v>
      </c>
      <c r="F6817" s="11">
        <v>1</v>
      </c>
      <c r="G6817" s="11">
        <v>63025.21</v>
      </c>
    </row>
    <row r="6818" spans="2:7" x14ac:dyDescent="0.2">
      <c r="B6818" s="32">
        <v>45995</v>
      </c>
      <c r="C6818" t="s">
        <v>109</v>
      </c>
      <c r="D6818" s="13" t="s">
        <v>633</v>
      </c>
      <c r="E6818" t="s">
        <v>208</v>
      </c>
      <c r="F6818" s="11">
        <v>1</v>
      </c>
      <c r="G6818" s="11">
        <v>58823.53</v>
      </c>
    </row>
    <row r="6819" spans="2:7" x14ac:dyDescent="0.2">
      <c r="B6819" s="32">
        <v>45995</v>
      </c>
      <c r="C6819" t="s">
        <v>109</v>
      </c>
      <c r="D6819" s="13" t="s">
        <v>633</v>
      </c>
      <c r="E6819" t="s">
        <v>144</v>
      </c>
      <c r="F6819" s="11">
        <v>3</v>
      </c>
      <c r="G6819" s="11">
        <v>45378.16</v>
      </c>
    </row>
    <row r="6820" spans="2:7" x14ac:dyDescent="0.2">
      <c r="B6820" s="32">
        <v>45995</v>
      </c>
      <c r="C6820" t="s">
        <v>109</v>
      </c>
      <c r="D6820" s="13" t="s">
        <v>633</v>
      </c>
      <c r="E6820" t="s">
        <v>161</v>
      </c>
      <c r="F6820" s="11">
        <v>1</v>
      </c>
      <c r="G6820" s="11">
        <v>42016.81</v>
      </c>
    </row>
    <row r="6821" spans="2:7" x14ac:dyDescent="0.2">
      <c r="B6821" s="32">
        <v>45996</v>
      </c>
      <c r="C6821" t="s">
        <v>142</v>
      </c>
      <c r="D6821" s="13" t="s">
        <v>634</v>
      </c>
      <c r="E6821" t="s">
        <v>276</v>
      </c>
      <c r="F6821" s="11">
        <v>1</v>
      </c>
      <c r="G6821" s="11">
        <v>84033.61</v>
      </c>
    </row>
    <row r="6822" spans="2:7" x14ac:dyDescent="0.2">
      <c r="B6822" s="32">
        <v>45996</v>
      </c>
      <c r="C6822" t="s">
        <v>142</v>
      </c>
      <c r="D6822" s="13" t="s">
        <v>634</v>
      </c>
      <c r="E6822" t="s">
        <v>238</v>
      </c>
      <c r="F6822" s="11">
        <v>1</v>
      </c>
      <c r="G6822" s="11">
        <v>46218.49</v>
      </c>
    </row>
    <row r="6823" spans="2:7" x14ac:dyDescent="0.2">
      <c r="B6823" s="32">
        <v>45996</v>
      </c>
      <c r="C6823" t="s">
        <v>142</v>
      </c>
      <c r="D6823" s="13" t="s">
        <v>633</v>
      </c>
      <c r="E6823" t="s">
        <v>167</v>
      </c>
      <c r="F6823" s="11">
        <v>2</v>
      </c>
      <c r="G6823" s="11">
        <v>201680.67</v>
      </c>
    </row>
    <row r="6824" spans="2:7" x14ac:dyDescent="0.2">
      <c r="B6824" s="32">
        <v>45996</v>
      </c>
      <c r="C6824" t="s">
        <v>142</v>
      </c>
      <c r="D6824" s="13" t="s">
        <v>633</v>
      </c>
      <c r="E6824" t="s">
        <v>2070</v>
      </c>
      <c r="F6824" s="11">
        <v>4</v>
      </c>
      <c r="G6824" s="11">
        <v>184873.95</v>
      </c>
    </row>
    <row r="6825" spans="2:7" x14ac:dyDescent="0.2">
      <c r="B6825" s="32">
        <v>45996</v>
      </c>
      <c r="C6825" t="s">
        <v>142</v>
      </c>
      <c r="D6825" s="13" t="s">
        <v>633</v>
      </c>
      <c r="E6825" t="s">
        <v>154</v>
      </c>
      <c r="F6825" s="11">
        <v>1</v>
      </c>
      <c r="G6825" s="11">
        <v>100840.34</v>
      </c>
    </row>
    <row r="6826" spans="2:7" x14ac:dyDescent="0.2">
      <c r="B6826" s="32">
        <v>45996</v>
      </c>
      <c r="C6826" t="s">
        <v>142</v>
      </c>
      <c r="D6826" s="13" t="s">
        <v>633</v>
      </c>
      <c r="E6826" t="s">
        <v>240</v>
      </c>
      <c r="F6826" s="11">
        <v>1</v>
      </c>
      <c r="G6826" s="11">
        <v>42016.81</v>
      </c>
    </row>
    <row r="6827" spans="2:7" x14ac:dyDescent="0.2">
      <c r="B6827" s="32">
        <v>45996</v>
      </c>
      <c r="C6827" t="s">
        <v>109</v>
      </c>
      <c r="D6827" s="13" t="s">
        <v>634</v>
      </c>
      <c r="E6827" t="s">
        <v>755</v>
      </c>
      <c r="F6827" s="11">
        <v>2</v>
      </c>
      <c r="G6827" s="11">
        <v>109243.7</v>
      </c>
    </row>
    <row r="6828" spans="2:7" x14ac:dyDescent="0.2">
      <c r="B6828" s="32">
        <v>45996</v>
      </c>
      <c r="C6828" t="s">
        <v>109</v>
      </c>
      <c r="D6828" s="13" t="s">
        <v>634</v>
      </c>
      <c r="E6828" t="s">
        <v>160</v>
      </c>
      <c r="F6828" s="11">
        <v>2</v>
      </c>
      <c r="G6828" s="11">
        <v>92436.98</v>
      </c>
    </row>
    <row r="6829" spans="2:7" x14ac:dyDescent="0.2">
      <c r="B6829" s="32">
        <v>45996</v>
      </c>
      <c r="C6829" t="s">
        <v>109</v>
      </c>
      <c r="D6829" s="13" t="s">
        <v>634</v>
      </c>
      <c r="E6829" t="s">
        <v>266</v>
      </c>
      <c r="F6829" s="11">
        <v>1</v>
      </c>
      <c r="G6829" s="11">
        <v>75630.25</v>
      </c>
    </row>
    <row r="6830" spans="2:7" x14ac:dyDescent="0.2">
      <c r="B6830" s="32">
        <v>45996</v>
      </c>
      <c r="C6830" t="s">
        <v>109</v>
      </c>
      <c r="D6830" s="13" t="s">
        <v>633</v>
      </c>
      <c r="E6830" t="s">
        <v>145</v>
      </c>
      <c r="F6830" s="11">
        <v>45</v>
      </c>
      <c r="G6830" s="11">
        <v>1323529.3999999999</v>
      </c>
    </row>
    <row r="6831" spans="2:7" x14ac:dyDescent="0.2">
      <c r="B6831" s="32">
        <v>45996</v>
      </c>
      <c r="C6831" t="s">
        <v>109</v>
      </c>
      <c r="D6831" s="13" t="s">
        <v>633</v>
      </c>
      <c r="E6831" t="s">
        <v>567</v>
      </c>
      <c r="F6831" s="11">
        <v>4</v>
      </c>
      <c r="G6831" s="11">
        <v>235294.12</v>
      </c>
    </row>
    <row r="6832" spans="2:7" x14ac:dyDescent="0.2">
      <c r="B6832" s="32">
        <v>45996</v>
      </c>
      <c r="C6832" t="s">
        <v>109</v>
      </c>
      <c r="D6832" s="13" t="s">
        <v>633</v>
      </c>
      <c r="E6832" t="s">
        <v>293</v>
      </c>
      <c r="F6832" s="11">
        <v>5</v>
      </c>
      <c r="G6832" s="11">
        <v>189075.63</v>
      </c>
    </row>
    <row r="6833" spans="2:7" x14ac:dyDescent="0.2">
      <c r="B6833" s="32">
        <v>45996</v>
      </c>
      <c r="C6833" t="s">
        <v>109</v>
      </c>
      <c r="D6833" s="13" t="s">
        <v>633</v>
      </c>
      <c r="E6833" t="s">
        <v>156</v>
      </c>
      <c r="F6833" s="11">
        <v>4</v>
      </c>
      <c r="G6833" s="11">
        <v>168067.23</v>
      </c>
    </row>
    <row r="6834" spans="2:7" x14ac:dyDescent="0.2">
      <c r="B6834" s="32">
        <v>45996</v>
      </c>
      <c r="C6834" t="s">
        <v>109</v>
      </c>
      <c r="D6834" s="13" t="s">
        <v>633</v>
      </c>
      <c r="E6834" t="s">
        <v>318</v>
      </c>
      <c r="F6834" s="11">
        <v>2</v>
      </c>
      <c r="G6834" s="11">
        <v>117647.06</v>
      </c>
    </row>
    <row r="6835" spans="2:7" x14ac:dyDescent="0.2">
      <c r="B6835" s="32">
        <v>45996</v>
      </c>
      <c r="C6835" t="s">
        <v>109</v>
      </c>
      <c r="D6835" s="13" t="s">
        <v>633</v>
      </c>
      <c r="E6835" t="s">
        <v>2102</v>
      </c>
      <c r="F6835" s="11">
        <v>3</v>
      </c>
      <c r="G6835" s="11">
        <v>113445.38</v>
      </c>
    </row>
    <row r="6836" spans="2:7" x14ac:dyDescent="0.2">
      <c r="B6836" s="32">
        <v>45996</v>
      </c>
      <c r="C6836" t="s">
        <v>109</v>
      </c>
      <c r="D6836" s="13" t="s">
        <v>633</v>
      </c>
      <c r="E6836" t="s">
        <v>1818</v>
      </c>
      <c r="F6836" s="11">
        <v>3</v>
      </c>
      <c r="G6836" s="11">
        <v>113445.38</v>
      </c>
    </row>
    <row r="6837" spans="2:7" x14ac:dyDescent="0.2">
      <c r="B6837" s="32">
        <v>45996</v>
      </c>
      <c r="C6837" t="s">
        <v>109</v>
      </c>
      <c r="D6837" s="13" t="s">
        <v>633</v>
      </c>
      <c r="E6837" t="s">
        <v>2126</v>
      </c>
      <c r="F6837" s="11">
        <v>2</v>
      </c>
      <c r="G6837" s="11">
        <v>75630.25</v>
      </c>
    </row>
    <row r="6838" spans="2:7" x14ac:dyDescent="0.2">
      <c r="B6838" s="32">
        <v>45996</v>
      </c>
      <c r="C6838" t="s">
        <v>109</v>
      </c>
      <c r="D6838" s="13" t="s">
        <v>633</v>
      </c>
      <c r="E6838" t="s">
        <v>328</v>
      </c>
      <c r="F6838" s="11">
        <v>2</v>
      </c>
      <c r="G6838" s="11">
        <v>75630.25</v>
      </c>
    </row>
    <row r="6839" spans="2:7" x14ac:dyDescent="0.2">
      <c r="B6839" s="32">
        <v>45996</v>
      </c>
      <c r="C6839" t="s">
        <v>109</v>
      </c>
      <c r="D6839" s="13" t="s">
        <v>633</v>
      </c>
      <c r="E6839" t="s">
        <v>1902</v>
      </c>
      <c r="F6839" s="11">
        <v>2</v>
      </c>
      <c r="G6839" s="11">
        <v>75630.25</v>
      </c>
    </row>
    <row r="6840" spans="2:7" x14ac:dyDescent="0.2">
      <c r="B6840" s="32">
        <v>45996</v>
      </c>
      <c r="C6840" t="s">
        <v>109</v>
      </c>
      <c r="D6840" s="13" t="s">
        <v>633</v>
      </c>
      <c r="E6840" t="s">
        <v>2014</v>
      </c>
      <c r="F6840" s="11">
        <v>1</v>
      </c>
      <c r="G6840" s="11">
        <v>71428.570000000007</v>
      </c>
    </row>
    <row r="6841" spans="2:7" x14ac:dyDescent="0.2">
      <c r="B6841" s="32">
        <v>45996</v>
      </c>
      <c r="C6841" t="s">
        <v>109</v>
      </c>
      <c r="D6841" s="13" t="s">
        <v>633</v>
      </c>
      <c r="E6841" t="s">
        <v>2113</v>
      </c>
      <c r="F6841" s="11">
        <v>1</v>
      </c>
      <c r="G6841" s="11">
        <v>37815.129999999997</v>
      </c>
    </row>
    <row r="6842" spans="2:7" x14ac:dyDescent="0.2">
      <c r="B6842" s="32">
        <v>45996</v>
      </c>
      <c r="C6842" t="s">
        <v>109</v>
      </c>
      <c r="D6842" s="13" t="s">
        <v>633</v>
      </c>
      <c r="E6842" t="s">
        <v>2107</v>
      </c>
      <c r="F6842" s="11">
        <v>1</v>
      </c>
      <c r="G6842" s="11">
        <v>37815.129999999997</v>
      </c>
    </row>
    <row r="6843" spans="2:7" x14ac:dyDescent="0.2">
      <c r="B6843" s="32">
        <v>45996</v>
      </c>
      <c r="C6843" t="s">
        <v>109</v>
      </c>
      <c r="D6843" s="13" t="s">
        <v>633</v>
      </c>
      <c r="E6843" t="s">
        <v>552</v>
      </c>
      <c r="F6843" s="11">
        <v>2</v>
      </c>
      <c r="G6843" s="11">
        <v>33613.440000000002</v>
      </c>
    </row>
    <row r="6844" spans="2:7" x14ac:dyDescent="0.2">
      <c r="B6844" s="32">
        <v>45996</v>
      </c>
      <c r="C6844" t="s">
        <v>109</v>
      </c>
      <c r="D6844" s="13" t="s">
        <v>633</v>
      </c>
      <c r="E6844" t="s">
        <v>144</v>
      </c>
      <c r="F6844" s="11">
        <v>2</v>
      </c>
      <c r="G6844" s="11">
        <v>31932.78</v>
      </c>
    </row>
    <row r="6845" spans="2:7" x14ac:dyDescent="0.2">
      <c r="B6845" s="32">
        <v>45996</v>
      </c>
      <c r="C6845" t="s">
        <v>109</v>
      </c>
      <c r="D6845" s="13" t="s">
        <v>633</v>
      </c>
      <c r="E6845" t="s">
        <v>2138</v>
      </c>
      <c r="F6845" s="11">
        <v>1</v>
      </c>
      <c r="G6845" s="11">
        <v>16806.72</v>
      </c>
    </row>
    <row r="6846" spans="2:7" x14ac:dyDescent="0.2">
      <c r="B6846" s="32">
        <v>45997</v>
      </c>
      <c r="C6846" t="s">
        <v>142</v>
      </c>
      <c r="D6846" s="13" t="s">
        <v>634</v>
      </c>
      <c r="E6846" t="s">
        <v>228</v>
      </c>
      <c r="F6846" s="11">
        <v>1</v>
      </c>
      <c r="G6846" s="11">
        <v>54621.85</v>
      </c>
    </row>
    <row r="6847" spans="2:7" x14ac:dyDescent="0.2">
      <c r="B6847" s="32">
        <v>45997</v>
      </c>
      <c r="C6847" t="s">
        <v>109</v>
      </c>
      <c r="D6847" s="13" t="s">
        <v>634</v>
      </c>
      <c r="E6847" t="s">
        <v>517</v>
      </c>
      <c r="F6847" s="11">
        <v>2</v>
      </c>
      <c r="G6847" s="11">
        <v>420168.07</v>
      </c>
    </row>
    <row r="6848" spans="2:7" x14ac:dyDescent="0.2">
      <c r="B6848" s="32">
        <v>45997</v>
      </c>
      <c r="C6848" t="s">
        <v>109</v>
      </c>
      <c r="D6848" s="13" t="s">
        <v>634</v>
      </c>
      <c r="E6848" t="s">
        <v>534</v>
      </c>
      <c r="F6848" s="11">
        <v>4</v>
      </c>
      <c r="G6848" s="11">
        <v>285714.28000000003</v>
      </c>
    </row>
    <row r="6849" spans="2:7" x14ac:dyDescent="0.2">
      <c r="B6849" s="32">
        <v>45997</v>
      </c>
      <c r="C6849" t="s">
        <v>109</v>
      </c>
      <c r="D6849" s="13" t="s">
        <v>634</v>
      </c>
      <c r="E6849" t="s">
        <v>1852</v>
      </c>
      <c r="F6849" s="11">
        <v>2</v>
      </c>
      <c r="G6849" s="11">
        <v>277310.92</v>
      </c>
    </row>
    <row r="6850" spans="2:7" x14ac:dyDescent="0.2">
      <c r="B6850" s="32">
        <v>45997</v>
      </c>
      <c r="C6850" t="s">
        <v>109</v>
      </c>
      <c r="D6850" s="13" t="s">
        <v>634</v>
      </c>
      <c r="E6850" t="s">
        <v>255</v>
      </c>
      <c r="F6850" s="11">
        <v>2</v>
      </c>
      <c r="G6850" s="11">
        <v>277310.90999999997</v>
      </c>
    </row>
    <row r="6851" spans="2:7" x14ac:dyDescent="0.2">
      <c r="B6851" s="32">
        <v>45997</v>
      </c>
      <c r="C6851" t="s">
        <v>109</v>
      </c>
      <c r="D6851" s="13" t="s">
        <v>634</v>
      </c>
      <c r="F6851" s="11">
        <v>3</v>
      </c>
      <c r="G6851" s="11">
        <v>266386.56</v>
      </c>
    </row>
    <row r="6852" spans="2:7" x14ac:dyDescent="0.2">
      <c r="B6852" s="32">
        <v>45997</v>
      </c>
      <c r="C6852" t="s">
        <v>109</v>
      </c>
      <c r="D6852" s="13" t="s">
        <v>634</v>
      </c>
      <c r="E6852" t="s">
        <v>192</v>
      </c>
      <c r="F6852" s="11">
        <v>3</v>
      </c>
      <c r="G6852" s="11">
        <v>214285.71</v>
      </c>
    </row>
    <row r="6853" spans="2:7" x14ac:dyDescent="0.2">
      <c r="B6853" s="32">
        <v>45997</v>
      </c>
      <c r="C6853" t="s">
        <v>109</v>
      </c>
      <c r="D6853" s="13" t="s">
        <v>634</v>
      </c>
      <c r="E6853" t="s">
        <v>475</v>
      </c>
      <c r="F6853" s="11">
        <v>2</v>
      </c>
      <c r="G6853" s="11">
        <v>142857.14000000001</v>
      </c>
    </row>
    <row r="6854" spans="2:7" x14ac:dyDescent="0.2">
      <c r="B6854" s="32">
        <v>45997</v>
      </c>
      <c r="C6854" t="s">
        <v>109</v>
      </c>
      <c r="D6854" s="13" t="s">
        <v>634</v>
      </c>
      <c r="E6854" t="s">
        <v>202</v>
      </c>
      <c r="F6854" s="11">
        <v>3</v>
      </c>
      <c r="G6854" s="11">
        <v>138655.46</v>
      </c>
    </row>
    <row r="6855" spans="2:7" x14ac:dyDescent="0.2">
      <c r="B6855" s="32">
        <v>45997</v>
      </c>
      <c r="C6855" t="s">
        <v>109</v>
      </c>
      <c r="D6855" s="13" t="s">
        <v>634</v>
      </c>
      <c r="E6855" t="s">
        <v>267</v>
      </c>
      <c r="F6855" s="11">
        <v>1</v>
      </c>
      <c r="G6855" s="11">
        <v>100840.33</v>
      </c>
    </row>
    <row r="6856" spans="2:7" x14ac:dyDescent="0.2">
      <c r="B6856" s="32">
        <v>45997</v>
      </c>
      <c r="C6856" t="s">
        <v>109</v>
      </c>
      <c r="D6856" s="13" t="s">
        <v>634</v>
      </c>
      <c r="E6856" t="s">
        <v>348</v>
      </c>
      <c r="F6856" s="11">
        <v>1</v>
      </c>
      <c r="G6856" s="11">
        <v>54621.85</v>
      </c>
    </row>
    <row r="6857" spans="2:7" x14ac:dyDescent="0.2">
      <c r="B6857" s="32">
        <v>45997</v>
      </c>
      <c r="C6857" t="s">
        <v>109</v>
      </c>
      <c r="D6857" s="13" t="s">
        <v>634</v>
      </c>
      <c r="E6857" t="s">
        <v>427</v>
      </c>
      <c r="F6857" s="11">
        <v>1</v>
      </c>
      <c r="G6857" s="11">
        <v>54621.85</v>
      </c>
    </row>
    <row r="6858" spans="2:7" x14ac:dyDescent="0.2">
      <c r="B6858" s="32">
        <v>45997</v>
      </c>
      <c r="C6858" t="s">
        <v>109</v>
      </c>
      <c r="D6858" s="13" t="s">
        <v>634</v>
      </c>
      <c r="E6858" t="s">
        <v>619</v>
      </c>
      <c r="F6858" s="11">
        <v>1</v>
      </c>
      <c r="G6858" s="11">
        <v>50420.17</v>
      </c>
    </row>
    <row r="6859" spans="2:7" x14ac:dyDescent="0.2">
      <c r="B6859" s="32">
        <v>45997</v>
      </c>
      <c r="C6859" t="s">
        <v>109</v>
      </c>
      <c r="D6859" s="13" t="s">
        <v>634</v>
      </c>
      <c r="E6859" t="s">
        <v>452</v>
      </c>
      <c r="F6859" s="11">
        <v>1</v>
      </c>
      <c r="G6859" s="11">
        <v>37815.129999999997</v>
      </c>
    </row>
    <row r="6860" spans="2:7" x14ac:dyDescent="0.2">
      <c r="B6860" s="32">
        <v>45997</v>
      </c>
      <c r="C6860" t="s">
        <v>109</v>
      </c>
      <c r="D6860" s="13" t="s">
        <v>634</v>
      </c>
      <c r="E6860" t="s">
        <v>1902</v>
      </c>
      <c r="F6860" s="11">
        <v>1</v>
      </c>
      <c r="G6860" s="11">
        <v>37815.129999999997</v>
      </c>
    </row>
    <row r="6861" spans="2:7" x14ac:dyDescent="0.2">
      <c r="B6861" s="32">
        <v>45997</v>
      </c>
      <c r="C6861" t="s">
        <v>109</v>
      </c>
      <c r="D6861" s="13" t="s">
        <v>633</v>
      </c>
      <c r="F6861" s="11">
        <v>2</v>
      </c>
      <c r="G6861" s="11">
        <v>243697.48</v>
      </c>
    </row>
    <row r="6862" spans="2:7" x14ac:dyDescent="0.2">
      <c r="B6862" s="32">
        <v>45997</v>
      </c>
      <c r="C6862" t="s">
        <v>109</v>
      </c>
      <c r="D6862" s="13" t="s">
        <v>633</v>
      </c>
      <c r="E6862" t="s">
        <v>1945</v>
      </c>
      <c r="F6862" s="11">
        <v>2</v>
      </c>
      <c r="G6862" s="11">
        <v>134453.78</v>
      </c>
    </row>
    <row r="6863" spans="2:7" x14ac:dyDescent="0.2">
      <c r="B6863" s="32">
        <v>45997</v>
      </c>
      <c r="C6863" t="s">
        <v>109</v>
      </c>
      <c r="D6863" s="13" t="s">
        <v>633</v>
      </c>
      <c r="E6863" t="s">
        <v>342</v>
      </c>
      <c r="F6863" s="11">
        <v>3</v>
      </c>
      <c r="G6863" s="11">
        <v>113445.38</v>
      </c>
    </row>
    <row r="6864" spans="2:7" x14ac:dyDescent="0.2">
      <c r="B6864" s="32">
        <v>45997</v>
      </c>
      <c r="C6864" t="s">
        <v>109</v>
      </c>
      <c r="D6864" s="13" t="s">
        <v>633</v>
      </c>
      <c r="E6864" t="s">
        <v>195</v>
      </c>
      <c r="F6864" s="11">
        <v>2</v>
      </c>
      <c r="G6864" s="11">
        <v>92436.98</v>
      </c>
    </row>
    <row r="6865" spans="2:7" x14ac:dyDescent="0.2">
      <c r="B6865" s="32">
        <v>45997</v>
      </c>
      <c r="C6865" t="s">
        <v>109</v>
      </c>
      <c r="D6865" s="13" t="s">
        <v>633</v>
      </c>
      <c r="E6865" t="s">
        <v>233</v>
      </c>
      <c r="F6865" s="11">
        <v>1</v>
      </c>
      <c r="G6865" s="11">
        <v>58823.53</v>
      </c>
    </row>
    <row r="6866" spans="2:7" x14ac:dyDescent="0.2">
      <c r="B6866" s="32">
        <v>45997</v>
      </c>
      <c r="C6866" t="s">
        <v>109</v>
      </c>
      <c r="D6866" s="13" t="s">
        <v>633</v>
      </c>
      <c r="E6866" t="s">
        <v>145</v>
      </c>
      <c r="F6866" s="11">
        <v>2</v>
      </c>
      <c r="G6866" s="11">
        <v>58823.53</v>
      </c>
    </row>
    <row r="6867" spans="2:7" x14ac:dyDescent="0.2">
      <c r="B6867" s="32">
        <v>45997</v>
      </c>
      <c r="C6867" t="s">
        <v>109</v>
      </c>
      <c r="D6867" s="13" t="s">
        <v>633</v>
      </c>
      <c r="E6867" t="s">
        <v>146</v>
      </c>
      <c r="F6867" s="11">
        <v>1</v>
      </c>
      <c r="G6867" s="11">
        <v>46218.49</v>
      </c>
    </row>
    <row r="6868" spans="2:7" x14ac:dyDescent="0.2">
      <c r="B6868" s="32">
        <v>45998</v>
      </c>
      <c r="C6868" t="s">
        <v>142</v>
      </c>
      <c r="D6868" s="13" t="s">
        <v>634</v>
      </c>
      <c r="E6868" t="s">
        <v>308</v>
      </c>
      <c r="F6868" s="11">
        <v>8</v>
      </c>
      <c r="G6868" s="11">
        <v>806722.69</v>
      </c>
    </row>
    <row r="6869" spans="2:7" x14ac:dyDescent="0.2">
      <c r="B6869" s="32">
        <v>45998</v>
      </c>
      <c r="C6869" t="s">
        <v>142</v>
      </c>
      <c r="D6869" s="13" t="s">
        <v>634</v>
      </c>
      <c r="E6869" t="s">
        <v>194</v>
      </c>
      <c r="F6869" s="11">
        <v>4</v>
      </c>
      <c r="G6869" s="11">
        <v>403361.35</v>
      </c>
    </row>
    <row r="6870" spans="2:7" x14ac:dyDescent="0.2">
      <c r="B6870" s="32">
        <v>45998</v>
      </c>
      <c r="C6870" t="s">
        <v>142</v>
      </c>
      <c r="D6870" s="13" t="s">
        <v>634</v>
      </c>
      <c r="E6870" t="s">
        <v>145</v>
      </c>
      <c r="F6870" s="11">
        <v>5</v>
      </c>
      <c r="G6870" s="11">
        <v>147058.82</v>
      </c>
    </row>
    <row r="6871" spans="2:7" x14ac:dyDescent="0.2">
      <c r="B6871" s="32">
        <v>45998</v>
      </c>
      <c r="C6871" t="s">
        <v>142</v>
      </c>
      <c r="D6871" s="13" t="s">
        <v>634</v>
      </c>
      <c r="E6871" t="s">
        <v>198</v>
      </c>
      <c r="F6871" s="11">
        <v>3</v>
      </c>
      <c r="G6871" s="11">
        <v>138655.46</v>
      </c>
    </row>
    <row r="6872" spans="2:7" x14ac:dyDescent="0.2">
      <c r="B6872" s="32">
        <v>45998</v>
      </c>
      <c r="C6872" t="s">
        <v>142</v>
      </c>
      <c r="D6872" s="13" t="s">
        <v>634</v>
      </c>
      <c r="E6872" t="s">
        <v>2139</v>
      </c>
      <c r="F6872" s="11">
        <v>2</v>
      </c>
      <c r="G6872" s="11">
        <v>92436.98</v>
      </c>
    </row>
    <row r="6873" spans="2:7" x14ac:dyDescent="0.2">
      <c r="B6873" s="32">
        <v>45998</v>
      </c>
      <c r="C6873" t="s">
        <v>142</v>
      </c>
      <c r="D6873" s="13" t="s">
        <v>634</v>
      </c>
      <c r="E6873" t="s">
        <v>146</v>
      </c>
      <c r="F6873" s="11">
        <v>2</v>
      </c>
      <c r="G6873" s="11">
        <v>92436.97</v>
      </c>
    </row>
    <row r="6874" spans="2:7" x14ac:dyDescent="0.2">
      <c r="B6874" s="32">
        <v>45998</v>
      </c>
      <c r="C6874" t="s">
        <v>142</v>
      </c>
      <c r="D6874" s="13" t="s">
        <v>634</v>
      </c>
      <c r="E6874" t="s">
        <v>144</v>
      </c>
      <c r="F6874" s="11">
        <v>3</v>
      </c>
      <c r="G6874" s="11">
        <v>55462.18</v>
      </c>
    </row>
    <row r="6875" spans="2:7" x14ac:dyDescent="0.2">
      <c r="B6875" s="32">
        <v>45998</v>
      </c>
      <c r="C6875" t="s">
        <v>142</v>
      </c>
      <c r="D6875" s="13" t="s">
        <v>633</v>
      </c>
      <c r="E6875" t="s">
        <v>145</v>
      </c>
      <c r="F6875" s="11">
        <v>9</v>
      </c>
      <c r="G6875" s="11">
        <v>205882.34</v>
      </c>
    </row>
    <row r="6876" spans="2:7" x14ac:dyDescent="0.2">
      <c r="B6876" s="32">
        <v>45998</v>
      </c>
      <c r="C6876" t="s">
        <v>142</v>
      </c>
      <c r="D6876" s="13" t="s">
        <v>633</v>
      </c>
      <c r="E6876" t="s">
        <v>406</v>
      </c>
      <c r="F6876" s="11">
        <v>2</v>
      </c>
      <c r="G6876" s="11">
        <v>117647.06</v>
      </c>
    </row>
    <row r="6877" spans="2:7" x14ac:dyDescent="0.2">
      <c r="B6877" s="32">
        <v>45998</v>
      </c>
      <c r="C6877" t="s">
        <v>109</v>
      </c>
      <c r="D6877" s="13" t="s">
        <v>634</v>
      </c>
      <c r="E6877" t="s">
        <v>194</v>
      </c>
      <c r="F6877" s="11">
        <v>12</v>
      </c>
      <c r="G6877" s="11">
        <v>1210084.03</v>
      </c>
    </row>
    <row r="6878" spans="2:7" x14ac:dyDescent="0.2">
      <c r="B6878" s="32">
        <v>45998</v>
      </c>
      <c r="C6878" t="s">
        <v>109</v>
      </c>
      <c r="D6878" s="13" t="s">
        <v>634</v>
      </c>
      <c r="E6878" t="s">
        <v>167</v>
      </c>
      <c r="F6878" s="11">
        <v>5</v>
      </c>
      <c r="G6878" s="11">
        <v>504201.68</v>
      </c>
    </row>
    <row r="6879" spans="2:7" x14ac:dyDescent="0.2">
      <c r="B6879" s="32">
        <v>45998</v>
      </c>
      <c r="C6879" t="s">
        <v>109</v>
      </c>
      <c r="D6879" s="13" t="s">
        <v>634</v>
      </c>
      <c r="E6879" t="s">
        <v>169</v>
      </c>
      <c r="F6879" s="11">
        <v>4</v>
      </c>
      <c r="G6879" s="11">
        <v>403361.34</v>
      </c>
    </row>
    <row r="6880" spans="2:7" x14ac:dyDescent="0.2">
      <c r="B6880" s="32">
        <v>45998</v>
      </c>
      <c r="C6880" t="s">
        <v>109</v>
      </c>
      <c r="D6880" s="13" t="s">
        <v>634</v>
      </c>
      <c r="E6880" t="s">
        <v>154</v>
      </c>
      <c r="F6880" s="11">
        <v>4</v>
      </c>
      <c r="G6880" s="11">
        <v>403361.34</v>
      </c>
    </row>
    <row r="6881" spans="2:7" x14ac:dyDescent="0.2">
      <c r="B6881" s="32">
        <v>45998</v>
      </c>
      <c r="C6881" t="s">
        <v>109</v>
      </c>
      <c r="D6881" s="13" t="s">
        <v>634</v>
      </c>
      <c r="F6881" s="11">
        <v>2</v>
      </c>
      <c r="G6881" s="11">
        <v>243697.48</v>
      </c>
    </row>
    <row r="6882" spans="2:7" x14ac:dyDescent="0.2">
      <c r="B6882" s="32">
        <v>45998</v>
      </c>
      <c r="C6882" t="s">
        <v>109</v>
      </c>
      <c r="D6882" s="13" t="s">
        <v>634</v>
      </c>
      <c r="E6882" t="s">
        <v>2017</v>
      </c>
      <c r="F6882" s="11">
        <v>2</v>
      </c>
      <c r="G6882" s="11">
        <v>151260.5</v>
      </c>
    </row>
    <row r="6883" spans="2:7" x14ac:dyDescent="0.2">
      <c r="B6883" s="32">
        <v>45998</v>
      </c>
      <c r="C6883" t="s">
        <v>109</v>
      </c>
      <c r="D6883" s="13" t="s">
        <v>634</v>
      </c>
      <c r="E6883" t="s">
        <v>352</v>
      </c>
      <c r="F6883" s="11">
        <v>2</v>
      </c>
      <c r="G6883" s="11">
        <v>142857.14000000001</v>
      </c>
    </row>
    <row r="6884" spans="2:7" x14ac:dyDescent="0.2">
      <c r="B6884" s="32">
        <v>45998</v>
      </c>
      <c r="C6884" t="s">
        <v>109</v>
      </c>
      <c r="D6884" s="13" t="s">
        <v>634</v>
      </c>
      <c r="E6884" t="s">
        <v>2011</v>
      </c>
      <c r="F6884" s="11">
        <v>2</v>
      </c>
      <c r="G6884" s="11">
        <v>109243.7</v>
      </c>
    </row>
    <row r="6885" spans="2:7" x14ac:dyDescent="0.2">
      <c r="B6885" s="32">
        <v>45998</v>
      </c>
      <c r="C6885" t="s">
        <v>109</v>
      </c>
      <c r="D6885" s="13" t="s">
        <v>634</v>
      </c>
      <c r="E6885" t="s">
        <v>158</v>
      </c>
      <c r="F6885" s="11">
        <v>2</v>
      </c>
      <c r="G6885" s="11">
        <v>92436.98</v>
      </c>
    </row>
    <row r="6886" spans="2:7" x14ac:dyDescent="0.2">
      <c r="B6886" s="32">
        <v>45998</v>
      </c>
      <c r="C6886" t="s">
        <v>109</v>
      </c>
      <c r="D6886" s="13" t="s">
        <v>634</v>
      </c>
      <c r="E6886" t="s">
        <v>147</v>
      </c>
      <c r="F6886" s="11">
        <v>1</v>
      </c>
      <c r="G6886" s="11">
        <v>71428.570000000007</v>
      </c>
    </row>
    <row r="6887" spans="2:7" x14ac:dyDescent="0.2">
      <c r="B6887" s="32">
        <v>45998</v>
      </c>
      <c r="C6887" t="s">
        <v>109</v>
      </c>
      <c r="D6887" s="13" t="s">
        <v>634</v>
      </c>
      <c r="E6887" t="s">
        <v>145</v>
      </c>
      <c r="F6887" s="11">
        <v>2</v>
      </c>
      <c r="G6887" s="11">
        <v>58823.519999999997</v>
      </c>
    </row>
    <row r="6888" spans="2:7" x14ac:dyDescent="0.2">
      <c r="B6888" s="32">
        <v>45998</v>
      </c>
      <c r="C6888" t="s">
        <v>109</v>
      </c>
      <c r="D6888" s="13" t="s">
        <v>634</v>
      </c>
      <c r="E6888" t="s">
        <v>238</v>
      </c>
      <c r="F6888" s="11">
        <v>1</v>
      </c>
      <c r="G6888" s="11">
        <v>46218.49</v>
      </c>
    </row>
    <row r="6889" spans="2:7" x14ac:dyDescent="0.2">
      <c r="B6889" s="32">
        <v>45998</v>
      </c>
      <c r="C6889" t="s">
        <v>109</v>
      </c>
      <c r="D6889" s="13" t="s">
        <v>634</v>
      </c>
      <c r="E6889" t="s">
        <v>146</v>
      </c>
      <c r="F6889" s="11">
        <v>1</v>
      </c>
      <c r="G6889" s="11">
        <v>46218.49</v>
      </c>
    </row>
    <row r="6890" spans="2:7" x14ac:dyDescent="0.2">
      <c r="B6890" s="32">
        <v>45998</v>
      </c>
      <c r="C6890" t="s">
        <v>109</v>
      </c>
      <c r="D6890" s="13" t="s">
        <v>634</v>
      </c>
      <c r="E6890" t="s">
        <v>2113</v>
      </c>
      <c r="F6890" s="11">
        <v>1</v>
      </c>
      <c r="G6890" s="11">
        <v>37815.129999999997</v>
      </c>
    </row>
    <row r="6891" spans="2:7" x14ac:dyDescent="0.2">
      <c r="B6891" s="32">
        <v>45998</v>
      </c>
      <c r="C6891" t="s">
        <v>109</v>
      </c>
      <c r="D6891" s="13" t="s">
        <v>633</v>
      </c>
      <c r="E6891" t="s">
        <v>374</v>
      </c>
      <c r="F6891" s="11">
        <v>3</v>
      </c>
      <c r="G6891" s="11">
        <v>176470.59</v>
      </c>
    </row>
    <row r="6892" spans="2:7" x14ac:dyDescent="0.2">
      <c r="B6892" s="32">
        <v>45998</v>
      </c>
      <c r="C6892" t="s">
        <v>109</v>
      </c>
      <c r="D6892" s="13" t="s">
        <v>633</v>
      </c>
      <c r="E6892" t="s">
        <v>558</v>
      </c>
      <c r="F6892" s="11">
        <v>2</v>
      </c>
      <c r="G6892" s="11">
        <v>151260.5</v>
      </c>
    </row>
    <row r="6893" spans="2:7" x14ac:dyDescent="0.2">
      <c r="B6893" s="32">
        <v>45998</v>
      </c>
      <c r="C6893" t="s">
        <v>109</v>
      </c>
      <c r="D6893" s="13" t="s">
        <v>633</v>
      </c>
      <c r="E6893" t="s">
        <v>145</v>
      </c>
      <c r="F6893" s="11">
        <v>5</v>
      </c>
      <c r="G6893" s="11">
        <v>147058.82999999999</v>
      </c>
    </row>
    <row r="6894" spans="2:7" x14ac:dyDescent="0.2">
      <c r="B6894" s="32">
        <v>45998</v>
      </c>
      <c r="C6894" t="s">
        <v>109</v>
      </c>
      <c r="D6894" s="13" t="s">
        <v>633</v>
      </c>
      <c r="E6894" t="s">
        <v>336</v>
      </c>
      <c r="F6894" s="11">
        <v>2</v>
      </c>
      <c r="G6894" s="11">
        <v>142857.15</v>
      </c>
    </row>
    <row r="6895" spans="2:7" x14ac:dyDescent="0.2">
      <c r="B6895" s="32">
        <v>45998</v>
      </c>
      <c r="C6895" t="s">
        <v>109</v>
      </c>
      <c r="D6895" s="13" t="s">
        <v>633</v>
      </c>
      <c r="E6895" t="s">
        <v>448</v>
      </c>
      <c r="F6895" s="11">
        <v>1</v>
      </c>
      <c r="G6895" s="11">
        <v>130252.1</v>
      </c>
    </row>
    <row r="6896" spans="2:7" x14ac:dyDescent="0.2">
      <c r="B6896" s="32">
        <v>45998</v>
      </c>
      <c r="C6896" t="s">
        <v>109</v>
      </c>
      <c r="D6896" s="13" t="s">
        <v>633</v>
      </c>
      <c r="E6896" t="s">
        <v>2107</v>
      </c>
      <c r="F6896" s="11">
        <v>3</v>
      </c>
      <c r="G6896" s="11">
        <v>113445.38</v>
      </c>
    </row>
    <row r="6897" spans="2:7" x14ac:dyDescent="0.2">
      <c r="B6897" s="32">
        <v>45998</v>
      </c>
      <c r="C6897" t="s">
        <v>109</v>
      </c>
      <c r="D6897" s="13" t="s">
        <v>633</v>
      </c>
      <c r="E6897" t="s">
        <v>1818</v>
      </c>
      <c r="F6897" s="11">
        <v>2</v>
      </c>
      <c r="G6897" s="11">
        <v>75630.25</v>
      </c>
    </row>
    <row r="6898" spans="2:7" x14ac:dyDescent="0.2">
      <c r="B6898" s="32">
        <v>45998</v>
      </c>
      <c r="C6898" t="s">
        <v>109</v>
      </c>
      <c r="D6898" s="13" t="s">
        <v>633</v>
      </c>
      <c r="E6898" t="s">
        <v>1923</v>
      </c>
      <c r="F6898" s="11">
        <v>1</v>
      </c>
      <c r="G6898" s="11">
        <v>58823.53</v>
      </c>
    </row>
    <row r="6899" spans="2:7" x14ac:dyDescent="0.2">
      <c r="B6899" s="32">
        <v>45999</v>
      </c>
      <c r="C6899" t="s">
        <v>108</v>
      </c>
      <c r="D6899" s="13" t="s">
        <v>634</v>
      </c>
      <c r="E6899" t="s">
        <v>2070</v>
      </c>
      <c r="F6899" s="11">
        <v>18</v>
      </c>
      <c r="G6899" s="11">
        <v>808823.53</v>
      </c>
    </row>
    <row r="6900" spans="2:7" x14ac:dyDescent="0.2">
      <c r="B6900" s="32">
        <v>45999</v>
      </c>
      <c r="C6900" t="s">
        <v>142</v>
      </c>
      <c r="D6900" s="13" t="s">
        <v>634</v>
      </c>
      <c r="E6900" t="s">
        <v>169</v>
      </c>
      <c r="F6900" s="11">
        <v>2</v>
      </c>
      <c r="G6900" s="11">
        <v>201680.67</v>
      </c>
    </row>
    <row r="6901" spans="2:7" x14ac:dyDescent="0.2">
      <c r="B6901" s="32">
        <v>45999</v>
      </c>
      <c r="C6901" t="s">
        <v>142</v>
      </c>
      <c r="D6901" s="13" t="s">
        <v>634</v>
      </c>
      <c r="E6901" t="s">
        <v>202</v>
      </c>
      <c r="F6901" s="11">
        <v>2</v>
      </c>
      <c r="G6901" s="11">
        <v>92436.98</v>
      </c>
    </row>
    <row r="6902" spans="2:7" x14ac:dyDescent="0.2">
      <c r="B6902" s="32">
        <v>45999</v>
      </c>
      <c r="C6902" t="s">
        <v>142</v>
      </c>
      <c r="D6902" s="13" t="s">
        <v>634</v>
      </c>
      <c r="E6902" t="s">
        <v>172</v>
      </c>
      <c r="F6902" s="11">
        <v>2</v>
      </c>
      <c r="G6902" s="11">
        <v>92436.97</v>
      </c>
    </row>
    <row r="6903" spans="2:7" x14ac:dyDescent="0.2">
      <c r="B6903" s="32">
        <v>45999</v>
      </c>
      <c r="C6903" t="s">
        <v>142</v>
      </c>
      <c r="D6903" s="13" t="s">
        <v>633</v>
      </c>
      <c r="E6903" t="s">
        <v>233</v>
      </c>
      <c r="F6903" s="11">
        <v>2</v>
      </c>
      <c r="G6903" s="11">
        <v>117647.06</v>
      </c>
    </row>
    <row r="6904" spans="2:7" x14ac:dyDescent="0.2">
      <c r="B6904" s="32">
        <v>45999</v>
      </c>
      <c r="C6904" t="s">
        <v>142</v>
      </c>
      <c r="D6904" s="13" t="s">
        <v>633</v>
      </c>
      <c r="E6904" t="s">
        <v>185</v>
      </c>
      <c r="F6904" s="11">
        <v>1</v>
      </c>
      <c r="G6904" s="11">
        <v>100840.34</v>
      </c>
    </row>
    <row r="6905" spans="2:7" x14ac:dyDescent="0.2">
      <c r="B6905" s="32">
        <v>45999</v>
      </c>
      <c r="C6905" t="s">
        <v>142</v>
      </c>
      <c r="D6905" s="13" t="s">
        <v>633</v>
      </c>
      <c r="E6905" t="s">
        <v>2067</v>
      </c>
      <c r="F6905" s="11">
        <v>2</v>
      </c>
      <c r="G6905" s="11">
        <v>92436.97</v>
      </c>
    </row>
    <row r="6906" spans="2:7" x14ac:dyDescent="0.2">
      <c r="B6906" s="32">
        <v>45999</v>
      </c>
      <c r="C6906" t="s">
        <v>142</v>
      </c>
      <c r="D6906" s="13" t="s">
        <v>633</v>
      </c>
      <c r="E6906" t="s">
        <v>2071</v>
      </c>
      <c r="F6906" s="11">
        <v>2</v>
      </c>
      <c r="G6906" s="11">
        <v>92436.97</v>
      </c>
    </row>
    <row r="6907" spans="2:7" x14ac:dyDescent="0.2">
      <c r="B6907" s="32">
        <v>45999</v>
      </c>
      <c r="C6907" t="s">
        <v>142</v>
      </c>
      <c r="D6907" s="13" t="s">
        <v>633</v>
      </c>
      <c r="E6907" t="s">
        <v>2070</v>
      </c>
      <c r="F6907" s="11">
        <v>2</v>
      </c>
      <c r="G6907" s="11">
        <v>92436.97</v>
      </c>
    </row>
    <row r="6908" spans="2:7" x14ac:dyDescent="0.2">
      <c r="B6908" s="32">
        <v>45999</v>
      </c>
      <c r="C6908" t="s">
        <v>142</v>
      </c>
      <c r="D6908" s="13" t="s">
        <v>633</v>
      </c>
      <c r="E6908" t="s">
        <v>213</v>
      </c>
      <c r="F6908" s="11">
        <v>1</v>
      </c>
      <c r="G6908" s="11">
        <v>84033.61</v>
      </c>
    </row>
    <row r="6909" spans="2:7" x14ac:dyDescent="0.2">
      <c r="B6909" s="32">
        <v>45999</v>
      </c>
      <c r="C6909" t="s">
        <v>142</v>
      </c>
      <c r="D6909" s="13" t="s">
        <v>633</v>
      </c>
      <c r="E6909" t="s">
        <v>560</v>
      </c>
      <c r="F6909" s="11">
        <v>1</v>
      </c>
      <c r="G6909" s="11">
        <v>46218.49</v>
      </c>
    </row>
    <row r="6910" spans="2:7" x14ac:dyDescent="0.2">
      <c r="B6910" s="32">
        <v>45999</v>
      </c>
      <c r="C6910" t="s">
        <v>142</v>
      </c>
      <c r="D6910" s="13" t="s">
        <v>633</v>
      </c>
      <c r="E6910" t="s">
        <v>1796</v>
      </c>
      <c r="F6910" s="11">
        <v>2</v>
      </c>
      <c r="G6910" s="11">
        <v>42016.800000000003</v>
      </c>
    </row>
    <row r="6911" spans="2:7" x14ac:dyDescent="0.2">
      <c r="B6911" s="32">
        <v>45999</v>
      </c>
      <c r="C6911" t="s">
        <v>109</v>
      </c>
      <c r="D6911" s="13" t="s">
        <v>634</v>
      </c>
      <c r="E6911" t="s">
        <v>534</v>
      </c>
      <c r="F6911" s="11">
        <v>2</v>
      </c>
      <c r="G6911" s="11">
        <v>142857.14000000001</v>
      </c>
    </row>
    <row r="6912" spans="2:7" x14ac:dyDescent="0.2">
      <c r="B6912" s="32">
        <v>45999</v>
      </c>
      <c r="C6912" t="s">
        <v>109</v>
      </c>
      <c r="D6912" s="13" t="s">
        <v>634</v>
      </c>
      <c r="E6912" t="s">
        <v>1945</v>
      </c>
      <c r="F6912" s="11">
        <v>1</v>
      </c>
      <c r="G6912" s="11">
        <v>67226.89</v>
      </c>
    </row>
    <row r="6913" spans="2:7" x14ac:dyDescent="0.2">
      <c r="B6913" s="32">
        <v>45999</v>
      </c>
      <c r="C6913" t="s">
        <v>109</v>
      </c>
      <c r="D6913" s="13" t="s">
        <v>634</v>
      </c>
      <c r="E6913" t="s">
        <v>1946</v>
      </c>
      <c r="F6913" s="11">
        <v>1</v>
      </c>
      <c r="G6913" s="11">
        <v>58823.53</v>
      </c>
    </row>
    <row r="6914" spans="2:7" x14ac:dyDescent="0.2">
      <c r="B6914" s="32">
        <v>45999</v>
      </c>
      <c r="C6914" t="s">
        <v>109</v>
      </c>
      <c r="D6914" s="13" t="s">
        <v>634</v>
      </c>
      <c r="E6914" t="s">
        <v>348</v>
      </c>
      <c r="F6914" s="11">
        <v>1</v>
      </c>
      <c r="G6914" s="11">
        <v>54621.85</v>
      </c>
    </row>
    <row r="6915" spans="2:7" x14ac:dyDescent="0.2">
      <c r="B6915" s="32">
        <v>45999</v>
      </c>
      <c r="C6915" t="s">
        <v>109</v>
      </c>
      <c r="D6915" s="13" t="s">
        <v>634</v>
      </c>
      <c r="E6915" t="s">
        <v>173</v>
      </c>
      <c r="F6915" s="11">
        <v>1</v>
      </c>
      <c r="G6915" s="11">
        <v>37815.129999999997</v>
      </c>
    </row>
    <row r="6916" spans="2:7" x14ac:dyDescent="0.2">
      <c r="B6916" s="32">
        <v>45999</v>
      </c>
      <c r="C6916" t="s">
        <v>109</v>
      </c>
      <c r="D6916" s="13" t="s">
        <v>633</v>
      </c>
      <c r="E6916" t="s">
        <v>1927</v>
      </c>
      <c r="F6916" s="11">
        <v>1</v>
      </c>
      <c r="G6916" s="11">
        <v>184873.95</v>
      </c>
    </row>
    <row r="6917" spans="2:7" x14ac:dyDescent="0.2">
      <c r="B6917" s="32">
        <v>45999</v>
      </c>
      <c r="C6917" t="s">
        <v>109</v>
      </c>
      <c r="D6917" s="13" t="s">
        <v>633</v>
      </c>
      <c r="E6917" t="s">
        <v>218</v>
      </c>
      <c r="F6917" s="11">
        <v>4</v>
      </c>
      <c r="G6917" s="11">
        <v>117647.05</v>
      </c>
    </row>
    <row r="6918" spans="2:7" x14ac:dyDescent="0.2">
      <c r="B6918" s="32">
        <v>45999</v>
      </c>
      <c r="C6918" t="s">
        <v>109</v>
      </c>
      <c r="D6918" s="13" t="s">
        <v>633</v>
      </c>
      <c r="E6918" t="s">
        <v>313</v>
      </c>
      <c r="F6918" s="11">
        <v>1</v>
      </c>
      <c r="G6918" s="11">
        <v>100840.34</v>
      </c>
    </row>
    <row r="6919" spans="2:7" x14ac:dyDescent="0.2">
      <c r="B6919" s="32">
        <v>45999</v>
      </c>
      <c r="C6919" t="s">
        <v>109</v>
      </c>
      <c r="D6919" s="13" t="s">
        <v>633</v>
      </c>
      <c r="E6919" t="s">
        <v>145</v>
      </c>
      <c r="F6919" s="11">
        <v>3</v>
      </c>
      <c r="G6919" s="11">
        <v>88235.29</v>
      </c>
    </row>
    <row r="6920" spans="2:7" x14ac:dyDescent="0.2">
      <c r="B6920" s="32">
        <v>45999</v>
      </c>
      <c r="C6920" t="s">
        <v>109</v>
      </c>
      <c r="D6920" s="13" t="s">
        <v>633</v>
      </c>
      <c r="E6920" t="s">
        <v>2037</v>
      </c>
      <c r="F6920" s="11">
        <v>1</v>
      </c>
      <c r="G6920" s="11">
        <v>84033.61</v>
      </c>
    </row>
    <row r="6921" spans="2:7" x14ac:dyDescent="0.2">
      <c r="B6921" s="32">
        <v>45999</v>
      </c>
      <c r="C6921" t="s">
        <v>109</v>
      </c>
      <c r="D6921" s="13" t="s">
        <v>633</v>
      </c>
      <c r="E6921" t="s">
        <v>662</v>
      </c>
      <c r="F6921" s="11">
        <v>1</v>
      </c>
      <c r="G6921" s="11">
        <v>37815.129999999997</v>
      </c>
    </row>
    <row r="6922" spans="2:7" x14ac:dyDescent="0.2">
      <c r="B6922" s="32">
        <v>46000</v>
      </c>
      <c r="C6922" t="s">
        <v>142</v>
      </c>
      <c r="D6922" s="13" t="s">
        <v>634</v>
      </c>
      <c r="E6922" t="s">
        <v>663</v>
      </c>
      <c r="F6922" s="11">
        <v>2</v>
      </c>
      <c r="G6922" s="11">
        <v>487394.96</v>
      </c>
    </row>
    <row r="6923" spans="2:7" x14ac:dyDescent="0.2">
      <c r="B6923" s="32">
        <v>46000</v>
      </c>
      <c r="C6923" t="s">
        <v>142</v>
      </c>
      <c r="D6923" s="13" t="s">
        <v>634</v>
      </c>
      <c r="E6923" t="s">
        <v>155</v>
      </c>
      <c r="F6923" s="11">
        <v>2</v>
      </c>
      <c r="G6923" s="11">
        <v>201680.68</v>
      </c>
    </row>
    <row r="6924" spans="2:7" x14ac:dyDescent="0.2">
      <c r="B6924" s="32">
        <v>46000</v>
      </c>
      <c r="C6924" t="s">
        <v>142</v>
      </c>
      <c r="D6924" s="13" t="s">
        <v>634</v>
      </c>
      <c r="E6924" t="s">
        <v>394</v>
      </c>
      <c r="F6924" s="11">
        <v>2</v>
      </c>
      <c r="G6924" s="11">
        <v>159663.85999999999</v>
      </c>
    </row>
    <row r="6925" spans="2:7" x14ac:dyDescent="0.2">
      <c r="B6925" s="32">
        <v>46000</v>
      </c>
      <c r="C6925" t="s">
        <v>142</v>
      </c>
      <c r="D6925" s="13" t="s">
        <v>634</v>
      </c>
      <c r="E6925" t="s">
        <v>233</v>
      </c>
      <c r="F6925" s="11">
        <v>1</v>
      </c>
      <c r="G6925" s="11">
        <v>58823.53</v>
      </c>
    </row>
    <row r="6926" spans="2:7" x14ac:dyDescent="0.2">
      <c r="B6926" s="32">
        <v>46000</v>
      </c>
      <c r="C6926" t="s">
        <v>142</v>
      </c>
      <c r="D6926" s="13" t="s">
        <v>633</v>
      </c>
      <c r="E6926" t="s">
        <v>154</v>
      </c>
      <c r="F6926" s="11">
        <v>3</v>
      </c>
      <c r="G6926" s="11">
        <v>302521.01</v>
      </c>
    </row>
    <row r="6927" spans="2:7" x14ac:dyDescent="0.2">
      <c r="B6927" s="32">
        <v>46000</v>
      </c>
      <c r="C6927" t="s">
        <v>142</v>
      </c>
      <c r="D6927" s="13" t="s">
        <v>633</v>
      </c>
      <c r="E6927" t="s">
        <v>690</v>
      </c>
      <c r="F6927" s="11">
        <v>1</v>
      </c>
      <c r="G6927" s="11">
        <v>294117.65000000002</v>
      </c>
    </row>
    <row r="6928" spans="2:7" x14ac:dyDescent="0.2">
      <c r="B6928" s="32">
        <v>46000</v>
      </c>
      <c r="C6928" t="s">
        <v>142</v>
      </c>
      <c r="D6928" s="13" t="s">
        <v>633</v>
      </c>
      <c r="E6928" t="s">
        <v>169</v>
      </c>
      <c r="F6928" s="11">
        <v>2</v>
      </c>
      <c r="G6928" s="11">
        <v>201680.67</v>
      </c>
    </row>
    <row r="6929" spans="2:7" x14ac:dyDescent="0.2">
      <c r="B6929" s="32">
        <v>46000</v>
      </c>
      <c r="C6929" t="s">
        <v>142</v>
      </c>
      <c r="D6929" s="13" t="s">
        <v>633</v>
      </c>
      <c r="E6929" t="s">
        <v>2037</v>
      </c>
      <c r="F6929" s="11">
        <v>1</v>
      </c>
      <c r="G6929" s="11">
        <v>84033.61</v>
      </c>
    </row>
    <row r="6930" spans="2:7" x14ac:dyDescent="0.2">
      <c r="B6930" s="32">
        <v>46000</v>
      </c>
      <c r="C6930" t="s">
        <v>142</v>
      </c>
      <c r="D6930" s="13" t="s">
        <v>633</v>
      </c>
      <c r="E6930" t="s">
        <v>521</v>
      </c>
      <c r="F6930" s="11">
        <v>1</v>
      </c>
      <c r="G6930" s="11">
        <v>79831.94</v>
      </c>
    </row>
    <row r="6931" spans="2:7" x14ac:dyDescent="0.2">
      <c r="B6931" s="32">
        <v>46000</v>
      </c>
      <c r="C6931" t="s">
        <v>142</v>
      </c>
      <c r="D6931" s="13" t="s">
        <v>633</v>
      </c>
      <c r="E6931" t="s">
        <v>2140</v>
      </c>
      <c r="F6931" s="11">
        <v>1</v>
      </c>
      <c r="G6931" s="11">
        <v>79831.929999999993</v>
      </c>
    </row>
    <row r="6932" spans="2:7" x14ac:dyDescent="0.2">
      <c r="B6932" s="32">
        <v>46000</v>
      </c>
      <c r="C6932" t="s">
        <v>109</v>
      </c>
      <c r="D6932" s="13" t="s">
        <v>634</v>
      </c>
      <c r="E6932" t="s">
        <v>245</v>
      </c>
      <c r="F6932" s="11">
        <v>2</v>
      </c>
      <c r="G6932" s="11">
        <v>252100.83</v>
      </c>
    </row>
    <row r="6933" spans="2:7" x14ac:dyDescent="0.2">
      <c r="B6933" s="32">
        <v>46000</v>
      </c>
      <c r="C6933" t="s">
        <v>109</v>
      </c>
      <c r="D6933" s="13" t="s">
        <v>634</v>
      </c>
      <c r="F6933" s="11">
        <v>2</v>
      </c>
      <c r="G6933" s="11">
        <v>243697.48</v>
      </c>
    </row>
    <row r="6934" spans="2:7" x14ac:dyDescent="0.2">
      <c r="B6934" s="32">
        <v>46000</v>
      </c>
      <c r="C6934" t="s">
        <v>109</v>
      </c>
      <c r="D6934" s="13" t="s">
        <v>634</v>
      </c>
      <c r="E6934" t="s">
        <v>347</v>
      </c>
      <c r="F6934" s="11">
        <v>2</v>
      </c>
      <c r="G6934" s="11">
        <v>151260.51</v>
      </c>
    </row>
    <row r="6935" spans="2:7" x14ac:dyDescent="0.2">
      <c r="B6935" s="32">
        <v>46000</v>
      </c>
      <c r="C6935" t="s">
        <v>109</v>
      </c>
      <c r="D6935" s="13" t="s">
        <v>634</v>
      </c>
      <c r="E6935" t="s">
        <v>152</v>
      </c>
      <c r="F6935" s="11">
        <v>2</v>
      </c>
      <c r="G6935" s="11">
        <v>151260.5</v>
      </c>
    </row>
    <row r="6936" spans="2:7" x14ac:dyDescent="0.2">
      <c r="B6936" s="32">
        <v>46000</v>
      </c>
      <c r="C6936" t="s">
        <v>109</v>
      </c>
      <c r="D6936" s="13" t="s">
        <v>634</v>
      </c>
      <c r="E6936" t="s">
        <v>189</v>
      </c>
      <c r="F6936" s="11">
        <v>2</v>
      </c>
      <c r="G6936" s="11">
        <v>142857.14000000001</v>
      </c>
    </row>
    <row r="6937" spans="2:7" x14ac:dyDescent="0.2">
      <c r="B6937" s="32">
        <v>46000</v>
      </c>
      <c r="C6937" t="s">
        <v>109</v>
      </c>
      <c r="D6937" s="13" t="s">
        <v>634</v>
      </c>
      <c r="E6937" t="s">
        <v>212</v>
      </c>
      <c r="F6937" s="11">
        <v>2</v>
      </c>
      <c r="G6937" s="11">
        <v>109243.7</v>
      </c>
    </row>
    <row r="6938" spans="2:7" x14ac:dyDescent="0.2">
      <c r="B6938" s="32">
        <v>46000</v>
      </c>
      <c r="C6938" t="s">
        <v>109</v>
      </c>
      <c r="D6938" s="13" t="s">
        <v>634</v>
      </c>
      <c r="E6938" t="s">
        <v>639</v>
      </c>
      <c r="F6938" s="11">
        <v>1</v>
      </c>
      <c r="G6938" s="11">
        <v>99000</v>
      </c>
    </row>
    <row r="6939" spans="2:7" x14ac:dyDescent="0.2">
      <c r="B6939" s="32">
        <v>46000</v>
      </c>
      <c r="C6939" t="s">
        <v>109</v>
      </c>
      <c r="D6939" s="13" t="s">
        <v>634</v>
      </c>
      <c r="E6939" t="s">
        <v>2139</v>
      </c>
      <c r="F6939" s="11">
        <v>2</v>
      </c>
      <c r="G6939" s="11">
        <v>92436.97</v>
      </c>
    </row>
    <row r="6940" spans="2:7" x14ac:dyDescent="0.2">
      <c r="B6940" s="32">
        <v>46000</v>
      </c>
      <c r="C6940" t="s">
        <v>109</v>
      </c>
      <c r="D6940" s="13" t="s">
        <v>634</v>
      </c>
      <c r="E6940" t="s">
        <v>148</v>
      </c>
      <c r="F6940" s="11">
        <v>2</v>
      </c>
      <c r="G6940" s="11">
        <v>75630.25</v>
      </c>
    </row>
    <row r="6941" spans="2:7" x14ac:dyDescent="0.2">
      <c r="B6941" s="32">
        <v>46000</v>
      </c>
      <c r="C6941" t="s">
        <v>109</v>
      </c>
      <c r="D6941" s="13" t="s">
        <v>634</v>
      </c>
      <c r="E6941" t="s">
        <v>681</v>
      </c>
      <c r="F6941" s="11">
        <v>1</v>
      </c>
      <c r="G6941" s="11">
        <v>75630.25</v>
      </c>
    </row>
    <row r="6942" spans="2:7" x14ac:dyDescent="0.2">
      <c r="B6942" s="32">
        <v>46000</v>
      </c>
      <c r="C6942" t="s">
        <v>109</v>
      </c>
      <c r="D6942" s="13" t="s">
        <v>634</v>
      </c>
      <c r="E6942" t="s">
        <v>146</v>
      </c>
      <c r="F6942" s="11">
        <v>1</v>
      </c>
      <c r="G6942" s="11">
        <v>46218.49</v>
      </c>
    </row>
    <row r="6943" spans="2:7" x14ac:dyDescent="0.2">
      <c r="B6943" s="32">
        <v>46000</v>
      </c>
      <c r="C6943" t="s">
        <v>109</v>
      </c>
      <c r="D6943" s="13" t="s">
        <v>634</v>
      </c>
      <c r="E6943" t="s">
        <v>337</v>
      </c>
      <c r="F6943" s="11">
        <v>1</v>
      </c>
      <c r="G6943" s="11">
        <v>46218.49</v>
      </c>
    </row>
    <row r="6944" spans="2:7" x14ac:dyDescent="0.2">
      <c r="B6944" s="32">
        <v>46000</v>
      </c>
      <c r="C6944" t="s">
        <v>109</v>
      </c>
      <c r="D6944" s="13" t="s">
        <v>634</v>
      </c>
      <c r="E6944" t="s">
        <v>203</v>
      </c>
      <c r="F6944" s="11">
        <v>1</v>
      </c>
      <c r="G6944" s="11">
        <v>42016.81</v>
      </c>
    </row>
    <row r="6945" spans="2:7" x14ac:dyDescent="0.2">
      <c r="B6945" s="32">
        <v>46000</v>
      </c>
      <c r="C6945" t="s">
        <v>109</v>
      </c>
      <c r="D6945" s="13" t="s">
        <v>633</v>
      </c>
      <c r="F6945" s="11">
        <v>2</v>
      </c>
      <c r="G6945" s="11">
        <v>243697.48</v>
      </c>
    </row>
    <row r="6946" spans="2:7" x14ac:dyDescent="0.2">
      <c r="B6946" s="32">
        <v>46000</v>
      </c>
      <c r="C6946" t="s">
        <v>109</v>
      </c>
      <c r="D6946" s="13" t="s">
        <v>633</v>
      </c>
      <c r="E6946" t="s">
        <v>199</v>
      </c>
      <c r="F6946" s="11">
        <v>3</v>
      </c>
      <c r="G6946" s="11">
        <v>226890.75</v>
      </c>
    </row>
    <row r="6947" spans="2:7" x14ac:dyDescent="0.2">
      <c r="B6947" s="32">
        <v>46000</v>
      </c>
      <c r="C6947" t="s">
        <v>109</v>
      </c>
      <c r="D6947" s="13" t="s">
        <v>633</v>
      </c>
      <c r="E6947" t="s">
        <v>534</v>
      </c>
      <c r="F6947" s="11">
        <v>2</v>
      </c>
      <c r="G6947" s="11">
        <v>142857.14000000001</v>
      </c>
    </row>
    <row r="6948" spans="2:7" x14ac:dyDescent="0.2">
      <c r="B6948" s="32">
        <v>46000</v>
      </c>
      <c r="C6948" t="s">
        <v>109</v>
      </c>
      <c r="D6948" s="13" t="s">
        <v>633</v>
      </c>
      <c r="E6948" t="s">
        <v>164</v>
      </c>
      <c r="F6948" s="11">
        <v>2</v>
      </c>
      <c r="G6948" s="11">
        <v>142857.14000000001</v>
      </c>
    </row>
    <row r="6949" spans="2:7" x14ac:dyDescent="0.2">
      <c r="B6949" s="32">
        <v>46000</v>
      </c>
      <c r="C6949" t="s">
        <v>109</v>
      </c>
      <c r="D6949" s="13" t="s">
        <v>633</v>
      </c>
      <c r="E6949" t="s">
        <v>195</v>
      </c>
      <c r="F6949" s="11">
        <v>3</v>
      </c>
      <c r="G6949" s="11">
        <v>138655.46</v>
      </c>
    </row>
    <row r="6950" spans="2:7" x14ac:dyDescent="0.2">
      <c r="B6950" s="32">
        <v>46000</v>
      </c>
      <c r="C6950" t="s">
        <v>109</v>
      </c>
      <c r="D6950" s="13" t="s">
        <v>633</v>
      </c>
      <c r="E6950" t="s">
        <v>156</v>
      </c>
      <c r="F6950" s="11">
        <v>3</v>
      </c>
      <c r="G6950" s="11">
        <v>126050.43</v>
      </c>
    </row>
    <row r="6951" spans="2:7" x14ac:dyDescent="0.2">
      <c r="B6951" s="32">
        <v>46000</v>
      </c>
      <c r="C6951" t="s">
        <v>109</v>
      </c>
      <c r="D6951" s="13" t="s">
        <v>633</v>
      </c>
      <c r="E6951" t="s">
        <v>2136</v>
      </c>
      <c r="F6951" s="11">
        <v>3</v>
      </c>
      <c r="G6951" s="11">
        <v>113445.38</v>
      </c>
    </row>
    <row r="6952" spans="2:7" x14ac:dyDescent="0.2">
      <c r="B6952" s="32">
        <v>46000</v>
      </c>
      <c r="C6952" t="s">
        <v>109</v>
      </c>
      <c r="D6952" s="13" t="s">
        <v>633</v>
      </c>
      <c r="E6952" t="s">
        <v>362</v>
      </c>
      <c r="F6952" s="11">
        <v>2</v>
      </c>
      <c r="G6952" s="11">
        <v>109243.7</v>
      </c>
    </row>
    <row r="6953" spans="2:7" x14ac:dyDescent="0.2">
      <c r="B6953" s="32">
        <v>46000</v>
      </c>
      <c r="C6953" t="s">
        <v>109</v>
      </c>
      <c r="D6953" s="13" t="s">
        <v>633</v>
      </c>
      <c r="E6953" t="s">
        <v>212</v>
      </c>
      <c r="F6953" s="11">
        <v>2</v>
      </c>
      <c r="G6953" s="11">
        <v>109243.7</v>
      </c>
    </row>
    <row r="6954" spans="2:7" x14ac:dyDescent="0.2">
      <c r="B6954" s="32">
        <v>46000</v>
      </c>
      <c r="C6954" t="s">
        <v>109</v>
      </c>
      <c r="D6954" s="13" t="s">
        <v>633</v>
      </c>
      <c r="E6954" t="s">
        <v>2091</v>
      </c>
      <c r="F6954" s="11">
        <v>2</v>
      </c>
      <c r="G6954" s="11">
        <v>92436.97</v>
      </c>
    </row>
    <row r="6955" spans="2:7" x14ac:dyDescent="0.2">
      <c r="B6955" s="32">
        <v>46000</v>
      </c>
      <c r="C6955" t="s">
        <v>109</v>
      </c>
      <c r="D6955" s="13" t="s">
        <v>633</v>
      </c>
      <c r="E6955" t="s">
        <v>2102</v>
      </c>
      <c r="F6955" s="11">
        <v>2</v>
      </c>
      <c r="G6955" s="11">
        <v>75630.25</v>
      </c>
    </row>
    <row r="6956" spans="2:7" x14ac:dyDescent="0.2">
      <c r="B6956" s="32">
        <v>46000</v>
      </c>
      <c r="C6956" t="s">
        <v>109</v>
      </c>
      <c r="D6956" s="13" t="s">
        <v>633</v>
      </c>
      <c r="E6956" t="s">
        <v>2113</v>
      </c>
      <c r="F6956" s="11">
        <v>2</v>
      </c>
      <c r="G6956" s="11">
        <v>75630.25</v>
      </c>
    </row>
    <row r="6957" spans="2:7" x14ac:dyDescent="0.2">
      <c r="B6957" s="32">
        <v>46000</v>
      </c>
      <c r="C6957" t="s">
        <v>109</v>
      </c>
      <c r="D6957" s="13" t="s">
        <v>633</v>
      </c>
      <c r="E6957" t="s">
        <v>327</v>
      </c>
      <c r="F6957" s="11">
        <v>2</v>
      </c>
      <c r="G6957" s="11">
        <v>70000</v>
      </c>
    </row>
    <row r="6958" spans="2:7" x14ac:dyDescent="0.2">
      <c r="B6958" s="32">
        <v>46000</v>
      </c>
      <c r="C6958" t="s">
        <v>109</v>
      </c>
      <c r="D6958" s="13" t="s">
        <v>633</v>
      </c>
      <c r="E6958" t="s">
        <v>144</v>
      </c>
      <c r="F6958" s="11">
        <v>3</v>
      </c>
      <c r="G6958" s="11">
        <v>55462.18</v>
      </c>
    </row>
    <row r="6959" spans="2:7" x14ac:dyDescent="0.2">
      <c r="B6959" s="32">
        <v>46000</v>
      </c>
      <c r="C6959" t="s">
        <v>109</v>
      </c>
      <c r="D6959" s="13" t="s">
        <v>633</v>
      </c>
      <c r="E6959" t="s">
        <v>292</v>
      </c>
      <c r="F6959" s="11">
        <v>1</v>
      </c>
      <c r="G6959" s="11">
        <v>54621.85</v>
      </c>
    </row>
    <row r="6960" spans="2:7" x14ac:dyDescent="0.2">
      <c r="B6960" s="32">
        <v>46001</v>
      </c>
      <c r="C6960" t="s">
        <v>1726</v>
      </c>
      <c r="D6960" s="13" t="s">
        <v>634</v>
      </c>
      <c r="E6960" t="s">
        <v>300</v>
      </c>
      <c r="F6960" s="11">
        <v>3</v>
      </c>
      <c r="G6960" s="11">
        <v>113445.38</v>
      </c>
    </row>
    <row r="6961" spans="2:7" x14ac:dyDescent="0.2">
      <c r="B6961" s="32">
        <v>46001</v>
      </c>
      <c r="C6961" t="s">
        <v>1726</v>
      </c>
      <c r="D6961" s="13" t="s">
        <v>634</v>
      </c>
      <c r="E6961" t="s">
        <v>145</v>
      </c>
      <c r="F6961" s="11">
        <v>2</v>
      </c>
      <c r="G6961" s="11">
        <v>58823.519999999997</v>
      </c>
    </row>
    <row r="6962" spans="2:7" x14ac:dyDescent="0.2">
      <c r="B6962" s="32">
        <v>46001</v>
      </c>
      <c r="C6962" t="s">
        <v>142</v>
      </c>
      <c r="D6962" s="13" t="s">
        <v>634</v>
      </c>
      <c r="E6962" t="s">
        <v>664</v>
      </c>
      <c r="F6962" s="11">
        <v>4</v>
      </c>
      <c r="G6962" s="11">
        <v>235294.12</v>
      </c>
    </row>
    <row r="6963" spans="2:7" x14ac:dyDescent="0.2">
      <c r="B6963" s="32">
        <v>46001</v>
      </c>
      <c r="C6963" t="s">
        <v>142</v>
      </c>
      <c r="D6963" s="13" t="s">
        <v>634</v>
      </c>
      <c r="E6963" t="s">
        <v>348</v>
      </c>
      <c r="F6963" s="11">
        <v>3</v>
      </c>
      <c r="G6963" s="11">
        <v>163865.54999999999</v>
      </c>
    </row>
    <row r="6964" spans="2:7" x14ac:dyDescent="0.2">
      <c r="B6964" s="32">
        <v>46001</v>
      </c>
      <c r="C6964" t="s">
        <v>142</v>
      </c>
      <c r="D6964" s="13" t="s">
        <v>634</v>
      </c>
      <c r="E6964" t="s">
        <v>281</v>
      </c>
      <c r="F6964" s="11">
        <v>2</v>
      </c>
      <c r="G6964" s="11">
        <v>117647.06</v>
      </c>
    </row>
    <row r="6965" spans="2:7" x14ac:dyDescent="0.2">
      <c r="B6965" s="32">
        <v>46001</v>
      </c>
      <c r="C6965" t="s">
        <v>142</v>
      </c>
      <c r="D6965" s="13" t="s">
        <v>634</v>
      </c>
      <c r="E6965" t="s">
        <v>233</v>
      </c>
      <c r="F6965" s="11">
        <v>2</v>
      </c>
      <c r="G6965" s="11">
        <v>117647.06</v>
      </c>
    </row>
    <row r="6966" spans="2:7" x14ac:dyDescent="0.2">
      <c r="B6966" s="32">
        <v>46001</v>
      </c>
      <c r="C6966" t="s">
        <v>142</v>
      </c>
      <c r="D6966" s="13" t="s">
        <v>634</v>
      </c>
      <c r="E6966" t="s">
        <v>282</v>
      </c>
      <c r="F6966" s="11">
        <v>2</v>
      </c>
      <c r="G6966" s="11">
        <v>117647.06</v>
      </c>
    </row>
    <row r="6967" spans="2:7" x14ac:dyDescent="0.2">
      <c r="B6967" s="32">
        <v>46001</v>
      </c>
      <c r="C6967" t="s">
        <v>142</v>
      </c>
      <c r="D6967" s="13" t="s">
        <v>634</v>
      </c>
      <c r="E6967" t="s">
        <v>160</v>
      </c>
      <c r="F6967" s="11">
        <v>2</v>
      </c>
      <c r="G6967" s="11">
        <v>92436.98</v>
      </c>
    </row>
    <row r="6968" spans="2:7" x14ac:dyDescent="0.2">
      <c r="B6968" s="32">
        <v>46001</v>
      </c>
      <c r="C6968" t="s">
        <v>142</v>
      </c>
      <c r="D6968" s="13" t="s">
        <v>634</v>
      </c>
      <c r="E6968" t="s">
        <v>1952</v>
      </c>
      <c r="F6968" s="11">
        <v>1</v>
      </c>
      <c r="G6968" s="11">
        <v>58823.53</v>
      </c>
    </row>
    <row r="6969" spans="2:7" x14ac:dyDescent="0.2">
      <c r="B6969" s="32">
        <v>46001</v>
      </c>
      <c r="C6969" t="s">
        <v>142</v>
      </c>
      <c r="D6969" s="13" t="s">
        <v>634</v>
      </c>
      <c r="E6969" t="s">
        <v>145</v>
      </c>
      <c r="F6969" s="11">
        <v>2</v>
      </c>
      <c r="G6969" s="11">
        <v>58823.53</v>
      </c>
    </row>
    <row r="6970" spans="2:7" x14ac:dyDescent="0.2">
      <c r="B6970" s="32">
        <v>46001</v>
      </c>
      <c r="C6970" t="s">
        <v>142</v>
      </c>
      <c r="D6970" s="13" t="s">
        <v>634</v>
      </c>
      <c r="E6970" t="s">
        <v>158</v>
      </c>
      <c r="F6970" s="11">
        <v>1</v>
      </c>
      <c r="G6970" s="11">
        <v>46218.49</v>
      </c>
    </row>
    <row r="6971" spans="2:7" x14ac:dyDescent="0.2">
      <c r="B6971" s="32">
        <v>46001</v>
      </c>
      <c r="C6971" t="s">
        <v>142</v>
      </c>
      <c r="D6971" s="13" t="s">
        <v>633</v>
      </c>
      <c r="E6971" t="s">
        <v>420</v>
      </c>
      <c r="F6971" s="11">
        <v>1</v>
      </c>
      <c r="G6971" s="11">
        <v>100840.34</v>
      </c>
    </row>
    <row r="6972" spans="2:7" x14ac:dyDescent="0.2">
      <c r="B6972" s="32">
        <v>46001</v>
      </c>
      <c r="C6972" t="s">
        <v>142</v>
      </c>
      <c r="D6972" s="13" t="s">
        <v>633</v>
      </c>
      <c r="E6972" t="s">
        <v>234</v>
      </c>
      <c r="F6972" s="11">
        <v>1</v>
      </c>
      <c r="G6972" s="11">
        <v>37815.129999999997</v>
      </c>
    </row>
    <row r="6973" spans="2:7" x14ac:dyDescent="0.2">
      <c r="B6973" s="32">
        <v>46001</v>
      </c>
      <c r="C6973" t="s">
        <v>1739</v>
      </c>
      <c r="D6973" s="13" t="s">
        <v>634</v>
      </c>
      <c r="E6973" t="s">
        <v>156</v>
      </c>
      <c r="F6973" s="11">
        <v>2</v>
      </c>
      <c r="G6973" s="11">
        <v>84033.61</v>
      </c>
    </row>
    <row r="6974" spans="2:7" x14ac:dyDescent="0.2">
      <c r="B6974" s="32">
        <v>46001</v>
      </c>
      <c r="C6974" t="s">
        <v>109</v>
      </c>
      <c r="D6974" s="13" t="s">
        <v>634</v>
      </c>
      <c r="E6974" t="s">
        <v>1892</v>
      </c>
      <c r="F6974" s="11">
        <v>8</v>
      </c>
      <c r="G6974" s="11">
        <v>1512605.04</v>
      </c>
    </row>
    <row r="6975" spans="2:7" x14ac:dyDescent="0.2">
      <c r="B6975" s="32">
        <v>46001</v>
      </c>
      <c r="C6975" t="s">
        <v>109</v>
      </c>
      <c r="D6975" s="13" t="s">
        <v>634</v>
      </c>
      <c r="F6975" s="11">
        <v>5</v>
      </c>
      <c r="G6975" s="11">
        <v>609243.69999999995</v>
      </c>
    </row>
    <row r="6976" spans="2:7" x14ac:dyDescent="0.2">
      <c r="B6976" s="32">
        <v>46001</v>
      </c>
      <c r="C6976" t="s">
        <v>109</v>
      </c>
      <c r="D6976" s="13" t="s">
        <v>634</v>
      </c>
      <c r="E6976" t="s">
        <v>212</v>
      </c>
      <c r="F6976" s="11">
        <v>8</v>
      </c>
      <c r="G6976" s="11">
        <v>436974.79</v>
      </c>
    </row>
    <row r="6977" spans="2:7" x14ac:dyDescent="0.2">
      <c r="B6977" s="32">
        <v>46001</v>
      </c>
      <c r="C6977" t="s">
        <v>109</v>
      </c>
      <c r="D6977" s="13" t="s">
        <v>634</v>
      </c>
      <c r="E6977" t="s">
        <v>427</v>
      </c>
      <c r="F6977" s="11">
        <v>8</v>
      </c>
      <c r="G6977" s="11">
        <v>436974.78</v>
      </c>
    </row>
    <row r="6978" spans="2:7" x14ac:dyDescent="0.2">
      <c r="B6978" s="32">
        <v>46001</v>
      </c>
      <c r="C6978" t="s">
        <v>109</v>
      </c>
      <c r="D6978" s="13" t="s">
        <v>634</v>
      </c>
      <c r="E6978" t="s">
        <v>154</v>
      </c>
      <c r="F6978" s="11">
        <v>3</v>
      </c>
      <c r="G6978" s="11">
        <v>302521.01</v>
      </c>
    </row>
    <row r="6979" spans="2:7" x14ac:dyDescent="0.2">
      <c r="B6979" s="32">
        <v>46001</v>
      </c>
      <c r="C6979" t="s">
        <v>109</v>
      </c>
      <c r="D6979" s="13" t="s">
        <v>634</v>
      </c>
      <c r="E6979" t="s">
        <v>169</v>
      </c>
      <c r="F6979" s="11">
        <v>2</v>
      </c>
      <c r="G6979" s="11">
        <v>201680.67</v>
      </c>
    </row>
    <row r="6980" spans="2:7" x14ac:dyDescent="0.2">
      <c r="B6980" s="32">
        <v>46001</v>
      </c>
      <c r="C6980" t="s">
        <v>109</v>
      </c>
      <c r="D6980" s="13" t="s">
        <v>634</v>
      </c>
      <c r="E6980" t="s">
        <v>1849</v>
      </c>
      <c r="F6980" s="11">
        <v>1</v>
      </c>
      <c r="G6980" s="11">
        <v>130252.1</v>
      </c>
    </row>
    <row r="6981" spans="2:7" x14ac:dyDescent="0.2">
      <c r="B6981" s="32">
        <v>46001</v>
      </c>
      <c r="C6981" t="s">
        <v>109</v>
      </c>
      <c r="D6981" s="13" t="s">
        <v>634</v>
      </c>
      <c r="E6981" t="s">
        <v>156</v>
      </c>
      <c r="F6981" s="11">
        <v>3</v>
      </c>
      <c r="G6981" s="11">
        <v>126050.42</v>
      </c>
    </row>
    <row r="6982" spans="2:7" x14ac:dyDescent="0.2">
      <c r="B6982" s="32">
        <v>46001</v>
      </c>
      <c r="C6982" t="s">
        <v>109</v>
      </c>
      <c r="D6982" s="13" t="s">
        <v>634</v>
      </c>
      <c r="E6982" t="s">
        <v>1834</v>
      </c>
      <c r="F6982" s="11">
        <v>3</v>
      </c>
      <c r="G6982" s="11">
        <v>126050.42</v>
      </c>
    </row>
    <row r="6983" spans="2:7" x14ac:dyDescent="0.2">
      <c r="B6983" s="32">
        <v>46001</v>
      </c>
      <c r="C6983" t="s">
        <v>109</v>
      </c>
      <c r="D6983" s="13" t="s">
        <v>634</v>
      </c>
      <c r="E6983" t="s">
        <v>365</v>
      </c>
      <c r="F6983" s="11">
        <v>1</v>
      </c>
      <c r="G6983" s="11">
        <v>100840.34</v>
      </c>
    </row>
    <row r="6984" spans="2:7" x14ac:dyDescent="0.2">
      <c r="B6984" s="32">
        <v>46001</v>
      </c>
      <c r="C6984" t="s">
        <v>109</v>
      </c>
      <c r="D6984" s="13" t="s">
        <v>634</v>
      </c>
      <c r="E6984" t="s">
        <v>2094</v>
      </c>
      <c r="F6984" s="11">
        <v>2</v>
      </c>
      <c r="G6984" s="11">
        <v>92436.97</v>
      </c>
    </row>
    <row r="6985" spans="2:7" x14ac:dyDescent="0.2">
      <c r="B6985" s="32">
        <v>46001</v>
      </c>
      <c r="C6985" t="s">
        <v>109</v>
      </c>
      <c r="D6985" s="13" t="s">
        <v>634</v>
      </c>
      <c r="E6985" t="s">
        <v>328</v>
      </c>
      <c r="F6985" s="11">
        <v>2</v>
      </c>
      <c r="G6985" s="11">
        <v>75630.259999999995</v>
      </c>
    </row>
    <row r="6986" spans="2:7" x14ac:dyDescent="0.2">
      <c r="B6986" s="32">
        <v>46001</v>
      </c>
      <c r="C6986" t="s">
        <v>109</v>
      </c>
      <c r="D6986" s="13" t="s">
        <v>634</v>
      </c>
      <c r="E6986" t="s">
        <v>2126</v>
      </c>
      <c r="F6986" s="11">
        <v>2</v>
      </c>
      <c r="G6986" s="11">
        <v>75630.259999999995</v>
      </c>
    </row>
    <row r="6987" spans="2:7" x14ac:dyDescent="0.2">
      <c r="B6987" s="32">
        <v>46001</v>
      </c>
      <c r="C6987" t="s">
        <v>109</v>
      </c>
      <c r="D6987" s="13" t="s">
        <v>634</v>
      </c>
      <c r="E6987" t="s">
        <v>1818</v>
      </c>
      <c r="F6987" s="11">
        <v>2</v>
      </c>
      <c r="G6987" s="11">
        <v>75630.259999999995</v>
      </c>
    </row>
    <row r="6988" spans="2:7" x14ac:dyDescent="0.2">
      <c r="B6988" s="32">
        <v>46001</v>
      </c>
      <c r="C6988" t="s">
        <v>109</v>
      </c>
      <c r="D6988" s="13" t="s">
        <v>634</v>
      </c>
      <c r="E6988" t="s">
        <v>148</v>
      </c>
      <c r="F6988" s="11">
        <v>2</v>
      </c>
      <c r="G6988" s="11">
        <v>75630.259999999995</v>
      </c>
    </row>
    <row r="6989" spans="2:7" x14ac:dyDescent="0.2">
      <c r="B6989" s="32">
        <v>46001</v>
      </c>
      <c r="C6989" t="s">
        <v>109</v>
      </c>
      <c r="D6989" s="13" t="s">
        <v>634</v>
      </c>
      <c r="E6989" t="s">
        <v>193</v>
      </c>
      <c r="F6989" s="11">
        <v>2</v>
      </c>
      <c r="G6989" s="11">
        <v>75630.25</v>
      </c>
    </row>
    <row r="6990" spans="2:7" x14ac:dyDescent="0.2">
      <c r="B6990" s="32">
        <v>46001</v>
      </c>
      <c r="C6990" t="s">
        <v>109</v>
      </c>
      <c r="D6990" s="13" t="s">
        <v>634</v>
      </c>
      <c r="E6990" t="s">
        <v>293</v>
      </c>
      <c r="F6990" s="11">
        <v>2</v>
      </c>
      <c r="G6990" s="11">
        <v>75630.25</v>
      </c>
    </row>
    <row r="6991" spans="2:7" x14ac:dyDescent="0.2">
      <c r="B6991" s="32">
        <v>46001</v>
      </c>
      <c r="C6991" t="s">
        <v>109</v>
      </c>
      <c r="D6991" s="13" t="s">
        <v>634</v>
      </c>
      <c r="E6991" t="s">
        <v>707</v>
      </c>
      <c r="F6991" s="11">
        <v>1</v>
      </c>
      <c r="G6991" s="11">
        <v>46218.49</v>
      </c>
    </row>
    <row r="6992" spans="2:7" x14ac:dyDescent="0.2">
      <c r="B6992" s="32">
        <v>46001</v>
      </c>
      <c r="C6992" t="s">
        <v>109</v>
      </c>
      <c r="D6992" s="13" t="s">
        <v>634</v>
      </c>
      <c r="E6992" t="s">
        <v>173</v>
      </c>
      <c r="F6992" s="11">
        <v>1</v>
      </c>
      <c r="G6992" s="11">
        <v>37815.129999999997</v>
      </c>
    </row>
    <row r="6993" spans="2:7" x14ac:dyDescent="0.2">
      <c r="B6993" s="32">
        <v>46001</v>
      </c>
      <c r="C6993" t="s">
        <v>109</v>
      </c>
      <c r="D6993" s="13" t="s">
        <v>633</v>
      </c>
      <c r="E6993" t="s">
        <v>2141</v>
      </c>
      <c r="F6993" s="11">
        <v>1</v>
      </c>
      <c r="G6993" s="11">
        <v>411764.71</v>
      </c>
    </row>
    <row r="6994" spans="2:7" x14ac:dyDescent="0.2">
      <c r="B6994" s="32">
        <v>46001</v>
      </c>
      <c r="C6994" t="s">
        <v>109</v>
      </c>
      <c r="D6994" s="13" t="s">
        <v>633</v>
      </c>
      <c r="E6994" t="s">
        <v>174</v>
      </c>
      <c r="F6994" s="11">
        <v>2</v>
      </c>
      <c r="G6994" s="11">
        <v>151260.51</v>
      </c>
    </row>
    <row r="6995" spans="2:7" x14ac:dyDescent="0.2">
      <c r="B6995" s="32">
        <v>46001</v>
      </c>
      <c r="C6995" t="s">
        <v>109</v>
      </c>
      <c r="D6995" s="13" t="s">
        <v>633</v>
      </c>
      <c r="E6995" t="s">
        <v>327</v>
      </c>
      <c r="F6995" s="11">
        <v>4</v>
      </c>
      <c r="G6995" s="11">
        <v>140000</v>
      </c>
    </row>
    <row r="6996" spans="2:7" x14ac:dyDescent="0.2">
      <c r="B6996" s="32">
        <v>46001</v>
      </c>
      <c r="C6996" t="s">
        <v>109</v>
      </c>
      <c r="D6996" s="13" t="s">
        <v>633</v>
      </c>
      <c r="E6996" t="s">
        <v>2093</v>
      </c>
      <c r="F6996" s="11">
        <v>3</v>
      </c>
      <c r="G6996" s="11">
        <v>138655.46</v>
      </c>
    </row>
    <row r="6997" spans="2:7" x14ac:dyDescent="0.2">
      <c r="B6997" s="32">
        <v>46001</v>
      </c>
      <c r="C6997" t="s">
        <v>109</v>
      </c>
      <c r="D6997" s="13" t="s">
        <v>633</v>
      </c>
      <c r="F6997" s="11">
        <v>2</v>
      </c>
      <c r="G6997" s="11">
        <v>121848.74</v>
      </c>
    </row>
    <row r="6998" spans="2:7" x14ac:dyDescent="0.2">
      <c r="B6998" s="32">
        <v>46001</v>
      </c>
      <c r="C6998" t="s">
        <v>109</v>
      </c>
      <c r="D6998" s="13" t="s">
        <v>633</v>
      </c>
      <c r="E6998" t="s">
        <v>2109</v>
      </c>
      <c r="F6998" s="11">
        <v>2</v>
      </c>
      <c r="G6998" s="11">
        <v>75630.259999999995</v>
      </c>
    </row>
    <row r="6999" spans="2:7" x14ac:dyDescent="0.2">
      <c r="B6999" s="32">
        <v>46001</v>
      </c>
      <c r="C6999" t="s">
        <v>109</v>
      </c>
      <c r="D6999" s="13" t="s">
        <v>633</v>
      </c>
      <c r="E6999" t="s">
        <v>2107</v>
      </c>
      <c r="F6999" s="11">
        <v>2</v>
      </c>
      <c r="G6999" s="11">
        <v>75630.25</v>
      </c>
    </row>
    <row r="7000" spans="2:7" x14ac:dyDescent="0.2">
      <c r="B7000" s="32">
        <v>46001</v>
      </c>
      <c r="C7000" t="s">
        <v>109</v>
      </c>
      <c r="D7000" s="13" t="s">
        <v>633</v>
      </c>
      <c r="E7000" t="s">
        <v>681</v>
      </c>
      <c r="F7000" s="11">
        <v>1</v>
      </c>
      <c r="G7000" s="11">
        <v>75630.25</v>
      </c>
    </row>
    <row r="7001" spans="2:7" x14ac:dyDescent="0.2">
      <c r="B7001" s="32">
        <v>46001</v>
      </c>
      <c r="C7001" t="s">
        <v>109</v>
      </c>
      <c r="D7001" s="13" t="s">
        <v>633</v>
      </c>
      <c r="E7001" t="s">
        <v>2102</v>
      </c>
      <c r="F7001" s="11">
        <v>2</v>
      </c>
      <c r="G7001" s="11">
        <v>75630.25</v>
      </c>
    </row>
    <row r="7002" spans="2:7" x14ac:dyDescent="0.2">
      <c r="B7002" s="32">
        <v>46001</v>
      </c>
      <c r="C7002" t="s">
        <v>109</v>
      </c>
      <c r="D7002" s="13" t="s">
        <v>633</v>
      </c>
      <c r="E7002" t="s">
        <v>642</v>
      </c>
      <c r="F7002" s="11">
        <v>1</v>
      </c>
      <c r="G7002" s="11">
        <v>49000</v>
      </c>
    </row>
    <row r="7003" spans="2:7" x14ac:dyDescent="0.2">
      <c r="B7003" s="32">
        <v>46002</v>
      </c>
      <c r="C7003" t="s">
        <v>142</v>
      </c>
      <c r="D7003" s="13"/>
      <c r="F7003" s="11">
        <v>1</v>
      </c>
      <c r="G7003" s="11">
        <v>121848.74</v>
      </c>
    </row>
    <row r="7004" spans="2:7" x14ac:dyDescent="0.2">
      <c r="B7004" s="32">
        <v>46002</v>
      </c>
      <c r="C7004" t="s">
        <v>142</v>
      </c>
      <c r="D7004" s="13"/>
      <c r="E7004" t="s">
        <v>485</v>
      </c>
      <c r="F7004" s="11">
        <v>1</v>
      </c>
      <c r="G7004" s="11">
        <v>65546.22</v>
      </c>
    </row>
    <row r="7005" spans="2:7" x14ac:dyDescent="0.2">
      <c r="B7005" s="32">
        <v>46002</v>
      </c>
      <c r="C7005" t="s">
        <v>142</v>
      </c>
      <c r="D7005" s="13" t="s">
        <v>634</v>
      </c>
      <c r="E7005" t="s">
        <v>191</v>
      </c>
      <c r="F7005" s="11">
        <v>2</v>
      </c>
      <c r="G7005" s="11">
        <v>281512.59999999998</v>
      </c>
    </row>
    <row r="7006" spans="2:7" x14ac:dyDescent="0.2">
      <c r="B7006" s="32">
        <v>46002</v>
      </c>
      <c r="C7006" t="s">
        <v>142</v>
      </c>
      <c r="D7006" s="13" t="s">
        <v>634</v>
      </c>
      <c r="E7006" t="s">
        <v>148</v>
      </c>
      <c r="F7006" s="11">
        <v>5</v>
      </c>
      <c r="G7006" s="11">
        <v>189075.63</v>
      </c>
    </row>
    <row r="7007" spans="2:7" x14ac:dyDescent="0.2">
      <c r="B7007" s="32">
        <v>46002</v>
      </c>
      <c r="C7007" t="s">
        <v>142</v>
      </c>
      <c r="D7007" s="13" t="s">
        <v>634</v>
      </c>
      <c r="F7007" s="11">
        <v>6</v>
      </c>
      <c r="G7007" s="11">
        <v>152101.84</v>
      </c>
    </row>
    <row r="7008" spans="2:7" x14ac:dyDescent="0.2">
      <c r="B7008" s="32">
        <v>46002</v>
      </c>
      <c r="C7008" t="s">
        <v>142</v>
      </c>
      <c r="D7008" s="13" t="s">
        <v>634</v>
      </c>
      <c r="E7008" t="s">
        <v>2107</v>
      </c>
      <c r="F7008" s="11">
        <v>4</v>
      </c>
      <c r="G7008" s="11">
        <v>151260.51</v>
      </c>
    </row>
    <row r="7009" spans="2:7" x14ac:dyDescent="0.2">
      <c r="B7009" s="32">
        <v>46002</v>
      </c>
      <c r="C7009" t="s">
        <v>142</v>
      </c>
      <c r="D7009" s="13" t="s">
        <v>634</v>
      </c>
      <c r="E7009" t="s">
        <v>520</v>
      </c>
      <c r="F7009" s="11">
        <v>3</v>
      </c>
      <c r="G7009" s="11">
        <v>151260.51</v>
      </c>
    </row>
    <row r="7010" spans="2:7" x14ac:dyDescent="0.2">
      <c r="B7010" s="32">
        <v>46002</v>
      </c>
      <c r="C7010" t="s">
        <v>142</v>
      </c>
      <c r="D7010" s="13" t="s">
        <v>634</v>
      </c>
      <c r="E7010" t="s">
        <v>173</v>
      </c>
      <c r="F7010" s="11">
        <v>4</v>
      </c>
      <c r="G7010" s="11">
        <v>151260.5</v>
      </c>
    </row>
    <row r="7011" spans="2:7" x14ac:dyDescent="0.2">
      <c r="B7011" s="32">
        <v>46002</v>
      </c>
      <c r="C7011" t="s">
        <v>142</v>
      </c>
      <c r="D7011" s="13" t="s">
        <v>634</v>
      </c>
      <c r="E7011" t="s">
        <v>1719</v>
      </c>
      <c r="F7011" s="11">
        <v>1</v>
      </c>
      <c r="G7011" s="11">
        <v>100840.34</v>
      </c>
    </row>
    <row r="7012" spans="2:7" x14ac:dyDescent="0.2">
      <c r="B7012" s="32">
        <v>46002</v>
      </c>
      <c r="C7012" t="s">
        <v>142</v>
      </c>
      <c r="D7012" s="13" t="s">
        <v>634</v>
      </c>
      <c r="E7012" t="s">
        <v>641</v>
      </c>
      <c r="F7012" s="11">
        <v>1</v>
      </c>
      <c r="G7012" s="11">
        <v>100840.33</v>
      </c>
    </row>
    <row r="7013" spans="2:7" x14ac:dyDescent="0.2">
      <c r="B7013" s="32">
        <v>46002</v>
      </c>
      <c r="C7013" t="s">
        <v>142</v>
      </c>
      <c r="D7013" s="13" t="s">
        <v>634</v>
      </c>
      <c r="E7013" t="s">
        <v>156</v>
      </c>
      <c r="F7013" s="11">
        <v>2</v>
      </c>
      <c r="G7013" s="11">
        <v>84033.61</v>
      </c>
    </row>
    <row r="7014" spans="2:7" x14ac:dyDescent="0.2">
      <c r="B7014" s="32">
        <v>46002</v>
      </c>
      <c r="C7014" t="s">
        <v>142</v>
      </c>
      <c r="D7014" s="13" t="s">
        <v>634</v>
      </c>
      <c r="E7014" t="s">
        <v>293</v>
      </c>
      <c r="F7014" s="11">
        <v>2</v>
      </c>
      <c r="G7014" s="11">
        <v>75630.259999999995</v>
      </c>
    </row>
    <row r="7015" spans="2:7" x14ac:dyDescent="0.2">
      <c r="B7015" s="32">
        <v>46002</v>
      </c>
      <c r="C7015" t="s">
        <v>142</v>
      </c>
      <c r="D7015" s="13" t="s">
        <v>634</v>
      </c>
      <c r="E7015" t="s">
        <v>2126</v>
      </c>
      <c r="F7015" s="11">
        <v>2</v>
      </c>
      <c r="G7015" s="11">
        <v>75630.25</v>
      </c>
    </row>
    <row r="7016" spans="2:7" x14ac:dyDescent="0.2">
      <c r="B7016" s="32">
        <v>46002</v>
      </c>
      <c r="C7016" t="s">
        <v>142</v>
      </c>
      <c r="D7016" s="13" t="s">
        <v>634</v>
      </c>
      <c r="E7016" t="s">
        <v>2102</v>
      </c>
      <c r="F7016" s="11">
        <v>2</v>
      </c>
      <c r="G7016" s="11">
        <v>75630.25</v>
      </c>
    </row>
    <row r="7017" spans="2:7" x14ac:dyDescent="0.2">
      <c r="B7017" s="32">
        <v>46002</v>
      </c>
      <c r="C7017" t="s">
        <v>142</v>
      </c>
      <c r="D7017" s="13" t="s">
        <v>634</v>
      </c>
      <c r="E7017" t="s">
        <v>537</v>
      </c>
      <c r="F7017" s="11">
        <v>1</v>
      </c>
      <c r="G7017" s="11">
        <v>58823.53</v>
      </c>
    </row>
    <row r="7018" spans="2:7" x14ac:dyDescent="0.2">
      <c r="B7018" s="32">
        <v>46002</v>
      </c>
      <c r="C7018" t="s">
        <v>142</v>
      </c>
      <c r="D7018" s="13" t="s">
        <v>634</v>
      </c>
      <c r="E7018" t="s">
        <v>145</v>
      </c>
      <c r="F7018" s="11">
        <v>2</v>
      </c>
      <c r="G7018" s="11">
        <v>58823.53</v>
      </c>
    </row>
    <row r="7019" spans="2:7" x14ac:dyDescent="0.2">
      <c r="B7019" s="32">
        <v>46002</v>
      </c>
      <c r="C7019" t="s">
        <v>142</v>
      </c>
      <c r="D7019" s="13" t="s">
        <v>634</v>
      </c>
      <c r="E7019" t="s">
        <v>172</v>
      </c>
      <c r="F7019" s="11">
        <v>1</v>
      </c>
      <c r="G7019" s="11">
        <v>46218.49</v>
      </c>
    </row>
    <row r="7020" spans="2:7" x14ac:dyDescent="0.2">
      <c r="B7020" s="32">
        <v>46002</v>
      </c>
      <c r="C7020" t="s">
        <v>142</v>
      </c>
      <c r="D7020" s="13" t="s">
        <v>634</v>
      </c>
      <c r="E7020" t="s">
        <v>2010</v>
      </c>
      <c r="F7020" s="11">
        <v>1</v>
      </c>
      <c r="G7020" s="11">
        <v>37815.129999999997</v>
      </c>
    </row>
    <row r="7021" spans="2:7" x14ac:dyDescent="0.2">
      <c r="B7021" s="32">
        <v>46002</v>
      </c>
      <c r="C7021" t="s">
        <v>142</v>
      </c>
      <c r="D7021" s="13" t="s">
        <v>633</v>
      </c>
      <c r="E7021" t="s">
        <v>352</v>
      </c>
      <c r="F7021" s="11">
        <v>4</v>
      </c>
      <c r="G7021" s="11">
        <v>285714.28000000003</v>
      </c>
    </row>
    <row r="7022" spans="2:7" x14ac:dyDescent="0.2">
      <c r="B7022" s="32">
        <v>46002</v>
      </c>
      <c r="C7022" t="s">
        <v>142</v>
      </c>
      <c r="D7022" s="13" t="s">
        <v>633</v>
      </c>
      <c r="F7022" s="11">
        <v>6</v>
      </c>
      <c r="G7022" s="11">
        <v>159663.85</v>
      </c>
    </row>
    <row r="7023" spans="2:7" x14ac:dyDescent="0.2">
      <c r="B7023" s="32">
        <v>46002</v>
      </c>
      <c r="C7023" t="s">
        <v>142</v>
      </c>
      <c r="D7023" s="13" t="s">
        <v>633</v>
      </c>
      <c r="E7023" t="s">
        <v>147</v>
      </c>
      <c r="F7023" s="11">
        <v>2</v>
      </c>
      <c r="G7023" s="11">
        <v>142857.14000000001</v>
      </c>
    </row>
    <row r="7024" spans="2:7" x14ac:dyDescent="0.2">
      <c r="B7024" s="32">
        <v>46002</v>
      </c>
      <c r="C7024" t="s">
        <v>142</v>
      </c>
      <c r="D7024" s="13" t="s">
        <v>633</v>
      </c>
      <c r="E7024" t="s">
        <v>208</v>
      </c>
      <c r="F7024" s="11">
        <v>2</v>
      </c>
      <c r="G7024" s="11">
        <v>117647.06</v>
      </c>
    </row>
    <row r="7025" spans="2:7" x14ac:dyDescent="0.2">
      <c r="B7025" s="32">
        <v>46002</v>
      </c>
      <c r="C7025" t="s">
        <v>142</v>
      </c>
      <c r="D7025" s="13" t="s">
        <v>633</v>
      </c>
      <c r="E7025" t="s">
        <v>195</v>
      </c>
      <c r="F7025" s="11">
        <v>2</v>
      </c>
      <c r="G7025" s="11">
        <v>92436.98</v>
      </c>
    </row>
    <row r="7026" spans="2:7" x14ac:dyDescent="0.2">
      <c r="B7026" s="32">
        <v>46002</v>
      </c>
      <c r="C7026" t="s">
        <v>142</v>
      </c>
      <c r="D7026" s="13" t="s">
        <v>633</v>
      </c>
      <c r="E7026" t="s">
        <v>151</v>
      </c>
      <c r="F7026" s="11">
        <v>2</v>
      </c>
      <c r="G7026" s="11">
        <v>92436.98</v>
      </c>
    </row>
    <row r="7027" spans="2:7" x14ac:dyDescent="0.2">
      <c r="B7027" s="32">
        <v>46002</v>
      </c>
      <c r="C7027" t="s">
        <v>142</v>
      </c>
      <c r="D7027" s="13" t="s">
        <v>633</v>
      </c>
      <c r="E7027" t="s">
        <v>605</v>
      </c>
      <c r="F7027" s="11">
        <v>2</v>
      </c>
      <c r="G7027" s="11">
        <v>92436.97</v>
      </c>
    </row>
    <row r="7028" spans="2:7" x14ac:dyDescent="0.2">
      <c r="B7028" s="32">
        <v>46002</v>
      </c>
      <c r="C7028" t="s">
        <v>142</v>
      </c>
      <c r="D7028" s="13" t="s">
        <v>633</v>
      </c>
      <c r="E7028" t="s">
        <v>560</v>
      </c>
      <c r="F7028" s="11">
        <v>2</v>
      </c>
      <c r="G7028" s="11">
        <v>92436.97</v>
      </c>
    </row>
    <row r="7029" spans="2:7" x14ac:dyDescent="0.2">
      <c r="B7029" s="32">
        <v>46002</v>
      </c>
      <c r="C7029" t="s">
        <v>142</v>
      </c>
      <c r="D7029" s="13" t="s">
        <v>633</v>
      </c>
      <c r="E7029" t="s">
        <v>604</v>
      </c>
      <c r="F7029" s="11">
        <v>2</v>
      </c>
      <c r="G7029" s="11">
        <v>92436.97</v>
      </c>
    </row>
    <row r="7030" spans="2:7" x14ac:dyDescent="0.2">
      <c r="B7030" s="32">
        <v>46002</v>
      </c>
      <c r="C7030" t="s">
        <v>142</v>
      </c>
      <c r="D7030" s="13" t="s">
        <v>633</v>
      </c>
      <c r="E7030" t="s">
        <v>2113</v>
      </c>
      <c r="F7030" s="11">
        <v>2</v>
      </c>
      <c r="G7030" s="11">
        <v>75630.259999999995</v>
      </c>
    </row>
    <row r="7031" spans="2:7" x14ac:dyDescent="0.2">
      <c r="B7031" s="32">
        <v>46002</v>
      </c>
      <c r="C7031" t="s">
        <v>142</v>
      </c>
      <c r="D7031" s="13" t="s">
        <v>633</v>
      </c>
      <c r="E7031" t="s">
        <v>251</v>
      </c>
      <c r="F7031" s="11">
        <v>1</v>
      </c>
      <c r="G7031" s="11">
        <v>58823.53</v>
      </c>
    </row>
    <row r="7032" spans="2:7" x14ac:dyDescent="0.2">
      <c r="B7032" s="32">
        <v>46002</v>
      </c>
      <c r="C7032" t="s">
        <v>109</v>
      </c>
      <c r="D7032" s="13" t="s">
        <v>634</v>
      </c>
      <c r="E7032" t="s">
        <v>1827</v>
      </c>
      <c r="F7032" s="11">
        <v>1</v>
      </c>
      <c r="G7032" s="11">
        <v>210084.03</v>
      </c>
    </row>
    <row r="7033" spans="2:7" x14ac:dyDescent="0.2">
      <c r="B7033" s="32">
        <v>46002</v>
      </c>
      <c r="C7033" t="s">
        <v>109</v>
      </c>
      <c r="D7033" s="13" t="s">
        <v>634</v>
      </c>
      <c r="E7033" t="s">
        <v>156</v>
      </c>
      <c r="F7033" s="11">
        <v>5</v>
      </c>
      <c r="G7033" s="11">
        <v>210084.03</v>
      </c>
    </row>
    <row r="7034" spans="2:7" x14ac:dyDescent="0.2">
      <c r="B7034" s="32">
        <v>46002</v>
      </c>
      <c r="C7034" t="s">
        <v>109</v>
      </c>
      <c r="D7034" s="13" t="s">
        <v>634</v>
      </c>
      <c r="E7034" t="s">
        <v>327</v>
      </c>
      <c r="F7034" s="11">
        <v>4</v>
      </c>
      <c r="G7034" s="11">
        <v>140000</v>
      </c>
    </row>
    <row r="7035" spans="2:7" x14ac:dyDescent="0.2">
      <c r="B7035" s="32">
        <v>46002</v>
      </c>
      <c r="C7035" t="s">
        <v>109</v>
      </c>
      <c r="D7035" s="13" t="s">
        <v>634</v>
      </c>
      <c r="E7035" t="s">
        <v>2142</v>
      </c>
      <c r="F7035" s="11">
        <v>3</v>
      </c>
      <c r="G7035" s="11">
        <v>138655.46</v>
      </c>
    </row>
    <row r="7036" spans="2:7" x14ac:dyDescent="0.2">
      <c r="B7036" s="32">
        <v>46002</v>
      </c>
      <c r="C7036" t="s">
        <v>109</v>
      </c>
      <c r="D7036" s="13" t="s">
        <v>634</v>
      </c>
      <c r="E7036" t="s">
        <v>283</v>
      </c>
      <c r="F7036" s="11">
        <v>2</v>
      </c>
      <c r="G7036" s="11">
        <v>109243.7</v>
      </c>
    </row>
    <row r="7037" spans="2:7" x14ac:dyDescent="0.2">
      <c r="B7037" s="32">
        <v>46002</v>
      </c>
      <c r="C7037" t="s">
        <v>109</v>
      </c>
      <c r="D7037" s="13" t="s">
        <v>634</v>
      </c>
      <c r="E7037" t="s">
        <v>661</v>
      </c>
      <c r="F7037" s="11">
        <v>1</v>
      </c>
      <c r="G7037" s="11">
        <v>109243.7</v>
      </c>
    </row>
    <row r="7038" spans="2:7" x14ac:dyDescent="0.2">
      <c r="B7038" s="32">
        <v>46002</v>
      </c>
      <c r="C7038" t="s">
        <v>109</v>
      </c>
      <c r="D7038" s="13" t="s">
        <v>634</v>
      </c>
      <c r="E7038" t="s">
        <v>160</v>
      </c>
      <c r="F7038" s="11">
        <v>2</v>
      </c>
      <c r="G7038" s="11">
        <v>92436.98</v>
      </c>
    </row>
    <row r="7039" spans="2:7" x14ac:dyDescent="0.2">
      <c r="B7039" s="32">
        <v>46002</v>
      </c>
      <c r="C7039" t="s">
        <v>109</v>
      </c>
      <c r="D7039" s="13" t="s">
        <v>634</v>
      </c>
      <c r="E7039" t="s">
        <v>158</v>
      </c>
      <c r="F7039" s="11">
        <v>2</v>
      </c>
      <c r="G7039" s="11">
        <v>92436.98</v>
      </c>
    </row>
    <row r="7040" spans="2:7" x14ac:dyDescent="0.2">
      <c r="B7040" s="32">
        <v>46002</v>
      </c>
      <c r="C7040" t="s">
        <v>109</v>
      </c>
      <c r="D7040" s="13" t="s">
        <v>634</v>
      </c>
      <c r="E7040" t="s">
        <v>336</v>
      </c>
      <c r="F7040" s="11">
        <v>1</v>
      </c>
      <c r="G7040" s="11">
        <v>71428.570000000007</v>
      </c>
    </row>
    <row r="7041" spans="2:7" x14ac:dyDescent="0.2">
      <c r="B7041" s="32">
        <v>46002</v>
      </c>
      <c r="C7041" t="s">
        <v>109</v>
      </c>
      <c r="D7041" s="13" t="s">
        <v>634</v>
      </c>
      <c r="E7041" t="s">
        <v>348</v>
      </c>
      <c r="F7041" s="11">
        <v>1</v>
      </c>
      <c r="G7041" s="11">
        <v>54621.85</v>
      </c>
    </row>
    <row r="7042" spans="2:7" x14ac:dyDescent="0.2">
      <c r="B7042" s="32">
        <v>46002</v>
      </c>
      <c r="C7042" t="s">
        <v>109</v>
      </c>
      <c r="D7042" s="13" t="s">
        <v>634</v>
      </c>
      <c r="E7042" t="s">
        <v>144</v>
      </c>
      <c r="F7042" s="11">
        <v>2</v>
      </c>
      <c r="G7042" s="11">
        <v>27731.1</v>
      </c>
    </row>
    <row r="7043" spans="2:7" x14ac:dyDescent="0.2">
      <c r="B7043" s="32">
        <v>46002</v>
      </c>
      <c r="C7043" t="s">
        <v>109</v>
      </c>
      <c r="D7043" s="13" t="s">
        <v>633</v>
      </c>
      <c r="E7043" t="s">
        <v>174</v>
      </c>
      <c r="F7043" s="11">
        <v>3</v>
      </c>
      <c r="G7043" s="11">
        <v>226890.76</v>
      </c>
    </row>
    <row r="7044" spans="2:7" x14ac:dyDescent="0.2">
      <c r="B7044" s="32">
        <v>46002</v>
      </c>
      <c r="C7044" t="s">
        <v>109</v>
      </c>
      <c r="D7044" s="13" t="s">
        <v>633</v>
      </c>
      <c r="E7044" t="s">
        <v>681</v>
      </c>
      <c r="F7044" s="11">
        <v>2</v>
      </c>
      <c r="G7044" s="11">
        <v>151260.5</v>
      </c>
    </row>
    <row r="7045" spans="2:7" x14ac:dyDescent="0.2">
      <c r="B7045" s="32">
        <v>46002</v>
      </c>
      <c r="C7045" t="s">
        <v>109</v>
      </c>
      <c r="D7045" s="13" t="s">
        <v>633</v>
      </c>
      <c r="E7045" t="s">
        <v>2014</v>
      </c>
      <c r="F7045" s="11">
        <v>2</v>
      </c>
      <c r="G7045" s="11">
        <v>142857.14000000001</v>
      </c>
    </row>
    <row r="7046" spans="2:7" x14ac:dyDescent="0.2">
      <c r="B7046" s="32">
        <v>46002</v>
      </c>
      <c r="C7046" t="s">
        <v>109</v>
      </c>
      <c r="D7046" s="13" t="s">
        <v>633</v>
      </c>
      <c r="E7046" t="s">
        <v>151</v>
      </c>
      <c r="F7046" s="11">
        <v>3</v>
      </c>
      <c r="G7046" s="11">
        <v>138655.46</v>
      </c>
    </row>
    <row r="7047" spans="2:7" x14ac:dyDescent="0.2">
      <c r="B7047" s="32">
        <v>46002</v>
      </c>
      <c r="C7047" t="s">
        <v>109</v>
      </c>
      <c r="D7047" s="13" t="s">
        <v>633</v>
      </c>
      <c r="E7047" t="s">
        <v>2109</v>
      </c>
      <c r="F7047" s="11">
        <v>3</v>
      </c>
      <c r="G7047" s="11">
        <v>113445.39</v>
      </c>
    </row>
    <row r="7048" spans="2:7" x14ac:dyDescent="0.2">
      <c r="B7048" s="32">
        <v>46002</v>
      </c>
      <c r="C7048" t="s">
        <v>109</v>
      </c>
      <c r="D7048" s="13" t="s">
        <v>633</v>
      </c>
      <c r="E7048" t="s">
        <v>642</v>
      </c>
      <c r="F7048" s="11">
        <v>2</v>
      </c>
      <c r="G7048" s="11">
        <v>98000</v>
      </c>
    </row>
    <row r="7049" spans="2:7" x14ac:dyDescent="0.2">
      <c r="B7049" s="32">
        <v>46002</v>
      </c>
      <c r="C7049" t="s">
        <v>109</v>
      </c>
      <c r="D7049" s="13" t="s">
        <v>633</v>
      </c>
      <c r="E7049" t="s">
        <v>337</v>
      </c>
      <c r="F7049" s="11">
        <v>2</v>
      </c>
      <c r="G7049" s="11">
        <v>92436.97</v>
      </c>
    </row>
    <row r="7050" spans="2:7" x14ac:dyDescent="0.2">
      <c r="B7050" s="32">
        <v>46002</v>
      </c>
      <c r="C7050" t="s">
        <v>109</v>
      </c>
      <c r="D7050" s="13" t="s">
        <v>633</v>
      </c>
      <c r="E7050" t="s">
        <v>2120</v>
      </c>
      <c r="F7050" s="11">
        <v>2</v>
      </c>
      <c r="G7050" s="11">
        <v>92436.97</v>
      </c>
    </row>
    <row r="7051" spans="2:7" x14ac:dyDescent="0.2">
      <c r="B7051" s="32">
        <v>46002</v>
      </c>
      <c r="C7051" t="s">
        <v>109</v>
      </c>
      <c r="D7051" s="13" t="s">
        <v>633</v>
      </c>
      <c r="E7051" t="s">
        <v>2091</v>
      </c>
      <c r="F7051" s="11">
        <v>2</v>
      </c>
      <c r="G7051" s="11">
        <v>92436.97</v>
      </c>
    </row>
    <row r="7052" spans="2:7" x14ac:dyDescent="0.2">
      <c r="B7052" s="32">
        <v>46002</v>
      </c>
      <c r="C7052" t="s">
        <v>109</v>
      </c>
      <c r="D7052" s="13" t="s">
        <v>633</v>
      </c>
      <c r="E7052" t="s">
        <v>172</v>
      </c>
      <c r="F7052" s="11">
        <v>2</v>
      </c>
      <c r="G7052" s="11">
        <v>92436.97</v>
      </c>
    </row>
    <row r="7053" spans="2:7" x14ac:dyDescent="0.2">
      <c r="B7053" s="32">
        <v>46002</v>
      </c>
      <c r="C7053" t="s">
        <v>109</v>
      </c>
      <c r="D7053" s="13" t="s">
        <v>633</v>
      </c>
      <c r="E7053" t="s">
        <v>156</v>
      </c>
      <c r="F7053" s="11">
        <v>2</v>
      </c>
      <c r="G7053" s="11">
        <v>84033.61</v>
      </c>
    </row>
    <row r="7054" spans="2:7" x14ac:dyDescent="0.2">
      <c r="B7054" s="32">
        <v>46002</v>
      </c>
      <c r="C7054" t="s">
        <v>109</v>
      </c>
      <c r="D7054" s="13" t="s">
        <v>633</v>
      </c>
      <c r="E7054" t="s">
        <v>2126</v>
      </c>
      <c r="F7054" s="11">
        <v>2</v>
      </c>
      <c r="G7054" s="11">
        <v>75630.259999999995</v>
      </c>
    </row>
    <row r="7055" spans="2:7" x14ac:dyDescent="0.2">
      <c r="B7055" s="32">
        <v>46002</v>
      </c>
      <c r="C7055" t="s">
        <v>109</v>
      </c>
      <c r="D7055" s="13" t="s">
        <v>633</v>
      </c>
      <c r="E7055" t="s">
        <v>2107</v>
      </c>
      <c r="F7055" s="11">
        <v>2</v>
      </c>
      <c r="G7055" s="11">
        <v>75630.25</v>
      </c>
    </row>
    <row r="7056" spans="2:7" x14ac:dyDescent="0.2">
      <c r="B7056" s="32">
        <v>46002</v>
      </c>
      <c r="C7056" t="s">
        <v>109</v>
      </c>
      <c r="D7056" s="13" t="s">
        <v>633</v>
      </c>
      <c r="E7056" t="s">
        <v>144</v>
      </c>
      <c r="F7056" s="11">
        <v>2</v>
      </c>
      <c r="G7056" s="11">
        <v>53781.51</v>
      </c>
    </row>
    <row r="7057" spans="2:7" x14ac:dyDescent="0.2">
      <c r="B7057" s="32">
        <v>46002</v>
      </c>
      <c r="C7057" t="s">
        <v>109</v>
      </c>
      <c r="D7057" s="13" t="s">
        <v>633</v>
      </c>
      <c r="E7057" t="s">
        <v>202</v>
      </c>
      <c r="F7057" s="11">
        <v>1</v>
      </c>
      <c r="G7057" s="11">
        <v>46218.49</v>
      </c>
    </row>
    <row r="7058" spans="2:7" x14ac:dyDescent="0.2">
      <c r="B7058" s="32">
        <v>46003</v>
      </c>
      <c r="C7058" t="s">
        <v>108</v>
      </c>
      <c r="D7058" s="13" t="s">
        <v>634</v>
      </c>
      <c r="E7058" t="s">
        <v>298</v>
      </c>
      <c r="F7058" s="11">
        <v>12</v>
      </c>
      <c r="G7058" s="11">
        <v>1149579.83</v>
      </c>
    </row>
    <row r="7059" spans="2:7" x14ac:dyDescent="0.2">
      <c r="B7059" s="32">
        <v>46003</v>
      </c>
      <c r="C7059" t="s">
        <v>108</v>
      </c>
      <c r="D7059" s="13" t="s">
        <v>634</v>
      </c>
      <c r="E7059" t="s">
        <v>207</v>
      </c>
      <c r="F7059" s="11">
        <v>4</v>
      </c>
      <c r="G7059" s="11">
        <v>383193.27</v>
      </c>
    </row>
    <row r="7060" spans="2:7" x14ac:dyDescent="0.2">
      <c r="B7060" s="32">
        <v>46003</v>
      </c>
      <c r="C7060" t="s">
        <v>108</v>
      </c>
      <c r="D7060" s="13" t="s">
        <v>634</v>
      </c>
      <c r="E7060" t="s">
        <v>167</v>
      </c>
      <c r="F7060" s="11">
        <v>3</v>
      </c>
      <c r="G7060" s="11">
        <v>287394.96000000002</v>
      </c>
    </row>
    <row r="7061" spans="2:7" x14ac:dyDescent="0.2">
      <c r="B7061" s="32">
        <v>46003</v>
      </c>
      <c r="C7061" t="s">
        <v>108</v>
      </c>
      <c r="D7061" s="13" t="s">
        <v>634</v>
      </c>
      <c r="E7061" t="s">
        <v>313</v>
      </c>
      <c r="F7061" s="11">
        <v>3</v>
      </c>
      <c r="G7061" s="11">
        <v>287394.96000000002</v>
      </c>
    </row>
    <row r="7062" spans="2:7" x14ac:dyDescent="0.2">
      <c r="B7062" s="32">
        <v>46003</v>
      </c>
      <c r="C7062" t="s">
        <v>108</v>
      </c>
      <c r="D7062" s="13" t="s">
        <v>634</v>
      </c>
      <c r="E7062" t="s">
        <v>304</v>
      </c>
      <c r="F7062" s="11">
        <v>3</v>
      </c>
      <c r="G7062" s="11">
        <v>287394.96000000002</v>
      </c>
    </row>
    <row r="7063" spans="2:7" x14ac:dyDescent="0.2">
      <c r="B7063" s="32">
        <v>46003</v>
      </c>
      <c r="C7063" t="s">
        <v>108</v>
      </c>
      <c r="D7063" s="13" t="s">
        <v>634</v>
      </c>
      <c r="E7063" t="s">
        <v>250</v>
      </c>
      <c r="F7063" s="11">
        <v>3</v>
      </c>
      <c r="G7063" s="11">
        <v>287394.96000000002</v>
      </c>
    </row>
    <row r="7064" spans="2:7" x14ac:dyDescent="0.2">
      <c r="B7064" s="32">
        <v>46003</v>
      </c>
      <c r="C7064" t="s">
        <v>1726</v>
      </c>
      <c r="D7064" s="13" t="s">
        <v>634</v>
      </c>
      <c r="E7064" t="s">
        <v>245</v>
      </c>
      <c r="F7064" s="11">
        <v>1</v>
      </c>
      <c r="G7064" s="11">
        <v>126050.42</v>
      </c>
    </row>
    <row r="7065" spans="2:7" x14ac:dyDescent="0.2">
      <c r="B7065" s="32">
        <v>46003</v>
      </c>
      <c r="C7065" t="s">
        <v>142</v>
      </c>
      <c r="D7065" s="13"/>
      <c r="E7065" t="s">
        <v>189</v>
      </c>
      <c r="F7065" s="11">
        <v>5</v>
      </c>
      <c r="G7065" s="11">
        <v>357142.86</v>
      </c>
    </row>
    <row r="7066" spans="2:7" x14ac:dyDescent="0.2">
      <c r="B7066" s="32">
        <v>46003</v>
      </c>
      <c r="C7066" t="s">
        <v>142</v>
      </c>
      <c r="D7066" s="13"/>
      <c r="E7066" t="s">
        <v>347</v>
      </c>
      <c r="F7066" s="11">
        <v>1</v>
      </c>
      <c r="G7066" s="11">
        <v>75630.25</v>
      </c>
    </row>
    <row r="7067" spans="2:7" x14ac:dyDescent="0.2">
      <c r="B7067" s="32">
        <v>46003</v>
      </c>
      <c r="C7067" t="s">
        <v>142</v>
      </c>
      <c r="D7067" s="13"/>
      <c r="E7067" t="s">
        <v>330</v>
      </c>
      <c r="F7067" s="11">
        <v>2</v>
      </c>
      <c r="G7067" s="11">
        <v>75630.25</v>
      </c>
    </row>
    <row r="7068" spans="2:7" x14ac:dyDescent="0.2">
      <c r="B7068" s="32">
        <v>46003</v>
      </c>
      <c r="C7068" t="s">
        <v>142</v>
      </c>
      <c r="D7068" s="13"/>
      <c r="E7068" t="s">
        <v>144</v>
      </c>
      <c r="F7068" s="11">
        <v>4</v>
      </c>
      <c r="G7068" s="11">
        <v>49159.67</v>
      </c>
    </row>
    <row r="7069" spans="2:7" x14ac:dyDescent="0.2">
      <c r="B7069" s="32">
        <v>46003</v>
      </c>
      <c r="C7069" t="s">
        <v>142</v>
      </c>
      <c r="D7069" s="13" t="s">
        <v>634</v>
      </c>
      <c r="F7069" s="11">
        <v>11</v>
      </c>
      <c r="G7069" s="11">
        <v>435294.11</v>
      </c>
    </row>
    <row r="7070" spans="2:7" x14ac:dyDescent="0.2">
      <c r="B7070" s="32">
        <v>46003</v>
      </c>
      <c r="C7070" t="s">
        <v>142</v>
      </c>
      <c r="D7070" s="13" t="s">
        <v>634</v>
      </c>
      <c r="E7070" t="s">
        <v>304</v>
      </c>
      <c r="F7070" s="11">
        <v>3</v>
      </c>
      <c r="G7070" s="11">
        <v>302521.01</v>
      </c>
    </row>
    <row r="7071" spans="2:7" x14ac:dyDescent="0.2">
      <c r="B7071" s="32">
        <v>46003</v>
      </c>
      <c r="C7071" t="s">
        <v>142</v>
      </c>
      <c r="D7071" s="13" t="s">
        <v>634</v>
      </c>
      <c r="E7071" t="s">
        <v>148</v>
      </c>
      <c r="F7071" s="11">
        <v>8</v>
      </c>
      <c r="G7071" s="11">
        <v>302520.99</v>
      </c>
    </row>
    <row r="7072" spans="2:7" x14ac:dyDescent="0.2">
      <c r="B7072" s="32">
        <v>46003</v>
      </c>
      <c r="C7072" t="s">
        <v>142</v>
      </c>
      <c r="D7072" s="13" t="s">
        <v>634</v>
      </c>
      <c r="E7072" t="s">
        <v>336</v>
      </c>
      <c r="F7072" s="11">
        <v>3</v>
      </c>
      <c r="G7072" s="11">
        <v>214285.71</v>
      </c>
    </row>
    <row r="7073" spans="2:7" x14ac:dyDescent="0.2">
      <c r="B7073" s="32">
        <v>46003</v>
      </c>
      <c r="C7073" t="s">
        <v>142</v>
      </c>
      <c r="D7073" s="13" t="s">
        <v>634</v>
      </c>
      <c r="E7073" t="s">
        <v>352</v>
      </c>
      <c r="F7073" s="11">
        <v>3</v>
      </c>
      <c r="G7073" s="11">
        <v>214285.71</v>
      </c>
    </row>
    <row r="7074" spans="2:7" x14ac:dyDescent="0.2">
      <c r="B7074" s="32">
        <v>46003</v>
      </c>
      <c r="C7074" t="s">
        <v>142</v>
      </c>
      <c r="D7074" s="13" t="s">
        <v>634</v>
      </c>
      <c r="E7074" t="s">
        <v>164</v>
      </c>
      <c r="F7074" s="11">
        <v>3</v>
      </c>
      <c r="G7074" s="11">
        <v>214285.71</v>
      </c>
    </row>
    <row r="7075" spans="2:7" x14ac:dyDescent="0.2">
      <c r="B7075" s="32">
        <v>46003</v>
      </c>
      <c r="C7075" t="s">
        <v>142</v>
      </c>
      <c r="D7075" s="13" t="s">
        <v>634</v>
      </c>
      <c r="E7075" t="s">
        <v>2139</v>
      </c>
      <c r="F7075" s="11">
        <v>4</v>
      </c>
      <c r="G7075" s="11">
        <v>184873.95</v>
      </c>
    </row>
    <row r="7076" spans="2:7" x14ac:dyDescent="0.2">
      <c r="B7076" s="32">
        <v>46003</v>
      </c>
      <c r="C7076" t="s">
        <v>142</v>
      </c>
      <c r="D7076" s="13" t="s">
        <v>634</v>
      </c>
      <c r="E7076" t="s">
        <v>427</v>
      </c>
      <c r="F7076" s="11">
        <v>3</v>
      </c>
      <c r="G7076" s="11">
        <v>163865.54999999999</v>
      </c>
    </row>
    <row r="7077" spans="2:7" x14ac:dyDescent="0.2">
      <c r="B7077" s="32">
        <v>46003</v>
      </c>
      <c r="C7077" t="s">
        <v>142</v>
      </c>
      <c r="D7077" s="13" t="s">
        <v>634</v>
      </c>
      <c r="E7077" t="s">
        <v>395</v>
      </c>
      <c r="F7077" s="11">
        <v>2</v>
      </c>
      <c r="G7077" s="11">
        <v>151260.5</v>
      </c>
    </row>
    <row r="7078" spans="2:7" x14ac:dyDescent="0.2">
      <c r="B7078" s="32">
        <v>46003</v>
      </c>
      <c r="C7078" t="s">
        <v>142</v>
      </c>
      <c r="D7078" s="13" t="s">
        <v>634</v>
      </c>
      <c r="E7078" t="s">
        <v>558</v>
      </c>
      <c r="F7078" s="11">
        <v>2</v>
      </c>
      <c r="G7078" s="11">
        <v>151260.5</v>
      </c>
    </row>
    <row r="7079" spans="2:7" x14ac:dyDescent="0.2">
      <c r="B7079" s="32">
        <v>46003</v>
      </c>
      <c r="C7079" t="s">
        <v>142</v>
      </c>
      <c r="D7079" s="13" t="s">
        <v>634</v>
      </c>
      <c r="E7079" t="s">
        <v>147</v>
      </c>
      <c r="F7079" s="11">
        <v>2</v>
      </c>
      <c r="G7079" s="11">
        <v>142857.14000000001</v>
      </c>
    </row>
    <row r="7080" spans="2:7" x14ac:dyDescent="0.2">
      <c r="B7080" s="32">
        <v>46003</v>
      </c>
      <c r="C7080" t="s">
        <v>142</v>
      </c>
      <c r="D7080" s="13" t="s">
        <v>634</v>
      </c>
      <c r="E7080" t="s">
        <v>151</v>
      </c>
      <c r="F7080" s="11">
        <v>3</v>
      </c>
      <c r="G7080" s="11">
        <v>138655.47</v>
      </c>
    </row>
    <row r="7081" spans="2:7" x14ac:dyDescent="0.2">
      <c r="B7081" s="32">
        <v>46003</v>
      </c>
      <c r="C7081" t="s">
        <v>142</v>
      </c>
      <c r="D7081" s="13" t="s">
        <v>634</v>
      </c>
      <c r="E7081" t="s">
        <v>223</v>
      </c>
      <c r="F7081" s="11">
        <v>2</v>
      </c>
      <c r="G7081" s="11">
        <v>117647.06</v>
      </c>
    </row>
    <row r="7082" spans="2:7" x14ac:dyDescent="0.2">
      <c r="B7082" s="32">
        <v>46003</v>
      </c>
      <c r="C7082" t="s">
        <v>142</v>
      </c>
      <c r="D7082" s="13" t="s">
        <v>634</v>
      </c>
      <c r="E7082" t="s">
        <v>616</v>
      </c>
      <c r="F7082" s="11">
        <v>2</v>
      </c>
      <c r="G7082" s="11">
        <v>109243.7</v>
      </c>
    </row>
    <row r="7083" spans="2:7" x14ac:dyDescent="0.2">
      <c r="B7083" s="32">
        <v>46003</v>
      </c>
      <c r="C7083" t="s">
        <v>142</v>
      </c>
      <c r="D7083" s="13" t="s">
        <v>634</v>
      </c>
      <c r="E7083" t="s">
        <v>212</v>
      </c>
      <c r="F7083" s="11">
        <v>2</v>
      </c>
      <c r="G7083" s="11">
        <v>109243.7</v>
      </c>
    </row>
    <row r="7084" spans="2:7" x14ac:dyDescent="0.2">
      <c r="B7084" s="32">
        <v>46003</v>
      </c>
      <c r="C7084" t="s">
        <v>142</v>
      </c>
      <c r="D7084" s="13" t="s">
        <v>634</v>
      </c>
      <c r="E7084" t="s">
        <v>303</v>
      </c>
      <c r="F7084" s="11">
        <v>2</v>
      </c>
      <c r="G7084" s="11">
        <v>100840.34</v>
      </c>
    </row>
    <row r="7085" spans="2:7" x14ac:dyDescent="0.2">
      <c r="B7085" s="32">
        <v>46003</v>
      </c>
      <c r="C7085" t="s">
        <v>142</v>
      </c>
      <c r="D7085" s="13" t="s">
        <v>634</v>
      </c>
      <c r="E7085" t="s">
        <v>422</v>
      </c>
      <c r="F7085" s="11">
        <v>1</v>
      </c>
      <c r="G7085" s="11">
        <v>100840.34</v>
      </c>
    </row>
    <row r="7086" spans="2:7" x14ac:dyDescent="0.2">
      <c r="B7086" s="32">
        <v>46003</v>
      </c>
      <c r="C7086" t="s">
        <v>142</v>
      </c>
      <c r="D7086" s="13" t="s">
        <v>634</v>
      </c>
      <c r="E7086" t="s">
        <v>154</v>
      </c>
      <c r="F7086" s="11">
        <v>1</v>
      </c>
      <c r="G7086" s="11">
        <v>100840.34</v>
      </c>
    </row>
    <row r="7087" spans="2:7" x14ac:dyDescent="0.2">
      <c r="B7087" s="32">
        <v>46003</v>
      </c>
      <c r="C7087" t="s">
        <v>142</v>
      </c>
      <c r="D7087" s="13" t="s">
        <v>634</v>
      </c>
      <c r="E7087" t="s">
        <v>195</v>
      </c>
      <c r="F7087" s="11">
        <v>2</v>
      </c>
      <c r="G7087" s="11">
        <v>92436.98</v>
      </c>
    </row>
    <row r="7088" spans="2:7" x14ac:dyDescent="0.2">
      <c r="B7088" s="32">
        <v>46003</v>
      </c>
      <c r="C7088" t="s">
        <v>142</v>
      </c>
      <c r="D7088" s="13" t="s">
        <v>634</v>
      </c>
      <c r="E7088" t="s">
        <v>238</v>
      </c>
      <c r="F7088" s="11">
        <v>2</v>
      </c>
      <c r="G7088" s="11">
        <v>92436.98</v>
      </c>
    </row>
    <row r="7089" spans="2:7" x14ac:dyDescent="0.2">
      <c r="B7089" s="32">
        <v>46003</v>
      </c>
      <c r="C7089" t="s">
        <v>142</v>
      </c>
      <c r="D7089" s="13" t="s">
        <v>634</v>
      </c>
      <c r="E7089" t="s">
        <v>225</v>
      </c>
      <c r="F7089" s="11">
        <v>2</v>
      </c>
      <c r="G7089" s="11">
        <v>92436.98</v>
      </c>
    </row>
    <row r="7090" spans="2:7" x14ac:dyDescent="0.2">
      <c r="B7090" s="32">
        <v>46003</v>
      </c>
      <c r="C7090" t="s">
        <v>142</v>
      </c>
      <c r="D7090" s="13" t="s">
        <v>634</v>
      </c>
      <c r="E7090" t="s">
        <v>160</v>
      </c>
      <c r="F7090" s="11">
        <v>2</v>
      </c>
      <c r="G7090" s="11">
        <v>92436.97</v>
      </c>
    </row>
    <row r="7091" spans="2:7" x14ac:dyDescent="0.2">
      <c r="B7091" s="32">
        <v>46003</v>
      </c>
      <c r="C7091" t="s">
        <v>142</v>
      </c>
      <c r="D7091" s="13" t="s">
        <v>634</v>
      </c>
      <c r="E7091" t="s">
        <v>173</v>
      </c>
      <c r="F7091" s="11">
        <v>2</v>
      </c>
      <c r="G7091" s="11">
        <v>75630.259999999995</v>
      </c>
    </row>
    <row r="7092" spans="2:7" x14ac:dyDescent="0.2">
      <c r="B7092" s="32">
        <v>46003</v>
      </c>
      <c r="C7092" t="s">
        <v>142</v>
      </c>
      <c r="D7092" s="13" t="s">
        <v>634</v>
      </c>
      <c r="E7092" t="s">
        <v>192</v>
      </c>
      <c r="F7092" s="11">
        <v>1</v>
      </c>
      <c r="G7092" s="11">
        <v>71428.570000000007</v>
      </c>
    </row>
    <row r="7093" spans="2:7" x14ac:dyDescent="0.2">
      <c r="B7093" s="32">
        <v>46003</v>
      </c>
      <c r="C7093" t="s">
        <v>142</v>
      </c>
      <c r="D7093" s="13" t="s">
        <v>634</v>
      </c>
      <c r="E7093" t="s">
        <v>149</v>
      </c>
      <c r="F7093" s="11">
        <v>1</v>
      </c>
      <c r="G7093" s="11">
        <v>71428.570000000007</v>
      </c>
    </row>
    <row r="7094" spans="2:7" x14ac:dyDescent="0.2">
      <c r="B7094" s="32">
        <v>46003</v>
      </c>
      <c r="C7094" t="s">
        <v>142</v>
      </c>
      <c r="D7094" s="13" t="s">
        <v>634</v>
      </c>
      <c r="E7094" t="s">
        <v>287</v>
      </c>
      <c r="F7094" s="11">
        <v>1</v>
      </c>
      <c r="G7094" s="11">
        <v>58823.53</v>
      </c>
    </row>
    <row r="7095" spans="2:7" x14ac:dyDescent="0.2">
      <c r="B7095" s="32">
        <v>46003</v>
      </c>
      <c r="C7095" t="s">
        <v>142</v>
      </c>
      <c r="D7095" s="13" t="s">
        <v>634</v>
      </c>
      <c r="E7095" t="s">
        <v>525</v>
      </c>
      <c r="F7095" s="11">
        <v>1</v>
      </c>
      <c r="G7095" s="11">
        <v>58823.53</v>
      </c>
    </row>
    <row r="7096" spans="2:7" x14ac:dyDescent="0.2">
      <c r="B7096" s="32">
        <v>46003</v>
      </c>
      <c r="C7096" t="s">
        <v>142</v>
      </c>
      <c r="D7096" s="13" t="s">
        <v>634</v>
      </c>
      <c r="E7096" t="s">
        <v>508</v>
      </c>
      <c r="F7096" s="11">
        <v>1</v>
      </c>
      <c r="G7096" s="11">
        <v>58823.53</v>
      </c>
    </row>
    <row r="7097" spans="2:7" x14ac:dyDescent="0.2">
      <c r="B7097" s="32">
        <v>46003</v>
      </c>
      <c r="C7097" t="s">
        <v>142</v>
      </c>
      <c r="D7097" s="13" t="s">
        <v>634</v>
      </c>
      <c r="E7097" t="s">
        <v>755</v>
      </c>
      <c r="F7097" s="11">
        <v>1</v>
      </c>
      <c r="G7097" s="11">
        <v>54621.85</v>
      </c>
    </row>
    <row r="7098" spans="2:7" x14ac:dyDescent="0.2">
      <c r="B7098" s="32">
        <v>46003</v>
      </c>
      <c r="C7098" t="s">
        <v>142</v>
      </c>
      <c r="D7098" s="13" t="s">
        <v>634</v>
      </c>
      <c r="E7098" t="s">
        <v>401</v>
      </c>
      <c r="F7098" s="11">
        <v>1</v>
      </c>
      <c r="G7098" s="11">
        <v>54621.85</v>
      </c>
    </row>
    <row r="7099" spans="2:7" x14ac:dyDescent="0.2">
      <c r="B7099" s="32">
        <v>46003</v>
      </c>
      <c r="C7099" t="s">
        <v>142</v>
      </c>
      <c r="D7099" s="13" t="s">
        <v>634</v>
      </c>
      <c r="E7099" t="s">
        <v>513</v>
      </c>
      <c r="F7099" s="11">
        <v>1</v>
      </c>
      <c r="G7099" s="11">
        <v>50420.17</v>
      </c>
    </row>
    <row r="7100" spans="2:7" x14ac:dyDescent="0.2">
      <c r="B7100" s="32">
        <v>46003</v>
      </c>
      <c r="C7100" t="s">
        <v>142</v>
      </c>
      <c r="D7100" s="13" t="s">
        <v>634</v>
      </c>
      <c r="E7100" t="s">
        <v>146</v>
      </c>
      <c r="F7100" s="11">
        <v>1</v>
      </c>
      <c r="G7100" s="11">
        <v>46218.49</v>
      </c>
    </row>
    <row r="7101" spans="2:7" x14ac:dyDescent="0.2">
      <c r="B7101" s="32">
        <v>46003</v>
      </c>
      <c r="C7101" t="s">
        <v>142</v>
      </c>
      <c r="D7101" s="13" t="s">
        <v>633</v>
      </c>
      <c r="E7101" t="s">
        <v>230</v>
      </c>
      <c r="F7101" s="11">
        <v>2</v>
      </c>
      <c r="G7101" s="11">
        <v>117647.06</v>
      </c>
    </row>
    <row r="7102" spans="2:7" x14ac:dyDescent="0.2">
      <c r="B7102" s="32">
        <v>46003</v>
      </c>
      <c r="C7102" t="s">
        <v>142</v>
      </c>
      <c r="D7102" s="13" t="s">
        <v>633</v>
      </c>
      <c r="E7102" t="s">
        <v>1818</v>
      </c>
      <c r="F7102" s="11">
        <v>3</v>
      </c>
      <c r="G7102" s="11">
        <v>113445.38</v>
      </c>
    </row>
    <row r="7103" spans="2:7" x14ac:dyDescent="0.2">
      <c r="B7103" s="32">
        <v>46003</v>
      </c>
      <c r="C7103" t="s">
        <v>142</v>
      </c>
      <c r="D7103" s="13" t="s">
        <v>633</v>
      </c>
      <c r="E7103" t="s">
        <v>148</v>
      </c>
      <c r="F7103" s="11">
        <v>3</v>
      </c>
      <c r="G7103" s="11">
        <v>113445.38</v>
      </c>
    </row>
    <row r="7104" spans="2:7" x14ac:dyDescent="0.2">
      <c r="B7104" s="32">
        <v>46003</v>
      </c>
      <c r="C7104" t="s">
        <v>142</v>
      </c>
      <c r="D7104" s="13" t="s">
        <v>633</v>
      </c>
      <c r="E7104" t="s">
        <v>755</v>
      </c>
      <c r="F7104" s="11">
        <v>2</v>
      </c>
      <c r="G7104" s="11">
        <v>109243.7</v>
      </c>
    </row>
    <row r="7105" spans="2:7" x14ac:dyDescent="0.2">
      <c r="B7105" s="32">
        <v>46003</v>
      </c>
      <c r="C7105" t="s">
        <v>142</v>
      </c>
      <c r="D7105" s="13" t="s">
        <v>633</v>
      </c>
      <c r="E7105" t="s">
        <v>576</v>
      </c>
      <c r="F7105" s="11">
        <v>1</v>
      </c>
      <c r="G7105" s="11">
        <v>58823.53</v>
      </c>
    </row>
    <row r="7106" spans="2:7" x14ac:dyDescent="0.2">
      <c r="B7106" s="32">
        <v>46003</v>
      </c>
      <c r="C7106" t="s">
        <v>142</v>
      </c>
      <c r="D7106" s="13" t="s">
        <v>633</v>
      </c>
      <c r="E7106" t="s">
        <v>145</v>
      </c>
      <c r="F7106" s="11">
        <v>2</v>
      </c>
      <c r="G7106" s="11">
        <v>58823.519999999997</v>
      </c>
    </row>
    <row r="7107" spans="2:7" x14ac:dyDescent="0.2">
      <c r="B7107" s="32">
        <v>46003</v>
      </c>
      <c r="C7107" t="s">
        <v>142</v>
      </c>
      <c r="D7107" s="13" t="s">
        <v>633</v>
      </c>
      <c r="E7107" t="s">
        <v>2143</v>
      </c>
      <c r="F7107" s="11">
        <v>1</v>
      </c>
      <c r="G7107" s="11">
        <v>46218.49</v>
      </c>
    </row>
    <row r="7108" spans="2:7" x14ac:dyDescent="0.2">
      <c r="B7108" s="32">
        <v>46003</v>
      </c>
      <c r="C7108" t="s">
        <v>142</v>
      </c>
      <c r="D7108" s="13" t="s">
        <v>633</v>
      </c>
      <c r="E7108" t="s">
        <v>177</v>
      </c>
      <c r="F7108" s="11">
        <v>1</v>
      </c>
      <c r="G7108" s="11">
        <v>37815.120000000003</v>
      </c>
    </row>
    <row r="7109" spans="2:7" x14ac:dyDescent="0.2">
      <c r="B7109" s="32">
        <v>46003</v>
      </c>
      <c r="C7109" t="s">
        <v>142</v>
      </c>
      <c r="D7109" s="13" t="s">
        <v>633</v>
      </c>
      <c r="E7109" t="s">
        <v>2107</v>
      </c>
      <c r="F7109" s="11">
        <v>1</v>
      </c>
      <c r="G7109" s="11">
        <v>37815.120000000003</v>
      </c>
    </row>
    <row r="7110" spans="2:7" x14ac:dyDescent="0.2">
      <c r="B7110" s="32">
        <v>46003</v>
      </c>
      <c r="C7110" t="s">
        <v>142</v>
      </c>
      <c r="D7110" s="13" t="s">
        <v>633</v>
      </c>
      <c r="E7110" t="s">
        <v>144</v>
      </c>
      <c r="F7110" s="11">
        <v>3</v>
      </c>
      <c r="G7110" s="11">
        <v>30252.09</v>
      </c>
    </row>
    <row r="7111" spans="2:7" x14ac:dyDescent="0.2">
      <c r="B7111" s="32">
        <v>46003</v>
      </c>
      <c r="C7111" t="s">
        <v>142</v>
      </c>
      <c r="D7111" s="13" t="s">
        <v>633</v>
      </c>
      <c r="F7111" s="11">
        <v>2</v>
      </c>
      <c r="G7111" s="11">
        <v>7564.02</v>
      </c>
    </row>
    <row r="7112" spans="2:7" x14ac:dyDescent="0.2">
      <c r="B7112" s="32">
        <v>46003</v>
      </c>
      <c r="C7112" t="s">
        <v>109</v>
      </c>
      <c r="D7112" s="13" t="s">
        <v>634</v>
      </c>
      <c r="F7112" s="11">
        <v>4</v>
      </c>
      <c r="G7112" s="11">
        <v>449579.83</v>
      </c>
    </row>
    <row r="7113" spans="2:7" x14ac:dyDescent="0.2">
      <c r="B7113" s="32">
        <v>46003</v>
      </c>
      <c r="C7113" t="s">
        <v>109</v>
      </c>
      <c r="D7113" s="13" t="s">
        <v>634</v>
      </c>
      <c r="E7113" t="s">
        <v>191</v>
      </c>
      <c r="F7113" s="11">
        <v>1</v>
      </c>
      <c r="G7113" s="11">
        <v>130252.1</v>
      </c>
    </row>
    <row r="7114" spans="2:7" x14ac:dyDescent="0.2">
      <c r="B7114" s="32">
        <v>46003</v>
      </c>
      <c r="C7114" t="s">
        <v>109</v>
      </c>
      <c r="D7114" s="13" t="s">
        <v>634</v>
      </c>
      <c r="E7114" t="s">
        <v>193</v>
      </c>
      <c r="F7114" s="11">
        <v>2</v>
      </c>
      <c r="G7114" s="11">
        <v>75630.259999999995</v>
      </c>
    </row>
    <row r="7115" spans="2:7" x14ac:dyDescent="0.2">
      <c r="B7115" s="32">
        <v>46003</v>
      </c>
      <c r="C7115" t="s">
        <v>109</v>
      </c>
      <c r="D7115" s="13" t="s">
        <v>634</v>
      </c>
      <c r="E7115" t="s">
        <v>2091</v>
      </c>
      <c r="F7115" s="11">
        <v>1</v>
      </c>
      <c r="G7115" s="11">
        <v>46218.49</v>
      </c>
    </row>
    <row r="7116" spans="2:7" x14ac:dyDescent="0.2">
      <c r="B7116" s="32">
        <v>46003</v>
      </c>
      <c r="C7116" t="s">
        <v>109</v>
      </c>
      <c r="D7116" s="13" t="s">
        <v>634</v>
      </c>
      <c r="E7116" t="s">
        <v>151</v>
      </c>
      <c r="F7116" s="11">
        <v>1</v>
      </c>
      <c r="G7116" s="11">
        <v>46218.48</v>
      </c>
    </row>
    <row r="7117" spans="2:7" x14ac:dyDescent="0.2">
      <c r="B7117" s="32">
        <v>46003</v>
      </c>
      <c r="C7117" t="s">
        <v>109</v>
      </c>
      <c r="D7117" s="13" t="s">
        <v>633</v>
      </c>
      <c r="E7117" t="s">
        <v>645</v>
      </c>
      <c r="F7117" s="11">
        <v>2</v>
      </c>
      <c r="G7117" s="11">
        <v>302521.01</v>
      </c>
    </row>
    <row r="7118" spans="2:7" x14ac:dyDescent="0.2">
      <c r="B7118" s="32">
        <v>46003</v>
      </c>
      <c r="C7118" t="s">
        <v>109</v>
      </c>
      <c r="D7118" s="13" t="s">
        <v>633</v>
      </c>
      <c r="E7118" t="s">
        <v>194</v>
      </c>
      <c r="F7118" s="11">
        <v>2</v>
      </c>
      <c r="G7118" s="11">
        <v>201680.68</v>
      </c>
    </row>
    <row r="7119" spans="2:7" x14ac:dyDescent="0.2">
      <c r="B7119" s="32">
        <v>46003</v>
      </c>
      <c r="C7119" t="s">
        <v>109</v>
      </c>
      <c r="D7119" s="13" t="s">
        <v>633</v>
      </c>
      <c r="E7119" t="s">
        <v>642</v>
      </c>
      <c r="F7119" s="11">
        <v>3</v>
      </c>
      <c r="G7119" s="11">
        <v>147000</v>
      </c>
    </row>
    <row r="7120" spans="2:7" x14ac:dyDescent="0.2">
      <c r="B7120" s="32">
        <v>46003</v>
      </c>
      <c r="C7120" t="s">
        <v>109</v>
      </c>
      <c r="D7120" s="13" t="s">
        <v>633</v>
      </c>
      <c r="E7120" t="s">
        <v>158</v>
      </c>
      <c r="F7120" s="11">
        <v>3</v>
      </c>
      <c r="G7120" s="11">
        <v>138655.46</v>
      </c>
    </row>
    <row r="7121" spans="2:7" x14ac:dyDescent="0.2">
      <c r="B7121" s="32">
        <v>46003</v>
      </c>
      <c r="C7121" t="s">
        <v>109</v>
      </c>
      <c r="D7121" s="13" t="s">
        <v>633</v>
      </c>
      <c r="E7121" t="s">
        <v>198</v>
      </c>
      <c r="F7121" s="11">
        <v>2</v>
      </c>
      <c r="G7121" s="11">
        <v>92436.98</v>
      </c>
    </row>
    <row r="7122" spans="2:7" x14ac:dyDescent="0.2">
      <c r="B7122" s="32">
        <v>46003</v>
      </c>
      <c r="C7122" t="s">
        <v>109</v>
      </c>
      <c r="D7122" s="13" t="s">
        <v>633</v>
      </c>
      <c r="E7122" t="s">
        <v>558</v>
      </c>
      <c r="F7122" s="11">
        <v>1</v>
      </c>
      <c r="G7122" s="11">
        <v>75630.25</v>
      </c>
    </row>
    <row r="7123" spans="2:7" x14ac:dyDescent="0.2">
      <c r="B7123" s="32">
        <v>46003</v>
      </c>
      <c r="C7123" t="s">
        <v>109</v>
      </c>
      <c r="D7123" s="13" t="s">
        <v>633</v>
      </c>
      <c r="E7123" t="s">
        <v>152</v>
      </c>
      <c r="F7123" s="11">
        <v>1</v>
      </c>
      <c r="G7123" s="11">
        <v>75630.25</v>
      </c>
    </row>
    <row r="7124" spans="2:7" x14ac:dyDescent="0.2">
      <c r="B7124" s="32">
        <v>46003</v>
      </c>
      <c r="C7124" t="s">
        <v>109</v>
      </c>
      <c r="D7124" s="13" t="s">
        <v>633</v>
      </c>
      <c r="E7124" t="s">
        <v>427</v>
      </c>
      <c r="F7124" s="11">
        <v>1</v>
      </c>
      <c r="G7124" s="11">
        <v>54621.85</v>
      </c>
    </row>
    <row r="7125" spans="2:7" x14ac:dyDescent="0.2">
      <c r="B7125" s="32">
        <v>46003</v>
      </c>
      <c r="C7125" t="s">
        <v>109</v>
      </c>
      <c r="D7125" s="13" t="s">
        <v>633</v>
      </c>
      <c r="E7125" t="s">
        <v>151</v>
      </c>
      <c r="F7125" s="11">
        <v>1</v>
      </c>
      <c r="G7125" s="11">
        <v>46218.49</v>
      </c>
    </row>
    <row r="7126" spans="2:7" x14ac:dyDescent="0.2">
      <c r="B7126" s="32">
        <v>46004</v>
      </c>
      <c r="C7126" t="s">
        <v>142</v>
      </c>
      <c r="D7126" s="13"/>
      <c r="E7126" t="s">
        <v>264</v>
      </c>
      <c r="F7126" s="11">
        <v>2</v>
      </c>
      <c r="G7126" s="11">
        <v>151260.5</v>
      </c>
    </row>
    <row r="7127" spans="2:7" x14ac:dyDescent="0.2">
      <c r="B7127" s="32">
        <v>46004</v>
      </c>
      <c r="C7127" t="s">
        <v>142</v>
      </c>
      <c r="D7127" s="13"/>
      <c r="E7127" t="s">
        <v>158</v>
      </c>
      <c r="F7127" s="11">
        <v>3</v>
      </c>
      <c r="G7127" s="11">
        <v>138655.47</v>
      </c>
    </row>
    <row r="7128" spans="2:7" x14ac:dyDescent="0.2">
      <c r="B7128" s="32">
        <v>46004</v>
      </c>
      <c r="C7128" t="s">
        <v>142</v>
      </c>
      <c r="D7128" s="13"/>
      <c r="E7128" t="s">
        <v>168</v>
      </c>
      <c r="F7128" s="11">
        <v>3</v>
      </c>
      <c r="G7128" s="11">
        <v>138655.46</v>
      </c>
    </row>
    <row r="7129" spans="2:7" x14ac:dyDescent="0.2">
      <c r="B7129" s="32">
        <v>46004</v>
      </c>
      <c r="C7129" t="s">
        <v>142</v>
      </c>
      <c r="D7129" s="13"/>
      <c r="E7129" t="s">
        <v>277</v>
      </c>
      <c r="F7129" s="11">
        <v>2</v>
      </c>
      <c r="G7129" s="11">
        <v>92436.97</v>
      </c>
    </row>
    <row r="7130" spans="2:7" x14ac:dyDescent="0.2">
      <c r="B7130" s="32">
        <v>46004</v>
      </c>
      <c r="C7130" t="s">
        <v>142</v>
      </c>
      <c r="D7130" s="13"/>
      <c r="E7130" t="s">
        <v>150</v>
      </c>
      <c r="F7130" s="11">
        <v>1</v>
      </c>
      <c r="G7130" s="11">
        <v>46218.49</v>
      </c>
    </row>
    <row r="7131" spans="2:7" x14ac:dyDescent="0.2">
      <c r="B7131" s="32">
        <v>46004</v>
      </c>
      <c r="C7131" t="s">
        <v>142</v>
      </c>
      <c r="D7131" s="13"/>
      <c r="E7131" t="s">
        <v>2075</v>
      </c>
      <c r="F7131" s="11">
        <v>1</v>
      </c>
      <c r="G7131" s="11">
        <v>46218.49</v>
      </c>
    </row>
    <row r="7132" spans="2:7" x14ac:dyDescent="0.2">
      <c r="B7132" s="32">
        <v>46004</v>
      </c>
      <c r="C7132" t="s">
        <v>142</v>
      </c>
      <c r="D7132" s="13"/>
      <c r="E7132" t="s">
        <v>144</v>
      </c>
      <c r="F7132" s="11">
        <v>2</v>
      </c>
      <c r="G7132" s="11">
        <v>20168.07</v>
      </c>
    </row>
    <row r="7133" spans="2:7" x14ac:dyDescent="0.2">
      <c r="B7133" s="32">
        <v>46004</v>
      </c>
      <c r="C7133" t="s">
        <v>142</v>
      </c>
      <c r="D7133" s="13" t="s">
        <v>634</v>
      </c>
      <c r="E7133" t="s">
        <v>159</v>
      </c>
      <c r="F7133" s="11">
        <v>2</v>
      </c>
      <c r="G7133" s="11">
        <v>487394.96</v>
      </c>
    </row>
    <row r="7134" spans="2:7" x14ac:dyDescent="0.2">
      <c r="B7134" s="32">
        <v>46004</v>
      </c>
      <c r="C7134" t="s">
        <v>142</v>
      </c>
      <c r="D7134" s="13" t="s">
        <v>634</v>
      </c>
      <c r="E7134" t="s">
        <v>255</v>
      </c>
      <c r="F7134" s="11">
        <v>3</v>
      </c>
      <c r="G7134" s="11">
        <v>415966.39</v>
      </c>
    </row>
    <row r="7135" spans="2:7" x14ac:dyDescent="0.2">
      <c r="B7135" s="32">
        <v>46004</v>
      </c>
      <c r="C7135" t="s">
        <v>142</v>
      </c>
      <c r="D7135" s="13" t="s">
        <v>634</v>
      </c>
      <c r="F7135" s="11">
        <v>12</v>
      </c>
      <c r="G7135" s="11">
        <v>315043.98</v>
      </c>
    </row>
    <row r="7136" spans="2:7" x14ac:dyDescent="0.2">
      <c r="B7136" s="32">
        <v>46004</v>
      </c>
      <c r="C7136" t="s">
        <v>142</v>
      </c>
      <c r="D7136" s="13" t="s">
        <v>634</v>
      </c>
      <c r="E7136" t="s">
        <v>2144</v>
      </c>
      <c r="F7136" s="11">
        <v>2</v>
      </c>
      <c r="G7136" s="11">
        <v>273109.24</v>
      </c>
    </row>
    <row r="7137" spans="2:7" x14ac:dyDescent="0.2">
      <c r="B7137" s="32">
        <v>46004</v>
      </c>
      <c r="C7137" t="s">
        <v>142</v>
      </c>
      <c r="D7137" s="13" t="s">
        <v>634</v>
      </c>
      <c r="E7137" t="s">
        <v>191</v>
      </c>
      <c r="F7137" s="11">
        <v>2</v>
      </c>
      <c r="G7137" s="11">
        <v>260504.2</v>
      </c>
    </row>
    <row r="7138" spans="2:7" x14ac:dyDescent="0.2">
      <c r="B7138" s="32">
        <v>46004</v>
      </c>
      <c r="C7138" t="s">
        <v>142</v>
      </c>
      <c r="D7138" s="13" t="s">
        <v>634</v>
      </c>
      <c r="E7138" t="s">
        <v>158</v>
      </c>
      <c r="F7138" s="11">
        <v>4</v>
      </c>
      <c r="G7138" s="11">
        <v>184873.95</v>
      </c>
    </row>
    <row r="7139" spans="2:7" x14ac:dyDescent="0.2">
      <c r="B7139" s="32">
        <v>46004</v>
      </c>
      <c r="C7139" t="s">
        <v>142</v>
      </c>
      <c r="D7139" s="13" t="s">
        <v>634</v>
      </c>
      <c r="E7139" t="s">
        <v>2120</v>
      </c>
      <c r="F7139" s="11">
        <v>4</v>
      </c>
      <c r="G7139" s="11">
        <v>184873.95</v>
      </c>
    </row>
    <row r="7140" spans="2:7" x14ac:dyDescent="0.2">
      <c r="B7140" s="32">
        <v>46004</v>
      </c>
      <c r="C7140" t="s">
        <v>142</v>
      </c>
      <c r="D7140" s="13" t="s">
        <v>634</v>
      </c>
      <c r="E7140" t="s">
        <v>202</v>
      </c>
      <c r="F7140" s="11">
        <v>4</v>
      </c>
      <c r="G7140" s="11">
        <v>184873.95</v>
      </c>
    </row>
    <row r="7141" spans="2:7" x14ac:dyDescent="0.2">
      <c r="B7141" s="32">
        <v>46004</v>
      </c>
      <c r="C7141" t="s">
        <v>142</v>
      </c>
      <c r="D7141" s="13" t="s">
        <v>634</v>
      </c>
      <c r="E7141" t="s">
        <v>228</v>
      </c>
      <c r="F7141" s="11">
        <v>3</v>
      </c>
      <c r="G7141" s="11">
        <v>163865.54999999999</v>
      </c>
    </row>
    <row r="7142" spans="2:7" x14ac:dyDescent="0.2">
      <c r="B7142" s="32">
        <v>46004</v>
      </c>
      <c r="C7142" t="s">
        <v>142</v>
      </c>
      <c r="D7142" s="13" t="s">
        <v>634</v>
      </c>
      <c r="E7142" t="s">
        <v>2102</v>
      </c>
      <c r="F7142" s="11">
        <v>4</v>
      </c>
      <c r="G7142" s="11">
        <v>151260.51</v>
      </c>
    </row>
    <row r="7143" spans="2:7" x14ac:dyDescent="0.2">
      <c r="B7143" s="32">
        <v>46004</v>
      </c>
      <c r="C7143" t="s">
        <v>142</v>
      </c>
      <c r="D7143" s="13" t="s">
        <v>634</v>
      </c>
      <c r="E7143" t="s">
        <v>320</v>
      </c>
      <c r="F7143" s="11">
        <v>2</v>
      </c>
      <c r="G7143" s="11">
        <v>142857.14000000001</v>
      </c>
    </row>
    <row r="7144" spans="2:7" x14ac:dyDescent="0.2">
      <c r="B7144" s="32">
        <v>46004</v>
      </c>
      <c r="C7144" t="s">
        <v>142</v>
      </c>
      <c r="D7144" s="13" t="s">
        <v>634</v>
      </c>
      <c r="E7144" t="s">
        <v>260</v>
      </c>
      <c r="F7144" s="11">
        <v>3</v>
      </c>
      <c r="G7144" s="11">
        <v>138655.46</v>
      </c>
    </row>
    <row r="7145" spans="2:7" x14ac:dyDescent="0.2">
      <c r="B7145" s="32">
        <v>46004</v>
      </c>
      <c r="C7145" t="s">
        <v>142</v>
      </c>
      <c r="D7145" s="13" t="s">
        <v>634</v>
      </c>
      <c r="E7145" t="s">
        <v>160</v>
      </c>
      <c r="F7145" s="11">
        <v>3</v>
      </c>
      <c r="G7145" s="11">
        <v>138655.46</v>
      </c>
    </row>
    <row r="7146" spans="2:7" x14ac:dyDescent="0.2">
      <c r="B7146" s="32">
        <v>46004</v>
      </c>
      <c r="C7146" t="s">
        <v>142</v>
      </c>
      <c r="D7146" s="13" t="s">
        <v>634</v>
      </c>
      <c r="E7146" t="s">
        <v>251</v>
      </c>
      <c r="F7146" s="11">
        <v>2</v>
      </c>
      <c r="G7146" s="11">
        <v>117647.06</v>
      </c>
    </row>
    <row r="7147" spans="2:7" x14ac:dyDescent="0.2">
      <c r="B7147" s="32">
        <v>46004</v>
      </c>
      <c r="C7147" t="s">
        <v>142</v>
      </c>
      <c r="D7147" s="13" t="s">
        <v>634</v>
      </c>
      <c r="E7147" t="s">
        <v>205</v>
      </c>
      <c r="F7147" s="11">
        <v>2</v>
      </c>
      <c r="G7147" s="11">
        <v>117647.06</v>
      </c>
    </row>
    <row r="7148" spans="2:7" x14ac:dyDescent="0.2">
      <c r="B7148" s="32">
        <v>46004</v>
      </c>
      <c r="C7148" t="s">
        <v>142</v>
      </c>
      <c r="D7148" s="13" t="s">
        <v>634</v>
      </c>
      <c r="E7148" t="s">
        <v>212</v>
      </c>
      <c r="F7148" s="11">
        <v>2</v>
      </c>
      <c r="G7148" s="11">
        <v>109243.7</v>
      </c>
    </row>
    <row r="7149" spans="2:7" x14ac:dyDescent="0.2">
      <c r="B7149" s="32">
        <v>46004</v>
      </c>
      <c r="C7149" t="s">
        <v>142</v>
      </c>
      <c r="D7149" s="13" t="s">
        <v>634</v>
      </c>
      <c r="E7149" t="s">
        <v>194</v>
      </c>
      <c r="F7149" s="11">
        <v>1</v>
      </c>
      <c r="G7149" s="11">
        <v>100840.34</v>
      </c>
    </row>
    <row r="7150" spans="2:7" x14ac:dyDescent="0.2">
      <c r="B7150" s="32">
        <v>46004</v>
      </c>
      <c r="C7150" t="s">
        <v>142</v>
      </c>
      <c r="D7150" s="13" t="s">
        <v>634</v>
      </c>
      <c r="E7150" t="s">
        <v>298</v>
      </c>
      <c r="F7150" s="11">
        <v>1</v>
      </c>
      <c r="G7150" s="11">
        <v>100840.34</v>
      </c>
    </row>
    <row r="7151" spans="2:7" x14ac:dyDescent="0.2">
      <c r="B7151" s="32">
        <v>46004</v>
      </c>
      <c r="C7151" t="s">
        <v>142</v>
      </c>
      <c r="D7151" s="13" t="s">
        <v>634</v>
      </c>
      <c r="E7151" t="s">
        <v>337</v>
      </c>
      <c r="F7151" s="11">
        <v>2</v>
      </c>
      <c r="G7151" s="11">
        <v>92436.98</v>
      </c>
    </row>
    <row r="7152" spans="2:7" x14ac:dyDescent="0.2">
      <c r="B7152" s="32">
        <v>46004</v>
      </c>
      <c r="C7152" t="s">
        <v>142</v>
      </c>
      <c r="D7152" s="13" t="s">
        <v>634</v>
      </c>
      <c r="E7152" t="s">
        <v>195</v>
      </c>
      <c r="F7152" s="11">
        <v>2</v>
      </c>
      <c r="G7152" s="11">
        <v>92436.98</v>
      </c>
    </row>
    <row r="7153" spans="2:7" x14ac:dyDescent="0.2">
      <c r="B7153" s="32">
        <v>46004</v>
      </c>
      <c r="C7153" t="s">
        <v>142</v>
      </c>
      <c r="D7153" s="13" t="s">
        <v>634</v>
      </c>
      <c r="E7153" t="s">
        <v>2107</v>
      </c>
      <c r="F7153" s="11">
        <v>2</v>
      </c>
      <c r="G7153" s="11">
        <v>75630.259999999995</v>
      </c>
    </row>
    <row r="7154" spans="2:7" x14ac:dyDescent="0.2">
      <c r="B7154" s="32">
        <v>46004</v>
      </c>
      <c r="C7154" t="s">
        <v>142</v>
      </c>
      <c r="D7154" s="13" t="s">
        <v>634</v>
      </c>
      <c r="E7154" t="s">
        <v>1818</v>
      </c>
      <c r="F7154" s="11">
        <v>2</v>
      </c>
      <c r="G7154" s="11">
        <v>75630.259999999995</v>
      </c>
    </row>
    <row r="7155" spans="2:7" x14ac:dyDescent="0.2">
      <c r="B7155" s="32">
        <v>46004</v>
      </c>
      <c r="C7155" t="s">
        <v>142</v>
      </c>
      <c r="D7155" s="13" t="s">
        <v>634</v>
      </c>
      <c r="E7155" t="s">
        <v>2109</v>
      </c>
      <c r="F7155" s="11">
        <v>2</v>
      </c>
      <c r="G7155" s="11">
        <v>75630.259999999995</v>
      </c>
    </row>
    <row r="7156" spans="2:7" x14ac:dyDescent="0.2">
      <c r="B7156" s="32">
        <v>46004</v>
      </c>
      <c r="C7156" t="s">
        <v>142</v>
      </c>
      <c r="D7156" s="13" t="s">
        <v>634</v>
      </c>
      <c r="E7156" t="s">
        <v>152</v>
      </c>
      <c r="F7156" s="11">
        <v>1</v>
      </c>
      <c r="G7156" s="11">
        <v>75630.25</v>
      </c>
    </row>
    <row r="7157" spans="2:7" x14ac:dyDescent="0.2">
      <c r="B7157" s="32">
        <v>46004</v>
      </c>
      <c r="C7157" t="s">
        <v>142</v>
      </c>
      <c r="D7157" s="13" t="s">
        <v>634</v>
      </c>
      <c r="E7157" t="s">
        <v>446</v>
      </c>
      <c r="F7157" s="11">
        <v>1</v>
      </c>
      <c r="G7157" s="11">
        <v>75630.25</v>
      </c>
    </row>
    <row r="7158" spans="2:7" x14ac:dyDescent="0.2">
      <c r="B7158" s="32">
        <v>46004</v>
      </c>
      <c r="C7158" t="s">
        <v>142</v>
      </c>
      <c r="D7158" s="13" t="s">
        <v>634</v>
      </c>
      <c r="E7158" t="s">
        <v>2098</v>
      </c>
      <c r="F7158" s="11">
        <v>2</v>
      </c>
      <c r="G7158" s="11">
        <v>75630.240000000005</v>
      </c>
    </row>
    <row r="7159" spans="2:7" x14ac:dyDescent="0.2">
      <c r="B7159" s="32">
        <v>46004</v>
      </c>
      <c r="C7159" t="s">
        <v>142</v>
      </c>
      <c r="D7159" s="13" t="s">
        <v>634</v>
      </c>
      <c r="E7159" t="s">
        <v>352</v>
      </c>
      <c r="F7159" s="11">
        <v>1</v>
      </c>
      <c r="G7159" s="11">
        <v>71428.570000000007</v>
      </c>
    </row>
    <row r="7160" spans="2:7" x14ac:dyDescent="0.2">
      <c r="B7160" s="32">
        <v>46004</v>
      </c>
      <c r="C7160" t="s">
        <v>142</v>
      </c>
      <c r="D7160" s="13" t="s">
        <v>634</v>
      </c>
      <c r="E7160" t="s">
        <v>608</v>
      </c>
      <c r="F7160" s="11">
        <v>1</v>
      </c>
      <c r="G7160" s="11">
        <v>58823.53</v>
      </c>
    </row>
    <row r="7161" spans="2:7" x14ac:dyDescent="0.2">
      <c r="B7161" s="32">
        <v>46004</v>
      </c>
      <c r="C7161" t="s">
        <v>142</v>
      </c>
      <c r="D7161" s="13" t="s">
        <v>634</v>
      </c>
      <c r="E7161" t="s">
        <v>230</v>
      </c>
      <c r="F7161" s="11">
        <v>1</v>
      </c>
      <c r="G7161" s="11">
        <v>58823.53</v>
      </c>
    </row>
    <row r="7162" spans="2:7" x14ac:dyDescent="0.2">
      <c r="B7162" s="32">
        <v>46004</v>
      </c>
      <c r="C7162" t="s">
        <v>142</v>
      </c>
      <c r="D7162" s="13" t="s">
        <v>634</v>
      </c>
      <c r="E7162" t="s">
        <v>178</v>
      </c>
      <c r="F7162" s="11">
        <v>1</v>
      </c>
      <c r="G7162" s="11">
        <v>54621.85</v>
      </c>
    </row>
    <row r="7163" spans="2:7" x14ac:dyDescent="0.2">
      <c r="B7163" s="32">
        <v>46004</v>
      </c>
      <c r="C7163" t="s">
        <v>142</v>
      </c>
      <c r="D7163" s="13" t="s">
        <v>634</v>
      </c>
      <c r="E7163" t="s">
        <v>277</v>
      </c>
      <c r="F7163" s="11">
        <v>1</v>
      </c>
      <c r="G7163" s="11">
        <v>46218.49</v>
      </c>
    </row>
    <row r="7164" spans="2:7" x14ac:dyDescent="0.2">
      <c r="B7164" s="32">
        <v>46004</v>
      </c>
      <c r="C7164" t="s">
        <v>142</v>
      </c>
      <c r="D7164" s="13" t="s">
        <v>633</v>
      </c>
      <c r="E7164" t="s">
        <v>189</v>
      </c>
      <c r="F7164" s="11">
        <v>3</v>
      </c>
      <c r="G7164" s="11">
        <v>214285.71</v>
      </c>
    </row>
    <row r="7165" spans="2:7" x14ac:dyDescent="0.2">
      <c r="B7165" s="32">
        <v>46004</v>
      </c>
      <c r="C7165" t="s">
        <v>142</v>
      </c>
      <c r="D7165" s="13" t="s">
        <v>633</v>
      </c>
      <c r="E7165" t="s">
        <v>169</v>
      </c>
      <c r="F7165" s="11">
        <v>2</v>
      </c>
      <c r="G7165" s="11">
        <v>201680.68</v>
      </c>
    </row>
    <row r="7166" spans="2:7" x14ac:dyDescent="0.2">
      <c r="B7166" s="32">
        <v>46004</v>
      </c>
      <c r="C7166" t="s">
        <v>142</v>
      </c>
      <c r="D7166" s="13" t="s">
        <v>633</v>
      </c>
      <c r="E7166" t="s">
        <v>563</v>
      </c>
      <c r="F7166" s="11">
        <v>2</v>
      </c>
      <c r="G7166" s="11">
        <v>159663.87</v>
      </c>
    </row>
    <row r="7167" spans="2:7" x14ac:dyDescent="0.2">
      <c r="B7167" s="32">
        <v>46004</v>
      </c>
      <c r="C7167" t="s">
        <v>142</v>
      </c>
      <c r="D7167" s="13" t="s">
        <v>633</v>
      </c>
      <c r="E7167" t="s">
        <v>2067</v>
      </c>
      <c r="F7167" s="11">
        <v>2</v>
      </c>
      <c r="G7167" s="11">
        <v>92436.98</v>
      </c>
    </row>
    <row r="7168" spans="2:7" x14ac:dyDescent="0.2">
      <c r="B7168" s="32">
        <v>46004</v>
      </c>
      <c r="C7168" t="s">
        <v>142</v>
      </c>
      <c r="D7168" s="13" t="s">
        <v>633</v>
      </c>
      <c r="E7168" t="s">
        <v>2071</v>
      </c>
      <c r="F7168" s="11">
        <v>2</v>
      </c>
      <c r="G7168" s="11">
        <v>92436.97</v>
      </c>
    </row>
    <row r="7169" spans="2:7" x14ac:dyDescent="0.2">
      <c r="B7169" s="32">
        <v>46004</v>
      </c>
      <c r="C7169" t="s">
        <v>142</v>
      </c>
      <c r="D7169" s="13" t="s">
        <v>633</v>
      </c>
      <c r="E7169" t="s">
        <v>2075</v>
      </c>
      <c r="F7169" s="11">
        <v>2</v>
      </c>
      <c r="G7169" s="11">
        <v>92436.97</v>
      </c>
    </row>
    <row r="7170" spans="2:7" x14ac:dyDescent="0.2">
      <c r="B7170" s="32">
        <v>46004</v>
      </c>
      <c r="C7170" t="s">
        <v>142</v>
      </c>
      <c r="D7170" s="13" t="s">
        <v>633</v>
      </c>
      <c r="E7170" t="s">
        <v>2047</v>
      </c>
      <c r="F7170" s="11">
        <v>1</v>
      </c>
      <c r="G7170" s="11">
        <v>84033.61</v>
      </c>
    </row>
    <row r="7171" spans="2:7" x14ac:dyDescent="0.2">
      <c r="B7171" s="32">
        <v>46004</v>
      </c>
      <c r="C7171" t="s">
        <v>142</v>
      </c>
      <c r="D7171" s="13" t="s">
        <v>633</v>
      </c>
      <c r="E7171" t="s">
        <v>192</v>
      </c>
      <c r="F7171" s="11">
        <v>1</v>
      </c>
      <c r="G7171" s="11">
        <v>71428.570000000007</v>
      </c>
    </row>
    <row r="7172" spans="2:7" x14ac:dyDescent="0.2">
      <c r="B7172" s="32">
        <v>46004</v>
      </c>
      <c r="C7172" t="s">
        <v>142</v>
      </c>
      <c r="D7172" s="13" t="s">
        <v>633</v>
      </c>
      <c r="E7172" t="s">
        <v>144</v>
      </c>
      <c r="F7172" s="11">
        <v>3</v>
      </c>
      <c r="G7172" s="11">
        <v>55462.18</v>
      </c>
    </row>
    <row r="7173" spans="2:7" x14ac:dyDescent="0.2">
      <c r="B7173" s="32">
        <v>46004</v>
      </c>
      <c r="C7173" t="s">
        <v>109</v>
      </c>
      <c r="D7173" s="13" t="s">
        <v>634</v>
      </c>
      <c r="E7173" t="s">
        <v>189</v>
      </c>
      <c r="F7173" s="11">
        <v>2</v>
      </c>
      <c r="G7173" s="11">
        <v>142857.14000000001</v>
      </c>
    </row>
    <row r="7174" spans="2:7" x14ac:dyDescent="0.2">
      <c r="B7174" s="32">
        <v>46004</v>
      </c>
      <c r="C7174" t="s">
        <v>109</v>
      </c>
      <c r="D7174" s="13" t="s">
        <v>634</v>
      </c>
      <c r="E7174" t="s">
        <v>2063</v>
      </c>
      <c r="F7174" s="11">
        <v>3</v>
      </c>
      <c r="G7174" s="11">
        <v>126050.42</v>
      </c>
    </row>
    <row r="7175" spans="2:7" x14ac:dyDescent="0.2">
      <c r="B7175" s="32">
        <v>46004</v>
      </c>
      <c r="C7175" t="s">
        <v>109</v>
      </c>
      <c r="D7175" s="13" t="s">
        <v>634</v>
      </c>
      <c r="E7175" t="s">
        <v>147</v>
      </c>
      <c r="F7175" s="11">
        <v>1</v>
      </c>
      <c r="G7175" s="11">
        <v>71428.570000000007</v>
      </c>
    </row>
    <row r="7176" spans="2:7" x14ac:dyDescent="0.2">
      <c r="B7176" s="32">
        <v>46004</v>
      </c>
      <c r="C7176" t="s">
        <v>109</v>
      </c>
      <c r="D7176" s="13" t="s">
        <v>634</v>
      </c>
      <c r="E7176" t="s">
        <v>144</v>
      </c>
      <c r="F7176" s="11">
        <v>3</v>
      </c>
      <c r="G7176" s="11">
        <v>52941.17</v>
      </c>
    </row>
    <row r="7177" spans="2:7" x14ac:dyDescent="0.2">
      <c r="B7177" s="32">
        <v>46004</v>
      </c>
      <c r="C7177" t="s">
        <v>109</v>
      </c>
      <c r="D7177" s="13" t="s">
        <v>634</v>
      </c>
      <c r="E7177" t="s">
        <v>256</v>
      </c>
      <c r="F7177" s="11">
        <v>1</v>
      </c>
      <c r="G7177" s="11">
        <v>46218.49</v>
      </c>
    </row>
    <row r="7178" spans="2:7" x14ac:dyDescent="0.2">
      <c r="B7178" s="32">
        <v>46004</v>
      </c>
      <c r="C7178" t="s">
        <v>109</v>
      </c>
      <c r="D7178" s="13" t="s">
        <v>634</v>
      </c>
      <c r="E7178" t="s">
        <v>240</v>
      </c>
      <c r="F7178" s="11">
        <v>1</v>
      </c>
      <c r="G7178" s="11">
        <v>42016.81</v>
      </c>
    </row>
    <row r="7179" spans="2:7" x14ac:dyDescent="0.2">
      <c r="B7179" s="32">
        <v>46004</v>
      </c>
      <c r="C7179" t="s">
        <v>109</v>
      </c>
      <c r="D7179" s="13" t="s">
        <v>633</v>
      </c>
      <c r="E7179" t="s">
        <v>154</v>
      </c>
      <c r="F7179" s="11">
        <v>6</v>
      </c>
      <c r="G7179" s="11">
        <v>605042.02</v>
      </c>
    </row>
    <row r="7180" spans="2:7" x14ac:dyDescent="0.2">
      <c r="B7180" s="32">
        <v>46004</v>
      </c>
      <c r="C7180" t="s">
        <v>109</v>
      </c>
      <c r="D7180" s="13" t="s">
        <v>633</v>
      </c>
      <c r="E7180" t="s">
        <v>357</v>
      </c>
      <c r="F7180" s="11">
        <v>5</v>
      </c>
      <c r="G7180" s="11">
        <v>357142.85</v>
      </c>
    </row>
    <row r="7181" spans="2:7" x14ac:dyDescent="0.2">
      <c r="B7181" s="32">
        <v>46004</v>
      </c>
      <c r="C7181" t="s">
        <v>109</v>
      </c>
      <c r="D7181" s="13" t="s">
        <v>633</v>
      </c>
      <c r="F7181" s="11">
        <v>3</v>
      </c>
      <c r="G7181" s="11">
        <v>351344.54</v>
      </c>
    </row>
    <row r="7182" spans="2:7" x14ac:dyDescent="0.2">
      <c r="B7182" s="32">
        <v>46004</v>
      </c>
      <c r="C7182" t="s">
        <v>109</v>
      </c>
      <c r="D7182" s="13" t="s">
        <v>633</v>
      </c>
      <c r="E7182" t="s">
        <v>1896</v>
      </c>
      <c r="F7182" s="11">
        <v>7</v>
      </c>
      <c r="G7182" s="11">
        <v>323529.40999999997</v>
      </c>
    </row>
    <row r="7183" spans="2:7" x14ac:dyDescent="0.2">
      <c r="B7183" s="32">
        <v>46004</v>
      </c>
      <c r="C7183" t="s">
        <v>109</v>
      </c>
      <c r="D7183" s="13" t="s">
        <v>633</v>
      </c>
      <c r="E7183" t="s">
        <v>352</v>
      </c>
      <c r="F7183" s="11">
        <v>2</v>
      </c>
      <c r="G7183" s="11">
        <v>142857.14000000001</v>
      </c>
    </row>
    <row r="7184" spans="2:7" x14ac:dyDescent="0.2">
      <c r="B7184" s="32">
        <v>46004</v>
      </c>
      <c r="C7184" t="s">
        <v>109</v>
      </c>
      <c r="D7184" s="13" t="s">
        <v>633</v>
      </c>
      <c r="E7184" t="s">
        <v>376</v>
      </c>
      <c r="F7184" s="11">
        <v>2</v>
      </c>
      <c r="G7184" s="11">
        <v>117647.06</v>
      </c>
    </row>
    <row r="7185" spans="2:7" x14ac:dyDescent="0.2">
      <c r="B7185" s="32">
        <v>46004</v>
      </c>
      <c r="C7185" t="s">
        <v>109</v>
      </c>
      <c r="D7185" s="13" t="s">
        <v>633</v>
      </c>
      <c r="E7185" t="s">
        <v>1908</v>
      </c>
      <c r="F7185" s="11">
        <v>2</v>
      </c>
      <c r="G7185" s="11">
        <v>92436.97</v>
      </c>
    </row>
    <row r="7186" spans="2:7" x14ac:dyDescent="0.2">
      <c r="B7186" s="32">
        <v>46004</v>
      </c>
      <c r="C7186" t="s">
        <v>109</v>
      </c>
      <c r="D7186" s="13" t="s">
        <v>633</v>
      </c>
      <c r="E7186" t="s">
        <v>423</v>
      </c>
      <c r="F7186" s="11">
        <v>1</v>
      </c>
      <c r="G7186" s="11">
        <v>84033.61</v>
      </c>
    </row>
    <row r="7187" spans="2:7" x14ac:dyDescent="0.2">
      <c r="B7187" s="32">
        <v>46004</v>
      </c>
      <c r="C7187" t="s">
        <v>109</v>
      </c>
      <c r="D7187" s="13" t="s">
        <v>633</v>
      </c>
      <c r="E7187" t="s">
        <v>152</v>
      </c>
      <c r="F7187" s="11">
        <v>1</v>
      </c>
      <c r="G7187" s="11">
        <v>75630.25</v>
      </c>
    </row>
    <row r="7188" spans="2:7" x14ac:dyDescent="0.2">
      <c r="B7188" s="32">
        <v>46004</v>
      </c>
      <c r="C7188" t="s">
        <v>109</v>
      </c>
      <c r="D7188" s="13" t="s">
        <v>633</v>
      </c>
      <c r="E7188" t="s">
        <v>2107</v>
      </c>
      <c r="F7188" s="11">
        <v>2</v>
      </c>
      <c r="G7188" s="11">
        <v>75630.25</v>
      </c>
    </row>
    <row r="7189" spans="2:7" x14ac:dyDescent="0.2">
      <c r="B7189" s="32">
        <v>46004</v>
      </c>
      <c r="C7189" t="s">
        <v>109</v>
      </c>
      <c r="D7189" s="13" t="s">
        <v>633</v>
      </c>
      <c r="E7189" t="s">
        <v>495</v>
      </c>
      <c r="F7189" s="11">
        <v>1</v>
      </c>
      <c r="G7189" s="11">
        <v>54621.85</v>
      </c>
    </row>
    <row r="7190" spans="2:7" x14ac:dyDescent="0.2">
      <c r="B7190" s="32">
        <v>46004</v>
      </c>
      <c r="C7190" t="s">
        <v>109</v>
      </c>
      <c r="D7190" s="13" t="s">
        <v>633</v>
      </c>
      <c r="E7190" t="s">
        <v>160</v>
      </c>
      <c r="F7190" s="11">
        <v>1</v>
      </c>
      <c r="G7190" s="11">
        <v>46218.49</v>
      </c>
    </row>
    <row r="7191" spans="2:7" x14ac:dyDescent="0.2">
      <c r="B7191" s="32">
        <v>46004</v>
      </c>
      <c r="C7191" t="s">
        <v>109</v>
      </c>
      <c r="D7191" s="13" t="s">
        <v>633</v>
      </c>
      <c r="E7191" t="s">
        <v>704</v>
      </c>
      <c r="F7191" s="11">
        <v>1</v>
      </c>
      <c r="G7191" s="11">
        <v>46218.49</v>
      </c>
    </row>
    <row r="7192" spans="2:7" x14ac:dyDescent="0.2">
      <c r="B7192" s="32">
        <v>46005</v>
      </c>
      <c r="C7192" t="s">
        <v>1726</v>
      </c>
      <c r="D7192" s="13"/>
      <c r="E7192" t="s">
        <v>153</v>
      </c>
      <c r="F7192" s="11">
        <v>2</v>
      </c>
      <c r="G7192" s="11">
        <v>92436.97</v>
      </c>
    </row>
    <row r="7193" spans="2:7" x14ac:dyDescent="0.2">
      <c r="B7193" s="32">
        <v>46005</v>
      </c>
      <c r="C7193" t="s">
        <v>1726</v>
      </c>
      <c r="D7193" s="13"/>
      <c r="E7193" t="s">
        <v>347</v>
      </c>
      <c r="F7193" s="11">
        <v>1</v>
      </c>
      <c r="G7193" s="11">
        <v>75630.25</v>
      </c>
    </row>
    <row r="7194" spans="2:7" x14ac:dyDescent="0.2">
      <c r="B7194" s="32">
        <v>46005</v>
      </c>
      <c r="C7194" t="s">
        <v>1726</v>
      </c>
      <c r="D7194" s="13"/>
      <c r="E7194" t="s">
        <v>2109</v>
      </c>
      <c r="F7194" s="11">
        <v>1</v>
      </c>
      <c r="G7194" s="11">
        <v>37815.129999999997</v>
      </c>
    </row>
    <row r="7195" spans="2:7" x14ac:dyDescent="0.2">
      <c r="B7195" s="32">
        <v>46005</v>
      </c>
      <c r="C7195" t="s">
        <v>1726</v>
      </c>
      <c r="D7195" s="13" t="s">
        <v>634</v>
      </c>
      <c r="F7195" s="11">
        <v>6</v>
      </c>
      <c r="G7195" s="11">
        <v>273949.56</v>
      </c>
    </row>
    <row r="7196" spans="2:7" x14ac:dyDescent="0.2">
      <c r="B7196" s="32">
        <v>46005</v>
      </c>
      <c r="C7196" t="s">
        <v>1726</v>
      </c>
      <c r="D7196" s="13" t="s">
        <v>634</v>
      </c>
      <c r="E7196" t="s">
        <v>420</v>
      </c>
      <c r="F7196" s="11">
        <v>2</v>
      </c>
      <c r="G7196" s="11">
        <v>201680.67</v>
      </c>
    </row>
    <row r="7197" spans="2:7" x14ac:dyDescent="0.2">
      <c r="B7197" s="32">
        <v>46005</v>
      </c>
      <c r="C7197" t="s">
        <v>1726</v>
      </c>
      <c r="D7197" s="13" t="s">
        <v>634</v>
      </c>
      <c r="E7197" t="s">
        <v>2113</v>
      </c>
      <c r="F7197" s="11">
        <v>5</v>
      </c>
      <c r="G7197" s="11">
        <v>189075.65</v>
      </c>
    </row>
    <row r="7198" spans="2:7" x14ac:dyDescent="0.2">
      <c r="B7198" s="32">
        <v>46005</v>
      </c>
      <c r="C7198" t="s">
        <v>1726</v>
      </c>
      <c r="D7198" s="13" t="s">
        <v>634</v>
      </c>
      <c r="E7198" t="s">
        <v>352</v>
      </c>
      <c r="F7198" s="11">
        <v>2</v>
      </c>
      <c r="G7198" s="11">
        <v>142857.14000000001</v>
      </c>
    </row>
    <row r="7199" spans="2:7" x14ac:dyDescent="0.2">
      <c r="B7199" s="32">
        <v>46005</v>
      </c>
      <c r="C7199" t="s">
        <v>1726</v>
      </c>
      <c r="D7199" s="13" t="s">
        <v>634</v>
      </c>
      <c r="E7199" t="s">
        <v>2145</v>
      </c>
      <c r="F7199" s="11">
        <v>2</v>
      </c>
      <c r="G7199" s="11">
        <v>117647.06</v>
      </c>
    </row>
    <row r="7200" spans="2:7" x14ac:dyDescent="0.2">
      <c r="B7200" s="32">
        <v>46005</v>
      </c>
      <c r="C7200" t="s">
        <v>1726</v>
      </c>
      <c r="D7200" s="13" t="s">
        <v>634</v>
      </c>
      <c r="E7200" t="s">
        <v>158</v>
      </c>
      <c r="F7200" s="11">
        <v>2</v>
      </c>
      <c r="G7200" s="11">
        <v>92436.98</v>
      </c>
    </row>
    <row r="7201" spans="2:7" x14ac:dyDescent="0.2">
      <c r="B7201" s="32">
        <v>46005</v>
      </c>
      <c r="C7201" t="s">
        <v>1726</v>
      </c>
      <c r="D7201" s="13" t="s">
        <v>634</v>
      </c>
      <c r="E7201" t="s">
        <v>2063</v>
      </c>
      <c r="F7201" s="11">
        <v>2</v>
      </c>
      <c r="G7201" s="11">
        <v>84033.62</v>
      </c>
    </row>
    <row r="7202" spans="2:7" x14ac:dyDescent="0.2">
      <c r="B7202" s="32">
        <v>46005</v>
      </c>
      <c r="C7202" t="s">
        <v>1726</v>
      </c>
      <c r="D7202" s="13" t="s">
        <v>634</v>
      </c>
      <c r="E7202" t="s">
        <v>489</v>
      </c>
      <c r="F7202" s="11">
        <v>1</v>
      </c>
      <c r="G7202" s="11">
        <v>84033.61</v>
      </c>
    </row>
    <row r="7203" spans="2:7" x14ac:dyDescent="0.2">
      <c r="B7203" s="32">
        <v>46005</v>
      </c>
      <c r="C7203" t="s">
        <v>1726</v>
      </c>
      <c r="D7203" s="13" t="s">
        <v>634</v>
      </c>
      <c r="E7203" t="s">
        <v>468</v>
      </c>
      <c r="F7203" s="11">
        <v>2</v>
      </c>
      <c r="G7203" s="11">
        <v>75630.25</v>
      </c>
    </row>
    <row r="7204" spans="2:7" x14ac:dyDescent="0.2">
      <c r="B7204" s="32">
        <v>46005</v>
      </c>
      <c r="C7204" t="s">
        <v>1726</v>
      </c>
      <c r="D7204" s="13" t="s">
        <v>634</v>
      </c>
      <c r="E7204" t="s">
        <v>534</v>
      </c>
      <c r="F7204" s="11">
        <v>1</v>
      </c>
      <c r="G7204" s="11">
        <v>71428.570000000007</v>
      </c>
    </row>
    <row r="7205" spans="2:7" x14ac:dyDescent="0.2">
      <c r="B7205" s="32">
        <v>46005</v>
      </c>
      <c r="C7205" t="s">
        <v>1726</v>
      </c>
      <c r="D7205" s="13" t="s">
        <v>634</v>
      </c>
      <c r="E7205" t="s">
        <v>144</v>
      </c>
      <c r="F7205" s="11">
        <v>7</v>
      </c>
      <c r="G7205" s="11">
        <v>70588.23</v>
      </c>
    </row>
    <row r="7206" spans="2:7" x14ac:dyDescent="0.2">
      <c r="B7206" s="32">
        <v>46005</v>
      </c>
      <c r="C7206" t="s">
        <v>1726</v>
      </c>
      <c r="D7206" s="13" t="s">
        <v>634</v>
      </c>
      <c r="E7206" t="s">
        <v>348</v>
      </c>
      <c r="F7206" s="11">
        <v>1</v>
      </c>
      <c r="G7206" s="11">
        <v>54621.85</v>
      </c>
    </row>
    <row r="7207" spans="2:7" x14ac:dyDescent="0.2">
      <c r="B7207" s="32">
        <v>46005</v>
      </c>
      <c r="C7207" t="s">
        <v>1726</v>
      </c>
      <c r="D7207" s="13" t="s">
        <v>634</v>
      </c>
      <c r="E7207" t="s">
        <v>2120</v>
      </c>
      <c r="F7207" s="11">
        <v>1</v>
      </c>
      <c r="G7207" s="11">
        <v>46218.49</v>
      </c>
    </row>
    <row r="7208" spans="2:7" x14ac:dyDescent="0.2">
      <c r="B7208" s="32">
        <v>46005</v>
      </c>
      <c r="C7208" t="s">
        <v>1726</v>
      </c>
      <c r="D7208" s="13" t="s">
        <v>634</v>
      </c>
      <c r="E7208" t="s">
        <v>195</v>
      </c>
      <c r="F7208" s="11">
        <v>1</v>
      </c>
      <c r="G7208" s="11">
        <v>46218.49</v>
      </c>
    </row>
    <row r="7209" spans="2:7" x14ac:dyDescent="0.2">
      <c r="B7209" s="32">
        <v>46005</v>
      </c>
      <c r="C7209" t="s">
        <v>1726</v>
      </c>
      <c r="D7209" s="13" t="s">
        <v>634</v>
      </c>
      <c r="E7209" t="s">
        <v>2010</v>
      </c>
      <c r="F7209" s="11">
        <v>1</v>
      </c>
      <c r="G7209" s="11">
        <v>37815.129999999997</v>
      </c>
    </row>
    <row r="7210" spans="2:7" x14ac:dyDescent="0.2">
      <c r="B7210" s="32">
        <v>46005</v>
      </c>
      <c r="C7210" t="s">
        <v>1726</v>
      </c>
      <c r="D7210" s="13" t="s">
        <v>633</v>
      </c>
      <c r="E7210" t="s">
        <v>403</v>
      </c>
      <c r="F7210" s="11">
        <v>3</v>
      </c>
      <c r="G7210" s="11">
        <v>226890.75</v>
      </c>
    </row>
    <row r="7211" spans="2:7" x14ac:dyDescent="0.2">
      <c r="B7211" s="32">
        <v>46005</v>
      </c>
      <c r="C7211" t="s">
        <v>1726</v>
      </c>
      <c r="D7211" s="13" t="s">
        <v>633</v>
      </c>
      <c r="E7211" t="s">
        <v>558</v>
      </c>
      <c r="F7211" s="11">
        <v>3</v>
      </c>
      <c r="G7211" s="11">
        <v>226890.75</v>
      </c>
    </row>
    <row r="7212" spans="2:7" x14ac:dyDescent="0.2">
      <c r="B7212" s="32">
        <v>46005</v>
      </c>
      <c r="C7212" t="s">
        <v>1726</v>
      </c>
      <c r="D7212" s="13" t="s">
        <v>633</v>
      </c>
      <c r="E7212" t="s">
        <v>368</v>
      </c>
      <c r="F7212" s="11">
        <v>2</v>
      </c>
      <c r="G7212" s="11">
        <v>151260.51</v>
      </c>
    </row>
    <row r="7213" spans="2:7" x14ac:dyDescent="0.2">
      <c r="B7213" s="32">
        <v>46005</v>
      </c>
      <c r="C7213" t="s">
        <v>1726</v>
      </c>
      <c r="D7213" s="13" t="s">
        <v>633</v>
      </c>
      <c r="E7213" t="s">
        <v>189</v>
      </c>
      <c r="F7213" s="11">
        <v>2</v>
      </c>
      <c r="G7213" s="11">
        <v>142857.15</v>
      </c>
    </row>
    <row r="7214" spans="2:7" x14ac:dyDescent="0.2">
      <c r="B7214" s="32">
        <v>46005</v>
      </c>
      <c r="C7214" t="s">
        <v>1726</v>
      </c>
      <c r="D7214" s="13" t="s">
        <v>633</v>
      </c>
      <c r="E7214" t="s">
        <v>150</v>
      </c>
      <c r="F7214" s="11">
        <v>3</v>
      </c>
      <c r="G7214" s="11">
        <v>138655.45000000001</v>
      </c>
    </row>
    <row r="7215" spans="2:7" x14ac:dyDescent="0.2">
      <c r="B7215" s="32">
        <v>46005</v>
      </c>
      <c r="C7215" t="s">
        <v>1726</v>
      </c>
      <c r="D7215" s="13" t="s">
        <v>633</v>
      </c>
      <c r="E7215" t="s">
        <v>2113</v>
      </c>
      <c r="F7215" s="11">
        <v>3</v>
      </c>
      <c r="G7215" s="11">
        <v>113445.38</v>
      </c>
    </row>
    <row r="7216" spans="2:7" x14ac:dyDescent="0.2">
      <c r="B7216" s="32">
        <v>46005</v>
      </c>
      <c r="C7216" t="s">
        <v>1726</v>
      </c>
      <c r="D7216" s="13" t="s">
        <v>633</v>
      </c>
      <c r="E7216" t="s">
        <v>260</v>
      </c>
      <c r="F7216" s="11">
        <v>2</v>
      </c>
      <c r="G7216" s="11">
        <v>92436.97</v>
      </c>
    </row>
    <row r="7217" spans="2:7" x14ac:dyDescent="0.2">
      <c r="B7217" s="32">
        <v>46005</v>
      </c>
      <c r="C7217" t="s">
        <v>1726</v>
      </c>
      <c r="D7217" s="13" t="s">
        <v>633</v>
      </c>
      <c r="E7217" t="s">
        <v>2063</v>
      </c>
      <c r="F7217" s="11">
        <v>2</v>
      </c>
      <c r="G7217" s="11">
        <v>84033.62</v>
      </c>
    </row>
    <row r="7218" spans="2:7" x14ac:dyDescent="0.2">
      <c r="B7218" s="32">
        <v>46005</v>
      </c>
      <c r="C7218" t="s">
        <v>1726</v>
      </c>
      <c r="D7218" s="13" t="s">
        <v>633</v>
      </c>
      <c r="E7218" t="s">
        <v>199</v>
      </c>
      <c r="F7218" s="11">
        <v>1</v>
      </c>
      <c r="G7218" s="11">
        <v>75630.25</v>
      </c>
    </row>
    <row r="7219" spans="2:7" x14ac:dyDescent="0.2">
      <c r="B7219" s="32">
        <v>46005</v>
      </c>
      <c r="C7219" t="s">
        <v>1726</v>
      </c>
      <c r="D7219" s="13" t="s">
        <v>633</v>
      </c>
      <c r="E7219" t="s">
        <v>2146</v>
      </c>
      <c r="F7219" s="11">
        <v>2</v>
      </c>
      <c r="G7219" s="11">
        <v>75630.25</v>
      </c>
    </row>
    <row r="7220" spans="2:7" x14ac:dyDescent="0.2">
      <c r="B7220" s="32">
        <v>46005</v>
      </c>
      <c r="C7220" t="s">
        <v>1726</v>
      </c>
      <c r="D7220" s="13" t="s">
        <v>633</v>
      </c>
      <c r="E7220" t="s">
        <v>362</v>
      </c>
      <c r="F7220" s="11">
        <v>1</v>
      </c>
      <c r="G7220" s="11">
        <v>54621.85</v>
      </c>
    </row>
    <row r="7221" spans="2:7" x14ac:dyDescent="0.2">
      <c r="B7221" s="32">
        <v>46005</v>
      </c>
      <c r="C7221" t="s">
        <v>1726</v>
      </c>
      <c r="D7221" s="13" t="s">
        <v>633</v>
      </c>
      <c r="E7221" t="s">
        <v>307</v>
      </c>
      <c r="F7221" s="11">
        <v>1</v>
      </c>
      <c r="G7221" s="11">
        <v>50420.17</v>
      </c>
    </row>
    <row r="7222" spans="2:7" x14ac:dyDescent="0.2">
      <c r="B7222" s="32">
        <v>46005</v>
      </c>
      <c r="C7222" t="s">
        <v>1726</v>
      </c>
      <c r="D7222" s="13" t="s">
        <v>633</v>
      </c>
      <c r="E7222" t="s">
        <v>614</v>
      </c>
      <c r="F7222" s="11">
        <v>1</v>
      </c>
      <c r="G7222" s="11">
        <v>50420.17</v>
      </c>
    </row>
    <row r="7223" spans="2:7" x14ac:dyDescent="0.2">
      <c r="B7223" s="32">
        <v>46005</v>
      </c>
      <c r="C7223" t="s">
        <v>1726</v>
      </c>
      <c r="D7223" s="13" t="s">
        <v>633</v>
      </c>
      <c r="E7223" t="s">
        <v>426</v>
      </c>
      <c r="F7223" s="11">
        <v>1</v>
      </c>
      <c r="G7223" s="11">
        <v>50420.17</v>
      </c>
    </row>
    <row r="7224" spans="2:7" x14ac:dyDescent="0.2">
      <c r="B7224" s="32">
        <v>46005</v>
      </c>
      <c r="C7224" t="s">
        <v>1726</v>
      </c>
      <c r="D7224" s="13" t="s">
        <v>633</v>
      </c>
      <c r="E7224" t="s">
        <v>587</v>
      </c>
      <c r="F7224" s="11">
        <v>1</v>
      </c>
      <c r="G7224" s="11">
        <v>50420.160000000003</v>
      </c>
    </row>
    <row r="7225" spans="2:7" x14ac:dyDescent="0.2">
      <c r="B7225" s="32">
        <v>46005</v>
      </c>
      <c r="C7225" t="s">
        <v>1726</v>
      </c>
      <c r="D7225" s="13" t="s">
        <v>633</v>
      </c>
      <c r="E7225" t="s">
        <v>2119</v>
      </c>
      <c r="F7225" s="11">
        <v>1</v>
      </c>
      <c r="G7225" s="11">
        <v>46218.49</v>
      </c>
    </row>
    <row r="7226" spans="2:7" x14ac:dyDescent="0.2">
      <c r="B7226" s="32">
        <v>46005</v>
      </c>
      <c r="C7226" t="s">
        <v>1726</v>
      </c>
      <c r="D7226" s="13" t="s">
        <v>633</v>
      </c>
      <c r="E7226" t="s">
        <v>202</v>
      </c>
      <c r="F7226" s="11">
        <v>1</v>
      </c>
      <c r="G7226" s="11">
        <v>46218.49</v>
      </c>
    </row>
    <row r="7227" spans="2:7" x14ac:dyDescent="0.2">
      <c r="B7227" s="32">
        <v>46005</v>
      </c>
      <c r="C7227" t="s">
        <v>1726</v>
      </c>
      <c r="D7227" s="13" t="s">
        <v>633</v>
      </c>
      <c r="E7227" t="s">
        <v>2102</v>
      </c>
      <c r="F7227" s="11">
        <v>1</v>
      </c>
      <c r="G7227" s="11">
        <v>37815.129999999997</v>
      </c>
    </row>
    <row r="7228" spans="2:7" x14ac:dyDescent="0.2">
      <c r="B7228" s="32">
        <v>46005</v>
      </c>
      <c r="C7228" t="s">
        <v>1726</v>
      </c>
      <c r="D7228" s="13" t="s">
        <v>633</v>
      </c>
      <c r="E7228" t="s">
        <v>144</v>
      </c>
      <c r="F7228" s="11">
        <v>5</v>
      </c>
      <c r="G7228" s="11">
        <v>23109.24</v>
      </c>
    </row>
    <row r="7229" spans="2:7" x14ac:dyDescent="0.2">
      <c r="B7229" s="32">
        <v>46005</v>
      </c>
      <c r="C7229" t="s">
        <v>142</v>
      </c>
      <c r="D7229" s="13"/>
      <c r="E7229" t="s">
        <v>2113</v>
      </c>
      <c r="F7229" s="11">
        <v>1</v>
      </c>
      <c r="G7229" s="11">
        <v>37815.129999999997</v>
      </c>
    </row>
    <row r="7230" spans="2:7" x14ac:dyDescent="0.2">
      <c r="B7230" s="32">
        <v>46005</v>
      </c>
      <c r="C7230" t="s">
        <v>142</v>
      </c>
      <c r="D7230" s="13" t="s">
        <v>634</v>
      </c>
      <c r="E7230" t="s">
        <v>148</v>
      </c>
      <c r="F7230" s="11">
        <v>5</v>
      </c>
      <c r="G7230" s="11">
        <v>189075.63</v>
      </c>
    </row>
    <row r="7231" spans="2:7" x14ac:dyDescent="0.2">
      <c r="B7231" s="32">
        <v>46005</v>
      </c>
      <c r="C7231" t="s">
        <v>142</v>
      </c>
      <c r="D7231" s="13" t="s">
        <v>634</v>
      </c>
      <c r="E7231" t="s">
        <v>158</v>
      </c>
      <c r="F7231" s="11">
        <v>3</v>
      </c>
      <c r="G7231" s="11">
        <v>138655.46</v>
      </c>
    </row>
    <row r="7232" spans="2:7" x14ac:dyDescent="0.2">
      <c r="B7232" s="32">
        <v>46005</v>
      </c>
      <c r="C7232" t="s">
        <v>142</v>
      </c>
      <c r="D7232" s="13" t="s">
        <v>634</v>
      </c>
      <c r="E7232" t="s">
        <v>225</v>
      </c>
      <c r="F7232" s="11">
        <v>3</v>
      </c>
      <c r="G7232" s="11">
        <v>138655.46</v>
      </c>
    </row>
    <row r="7233" spans="2:7" x14ac:dyDescent="0.2">
      <c r="B7233" s="32">
        <v>46005</v>
      </c>
      <c r="C7233" t="s">
        <v>142</v>
      </c>
      <c r="D7233" s="13" t="s">
        <v>634</v>
      </c>
      <c r="E7233" t="s">
        <v>377</v>
      </c>
      <c r="F7233" s="11">
        <v>2</v>
      </c>
      <c r="G7233" s="11">
        <v>117647.06</v>
      </c>
    </row>
    <row r="7234" spans="2:7" x14ac:dyDescent="0.2">
      <c r="B7234" s="32">
        <v>46005</v>
      </c>
      <c r="C7234" t="s">
        <v>142</v>
      </c>
      <c r="D7234" s="13" t="s">
        <v>634</v>
      </c>
      <c r="E7234" t="s">
        <v>2147</v>
      </c>
      <c r="F7234" s="11">
        <v>1</v>
      </c>
      <c r="G7234" s="11">
        <v>100840.34</v>
      </c>
    </row>
    <row r="7235" spans="2:7" x14ac:dyDescent="0.2">
      <c r="B7235" s="32">
        <v>46005</v>
      </c>
      <c r="C7235" t="s">
        <v>142</v>
      </c>
      <c r="D7235" s="13" t="s">
        <v>634</v>
      </c>
      <c r="E7235" t="s">
        <v>195</v>
      </c>
      <c r="F7235" s="11">
        <v>2</v>
      </c>
      <c r="G7235" s="11">
        <v>92436.98</v>
      </c>
    </row>
    <row r="7236" spans="2:7" x14ac:dyDescent="0.2">
      <c r="B7236" s="32">
        <v>46005</v>
      </c>
      <c r="C7236" t="s">
        <v>142</v>
      </c>
      <c r="D7236" s="13" t="s">
        <v>634</v>
      </c>
      <c r="E7236" t="s">
        <v>2085</v>
      </c>
      <c r="F7236" s="11">
        <v>2</v>
      </c>
      <c r="G7236" s="11">
        <v>92436.97</v>
      </c>
    </row>
    <row r="7237" spans="2:7" x14ac:dyDescent="0.2">
      <c r="B7237" s="32">
        <v>46005</v>
      </c>
      <c r="C7237" t="s">
        <v>142</v>
      </c>
      <c r="D7237" s="13" t="s">
        <v>634</v>
      </c>
      <c r="E7237" t="s">
        <v>2143</v>
      </c>
      <c r="F7237" s="11">
        <v>2</v>
      </c>
      <c r="G7237" s="11">
        <v>92436.97</v>
      </c>
    </row>
    <row r="7238" spans="2:7" x14ac:dyDescent="0.2">
      <c r="B7238" s="32">
        <v>46005</v>
      </c>
      <c r="C7238" t="s">
        <v>142</v>
      </c>
      <c r="D7238" s="13" t="s">
        <v>634</v>
      </c>
      <c r="E7238" t="s">
        <v>500</v>
      </c>
      <c r="F7238" s="11">
        <v>1</v>
      </c>
      <c r="G7238" s="11">
        <v>84033.61</v>
      </c>
    </row>
    <row r="7239" spans="2:7" x14ac:dyDescent="0.2">
      <c r="B7239" s="32">
        <v>46005</v>
      </c>
      <c r="C7239" t="s">
        <v>142</v>
      </c>
      <c r="D7239" s="13" t="s">
        <v>634</v>
      </c>
      <c r="E7239" t="s">
        <v>1818</v>
      </c>
      <c r="F7239" s="11">
        <v>2</v>
      </c>
      <c r="G7239" s="11">
        <v>75630.25</v>
      </c>
    </row>
    <row r="7240" spans="2:7" x14ac:dyDescent="0.2">
      <c r="B7240" s="32">
        <v>46005</v>
      </c>
      <c r="C7240" t="s">
        <v>142</v>
      </c>
      <c r="D7240" s="13" t="s">
        <v>634</v>
      </c>
      <c r="E7240" t="s">
        <v>537</v>
      </c>
      <c r="F7240" s="11">
        <v>1</v>
      </c>
      <c r="G7240" s="11">
        <v>58823.53</v>
      </c>
    </row>
    <row r="7241" spans="2:7" x14ac:dyDescent="0.2">
      <c r="B7241" s="32">
        <v>46005</v>
      </c>
      <c r="C7241" t="s">
        <v>142</v>
      </c>
      <c r="D7241" s="13" t="s">
        <v>634</v>
      </c>
      <c r="E7241" t="s">
        <v>1796</v>
      </c>
      <c r="F7241" s="11">
        <v>2</v>
      </c>
      <c r="G7241" s="11">
        <v>42016.800000000003</v>
      </c>
    </row>
    <row r="7242" spans="2:7" x14ac:dyDescent="0.2">
      <c r="B7242" s="32">
        <v>46005</v>
      </c>
      <c r="C7242" t="s">
        <v>142</v>
      </c>
      <c r="D7242" s="13" t="s">
        <v>634</v>
      </c>
      <c r="F7242" s="11">
        <v>3</v>
      </c>
      <c r="G7242" s="11">
        <v>-2941.17</v>
      </c>
    </row>
    <row r="7243" spans="2:7" x14ac:dyDescent="0.2">
      <c r="B7243" s="32">
        <v>46005</v>
      </c>
      <c r="C7243" t="s">
        <v>142</v>
      </c>
      <c r="D7243" s="13" t="s">
        <v>633</v>
      </c>
      <c r="E7243" t="s">
        <v>1796</v>
      </c>
      <c r="F7243" s="11">
        <v>7</v>
      </c>
      <c r="G7243" s="11">
        <v>147058.82999999999</v>
      </c>
    </row>
    <row r="7244" spans="2:7" x14ac:dyDescent="0.2">
      <c r="B7244" s="32">
        <v>46005</v>
      </c>
      <c r="C7244" t="s">
        <v>142</v>
      </c>
      <c r="D7244" s="13" t="s">
        <v>633</v>
      </c>
      <c r="E7244" t="s">
        <v>652</v>
      </c>
      <c r="F7244" s="11">
        <v>1</v>
      </c>
      <c r="G7244" s="11">
        <v>142857.14000000001</v>
      </c>
    </row>
    <row r="7245" spans="2:7" x14ac:dyDescent="0.2">
      <c r="B7245" s="32">
        <v>46005</v>
      </c>
      <c r="C7245" t="s">
        <v>142</v>
      </c>
      <c r="D7245" s="13" t="s">
        <v>633</v>
      </c>
      <c r="E7245" t="s">
        <v>320</v>
      </c>
      <c r="F7245" s="11">
        <v>2</v>
      </c>
      <c r="G7245" s="11">
        <v>117647.06</v>
      </c>
    </row>
    <row r="7246" spans="2:7" x14ac:dyDescent="0.2">
      <c r="B7246" s="32">
        <v>46005</v>
      </c>
      <c r="C7246" t="s">
        <v>142</v>
      </c>
      <c r="D7246" s="13" t="s">
        <v>633</v>
      </c>
      <c r="E7246" t="s">
        <v>287</v>
      </c>
      <c r="F7246" s="11">
        <v>2</v>
      </c>
      <c r="G7246" s="11">
        <v>117647.06</v>
      </c>
    </row>
    <row r="7247" spans="2:7" x14ac:dyDescent="0.2">
      <c r="B7247" s="32">
        <v>46005</v>
      </c>
      <c r="C7247" t="s">
        <v>142</v>
      </c>
      <c r="D7247" s="13" t="s">
        <v>633</v>
      </c>
      <c r="E7247" t="s">
        <v>179</v>
      </c>
      <c r="F7247" s="11">
        <v>2</v>
      </c>
      <c r="G7247" s="11">
        <v>92436.97</v>
      </c>
    </row>
    <row r="7248" spans="2:7" x14ac:dyDescent="0.2">
      <c r="B7248" s="32">
        <v>46005</v>
      </c>
      <c r="C7248" t="s">
        <v>142</v>
      </c>
      <c r="D7248" s="13" t="s">
        <v>633</v>
      </c>
      <c r="E7248" t="s">
        <v>2113</v>
      </c>
      <c r="F7248" s="11">
        <v>2</v>
      </c>
      <c r="G7248" s="11">
        <v>75630.25</v>
      </c>
    </row>
    <row r="7249" spans="2:7" x14ac:dyDescent="0.2">
      <c r="B7249" s="32">
        <v>46005</v>
      </c>
      <c r="C7249" t="s">
        <v>142</v>
      </c>
      <c r="D7249" s="13" t="s">
        <v>633</v>
      </c>
      <c r="E7249" t="s">
        <v>327</v>
      </c>
      <c r="F7249" s="11">
        <v>2</v>
      </c>
      <c r="G7249" s="11">
        <v>70000</v>
      </c>
    </row>
    <row r="7250" spans="2:7" x14ac:dyDescent="0.2">
      <c r="B7250" s="32">
        <v>46005</v>
      </c>
      <c r="C7250" t="s">
        <v>142</v>
      </c>
      <c r="D7250" s="13" t="s">
        <v>633</v>
      </c>
      <c r="E7250" t="s">
        <v>537</v>
      </c>
      <c r="F7250" s="11">
        <v>1</v>
      </c>
      <c r="G7250" s="11">
        <v>58823.53</v>
      </c>
    </row>
    <row r="7251" spans="2:7" x14ac:dyDescent="0.2">
      <c r="B7251" s="32">
        <v>46005</v>
      </c>
      <c r="C7251" t="s">
        <v>142</v>
      </c>
      <c r="D7251" s="13" t="s">
        <v>633</v>
      </c>
      <c r="E7251" t="s">
        <v>559</v>
      </c>
      <c r="F7251" s="11">
        <v>1</v>
      </c>
      <c r="G7251" s="11">
        <v>58823.53</v>
      </c>
    </row>
    <row r="7252" spans="2:7" x14ac:dyDescent="0.2">
      <c r="B7252" s="32">
        <v>46005</v>
      </c>
      <c r="C7252" t="s">
        <v>109</v>
      </c>
      <c r="D7252" s="13" t="s">
        <v>634</v>
      </c>
      <c r="F7252" s="11">
        <v>5</v>
      </c>
      <c r="G7252" s="11">
        <v>398319.32</v>
      </c>
    </row>
    <row r="7253" spans="2:7" x14ac:dyDescent="0.2">
      <c r="B7253" s="32">
        <v>46005</v>
      </c>
      <c r="C7253" t="s">
        <v>109</v>
      </c>
      <c r="D7253" s="13" t="s">
        <v>634</v>
      </c>
      <c r="E7253" t="s">
        <v>493</v>
      </c>
      <c r="F7253" s="11">
        <v>2</v>
      </c>
      <c r="G7253" s="11">
        <v>109243.7</v>
      </c>
    </row>
    <row r="7254" spans="2:7" x14ac:dyDescent="0.2">
      <c r="B7254" s="32">
        <v>46005</v>
      </c>
      <c r="C7254" t="s">
        <v>109</v>
      </c>
      <c r="D7254" s="13" t="s">
        <v>634</v>
      </c>
      <c r="E7254" t="s">
        <v>176</v>
      </c>
      <c r="F7254" s="11">
        <v>1</v>
      </c>
      <c r="G7254" s="11">
        <v>84033.61</v>
      </c>
    </row>
    <row r="7255" spans="2:7" x14ac:dyDescent="0.2">
      <c r="B7255" s="32">
        <v>46005</v>
      </c>
      <c r="C7255" t="s">
        <v>109</v>
      </c>
      <c r="D7255" s="13" t="s">
        <v>634</v>
      </c>
      <c r="E7255" t="s">
        <v>2113</v>
      </c>
      <c r="F7255" s="11">
        <v>2</v>
      </c>
      <c r="G7255" s="11">
        <v>75630.259999999995</v>
      </c>
    </row>
    <row r="7256" spans="2:7" x14ac:dyDescent="0.2">
      <c r="B7256" s="32">
        <v>46005</v>
      </c>
      <c r="C7256" t="s">
        <v>109</v>
      </c>
      <c r="D7256" s="13" t="s">
        <v>634</v>
      </c>
      <c r="E7256" t="s">
        <v>357</v>
      </c>
      <c r="F7256" s="11">
        <v>1</v>
      </c>
      <c r="G7256" s="11">
        <v>71428.570000000007</v>
      </c>
    </row>
    <row r="7257" spans="2:7" x14ac:dyDescent="0.2">
      <c r="B7257" s="32">
        <v>46005</v>
      </c>
      <c r="C7257" t="s">
        <v>109</v>
      </c>
      <c r="D7257" s="13" t="s">
        <v>634</v>
      </c>
      <c r="E7257" t="s">
        <v>513</v>
      </c>
      <c r="F7257" s="11">
        <v>1</v>
      </c>
      <c r="G7257" s="11">
        <v>50420.17</v>
      </c>
    </row>
    <row r="7258" spans="2:7" x14ac:dyDescent="0.2">
      <c r="B7258" s="32">
        <v>46005</v>
      </c>
      <c r="C7258" t="s">
        <v>109</v>
      </c>
      <c r="D7258" s="13" t="s">
        <v>634</v>
      </c>
      <c r="E7258" t="s">
        <v>144</v>
      </c>
      <c r="F7258" s="11">
        <v>2</v>
      </c>
      <c r="G7258" s="11">
        <v>43277.31</v>
      </c>
    </row>
    <row r="7259" spans="2:7" x14ac:dyDescent="0.2">
      <c r="B7259" s="32">
        <v>46005</v>
      </c>
      <c r="C7259" t="s">
        <v>109</v>
      </c>
      <c r="D7259" s="13" t="s">
        <v>633</v>
      </c>
      <c r="E7259" t="s">
        <v>174</v>
      </c>
      <c r="F7259" s="11">
        <v>2</v>
      </c>
      <c r="G7259" s="11">
        <v>151260.5</v>
      </c>
    </row>
    <row r="7260" spans="2:7" x14ac:dyDescent="0.2">
      <c r="B7260" s="32">
        <v>46005</v>
      </c>
      <c r="C7260" t="s">
        <v>109</v>
      </c>
      <c r="D7260" s="13" t="s">
        <v>633</v>
      </c>
      <c r="E7260" t="s">
        <v>336</v>
      </c>
      <c r="F7260" s="11">
        <v>2</v>
      </c>
      <c r="G7260" s="11">
        <v>142857.14000000001</v>
      </c>
    </row>
    <row r="7261" spans="2:7" x14ac:dyDescent="0.2">
      <c r="B7261" s="32">
        <v>46005</v>
      </c>
      <c r="C7261" t="s">
        <v>109</v>
      </c>
      <c r="D7261" s="13" t="s">
        <v>633</v>
      </c>
      <c r="E7261" t="s">
        <v>2014</v>
      </c>
      <c r="F7261" s="11">
        <v>2</v>
      </c>
      <c r="G7261" s="11">
        <v>142857.14000000001</v>
      </c>
    </row>
    <row r="7262" spans="2:7" x14ac:dyDescent="0.2">
      <c r="B7262" s="32">
        <v>46005</v>
      </c>
      <c r="C7262" t="s">
        <v>109</v>
      </c>
      <c r="D7262" s="13" t="s">
        <v>633</v>
      </c>
      <c r="E7262" t="s">
        <v>205</v>
      </c>
      <c r="F7262" s="11">
        <v>2</v>
      </c>
      <c r="G7262" s="11">
        <v>117647.06</v>
      </c>
    </row>
    <row r="7263" spans="2:7" x14ac:dyDescent="0.2">
      <c r="B7263" s="32">
        <v>46005</v>
      </c>
      <c r="C7263" t="s">
        <v>109</v>
      </c>
      <c r="D7263" s="13" t="s">
        <v>633</v>
      </c>
      <c r="E7263" t="s">
        <v>233</v>
      </c>
      <c r="F7263" s="11">
        <v>2</v>
      </c>
      <c r="G7263" s="11">
        <v>117647.06</v>
      </c>
    </row>
    <row r="7264" spans="2:7" x14ac:dyDescent="0.2">
      <c r="B7264" s="32">
        <v>46005</v>
      </c>
      <c r="C7264" t="s">
        <v>109</v>
      </c>
      <c r="D7264" s="13" t="s">
        <v>633</v>
      </c>
      <c r="E7264" t="s">
        <v>196</v>
      </c>
      <c r="F7264" s="11">
        <v>2</v>
      </c>
      <c r="G7264" s="11">
        <v>92436.98</v>
      </c>
    </row>
    <row r="7265" spans="2:7" x14ac:dyDescent="0.2">
      <c r="B7265" s="32">
        <v>46005</v>
      </c>
      <c r="C7265" t="s">
        <v>109</v>
      </c>
      <c r="D7265" s="13" t="s">
        <v>633</v>
      </c>
      <c r="E7265" t="s">
        <v>168</v>
      </c>
      <c r="F7265" s="11">
        <v>2</v>
      </c>
      <c r="G7265" s="11">
        <v>92436.97</v>
      </c>
    </row>
    <row r="7266" spans="2:7" x14ac:dyDescent="0.2">
      <c r="B7266" s="32">
        <v>46005</v>
      </c>
      <c r="C7266" t="s">
        <v>109</v>
      </c>
      <c r="D7266" s="13" t="s">
        <v>633</v>
      </c>
      <c r="E7266" t="s">
        <v>330</v>
      </c>
      <c r="F7266" s="11">
        <v>2</v>
      </c>
      <c r="G7266" s="11">
        <v>75630.259999999995</v>
      </c>
    </row>
    <row r="7267" spans="2:7" x14ac:dyDescent="0.2">
      <c r="B7267" s="32">
        <v>46005</v>
      </c>
      <c r="C7267" t="s">
        <v>109</v>
      </c>
      <c r="D7267" s="13" t="s">
        <v>633</v>
      </c>
      <c r="E7267" t="s">
        <v>293</v>
      </c>
      <c r="F7267" s="11">
        <v>2</v>
      </c>
      <c r="G7267" s="11">
        <v>75630.25</v>
      </c>
    </row>
    <row r="7268" spans="2:7" x14ac:dyDescent="0.2">
      <c r="B7268" s="32">
        <v>46005</v>
      </c>
      <c r="C7268" t="s">
        <v>109</v>
      </c>
      <c r="D7268" s="13" t="s">
        <v>633</v>
      </c>
      <c r="E7268" t="s">
        <v>148</v>
      </c>
      <c r="F7268" s="11">
        <v>2</v>
      </c>
      <c r="G7268" s="11">
        <v>75630.25</v>
      </c>
    </row>
    <row r="7269" spans="2:7" x14ac:dyDescent="0.2">
      <c r="B7269" s="32">
        <v>46005</v>
      </c>
      <c r="C7269" t="s">
        <v>109</v>
      </c>
      <c r="D7269" s="13" t="s">
        <v>633</v>
      </c>
      <c r="E7269" t="s">
        <v>522</v>
      </c>
      <c r="F7269" s="11">
        <v>2</v>
      </c>
      <c r="G7269" s="11">
        <v>70000</v>
      </c>
    </row>
    <row r="7270" spans="2:7" x14ac:dyDescent="0.2">
      <c r="B7270" s="32">
        <v>46005</v>
      </c>
      <c r="C7270" t="s">
        <v>109</v>
      </c>
      <c r="D7270" s="13" t="s">
        <v>633</v>
      </c>
      <c r="E7270" t="s">
        <v>182</v>
      </c>
      <c r="F7270" s="11">
        <v>2</v>
      </c>
      <c r="G7270" s="11">
        <v>58823.53</v>
      </c>
    </row>
    <row r="7271" spans="2:7" x14ac:dyDescent="0.2">
      <c r="B7271" s="32">
        <v>46005</v>
      </c>
      <c r="C7271" t="s">
        <v>109</v>
      </c>
      <c r="D7271" s="13" t="s">
        <v>633</v>
      </c>
      <c r="E7271" t="s">
        <v>2011</v>
      </c>
      <c r="F7271" s="11">
        <v>1</v>
      </c>
      <c r="G7271" s="11">
        <v>54621.85</v>
      </c>
    </row>
    <row r="7272" spans="2:7" x14ac:dyDescent="0.2">
      <c r="B7272" s="32">
        <v>46006</v>
      </c>
      <c r="C7272" t="s">
        <v>142</v>
      </c>
      <c r="D7272" s="13" t="s">
        <v>634</v>
      </c>
      <c r="E7272" t="s">
        <v>2070</v>
      </c>
      <c r="F7272" s="11">
        <v>6</v>
      </c>
      <c r="G7272" s="11">
        <v>277310.92</v>
      </c>
    </row>
    <row r="7273" spans="2:7" x14ac:dyDescent="0.2">
      <c r="B7273" s="32">
        <v>46006</v>
      </c>
      <c r="C7273" t="s">
        <v>142</v>
      </c>
      <c r="D7273" s="13" t="s">
        <v>633</v>
      </c>
      <c r="E7273" t="s">
        <v>158</v>
      </c>
      <c r="F7273" s="11">
        <v>4</v>
      </c>
      <c r="G7273" s="11">
        <v>184873.95</v>
      </c>
    </row>
    <row r="7274" spans="2:7" x14ac:dyDescent="0.2">
      <c r="B7274" s="32">
        <v>46006</v>
      </c>
      <c r="C7274" t="s">
        <v>142</v>
      </c>
      <c r="D7274" s="13" t="s">
        <v>633</v>
      </c>
      <c r="E7274" t="s">
        <v>602</v>
      </c>
      <c r="F7274" s="11">
        <v>1</v>
      </c>
      <c r="G7274" s="11">
        <v>184873.95</v>
      </c>
    </row>
    <row r="7275" spans="2:7" x14ac:dyDescent="0.2">
      <c r="B7275" s="32">
        <v>46006</v>
      </c>
      <c r="C7275" t="s">
        <v>142</v>
      </c>
      <c r="D7275" s="13" t="s">
        <v>633</v>
      </c>
      <c r="E7275" t="s">
        <v>637</v>
      </c>
      <c r="F7275" s="11">
        <v>1</v>
      </c>
      <c r="G7275" s="11">
        <v>54621.85</v>
      </c>
    </row>
    <row r="7276" spans="2:7" x14ac:dyDescent="0.2">
      <c r="B7276" s="32">
        <v>46006</v>
      </c>
      <c r="C7276" t="s">
        <v>109</v>
      </c>
      <c r="D7276" s="13"/>
      <c r="E7276" t="s">
        <v>1818</v>
      </c>
      <c r="F7276" s="11">
        <v>4</v>
      </c>
      <c r="G7276" s="11">
        <v>151260.5</v>
      </c>
    </row>
    <row r="7277" spans="2:7" x14ac:dyDescent="0.2">
      <c r="B7277" s="32">
        <v>46006</v>
      </c>
      <c r="C7277" t="s">
        <v>109</v>
      </c>
      <c r="D7277" s="13" t="s">
        <v>634</v>
      </c>
      <c r="E7277" t="s">
        <v>144</v>
      </c>
      <c r="F7277" s="11">
        <v>9</v>
      </c>
      <c r="G7277" s="11">
        <v>223109.24</v>
      </c>
    </row>
    <row r="7278" spans="2:7" x14ac:dyDescent="0.2">
      <c r="B7278" s="32">
        <v>46006</v>
      </c>
      <c r="C7278" t="s">
        <v>109</v>
      </c>
      <c r="D7278" s="13" t="s">
        <v>634</v>
      </c>
      <c r="E7278" t="s">
        <v>164</v>
      </c>
      <c r="F7278" s="11">
        <v>2</v>
      </c>
      <c r="G7278" s="11">
        <v>142857.14000000001</v>
      </c>
    </row>
    <row r="7279" spans="2:7" x14ac:dyDescent="0.2">
      <c r="B7279" s="32">
        <v>46006</v>
      </c>
      <c r="C7279" t="s">
        <v>109</v>
      </c>
      <c r="D7279" s="13" t="s">
        <v>634</v>
      </c>
      <c r="E7279" t="s">
        <v>2063</v>
      </c>
      <c r="F7279" s="11">
        <v>2</v>
      </c>
      <c r="G7279" s="11">
        <v>84033.61</v>
      </c>
    </row>
    <row r="7280" spans="2:7" x14ac:dyDescent="0.2">
      <c r="B7280" s="32">
        <v>46006</v>
      </c>
      <c r="C7280" t="s">
        <v>109</v>
      </c>
      <c r="D7280" s="13" t="s">
        <v>634</v>
      </c>
      <c r="E7280" t="s">
        <v>1924</v>
      </c>
      <c r="F7280" s="11">
        <v>1</v>
      </c>
      <c r="G7280" s="11">
        <v>58823.53</v>
      </c>
    </row>
    <row r="7281" spans="2:7" x14ac:dyDescent="0.2">
      <c r="B7281" s="32">
        <v>46006</v>
      </c>
      <c r="C7281" t="s">
        <v>109</v>
      </c>
      <c r="D7281" s="13" t="s">
        <v>634</v>
      </c>
      <c r="E7281" t="s">
        <v>212</v>
      </c>
      <c r="F7281" s="11">
        <v>1</v>
      </c>
      <c r="G7281" s="11">
        <v>54621.85</v>
      </c>
    </row>
    <row r="7282" spans="2:7" x14ac:dyDescent="0.2">
      <c r="B7282" s="32">
        <v>46006</v>
      </c>
      <c r="C7282" t="s">
        <v>109</v>
      </c>
      <c r="D7282" s="13" t="s">
        <v>634</v>
      </c>
      <c r="E7282" t="s">
        <v>549</v>
      </c>
      <c r="F7282" s="11">
        <v>1</v>
      </c>
      <c r="G7282" s="11">
        <v>46218.49</v>
      </c>
    </row>
    <row r="7283" spans="2:7" x14ac:dyDescent="0.2">
      <c r="B7283" s="32">
        <v>46006</v>
      </c>
      <c r="C7283" t="s">
        <v>109</v>
      </c>
      <c r="D7283" s="13" t="s">
        <v>634</v>
      </c>
      <c r="E7283" t="s">
        <v>2091</v>
      </c>
      <c r="F7283" s="11">
        <v>1</v>
      </c>
      <c r="G7283" s="11">
        <v>46218.49</v>
      </c>
    </row>
    <row r="7284" spans="2:7" x14ac:dyDescent="0.2">
      <c r="B7284" s="32">
        <v>46006</v>
      </c>
      <c r="C7284" t="s">
        <v>109</v>
      </c>
      <c r="D7284" s="13" t="s">
        <v>633</v>
      </c>
      <c r="E7284" t="s">
        <v>167</v>
      </c>
      <c r="F7284" s="11">
        <v>2</v>
      </c>
      <c r="G7284" s="11">
        <v>201680.68</v>
      </c>
    </row>
    <row r="7285" spans="2:7" x14ac:dyDescent="0.2">
      <c r="B7285" s="32">
        <v>46006</v>
      </c>
      <c r="C7285" t="s">
        <v>109</v>
      </c>
      <c r="D7285" s="13" t="s">
        <v>633</v>
      </c>
      <c r="E7285" t="s">
        <v>184</v>
      </c>
      <c r="F7285" s="11">
        <v>2</v>
      </c>
      <c r="G7285" s="11">
        <v>201680.68</v>
      </c>
    </row>
    <row r="7286" spans="2:7" x14ac:dyDescent="0.2">
      <c r="B7286" s="32">
        <v>46006</v>
      </c>
      <c r="C7286" t="s">
        <v>109</v>
      </c>
      <c r="D7286" s="13" t="s">
        <v>633</v>
      </c>
      <c r="E7286" t="s">
        <v>2120</v>
      </c>
      <c r="F7286" s="11">
        <v>4</v>
      </c>
      <c r="G7286" s="11">
        <v>184873.95</v>
      </c>
    </row>
    <row r="7287" spans="2:7" x14ac:dyDescent="0.2">
      <c r="B7287" s="32">
        <v>46006</v>
      </c>
      <c r="C7287" t="s">
        <v>109</v>
      </c>
      <c r="D7287" s="13" t="s">
        <v>633</v>
      </c>
      <c r="E7287" t="s">
        <v>153</v>
      </c>
      <c r="F7287" s="11">
        <v>4</v>
      </c>
      <c r="G7287" s="11">
        <v>184873.95</v>
      </c>
    </row>
    <row r="7288" spans="2:7" x14ac:dyDescent="0.2">
      <c r="B7288" s="32">
        <v>46006</v>
      </c>
      <c r="C7288" t="s">
        <v>109</v>
      </c>
      <c r="D7288" s="13" t="s">
        <v>633</v>
      </c>
      <c r="E7288" t="s">
        <v>372</v>
      </c>
      <c r="F7288" s="11">
        <v>2</v>
      </c>
      <c r="G7288" s="11">
        <v>117647.06</v>
      </c>
    </row>
    <row r="7289" spans="2:7" x14ac:dyDescent="0.2">
      <c r="B7289" s="32">
        <v>46006</v>
      </c>
      <c r="C7289" t="s">
        <v>109</v>
      </c>
      <c r="D7289" s="13" t="s">
        <v>633</v>
      </c>
      <c r="E7289" t="s">
        <v>148</v>
      </c>
      <c r="F7289" s="11">
        <v>3</v>
      </c>
      <c r="G7289" s="11">
        <v>113445.38</v>
      </c>
    </row>
    <row r="7290" spans="2:7" x14ac:dyDescent="0.2">
      <c r="B7290" s="32">
        <v>46006</v>
      </c>
      <c r="C7290" t="s">
        <v>109</v>
      </c>
      <c r="D7290" s="13" t="s">
        <v>633</v>
      </c>
      <c r="E7290" t="s">
        <v>2011</v>
      </c>
      <c r="F7290" s="11">
        <v>2</v>
      </c>
      <c r="G7290" s="11">
        <v>109243.7</v>
      </c>
    </row>
    <row r="7291" spans="2:7" x14ac:dyDescent="0.2">
      <c r="B7291" s="32">
        <v>46006</v>
      </c>
      <c r="C7291" t="s">
        <v>109</v>
      </c>
      <c r="D7291" s="13" t="s">
        <v>633</v>
      </c>
      <c r="E7291" t="s">
        <v>154</v>
      </c>
      <c r="F7291" s="11">
        <v>1</v>
      </c>
      <c r="G7291" s="11">
        <v>100840.33</v>
      </c>
    </row>
    <row r="7292" spans="2:7" x14ac:dyDescent="0.2">
      <c r="B7292" s="32">
        <v>46006</v>
      </c>
      <c r="C7292" t="s">
        <v>109</v>
      </c>
      <c r="D7292" s="13" t="s">
        <v>633</v>
      </c>
      <c r="E7292" t="s">
        <v>362</v>
      </c>
      <c r="F7292" s="11">
        <v>2</v>
      </c>
      <c r="G7292" s="11">
        <v>98319.33</v>
      </c>
    </row>
    <row r="7293" spans="2:7" x14ac:dyDescent="0.2">
      <c r="B7293" s="32">
        <v>46006</v>
      </c>
      <c r="C7293" t="s">
        <v>109</v>
      </c>
      <c r="D7293" s="13" t="s">
        <v>633</v>
      </c>
      <c r="E7293" t="s">
        <v>1963</v>
      </c>
      <c r="F7293" s="11">
        <v>2</v>
      </c>
      <c r="G7293" s="11">
        <v>92436.97</v>
      </c>
    </row>
    <row r="7294" spans="2:7" x14ac:dyDescent="0.2">
      <c r="B7294" s="32">
        <v>46006</v>
      </c>
      <c r="C7294" t="s">
        <v>109</v>
      </c>
      <c r="D7294" s="13" t="s">
        <v>633</v>
      </c>
      <c r="E7294" t="s">
        <v>168</v>
      </c>
      <c r="F7294" s="11">
        <v>2</v>
      </c>
      <c r="G7294" s="11">
        <v>92436.97</v>
      </c>
    </row>
    <row r="7295" spans="2:7" x14ac:dyDescent="0.2">
      <c r="B7295" s="32">
        <v>46006</v>
      </c>
      <c r="C7295" t="s">
        <v>109</v>
      </c>
      <c r="D7295" s="13" t="s">
        <v>633</v>
      </c>
      <c r="E7295" t="s">
        <v>173</v>
      </c>
      <c r="F7295" s="11">
        <v>2</v>
      </c>
      <c r="G7295" s="11">
        <v>75630.259999999995</v>
      </c>
    </row>
    <row r="7296" spans="2:7" x14ac:dyDescent="0.2">
      <c r="B7296" s="32">
        <v>46006</v>
      </c>
      <c r="C7296" t="s">
        <v>109</v>
      </c>
      <c r="D7296" s="13" t="s">
        <v>633</v>
      </c>
      <c r="E7296" t="s">
        <v>382</v>
      </c>
      <c r="F7296" s="11">
        <v>2</v>
      </c>
      <c r="G7296" s="11">
        <v>75630.25</v>
      </c>
    </row>
    <row r="7297" spans="2:7" x14ac:dyDescent="0.2">
      <c r="B7297" s="32">
        <v>46006</v>
      </c>
      <c r="C7297" t="s">
        <v>109</v>
      </c>
      <c r="D7297" s="13" t="s">
        <v>633</v>
      </c>
      <c r="E7297" t="s">
        <v>204</v>
      </c>
      <c r="F7297" s="11">
        <v>2</v>
      </c>
      <c r="G7297" s="11">
        <v>75630.25</v>
      </c>
    </row>
    <row r="7298" spans="2:7" x14ac:dyDescent="0.2">
      <c r="B7298" s="32">
        <v>46006</v>
      </c>
      <c r="C7298" t="s">
        <v>109</v>
      </c>
      <c r="D7298" s="13" t="s">
        <v>633</v>
      </c>
      <c r="E7298" t="s">
        <v>654</v>
      </c>
      <c r="F7298" s="11">
        <v>1</v>
      </c>
      <c r="G7298" s="11">
        <v>54621.85</v>
      </c>
    </row>
    <row r="7299" spans="2:7" x14ac:dyDescent="0.2">
      <c r="B7299" s="32">
        <v>46006</v>
      </c>
      <c r="C7299" t="s">
        <v>109</v>
      </c>
      <c r="D7299" s="13" t="s">
        <v>633</v>
      </c>
      <c r="E7299" t="s">
        <v>427</v>
      </c>
      <c r="F7299" s="11">
        <v>1</v>
      </c>
      <c r="G7299" s="11">
        <v>49159.67</v>
      </c>
    </row>
    <row r="7300" spans="2:7" x14ac:dyDescent="0.2">
      <c r="B7300" s="32">
        <v>46007</v>
      </c>
      <c r="C7300" t="s">
        <v>142</v>
      </c>
      <c r="D7300" s="13" t="s">
        <v>634</v>
      </c>
      <c r="E7300" t="s">
        <v>2116</v>
      </c>
      <c r="F7300" s="11">
        <v>1</v>
      </c>
      <c r="G7300" s="11">
        <v>130000</v>
      </c>
    </row>
    <row r="7301" spans="2:7" x14ac:dyDescent="0.2">
      <c r="B7301" s="32">
        <v>46007</v>
      </c>
      <c r="C7301" t="s">
        <v>142</v>
      </c>
      <c r="D7301" s="13" t="s">
        <v>633</v>
      </c>
      <c r="E7301" t="s">
        <v>780</v>
      </c>
      <c r="F7301" s="11">
        <v>1</v>
      </c>
      <c r="G7301" s="11">
        <v>252100.84</v>
      </c>
    </row>
    <row r="7302" spans="2:7" x14ac:dyDescent="0.2">
      <c r="B7302" s="32">
        <v>46007</v>
      </c>
      <c r="C7302" t="s">
        <v>142</v>
      </c>
      <c r="D7302" s="13" t="s">
        <v>633</v>
      </c>
      <c r="E7302" t="s">
        <v>517</v>
      </c>
      <c r="F7302" s="11">
        <v>2</v>
      </c>
      <c r="G7302" s="11">
        <v>235294.12</v>
      </c>
    </row>
    <row r="7303" spans="2:7" x14ac:dyDescent="0.2">
      <c r="B7303" s="32">
        <v>46007</v>
      </c>
      <c r="C7303" t="s">
        <v>142</v>
      </c>
      <c r="D7303" s="13" t="s">
        <v>633</v>
      </c>
      <c r="E7303" t="s">
        <v>323</v>
      </c>
      <c r="F7303" s="11">
        <v>2</v>
      </c>
      <c r="G7303" s="11">
        <v>168067.23</v>
      </c>
    </row>
    <row r="7304" spans="2:7" x14ac:dyDescent="0.2">
      <c r="B7304" s="32">
        <v>46007</v>
      </c>
      <c r="C7304" t="s">
        <v>142</v>
      </c>
      <c r="D7304" s="13" t="s">
        <v>633</v>
      </c>
      <c r="E7304" t="s">
        <v>281</v>
      </c>
      <c r="F7304" s="11">
        <v>2</v>
      </c>
      <c r="G7304" s="11">
        <v>117647.05</v>
      </c>
    </row>
    <row r="7305" spans="2:7" x14ac:dyDescent="0.2">
      <c r="B7305" s="32">
        <v>46007</v>
      </c>
      <c r="C7305" t="s">
        <v>142</v>
      </c>
      <c r="D7305" s="13" t="s">
        <v>633</v>
      </c>
      <c r="E7305" t="s">
        <v>537</v>
      </c>
      <c r="F7305" s="11">
        <v>1</v>
      </c>
      <c r="G7305" s="11">
        <v>84033.61</v>
      </c>
    </row>
    <row r="7306" spans="2:7" x14ac:dyDescent="0.2">
      <c r="B7306" s="32">
        <v>46007</v>
      </c>
      <c r="C7306" t="s">
        <v>109</v>
      </c>
      <c r="D7306" s="13" t="s">
        <v>634</v>
      </c>
      <c r="E7306" t="s">
        <v>159</v>
      </c>
      <c r="F7306" s="11">
        <v>2</v>
      </c>
      <c r="G7306" s="11">
        <v>487394.96</v>
      </c>
    </row>
    <row r="7307" spans="2:7" x14ac:dyDescent="0.2">
      <c r="B7307" s="32">
        <v>46007</v>
      </c>
      <c r="C7307" t="s">
        <v>109</v>
      </c>
      <c r="D7307" s="13" t="s">
        <v>634</v>
      </c>
      <c r="E7307" t="s">
        <v>2091</v>
      </c>
      <c r="F7307" s="11">
        <v>6</v>
      </c>
      <c r="G7307" s="11">
        <v>277310.92</v>
      </c>
    </row>
    <row r="7308" spans="2:7" x14ac:dyDescent="0.2">
      <c r="B7308" s="32">
        <v>46007</v>
      </c>
      <c r="C7308" t="s">
        <v>109</v>
      </c>
      <c r="D7308" s="13" t="s">
        <v>634</v>
      </c>
      <c r="E7308" t="s">
        <v>196</v>
      </c>
      <c r="F7308" s="11">
        <v>4</v>
      </c>
      <c r="G7308" s="11">
        <v>184873.95</v>
      </c>
    </row>
    <row r="7309" spans="2:7" x14ac:dyDescent="0.2">
      <c r="B7309" s="32">
        <v>46007</v>
      </c>
      <c r="C7309" t="s">
        <v>109</v>
      </c>
      <c r="D7309" s="13" t="s">
        <v>634</v>
      </c>
      <c r="E7309" t="s">
        <v>149</v>
      </c>
      <c r="F7309" s="11">
        <v>2</v>
      </c>
      <c r="G7309" s="11">
        <v>142857.14000000001</v>
      </c>
    </row>
    <row r="7310" spans="2:7" x14ac:dyDescent="0.2">
      <c r="B7310" s="32">
        <v>46007</v>
      </c>
      <c r="C7310" t="s">
        <v>109</v>
      </c>
      <c r="D7310" s="13" t="s">
        <v>634</v>
      </c>
      <c r="E7310" t="s">
        <v>187</v>
      </c>
      <c r="F7310" s="11">
        <v>1</v>
      </c>
      <c r="G7310" s="11">
        <v>95000</v>
      </c>
    </row>
    <row r="7311" spans="2:7" x14ac:dyDescent="0.2">
      <c r="B7311" s="32">
        <v>46007</v>
      </c>
      <c r="C7311" t="s">
        <v>109</v>
      </c>
      <c r="D7311" s="13" t="s">
        <v>634</v>
      </c>
      <c r="E7311" t="s">
        <v>158</v>
      </c>
      <c r="F7311" s="11">
        <v>2</v>
      </c>
      <c r="G7311" s="11">
        <v>92436.98</v>
      </c>
    </row>
    <row r="7312" spans="2:7" x14ac:dyDescent="0.2">
      <c r="B7312" s="32">
        <v>46007</v>
      </c>
      <c r="C7312" t="s">
        <v>109</v>
      </c>
      <c r="D7312" s="13" t="s">
        <v>634</v>
      </c>
      <c r="E7312" t="s">
        <v>168</v>
      </c>
      <c r="F7312" s="11">
        <v>2</v>
      </c>
      <c r="G7312" s="11">
        <v>92436.97</v>
      </c>
    </row>
    <row r="7313" spans="2:7" x14ac:dyDescent="0.2">
      <c r="B7313" s="32">
        <v>46007</v>
      </c>
      <c r="C7313" t="s">
        <v>109</v>
      </c>
      <c r="D7313" s="13" t="s">
        <v>634</v>
      </c>
      <c r="E7313" t="s">
        <v>246</v>
      </c>
      <c r="F7313" s="11">
        <v>2</v>
      </c>
      <c r="G7313" s="11">
        <v>84033.61</v>
      </c>
    </row>
    <row r="7314" spans="2:7" x14ac:dyDescent="0.2">
      <c r="B7314" s="32">
        <v>46007</v>
      </c>
      <c r="C7314" t="s">
        <v>109</v>
      </c>
      <c r="D7314" s="13" t="s">
        <v>634</v>
      </c>
      <c r="E7314" t="s">
        <v>177</v>
      </c>
      <c r="F7314" s="11">
        <v>2</v>
      </c>
      <c r="G7314" s="11">
        <v>75630.25</v>
      </c>
    </row>
    <row r="7315" spans="2:7" x14ac:dyDescent="0.2">
      <c r="B7315" s="32">
        <v>46007</v>
      </c>
      <c r="C7315" t="s">
        <v>109</v>
      </c>
      <c r="D7315" s="13" t="s">
        <v>634</v>
      </c>
      <c r="E7315" t="s">
        <v>729</v>
      </c>
      <c r="F7315" s="11">
        <v>1</v>
      </c>
      <c r="G7315" s="11">
        <v>46218.49</v>
      </c>
    </row>
    <row r="7316" spans="2:7" x14ac:dyDescent="0.2">
      <c r="B7316" s="32">
        <v>46007</v>
      </c>
      <c r="C7316" t="s">
        <v>109</v>
      </c>
      <c r="D7316" s="13" t="s">
        <v>634</v>
      </c>
      <c r="E7316" t="s">
        <v>468</v>
      </c>
      <c r="F7316" s="11">
        <v>1</v>
      </c>
      <c r="G7316" s="11">
        <v>37815.120000000003</v>
      </c>
    </row>
    <row r="7317" spans="2:7" x14ac:dyDescent="0.2">
      <c r="B7317" s="32">
        <v>46007</v>
      </c>
      <c r="C7317" t="s">
        <v>109</v>
      </c>
      <c r="D7317" s="13" t="s">
        <v>634</v>
      </c>
      <c r="E7317" t="s">
        <v>144</v>
      </c>
      <c r="F7317" s="11">
        <v>3</v>
      </c>
      <c r="G7317" s="11">
        <v>23109.25</v>
      </c>
    </row>
    <row r="7318" spans="2:7" x14ac:dyDescent="0.2">
      <c r="B7318" s="32">
        <v>46007</v>
      </c>
      <c r="C7318" t="s">
        <v>109</v>
      </c>
      <c r="D7318" s="13" t="s">
        <v>633</v>
      </c>
      <c r="F7318" s="11">
        <v>4</v>
      </c>
      <c r="G7318" s="11">
        <v>274789.90999999997</v>
      </c>
    </row>
    <row r="7319" spans="2:7" x14ac:dyDescent="0.2">
      <c r="B7319" s="32">
        <v>46007</v>
      </c>
      <c r="C7319" t="s">
        <v>109</v>
      </c>
      <c r="D7319" s="13" t="s">
        <v>633</v>
      </c>
      <c r="E7319" t="s">
        <v>534</v>
      </c>
      <c r="F7319" s="11">
        <v>3</v>
      </c>
      <c r="G7319" s="11">
        <v>214285.71</v>
      </c>
    </row>
    <row r="7320" spans="2:7" x14ac:dyDescent="0.2">
      <c r="B7320" s="32">
        <v>46007</v>
      </c>
      <c r="C7320" t="s">
        <v>109</v>
      </c>
      <c r="D7320" s="13" t="s">
        <v>633</v>
      </c>
      <c r="E7320" t="s">
        <v>368</v>
      </c>
      <c r="F7320" s="11">
        <v>2</v>
      </c>
      <c r="G7320" s="11">
        <v>151260.5</v>
      </c>
    </row>
    <row r="7321" spans="2:7" x14ac:dyDescent="0.2">
      <c r="B7321" s="32">
        <v>46007</v>
      </c>
      <c r="C7321" t="s">
        <v>109</v>
      </c>
      <c r="D7321" s="13" t="s">
        <v>633</v>
      </c>
      <c r="E7321" t="s">
        <v>164</v>
      </c>
      <c r="F7321" s="11">
        <v>2</v>
      </c>
      <c r="G7321" s="11">
        <v>142857.14000000001</v>
      </c>
    </row>
    <row r="7322" spans="2:7" x14ac:dyDescent="0.2">
      <c r="B7322" s="32">
        <v>46007</v>
      </c>
      <c r="C7322" t="s">
        <v>109</v>
      </c>
      <c r="D7322" s="13" t="s">
        <v>633</v>
      </c>
      <c r="E7322" t="s">
        <v>149</v>
      </c>
      <c r="F7322" s="11">
        <v>2</v>
      </c>
      <c r="G7322" s="11">
        <v>142857.14000000001</v>
      </c>
    </row>
    <row r="7323" spans="2:7" x14ac:dyDescent="0.2">
      <c r="B7323" s="32">
        <v>46007</v>
      </c>
      <c r="C7323" t="s">
        <v>109</v>
      </c>
      <c r="D7323" s="13" t="s">
        <v>633</v>
      </c>
      <c r="E7323" t="s">
        <v>168</v>
      </c>
      <c r="F7323" s="11">
        <v>2</v>
      </c>
      <c r="G7323" s="11">
        <v>92436.98</v>
      </c>
    </row>
    <row r="7324" spans="2:7" x14ac:dyDescent="0.2">
      <c r="B7324" s="32">
        <v>46007</v>
      </c>
      <c r="C7324" t="s">
        <v>109</v>
      </c>
      <c r="D7324" s="13" t="s">
        <v>633</v>
      </c>
      <c r="E7324" t="s">
        <v>192</v>
      </c>
      <c r="F7324" s="11">
        <v>1</v>
      </c>
      <c r="G7324" s="11">
        <v>85000</v>
      </c>
    </row>
    <row r="7325" spans="2:7" x14ac:dyDescent="0.2">
      <c r="B7325" s="32">
        <v>46007</v>
      </c>
      <c r="C7325" t="s">
        <v>109</v>
      </c>
      <c r="D7325" s="13" t="s">
        <v>633</v>
      </c>
      <c r="E7325" t="s">
        <v>2113</v>
      </c>
      <c r="F7325" s="11">
        <v>2</v>
      </c>
      <c r="G7325" s="11">
        <v>75630.259999999995</v>
      </c>
    </row>
    <row r="7326" spans="2:7" x14ac:dyDescent="0.2">
      <c r="B7326" s="32">
        <v>46007</v>
      </c>
      <c r="C7326" t="s">
        <v>109</v>
      </c>
      <c r="D7326" s="13" t="s">
        <v>633</v>
      </c>
      <c r="E7326" t="s">
        <v>212</v>
      </c>
      <c r="F7326" s="11">
        <v>1</v>
      </c>
      <c r="G7326" s="11">
        <v>54621.85</v>
      </c>
    </row>
    <row r="7327" spans="2:7" x14ac:dyDescent="0.2">
      <c r="B7327" s="32">
        <v>46007</v>
      </c>
      <c r="C7327" t="s">
        <v>109</v>
      </c>
      <c r="D7327" s="13" t="s">
        <v>633</v>
      </c>
      <c r="E7327" t="s">
        <v>782</v>
      </c>
      <c r="F7327" s="11">
        <v>1</v>
      </c>
      <c r="G7327" s="11">
        <v>54621.85</v>
      </c>
    </row>
    <row r="7328" spans="2:7" x14ac:dyDescent="0.2">
      <c r="B7328" s="32">
        <v>46007</v>
      </c>
      <c r="C7328" t="s">
        <v>109</v>
      </c>
      <c r="D7328" s="13" t="s">
        <v>633</v>
      </c>
      <c r="E7328" t="s">
        <v>195</v>
      </c>
      <c r="F7328" s="11">
        <v>1</v>
      </c>
      <c r="G7328" s="11">
        <v>46218.49</v>
      </c>
    </row>
    <row r="7329" spans="2:7" x14ac:dyDescent="0.2">
      <c r="B7329" s="32">
        <v>46007</v>
      </c>
      <c r="C7329" t="s">
        <v>109</v>
      </c>
      <c r="D7329" s="13" t="s">
        <v>633</v>
      </c>
      <c r="E7329" t="s">
        <v>1896</v>
      </c>
      <c r="F7329" s="11">
        <v>1</v>
      </c>
      <c r="G7329" s="11">
        <v>46218.49</v>
      </c>
    </row>
    <row r="7330" spans="2:7" x14ac:dyDescent="0.2">
      <c r="B7330" s="32">
        <v>46007</v>
      </c>
      <c r="C7330" t="s">
        <v>109</v>
      </c>
      <c r="D7330" s="13" t="s">
        <v>633</v>
      </c>
      <c r="E7330" t="s">
        <v>198</v>
      </c>
      <c r="F7330" s="11">
        <v>1</v>
      </c>
      <c r="G7330" s="11">
        <v>46218.48</v>
      </c>
    </row>
    <row r="7331" spans="2:7" x14ac:dyDescent="0.2">
      <c r="B7331" s="32">
        <v>46007</v>
      </c>
      <c r="C7331" t="s">
        <v>109</v>
      </c>
      <c r="D7331" s="13" t="s">
        <v>633</v>
      </c>
      <c r="E7331" t="s">
        <v>2107</v>
      </c>
      <c r="F7331" s="11">
        <v>1</v>
      </c>
      <c r="G7331" s="11">
        <v>37815.129999999997</v>
      </c>
    </row>
    <row r="7332" spans="2:7" x14ac:dyDescent="0.2">
      <c r="B7332" s="32">
        <v>46007</v>
      </c>
      <c r="C7332" t="s">
        <v>109</v>
      </c>
      <c r="D7332" s="13" t="s">
        <v>633</v>
      </c>
      <c r="E7332" t="s">
        <v>180</v>
      </c>
      <c r="F7332" s="11">
        <v>1</v>
      </c>
      <c r="G7332" s="11">
        <v>16806.72</v>
      </c>
    </row>
    <row r="7333" spans="2:7" x14ac:dyDescent="0.2">
      <c r="B7333" s="32">
        <v>46008</v>
      </c>
      <c r="C7333" t="s">
        <v>142</v>
      </c>
      <c r="D7333" s="13"/>
      <c r="E7333" t="s">
        <v>144</v>
      </c>
      <c r="F7333" s="11">
        <v>3</v>
      </c>
      <c r="G7333" s="11">
        <v>184873.95</v>
      </c>
    </row>
    <row r="7334" spans="2:7" x14ac:dyDescent="0.2">
      <c r="B7334" s="32">
        <v>46008</v>
      </c>
      <c r="C7334" t="s">
        <v>142</v>
      </c>
      <c r="D7334" s="13" t="s">
        <v>634</v>
      </c>
      <c r="E7334" t="s">
        <v>173</v>
      </c>
      <c r="F7334" s="11">
        <v>2</v>
      </c>
      <c r="G7334" s="11">
        <v>75630.259999999995</v>
      </c>
    </row>
    <row r="7335" spans="2:7" x14ac:dyDescent="0.2">
      <c r="B7335" s="32">
        <v>46008</v>
      </c>
      <c r="C7335" t="s">
        <v>142</v>
      </c>
      <c r="D7335" s="13" t="s">
        <v>634</v>
      </c>
      <c r="E7335" t="s">
        <v>441</v>
      </c>
      <c r="F7335" s="11">
        <v>1</v>
      </c>
      <c r="G7335" s="11">
        <v>29411.759999999998</v>
      </c>
    </row>
    <row r="7336" spans="2:7" x14ac:dyDescent="0.2">
      <c r="B7336" s="32">
        <v>46008</v>
      </c>
      <c r="C7336" t="s">
        <v>142</v>
      </c>
      <c r="D7336" s="13" t="s">
        <v>633</v>
      </c>
      <c r="E7336" t="s">
        <v>199</v>
      </c>
      <c r="F7336" s="11">
        <v>2</v>
      </c>
      <c r="G7336" s="11">
        <v>151260.5</v>
      </c>
    </row>
    <row r="7337" spans="2:7" x14ac:dyDescent="0.2">
      <c r="B7337" s="32">
        <v>46008</v>
      </c>
      <c r="C7337" t="s">
        <v>142</v>
      </c>
      <c r="D7337" s="13" t="s">
        <v>633</v>
      </c>
      <c r="E7337" t="s">
        <v>287</v>
      </c>
      <c r="F7337" s="11">
        <v>3</v>
      </c>
      <c r="G7337" s="11">
        <v>150000</v>
      </c>
    </row>
    <row r="7338" spans="2:7" x14ac:dyDescent="0.2">
      <c r="B7338" s="32">
        <v>46008</v>
      </c>
      <c r="C7338" t="s">
        <v>142</v>
      </c>
      <c r="D7338" s="13" t="s">
        <v>633</v>
      </c>
      <c r="E7338" t="s">
        <v>477</v>
      </c>
      <c r="F7338" s="11">
        <v>2</v>
      </c>
      <c r="G7338" s="11">
        <v>108823.53</v>
      </c>
    </row>
    <row r="7339" spans="2:7" x14ac:dyDescent="0.2">
      <c r="B7339" s="32">
        <v>46008</v>
      </c>
      <c r="C7339" t="s">
        <v>142</v>
      </c>
      <c r="D7339" s="13" t="s">
        <v>633</v>
      </c>
      <c r="E7339" t="s">
        <v>195</v>
      </c>
      <c r="F7339" s="11">
        <v>2</v>
      </c>
      <c r="G7339" s="11">
        <v>92436.97</v>
      </c>
    </row>
    <row r="7340" spans="2:7" x14ac:dyDescent="0.2">
      <c r="B7340" s="32">
        <v>46008</v>
      </c>
      <c r="C7340" t="s">
        <v>142</v>
      </c>
      <c r="D7340" s="13" t="s">
        <v>633</v>
      </c>
      <c r="E7340" t="s">
        <v>567</v>
      </c>
      <c r="F7340" s="11">
        <v>1</v>
      </c>
      <c r="G7340" s="11">
        <v>58823.53</v>
      </c>
    </row>
    <row r="7341" spans="2:7" x14ac:dyDescent="0.2">
      <c r="B7341" s="32">
        <v>46008</v>
      </c>
      <c r="C7341" t="s">
        <v>142</v>
      </c>
      <c r="D7341" s="13" t="s">
        <v>633</v>
      </c>
      <c r="E7341" t="s">
        <v>274</v>
      </c>
      <c r="F7341" s="11">
        <v>1</v>
      </c>
      <c r="G7341" s="11">
        <v>54621.85</v>
      </c>
    </row>
    <row r="7342" spans="2:7" x14ac:dyDescent="0.2">
      <c r="B7342" s="32">
        <v>46008</v>
      </c>
      <c r="C7342" t="s">
        <v>142</v>
      </c>
      <c r="D7342" s="13" t="s">
        <v>633</v>
      </c>
      <c r="E7342" t="s">
        <v>281</v>
      </c>
      <c r="F7342" s="11">
        <v>1</v>
      </c>
      <c r="G7342" s="11">
        <v>50000</v>
      </c>
    </row>
    <row r="7343" spans="2:7" x14ac:dyDescent="0.2">
      <c r="B7343" s="32">
        <v>46008</v>
      </c>
      <c r="C7343" t="s">
        <v>142</v>
      </c>
      <c r="D7343" s="13" t="s">
        <v>633</v>
      </c>
      <c r="E7343" t="s">
        <v>1763</v>
      </c>
      <c r="F7343" s="11">
        <v>1</v>
      </c>
      <c r="G7343" s="11">
        <v>50000</v>
      </c>
    </row>
    <row r="7344" spans="2:7" x14ac:dyDescent="0.2">
      <c r="B7344" s="32">
        <v>46008</v>
      </c>
      <c r="C7344" t="s">
        <v>109</v>
      </c>
      <c r="D7344" s="13" t="s">
        <v>634</v>
      </c>
      <c r="E7344" t="s">
        <v>159</v>
      </c>
      <c r="F7344" s="11">
        <v>5</v>
      </c>
      <c r="G7344" s="11">
        <v>1218487.3999999999</v>
      </c>
    </row>
    <row r="7345" spans="2:7" x14ac:dyDescent="0.2">
      <c r="B7345" s="32">
        <v>46008</v>
      </c>
      <c r="C7345" t="s">
        <v>109</v>
      </c>
      <c r="D7345" s="13" t="s">
        <v>634</v>
      </c>
      <c r="E7345" t="s">
        <v>350</v>
      </c>
      <c r="F7345" s="11">
        <v>4</v>
      </c>
      <c r="G7345" s="11">
        <v>184873.95</v>
      </c>
    </row>
    <row r="7346" spans="2:7" x14ac:dyDescent="0.2">
      <c r="B7346" s="32">
        <v>46008</v>
      </c>
      <c r="C7346" t="s">
        <v>109</v>
      </c>
      <c r="D7346" s="13" t="s">
        <v>634</v>
      </c>
      <c r="E7346" t="s">
        <v>301</v>
      </c>
      <c r="F7346" s="11">
        <v>1</v>
      </c>
      <c r="G7346" s="11">
        <v>169000</v>
      </c>
    </row>
    <row r="7347" spans="2:7" x14ac:dyDescent="0.2">
      <c r="B7347" s="32">
        <v>46008</v>
      </c>
      <c r="C7347" t="s">
        <v>109</v>
      </c>
      <c r="D7347" s="13" t="s">
        <v>634</v>
      </c>
      <c r="E7347" t="s">
        <v>146</v>
      </c>
      <c r="F7347" s="11">
        <v>2</v>
      </c>
      <c r="G7347" s="11">
        <v>92436.98</v>
      </c>
    </row>
    <row r="7348" spans="2:7" x14ac:dyDescent="0.2">
      <c r="B7348" s="32">
        <v>46008</v>
      </c>
      <c r="C7348" t="s">
        <v>109</v>
      </c>
      <c r="D7348" s="13" t="s">
        <v>634</v>
      </c>
      <c r="E7348" t="s">
        <v>2102</v>
      </c>
      <c r="F7348" s="11">
        <v>2</v>
      </c>
      <c r="G7348" s="11">
        <v>75630.259999999995</v>
      </c>
    </row>
    <row r="7349" spans="2:7" x14ac:dyDescent="0.2">
      <c r="B7349" s="32">
        <v>46008</v>
      </c>
      <c r="C7349" t="s">
        <v>109</v>
      </c>
      <c r="D7349" s="13" t="s">
        <v>634</v>
      </c>
      <c r="E7349" t="s">
        <v>647</v>
      </c>
      <c r="F7349" s="11">
        <v>1</v>
      </c>
      <c r="G7349" s="11">
        <v>75630.25</v>
      </c>
    </row>
    <row r="7350" spans="2:7" x14ac:dyDescent="0.2">
      <c r="B7350" s="32">
        <v>46008</v>
      </c>
      <c r="C7350" t="s">
        <v>109</v>
      </c>
      <c r="D7350" s="13" t="s">
        <v>633</v>
      </c>
      <c r="E7350" t="s">
        <v>145</v>
      </c>
      <c r="F7350" s="11">
        <v>20</v>
      </c>
      <c r="G7350" s="11">
        <v>588235.30000000005</v>
      </c>
    </row>
    <row r="7351" spans="2:7" x14ac:dyDescent="0.2">
      <c r="B7351" s="32">
        <v>46008</v>
      </c>
      <c r="C7351" t="s">
        <v>109</v>
      </c>
      <c r="D7351" s="13" t="s">
        <v>633</v>
      </c>
      <c r="E7351" t="s">
        <v>150</v>
      </c>
      <c r="F7351" s="11">
        <v>4</v>
      </c>
      <c r="G7351" s="11">
        <v>184873.95</v>
      </c>
    </row>
    <row r="7352" spans="2:7" x14ac:dyDescent="0.2">
      <c r="B7352" s="32">
        <v>46008</v>
      </c>
      <c r="C7352" t="s">
        <v>109</v>
      </c>
      <c r="D7352" s="13" t="s">
        <v>633</v>
      </c>
      <c r="E7352" t="s">
        <v>196</v>
      </c>
      <c r="F7352" s="11">
        <v>4</v>
      </c>
      <c r="G7352" s="11">
        <v>184873.95</v>
      </c>
    </row>
    <row r="7353" spans="2:7" x14ac:dyDescent="0.2">
      <c r="B7353" s="32">
        <v>46008</v>
      </c>
      <c r="C7353" t="s">
        <v>109</v>
      </c>
      <c r="D7353" s="13" t="s">
        <v>633</v>
      </c>
      <c r="E7353" t="s">
        <v>168</v>
      </c>
      <c r="F7353" s="11">
        <v>4</v>
      </c>
      <c r="G7353" s="11">
        <v>184873.94</v>
      </c>
    </row>
    <row r="7354" spans="2:7" x14ac:dyDescent="0.2">
      <c r="B7354" s="32">
        <v>46008</v>
      </c>
      <c r="C7354" t="s">
        <v>109</v>
      </c>
      <c r="D7354" s="13" t="s">
        <v>633</v>
      </c>
      <c r="E7354" t="s">
        <v>2102</v>
      </c>
      <c r="F7354" s="11">
        <v>3</v>
      </c>
      <c r="G7354" s="11">
        <v>113445.37</v>
      </c>
    </row>
    <row r="7355" spans="2:7" x14ac:dyDescent="0.2">
      <c r="B7355" s="32">
        <v>46008</v>
      </c>
      <c r="C7355" t="s">
        <v>109</v>
      </c>
      <c r="D7355" s="13" t="s">
        <v>633</v>
      </c>
      <c r="E7355" t="s">
        <v>347</v>
      </c>
      <c r="F7355" s="11">
        <v>1</v>
      </c>
      <c r="G7355" s="11">
        <v>75630.25</v>
      </c>
    </row>
    <row r="7356" spans="2:7" x14ac:dyDescent="0.2">
      <c r="B7356" s="32">
        <v>46008</v>
      </c>
      <c r="C7356" t="s">
        <v>109</v>
      </c>
      <c r="D7356" s="13" t="s">
        <v>633</v>
      </c>
      <c r="E7356" t="s">
        <v>2098</v>
      </c>
      <c r="F7356" s="11">
        <v>2</v>
      </c>
      <c r="G7356" s="11">
        <v>75630.240000000005</v>
      </c>
    </row>
    <row r="7357" spans="2:7" x14ac:dyDescent="0.2">
      <c r="B7357" s="32">
        <v>46008</v>
      </c>
      <c r="C7357" t="s">
        <v>109</v>
      </c>
      <c r="D7357" s="13" t="s">
        <v>633</v>
      </c>
      <c r="E7357" t="s">
        <v>504</v>
      </c>
      <c r="F7357" s="11">
        <v>1</v>
      </c>
      <c r="G7357" s="11">
        <v>50420.17</v>
      </c>
    </row>
    <row r="7358" spans="2:7" x14ac:dyDescent="0.2">
      <c r="B7358" s="32">
        <v>46008</v>
      </c>
      <c r="C7358" t="s">
        <v>109</v>
      </c>
      <c r="D7358" s="13" t="s">
        <v>633</v>
      </c>
      <c r="E7358" t="s">
        <v>1902</v>
      </c>
      <c r="F7358" s="11">
        <v>1</v>
      </c>
      <c r="G7358" s="11">
        <v>37815.129999999997</v>
      </c>
    </row>
    <row r="7359" spans="2:7" x14ac:dyDescent="0.2">
      <c r="B7359" s="32">
        <v>46008</v>
      </c>
      <c r="C7359" t="s">
        <v>109</v>
      </c>
      <c r="D7359" s="13" t="s">
        <v>633</v>
      </c>
      <c r="E7359" t="s">
        <v>327</v>
      </c>
      <c r="F7359" s="11">
        <v>1</v>
      </c>
      <c r="G7359" s="11">
        <v>35000</v>
      </c>
    </row>
    <row r="7360" spans="2:7" x14ac:dyDescent="0.2">
      <c r="B7360" s="32">
        <v>46009</v>
      </c>
      <c r="C7360" t="s">
        <v>142</v>
      </c>
      <c r="D7360" s="13" t="s">
        <v>634</v>
      </c>
      <c r="E7360" t="s">
        <v>703</v>
      </c>
      <c r="F7360" s="11">
        <v>2</v>
      </c>
      <c r="G7360" s="11">
        <v>378151.26</v>
      </c>
    </row>
    <row r="7361" spans="2:7" x14ac:dyDescent="0.2">
      <c r="B7361" s="32">
        <v>46009</v>
      </c>
      <c r="C7361" t="s">
        <v>142</v>
      </c>
      <c r="D7361" s="13" t="s">
        <v>633</v>
      </c>
      <c r="E7361" t="s">
        <v>1879</v>
      </c>
      <c r="F7361" s="11">
        <v>2</v>
      </c>
      <c r="G7361" s="11">
        <v>168067.23</v>
      </c>
    </row>
    <row r="7362" spans="2:7" x14ac:dyDescent="0.2">
      <c r="B7362" s="32">
        <v>46009</v>
      </c>
      <c r="C7362" t="s">
        <v>142</v>
      </c>
      <c r="D7362" s="13" t="s">
        <v>633</v>
      </c>
      <c r="E7362" t="s">
        <v>2130</v>
      </c>
      <c r="F7362" s="11">
        <v>1</v>
      </c>
      <c r="G7362" s="11">
        <v>46218.48</v>
      </c>
    </row>
    <row r="7363" spans="2:7" x14ac:dyDescent="0.2">
      <c r="B7363" s="32">
        <v>46009</v>
      </c>
      <c r="C7363" t="s">
        <v>109</v>
      </c>
      <c r="D7363" s="13"/>
      <c r="E7363" t="s">
        <v>182</v>
      </c>
      <c r="F7363" s="11">
        <v>2</v>
      </c>
      <c r="G7363" s="11">
        <v>58823.53</v>
      </c>
    </row>
    <row r="7364" spans="2:7" x14ac:dyDescent="0.2">
      <c r="B7364" s="32">
        <v>46009</v>
      </c>
      <c r="C7364" t="s">
        <v>109</v>
      </c>
      <c r="D7364" s="13" t="s">
        <v>634</v>
      </c>
      <c r="E7364" t="s">
        <v>558</v>
      </c>
      <c r="F7364" s="11">
        <v>2</v>
      </c>
      <c r="G7364" s="11">
        <v>151260.5</v>
      </c>
    </row>
    <row r="7365" spans="2:7" x14ac:dyDescent="0.2">
      <c r="B7365" s="32">
        <v>46009</v>
      </c>
      <c r="C7365" t="s">
        <v>109</v>
      </c>
      <c r="D7365" s="13" t="s">
        <v>634</v>
      </c>
      <c r="E7365" t="s">
        <v>168</v>
      </c>
      <c r="F7365" s="11">
        <v>3</v>
      </c>
      <c r="G7365" s="11">
        <v>138655.47</v>
      </c>
    </row>
    <row r="7366" spans="2:7" x14ac:dyDescent="0.2">
      <c r="B7366" s="32">
        <v>46009</v>
      </c>
      <c r="C7366" t="s">
        <v>109</v>
      </c>
      <c r="D7366" s="13" t="s">
        <v>634</v>
      </c>
      <c r="E7366" t="s">
        <v>258</v>
      </c>
      <c r="F7366" s="11">
        <v>2</v>
      </c>
      <c r="G7366" s="11">
        <v>109243.7</v>
      </c>
    </row>
    <row r="7367" spans="2:7" x14ac:dyDescent="0.2">
      <c r="B7367" s="32">
        <v>46009</v>
      </c>
      <c r="C7367" t="s">
        <v>109</v>
      </c>
      <c r="D7367" s="13" t="s">
        <v>634</v>
      </c>
      <c r="E7367" t="s">
        <v>198</v>
      </c>
      <c r="F7367" s="11">
        <v>2</v>
      </c>
      <c r="G7367" s="11">
        <v>92436.97</v>
      </c>
    </row>
    <row r="7368" spans="2:7" x14ac:dyDescent="0.2">
      <c r="B7368" s="32">
        <v>46009</v>
      </c>
      <c r="C7368" t="s">
        <v>109</v>
      </c>
      <c r="D7368" s="13" t="s">
        <v>634</v>
      </c>
      <c r="F7368" s="11">
        <v>1</v>
      </c>
      <c r="G7368" s="11">
        <v>60504.2</v>
      </c>
    </row>
    <row r="7369" spans="2:7" x14ac:dyDescent="0.2">
      <c r="B7369" s="32">
        <v>46009</v>
      </c>
      <c r="C7369" t="s">
        <v>109</v>
      </c>
      <c r="D7369" s="13" t="s">
        <v>634</v>
      </c>
      <c r="E7369" t="s">
        <v>1896</v>
      </c>
      <c r="F7369" s="11">
        <v>1</v>
      </c>
      <c r="G7369" s="11">
        <v>46218.49</v>
      </c>
    </row>
    <row r="7370" spans="2:7" x14ac:dyDescent="0.2">
      <c r="B7370" s="32">
        <v>46009</v>
      </c>
      <c r="C7370" t="s">
        <v>109</v>
      </c>
      <c r="D7370" s="13" t="s">
        <v>634</v>
      </c>
      <c r="E7370" t="s">
        <v>144</v>
      </c>
      <c r="F7370" s="11">
        <v>1</v>
      </c>
      <c r="G7370" s="11">
        <v>8403.36</v>
      </c>
    </row>
    <row r="7371" spans="2:7" x14ac:dyDescent="0.2">
      <c r="B7371" s="32">
        <v>46009</v>
      </c>
      <c r="C7371" t="s">
        <v>109</v>
      </c>
      <c r="D7371" s="13" t="s">
        <v>633</v>
      </c>
      <c r="E7371" t="s">
        <v>395</v>
      </c>
      <c r="F7371" s="11">
        <v>6</v>
      </c>
      <c r="G7371" s="11">
        <v>453781.51</v>
      </c>
    </row>
    <row r="7372" spans="2:7" x14ac:dyDescent="0.2">
      <c r="B7372" s="32">
        <v>46009</v>
      </c>
      <c r="C7372" t="s">
        <v>109</v>
      </c>
      <c r="D7372" s="13" t="s">
        <v>633</v>
      </c>
      <c r="E7372" t="s">
        <v>199</v>
      </c>
      <c r="F7372" s="11">
        <v>5</v>
      </c>
      <c r="G7372" s="11">
        <v>378151.26</v>
      </c>
    </row>
    <row r="7373" spans="2:7" x14ac:dyDescent="0.2">
      <c r="B7373" s="32">
        <v>46009</v>
      </c>
      <c r="C7373" t="s">
        <v>109</v>
      </c>
      <c r="D7373" s="13" t="s">
        <v>633</v>
      </c>
      <c r="E7373" t="s">
        <v>647</v>
      </c>
      <c r="F7373" s="11">
        <v>4</v>
      </c>
      <c r="G7373" s="11">
        <v>302521.01</v>
      </c>
    </row>
    <row r="7374" spans="2:7" x14ac:dyDescent="0.2">
      <c r="B7374" s="32">
        <v>46009</v>
      </c>
      <c r="C7374" t="s">
        <v>109</v>
      </c>
      <c r="D7374" s="13" t="s">
        <v>633</v>
      </c>
      <c r="E7374" t="s">
        <v>368</v>
      </c>
      <c r="F7374" s="11">
        <v>4</v>
      </c>
      <c r="G7374" s="11">
        <v>302521.01</v>
      </c>
    </row>
    <row r="7375" spans="2:7" x14ac:dyDescent="0.2">
      <c r="B7375" s="32">
        <v>46009</v>
      </c>
      <c r="C7375" t="s">
        <v>109</v>
      </c>
      <c r="D7375" s="13" t="s">
        <v>633</v>
      </c>
      <c r="E7375" t="s">
        <v>2148</v>
      </c>
      <c r="F7375" s="11">
        <v>5</v>
      </c>
      <c r="G7375" s="11">
        <v>210084.02</v>
      </c>
    </row>
    <row r="7376" spans="2:7" x14ac:dyDescent="0.2">
      <c r="B7376" s="32">
        <v>46009</v>
      </c>
      <c r="C7376" t="s">
        <v>109</v>
      </c>
      <c r="D7376" s="13" t="s">
        <v>633</v>
      </c>
      <c r="E7376" t="s">
        <v>149</v>
      </c>
      <c r="F7376" s="11">
        <v>2</v>
      </c>
      <c r="G7376" s="11">
        <v>142857.14000000001</v>
      </c>
    </row>
    <row r="7377" spans="2:7" x14ac:dyDescent="0.2">
      <c r="B7377" s="32">
        <v>46009</v>
      </c>
      <c r="C7377" t="s">
        <v>109</v>
      </c>
      <c r="D7377" s="13" t="s">
        <v>633</v>
      </c>
      <c r="E7377" t="s">
        <v>2063</v>
      </c>
      <c r="F7377" s="11">
        <v>3</v>
      </c>
      <c r="G7377" s="11">
        <v>126050.42</v>
      </c>
    </row>
    <row r="7378" spans="2:7" x14ac:dyDescent="0.2">
      <c r="B7378" s="32">
        <v>46009</v>
      </c>
      <c r="C7378" t="s">
        <v>109</v>
      </c>
      <c r="D7378" s="13" t="s">
        <v>633</v>
      </c>
      <c r="E7378" t="s">
        <v>2102</v>
      </c>
      <c r="F7378" s="11">
        <v>3</v>
      </c>
      <c r="G7378" s="11">
        <v>113445.38</v>
      </c>
    </row>
    <row r="7379" spans="2:7" x14ac:dyDescent="0.2">
      <c r="B7379" s="32">
        <v>46009</v>
      </c>
      <c r="C7379" t="s">
        <v>109</v>
      </c>
      <c r="D7379" s="13" t="s">
        <v>633</v>
      </c>
      <c r="E7379" t="s">
        <v>427</v>
      </c>
      <c r="F7379" s="11">
        <v>2</v>
      </c>
      <c r="G7379" s="11">
        <v>109243.7</v>
      </c>
    </row>
    <row r="7380" spans="2:7" x14ac:dyDescent="0.2">
      <c r="B7380" s="32">
        <v>46009</v>
      </c>
      <c r="C7380" t="s">
        <v>109</v>
      </c>
      <c r="D7380" s="13" t="s">
        <v>633</v>
      </c>
      <c r="E7380" t="s">
        <v>212</v>
      </c>
      <c r="F7380" s="11">
        <v>2</v>
      </c>
      <c r="G7380" s="11">
        <v>109243.7</v>
      </c>
    </row>
    <row r="7381" spans="2:7" x14ac:dyDescent="0.2">
      <c r="B7381" s="32">
        <v>46009</v>
      </c>
      <c r="C7381" t="s">
        <v>109</v>
      </c>
      <c r="D7381" s="13" t="s">
        <v>633</v>
      </c>
      <c r="E7381" t="s">
        <v>327</v>
      </c>
      <c r="F7381" s="11">
        <v>3</v>
      </c>
      <c r="G7381" s="11">
        <v>105000</v>
      </c>
    </row>
    <row r="7382" spans="2:7" x14ac:dyDescent="0.2">
      <c r="B7382" s="32">
        <v>46009</v>
      </c>
      <c r="C7382" t="s">
        <v>109</v>
      </c>
      <c r="D7382" s="13" t="s">
        <v>633</v>
      </c>
      <c r="E7382" t="s">
        <v>2149</v>
      </c>
      <c r="F7382" s="11">
        <v>2</v>
      </c>
      <c r="G7382" s="11">
        <v>100840.33</v>
      </c>
    </row>
    <row r="7383" spans="2:7" x14ac:dyDescent="0.2">
      <c r="B7383" s="32">
        <v>46009</v>
      </c>
      <c r="C7383" t="s">
        <v>109</v>
      </c>
      <c r="D7383" s="13" t="s">
        <v>633</v>
      </c>
      <c r="E7383" t="s">
        <v>2109</v>
      </c>
      <c r="F7383" s="11">
        <v>2</v>
      </c>
      <c r="G7383" s="11">
        <v>75630.25</v>
      </c>
    </row>
    <row r="7384" spans="2:7" x14ac:dyDescent="0.2">
      <c r="B7384" s="32">
        <v>46009</v>
      </c>
      <c r="C7384" t="s">
        <v>109</v>
      </c>
      <c r="D7384" s="13" t="s">
        <v>633</v>
      </c>
      <c r="E7384" t="s">
        <v>558</v>
      </c>
      <c r="F7384" s="11">
        <v>1</v>
      </c>
      <c r="G7384" s="11">
        <v>75630.25</v>
      </c>
    </row>
    <row r="7385" spans="2:7" x14ac:dyDescent="0.2">
      <c r="B7385" s="32">
        <v>46009</v>
      </c>
      <c r="C7385" t="s">
        <v>109</v>
      </c>
      <c r="D7385" s="13" t="s">
        <v>633</v>
      </c>
      <c r="E7385" t="s">
        <v>534</v>
      </c>
      <c r="F7385" s="11">
        <v>1</v>
      </c>
      <c r="G7385" s="11">
        <v>71428.570000000007</v>
      </c>
    </row>
    <row r="7386" spans="2:7" x14ac:dyDescent="0.2">
      <c r="B7386" s="32">
        <v>46009</v>
      </c>
      <c r="C7386" t="s">
        <v>109</v>
      </c>
      <c r="D7386" s="13" t="s">
        <v>633</v>
      </c>
      <c r="E7386" t="s">
        <v>357</v>
      </c>
      <c r="F7386" s="11">
        <v>1</v>
      </c>
      <c r="G7386" s="11">
        <v>71428.570000000007</v>
      </c>
    </row>
    <row r="7387" spans="2:7" x14ac:dyDescent="0.2">
      <c r="B7387" s="32">
        <v>46009</v>
      </c>
      <c r="C7387" t="s">
        <v>109</v>
      </c>
      <c r="D7387" s="13" t="s">
        <v>633</v>
      </c>
      <c r="E7387" t="s">
        <v>336</v>
      </c>
      <c r="F7387" s="11">
        <v>1</v>
      </c>
      <c r="G7387" s="11">
        <v>71428.570000000007</v>
      </c>
    </row>
    <row r="7388" spans="2:7" x14ac:dyDescent="0.2">
      <c r="B7388" s="32">
        <v>46009</v>
      </c>
      <c r="C7388" t="s">
        <v>109</v>
      </c>
      <c r="D7388" s="13" t="s">
        <v>633</v>
      </c>
      <c r="E7388" t="s">
        <v>182</v>
      </c>
      <c r="F7388" s="11">
        <v>2</v>
      </c>
      <c r="G7388" s="11">
        <v>58823.519999999997</v>
      </c>
    </row>
    <row r="7389" spans="2:7" x14ac:dyDescent="0.2">
      <c r="B7389" s="32">
        <v>46010</v>
      </c>
      <c r="C7389" t="s">
        <v>142</v>
      </c>
      <c r="D7389" s="13" t="s">
        <v>634</v>
      </c>
      <c r="E7389" t="s">
        <v>258</v>
      </c>
      <c r="F7389" s="11">
        <v>2</v>
      </c>
      <c r="G7389" s="11">
        <v>109243.7</v>
      </c>
    </row>
    <row r="7390" spans="2:7" x14ac:dyDescent="0.2">
      <c r="B7390" s="32">
        <v>46010</v>
      </c>
      <c r="C7390" t="s">
        <v>142</v>
      </c>
      <c r="D7390" s="13" t="s">
        <v>634</v>
      </c>
      <c r="E7390" t="s">
        <v>260</v>
      </c>
      <c r="F7390" s="11">
        <v>2</v>
      </c>
      <c r="G7390" s="11">
        <v>92436.97</v>
      </c>
    </row>
    <row r="7391" spans="2:7" x14ac:dyDescent="0.2">
      <c r="B7391" s="32">
        <v>46010</v>
      </c>
      <c r="C7391" t="s">
        <v>109</v>
      </c>
      <c r="D7391" s="13"/>
      <c r="E7391" t="s">
        <v>195</v>
      </c>
      <c r="F7391" s="11">
        <v>2</v>
      </c>
      <c r="G7391" s="11">
        <v>92436.98</v>
      </c>
    </row>
    <row r="7392" spans="2:7" x14ac:dyDescent="0.2">
      <c r="B7392" s="32">
        <v>46010</v>
      </c>
      <c r="C7392" t="s">
        <v>109</v>
      </c>
      <c r="D7392" s="13" t="s">
        <v>634</v>
      </c>
      <c r="E7392" t="s">
        <v>196</v>
      </c>
      <c r="F7392" s="11">
        <v>4</v>
      </c>
      <c r="G7392" s="11">
        <v>184873.95</v>
      </c>
    </row>
    <row r="7393" spans="2:7" x14ac:dyDescent="0.2">
      <c r="B7393" s="32">
        <v>46010</v>
      </c>
      <c r="C7393" t="s">
        <v>109</v>
      </c>
      <c r="D7393" s="13" t="s">
        <v>634</v>
      </c>
      <c r="E7393" t="s">
        <v>149</v>
      </c>
      <c r="F7393" s="11">
        <v>2</v>
      </c>
      <c r="G7393" s="11">
        <v>142857.14000000001</v>
      </c>
    </row>
    <row r="7394" spans="2:7" x14ac:dyDescent="0.2">
      <c r="B7394" s="32">
        <v>46010</v>
      </c>
      <c r="C7394" t="s">
        <v>109</v>
      </c>
      <c r="D7394" s="13" t="s">
        <v>634</v>
      </c>
      <c r="E7394" t="s">
        <v>2113</v>
      </c>
      <c r="F7394" s="11">
        <v>3</v>
      </c>
      <c r="G7394" s="11">
        <v>113445.39</v>
      </c>
    </row>
    <row r="7395" spans="2:7" x14ac:dyDescent="0.2">
      <c r="B7395" s="32">
        <v>46010</v>
      </c>
      <c r="C7395" t="s">
        <v>109</v>
      </c>
      <c r="D7395" s="13" t="s">
        <v>634</v>
      </c>
      <c r="E7395" t="s">
        <v>234</v>
      </c>
      <c r="F7395" s="11">
        <v>3</v>
      </c>
      <c r="G7395" s="11">
        <v>113445.39</v>
      </c>
    </row>
    <row r="7396" spans="2:7" x14ac:dyDescent="0.2">
      <c r="B7396" s="32">
        <v>46010</v>
      </c>
      <c r="C7396" t="s">
        <v>109</v>
      </c>
      <c r="D7396" s="13" t="s">
        <v>634</v>
      </c>
      <c r="E7396" t="s">
        <v>1818</v>
      </c>
      <c r="F7396" s="11">
        <v>3</v>
      </c>
      <c r="G7396" s="11">
        <v>113445.37</v>
      </c>
    </row>
    <row r="7397" spans="2:7" x14ac:dyDescent="0.2">
      <c r="B7397" s="32">
        <v>46010</v>
      </c>
      <c r="C7397" t="s">
        <v>109</v>
      </c>
      <c r="D7397" s="13" t="s">
        <v>634</v>
      </c>
      <c r="E7397" t="s">
        <v>212</v>
      </c>
      <c r="F7397" s="11">
        <v>2</v>
      </c>
      <c r="G7397" s="11">
        <v>109243.69</v>
      </c>
    </row>
    <row r="7398" spans="2:7" x14ac:dyDescent="0.2">
      <c r="B7398" s="32">
        <v>46010</v>
      </c>
      <c r="C7398" t="s">
        <v>109</v>
      </c>
      <c r="D7398" s="13" t="s">
        <v>634</v>
      </c>
      <c r="E7398" t="s">
        <v>153</v>
      </c>
      <c r="F7398" s="11">
        <v>2</v>
      </c>
      <c r="G7398" s="11">
        <v>92436.97</v>
      </c>
    </row>
    <row r="7399" spans="2:7" x14ac:dyDescent="0.2">
      <c r="B7399" s="32">
        <v>46010</v>
      </c>
      <c r="C7399" t="s">
        <v>109</v>
      </c>
      <c r="D7399" s="13" t="s">
        <v>634</v>
      </c>
      <c r="E7399" t="s">
        <v>170</v>
      </c>
      <c r="F7399" s="11">
        <v>2</v>
      </c>
      <c r="G7399" s="11">
        <v>92436.97</v>
      </c>
    </row>
    <row r="7400" spans="2:7" x14ac:dyDescent="0.2">
      <c r="B7400" s="32">
        <v>46010</v>
      </c>
      <c r="C7400" t="s">
        <v>109</v>
      </c>
      <c r="D7400" s="13" t="s">
        <v>634</v>
      </c>
      <c r="E7400" t="s">
        <v>296</v>
      </c>
      <c r="F7400" s="11">
        <v>2</v>
      </c>
      <c r="G7400" s="11">
        <v>92436.97</v>
      </c>
    </row>
    <row r="7401" spans="2:7" x14ac:dyDescent="0.2">
      <c r="B7401" s="32">
        <v>46010</v>
      </c>
      <c r="C7401" t="s">
        <v>109</v>
      </c>
      <c r="D7401" s="13" t="s">
        <v>634</v>
      </c>
      <c r="E7401" t="s">
        <v>220</v>
      </c>
      <c r="F7401" s="11">
        <v>1</v>
      </c>
      <c r="G7401" s="11">
        <v>84033.61</v>
      </c>
    </row>
    <row r="7402" spans="2:7" x14ac:dyDescent="0.2">
      <c r="B7402" s="32">
        <v>46010</v>
      </c>
      <c r="C7402" t="s">
        <v>109</v>
      </c>
      <c r="D7402" s="13" t="s">
        <v>634</v>
      </c>
      <c r="E7402" t="s">
        <v>148</v>
      </c>
      <c r="F7402" s="11">
        <v>2</v>
      </c>
      <c r="G7402" s="11">
        <v>75630.259999999995</v>
      </c>
    </row>
    <row r="7403" spans="2:7" x14ac:dyDescent="0.2">
      <c r="B7403" s="32">
        <v>46010</v>
      </c>
      <c r="C7403" t="s">
        <v>109</v>
      </c>
      <c r="D7403" s="13" t="s">
        <v>634</v>
      </c>
      <c r="E7403" t="s">
        <v>145</v>
      </c>
      <c r="F7403" s="11">
        <v>2</v>
      </c>
      <c r="G7403" s="11">
        <v>58823.53</v>
      </c>
    </row>
    <row r="7404" spans="2:7" x14ac:dyDescent="0.2">
      <c r="B7404" s="32">
        <v>46010</v>
      </c>
      <c r="C7404" t="s">
        <v>109</v>
      </c>
      <c r="D7404" s="13" t="s">
        <v>634</v>
      </c>
      <c r="E7404" t="s">
        <v>182</v>
      </c>
      <c r="F7404" s="11">
        <v>2</v>
      </c>
      <c r="G7404" s="11">
        <v>58823.53</v>
      </c>
    </row>
    <row r="7405" spans="2:7" x14ac:dyDescent="0.2">
      <c r="B7405" s="32">
        <v>46010</v>
      </c>
      <c r="C7405" t="s">
        <v>109</v>
      </c>
      <c r="D7405" s="13" t="s">
        <v>634</v>
      </c>
      <c r="E7405" t="s">
        <v>635</v>
      </c>
      <c r="F7405" s="11">
        <v>20</v>
      </c>
      <c r="G7405" s="11">
        <v>58823.53</v>
      </c>
    </row>
    <row r="7406" spans="2:7" x14ac:dyDescent="0.2">
      <c r="B7406" s="32">
        <v>46010</v>
      </c>
      <c r="C7406" t="s">
        <v>109</v>
      </c>
      <c r="D7406" s="13" t="s">
        <v>634</v>
      </c>
      <c r="E7406" t="s">
        <v>2109</v>
      </c>
      <c r="F7406" s="11">
        <v>1</v>
      </c>
      <c r="G7406" s="11">
        <v>37815.129999999997</v>
      </c>
    </row>
    <row r="7407" spans="2:7" x14ac:dyDescent="0.2">
      <c r="B7407" s="32">
        <v>46010</v>
      </c>
      <c r="C7407" t="s">
        <v>109</v>
      </c>
      <c r="D7407" s="13" t="s">
        <v>633</v>
      </c>
      <c r="E7407" t="s">
        <v>144</v>
      </c>
      <c r="F7407" s="11">
        <v>5</v>
      </c>
      <c r="G7407" s="11">
        <v>238655.46</v>
      </c>
    </row>
    <row r="7408" spans="2:7" x14ac:dyDescent="0.2">
      <c r="B7408" s="32">
        <v>46010</v>
      </c>
      <c r="C7408" t="s">
        <v>109</v>
      </c>
      <c r="D7408" s="13" t="s">
        <v>633</v>
      </c>
      <c r="E7408" t="s">
        <v>145</v>
      </c>
      <c r="F7408" s="11">
        <v>6</v>
      </c>
      <c r="G7408" s="11">
        <v>176470.57</v>
      </c>
    </row>
    <row r="7409" spans="2:7" x14ac:dyDescent="0.2">
      <c r="B7409" s="32">
        <v>46010</v>
      </c>
      <c r="C7409" t="s">
        <v>109</v>
      </c>
      <c r="D7409" s="13" t="s">
        <v>633</v>
      </c>
      <c r="E7409" t="s">
        <v>782</v>
      </c>
      <c r="F7409" s="11">
        <v>3</v>
      </c>
      <c r="G7409" s="11">
        <v>163865.54999999999</v>
      </c>
    </row>
    <row r="7410" spans="2:7" x14ac:dyDescent="0.2">
      <c r="B7410" s="32">
        <v>46010</v>
      </c>
      <c r="C7410" t="s">
        <v>109</v>
      </c>
      <c r="D7410" s="13" t="s">
        <v>633</v>
      </c>
      <c r="E7410" t="s">
        <v>166</v>
      </c>
      <c r="F7410" s="11">
        <v>3</v>
      </c>
      <c r="G7410" s="11">
        <v>126050.42</v>
      </c>
    </row>
    <row r="7411" spans="2:7" x14ac:dyDescent="0.2">
      <c r="B7411" s="32">
        <v>46010</v>
      </c>
      <c r="C7411" t="s">
        <v>109</v>
      </c>
      <c r="D7411" s="13" t="s">
        <v>633</v>
      </c>
      <c r="E7411" t="s">
        <v>2148</v>
      </c>
      <c r="F7411" s="11">
        <v>3</v>
      </c>
      <c r="G7411" s="11">
        <v>126050.41</v>
      </c>
    </row>
    <row r="7412" spans="2:7" x14ac:dyDescent="0.2">
      <c r="B7412" s="32">
        <v>46010</v>
      </c>
      <c r="C7412" t="s">
        <v>109</v>
      </c>
      <c r="D7412" s="13" t="s">
        <v>633</v>
      </c>
      <c r="E7412" t="s">
        <v>350</v>
      </c>
      <c r="F7412" s="11">
        <v>2</v>
      </c>
      <c r="G7412" s="11">
        <v>92436.98</v>
      </c>
    </row>
    <row r="7413" spans="2:7" x14ac:dyDescent="0.2">
      <c r="B7413" s="32">
        <v>46010</v>
      </c>
      <c r="C7413" t="s">
        <v>109</v>
      </c>
      <c r="D7413" s="13" t="s">
        <v>633</v>
      </c>
      <c r="E7413" t="s">
        <v>170</v>
      </c>
      <c r="F7413" s="11">
        <v>2</v>
      </c>
      <c r="G7413" s="11">
        <v>92436.97</v>
      </c>
    </row>
    <row r="7414" spans="2:7" x14ac:dyDescent="0.2">
      <c r="B7414" s="32">
        <v>46010</v>
      </c>
      <c r="C7414" t="s">
        <v>109</v>
      </c>
      <c r="D7414" s="13" t="s">
        <v>633</v>
      </c>
      <c r="E7414" t="s">
        <v>168</v>
      </c>
      <c r="F7414" s="11">
        <v>3</v>
      </c>
      <c r="G7414" s="11">
        <v>84033.61</v>
      </c>
    </row>
    <row r="7415" spans="2:7" x14ac:dyDescent="0.2">
      <c r="B7415" s="32">
        <v>46010</v>
      </c>
      <c r="C7415" t="s">
        <v>109</v>
      </c>
      <c r="D7415" s="13" t="s">
        <v>633</v>
      </c>
      <c r="E7415" t="s">
        <v>195</v>
      </c>
      <c r="F7415" s="11">
        <v>1</v>
      </c>
      <c r="G7415" s="11">
        <v>46218.49</v>
      </c>
    </row>
    <row r="7416" spans="2:7" x14ac:dyDescent="0.2">
      <c r="B7416" s="32">
        <v>46010</v>
      </c>
      <c r="C7416" t="s">
        <v>109</v>
      </c>
      <c r="D7416" s="13" t="s">
        <v>633</v>
      </c>
      <c r="E7416" t="s">
        <v>234</v>
      </c>
      <c r="F7416" s="11">
        <v>1</v>
      </c>
      <c r="G7416" s="11">
        <v>37815.129999999997</v>
      </c>
    </row>
    <row r="7417" spans="2:7" x14ac:dyDescent="0.2">
      <c r="B7417" s="32">
        <v>46011</v>
      </c>
      <c r="C7417" t="s">
        <v>142</v>
      </c>
      <c r="D7417" s="13" t="s">
        <v>634</v>
      </c>
      <c r="E7417" t="s">
        <v>145</v>
      </c>
      <c r="F7417" s="11">
        <v>2</v>
      </c>
      <c r="G7417" s="11">
        <v>58823.53</v>
      </c>
    </row>
    <row r="7418" spans="2:7" x14ac:dyDescent="0.2">
      <c r="B7418" s="32">
        <v>46011</v>
      </c>
      <c r="C7418" t="s">
        <v>109</v>
      </c>
      <c r="D7418" s="13"/>
      <c r="E7418" t="s">
        <v>144</v>
      </c>
      <c r="F7418" s="11">
        <v>2</v>
      </c>
      <c r="G7418" s="11">
        <v>70588.240000000005</v>
      </c>
    </row>
    <row r="7419" spans="2:7" x14ac:dyDescent="0.2">
      <c r="B7419" s="32">
        <v>46011</v>
      </c>
      <c r="C7419" t="s">
        <v>109</v>
      </c>
      <c r="D7419" s="13" t="s">
        <v>634</v>
      </c>
      <c r="E7419" t="s">
        <v>145</v>
      </c>
      <c r="F7419" s="11">
        <v>5</v>
      </c>
      <c r="G7419" s="11">
        <v>147058.82</v>
      </c>
    </row>
    <row r="7420" spans="2:7" x14ac:dyDescent="0.2">
      <c r="B7420" s="32">
        <v>46011</v>
      </c>
      <c r="C7420" t="s">
        <v>109</v>
      </c>
      <c r="D7420" s="13" t="s">
        <v>634</v>
      </c>
      <c r="F7420" s="11">
        <v>1</v>
      </c>
      <c r="G7420" s="11">
        <v>121848.74</v>
      </c>
    </row>
    <row r="7421" spans="2:7" x14ac:dyDescent="0.2">
      <c r="B7421" s="32">
        <v>46011</v>
      </c>
      <c r="C7421" t="s">
        <v>109</v>
      </c>
      <c r="D7421" s="13" t="s">
        <v>634</v>
      </c>
      <c r="E7421" t="s">
        <v>212</v>
      </c>
      <c r="F7421" s="11">
        <v>2</v>
      </c>
      <c r="G7421" s="11">
        <v>109243.7</v>
      </c>
    </row>
    <row r="7422" spans="2:7" x14ac:dyDescent="0.2">
      <c r="B7422" s="32">
        <v>46011</v>
      </c>
      <c r="C7422" t="s">
        <v>109</v>
      </c>
      <c r="D7422" s="13" t="s">
        <v>634</v>
      </c>
      <c r="E7422" t="s">
        <v>445</v>
      </c>
      <c r="F7422" s="11">
        <v>2</v>
      </c>
      <c r="G7422" s="11">
        <v>100840.34</v>
      </c>
    </row>
    <row r="7423" spans="2:7" x14ac:dyDescent="0.2">
      <c r="B7423" s="32">
        <v>46011</v>
      </c>
      <c r="C7423" t="s">
        <v>109</v>
      </c>
      <c r="D7423" s="13" t="s">
        <v>634</v>
      </c>
      <c r="E7423" t="s">
        <v>330</v>
      </c>
      <c r="F7423" s="11">
        <v>2</v>
      </c>
      <c r="G7423" s="11">
        <v>75630.240000000005</v>
      </c>
    </row>
    <row r="7424" spans="2:7" x14ac:dyDescent="0.2">
      <c r="B7424" s="32">
        <v>46011</v>
      </c>
      <c r="C7424" t="s">
        <v>109</v>
      </c>
      <c r="D7424" s="13" t="s">
        <v>634</v>
      </c>
      <c r="E7424" t="s">
        <v>362</v>
      </c>
      <c r="F7424" s="11">
        <v>1</v>
      </c>
      <c r="G7424" s="11">
        <v>54621.85</v>
      </c>
    </row>
    <row r="7425" spans="2:7" x14ac:dyDescent="0.2">
      <c r="B7425" s="32">
        <v>46011</v>
      </c>
      <c r="C7425" t="s">
        <v>109</v>
      </c>
      <c r="D7425" s="13" t="s">
        <v>634</v>
      </c>
      <c r="E7425" t="s">
        <v>153</v>
      </c>
      <c r="F7425" s="11">
        <v>1</v>
      </c>
      <c r="G7425" s="11">
        <v>46218.49</v>
      </c>
    </row>
    <row r="7426" spans="2:7" x14ac:dyDescent="0.2">
      <c r="B7426" s="32">
        <v>46011</v>
      </c>
      <c r="C7426" t="s">
        <v>109</v>
      </c>
      <c r="D7426" s="13" t="s">
        <v>633</v>
      </c>
      <c r="F7426" s="11">
        <v>4</v>
      </c>
      <c r="G7426" s="11">
        <v>388235.29</v>
      </c>
    </row>
    <row r="7427" spans="2:7" x14ac:dyDescent="0.2">
      <c r="B7427" s="32">
        <v>46011</v>
      </c>
      <c r="C7427" t="s">
        <v>109</v>
      </c>
      <c r="D7427" s="13" t="s">
        <v>633</v>
      </c>
      <c r="E7427" t="s">
        <v>240</v>
      </c>
      <c r="F7427" s="11">
        <v>8</v>
      </c>
      <c r="G7427" s="11">
        <v>369747.92</v>
      </c>
    </row>
    <row r="7428" spans="2:7" x14ac:dyDescent="0.2">
      <c r="B7428" s="32">
        <v>46011</v>
      </c>
      <c r="C7428" t="s">
        <v>109</v>
      </c>
      <c r="D7428" s="13" t="s">
        <v>633</v>
      </c>
      <c r="E7428" t="s">
        <v>168</v>
      </c>
      <c r="F7428" s="11">
        <v>7</v>
      </c>
      <c r="G7428" s="11">
        <v>323529.40000000002</v>
      </c>
    </row>
    <row r="7429" spans="2:7" x14ac:dyDescent="0.2">
      <c r="B7429" s="32">
        <v>46011</v>
      </c>
      <c r="C7429" t="s">
        <v>109</v>
      </c>
      <c r="D7429" s="13" t="s">
        <v>633</v>
      </c>
      <c r="E7429" t="s">
        <v>327</v>
      </c>
      <c r="F7429" s="11">
        <v>7</v>
      </c>
      <c r="G7429" s="11">
        <v>245000</v>
      </c>
    </row>
    <row r="7430" spans="2:7" x14ac:dyDescent="0.2">
      <c r="B7430" s="32">
        <v>46011</v>
      </c>
      <c r="C7430" t="s">
        <v>109</v>
      </c>
      <c r="D7430" s="13" t="s">
        <v>633</v>
      </c>
      <c r="E7430" t="s">
        <v>182</v>
      </c>
      <c r="F7430" s="11">
        <v>8</v>
      </c>
      <c r="G7430" s="11">
        <v>235294.12</v>
      </c>
    </row>
    <row r="7431" spans="2:7" x14ac:dyDescent="0.2">
      <c r="B7431" s="32">
        <v>46011</v>
      </c>
      <c r="C7431" t="s">
        <v>109</v>
      </c>
      <c r="D7431" s="13" t="s">
        <v>633</v>
      </c>
      <c r="E7431" t="s">
        <v>156</v>
      </c>
      <c r="F7431" s="11">
        <v>5</v>
      </c>
      <c r="G7431" s="11">
        <v>210084.03</v>
      </c>
    </row>
    <row r="7432" spans="2:7" x14ac:dyDescent="0.2">
      <c r="B7432" s="32">
        <v>46011</v>
      </c>
      <c r="C7432" t="s">
        <v>109</v>
      </c>
      <c r="D7432" s="13" t="s">
        <v>633</v>
      </c>
      <c r="E7432" t="s">
        <v>145</v>
      </c>
      <c r="F7432" s="11">
        <v>6</v>
      </c>
      <c r="G7432" s="11">
        <v>176470.58</v>
      </c>
    </row>
    <row r="7433" spans="2:7" x14ac:dyDescent="0.2">
      <c r="B7433" s="32">
        <v>46011</v>
      </c>
      <c r="C7433" t="s">
        <v>109</v>
      </c>
      <c r="D7433" s="13" t="s">
        <v>633</v>
      </c>
      <c r="E7433" t="s">
        <v>144</v>
      </c>
      <c r="F7433" s="11">
        <v>12</v>
      </c>
      <c r="G7433" s="11">
        <v>164705.88</v>
      </c>
    </row>
    <row r="7434" spans="2:7" x14ac:dyDescent="0.2">
      <c r="B7434" s="32">
        <v>46011</v>
      </c>
      <c r="C7434" t="s">
        <v>109</v>
      </c>
      <c r="D7434" s="13" t="s">
        <v>633</v>
      </c>
      <c r="E7434" t="s">
        <v>647</v>
      </c>
      <c r="F7434" s="11">
        <v>2</v>
      </c>
      <c r="G7434" s="11">
        <v>151260.5</v>
      </c>
    </row>
    <row r="7435" spans="2:7" x14ac:dyDescent="0.2">
      <c r="B7435" s="32">
        <v>46011</v>
      </c>
      <c r="C7435" t="s">
        <v>109</v>
      </c>
      <c r="D7435" s="13" t="s">
        <v>633</v>
      </c>
      <c r="E7435" t="s">
        <v>189</v>
      </c>
      <c r="F7435" s="11">
        <v>2</v>
      </c>
      <c r="G7435" s="11">
        <v>142857.14000000001</v>
      </c>
    </row>
    <row r="7436" spans="2:7" x14ac:dyDescent="0.2">
      <c r="B7436" s="32">
        <v>46011</v>
      </c>
      <c r="C7436" t="s">
        <v>109</v>
      </c>
      <c r="D7436" s="13" t="s">
        <v>633</v>
      </c>
      <c r="E7436" t="s">
        <v>170</v>
      </c>
      <c r="F7436" s="11">
        <v>3</v>
      </c>
      <c r="G7436" s="11">
        <v>138655.47</v>
      </c>
    </row>
    <row r="7437" spans="2:7" x14ac:dyDescent="0.2">
      <c r="B7437" s="32">
        <v>46011</v>
      </c>
      <c r="C7437" t="s">
        <v>109</v>
      </c>
      <c r="D7437" s="13" t="s">
        <v>633</v>
      </c>
      <c r="E7437" t="s">
        <v>150</v>
      </c>
      <c r="F7437" s="11">
        <v>3</v>
      </c>
      <c r="G7437" s="11">
        <v>138655.47</v>
      </c>
    </row>
    <row r="7438" spans="2:7" x14ac:dyDescent="0.2">
      <c r="B7438" s="32">
        <v>46011</v>
      </c>
      <c r="C7438" t="s">
        <v>109</v>
      </c>
      <c r="D7438" s="13" t="s">
        <v>633</v>
      </c>
      <c r="E7438" t="s">
        <v>196</v>
      </c>
      <c r="F7438" s="11">
        <v>3</v>
      </c>
      <c r="G7438" s="11">
        <v>138655.46</v>
      </c>
    </row>
    <row r="7439" spans="2:7" x14ac:dyDescent="0.2">
      <c r="B7439" s="32">
        <v>46011</v>
      </c>
      <c r="C7439" t="s">
        <v>109</v>
      </c>
      <c r="D7439" s="13" t="s">
        <v>633</v>
      </c>
      <c r="E7439" t="s">
        <v>2063</v>
      </c>
      <c r="F7439" s="11">
        <v>3</v>
      </c>
      <c r="G7439" s="11">
        <v>126050.42</v>
      </c>
    </row>
    <row r="7440" spans="2:7" x14ac:dyDescent="0.2">
      <c r="B7440" s="32">
        <v>46011</v>
      </c>
      <c r="C7440" t="s">
        <v>109</v>
      </c>
      <c r="D7440" s="13" t="s">
        <v>633</v>
      </c>
      <c r="E7440" t="s">
        <v>2046</v>
      </c>
      <c r="F7440" s="11">
        <v>2</v>
      </c>
      <c r="G7440" s="11">
        <v>122689.08</v>
      </c>
    </row>
    <row r="7441" spans="2:7" x14ac:dyDescent="0.2">
      <c r="B7441" s="32">
        <v>46011</v>
      </c>
      <c r="C7441" t="s">
        <v>109</v>
      </c>
      <c r="D7441" s="13" t="s">
        <v>633</v>
      </c>
      <c r="E7441" t="s">
        <v>348</v>
      </c>
      <c r="F7441" s="11">
        <v>2</v>
      </c>
      <c r="G7441" s="11">
        <v>109243.69</v>
      </c>
    </row>
    <row r="7442" spans="2:7" x14ac:dyDescent="0.2">
      <c r="B7442" s="32">
        <v>46011</v>
      </c>
      <c r="C7442" t="s">
        <v>109</v>
      </c>
      <c r="D7442" s="13" t="s">
        <v>633</v>
      </c>
      <c r="E7442" t="s">
        <v>167</v>
      </c>
      <c r="F7442" s="11">
        <v>1</v>
      </c>
      <c r="G7442" s="11">
        <v>100840.34</v>
      </c>
    </row>
    <row r="7443" spans="2:7" x14ac:dyDescent="0.2">
      <c r="B7443" s="32">
        <v>46011</v>
      </c>
      <c r="C7443" t="s">
        <v>109</v>
      </c>
      <c r="D7443" s="13" t="s">
        <v>633</v>
      </c>
      <c r="E7443" t="s">
        <v>153</v>
      </c>
      <c r="F7443" s="11">
        <v>2</v>
      </c>
      <c r="G7443" s="11">
        <v>92436.98</v>
      </c>
    </row>
    <row r="7444" spans="2:7" x14ac:dyDescent="0.2">
      <c r="B7444" s="32">
        <v>46011</v>
      </c>
      <c r="C7444" t="s">
        <v>109</v>
      </c>
      <c r="D7444" s="13" t="s">
        <v>633</v>
      </c>
      <c r="E7444" t="s">
        <v>195</v>
      </c>
      <c r="F7444" s="11">
        <v>2</v>
      </c>
      <c r="G7444" s="11">
        <v>92436.98</v>
      </c>
    </row>
    <row r="7445" spans="2:7" x14ac:dyDescent="0.2">
      <c r="B7445" s="32">
        <v>46011</v>
      </c>
      <c r="C7445" t="s">
        <v>109</v>
      </c>
      <c r="D7445" s="13" t="s">
        <v>633</v>
      </c>
      <c r="E7445" t="s">
        <v>198</v>
      </c>
      <c r="F7445" s="11">
        <v>2</v>
      </c>
      <c r="G7445" s="11">
        <v>92436.98</v>
      </c>
    </row>
    <row r="7446" spans="2:7" x14ac:dyDescent="0.2">
      <c r="B7446" s="32">
        <v>46011</v>
      </c>
      <c r="C7446" t="s">
        <v>109</v>
      </c>
      <c r="D7446" s="13" t="s">
        <v>633</v>
      </c>
      <c r="E7446" t="s">
        <v>2148</v>
      </c>
      <c r="F7446" s="11">
        <v>2</v>
      </c>
      <c r="G7446" s="11">
        <v>84033.61</v>
      </c>
    </row>
    <row r="7447" spans="2:7" x14ac:dyDescent="0.2">
      <c r="B7447" s="32">
        <v>46011</v>
      </c>
      <c r="C7447" t="s">
        <v>109</v>
      </c>
      <c r="D7447" s="13" t="s">
        <v>633</v>
      </c>
      <c r="E7447" t="s">
        <v>234</v>
      </c>
      <c r="F7447" s="11">
        <v>2</v>
      </c>
      <c r="G7447" s="11">
        <v>75630.25</v>
      </c>
    </row>
    <row r="7448" spans="2:7" x14ac:dyDescent="0.2">
      <c r="B7448" s="32">
        <v>46011</v>
      </c>
      <c r="C7448" t="s">
        <v>109</v>
      </c>
      <c r="D7448" s="13" t="s">
        <v>633</v>
      </c>
      <c r="E7448" t="s">
        <v>357</v>
      </c>
      <c r="F7448" s="11">
        <v>1</v>
      </c>
      <c r="G7448" s="11">
        <v>71428.570000000007</v>
      </c>
    </row>
    <row r="7449" spans="2:7" x14ac:dyDescent="0.2">
      <c r="B7449" s="32">
        <v>46011</v>
      </c>
      <c r="C7449" t="s">
        <v>109</v>
      </c>
      <c r="D7449" s="13" t="s">
        <v>633</v>
      </c>
      <c r="E7449" t="s">
        <v>1920</v>
      </c>
      <c r="F7449" s="11">
        <v>1</v>
      </c>
      <c r="G7449" s="11">
        <v>58823.53</v>
      </c>
    </row>
    <row r="7450" spans="2:7" x14ac:dyDescent="0.2">
      <c r="B7450" s="32">
        <v>46011</v>
      </c>
      <c r="C7450" t="s">
        <v>109</v>
      </c>
      <c r="D7450" s="13" t="s">
        <v>633</v>
      </c>
      <c r="E7450" t="s">
        <v>654</v>
      </c>
      <c r="F7450" s="11">
        <v>1</v>
      </c>
      <c r="G7450" s="11">
        <v>54621.85</v>
      </c>
    </row>
    <row r="7451" spans="2:7" x14ac:dyDescent="0.2">
      <c r="B7451" s="32">
        <v>46011</v>
      </c>
      <c r="C7451" t="s">
        <v>109</v>
      </c>
      <c r="D7451" s="13" t="s">
        <v>633</v>
      </c>
      <c r="E7451" t="s">
        <v>203</v>
      </c>
      <c r="F7451" s="11">
        <v>1</v>
      </c>
      <c r="G7451" s="11">
        <v>42016.800000000003</v>
      </c>
    </row>
    <row r="7452" spans="2:7" x14ac:dyDescent="0.2">
      <c r="B7452" s="32">
        <v>46011</v>
      </c>
      <c r="C7452" t="s">
        <v>109</v>
      </c>
      <c r="D7452" s="13" t="s">
        <v>633</v>
      </c>
      <c r="E7452" t="s">
        <v>2109</v>
      </c>
      <c r="F7452" s="11">
        <v>1</v>
      </c>
      <c r="G7452" s="11">
        <v>37815.129999999997</v>
      </c>
    </row>
    <row r="7453" spans="2:7" x14ac:dyDescent="0.2">
      <c r="B7453" s="32">
        <v>46011</v>
      </c>
      <c r="C7453" t="s">
        <v>109</v>
      </c>
      <c r="D7453" s="13" t="s">
        <v>633</v>
      </c>
      <c r="E7453" t="s">
        <v>2030</v>
      </c>
      <c r="F7453" s="11">
        <v>1</v>
      </c>
      <c r="G7453" s="11">
        <v>16806.72</v>
      </c>
    </row>
    <row r="7454" spans="2:7" x14ac:dyDescent="0.2">
      <c r="B7454" s="32">
        <v>46012</v>
      </c>
      <c r="C7454" t="s">
        <v>142</v>
      </c>
      <c r="D7454" s="13" t="s">
        <v>634</v>
      </c>
      <c r="E7454" t="s">
        <v>365</v>
      </c>
      <c r="F7454" s="11">
        <v>1</v>
      </c>
      <c r="G7454" s="11">
        <v>184873.95</v>
      </c>
    </row>
    <row r="7455" spans="2:7" x14ac:dyDescent="0.2">
      <c r="B7455" s="32">
        <v>46012</v>
      </c>
      <c r="C7455" t="s">
        <v>142</v>
      </c>
      <c r="D7455" s="13" t="s">
        <v>634</v>
      </c>
      <c r="E7455" t="s">
        <v>1752</v>
      </c>
      <c r="F7455" s="11">
        <v>2</v>
      </c>
      <c r="G7455" s="11">
        <v>109243.7</v>
      </c>
    </row>
    <row r="7456" spans="2:7" x14ac:dyDescent="0.2">
      <c r="B7456" s="32">
        <v>46012</v>
      </c>
      <c r="C7456" t="s">
        <v>109</v>
      </c>
      <c r="D7456" s="13"/>
      <c r="E7456" t="s">
        <v>234</v>
      </c>
      <c r="F7456" s="11">
        <v>2</v>
      </c>
      <c r="G7456" s="11">
        <v>75630.25</v>
      </c>
    </row>
    <row r="7457" spans="2:7" x14ac:dyDescent="0.2">
      <c r="B7457" s="32">
        <v>46012</v>
      </c>
      <c r="C7457" t="s">
        <v>109</v>
      </c>
      <c r="D7457" s="13" t="s">
        <v>634</v>
      </c>
      <c r="F7457" s="11">
        <v>7</v>
      </c>
      <c r="G7457" s="11">
        <v>773109.25</v>
      </c>
    </row>
    <row r="7458" spans="2:7" x14ac:dyDescent="0.2">
      <c r="B7458" s="32">
        <v>46012</v>
      </c>
      <c r="C7458" t="s">
        <v>109</v>
      </c>
      <c r="D7458" s="13" t="s">
        <v>634</v>
      </c>
      <c r="E7458" t="s">
        <v>144</v>
      </c>
      <c r="F7458" s="11">
        <v>5</v>
      </c>
      <c r="G7458" s="11">
        <v>285714.28000000003</v>
      </c>
    </row>
    <row r="7459" spans="2:7" x14ac:dyDescent="0.2">
      <c r="B7459" s="32">
        <v>46012</v>
      </c>
      <c r="C7459" t="s">
        <v>109</v>
      </c>
      <c r="D7459" s="13" t="s">
        <v>634</v>
      </c>
      <c r="E7459" t="s">
        <v>151</v>
      </c>
      <c r="F7459" s="11">
        <v>6</v>
      </c>
      <c r="G7459" s="11">
        <v>277310.93</v>
      </c>
    </row>
    <row r="7460" spans="2:7" x14ac:dyDescent="0.2">
      <c r="B7460" s="32">
        <v>46012</v>
      </c>
      <c r="C7460" t="s">
        <v>109</v>
      </c>
      <c r="D7460" s="13" t="s">
        <v>634</v>
      </c>
      <c r="E7460" t="s">
        <v>427</v>
      </c>
      <c r="F7460" s="11">
        <v>5</v>
      </c>
      <c r="G7460" s="11">
        <v>273109.24</v>
      </c>
    </row>
    <row r="7461" spans="2:7" x14ac:dyDescent="0.2">
      <c r="B7461" s="32">
        <v>46012</v>
      </c>
      <c r="C7461" t="s">
        <v>109</v>
      </c>
      <c r="D7461" s="13" t="s">
        <v>634</v>
      </c>
      <c r="E7461" t="s">
        <v>159</v>
      </c>
      <c r="F7461" s="11">
        <v>1</v>
      </c>
      <c r="G7461" s="11">
        <v>243697.47</v>
      </c>
    </row>
    <row r="7462" spans="2:7" x14ac:dyDescent="0.2">
      <c r="B7462" s="32">
        <v>46012</v>
      </c>
      <c r="C7462" t="s">
        <v>109</v>
      </c>
      <c r="D7462" s="13" t="s">
        <v>634</v>
      </c>
      <c r="E7462" t="s">
        <v>145</v>
      </c>
      <c r="F7462" s="11">
        <v>5</v>
      </c>
      <c r="G7462" s="11">
        <v>152647.04999999999</v>
      </c>
    </row>
    <row r="7463" spans="2:7" x14ac:dyDescent="0.2">
      <c r="B7463" s="32">
        <v>46012</v>
      </c>
      <c r="C7463" t="s">
        <v>109</v>
      </c>
      <c r="D7463" s="13" t="s">
        <v>634</v>
      </c>
      <c r="E7463" t="s">
        <v>350</v>
      </c>
      <c r="F7463" s="11">
        <v>2</v>
      </c>
      <c r="G7463" s="11">
        <v>92436.98</v>
      </c>
    </row>
    <row r="7464" spans="2:7" x14ac:dyDescent="0.2">
      <c r="B7464" s="32">
        <v>46012</v>
      </c>
      <c r="C7464" t="s">
        <v>109</v>
      </c>
      <c r="D7464" s="13" t="s">
        <v>634</v>
      </c>
      <c r="E7464" t="s">
        <v>225</v>
      </c>
      <c r="F7464" s="11">
        <v>2</v>
      </c>
      <c r="G7464" s="11">
        <v>92436.98</v>
      </c>
    </row>
    <row r="7465" spans="2:7" x14ac:dyDescent="0.2">
      <c r="B7465" s="32">
        <v>46012</v>
      </c>
      <c r="C7465" t="s">
        <v>109</v>
      </c>
      <c r="D7465" s="13" t="s">
        <v>634</v>
      </c>
      <c r="E7465" t="s">
        <v>668</v>
      </c>
      <c r="F7465" s="11">
        <v>1</v>
      </c>
      <c r="G7465" s="11">
        <v>84033.61</v>
      </c>
    </row>
    <row r="7466" spans="2:7" x14ac:dyDescent="0.2">
      <c r="B7466" s="32">
        <v>46012</v>
      </c>
      <c r="C7466" t="s">
        <v>109</v>
      </c>
      <c r="D7466" s="13" t="s">
        <v>634</v>
      </c>
      <c r="E7466" t="s">
        <v>475</v>
      </c>
      <c r="F7466" s="11">
        <v>1</v>
      </c>
      <c r="G7466" s="11">
        <v>71428.570000000007</v>
      </c>
    </row>
    <row r="7467" spans="2:7" x14ac:dyDescent="0.2">
      <c r="B7467" s="32">
        <v>46012</v>
      </c>
      <c r="C7467" t="s">
        <v>109</v>
      </c>
      <c r="D7467" s="13" t="s">
        <v>634</v>
      </c>
      <c r="E7467" t="s">
        <v>327</v>
      </c>
      <c r="F7467" s="11">
        <v>2</v>
      </c>
      <c r="G7467" s="11">
        <v>70000</v>
      </c>
    </row>
    <row r="7468" spans="2:7" x14ac:dyDescent="0.2">
      <c r="B7468" s="32">
        <v>46012</v>
      </c>
      <c r="C7468" t="s">
        <v>109</v>
      </c>
      <c r="D7468" s="13" t="s">
        <v>634</v>
      </c>
      <c r="E7468" t="s">
        <v>338</v>
      </c>
      <c r="F7468" s="11">
        <v>1</v>
      </c>
      <c r="G7468" s="11">
        <v>46218.49</v>
      </c>
    </row>
    <row r="7469" spans="2:7" x14ac:dyDescent="0.2">
      <c r="B7469" s="32">
        <v>46012</v>
      </c>
      <c r="C7469" t="s">
        <v>109</v>
      </c>
      <c r="D7469" s="13" t="s">
        <v>633</v>
      </c>
      <c r="F7469" s="11">
        <v>4</v>
      </c>
      <c r="G7469" s="11">
        <v>365546.22</v>
      </c>
    </row>
    <row r="7470" spans="2:7" x14ac:dyDescent="0.2">
      <c r="B7470" s="32">
        <v>46012</v>
      </c>
      <c r="C7470" t="s">
        <v>109</v>
      </c>
      <c r="D7470" s="13" t="s">
        <v>633</v>
      </c>
      <c r="E7470" t="s">
        <v>2063</v>
      </c>
      <c r="F7470" s="11">
        <v>4</v>
      </c>
      <c r="G7470" s="11">
        <v>168067.23</v>
      </c>
    </row>
    <row r="7471" spans="2:7" x14ac:dyDescent="0.2">
      <c r="B7471" s="32">
        <v>46012</v>
      </c>
      <c r="C7471" t="s">
        <v>109</v>
      </c>
      <c r="D7471" s="13" t="s">
        <v>633</v>
      </c>
      <c r="E7471" t="s">
        <v>240</v>
      </c>
      <c r="F7471" s="11">
        <v>3</v>
      </c>
      <c r="G7471" s="11">
        <v>138655.46</v>
      </c>
    </row>
    <row r="7472" spans="2:7" x14ac:dyDescent="0.2">
      <c r="B7472" s="32">
        <v>46012</v>
      </c>
      <c r="C7472" t="s">
        <v>109</v>
      </c>
      <c r="D7472" s="13" t="s">
        <v>633</v>
      </c>
      <c r="E7472" t="s">
        <v>2148</v>
      </c>
      <c r="F7472" s="11">
        <v>3</v>
      </c>
      <c r="G7472" s="11">
        <v>126050.42</v>
      </c>
    </row>
    <row r="7473" spans="2:7" x14ac:dyDescent="0.2">
      <c r="B7473" s="32">
        <v>46012</v>
      </c>
      <c r="C7473" t="s">
        <v>109</v>
      </c>
      <c r="D7473" s="13" t="s">
        <v>633</v>
      </c>
      <c r="E7473" t="s">
        <v>196</v>
      </c>
      <c r="F7473" s="11">
        <v>2</v>
      </c>
      <c r="G7473" s="11">
        <v>92436.98</v>
      </c>
    </row>
    <row r="7474" spans="2:7" x14ac:dyDescent="0.2">
      <c r="B7474" s="32">
        <v>46012</v>
      </c>
      <c r="C7474" t="s">
        <v>109</v>
      </c>
      <c r="D7474" s="13" t="s">
        <v>633</v>
      </c>
      <c r="E7474" t="s">
        <v>339</v>
      </c>
      <c r="F7474" s="11">
        <v>1</v>
      </c>
      <c r="G7474" s="11">
        <v>71428.570000000007</v>
      </c>
    </row>
    <row r="7475" spans="2:7" x14ac:dyDescent="0.2">
      <c r="B7475" s="32">
        <v>46012</v>
      </c>
      <c r="C7475" t="s">
        <v>109</v>
      </c>
      <c r="D7475" s="13" t="s">
        <v>633</v>
      </c>
      <c r="E7475" t="s">
        <v>144</v>
      </c>
      <c r="F7475" s="11">
        <v>2</v>
      </c>
      <c r="G7475" s="11">
        <v>60504.2</v>
      </c>
    </row>
    <row r="7476" spans="2:7" x14ac:dyDescent="0.2">
      <c r="B7476" s="32">
        <v>46012</v>
      </c>
      <c r="C7476" t="s">
        <v>109</v>
      </c>
      <c r="D7476" s="13" t="s">
        <v>633</v>
      </c>
      <c r="E7476" t="s">
        <v>212</v>
      </c>
      <c r="F7476" s="11">
        <v>1</v>
      </c>
      <c r="G7476" s="11">
        <v>54621.85</v>
      </c>
    </row>
    <row r="7477" spans="2:7" x14ac:dyDescent="0.2">
      <c r="B7477" s="32">
        <v>46012</v>
      </c>
      <c r="C7477" t="s">
        <v>109</v>
      </c>
      <c r="D7477" s="13" t="s">
        <v>633</v>
      </c>
      <c r="E7477" t="s">
        <v>337</v>
      </c>
      <c r="F7477" s="11">
        <v>1</v>
      </c>
      <c r="G7477" s="11">
        <v>46218.49</v>
      </c>
    </row>
    <row r="7478" spans="2:7" x14ac:dyDescent="0.2">
      <c r="B7478" s="32">
        <v>46012</v>
      </c>
      <c r="C7478" t="s">
        <v>109</v>
      </c>
      <c r="D7478" s="13" t="s">
        <v>633</v>
      </c>
      <c r="E7478" t="s">
        <v>180</v>
      </c>
      <c r="F7478" s="11">
        <v>2</v>
      </c>
      <c r="G7478" s="11">
        <v>33613.449999999997</v>
      </c>
    </row>
    <row r="7479" spans="2:7" x14ac:dyDescent="0.2">
      <c r="B7479" s="32">
        <v>46012</v>
      </c>
      <c r="C7479" t="s">
        <v>109</v>
      </c>
      <c r="D7479" s="13" t="s">
        <v>633</v>
      </c>
      <c r="E7479" t="s">
        <v>1858</v>
      </c>
      <c r="F7479" s="11">
        <v>4</v>
      </c>
      <c r="G7479" s="11">
        <v>29915.97</v>
      </c>
    </row>
    <row r="7480" spans="2:7" x14ac:dyDescent="0.2">
      <c r="B7480" s="32">
        <v>46012</v>
      </c>
      <c r="C7480" t="s">
        <v>109</v>
      </c>
      <c r="D7480" s="13" t="s">
        <v>633</v>
      </c>
      <c r="E7480" t="s">
        <v>1846</v>
      </c>
      <c r="F7480" s="11">
        <v>1</v>
      </c>
      <c r="G7480" s="11">
        <v>21008.400000000001</v>
      </c>
    </row>
    <row r="7481" spans="2:7" x14ac:dyDescent="0.2">
      <c r="B7481" s="32">
        <v>46013</v>
      </c>
      <c r="C7481" t="s">
        <v>108</v>
      </c>
      <c r="D7481" s="13" t="s">
        <v>633</v>
      </c>
      <c r="E7481" t="s">
        <v>413</v>
      </c>
      <c r="F7481" s="11">
        <v>100</v>
      </c>
      <c r="G7481" s="11">
        <v>6386554.6200000001</v>
      </c>
    </row>
    <row r="7482" spans="2:7" x14ac:dyDescent="0.2">
      <c r="B7482" s="32">
        <v>46013</v>
      </c>
      <c r="C7482" t="s">
        <v>142</v>
      </c>
      <c r="D7482" s="13" t="s">
        <v>633</v>
      </c>
      <c r="E7482" t="s">
        <v>276</v>
      </c>
      <c r="F7482" s="11">
        <v>1</v>
      </c>
      <c r="G7482" s="11">
        <v>58823.53</v>
      </c>
    </row>
    <row r="7483" spans="2:7" x14ac:dyDescent="0.2">
      <c r="B7483" s="32">
        <v>46013</v>
      </c>
      <c r="C7483" t="s">
        <v>109</v>
      </c>
      <c r="D7483" s="13"/>
      <c r="E7483" t="s">
        <v>203</v>
      </c>
      <c r="F7483" s="11">
        <v>2</v>
      </c>
      <c r="G7483" s="11">
        <v>84033.62</v>
      </c>
    </row>
    <row r="7484" spans="2:7" x14ac:dyDescent="0.2">
      <c r="B7484" s="32">
        <v>46013</v>
      </c>
      <c r="C7484" t="s">
        <v>109</v>
      </c>
      <c r="D7484" s="13"/>
      <c r="E7484" t="s">
        <v>768</v>
      </c>
      <c r="F7484" s="11">
        <v>1</v>
      </c>
      <c r="G7484" s="11">
        <v>46218.49</v>
      </c>
    </row>
    <row r="7485" spans="2:7" x14ac:dyDescent="0.2">
      <c r="B7485" s="32">
        <v>46013</v>
      </c>
      <c r="C7485" t="s">
        <v>109</v>
      </c>
      <c r="D7485" s="13"/>
      <c r="E7485" t="s">
        <v>2109</v>
      </c>
      <c r="F7485" s="11">
        <v>1</v>
      </c>
      <c r="G7485" s="11">
        <v>37815.129999999997</v>
      </c>
    </row>
    <row r="7486" spans="2:7" x14ac:dyDescent="0.2">
      <c r="B7486" s="32">
        <v>46013</v>
      </c>
      <c r="C7486" t="s">
        <v>109</v>
      </c>
      <c r="D7486" s="13" t="s">
        <v>634</v>
      </c>
      <c r="F7486" s="11">
        <v>4</v>
      </c>
      <c r="G7486" s="11">
        <v>483193.27</v>
      </c>
    </row>
    <row r="7487" spans="2:7" x14ac:dyDescent="0.2">
      <c r="B7487" s="32">
        <v>46013</v>
      </c>
      <c r="C7487" t="s">
        <v>109</v>
      </c>
      <c r="D7487" s="13" t="s">
        <v>634</v>
      </c>
      <c r="E7487" t="s">
        <v>245</v>
      </c>
      <c r="F7487" s="11">
        <v>2</v>
      </c>
      <c r="G7487" s="11">
        <v>252100.84</v>
      </c>
    </row>
    <row r="7488" spans="2:7" x14ac:dyDescent="0.2">
      <c r="B7488" s="32">
        <v>46013</v>
      </c>
      <c r="C7488" t="s">
        <v>109</v>
      </c>
      <c r="D7488" s="13" t="s">
        <v>634</v>
      </c>
      <c r="E7488" t="s">
        <v>293</v>
      </c>
      <c r="F7488" s="11">
        <v>5</v>
      </c>
      <c r="G7488" s="11">
        <v>189075.62</v>
      </c>
    </row>
    <row r="7489" spans="2:7" x14ac:dyDescent="0.2">
      <c r="B7489" s="32">
        <v>46013</v>
      </c>
      <c r="C7489" t="s">
        <v>109</v>
      </c>
      <c r="D7489" s="13" t="s">
        <v>634</v>
      </c>
      <c r="E7489" t="s">
        <v>156</v>
      </c>
      <c r="F7489" s="11">
        <v>4</v>
      </c>
      <c r="G7489" s="11">
        <v>168067.23</v>
      </c>
    </row>
    <row r="7490" spans="2:7" x14ac:dyDescent="0.2">
      <c r="B7490" s="32">
        <v>46013</v>
      </c>
      <c r="C7490" t="s">
        <v>109</v>
      </c>
      <c r="D7490" s="13" t="s">
        <v>634</v>
      </c>
      <c r="E7490" t="s">
        <v>368</v>
      </c>
      <c r="F7490" s="11">
        <v>2</v>
      </c>
      <c r="G7490" s="11">
        <v>151260.5</v>
      </c>
    </row>
    <row r="7491" spans="2:7" x14ac:dyDescent="0.2">
      <c r="B7491" s="32">
        <v>46013</v>
      </c>
      <c r="C7491" t="s">
        <v>109</v>
      </c>
      <c r="D7491" s="13" t="s">
        <v>634</v>
      </c>
      <c r="E7491" t="s">
        <v>145</v>
      </c>
      <c r="F7491" s="11">
        <v>5</v>
      </c>
      <c r="G7491" s="11">
        <v>147058.81</v>
      </c>
    </row>
    <row r="7492" spans="2:7" x14ac:dyDescent="0.2">
      <c r="B7492" s="32">
        <v>46013</v>
      </c>
      <c r="C7492" t="s">
        <v>109</v>
      </c>
      <c r="D7492" s="13" t="s">
        <v>634</v>
      </c>
      <c r="E7492" t="s">
        <v>341</v>
      </c>
      <c r="F7492" s="11">
        <v>1</v>
      </c>
      <c r="G7492" s="11">
        <v>84033.600000000006</v>
      </c>
    </row>
    <row r="7493" spans="2:7" x14ac:dyDescent="0.2">
      <c r="B7493" s="32">
        <v>46013</v>
      </c>
      <c r="C7493" t="s">
        <v>109</v>
      </c>
      <c r="D7493" s="13" t="s">
        <v>634</v>
      </c>
      <c r="E7493" t="s">
        <v>681</v>
      </c>
      <c r="F7493" s="11">
        <v>1</v>
      </c>
      <c r="G7493" s="11">
        <v>75630.25</v>
      </c>
    </row>
    <row r="7494" spans="2:7" x14ac:dyDescent="0.2">
      <c r="B7494" s="32">
        <v>46013</v>
      </c>
      <c r="C7494" t="s">
        <v>109</v>
      </c>
      <c r="D7494" s="13" t="s">
        <v>634</v>
      </c>
      <c r="E7494" t="s">
        <v>2046</v>
      </c>
      <c r="F7494" s="11">
        <v>1</v>
      </c>
      <c r="G7494" s="11">
        <v>61344.54</v>
      </c>
    </row>
    <row r="7495" spans="2:7" x14ac:dyDescent="0.2">
      <c r="B7495" s="32">
        <v>46013</v>
      </c>
      <c r="C7495" t="s">
        <v>109</v>
      </c>
      <c r="D7495" s="13" t="s">
        <v>634</v>
      </c>
      <c r="E7495" t="s">
        <v>256</v>
      </c>
      <c r="F7495" s="11">
        <v>1</v>
      </c>
      <c r="G7495" s="11">
        <v>46218.48</v>
      </c>
    </row>
    <row r="7496" spans="2:7" x14ac:dyDescent="0.2">
      <c r="B7496" s="32">
        <v>46013</v>
      </c>
      <c r="C7496" t="s">
        <v>109</v>
      </c>
      <c r="D7496" s="13" t="s">
        <v>634</v>
      </c>
      <c r="E7496" t="s">
        <v>144</v>
      </c>
      <c r="F7496" s="11">
        <v>2</v>
      </c>
      <c r="G7496" s="11">
        <v>18487.400000000001</v>
      </c>
    </row>
    <row r="7497" spans="2:7" x14ac:dyDescent="0.2">
      <c r="B7497" s="32">
        <v>46013</v>
      </c>
      <c r="C7497" t="s">
        <v>109</v>
      </c>
      <c r="D7497" s="13" t="s">
        <v>633</v>
      </c>
      <c r="E7497" t="s">
        <v>2062</v>
      </c>
      <c r="F7497" s="11">
        <v>3</v>
      </c>
      <c r="G7497" s="11">
        <v>277310.92</v>
      </c>
    </row>
    <row r="7498" spans="2:7" x14ac:dyDescent="0.2">
      <c r="B7498" s="32">
        <v>46013</v>
      </c>
      <c r="C7498" t="s">
        <v>109</v>
      </c>
      <c r="D7498" s="13" t="s">
        <v>633</v>
      </c>
      <c r="E7498" t="s">
        <v>539</v>
      </c>
      <c r="F7498" s="11">
        <v>1</v>
      </c>
      <c r="G7498" s="11">
        <v>201680.67</v>
      </c>
    </row>
    <row r="7499" spans="2:7" x14ac:dyDescent="0.2">
      <c r="B7499" s="32">
        <v>46013</v>
      </c>
      <c r="C7499" t="s">
        <v>109</v>
      </c>
      <c r="D7499" s="13" t="s">
        <v>633</v>
      </c>
      <c r="E7499" t="s">
        <v>156</v>
      </c>
      <c r="F7499" s="11">
        <v>4</v>
      </c>
      <c r="G7499" s="11">
        <v>168067.22</v>
      </c>
    </row>
    <row r="7500" spans="2:7" x14ac:dyDescent="0.2">
      <c r="B7500" s="32">
        <v>46013</v>
      </c>
      <c r="C7500" t="s">
        <v>109</v>
      </c>
      <c r="D7500" s="13" t="s">
        <v>633</v>
      </c>
      <c r="E7500" t="s">
        <v>264</v>
      </c>
      <c r="F7500" s="11">
        <v>2</v>
      </c>
      <c r="G7500" s="11">
        <v>151260.5</v>
      </c>
    </row>
    <row r="7501" spans="2:7" x14ac:dyDescent="0.2">
      <c r="B7501" s="32">
        <v>46013</v>
      </c>
      <c r="C7501" t="s">
        <v>109</v>
      </c>
      <c r="D7501" s="13" t="s">
        <v>633</v>
      </c>
      <c r="E7501" t="s">
        <v>581</v>
      </c>
      <c r="F7501" s="11">
        <v>2</v>
      </c>
      <c r="G7501" s="11">
        <v>142857.14000000001</v>
      </c>
    </row>
    <row r="7502" spans="2:7" x14ac:dyDescent="0.2">
      <c r="B7502" s="32">
        <v>46013</v>
      </c>
      <c r="C7502" t="s">
        <v>109</v>
      </c>
      <c r="D7502" s="13" t="s">
        <v>633</v>
      </c>
      <c r="E7502" t="s">
        <v>168</v>
      </c>
      <c r="F7502" s="11">
        <v>3</v>
      </c>
      <c r="G7502" s="11">
        <v>138655.45000000001</v>
      </c>
    </row>
    <row r="7503" spans="2:7" x14ac:dyDescent="0.2">
      <c r="B7503" s="32">
        <v>46013</v>
      </c>
      <c r="C7503" t="s">
        <v>109</v>
      </c>
      <c r="D7503" s="13" t="s">
        <v>633</v>
      </c>
      <c r="E7503" t="s">
        <v>704</v>
      </c>
      <c r="F7503" s="11">
        <v>2</v>
      </c>
      <c r="G7503" s="11">
        <v>92436.98</v>
      </c>
    </row>
    <row r="7504" spans="2:7" x14ac:dyDescent="0.2">
      <c r="B7504" s="32">
        <v>46013</v>
      </c>
      <c r="C7504" t="s">
        <v>109</v>
      </c>
      <c r="D7504" s="13" t="s">
        <v>633</v>
      </c>
      <c r="E7504" t="s">
        <v>150</v>
      </c>
      <c r="F7504" s="11">
        <v>2</v>
      </c>
      <c r="G7504" s="11">
        <v>92436.98</v>
      </c>
    </row>
    <row r="7505" spans="2:7" x14ac:dyDescent="0.2">
      <c r="B7505" s="32">
        <v>46013</v>
      </c>
      <c r="C7505" t="s">
        <v>109</v>
      </c>
      <c r="D7505" s="13" t="s">
        <v>633</v>
      </c>
      <c r="E7505" t="s">
        <v>153</v>
      </c>
      <c r="F7505" s="11">
        <v>2</v>
      </c>
      <c r="G7505" s="11">
        <v>92436.96</v>
      </c>
    </row>
    <row r="7506" spans="2:7" x14ac:dyDescent="0.2">
      <c r="B7506" s="32">
        <v>46013</v>
      </c>
      <c r="C7506" t="s">
        <v>109</v>
      </c>
      <c r="D7506" s="13" t="s">
        <v>633</v>
      </c>
      <c r="E7506" t="s">
        <v>203</v>
      </c>
      <c r="F7506" s="11">
        <v>2</v>
      </c>
      <c r="G7506" s="11">
        <v>84033.600000000006</v>
      </c>
    </row>
    <row r="7507" spans="2:7" x14ac:dyDescent="0.2">
      <c r="B7507" s="32">
        <v>46013</v>
      </c>
      <c r="C7507" t="s">
        <v>109</v>
      </c>
      <c r="D7507" s="13" t="s">
        <v>633</v>
      </c>
      <c r="E7507" t="s">
        <v>300</v>
      </c>
      <c r="F7507" s="11">
        <v>2</v>
      </c>
      <c r="G7507" s="11">
        <v>75630.259999999995</v>
      </c>
    </row>
    <row r="7508" spans="2:7" x14ac:dyDescent="0.2">
      <c r="B7508" s="32">
        <v>46013</v>
      </c>
      <c r="C7508" t="s">
        <v>109</v>
      </c>
      <c r="D7508" s="13" t="s">
        <v>633</v>
      </c>
      <c r="E7508" t="s">
        <v>330</v>
      </c>
      <c r="F7508" s="11">
        <v>2</v>
      </c>
      <c r="G7508" s="11">
        <v>75630.25</v>
      </c>
    </row>
    <row r="7509" spans="2:7" x14ac:dyDescent="0.2">
      <c r="B7509" s="32">
        <v>46013</v>
      </c>
      <c r="C7509" t="s">
        <v>109</v>
      </c>
      <c r="D7509" s="13" t="s">
        <v>633</v>
      </c>
      <c r="E7509" t="s">
        <v>468</v>
      </c>
      <c r="F7509" s="11">
        <v>2</v>
      </c>
      <c r="G7509" s="11">
        <v>75630.240000000005</v>
      </c>
    </row>
    <row r="7510" spans="2:7" x14ac:dyDescent="0.2">
      <c r="B7510" s="32">
        <v>46013</v>
      </c>
      <c r="C7510" t="s">
        <v>109</v>
      </c>
      <c r="D7510" s="13" t="s">
        <v>633</v>
      </c>
      <c r="E7510" t="s">
        <v>144</v>
      </c>
      <c r="F7510" s="11">
        <v>3</v>
      </c>
      <c r="G7510" s="11">
        <v>72268.899999999994</v>
      </c>
    </row>
    <row r="7511" spans="2:7" x14ac:dyDescent="0.2">
      <c r="B7511" s="32">
        <v>46013</v>
      </c>
      <c r="C7511" t="s">
        <v>109</v>
      </c>
      <c r="D7511" s="13" t="s">
        <v>633</v>
      </c>
      <c r="E7511" t="s">
        <v>357</v>
      </c>
      <c r="F7511" s="11">
        <v>1</v>
      </c>
      <c r="G7511" s="11">
        <v>71428.570000000007</v>
      </c>
    </row>
    <row r="7512" spans="2:7" x14ac:dyDescent="0.2">
      <c r="B7512" s="32">
        <v>46013</v>
      </c>
      <c r="C7512" t="s">
        <v>109</v>
      </c>
      <c r="D7512" s="13" t="s">
        <v>633</v>
      </c>
      <c r="E7512" t="s">
        <v>1908</v>
      </c>
      <c r="F7512" s="11">
        <v>1</v>
      </c>
      <c r="G7512" s="11">
        <v>46218.49</v>
      </c>
    </row>
    <row r="7513" spans="2:7" x14ac:dyDescent="0.2">
      <c r="B7513" s="32">
        <v>46013</v>
      </c>
      <c r="C7513" t="s">
        <v>109</v>
      </c>
      <c r="D7513" s="13" t="s">
        <v>633</v>
      </c>
      <c r="E7513" t="s">
        <v>151</v>
      </c>
      <c r="F7513" s="11">
        <v>1</v>
      </c>
      <c r="G7513" s="11">
        <v>46218.49</v>
      </c>
    </row>
    <row r="7514" spans="2:7" x14ac:dyDescent="0.2">
      <c r="B7514" s="32">
        <v>46013</v>
      </c>
      <c r="C7514" t="s">
        <v>109</v>
      </c>
      <c r="D7514" s="13" t="s">
        <v>633</v>
      </c>
      <c r="E7514" t="s">
        <v>177</v>
      </c>
      <c r="F7514" s="11">
        <v>1</v>
      </c>
      <c r="G7514" s="11">
        <v>37815.129999999997</v>
      </c>
    </row>
    <row r="7515" spans="2:7" x14ac:dyDescent="0.2">
      <c r="B7515" s="32">
        <v>46013</v>
      </c>
      <c r="C7515" t="s">
        <v>109</v>
      </c>
      <c r="D7515" s="13" t="s">
        <v>633</v>
      </c>
      <c r="E7515" t="s">
        <v>173</v>
      </c>
      <c r="F7515" s="11">
        <v>1</v>
      </c>
      <c r="G7515" s="11">
        <v>37815.129999999997</v>
      </c>
    </row>
    <row r="7516" spans="2:7" x14ac:dyDescent="0.2">
      <c r="B7516" s="32">
        <v>46013</v>
      </c>
      <c r="C7516" t="s">
        <v>109</v>
      </c>
      <c r="D7516" s="13" t="s">
        <v>633</v>
      </c>
      <c r="E7516" t="s">
        <v>1818</v>
      </c>
      <c r="F7516" s="11">
        <v>1</v>
      </c>
      <c r="G7516" s="11">
        <v>37815.129999999997</v>
      </c>
    </row>
    <row r="7517" spans="2:7" x14ac:dyDescent="0.2">
      <c r="B7517" s="32">
        <v>46014</v>
      </c>
      <c r="C7517" t="s">
        <v>142</v>
      </c>
      <c r="D7517" s="13" t="s">
        <v>634</v>
      </c>
      <c r="E7517" t="s">
        <v>167</v>
      </c>
      <c r="F7517" s="11">
        <v>2</v>
      </c>
      <c r="G7517" s="11">
        <v>201680.67</v>
      </c>
    </row>
    <row r="7518" spans="2:7" x14ac:dyDescent="0.2">
      <c r="B7518" s="32">
        <v>46014</v>
      </c>
      <c r="C7518" t="s">
        <v>142</v>
      </c>
      <c r="D7518" s="13" t="s">
        <v>633</v>
      </c>
      <c r="E7518" t="s">
        <v>1892</v>
      </c>
      <c r="F7518" s="11">
        <v>1</v>
      </c>
      <c r="G7518" s="11">
        <v>176470.59</v>
      </c>
    </row>
    <row r="7519" spans="2:7" x14ac:dyDescent="0.2">
      <c r="B7519" s="32">
        <v>46014</v>
      </c>
      <c r="C7519" t="s">
        <v>142</v>
      </c>
      <c r="D7519" s="13" t="s">
        <v>633</v>
      </c>
      <c r="E7519" t="s">
        <v>2053</v>
      </c>
      <c r="F7519" s="11">
        <v>1</v>
      </c>
      <c r="G7519" s="11">
        <v>79831.929999999993</v>
      </c>
    </row>
    <row r="7520" spans="2:7" x14ac:dyDescent="0.2">
      <c r="B7520" s="32">
        <v>46014</v>
      </c>
      <c r="C7520" t="s">
        <v>142</v>
      </c>
      <c r="D7520" s="13" t="s">
        <v>633</v>
      </c>
      <c r="E7520" t="s">
        <v>691</v>
      </c>
      <c r="F7520" s="11">
        <v>1</v>
      </c>
      <c r="G7520" s="11">
        <v>79831.929999999993</v>
      </c>
    </row>
    <row r="7521" spans="2:7" x14ac:dyDescent="0.2">
      <c r="B7521" s="32">
        <v>46014</v>
      </c>
      <c r="C7521" t="s">
        <v>109</v>
      </c>
      <c r="D7521" s="13" t="s">
        <v>634</v>
      </c>
      <c r="F7521" s="11">
        <v>7</v>
      </c>
      <c r="G7521" s="11">
        <v>614285.72</v>
      </c>
    </row>
    <row r="7522" spans="2:7" x14ac:dyDescent="0.2">
      <c r="B7522" s="32">
        <v>46014</v>
      </c>
      <c r="C7522" t="s">
        <v>109</v>
      </c>
      <c r="D7522" s="13" t="s">
        <v>634</v>
      </c>
      <c r="E7522" t="s">
        <v>168</v>
      </c>
      <c r="F7522" s="11">
        <v>8</v>
      </c>
      <c r="G7522" s="11">
        <v>369747.9</v>
      </c>
    </row>
    <row r="7523" spans="2:7" x14ac:dyDescent="0.2">
      <c r="B7523" s="32">
        <v>46014</v>
      </c>
      <c r="C7523" t="s">
        <v>109</v>
      </c>
      <c r="D7523" s="13" t="s">
        <v>634</v>
      </c>
      <c r="E7523" t="s">
        <v>164</v>
      </c>
      <c r="F7523" s="11">
        <v>4</v>
      </c>
      <c r="G7523" s="11">
        <v>285714.28000000003</v>
      </c>
    </row>
    <row r="7524" spans="2:7" x14ac:dyDescent="0.2">
      <c r="B7524" s="32">
        <v>46014</v>
      </c>
      <c r="C7524" t="s">
        <v>109</v>
      </c>
      <c r="D7524" s="13" t="s">
        <v>634</v>
      </c>
      <c r="E7524" t="s">
        <v>144</v>
      </c>
      <c r="F7524" s="11">
        <v>18</v>
      </c>
      <c r="G7524" s="11">
        <v>273109.25</v>
      </c>
    </row>
    <row r="7525" spans="2:7" x14ac:dyDescent="0.2">
      <c r="B7525" s="32">
        <v>46014</v>
      </c>
      <c r="C7525" t="s">
        <v>109</v>
      </c>
      <c r="D7525" s="13" t="s">
        <v>634</v>
      </c>
      <c r="E7525" t="s">
        <v>156</v>
      </c>
      <c r="F7525" s="11">
        <v>6</v>
      </c>
      <c r="G7525" s="11">
        <v>252100.84</v>
      </c>
    </row>
    <row r="7526" spans="2:7" x14ac:dyDescent="0.2">
      <c r="B7526" s="32">
        <v>46014</v>
      </c>
      <c r="C7526" t="s">
        <v>109</v>
      </c>
      <c r="D7526" s="13" t="s">
        <v>634</v>
      </c>
      <c r="E7526" t="s">
        <v>149</v>
      </c>
      <c r="F7526" s="11">
        <v>3</v>
      </c>
      <c r="G7526" s="11">
        <v>214285.71</v>
      </c>
    </row>
    <row r="7527" spans="2:7" x14ac:dyDescent="0.2">
      <c r="B7527" s="32">
        <v>46014</v>
      </c>
      <c r="C7527" t="s">
        <v>109</v>
      </c>
      <c r="D7527" s="13" t="s">
        <v>634</v>
      </c>
      <c r="E7527" t="s">
        <v>147</v>
      </c>
      <c r="F7527" s="11">
        <v>3</v>
      </c>
      <c r="G7527" s="11">
        <v>214285.71</v>
      </c>
    </row>
    <row r="7528" spans="2:7" x14ac:dyDescent="0.2">
      <c r="B7528" s="32">
        <v>46014</v>
      </c>
      <c r="C7528" t="s">
        <v>109</v>
      </c>
      <c r="D7528" s="13" t="s">
        <v>634</v>
      </c>
      <c r="E7528" t="s">
        <v>1968</v>
      </c>
      <c r="F7528" s="11">
        <v>4</v>
      </c>
      <c r="G7528" s="11">
        <v>184873.95</v>
      </c>
    </row>
    <row r="7529" spans="2:7" x14ac:dyDescent="0.2">
      <c r="B7529" s="32">
        <v>46014</v>
      </c>
      <c r="C7529" t="s">
        <v>109</v>
      </c>
      <c r="D7529" s="13" t="s">
        <v>634</v>
      </c>
      <c r="E7529" t="s">
        <v>212</v>
      </c>
      <c r="F7529" s="11">
        <v>3</v>
      </c>
      <c r="G7529" s="11">
        <v>163865.54999999999</v>
      </c>
    </row>
    <row r="7530" spans="2:7" x14ac:dyDescent="0.2">
      <c r="B7530" s="32">
        <v>46014</v>
      </c>
      <c r="C7530" t="s">
        <v>109</v>
      </c>
      <c r="D7530" s="13" t="s">
        <v>634</v>
      </c>
      <c r="E7530" t="s">
        <v>206</v>
      </c>
      <c r="F7530" s="11">
        <v>4</v>
      </c>
      <c r="G7530" s="11">
        <v>151260.51</v>
      </c>
    </row>
    <row r="7531" spans="2:7" x14ac:dyDescent="0.2">
      <c r="B7531" s="32">
        <v>46014</v>
      </c>
      <c r="C7531" t="s">
        <v>109</v>
      </c>
      <c r="D7531" s="13" t="s">
        <v>634</v>
      </c>
      <c r="E7531" t="s">
        <v>199</v>
      </c>
      <c r="F7531" s="11">
        <v>2</v>
      </c>
      <c r="G7531" s="11">
        <v>151260.5</v>
      </c>
    </row>
    <row r="7532" spans="2:7" x14ac:dyDescent="0.2">
      <c r="B7532" s="32">
        <v>46014</v>
      </c>
      <c r="C7532" t="s">
        <v>109</v>
      </c>
      <c r="D7532" s="13" t="s">
        <v>634</v>
      </c>
      <c r="E7532" t="s">
        <v>152</v>
      </c>
      <c r="F7532" s="11">
        <v>2</v>
      </c>
      <c r="G7532" s="11">
        <v>151260.5</v>
      </c>
    </row>
    <row r="7533" spans="2:7" x14ac:dyDescent="0.2">
      <c r="B7533" s="32">
        <v>46014</v>
      </c>
      <c r="C7533" t="s">
        <v>109</v>
      </c>
      <c r="D7533" s="13" t="s">
        <v>634</v>
      </c>
      <c r="E7533" t="s">
        <v>192</v>
      </c>
      <c r="F7533" s="11">
        <v>2</v>
      </c>
      <c r="G7533" s="11">
        <v>142857.14000000001</v>
      </c>
    </row>
    <row r="7534" spans="2:7" x14ac:dyDescent="0.2">
      <c r="B7534" s="32">
        <v>46014</v>
      </c>
      <c r="C7534" t="s">
        <v>109</v>
      </c>
      <c r="D7534" s="13" t="s">
        <v>634</v>
      </c>
      <c r="E7534" t="s">
        <v>616</v>
      </c>
      <c r="F7534" s="11">
        <v>2</v>
      </c>
      <c r="G7534" s="11">
        <v>109243.7</v>
      </c>
    </row>
    <row r="7535" spans="2:7" x14ac:dyDescent="0.2">
      <c r="B7535" s="32">
        <v>46014</v>
      </c>
      <c r="C7535" t="s">
        <v>109</v>
      </c>
      <c r="D7535" s="13" t="s">
        <v>634</v>
      </c>
      <c r="E7535" t="s">
        <v>258</v>
      </c>
      <c r="F7535" s="11">
        <v>2</v>
      </c>
      <c r="G7535" s="11">
        <v>109243.69</v>
      </c>
    </row>
    <row r="7536" spans="2:7" x14ac:dyDescent="0.2">
      <c r="B7536" s="32">
        <v>46014</v>
      </c>
      <c r="C7536" t="s">
        <v>109</v>
      </c>
      <c r="D7536" s="13" t="s">
        <v>634</v>
      </c>
      <c r="E7536" t="s">
        <v>182</v>
      </c>
      <c r="F7536" s="11">
        <v>4</v>
      </c>
      <c r="G7536" s="11">
        <v>109243.69</v>
      </c>
    </row>
    <row r="7537" spans="2:7" x14ac:dyDescent="0.2">
      <c r="B7537" s="32">
        <v>46014</v>
      </c>
      <c r="C7537" t="s">
        <v>109</v>
      </c>
      <c r="D7537" s="13" t="s">
        <v>634</v>
      </c>
      <c r="E7537" t="s">
        <v>170</v>
      </c>
      <c r="F7537" s="11">
        <v>2</v>
      </c>
      <c r="G7537" s="11">
        <v>92436.98</v>
      </c>
    </row>
    <row r="7538" spans="2:7" x14ac:dyDescent="0.2">
      <c r="B7538" s="32">
        <v>46014</v>
      </c>
      <c r="C7538" t="s">
        <v>109</v>
      </c>
      <c r="D7538" s="13" t="s">
        <v>634</v>
      </c>
      <c r="E7538" t="s">
        <v>240</v>
      </c>
      <c r="F7538" s="11">
        <v>2</v>
      </c>
      <c r="G7538" s="11">
        <v>92436.98</v>
      </c>
    </row>
    <row r="7539" spans="2:7" x14ac:dyDescent="0.2">
      <c r="B7539" s="32">
        <v>46014</v>
      </c>
      <c r="C7539" t="s">
        <v>109</v>
      </c>
      <c r="D7539" s="13" t="s">
        <v>634</v>
      </c>
      <c r="E7539" t="s">
        <v>215</v>
      </c>
      <c r="F7539" s="11">
        <v>2</v>
      </c>
      <c r="G7539" s="11">
        <v>92436.97</v>
      </c>
    </row>
    <row r="7540" spans="2:7" x14ac:dyDescent="0.2">
      <c r="B7540" s="32">
        <v>46014</v>
      </c>
      <c r="C7540" t="s">
        <v>109</v>
      </c>
      <c r="D7540" s="13" t="s">
        <v>634</v>
      </c>
      <c r="E7540" t="s">
        <v>160</v>
      </c>
      <c r="F7540" s="11">
        <v>2</v>
      </c>
      <c r="G7540" s="11">
        <v>92436.97</v>
      </c>
    </row>
    <row r="7541" spans="2:7" x14ac:dyDescent="0.2">
      <c r="B7541" s="32">
        <v>46014</v>
      </c>
      <c r="C7541" t="s">
        <v>109</v>
      </c>
      <c r="D7541" s="13" t="s">
        <v>634</v>
      </c>
      <c r="E7541" t="s">
        <v>234</v>
      </c>
      <c r="F7541" s="11">
        <v>2</v>
      </c>
      <c r="G7541" s="11">
        <v>75630.259999999995</v>
      </c>
    </row>
    <row r="7542" spans="2:7" x14ac:dyDescent="0.2">
      <c r="B7542" s="32">
        <v>46014</v>
      </c>
      <c r="C7542" t="s">
        <v>109</v>
      </c>
      <c r="D7542" s="13" t="s">
        <v>634</v>
      </c>
      <c r="E7542" t="s">
        <v>347</v>
      </c>
      <c r="F7542" s="11">
        <v>1</v>
      </c>
      <c r="G7542" s="11">
        <v>75630.25</v>
      </c>
    </row>
    <row r="7543" spans="2:7" x14ac:dyDescent="0.2">
      <c r="B7543" s="32">
        <v>46014</v>
      </c>
      <c r="C7543" t="s">
        <v>109</v>
      </c>
      <c r="D7543" s="13" t="s">
        <v>634</v>
      </c>
      <c r="E7543" t="s">
        <v>368</v>
      </c>
      <c r="F7543" s="11">
        <v>1</v>
      </c>
      <c r="G7543" s="11">
        <v>75630.25</v>
      </c>
    </row>
    <row r="7544" spans="2:7" x14ac:dyDescent="0.2">
      <c r="B7544" s="32">
        <v>46014</v>
      </c>
      <c r="C7544" t="s">
        <v>109</v>
      </c>
      <c r="D7544" s="13" t="s">
        <v>634</v>
      </c>
      <c r="E7544" t="s">
        <v>2138</v>
      </c>
      <c r="F7544" s="11">
        <v>2</v>
      </c>
      <c r="G7544" s="11">
        <v>33613.440000000002</v>
      </c>
    </row>
    <row r="7545" spans="2:7" x14ac:dyDescent="0.2">
      <c r="B7545" s="32">
        <v>46014</v>
      </c>
      <c r="C7545" t="s">
        <v>109</v>
      </c>
      <c r="D7545" s="13" t="s">
        <v>633</v>
      </c>
      <c r="E7545" t="s">
        <v>368</v>
      </c>
      <c r="F7545" s="11">
        <v>2</v>
      </c>
      <c r="G7545" s="11">
        <v>151260.5</v>
      </c>
    </row>
    <row r="7546" spans="2:7" x14ac:dyDescent="0.2">
      <c r="B7546" s="32">
        <v>46014</v>
      </c>
      <c r="C7546" t="s">
        <v>109</v>
      </c>
      <c r="D7546" s="13" t="s">
        <v>633</v>
      </c>
      <c r="E7546" t="s">
        <v>164</v>
      </c>
      <c r="F7546" s="11">
        <v>2</v>
      </c>
      <c r="G7546" s="11">
        <v>142857.14000000001</v>
      </c>
    </row>
    <row r="7547" spans="2:7" x14ac:dyDescent="0.2">
      <c r="B7547" s="32">
        <v>46014</v>
      </c>
      <c r="C7547" t="s">
        <v>109</v>
      </c>
      <c r="D7547" s="13" t="s">
        <v>633</v>
      </c>
      <c r="E7547" t="s">
        <v>352</v>
      </c>
      <c r="F7547" s="11">
        <v>2</v>
      </c>
      <c r="G7547" s="11">
        <v>142857.14000000001</v>
      </c>
    </row>
    <row r="7548" spans="2:7" x14ac:dyDescent="0.2">
      <c r="B7548" s="32">
        <v>46014</v>
      </c>
      <c r="C7548" t="s">
        <v>109</v>
      </c>
      <c r="D7548" s="13" t="s">
        <v>633</v>
      </c>
      <c r="E7548" t="s">
        <v>170</v>
      </c>
      <c r="F7548" s="11">
        <v>2</v>
      </c>
      <c r="G7548" s="11">
        <v>92436.98</v>
      </c>
    </row>
    <row r="7549" spans="2:7" x14ac:dyDescent="0.2">
      <c r="B7549" s="32">
        <v>46014</v>
      </c>
      <c r="C7549" t="s">
        <v>109</v>
      </c>
      <c r="D7549" s="13" t="s">
        <v>633</v>
      </c>
      <c r="E7549" t="s">
        <v>150</v>
      </c>
      <c r="F7549" s="11">
        <v>2</v>
      </c>
      <c r="G7549" s="11">
        <v>92436.98</v>
      </c>
    </row>
    <row r="7550" spans="2:7" x14ac:dyDescent="0.2">
      <c r="B7550" s="32">
        <v>46014</v>
      </c>
      <c r="C7550" t="s">
        <v>109</v>
      </c>
      <c r="D7550" s="13" t="s">
        <v>633</v>
      </c>
      <c r="E7550" t="s">
        <v>153</v>
      </c>
      <c r="F7550" s="11">
        <v>2</v>
      </c>
      <c r="G7550" s="11">
        <v>92436.98</v>
      </c>
    </row>
    <row r="7551" spans="2:7" x14ac:dyDescent="0.2">
      <c r="B7551" s="32">
        <v>46014</v>
      </c>
      <c r="C7551" t="s">
        <v>109</v>
      </c>
      <c r="D7551" s="13" t="s">
        <v>633</v>
      </c>
      <c r="E7551" t="s">
        <v>168</v>
      </c>
      <c r="F7551" s="11">
        <v>2</v>
      </c>
      <c r="G7551" s="11">
        <v>92436.97</v>
      </c>
    </row>
    <row r="7552" spans="2:7" x14ac:dyDescent="0.2">
      <c r="B7552" s="32">
        <v>46014</v>
      </c>
      <c r="C7552" t="s">
        <v>109</v>
      </c>
      <c r="D7552" s="13" t="s">
        <v>633</v>
      </c>
      <c r="E7552" t="s">
        <v>2109</v>
      </c>
      <c r="F7552" s="11">
        <v>2</v>
      </c>
      <c r="G7552" s="11">
        <v>75630.25</v>
      </c>
    </row>
    <row r="7553" spans="2:7" x14ac:dyDescent="0.2">
      <c r="B7553" s="32">
        <v>46014</v>
      </c>
      <c r="C7553" t="s">
        <v>109</v>
      </c>
      <c r="D7553" s="13" t="s">
        <v>633</v>
      </c>
      <c r="E7553" t="s">
        <v>522</v>
      </c>
      <c r="F7553" s="11">
        <v>2</v>
      </c>
      <c r="G7553" s="11">
        <v>70000</v>
      </c>
    </row>
    <row r="7554" spans="2:7" x14ac:dyDescent="0.2">
      <c r="B7554" s="32">
        <v>46014</v>
      </c>
      <c r="C7554" t="s">
        <v>109</v>
      </c>
      <c r="D7554" s="13" t="s">
        <v>633</v>
      </c>
      <c r="E7554" t="s">
        <v>427</v>
      </c>
      <c r="F7554" s="11">
        <v>1</v>
      </c>
      <c r="G7554" s="11">
        <v>54621.85</v>
      </c>
    </row>
    <row r="7555" spans="2:7" x14ac:dyDescent="0.2">
      <c r="B7555" s="32">
        <v>46014</v>
      </c>
      <c r="C7555" t="s">
        <v>109</v>
      </c>
      <c r="D7555" s="13" t="s">
        <v>633</v>
      </c>
      <c r="E7555" t="s">
        <v>1968</v>
      </c>
      <c r="F7555" s="11">
        <v>1</v>
      </c>
      <c r="G7555" s="11">
        <v>46218.49</v>
      </c>
    </row>
    <row r="7556" spans="2:7" x14ac:dyDescent="0.2">
      <c r="B7556" s="32">
        <v>46015</v>
      </c>
      <c r="C7556" t="s">
        <v>109</v>
      </c>
      <c r="D7556" s="13"/>
      <c r="E7556" t="s">
        <v>164</v>
      </c>
      <c r="F7556" s="11">
        <v>1</v>
      </c>
      <c r="G7556" s="11">
        <v>71428.570000000007</v>
      </c>
    </row>
    <row r="7557" spans="2:7" x14ac:dyDescent="0.2">
      <c r="B7557" s="32">
        <v>46015</v>
      </c>
      <c r="C7557" t="s">
        <v>109</v>
      </c>
      <c r="D7557" s="13"/>
      <c r="E7557" t="s">
        <v>348</v>
      </c>
      <c r="F7557" s="11">
        <v>1</v>
      </c>
      <c r="G7557" s="11">
        <v>54621.85</v>
      </c>
    </row>
    <row r="7558" spans="2:7" x14ac:dyDescent="0.2">
      <c r="B7558" s="32">
        <v>46015</v>
      </c>
      <c r="C7558" t="s">
        <v>109</v>
      </c>
      <c r="D7558" s="13" t="s">
        <v>634</v>
      </c>
      <c r="E7558" t="s">
        <v>281</v>
      </c>
      <c r="F7558" s="11">
        <v>1</v>
      </c>
      <c r="G7558" s="11">
        <v>84033.61</v>
      </c>
    </row>
    <row r="7559" spans="2:7" x14ac:dyDescent="0.2">
      <c r="B7559" s="32">
        <v>46015</v>
      </c>
      <c r="C7559" t="s">
        <v>109</v>
      </c>
      <c r="D7559" s="13" t="s">
        <v>634</v>
      </c>
      <c r="E7559" t="s">
        <v>144</v>
      </c>
      <c r="F7559" s="11">
        <v>2</v>
      </c>
      <c r="G7559" s="11">
        <v>26890.76</v>
      </c>
    </row>
    <row r="7560" spans="2:7" x14ac:dyDescent="0.2">
      <c r="B7560" s="32">
        <v>46015</v>
      </c>
      <c r="C7560" t="s">
        <v>109</v>
      </c>
      <c r="D7560" s="13" t="s">
        <v>633</v>
      </c>
      <c r="E7560" t="s">
        <v>164</v>
      </c>
      <c r="F7560" s="11">
        <v>5</v>
      </c>
      <c r="G7560" s="11">
        <v>357142.85</v>
      </c>
    </row>
    <row r="7561" spans="2:7" x14ac:dyDescent="0.2">
      <c r="B7561" s="32">
        <v>46015</v>
      </c>
      <c r="C7561" t="s">
        <v>109</v>
      </c>
      <c r="D7561" s="13" t="s">
        <v>633</v>
      </c>
      <c r="E7561" t="s">
        <v>170</v>
      </c>
      <c r="F7561" s="11">
        <v>5</v>
      </c>
      <c r="G7561" s="11">
        <v>231092.44</v>
      </c>
    </row>
    <row r="7562" spans="2:7" x14ac:dyDescent="0.2">
      <c r="B7562" s="32">
        <v>46015</v>
      </c>
      <c r="C7562" t="s">
        <v>109</v>
      </c>
      <c r="D7562" s="13" t="s">
        <v>633</v>
      </c>
      <c r="E7562" t="s">
        <v>336</v>
      </c>
      <c r="F7562" s="11">
        <v>3</v>
      </c>
      <c r="G7562" s="11">
        <v>214285.72</v>
      </c>
    </row>
    <row r="7563" spans="2:7" x14ac:dyDescent="0.2">
      <c r="B7563" s="32">
        <v>46015</v>
      </c>
      <c r="C7563" t="s">
        <v>109</v>
      </c>
      <c r="D7563" s="13" t="s">
        <v>633</v>
      </c>
      <c r="E7563" t="s">
        <v>168</v>
      </c>
      <c r="F7563" s="11">
        <v>4</v>
      </c>
      <c r="G7563" s="11">
        <v>184873.94</v>
      </c>
    </row>
    <row r="7564" spans="2:7" x14ac:dyDescent="0.2">
      <c r="B7564" s="32">
        <v>46015</v>
      </c>
      <c r="C7564" t="s">
        <v>109</v>
      </c>
      <c r="D7564" s="13" t="s">
        <v>633</v>
      </c>
      <c r="E7564" t="s">
        <v>149</v>
      </c>
      <c r="F7564" s="11">
        <v>2</v>
      </c>
      <c r="G7564" s="11">
        <v>142857.14000000001</v>
      </c>
    </row>
    <row r="7565" spans="2:7" x14ac:dyDescent="0.2">
      <c r="B7565" s="32">
        <v>46015</v>
      </c>
      <c r="C7565" t="s">
        <v>109</v>
      </c>
      <c r="D7565" s="13" t="s">
        <v>633</v>
      </c>
      <c r="E7565" t="s">
        <v>313</v>
      </c>
      <c r="F7565" s="11">
        <v>1</v>
      </c>
      <c r="G7565" s="11">
        <v>100840.34</v>
      </c>
    </row>
    <row r="7566" spans="2:7" x14ac:dyDescent="0.2">
      <c r="B7566" s="32">
        <v>46015</v>
      </c>
      <c r="C7566" t="s">
        <v>109</v>
      </c>
      <c r="D7566" s="13" t="s">
        <v>633</v>
      </c>
      <c r="E7566" t="s">
        <v>160</v>
      </c>
      <c r="F7566" s="11">
        <v>2</v>
      </c>
      <c r="G7566" s="11">
        <v>92436.98</v>
      </c>
    </row>
    <row r="7567" spans="2:7" x14ac:dyDescent="0.2">
      <c r="B7567" s="32">
        <v>46015</v>
      </c>
      <c r="C7567" t="s">
        <v>109</v>
      </c>
      <c r="D7567" s="13" t="s">
        <v>633</v>
      </c>
      <c r="E7567" t="s">
        <v>174</v>
      </c>
      <c r="F7567" s="11">
        <v>1</v>
      </c>
      <c r="G7567" s="11">
        <v>75630.25</v>
      </c>
    </row>
    <row r="7568" spans="2:7" x14ac:dyDescent="0.2">
      <c r="B7568" s="32">
        <v>46015</v>
      </c>
      <c r="C7568" t="s">
        <v>109</v>
      </c>
      <c r="D7568" s="13" t="s">
        <v>633</v>
      </c>
      <c r="E7568" t="s">
        <v>147</v>
      </c>
      <c r="F7568" s="11">
        <v>1</v>
      </c>
      <c r="G7568" s="11">
        <v>71428.570000000007</v>
      </c>
    </row>
    <row r="7569" spans="2:7" x14ac:dyDescent="0.2">
      <c r="B7569" s="32">
        <v>46015</v>
      </c>
      <c r="C7569" t="s">
        <v>109</v>
      </c>
      <c r="D7569" s="13" t="s">
        <v>633</v>
      </c>
      <c r="E7569" t="s">
        <v>534</v>
      </c>
      <c r="F7569" s="11">
        <v>1</v>
      </c>
      <c r="G7569" s="11">
        <v>71428.570000000007</v>
      </c>
    </row>
    <row r="7570" spans="2:7" x14ac:dyDescent="0.2">
      <c r="B7570" s="32">
        <v>46015</v>
      </c>
      <c r="C7570" t="s">
        <v>109</v>
      </c>
      <c r="D7570" s="13" t="s">
        <v>633</v>
      </c>
      <c r="E7570" t="s">
        <v>144</v>
      </c>
      <c r="F7570" s="11">
        <v>4</v>
      </c>
      <c r="G7570" s="11">
        <v>70588.23</v>
      </c>
    </row>
    <row r="7571" spans="2:7" x14ac:dyDescent="0.2">
      <c r="B7571" s="32">
        <v>46015</v>
      </c>
      <c r="C7571" t="s">
        <v>109</v>
      </c>
      <c r="D7571" s="13" t="s">
        <v>633</v>
      </c>
      <c r="E7571" t="s">
        <v>195</v>
      </c>
      <c r="F7571" s="11">
        <v>1</v>
      </c>
      <c r="G7571" s="11">
        <v>46218.49</v>
      </c>
    </row>
    <row r="7572" spans="2:7" x14ac:dyDescent="0.2">
      <c r="B7572" s="32">
        <v>46015</v>
      </c>
      <c r="C7572" t="s">
        <v>109</v>
      </c>
      <c r="D7572" s="13" t="s">
        <v>633</v>
      </c>
      <c r="E7572" t="s">
        <v>171</v>
      </c>
      <c r="F7572" s="11">
        <v>2</v>
      </c>
      <c r="G7572" s="11">
        <v>45378.15</v>
      </c>
    </row>
    <row r="7573" spans="2:7" x14ac:dyDescent="0.2">
      <c r="B7573" s="32">
        <v>46015</v>
      </c>
      <c r="C7573" t="s">
        <v>109</v>
      </c>
      <c r="D7573" s="13" t="s">
        <v>633</v>
      </c>
      <c r="E7573" t="s">
        <v>293</v>
      </c>
      <c r="F7573" s="11">
        <v>1</v>
      </c>
      <c r="G7573" s="11">
        <v>37815.120000000003</v>
      </c>
    </row>
    <row r="7574" spans="2:7" x14ac:dyDescent="0.2">
      <c r="B7574" s="32">
        <v>46015</v>
      </c>
      <c r="C7574" t="s">
        <v>109</v>
      </c>
      <c r="D7574" s="13" t="s">
        <v>633</v>
      </c>
      <c r="E7574" t="s">
        <v>180</v>
      </c>
      <c r="F7574" s="11">
        <v>1</v>
      </c>
      <c r="G7574" s="11">
        <v>16806.72</v>
      </c>
    </row>
    <row r="7575" spans="2:7" x14ac:dyDescent="0.2">
      <c r="B7575" s="32">
        <v>46015</v>
      </c>
      <c r="C7575" t="s">
        <v>109</v>
      </c>
      <c r="D7575" s="13" t="s">
        <v>633</v>
      </c>
      <c r="E7575" t="s">
        <v>670</v>
      </c>
      <c r="F7575" s="11">
        <v>1</v>
      </c>
      <c r="G7575" s="11">
        <v>0</v>
      </c>
    </row>
    <row r="7576" spans="2:7" x14ac:dyDescent="0.2">
      <c r="B7576" s="32">
        <v>46016</v>
      </c>
      <c r="C7576" t="s">
        <v>142</v>
      </c>
      <c r="D7576" s="13" t="s">
        <v>634</v>
      </c>
      <c r="E7576" t="s">
        <v>155</v>
      </c>
      <c r="F7576" s="11">
        <v>1</v>
      </c>
      <c r="G7576" s="11">
        <v>100840.34</v>
      </c>
    </row>
    <row r="7577" spans="2:7" x14ac:dyDescent="0.2">
      <c r="B7577" s="32">
        <v>46017</v>
      </c>
      <c r="C7577" t="s">
        <v>108</v>
      </c>
      <c r="D7577" s="13" t="s">
        <v>634</v>
      </c>
      <c r="E7577" t="s">
        <v>326</v>
      </c>
      <c r="F7577" s="11">
        <v>30</v>
      </c>
      <c r="G7577" s="11">
        <v>6806722.6900000004</v>
      </c>
    </row>
    <row r="7578" spans="2:7" x14ac:dyDescent="0.2">
      <c r="B7578" s="32">
        <v>46017</v>
      </c>
      <c r="C7578" t="s">
        <v>142</v>
      </c>
      <c r="D7578" s="13" t="s">
        <v>634</v>
      </c>
      <c r="E7578" t="s">
        <v>148</v>
      </c>
      <c r="F7578" s="11">
        <v>4</v>
      </c>
      <c r="G7578" s="11">
        <v>151260.51</v>
      </c>
    </row>
    <row r="7579" spans="2:7" x14ac:dyDescent="0.2">
      <c r="B7579" s="32">
        <v>46017</v>
      </c>
      <c r="C7579" t="s">
        <v>142</v>
      </c>
      <c r="D7579" s="13" t="s">
        <v>634</v>
      </c>
      <c r="E7579" t="s">
        <v>147</v>
      </c>
      <c r="F7579" s="11">
        <v>2</v>
      </c>
      <c r="G7579" s="11">
        <v>142857.14000000001</v>
      </c>
    </row>
    <row r="7580" spans="2:7" x14ac:dyDescent="0.2">
      <c r="B7580" s="32">
        <v>46017</v>
      </c>
      <c r="C7580" t="s">
        <v>142</v>
      </c>
      <c r="D7580" s="13" t="s">
        <v>634</v>
      </c>
      <c r="E7580" t="s">
        <v>234</v>
      </c>
      <c r="F7580" s="11">
        <v>3</v>
      </c>
      <c r="G7580" s="11">
        <v>113445.38</v>
      </c>
    </row>
    <row r="7581" spans="2:7" x14ac:dyDescent="0.2">
      <c r="B7581" s="32">
        <v>46017</v>
      </c>
      <c r="C7581" t="s">
        <v>142</v>
      </c>
      <c r="D7581" s="13" t="s">
        <v>634</v>
      </c>
      <c r="E7581" t="s">
        <v>533</v>
      </c>
      <c r="F7581" s="11">
        <v>1</v>
      </c>
      <c r="G7581" s="11">
        <v>58823.53</v>
      </c>
    </row>
    <row r="7582" spans="2:7" x14ac:dyDescent="0.2">
      <c r="B7582" s="32">
        <v>46017</v>
      </c>
      <c r="C7582" t="s">
        <v>142</v>
      </c>
      <c r="D7582" s="13" t="s">
        <v>634</v>
      </c>
      <c r="E7582" t="s">
        <v>679</v>
      </c>
      <c r="F7582" s="11">
        <v>1</v>
      </c>
      <c r="G7582" s="11">
        <v>54621.85</v>
      </c>
    </row>
    <row r="7583" spans="2:7" x14ac:dyDescent="0.2">
      <c r="B7583" s="32">
        <v>46017</v>
      </c>
      <c r="C7583" t="s">
        <v>142</v>
      </c>
      <c r="D7583" s="13" t="s">
        <v>634</v>
      </c>
      <c r="E7583" t="s">
        <v>144</v>
      </c>
      <c r="F7583" s="11">
        <v>3</v>
      </c>
      <c r="G7583" s="11">
        <v>50420.17</v>
      </c>
    </row>
    <row r="7584" spans="2:7" x14ac:dyDescent="0.2">
      <c r="B7584" s="32">
        <v>46017</v>
      </c>
      <c r="C7584" t="s">
        <v>142</v>
      </c>
      <c r="D7584" s="13" t="s">
        <v>633</v>
      </c>
      <c r="E7584" t="s">
        <v>144</v>
      </c>
      <c r="F7584" s="11">
        <v>5</v>
      </c>
      <c r="G7584" s="11">
        <v>81932.77</v>
      </c>
    </row>
    <row r="7585" spans="2:7" x14ac:dyDescent="0.2">
      <c r="B7585" s="32">
        <v>46017</v>
      </c>
      <c r="C7585" t="s">
        <v>110</v>
      </c>
      <c r="D7585" s="13" t="s">
        <v>633</v>
      </c>
      <c r="E7585" t="s">
        <v>195</v>
      </c>
      <c r="F7585" s="11">
        <v>8</v>
      </c>
      <c r="G7585" s="11">
        <v>369747.89</v>
      </c>
    </row>
    <row r="7586" spans="2:7" x14ac:dyDescent="0.2">
      <c r="B7586" s="32">
        <v>46017</v>
      </c>
      <c r="C7586" t="s">
        <v>110</v>
      </c>
      <c r="D7586" s="13" t="s">
        <v>633</v>
      </c>
      <c r="E7586" t="s">
        <v>2109</v>
      </c>
      <c r="F7586" s="11">
        <v>5</v>
      </c>
      <c r="G7586" s="11">
        <v>189075.63</v>
      </c>
    </row>
    <row r="7587" spans="2:7" x14ac:dyDescent="0.2">
      <c r="B7587" s="32">
        <v>46017</v>
      </c>
      <c r="C7587" t="s">
        <v>110</v>
      </c>
      <c r="D7587" s="13" t="s">
        <v>633</v>
      </c>
      <c r="E7587" t="s">
        <v>150</v>
      </c>
      <c r="F7587" s="11">
        <v>4</v>
      </c>
      <c r="G7587" s="11">
        <v>184873.95</v>
      </c>
    </row>
    <row r="7588" spans="2:7" x14ac:dyDescent="0.2">
      <c r="B7588" s="32">
        <v>46017</v>
      </c>
      <c r="C7588" t="s">
        <v>110</v>
      </c>
      <c r="D7588" s="13" t="s">
        <v>633</v>
      </c>
      <c r="E7588" t="s">
        <v>350</v>
      </c>
      <c r="F7588" s="11">
        <v>4</v>
      </c>
      <c r="G7588" s="11">
        <v>184873.95</v>
      </c>
    </row>
    <row r="7589" spans="2:7" x14ac:dyDescent="0.2">
      <c r="B7589" s="32">
        <v>46017</v>
      </c>
      <c r="C7589" t="s">
        <v>110</v>
      </c>
      <c r="D7589" s="13" t="s">
        <v>633</v>
      </c>
      <c r="E7589" t="s">
        <v>427</v>
      </c>
      <c r="F7589" s="11">
        <v>3</v>
      </c>
      <c r="G7589" s="11">
        <v>163865.54999999999</v>
      </c>
    </row>
    <row r="7590" spans="2:7" x14ac:dyDescent="0.2">
      <c r="B7590" s="32">
        <v>46017</v>
      </c>
      <c r="C7590" t="s">
        <v>110</v>
      </c>
      <c r="D7590" s="13" t="s">
        <v>633</v>
      </c>
      <c r="E7590" t="s">
        <v>189</v>
      </c>
      <c r="F7590" s="11">
        <v>2</v>
      </c>
      <c r="G7590" s="11">
        <v>142857.14000000001</v>
      </c>
    </row>
    <row r="7591" spans="2:7" x14ac:dyDescent="0.2">
      <c r="B7591" s="32">
        <v>46017</v>
      </c>
      <c r="C7591" t="s">
        <v>110</v>
      </c>
      <c r="D7591" s="13" t="s">
        <v>633</v>
      </c>
      <c r="E7591" t="s">
        <v>172</v>
      </c>
      <c r="F7591" s="11">
        <v>3</v>
      </c>
      <c r="G7591" s="11">
        <v>138655.46</v>
      </c>
    </row>
    <row r="7592" spans="2:7" x14ac:dyDescent="0.2">
      <c r="B7592" s="32">
        <v>46017</v>
      </c>
      <c r="C7592" t="s">
        <v>110</v>
      </c>
      <c r="D7592" s="13" t="s">
        <v>633</v>
      </c>
      <c r="E7592" t="s">
        <v>151</v>
      </c>
      <c r="F7592" s="11">
        <v>2</v>
      </c>
      <c r="G7592" s="11">
        <v>92436.97</v>
      </c>
    </row>
    <row r="7593" spans="2:7" x14ac:dyDescent="0.2">
      <c r="B7593" s="32">
        <v>46017</v>
      </c>
      <c r="C7593" t="s">
        <v>110</v>
      </c>
      <c r="D7593" s="13" t="s">
        <v>633</v>
      </c>
      <c r="E7593" t="s">
        <v>199</v>
      </c>
      <c r="F7593" s="11">
        <v>1</v>
      </c>
      <c r="G7593" s="11">
        <v>75630.25</v>
      </c>
    </row>
    <row r="7594" spans="2:7" x14ac:dyDescent="0.2">
      <c r="B7594" s="32">
        <v>46017</v>
      </c>
      <c r="C7594" t="s">
        <v>109</v>
      </c>
      <c r="D7594" s="13" t="s">
        <v>634</v>
      </c>
      <c r="E7594" t="s">
        <v>168</v>
      </c>
      <c r="F7594" s="11">
        <v>2</v>
      </c>
      <c r="G7594" s="11">
        <v>92436.98</v>
      </c>
    </row>
    <row r="7595" spans="2:7" x14ac:dyDescent="0.2">
      <c r="B7595" s="32">
        <v>46017</v>
      </c>
      <c r="C7595" t="s">
        <v>109</v>
      </c>
      <c r="D7595" s="13" t="s">
        <v>634</v>
      </c>
      <c r="E7595" t="s">
        <v>144</v>
      </c>
      <c r="F7595" s="11">
        <v>4</v>
      </c>
      <c r="G7595" s="11">
        <v>55462.18</v>
      </c>
    </row>
    <row r="7596" spans="2:7" x14ac:dyDescent="0.2">
      <c r="B7596" s="32">
        <v>46017</v>
      </c>
      <c r="C7596" t="s">
        <v>109</v>
      </c>
      <c r="D7596" s="13" t="s">
        <v>634</v>
      </c>
      <c r="E7596" t="s">
        <v>195</v>
      </c>
      <c r="F7596" s="11">
        <v>1</v>
      </c>
      <c r="G7596" s="11">
        <v>46218.49</v>
      </c>
    </row>
    <row r="7597" spans="2:7" x14ac:dyDescent="0.2">
      <c r="B7597" s="32">
        <v>46017</v>
      </c>
      <c r="C7597" t="s">
        <v>109</v>
      </c>
      <c r="D7597" s="13" t="s">
        <v>634</v>
      </c>
      <c r="E7597" t="s">
        <v>150</v>
      </c>
      <c r="F7597" s="11">
        <v>1</v>
      </c>
      <c r="G7597" s="11">
        <v>46218.49</v>
      </c>
    </row>
    <row r="7598" spans="2:7" x14ac:dyDescent="0.2">
      <c r="B7598" s="32">
        <v>46017</v>
      </c>
      <c r="C7598" t="s">
        <v>109</v>
      </c>
      <c r="D7598" s="13" t="s">
        <v>634</v>
      </c>
      <c r="E7598" t="s">
        <v>310</v>
      </c>
      <c r="F7598" s="11">
        <v>1</v>
      </c>
      <c r="G7598" s="11">
        <v>16806.72</v>
      </c>
    </row>
    <row r="7599" spans="2:7" x14ac:dyDescent="0.2">
      <c r="B7599" s="32">
        <v>46018</v>
      </c>
      <c r="C7599" t="s">
        <v>109</v>
      </c>
      <c r="D7599" s="13"/>
      <c r="E7599" t="s">
        <v>152</v>
      </c>
      <c r="F7599" s="11">
        <v>2</v>
      </c>
      <c r="G7599" s="11">
        <v>151260.5</v>
      </c>
    </row>
    <row r="7600" spans="2:7" x14ac:dyDescent="0.2">
      <c r="B7600" s="32">
        <v>46018</v>
      </c>
      <c r="C7600" t="s">
        <v>109</v>
      </c>
      <c r="D7600" s="13"/>
      <c r="E7600" t="s">
        <v>144</v>
      </c>
      <c r="F7600" s="11">
        <v>1</v>
      </c>
      <c r="G7600" s="11">
        <v>42016.81</v>
      </c>
    </row>
    <row r="7601" spans="2:7" x14ac:dyDescent="0.2">
      <c r="B7601" s="32">
        <v>46018</v>
      </c>
      <c r="C7601" t="s">
        <v>109</v>
      </c>
      <c r="D7601" s="13" t="s">
        <v>634</v>
      </c>
      <c r="E7601" t="s">
        <v>173</v>
      </c>
      <c r="F7601" s="11">
        <v>1</v>
      </c>
      <c r="G7601" s="11">
        <v>37815.129999999997</v>
      </c>
    </row>
    <row r="7602" spans="2:7" x14ac:dyDescent="0.2">
      <c r="B7602" s="32">
        <v>46018</v>
      </c>
      <c r="C7602" t="s">
        <v>109</v>
      </c>
      <c r="D7602" s="13" t="s">
        <v>633</v>
      </c>
      <c r="E7602" t="s">
        <v>292</v>
      </c>
      <c r="F7602" s="11">
        <v>1</v>
      </c>
      <c r="G7602" s="11">
        <v>100840.33</v>
      </c>
    </row>
    <row r="7603" spans="2:7" x14ac:dyDescent="0.2">
      <c r="B7603" s="32">
        <v>46019</v>
      </c>
      <c r="C7603" t="s">
        <v>142</v>
      </c>
      <c r="D7603" s="13" t="s">
        <v>634</v>
      </c>
      <c r="E7603" t="s">
        <v>149</v>
      </c>
      <c r="F7603" s="11">
        <v>1</v>
      </c>
      <c r="G7603" s="11">
        <v>71428.570000000007</v>
      </c>
    </row>
    <row r="7604" spans="2:7" x14ac:dyDescent="0.2">
      <c r="B7604" s="32">
        <v>46019</v>
      </c>
      <c r="C7604" t="s">
        <v>142</v>
      </c>
      <c r="D7604" s="13" t="s">
        <v>633</v>
      </c>
      <c r="E7604" t="s">
        <v>420</v>
      </c>
      <c r="F7604" s="11">
        <v>1</v>
      </c>
      <c r="G7604" s="11">
        <v>100840.34</v>
      </c>
    </row>
    <row r="7605" spans="2:7" x14ac:dyDescent="0.2">
      <c r="B7605" s="32">
        <v>46019</v>
      </c>
      <c r="C7605" t="s">
        <v>142</v>
      </c>
      <c r="D7605" s="13" t="s">
        <v>633</v>
      </c>
      <c r="E7605" t="s">
        <v>1749</v>
      </c>
      <c r="F7605" s="11">
        <v>1</v>
      </c>
      <c r="G7605" s="11">
        <v>46218.48</v>
      </c>
    </row>
    <row r="7606" spans="2:7" x14ac:dyDescent="0.2">
      <c r="B7606" s="32">
        <v>46020</v>
      </c>
      <c r="C7606" t="s">
        <v>108</v>
      </c>
      <c r="D7606" s="13" t="s">
        <v>634</v>
      </c>
      <c r="E7606" t="s">
        <v>292</v>
      </c>
      <c r="F7606" s="11">
        <v>2</v>
      </c>
      <c r="G7606" s="11">
        <v>109243.7</v>
      </c>
    </row>
    <row r="7607" spans="2:7" x14ac:dyDescent="0.2">
      <c r="B7607" s="32">
        <v>46020</v>
      </c>
      <c r="C7607" t="s">
        <v>108</v>
      </c>
      <c r="D7607" s="13" t="s">
        <v>634</v>
      </c>
      <c r="E7607" t="s">
        <v>428</v>
      </c>
      <c r="F7607" s="11">
        <v>1</v>
      </c>
      <c r="G7607" s="11">
        <v>54621.85</v>
      </c>
    </row>
    <row r="7608" spans="2:7" x14ac:dyDescent="0.2">
      <c r="B7608" s="32">
        <v>46020</v>
      </c>
      <c r="C7608" t="s">
        <v>108</v>
      </c>
      <c r="D7608" s="13" t="s">
        <v>634</v>
      </c>
      <c r="E7608" t="s">
        <v>243</v>
      </c>
      <c r="F7608" s="11">
        <v>1</v>
      </c>
      <c r="G7608" s="11">
        <v>54621.85</v>
      </c>
    </row>
    <row r="7609" spans="2:7" x14ac:dyDescent="0.2">
      <c r="B7609" s="32">
        <v>46020</v>
      </c>
      <c r="C7609" t="s">
        <v>142</v>
      </c>
      <c r="D7609" s="13" t="s">
        <v>634</v>
      </c>
      <c r="E7609" t="s">
        <v>2150</v>
      </c>
      <c r="F7609" s="11">
        <v>7</v>
      </c>
      <c r="G7609" s="11">
        <v>510883.29</v>
      </c>
    </row>
    <row r="7610" spans="2:7" x14ac:dyDescent="0.2">
      <c r="B7610" s="32">
        <v>46020</v>
      </c>
      <c r="C7610" t="s">
        <v>142</v>
      </c>
      <c r="D7610" s="13" t="s">
        <v>634</v>
      </c>
      <c r="E7610" t="s">
        <v>385</v>
      </c>
      <c r="F7610" s="11">
        <v>1</v>
      </c>
      <c r="G7610" s="11">
        <v>130252.1</v>
      </c>
    </row>
    <row r="7611" spans="2:7" x14ac:dyDescent="0.2">
      <c r="B7611" s="32">
        <v>46020</v>
      </c>
      <c r="C7611" t="s">
        <v>142</v>
      </c>
      <c r="D7611" s="13" t="s">
        <v>634</v>
      </c>
      <c r="E7611" t="s">
        <v>1982</v>
      </c>
      <c r="F7611" s="11">
        <v>1</v>
      </c>
      <c r="G7611" s="11">
        <v>117647.06</v>
      </c>
    </row>
    <row r="7612" spans="2:7" x14ac:dyDescent="0.2">
      <c r="B7612" s="32">
        <v>46020</v>
      </c>
      <c r="C7612" t="s">
        <v>142</v>
      </c>
      <c r="D7612" s="13" t="s">
        <v>634</v>
      </c>
      <c r="E7612" t="s">
        <v>743</v>
      </c>
      <c r="F7612" s="11">
        <v>5</v>
      </c>
      <c r="G7612" s="11">
        <v>105095.99</v>
      </c>
    </row>
    <row r="7613" spans="2:7" x14ac:dyDescent="0.2">
      <c r="B7613" s="32">
        <v>46020</v>
      </c>
      <c r="C7613" t="s">
        <v>142</v>
      </c>
      <c r="D7613" s="13" t="s">
        <v>634</v>
      </c>
      <c r="E7613" t="s">
        <v>1983</v>
      </c>
      <c r="F7613" s="11">
        <v>12</v>
      </c>
      <c r="G7613" s="11">
        <v>51751.81</v>
      </c>
    </row>
    <row r="7614" spans="2:7" x14ac:dyDescent="0.2">
      <c r="B7614" s="32">
        <v>46020</v>
      </c>
      <c r="C7614" t="s">
        <v>142</v>
      </c>
      <c r="D7614" s="13" t="s">
        <v>634</v>
      </c>
      <c r="E7614" t="s">
        <v>604</v>
      </c>
      <c r="F7614" s="11">
        <v>1</v>
      </c>
      <c r="G7614" s="11">
        <v>46218.49</v>
      </c>
    </row>
    <row r="7615" spans="2:7" x14ac:dyDescent="0.2">
      <c r="B7615" s="32">
        <v>46020</v>
      </c>
      <c r="C7615" t="s">
        <v>142</v>
      </c>
      <c r="D7615" s="13" t="s">
        <v>633</v>
      </c>
      <c r="E7615" t="s">
        <v>2042</v>
      </c>
      <c r="F7615" s="11">
        <v>1</v>
      </c>
      <c r="G7615" s="11">
        <v>100000</v>
      </c>
    </row>
    <row r="7616" spans="2:7" x14ac:dyDescent="0.2">
      <c r="B7616" s="32">
        <v>46020</v>
      </c>
      <c r="C7616" t="s">
        <v>109</v>
      </c>
      <c r="D7616" s="13" t="s">
        <v>634</v>
      </c>
      <c r="E7616" t="s">
        <v>156</v>
      </c>
      <c r="F7616" s="11">
        <v>2</v>
      </c>
      <c r="G7616" s="11">
        <v>84033.61</v>
      </c>
    </row>
    <row r="7617" spans="2:7" x14ac:dyDescent="0.2">
      <c r="B7617" s="32">
        <v>46020</v>
      </c>
      <c r="C7617" t="s">
        <v>109</v>
      </c>
      <c r="D7617" s="13" t="s">
        <v>634</v>
      </c>
      <c r="E7617" t="s">
        <v>144</v>
      </c>
      <c r="F7617" s="11">
        <v>2</v>
      </c>
      <c r="G7617" s="11">
        <v>27731.09</v>
      </c>
    </row>
    <row r="7618" spans="2:7" x14ac:dyDescent="0.2">
      <c r="B7618" s="32">
        <v>46020</v>
      </c>
      <c r="C7618" t="s">
        <v>109</v>
      </c>
      <c r="D7618" s="13" t="s">
        <v>633</v>
      </c>
      <c r="E7618" t="s">
        <v>168</v>
      </c>
      <c r="F7618" s="11">
        <v>2</v>
      </c>
      <c r="G7618" s="11">
        <v>92436.97</v>
      </c>
    </row>
    <row r="7619" spans="2:7" x14ac:dyDescent="0.2">
      <c r="B7619" s="32">
        <v>46020</v>
      </c>
      <c r="C7619" t="s">
        <v>109</v>
      </c>
      <c r="D7619" s="13" t="s">
        <v>633</v>
      </c>
      <c r="E7619" t="s">
        <v>192</v>
      </c>
      <c r="F7619" s="11">
        <v>1</v>
      </c>
      <c r="G7619" s="11">
        <v>71428.570000000007</v>
      </c>
    </row>
    <row r="7620" spans="2:7" x14ac:dyDescent="0.2">
      <c r="B7620" s="32">
        <v>46020</v>
      </c>
      <c r="C7620" t="s">
        <v>109</v>
      </c>
      <c r="D7620" s="13" t="s">
        <v>633</v>
      </c>
      <c r="E7620" t="s">
        <v>240</v>
      </c>
      <c r="F7620" s="11">
        <v>1</v>
      </c>
      <c r="G7620" s="11">
        <v>46218.49</v>
      </c>
    </row>
    <row r="7621" spans="2:7" x14ac:dyDescent="0.2">
      <c r="B7621" s="32">
        <v>46021</v>
      </c>
      <c r="C7621" t="s">
        <v>108</v>
      </c>
      <c r="D7621" s="13" t="s">
        <v>633</v>
      </c>
      <c r="E7621" t="s">
        <v>637</v>
      </c>
      <c r="F7621" s="11">
        <v>16</v>
      </c>
      <c r="G7621" s="11">
        <v>873949.58</v>
      </c>
    </row>
    <row r="7622" spans="2:7" x14ac:dyDescent="0.2">
      <c r="B7622" s="32">
        <v>46021</v>
      </c>
      <c r="C7622" t="s">
        <v>108</v>
      </c>
      <c r="D7622" s="13" t="s">
        <v>633</v>
      </c>
      <c r="E7622" t="s">
        <v>641</v>
      </c>
      <c r="F7622" s="11">
        <v>15</v>
      </c>
      <c r="G7622" s="11">
        <v>819327.73</v>
      </c>
    </row>
    <row r="7623" spans="2:7" x14ac:dyDescent="0.2">
      <c r="B7623" s="32">
        <v>46021</v>
      </c>
      <c r="C7623" t="s">
        <v>108</v>
      </c>
      <c r="D7623" s="13" t="s">
        <v>633</v>
      </c>
      <c r="E7623" t="s">
        <v>267</v>
      </c>
      <c r="F7623" s="11">
        <v>15</v>
      </c>
      <c r="G7623" s="11">
        <v>819327.72</v>
      </c>
    </row>
    <row r="7624" spans="2:7" x14ac:dyDescent="0.2">
      <c r="B7624" s="32">
        <v>46021</v>
      </c>
      <c r="C7624" t="s">
        <v>108</v>
      </c>
      <c r="D7624" s="13" t="s">
        <v>633</v>
      </c>
      <c r="E7624" t="s">
        <v>788</v>
      </c>
      <c r="F7624" s="11">
        <v>14</v>
      </c>
      <c r="G7624" s="11">
        <v>764705.88</v>
      </c>
    </row>
    <row r="7625" spans="2:7" x14ac:dyDescent="0.2">
      <c r="B7625" s="32">
        <v>46021</v>
      </c>
      <c r="C7625" t="s">
        <v>108</v>
      </c>
      <c r="D7625" s="13" t="s">
        <v>633</v>
      </c>
      <c r="E7625" t="s">
        <v>586</v>
      </c>
      <c r="F7625" s="11">
        <v>13</v>
      </c>
      <c r="G7625" s="11">
        <v>710084.03</v>
      </c>
    </row>
    <row r="7626" spans="2:7" x14ac:dyDescent="0.2">
      <c r="B7626" s="32">
        <v>46021</v>
      </c>
      <c r="C7626" t="s">
        <v>108</v>
      </c>
      <c r="D7626" s="13" t="s">
        <v>633</v>
      </c>
      <c r="E7626" t="s">
        <v>640</v>
      </c>
      <c r="F7626" s="11">
        <v>11</v>
      </c>
      <c r="G7626" s="11">
        <v>600840.34</v>
      </c>
    </row>
    <row r="7627" spans="2:7" x14ac:dyDescent="0.2">
      <c r="B7627" s="32">
        <v>46021</v>
      </c>
      <c r="C7627" t="s">
        <v>108</v>
      </c>
      <c r="D7627" s="13" t="s">
        <v>633</v>
      </c>
      <c r="E7627" t="s">
        <v>218</v>
      </c>
      <c r="F7627" s="11">
        <v>2</v>
      </c>
      <c r="G7627" s="11">
        <v>58823.519999999997</v>
      </c>
    </row>
    <row r="7628" spans="2:7" x14ac:dyDescent="0.2">
      <c r="B7628" s="32">
        <v>46021</v>
      </c>
      <c r="C7628" t="s">
        <v>142</v>
      </c>
      <c r="D7628" s="13" t="s">
        <v>634</v>
      </c>
      <c r="E7628" t="s">
        <v>2151</v>
      </c>
      <c r="F7628" s="11">
        <v>1</v>
      </c>
      <c r="G7628" s="11">
        <v>126050.42</v>
      </c>
    </row>
    <row r="7629" spans="2:7" x14ac:dyDescent="0.2">
      <c r="B7629" s="32">
        <v>46021</v>
      </c>
      <c r="C7629" t="s">
        <v>142</v>
      </c>
      <c r="D7629" s="13" t="s">
        <v>634</v>
      </c>
      <c r="E7629" t="s">
        <v>175</v>
      </c>
      <c r="F7629" s="11">
        <v>1</v>
      </c>
      <c r="G7629" s="11">
        <v>58823.53</v>
      </c>
    </row>
    <row r="7630" spans="2:7" x14ac:dyDescent="0.2">
      <c r="B7630" s="32">
        <v>46021</v>
      </c>
      <c r="C7630" t="s">
        <v>142</v>
      </c>
      <c r="D7630" s="13" t="s">
        <v>634</v>
      </c>
      <c r="E7630" t="s">
        <v>1871</v>
      </c>
      <c r="F7630" s="11">
        <v>1</v>
      </c>
      <c r="G7630" s="11">
        <v>58823.53</v>
      </c>
    </row>
    <row r="7631" spans="2:7" x14ac:dyDescent="0.2">
      <c r="B7631" s="32">
        <v>46021</v>
      </c>
      <c r="C7631" t="s">
        <v>142</v>
      </c>
      <c r="D7631" s="13" t="s">
        <v>633</v>
      </c>
      <c r="E7631" t="s">
        <v>430</v>
      </c>
      <c r="F7631" s="11">
        <v>1</v>
      </c>
      <c r="G7631" s="11">
        <v>58823.53</v>
      </c>
    </row>
    <row r="7632" spans="2:7" x14ac:dyDescent="0.2">
      <c r="B7632" s="32">
        <v>46021</v>
      </c>
      <c r="C7632" t="s">
        <v>109</v>
      </c>
      <c r="D7632" s="13" t="s">
        <v>634</v>
      </c>
      <c r="E7632" t="s">
        <v>206</v>
      </c>
      <c r="F7632" s="11">
        <v>1</v>
      </c>
      <c r="G7632" s="11">
        <v>37815.129999999997</v>
      </c>
    </row>
    <row r="7633" spans="2:7" x14ac:dyDescent="0.2">
      <c r="B7633" s="32">
        <v>46021</v>
      </c>
      <c r="C7633" t="s">
        <v>109</v>
      </c>
      <c r="D7633" s="13" t="s">
        <v>634</v>
      </c>
      <c r="E7633" t="s">
        <v>144</v>
      </c>
      <c r="F7633" s="11">
        <v>2</v>
      </c>
      <c r="G7633" s="11">
        <v>27731.09</v>
      </c>
    </row>
    <row r="7634" spans="2:7" x14ac:dyDescent="0.2">
      <c r="B7634" s="32">
        <v>46021</v>
      </c>
      <c r="C7634" t="s">
        <v>109</v>
      </c>
      <c r="D7634" s="13" t="s">
        <v>633</v>
      </c>
      <c r="E7634" t="s">
        <v>303</v>
      </c>
      <c r="F7634" s="11">
        <v>1</v>
      </c>
      <c r="G7634" s="11">
        <v>50420.17</v>
      </c>
    </row>
    <row r="7635" spans="2:7" x14ac:dyDescent="0.2">
      <c r="B7635" s="32">
        <v>46022</v>
      </c>
      <c r="C7635" t="s">
        <v>108</v>
      </c>
      <c r="D7635" s="13" t="s">
        <v>634</v>
      </c>
      <c r="E7635" t="s">
        <v>1925</v>
      </c>
      <c r="F7635" s="11">
        <v>11</v>
      </c>
      <c r="G7635" s="11">
        <v>2579389.65</v>
      </c>
    </row>
    <row r="7636" spans="2:7" x14ac:dyDescent="0.2">
      <c r="B7636" s="32">
        <v>46022</v>
      </c>
      <c r="C7636" t="s">
        <v>108</v>
      </c>
      <c r="D7636" s="13" t="s">
        <v>634</v>
      </c>
      <c r="E7636" t="s">
        <v>356</v>
      </c>
      <c r="F7636" s="11">
        <v>100</v>
      </c>
      <c r="G7636" s="11">
        <v>2517574.69</v>
      </c>
    </row>
    <row r="7637" spans="2:7" x14ac:dyDescent="0.2">
      <c r="B7637" s="32">
        <v>46022</v>
      </c>
      <c r="C7637" t="s">
        <v>108</v>
      </c>
      <c r="D7637" s="13" t="s">
        <v>634</v>
      </c>
      <c r="E7637" t="s">
        <v>2152</v>
      </c>
      <c r="F7637" s="11">
        <v>10</v>
      </c>
      <c r="G7637" s="11">
        <v>2344899.6800000002</v>
      </c>
    </row>
    <row r="7638" spans="2:7" x14ac:dyDescent="0.2">
      <c r="B7638" s="32">
        <v>46022</v>
      </c>
      <c r="C7638" t="s">
        <v>108</v>
      </c>
      <c r="D7638" s="13" t="s">
        <v>634</v>
      </c>
      <c r="E7638" t="s">
        <v>182</v>
      </c>
      <c r="F7638" s="11">
        <v>50</v>
      </c>
      <c r="G7638" s="11">
        <v>1271839.1399999999</v>
      </c>
    </row>
    <row r="7639" spans="2:7" x14ac:dyDescent="0.2">
      <c r="B7639" s="32">
        <v>46022</v>
      </c>
      <c r="C7639" t="s">
        <v>108</v>
      </c>
      <c r="D7639" s="13" t="s">
        <v>634</v>
      </c>
      <c r="E7639" t="s">
        <v>438</v>
      </c>
      <c r="F7639" s="11">
        <v>26</v>
      </c>
      <c r="G7639" s="11">
        <v>1228233.23</v>
      </c>
    </row>
    <row r="7640" spans="2:7" x14ac:dyDescent="0.2">
      <c r="B7640" s="32">
        <v>46022</v>
      </c>
      <c r="C7640" t="s">
        <v>108</v>
      </c>
      <c r="D7640" s="13" t="s">
        <v>634</v>
      </c>
      <c r="E7640" t="s">
        <v>2153</v>
      </c>
      <c r="F7640" s="11">
        <v>14</v>
      </c>
      <c r="G7640" s="11">
        <v>1081355.93</v>
      </c>
    </row>
    <row r="7641" spans="2:7" x14ac:dyDescent="0.2">
      <c r="B7641" s="32">
        <v>46022</v>
      </c>
      <c r="C7641" t="s">
        <v>108</v>
      </c>
      <c r="D7641" s="13" t="s">
        <v>634</v>
      </c>
      <c r="E7641" t="s">
        <v>350</v>
      </c>
      <c r="F7641" s="11">
        <v>20</v>
      </c>
      <c r="G7641" s="11">
        <v>859796.55</v>
      </c>
    </row>
    <row r="7642" spans="2:7" x14ac:dyDescent="0.2">
      <c r="B7642" s="32">
        <v>46022</v>
      </c>
      <c r="C7642" t="s">
        <v>108</v>
      </c>
      <c r="D7642" s="13" t="s">
        <v>634</v>
      </c>
      <c r="E7642" t="s">
        <v>198</v>
      </c>
      <c r="F7642" s="11">
        <v>20</v>
      </c>
      <c r="G7642" s="11">
        <v>859796.55</v>
      </c>
    </row>
    <row r="7643" spans="2:7" x14ac:dyDescent="0.2">
      <c r="B7643" s="32">
        <v>46022</v>
      </c>
      <c r="C7643" t="s">
        <v>108</v>
      </c>
      <c r="D7643" s="13" t="s">
        <v>634</v>
      </c>
      <c r="E7643" t="s">
        <v>229</v>
      </c>
      <c r="F7643" s="11">
        <v>21</v>
      </c>
      <c r="G7643" s="11">
        <v>820714.88</v>
      </c>
    </row>
    <row r="7644" spans="2:7" x14ac:dyDescent="0.2">
      <c r="B7644" s="32">
        <v>46022</v>
      </c>
      <c r="C7644" t="s">
        <v>108</v>
      </c>
      <c r="D7644" s="13" t="s">
        <v>634</v>
      </c>
      <c r="E7644" t="s">
        <v>1892</v>
      </c>
      <c r="F7644" s="11">
        <v>3</v>
      </c>
      <c r="G7644" s="11">
        <v>492428.93</v>
      </c>
    </row>
    <row r="7645" spans="2:7" x14ac:dyDescent="0.2">
      <c r="B7645" s="32">
        <v>46022</v>
      </c>
      <c r="C7645" t="s">
        <v>108</v>
      </c>
      <c r="D7645" s="13" t="s">
        <v>634</v>
      </c>
      <c r="E7645" t="s">
        <v>635</v>
      </c>
      <c r="F7645" s="11">
        <v>200</v>
      </c>
      <c r="G7645" s="11">
        <v>491525.43</v>
      </c>
    </row>
    <row r="7646" spans="2:7" x14ac:dyDescent="0.2">
      <c r="B7646" s="32">
        <v>46022</v>
      </c>
      <c r="C7646" t="s">
        <v>108</v>
      </c>
      <c r="D7646" s="13" t="s">
        <v>634</v>
      </c>
      <c r="E7646" t="s">
        <v>151</v>
      </c>
      <c r="F7646" s="11">
        <v>11</v>
      </c>
      <c r="G7646" s="11">
        <v>472888.1</v>
      </c>
    </row>
    <row r="7647" spans="2:7" x14ac:dyDescent="0.2">
      <c r="B7647" s="32">
        <v>46022</v>
      </c>
      <c r="C7647" t="s">
        <v>108</v>
      </c>
      <c r="D7647" s="13" t="s">
        <v>634</v>
      </c>
      <c r="E7647" t="s">
        <v>195</v>
      </c>
      <c r="F7647" s="11">
        <v>10</v>
      </c>
      <c r="G7647" s="11">
        <v>429898.28</v>
      </c>
    </row>
    <row r="7648" spans="2:7" x14ac:dyDescent="0.2">
      <c r="B7648" s="32">
        <v>46022</v>
      </c>
      <c r="C7648" t="s">
        <v>108</v>
      </c>
      <c r="D7648" s="13" t="s">
        <v>634</v>
      </c>
      <c r="E7648" t="s">
        <v>179</v>
      </c>
      <c r="F7648" s="11">
        <v>10</v>
      </c>
      <c r="G7648" s="11">
        <v>429898.28</v>
      </c>
    </row>
    <row r="7649" spans="2:7" x14ac:dyDescent="0.2">
      <c r="B7649" s="32">
        <v>46022</v>
      </c>
      <c r="C7649" t="s">
        <v>108</v>
      </c>
      <c r="D7649" s="13" t="s">
        <v>634</v>
      </c>
      <c r="E7649" t="s">
        <v>146</v>
      </c>
      <c r="F7649" s="11">
        <v>10</v>
      </c>
      <c r="G7649" s="11">
        <v>429898.28</v>
      </c>
    </row>
    <row r="7650" spans="2:7" x14ac:dyDescent="0.2">
      <c r="B7650" s="32">
        <v>46022</v>
      </c>
      <c r="C7650" t="s">
        <v>108</v>
      </c>
      <c r="D7650" s="13" t="s">
        <v>634</v>
      </c>
      <c r="E7650" t="s">
        <v>184</v>
      </c>
      <c r="F7650" s="11">
        <v>1</v>
      </c>
      <c r="G7650" s="11">
        <v>84261.5</v>
      </c>
    </row>
    <row r="7651" spans="2:7" x14ac:dyDescent="0.2">
      <c r="B7651" s="32">
        <v>46022</v>
      </c>
      <c r="C7651" t="s">
        <v>108</v>
      </c>
      <c r="D7651" s="13" t="s">
        <v>634</v>
      </c>
      <c r="E7651" t="s">
        <v>441</v>
      </c>
      <c r="F7651" s="11">
        <v>3</v>
      </c>
      <c r="G7651" s="11">
        <v>82071.490000000005</v>
      </c>
    </row>
    <row r="7652" spans="2:7" x14ac:dyDescent="0.2">
      <c r="B7652" s="32">
        <v>46022</v>
      </c>
      <c r="C7652" t="s">
        <v>108</v>
      </c>
      <c r="D7652" s="13" t="s">
        <v>633</v>
      </c>
      <c r="E7652" t="s">
        <v>356</v>
      </c>
      <c r="F7652" s="11">
        <v>40</v>
      </c>
      <c r="G7652" s="11">
        <v>1285714.29</v>
      </c>
    </row>
    <row r="7653" spans="2:7" x14ac:dyDescent="0.2">
      <c r="B7653" s="32">
        <v>46022</v>
      </c>
      <c r="C7653" t="s">
        <v>108</v>
      </c>
      <c r="D7653" s="13" t="s">
        <v>633</v>
      </c>
      <c r="E7653" t="s">
        <v>182</v>
      </c>
      <c r="F7653" s="11">
        <v>40</v>
      </c>
      <c r="G7653" s="11">
        <v>1000000</v>
      </c>
    </row>
    <row r="7654" spans="2:7" x14ac:dyDescent="0.2">
      <c r="B7654" s="32">
        <v>46022</v>
      </c>
      <c r="C7654" t="s">
        <v>142</v>
      </c>
      <c r="D7654" s="13" t="s">
        <v>633</v>
      </c>
      <c r="E7654" t="s">
        <v>446</v>
      </c>
      <c r="F7654" s="11">
        <v>8</v>
      </c>
      <c r="G7654" s="11">
        <v>302521.01</v>
      </c>
    </row>
    <row r="7655" spans="2:7" x14ac:dyDescent="0.2">
      <c r="B7655" s="32">
        <v>46022</v>
      </c>
      <c r="C7655" t="s">
        <v>142</v>
      </c>
      <c r="D7655" s="13" t="s">
        <v>633</v>
      </c>
      <c r="E7655" t="s">
        <v>144</v>
      </c>
      <c r="F7655" s="11">
        <v>3</v>
      </c>
      <c r="G7655" s="11">
        <v>25210.080000000002</v>
      </c>
    </row>
    <row r="7656" spans="2:7" x14ac:dyDescent="0.2">
      <c r="B7656" s="32">
        <v>46023</v>
      </c>
      <c r="C7656" t="s">
        <v>142</v>
      </c>
      <c r="D7656" s="13" t="s">
        <v>634</v>
      </c>
      <c r="E7656" t="s">
        <v>167</v>
      </c>
      <c r="F7656" s="11">
        <v>1</v>
      </c>
      <c r="G7656" s="11">
        <v>100840.34</v>
      </c>
    </row>
    <row r="7657" spans="2:7" x14ac:dyDescent="0.2">
      <c r="B7657" s="32">
        <v>46023</v>
      </c>
      <c r="C7657" t="s">
        <v>142</v>
      </c>
      <c r="D7657" s="13" t="s">
        <v>634</v>
      </c>
      <c r="F7657" s="11">
        <v>0</v>
      </c>
      <c r="G7657" s="11">
        <v>0</v>
      </c>
    </row>
    <row r="7658" spans="2:7" x14ac:dyDescent="0.2">
      <c r="B7658" s="32">
        <v>46024</v>
      </c>
      <c r="C7658" t="s">
        <v>142</v>
      </c>
      <c r="D7658" s="13" t="s">
        <v>634</v>
      </c>
      <c r="E7658" t="s">
        <v>143</v>
      </c>
      <c r="F7658" s="11">
        <v>1</v>
      </c>
      <c r="G7658" s="11">
        <v>285714.28999999998</v>
      </c>
    </row>
    <row r="7659" spans="2:7" x14ac:dyDescent="0.2">
      <c r="B7659" s="32">
        <v>46024</v>
      </c>
      <c r="C7659" t="s">
        <v>142</v>
      </c>
      <c r="D7659" s="13" t="s">
        <v>634</v>
      </c>
      <c r="F7659" s="11">
        <v>0</v>
      </c>
      <c r="G7659" s="11">
        <v>0</v>
      </c>
    </row>
    <row r="7660" spans="2:7" x14ac:dyDescent="0.2">
      <c r="B7660" s="32">
        <v>46024</v>
      </c>
      <c r="C7660" t="s">
        <v>142</v>
      </c>
      <c r="D7660" s="13" t="s">
        <v>633</v>
      </c>
      <c r="E7660" t="s">
        <v>559</v>
      </c>
      <c r="F7660" s="11">
        <v>1</v>
      </c>
      <c r="G7660" s="11">
        <v>58823.53</v>
      </c>
    </row>
    <row r="7661" spans="2:7" x14ac:dyDescent="0.2">
      <c r="B7661" s="32">
        <v>46024</v>
      </c>
      <c r="C7661" t="s">
        <v>142</v>
      </c>
      <c r="D7661" s="13" t="s">
        <v>633</v>
      </c>
      <c r="E7661" t="s">
        <v>688</v>
      </c>
      <c r="F7661" s="11">
        <v>1</v>
      </c>
      <c r="G7661" s="11">
        <v>58823.53</v>
      </c>
    </row>
    <row r="7662" spans="2:7" x14ac:dyDescent="0.2">
      <c r="B7662" s="32">
        <v>46024</v>
      </c>
      <c r="C7662" t="s">
        <v>142</v>
      </c>
      <c r="D7662" s="13" t="s">
        <v>633</v>
      </c>
      <c r="E7662" t="s">
        <v>651</v>
      </c>
      <c r="F7662" s="11">
        <v>1</v>
      </c>
      <c r="G7662" s="11">
        <v>58823.53</v>
      </c>
    </row>
    <row r="7663" spans="2:7" x14ac:dyDescent="0.2">
      <c r="B7663" s="32">
        <v>46024</v>
      </c>
      <c r="C7663" t="s">
        <v>142</v>
      </c>
      <c r="D7663" s="13" t="s">
        <v>633</v>
      </c>
      <c r="F7663" s="11">
        <v>0</v>
      </c>
      <c r="G7663" s="11">
        <v>0</v>
      </c>
    </row>
    <row r="7664" spans="2:7" x14ac:dyDescent="0.2">
      <c r="B7664" s="32">
        <v>46025</v>
      </c>
      <c r="C7664" t="s">
        <v>142</v>
      </c>
      <c r="D7664" s="13" t="s">
        <v>634</v>
      </c>
      <c r="E7664" t="s">
        <v>207</v>
      </c>
      <c r="F7664" s="11">
        <v>1</v>
      </c>
      <c r="G7664" s="11">
        <v>100840.34</v>
      </c>
    </row>
    <row r="7665" spans="2:7" x14ac:dyDescent="0.2">
      <c r="B7665" s="32">
        <v>46025</v>
      </c>
      <c r="C7665" t="s">
        <v>142</v>
      </c>
      <c r="D7665" s="13" t="s">
        <v>634</v>
      </c>
      <c r="E7665" t="s">
        <v>313</v>
      </c>
      <c r="F7665" s="11">
        <v>1</v>
      </c>
      <c r="G7665" s="11">
        <v>100840.34</v>
      </c>
    </row>
    <row r="7666" spans="2:7" x14ac:dyDescent="0.2">
      <c r="B7666" s="32">
        <v>46025</v>
      </c>
      <c r="C7666" t="s">
        <v>142</v>
      </c>
      <c r="D7666" s="13" t="s">
        <v>634</v>
      </c>
      <c r="E7666" t="s">
        <v>285</v>
      </c>
      <c r="F7666" s="11">
        <v>1</v>
      </c>
      <c r="G7666" s="11">
        <v>58823.53</v>
      </c>
    </row>
    <row r="7667" spans="2:7" x14ac:dyDescent="0.2">
      <c r="B7667" s="32">
        <v>46025</v>
      </c>
      <c r="C7667" t="s">
        <v>142</v>
      </c>
      <c r="D7667" s="13" t="s">
        <v>634</v>
      </c>
      <c r="E7667" t="s">
        <v>239</v>
      </c>
      <c r="F7667" s="11">
        <v>1</v>
      </c>
      <c r="G7667" s="11">
        <v>46218.49</v>
      </c>
    </row>
    <row r="7668" spans="2:7" x14ac:dyDescent="0.2">
      <c r="B7668" s="32">
        <v>46025</v>
      </c>
      <c r="C7668" t="s">
        <v>142</v>
      </c>
      <c r="D7668" s="13" t="s">
        <v>634</v>
      </c>
      <c r="E7668" t="s">
        <v>210</v>
      </c>
      <c r="F7668" s="11">
        <v>1</v>
      </c>
      <c r="G7668" s="11">
        <v>46218.48</v>
      </c>
    </row>
    <row r="7669" spans="2:7" x14ac:dyDescent="0.2">
      <c r="B7669" s="32">
        <v>46025</v>
      </c>
      <c r="C7669" t="s">
        <v>142</v>
      </c>
      <c r="D7669" s="13" t="s">
        <v>634</v>
      </c>
      <c r="F7669" s="11">
        <v>0</v>
      </c>
      <c r="G7669" s="11">
        <v>0</v>
      </c>
    </row>
    <row r="7670" spans="2:7" x14ac:dyDescent="0.2">
      <c r="B7670" s="32">
        <v>46025</v>
      </c>
      <c r="C7670" t="s">
        <v>142</v>
      </c>
      <c r="D7670" s="13" t="s">
        <v>633</v>
      </c>
      <c r="E7670" t="s">
        <v>665</v>
      </c>
      <c r="F7670" s="11">
        <v>1</v>
      </c>
      <c r="G7670" s="11">
        <v>107563.03</v>
      </c>
    </row>
    <row r="7671" spans="2:7" x14ac:dyDescent="0.2">
      <c r="B7671" s="32">
        <v>46025</v>
      </c>
      <c r="C7671" t="s">
        <v>142</v>
      </c>
      <c r="D7671" s="13" t="s">
        <v>633</v>
      </c>
      <c r="E7671" t="s">
        <v>175</v>
      </c>
      <c r="F7671" s="11">
        <v>1</v>
      </c>
      <c r="G7671" s="11">
        <v>58823.53</v>
      </c>
    </row>
    <row r="7672" spans="2:7" x14ac:dyDescent="0.2">
      <c r="B7672" s="32">
        <v>46025</v>
      </c>
      <c r="C7672" t="s">
        <v>142</v>
      </c>
      <c r="D7672" s="13" t="s">
        <v>633</v>
      </c>
      <c r="E7672" t="s">
        <v>686</v>
      </c>
      <c r="F7672" s="11">
        <v>1</v>
      </c>
      <c r="G7672" s="11">
        <v>58823.53</v>
      </c>
    </row>
    <row r="7673" spans="2:7" x14ac:dyDescent="0.2">
      <c r="B7673" s="32">
        <v>46025</v>
      </c>
      <c r="C7673" t="s">
        <v>142</v>
      </c>
      <c r="D7673" s="13" t="s">
        <v>633</v>
      </c>
      <c r="F7673" s="11">
        <v>0</v>
      </c>
      <c r="G7673" s="11">
        <v>0</v>
      </c>
    </row>
    <row r="7674" spans="2:7" x14ac:dyDescent="0.2">
      <c r="B7674" s="32">
        <v>46025</v>
      </c>
      <c r="C7674" t="s">
        <v>109</v>
      </c>
      <c r="D7674" s="13" t="s">
        <v>634</v>
      </c>
      <c r="E7674" t="s">
        <v>319</v>
      </c>
      <c r="F7674" s="11">
        <v>1</v>
      </c>
      <c r="G7674" s="11">
        <v>58823.53</v>
      </c>
    </row>
    <row r="7675" spans="2:7" x14ac:dyDescent="0.2">
      <c r="B7675" s="32">
        <v>46025</v>
      </c>
      <c r="C7675" t="s">
        <v>109</v>
      </c>
      <c r="D7675" s="13" t="s">
        <v>634</v>
      </c>
      <c r="F7675" s="11">
        <v>0</v>
      </c>
      <c r="G7675" s="11">
        <v>0</v>
      </c>
    </row>
    <row r="7676" spans="2:7" x14ac:dyDescent="0.2">
      <c r="B7676" s="32">
        <v>46026</v>
      </c>
      <c r="C7676" t="s">
        <v>142</v>
      </c>
      <c r="D7676" s="13" t="s">
        <v>634</v>
      </c>
      <c r="E7676" t="s">
        <v>252</v>
      </c>
      <c r="F7676" s="11">
        <v>1</v>
      </c>
      <c r="G7676" s="11">
        <v>243697.48</v>
      </c>
    </row>
    <row r="7677" spans="2:7" x14ac:dyDescent="0.2">
      <c r="B7677" s="32">
        <v>46026</v>
      </c>
      <c r="C7677" t="s">
        <v>142</v>
      </c>
      <c r="D7677" s="13" t="s">
        <v>634</v>
      </c>
      <c r="E7677" t="s">
        <v>215</v>
      </c>
      <c r="F7677" s="11">
        <v>1</v>
      </c>
      <c r="G7677" s="11">
        <v>46218.49</v>
      </c>
    </row>
    <row r="7678" spans="2:7" x14ac:dyDescent="0.2">
      <c r="B7678" s="32">
        <v>46026</v>
      </c>
      <c r="C7678" t="s">
        <v>142</v>
      </c>
      <c r="D7678" s="13" t="s">
        <v>634</v>
      </c>
      <c r="F7678" s="11">
        <v>0</v>
      </c>
      <c r="G7678" s="11">
        <v>0</v>
      </c>
    </row>
    <row r="7679" spans="2:7" x14ac:dyDescent="0.2">
      <c r="B7679" s="32">
        <v>46026</v>
      </c>
      <c r="C7679" t="s">
        <v>142</v>
      </c>
      <c r="D7679" s="13" t="s">
        <v>633</v>
      </c>
      <c r="E7679" t="s">
        <v>656</v>
      </c>
      <c r="F7679" s="11">
        <v>1</v>
      </c>
      <c r="G7679" s="11">
        <v>54621.85</v>
      </c>
    </row>
    <row r="7680" spans="2:7" x14ac:dyDescent="0.2">
      <c r="B7680" s="32">
        <v>46026</v>
      </c>
      <c r="C7680" t="s">
        <v>142</v>
      </c>
      <c r="D7680" s="13" t="s">
        <v>633</v>
      </c>
      <c r="F7680" s="11">
        <v>0</v>
      </c>
      <c r="G7680" s="11">
        <v>0</v>
      </c>
    </row>
    <row r="7681" spans="2:7" x14ac:dyDescent="0.2">
      <c r="B7681" s="32">
        <v>46027</v>
      </c>
      <c r="C7681" t="s">
        <v>142</v>
      </c>
      <c r="D7681" s="13" t="s">
        <v>634</v>
      </c>
      <c r="E7681" t="s">
        <v>304</v>
      </c>
      <c r="F7681" s="11">
        <v>1</v>
      </c>
      <c r="G7681" s="11">
        <v>100840.34</v>
      </c>
    </row>
    <row r="7682" spans="2:7" x14ac:dyDescent="0.2">
      <c r="B7682" s="32">
        <v>46027</v>
      </c>
      <c r="C7682" t="s">
        <v>142</v>
      </c>
      <c r="D7682" s="13" t="s">
        <v>634</v>
      </c>
      <c r="E7682" t="s">
        <v>149</v>
      </c>
      <c r="F7682" s="11">
        <v>1</v>
      </c>
      <c r="G7682" s="11">
        <v>71428.570000000007</v>
      </c>
    </row>
    <row r="7683" spans="2:7" x14ac:dyDescent="0.2">
      <c r="B7683" s="32">
        <v>46027</v>
      </c>
      <c r="C7683" t="s">
        <v>142</v>
      </c>
      <c r="D7683" s="13" t="s">
        <v>634</v>
      </c>
      <c r="E7683" t="s">
        <v>162</v>
      </c>
      <c r="F7683" s="11">
        <v>1</v>
      </c>
      <c r="G7683" s="11">
        <v>58823.53</v>
      </c>
    </row>
    <row r="7684" spans="2:7" x14ac:dyDescent="0.2">
      <c r="B7684" s="32">
        <v>46027</v>
      </c>
      <c r="C7684" t="s">
        <v>142</v>
      </c>
      <c r="D7684" s="13" t="s">
        <v>634</v>
      </c>
      <c r="F7684" s="11">
        <v>0</v>
      </c>
      <c r="G7684" s="11">
        <v>0</v>
      </c>
    </row>
    <row r="7685" spans="2:7" x14ac:dyDescent="0.2">
      <c r="B7685" s="32">
        <v>46027</v>
      </c>
      <c r="C7685" t="s">
        <v>142</v>
      </c>
      <c r="D7685" s="13" t="s">
        <v>633</v>
      </c>
      <c r="E7685" t="s">
        <v>528</v>
      </c>
      <c r="F7685" s="11">
        <v>1</v>
      </c>
      <c r="G7685" s="11">
        <v>285714.28999999998</v>
      </c>
    </row>
    <row r="7686" spans="2:7" x14ac:dyDescent="0.2">
      <c r="B7686" s="32">
        <v>46027</v>
      </c>
      <c r="C7686" t="s">
        <v>142</v>
      </c>
      <c r="D7686" s="13" t="s">
        <v>633</v>
      </c>
      <c r="E7686" t="s">
        <v>663</v>
      </c>
      <c r="F7686" s="11">
        <v>1</v>
      </c>
      <c r="G7686" s="11">
        <v>243697.48</v>
      </c>
    </row>
    <row r="7687" spans="2:7" x14ac:dyDescent="0.2">
      <c r="B7687" s="32">
        <v>46027</v>
      </c>
      <c r="C7687" t="s">
        <v>142</v>
      </c>
      <c r="D7687" s="13" t="s">
        <v>633</v>
      </c>
      <c r="E7687" t="s">
        <v>657</v>
      </c>
      <c r="F7687" s="11">
        <v>1</v>
      </c>
      <c r="G7687" s="11">
        <v>124369.75</v>
      </c>
    </row>
    <row r="7688" spans="2:7" x14ac:dyDescent="0.2">
      <c r="B7688" s="32">
        <v>46027</v>
      </c>
      <c r="C7688" t="s">
        <v>142</v>
      </c>
      <c r="D7688" s="13" t="s">
        <v>633</v>
      </c>
      <c r="E7688" t="s">
        <v>313</v>
      </c>
      <c r="F7688" s="11">
        <v>1</v>
      </c>
      <c r="G7688" s="11">
        <v>100840.34</v>
      </c>
    </row>
    <row r="7689" spans="2:7" x14ac:dyDescent="0.2">
      <c r="B7689" s="32">
        <v>46027</v>
      </c>
      <c r="C7689" t="s">
        <v>142</v>
      </c>
      <c r="D7689" s="13" t="s">
        <v>633</v>
      </c>
      <c r="E7689" t="s">
        <v>416</v>
      </c>
      <c r="F7689" s="11">
        <v>2</v>
      </c>
      <c r="G7689" s="11">
        <v>92436.96</v>
      </c>
    </row>
    <row r="7690" spans="2:7" x14ac:dyDescent="0.2">
      <c r="B7690" s="32">
        <v>46027</v>
      </c>
      <c r="C7690" t="s">
        <v>142</v>
      </c>
      <c r="D7690" s="13" t="s">
        <v>633</v>
      </c>
      <c r="E7690" t="s">
        <v>519</v>
      </c>
      <c r="F7690" s="11">
        <v>1</v>
      </c>
      <c r="G7690" s="11">
        <v>46218.49</v>
      </c>
    </row>
    <row r="7691" spans="2:7" x14ac:dyDescent="0.2">
      <c r="B7691" s="32">
        <v>46027</v>
      </c>
      <c r="C7691" t="s">
        <v>142</v>
      </c>
      <c r="D7691" s="13" t="s">
        <v>633</v>
      </c>
      <c r="E7691" t="s">
        <v>384</v>
      </c>
      <c r="F7691" s="11">
        <v>1</v>
      </c>
      <c r="G7691" s="11">
        <v>46218.49</v>
      </c>
    </row>
    <row r="7692" spans="2:7" x14ac:dyDescent="0.2">
      <c r="B7692" s="32">
        <v>46027</v>
      </c>
      <c r="C7692" t="s">
        <v>142</v>
      </c>
      <c r="D7692" s="13" t="s">
        <v>633</v>
      </c>
      <c r="E7692" t="s">
        <v>173</v>
      </c>
      <c r="F7692" s="11">
        <v>1</v>
      </c>
      <c r="G7692" s="11">
        <v>37815.129999999997</v>
      </c>
    </row>
    <row r="7693" spans="2:7" x14ac:dyDescent="0.2">
      <c r="B7693" s="32">
        <v>46027</v>
      </c>
      <c r="C7693" t="s">
        <v>142</v>
      </c>
      <c r="D7693" s="13" t="s">
        <v>633</v>
      </c>
      <c r="F7693" s="11">
        <v>0</v>
      </c>
      <c r="G7693" s="11">
        <v>0</v>
      </c>
    </row>
    <row r="7694" spans="2:7" x14ac:dyDescent="0.2">
      <c r="B7694" s="32">
        <v>46027</v>
      </c>
      <c r="C7694" t="s">
        <v>109</v>
      </c>
      <c r="D7694" s="13" t="s">
        <v>634</v>
      </c>
      <c r="E7694" t="s">
        <v>149</v>
      </c>
      <c r="F7694" s="11">
        <v>1</v>
      </c>
      <c r="G7694" s="11">
        <v>71428.570000000007</v>
      </c>
    </row>
    <row r="7695" spans="2:7" x14ac:dyDescent="0.2">
      <c r="B7695" s="32">
        <v>46027</v>
      </c>
      <c r="C7695" t="s">
        <v>109</v>
      </c>
      <c r="D7695" s="13" t="s">
        <v>634</v>
      </c>
      <c r="E7695" t="s">
        <v>238</v>
      </c>
      <c r="F7695" s="11">
        <v>1</v>
      </c>
      <c r="G7695" s="11">
        <v>46218.49</v>
      </c>
    </row>
    <row r="7696" spans="2:7" x14ac:dyDescent="0.2">
      <c r="B7696" s="32">
        <v>46027</v>
      </c>
      <c r="C7696" t="s">
        <v>109</v>
      </c>
      <c r="D7696" s="13" t="s">
        <v>634</v>
      </c>
      <c r="E7696" t="s">
        <v>241</v>
      </c>
      <c r="F7696" s="11">
        <v>1</v>
      </c>
      <c r="G7696" s="11">
        <v>46218.49</v>
      </c>
    </row>
    <row r="7697" spans="2:7" x14ac:dyDescent="0.2">
      <c r="B7697" s="32">
        <v>46027</v>
      </c>
      <c r="C7697" t="s">
        <v>109</v>
      </c>
      <c r="D7697" s="13" t="s">
        <v>634</v>
      </c>
      <c r="E7697" t="s">
        <v>193</v>
      </c>
      <c r="F7697" s="11">
        <v>1</v>
      </c>
      <c r="G7697" s="11">
        <v>37815.129999999997</v>
      </c>
    </row>
    <row r="7698" spans="2:7" x14ac:dyDescent="0.2">
      <c r="B7698" s="32">
        <v>46027</v>
      </c>
      <c r="C7698" t="s">
        <v>109</v>
      </c>
      <c r="D7698" s="13" t="s">
        <v>634</v>
      </c>
      <c r="E7698" t="s">
        <v>148</v>
      </c>
      <c r="F7698" s="11">
        <v>1</v>
      </c>
      <c r="G7698" s="11">
        <v>37815.120000000003</v>
      </c>
    </row>
    <row r="7699" spans="2:7" x14ac:dyDescent="0.2">
      <c r="B7699" s="32">
        <v>46027</v>
      </c>
      <c r="C7699" t="s">
        <v>109</v>
      </c>
      <c r="D7699" s="13" t="s">
        <v>634</v>
      </c>
      <c r="E7699" t="s">
        <v>209</v>
      </c>
      <c r="F7699" s="11">
        <v>2</v>
      </c>
      <c r="G7699" s="11">
        <v>33613.449999999997</v>
      </c>
    </row>
    <row r="7700" spans="2:7" x14ac:dyDescent="0.2">
      <c r="B7700" s="32">
        <v>46027</v>
      </c>
      <c r="C7700" t="s">
        <v>109</v>
      </c>
      <c r="D7700" s="13" t="s">
        <v>634</v>
      </c>
      <c r="E7700" t="s">
        <v>310</v>
      </c>
      <c r="F7700" s="11">
        <v>1</v>
      </c>
      <c r="G7700" s="11">
        <v>16806.72</v>
      </c>
    </row>
    <row r="7701" spans="2:7" x14ac:dyDescent="0.2">
      <c r="B7701" s="32">
        <v>46027</v>
      </c>
      <c r="C7701" t="s">
        <v>109</v>
      </c>
      <c r="D7701" s="13" t="s">
        <v>633</v>
      </c>
      <c r="E7701" t="s">
        <v>398</v>
      </c>
      <c r="F7701" s="11">
        <v>1</v>
      </c>
      <c r="G7701" s="11">
        <v>58823.53</v>
      </c>
    </row>
    <row r="7702" spans="2:7" x14ac:dyDescent="0.2">
      <c r="B7702" s="32">
        <v>46027</v>
      </c>
      <c r="C7702" t="s">
        <v>109</v>
      </c>
      <c r="D7702" s="13" t="s">
        <v>633</v>
      </c>
      <c r="E7702" t="s">
        <v>176</v>
      </c>
      <c r="F7702" s="11">
        <v>1</v>
      </c>
      <c r="G7702" s="11">
        <v>58823.519999999997</v>
      </c>
    </row>
    <row r="7703" spans="2:7" x14ac:dyDescent="0.2">
      <c r="B7703" s="32">
        <v>46027</v>
      </c>
      <c r="C7703" t="s">
        <v>109</v>
      </c>
      <c r="D7703" s="13" t="s">
        <v>633</v>
      </c>
      <c r="E7703" t="s">
        <v>153</v>
      </c>
      <c r="F7703" s="11">
        <v>1</v>
      </c>
      <c r="G7703" s="11">
        <v>46218.49</v>
      </c>
    </row>
    <row r="7704" spans="2:7" x14ac:dyDescent="0.2">
      <c r="B7704" s="32">
        <v>46027</v>
      </c>
      <c r="C7704" t="s">
        <v>109</v>
      </c>
      <c r="D7704" s="13" t="s">
        <v>633</v>
      </c>
      <c r="E7704" t="s">
        <v>150</v>
      </c>
      <c r="F7704" s="11">
        <v>1</v>
      </c>
      <c r="G7704" s="11">
        <v>46218.49</v>
      </c>
    </row>
    <row r="7705" spans="2:7" x14ac:dyDescent="0.2">
      <c r="B7705" s="32">
        <v>46027</v>
      </c>
      <c r="C7705" t="s">
        <v>109</v>
      </c>
      <c r="D7705" s="13" t="s">
        <v>633</v>
      </c>
      <c r="E7705" t="s">
        <v>240</v>
      </c>
      <c r="F7705" s="11">
        <v>1</v>
      </c>
      <c r="G7705" s="11">
        <v>46218.49</v>
      </c>
    </row>
    <row r="7706" spans="2:7" x14ac:dyDescent="0.2">
      <c r="B7706" s="32">
        <v>46027</v>
      </c>
      <c r="C7706" t="s">
        <v>109</v>
      </c>
      <c r="D7706" s="13" t="s">
        <v>633</v>
      </c>
      <c r="E7706" t="s">
        <v>206</v>
      </c>
      <c r="F7706" s="11">
        <v>1</v>
      </c>
      <c r="G7706" s="11">
        <v>37815.129999999997</v>
      </c>
    </row>
    <row r="7707" spans="2:7" x14ac:dyDescent="0.2">
      <c r="B7707" s="32">
        <v>46027</v>
      </c>
      <c r="C7707" t="s">
        <v>109</v>
      </c>
      <c r="D7707" s="13" t="s">
        <v>633</v>
      </c>
      <c r="E7707" t="s">
        <v>144</v>
      </c>
      <c r="F7707" s="11">
        <v>1</v>
      </c>
      <c r="G7707" s="11">
        <v>3781.51</v>
      </c>
    </row>
    <row r="7708" spans="2:7" x14ac:dyDescent="0.2">
      <c r="B7708" s="32">
        <v>46028</v>
      </c>
      <c r="C7708" t="s">
        <v>142</v>
      </c>
      <c r="D7708" s="13" t="s">
        <v>634</v>
      </c>
      <c r="E7708" t="s">
        <v>155</v>
      </c>
      <c r="F7708" s="11">
        <v>1</v>
      </c>
      <c r="G7708" s="11">
        <v>100840.34</v>
      </c>
    </row>
    <row r="7709" spans="2:7" x14ac:dyDescent="0.2">
      <c r="B7709" s="32">
        <v>46028</v>
      </c>
      <c r="C7709" t="s">
        <v>142</v>
      </c>
      <c r="D7709" s="13" t="s">
        <v>634</v>
      </c>
      <c r="F7709" s="11">
        <v>0</v>
      </c>
      <c r="G7709" s="11">
        <v>0</v>
      </c>
    </row>
    <row r="7710" spans="2:7" x14ac:dyDescent="0.2">
      <c r="B7710" s="32">
        <v>46028</v>
      </c>
      <c r="C7710" t="s">
        <v>142</v>
      </c>
      <c r="D7710" s="13" t="s">
        <v>633</v>
      </c>
      <c r="E7710" t="s">
        <v>579</v>
      </c>
      <c r="F7710" s="11">
        <v>1</v>
      </c>
      <c r="G7710" s="11">
        <v>100840.34</v>
      </c>
    </row>
    <row r="7711" spans="2:7" x14ac:dyDescent="0.2">
      <c r="B7711" s="32">
        <v>46028</v>
      </c>
      <c r="C7711" t="s">
        <v>142</v>
      </c>
      <c r="D7711" s="13" t="s">
        <v>633</v>
      </c>
      <c r="E7711" t="s">
        <v>207</v>
      </c>
      <c r="F7711" s="11">
        <v>1</v>
      </c>
      <c r="G7711" s="11">
        <v>100840.34</v>
      </c>
    </row>
    <row r="7712" spans="2:7" x14ac:dyDescent="0.2">
      <c r="B7712" s="32">
        <v>46028</v>
      </c>
      <c r="C7712" t="s">
        <v>142</v>
      </c>
      <c r="D7712" s="13" t="s">
        <v>633</v>
      </c>
      <c r="F7712" s="11">
        <v>0</v>
      </c>
      <c r="G7712" s="11">
        <v>0</v>
      </c>
    </row>
    <row r="7713" spans="2:7" x14ac:dyDescent="0.2">
      <c r="B7713" s="32">
        <v>46028</v>
      </c>
      <c r="C7713" t="s">
        <v>110</v>
      </c>
      <c r="D7713" s="13"/>
      <c r="E7713" t="s">
        <v>150</v>
      </c>
      <c r="F7713" s="11">
        <v>1</v>
      </c>
      <c r="G7713" s="11">
        <v>46218.49</v>
      </c>
    </row>
    <row r="7714" spans="2:7" x14ac:dyDescent="0.2">
      <c r="B7714" s="32">
        <v>46028</v>
      </c>
      <c r="C7714" t="s">
        <v>109</v>
      </c>
      <c r="D7714" s="13"/>
      <c r="F7714" s="11">
        <v>1</v>
      </c>
      <c r="G7714" s="11">
        <v>121848.74</v>
      </c>
    </row>
    <row r="7715" spans="2:7" x14ac:dyDescent="0.2">
      <c r="B7715" s="32">
        <v>46028</v>
      </c>
      <c r="C7715" t="s">
        <v>109</v>
      </c>
      <c r="D7715" s="13" t="s">
        <v>634</v>
      </c>
      <c r="E7715" t="s">
        <v>316</v>
      </c>
      <c r="F7715" s="11">
        <v>1</v>
      </c>
      <c r="G7715" s="11">
        <v>184873.95</v>
      </c>
    </row>
    <row r="7716" spans="2:7" x14ac:dyDescent="0.2">
      <c r="B7716" s="32">
        <v>46028</v>
      </c>
      <c r="C7716" t="s">
        <v>109</v>
      </c>
      <c r="D7716" s="13" t="s">
        <v>634</v>
      </c>
      <c r="E7716" t="s">
        <v>273</v>
      </c>
      <c r="F7716" s="11">
        <v>1</v>
      </c>
      <c r="G7716" s="11">
        <v>100840.34</v>
      </c>
    </row>
    <row r="7717" spans="2:7" x14ac:dyDescent="0.2">
      <c r="B7717" s="32">
        <v>46028</v>
      </c>
      <c r="C7717" t="s">
        <v>109</v>
      </c>
      <c r="D7717" s="13" t="s">
        <v>634</v>
      </c>
      <c r="E7717" t="s">
        <v>235</v>
      </c>
      <c r="F7717" s="11">
        <v>1</v>
      </c>
      <c r="G7717" s="11">
        <v>58823.53</v>
      </c>
    </row>
    <row r="7718" spans="2:7" x14ac:dyDescent="0.2">
      <c r="B7718" s="32">
        <v>46028</v>
      </c>
      <c r="C7718" t="s">
        <v>109</v>
      </c>
      <c r="D7718" s="13" t="s">
        <v>634</v>
      </c>
      <c r="E7718" t="s">
        <v>320</v>
      </c>
      <c r="F7718" s="11">
        <v>1</v>
      </c>
      <c r="G7718" s="11">
        <v>58823.519999999997</v>
      </c>
    </row>
    <row r="7719" spans="2:7" x14ac:dyDescent="0.2">
      <c r="B7719" s="32">
        <v>46028</v>
      </c>
      <c r="C7719" t="s">
        <v>109</v>
      </c>
      <c r="D7719" s="13" t="s">
        <v>634</v>
      </c>
      <c r="E7719" t="s">
        <v>212</v>
      </c>
      <c r="F7719" s="11">
        <v>1</v>
      </c>
      <c r="G7719" s="11">
        <v>54621.85</v>
      </c>
    </row>
    <row r="7720" spans="2:7" x14ac:dyDescent="0.2">
      <c r="B7720" s="32">
        <v>46028</v>
      </c>
      <c r="C7720" t="s">
        <v>109</v>
      </c>
      <c r="D7720" s="13" t="s">
        <v>634</v>
      </c>
      <c r="F7720" s="11">
        <v>0</v>
      </c>
      <c r="G7720" s="11">
        <v>0</v>
      </c>
    </row>
    <row r="7721" spans="2:7" x14ac:dyDescent="0.2">
      <c r="B7721" s="32">
        <v>46028</v>
      </c>
      <c r="C7721" t="s">
        <v>109</v>
      </c>
      <c r="D7721" s="13" t="s">
        <v>633</v>
      </c>
      <c r="F7721" s="11">
        <v>1</v>
      </c>
      <c r="G7721" s="11">
        <v>121848.74</v>
      </c>
    </row>
    <row r="7722" spans="2:7" x14ac:dyDescent="0.2">
      <c r="B7722" s="32">
        <v>46028</v>
      </c>
      <c r="C7722" t="s">
        <v>109</v>
      </c>
      <c r="D7722" s="13" t="s">
        <v>633</v>
      </c>
      <c r="E7722" t="s">
        <v>144</v>
      </c>
      <c r="F7722" s="11">
        <v>10</v>
      </c>
      <c r="G7722" s="11">
        <v>113025.21</v>
      </c>
    </row>
    <row r="7723" spans="2:7" x14ac:dyDescent="0.2">
      <c r="B7723" s="32">
        <v>46028</v>
      </c>
      <c r="C7723" t="s">
        <v>109</v>
      </c>
      <c r="D7723" s="13" t="s">
        <v>633</v>
      </c>
      <c r="E7723" t="s">
        <v>248</v>
      </c>
      <c r="F7723" s="11">
        <v>2</v>
      </c>
      <c r="G7723" s="11">
        <v>75630.259999999995</v>
      </c>
    </row>
    <row r="7724" spans="2:7" x14ac:dyDescent="0.2">
      <c r="B7724" s="32">
        <v>46028</v>
      </c>
      <c r="C7724" t="s">
        <v>109</v>
      </c>
      <c r="D7724" s="13" t="s">
        <v>633</v>
      </c>
      <c r="E7724" t="s">
        <v>168</v>
      </c>
      <c r="F7724" s="11">
        <v>1</v>
      </c>
      <c r="G7724" s="11">
        <v>46218.49</v>
      </c>
    </row>
    <row r="7725" spans="2:7" x14ac:dyDescent="0.2">
      <c r="B7725" s="32">
        <v>46028</v>
      </c>
      <c r="C7725" t="s">
        <v>109</v>
      </c>
      <c r="D7725" s="13" t="s">
        <v>633</v>
      </c>
      <c r="E7725" t="s">
        <v>218</v>
      </c>
      <c r="F7725" s="11">
        <v>1</v>
      </c>
      <c r="G7725" s="11">
        <v>29411.759999999998</v>
      </c>
    </row>
    <row r="7726" spans="2:7" x14ac:dyDescent="0.2">
      <c r="B7726" s="32">
        <v>46028</v>
      </c>
      <c r="C7726" t="s">
        <v>109</v>
      </c>
      <c r="D7726" s="13" t="s">
        <v>633</v>
      </c>
      <c r="E7726" t="s">
        <v>182</v>
      </c>
      <c r="F7726" s="11">
        <v>1</v>
      </c>
      <c r="G7726" s="11">
        <v>29411.759999999998</v>
      </c>
    </row>
    <row r="7727" spans="2:7" x14ac:dyDescent="0.2">
      <c r="B7727" s="32">
        <v>46029</v>
      </c>
      <c r="C7727" t="s">
        <v>142</v>
      </c>
      <c r="D7727" s="13" t="s">
        <v>634</v>
      </c>
      <c r="E7727" t="s">
        <v>154</v>
      </c>
      <c r="F7727" s="11">
        <v>3</v>
      </c>
      <c r="G7727" s="11">
        <v>302521</v>
      </c>
    </row>
    <row r="7728" spans="2:7" x14ac:dyDescent="0.2">
      <c r="B7728" s="32">
        <v>46029</v>
      </c>
      <c r="C7728" t="s">
        <v>142</v>
      </c>
      <c r="D7728" s="13" t="s">
        <v>634</v>
      </c>
      <c r="E7728" t="s">
        <v>185</v>
      </c>
      <c r="F7728" s="11">
        <v>1</v>
      </c>
      <c r="G7728" s="11">
        <v>100840.34</v>
      </c>
    </row>
    <row r="7729" spans="2:7" x14ac:dyDescent="0.2">
      <c r="B7729" s="32">
        <v>46029</v>
      </c>
      <c r="C7729" t="s">
        <v>142</v>
      </c>
      <c r="D7729" s="13" t="s">
        <v>634</v>
      </c>
      <c r="E7729" t="s">
        <v>167</v>
      </c>
      <c r="F7729" s="11">
        <v>1</v>
      </c>
      <c r="G7729" s="11">
        <v>100840.34</v>
      </c>
    </row>
    <row r="7730" spans="2:7" x14ac:dyDescent="0.2">
      <c r="B7730" s="32">
        <v>46029</v>
      </c>
      <c r="C7730" t="s">
        <v>142</v>
      </c>
      <c r="D7730" s="13" t="s">
        <v>634</v>
      </c>
      <c r="E7730" t="s">
        <v>194</v>
      </c>
      <c r="F7730" s="11">
        <v>1</v>
      </c>
      <c r="G7730" s="11">
        <v>100840.34</v>
      </c>
    </row>
    <row r="7731" spans="2:7" x14ac:dyDescent="0.2">
      <c r="B7731" s="32">
        <v>46029</v>
      </c>
      <c r="C7731" t="s">
        <v>142</v>
      </c>
      <c r="D7731" s="13" t="s">
        <v>634</v>
      </c>
      <c r="E7731" t="s">
        <v>278</v>
      </c>
      <c r="F7731" s="11">
        <v>1</v>
      </c>
      <c r="G7731" s="11">
        <v>100840.34</v>
      </c>
    </row>
    <row r="7732" spans="2:7" x14ac:dyDescent="0.2">
      <c r="B7732" s="32">
        <v>46029</v>
      </c>
      <c r="C7732" t="s">
        <v>142</v>
      </c>
      <c r="D7732" s="13" t="s">
        <v>634</v>
      </c>
      <c r="E7732" t="s">
        <v>207</v>
      </c>
      <c r="F7732" s="11">
        <v>1</v>
      </c>
      <c r="G7732" s="11">
        <v>100840.34</v>
      </c>
    </row>
    <row r="7733" spans="2:7" x14ac:dyDescent="0.2">
      <c r="B7733" s="32">
        <v>46029</v>
      </c>
      <c r="C7733" t="s">
        <v>142</v>
      </c>
      <c r="D7733" s="13" t="s">
        <v>634</v>
      </c>
      <c r="E7733" t="s">
        <v>155</v>
      </c>
      <c r="F7733" s="11">
        <v>1</v>
      </c>
      <c r="G7733" s="11">
        <v>100840.33</v>
      </c>
    </row>
    <row r="7734" spans="2:7" x14ac:dyDescent="0.2">
      <c r="B7734" s="32">
        <v>46029</v>
      </c>
      <c r="C7734" t="s">
        <v>142</v>
      </c>
      <c r="D7734" s="13" t="s">
        <v>634</v>
      </c>
      <c r="E7734" t="s">
        <v>189</v>
      </c>
      <c r="F7734" s="11">
        <v>1</v>
      </c>
      <c r="G7734" s="11">
        <v>71428.570000000007</v>
      </c>
    </row>
    <row r="7735" spans="2:7" x14ac:dyDescent="0.2">
      <c r="B7735" s="32">
        <v>46029</v>
      </c>
      <c r="C7735" t="s">
        <v>142</v>
      </c>
      <c r="D7735" s="13" t="s">
        <v>634</v>
      </c>
      <c r="E7735" t="s">
        <v>315</v>
      </c>
      <c r="F7735" s="11">
        <v>1</v>
      </c>
      <c r="G7735" s="11">
        <v>58823.53</v>
      </c>
    </row>
    <row r="7736" spans="2:7" x14ac:dyDescent="0.2">
      <c r="B7736" s="32">
        <v>46029</v>
      </c>
      <c r="C7736" t="s">
        <v>142</v>
      </c>
      <c r="D7736" s="13" t="s">
        <v>634</v>
      </c>
      <c r="E7736" t="s">
        <v>165</v>
      </c>
      <c r="F7736" s="11">
        <v>1</v>
      </c>
      <c r="G7736" s="11">
        <v>58823.53</v>
      </c>
    </row>
    <row r="7737" spans="2:7" x14ac:dyDescent="0.2">
      <c r="B7737" s="32">
        <v>46029</v>
      </c>
      <c r="C7737" t="s">
        <v>142</v>
      </c>
      <c r="D7737" s="13" t="s">
        <v>634</v>
      </c>
      <c r="E7737" t="s">
        <v>294</v>
      </c>
      <c r="F7737" s="11">
        <v>1</v>
      </c>
      <c r="G7737" s="11">
        <v>58823.53</v>
      </c>
    </row>
    <row r="7738" spans="2:7" x14ac:dyDescent="0.2">
      <c r="B7738" s="32">
        <v>46029</v>
      </c>
      <c r="C7738" t="s">
        <v>142</v>
      </c>
      <c r="D7738" s="13" t="s">
        <v>634</v>
      </c>
      <c r="E7738" t="s">
        <v>175</v>
      </c>
      <c r="F7738" s="11">
        <v>1</v>
      </c>
      <c r="G7738" s="11">
        <v>58823.53</v>
      </c>
    </row>
    <row r="7739" spans="2:7" x14ac:dyDescent="0.2">
      <c r="B7739" s="32">
        <v>46029</v>
      </c>
      <c r="C7739" t="s">
        <v>142</v>
      </c>
      <c r="D7739" s="13" t="s">
        <v>634</v>
      </c>
      <c r="E7739" t="s">
        <v>162</v>
      </c>
      <c r="F7739" s="11">
        <v>1</v>
      </c>
      <c r="G7739" s="11">
        <v>58823.53</v>
      </c>
    </row>
    <row r="7740" spans="2:7" x14ac:dyDescent="0.2">
      <c r="B7740" s="32">
        <v>46029</v>
      </c>
      <c r="C7740" t="s">
        <v>142</v>
      </c>
      <c r="D7740" s="13" t="s">
        <v>634</v>
      </c>
      <c r="E7740" t="s">
        <v>168</v>
      </c>
      <c r="F7740" s="11">
        <v>1</v>
      </c>
      <c r="G7740" s="11">
        <v>46218.49</v>
      </c>
    </row>
    <row r="7741" spans="2:7" x14ac:dyDescent="0.2">
      <c r="B7741" s="32">
        <v>46029</v>
      </c>
      <c r="C7741" t="s">
        <v>142</v>
      </c>
      <c r="D7741" s="13" t="s">
        <v>634</v>
      </c>
      <c r="F7741" s="11">
        <v>0</v>
      </c>
      <c r="G7741" s="11">
        <v>0</v>
      </c>
    </row>
    <row r="7742" spans="2:7" x14ac:dyDescent="0.2">
      <c r="B7742" s="32">
        <v>46029</v>
      </c>
      <c r="C7742" t="s">
        <v>142</v>
      </c>
      <c r="D7742" s="13" t="s">
        <v>633</v>
      </c>
      <c r="E7742" t="s">
        <v>687</v>
      </c>
      <c r="F7742" s="11">
        <v>1</v>
      </c>
      <c r="G7742" s="11">
        <v>142857.14000000001</v>
      </c>
    </row>
    <row r="7743" spans="2:7" x14ac:dyDescent="0.2">
      <c r="B7743" s="32">
        <v>46029</v>
      </c>
      <c r="C7743" t="s">
        <v>142</v>
      </c>
      <c r="D7743" s="13" t="s">
        <v>633</v>
      </c>
      <c r="E7743" t="s">
        <v>308</v>
      </c>
      <c r="F7743" s="11">
        <v>1</v>
      </c>
      <c r="G7743" s="11">
        <v>100840.34</v>
      </c>
    </row>
    <row r="7744" spans="2:7" x14ac:dyDescent="0.2">
      <c r="B7744" s="32">
        <v>46029</v>
      </c>
      <c r="C7744" t="s">
        <v>142</v>
      </c>
      <c r="D7744" s="13" t="s">
        <v>633</v>
      </c>
      <c r="F7744" s="11">
        <v>0</v>
      </c>
      <c r="G7744" s="11">
        <v>0</v>
      </c>
    </row>
    <row r="7745" spans="2:7" x14ac:dyDescent="0.2">
      <c r="B7745" s="32">
        <v>46029</v>
      </c>
      <c r="C7745" t="s">
        <v>109</v>
      </c>
      <c r="D7745" s="13"/>
      <c r="F7745" s="11">
        <v>1</v>
      </c>
      <c r="G7745" s="11">
        <v>121848.74</v>
      </c>
    </row>
    <row r="7746" spans="2:7" x14ac:dyDescent="0.2">
      <c r="B7746" s="32">
        <v>46029</v>
      </c>
      <c r="C7746" t="s">
        <v>109</v>
      </c>
      <c r="D7746" s="13"/>
      <c r="E7746" t="s">
        <v>334</v>
      </c>
      <c r="F7746" s="11">
        <v>1</v>
      </c>
      <c r="G7746" s="11">
        <v>71428.570000000007</v>
      </c>
    </row>
    <row r="7747" spans="2:7" x14ac:dyDescent="0.2">
      <c r="B7747" s="32">
        <v>46029</v>
      </c>
      <c r="C7747" t="s">
        <v>109</v>
      </c>
      <c r="D7747" s="13"/>
      <c r="E7747" t="s">
        <v>427</v>
      </c>
      <c r="F7747" s="11">
        <v>1</v>
      </c>
      <c r="G7747" s="11">
        <v>54621.85</v>
      </c>
    </row>
    <row r="7748" spans="2:7" x14ac:dyDescent="0.2">
      <c r="B7748" s="32">
        <v>46029</v>
      </c>
      <c r="C7748" t="s">
        <v>109</v>
      </c>
      <c r="D7748" s="13"/>
      <c r="E7748" t="s">
        <v>196</v>
      </c>
      <c r="F7748" s="11">
        <v>1</v>
      </c>
      <c r="G7748" s="11">
        <v>46218.49</v>
      </c>
    </row>
    <row r="7749" spans="2:7" x14ac:dyDescent="0.2">
      <c r="B7749" s="32">
        <v>46029</v>
      </c>
      <c r="C7749" t="s">
        <v>109</v>
      </c>
      <c r="D7749" s="13"/>
      <c r="E7749" t="s">
        <v>240</v>
      </c>
      <c r="F7749" s="11">
        <v>1</v>
      </c>
      <c r="G7749" s="11">
        <v>46218.49</v>
      </c>
    </row>
    <row r="7750" spans="2:7" x14ac:dyDescent="0.2">
      <c r="B7750" s="32">
        <v>46029</v>
      </c>
      <c r="C7750" t="s">
        <v>109</v>
      </c>
      <c r="D7750" s="13"/>
      <c r="E7750" t="s">
        <v>146</v>
      </c>
      <c r="F7750" s="11">
        <v>1</v>
      </c>
      <c r="G7750" s="11">
        <v>46218.49</v>
      </c>
    </row>
    <row r="7751" spans="2:7" x14ac:dyDescent="0.2">
      <c r="B7751" s="32">
        <v>46029</v>
      </c>
      <c r="C7751" t="s">
        <v>109</v>
      </c>
      <c r="D7751" s="13"/>
      <c r="E7751" t="s">
        <v>351</v>
      </c>
      <c r="F7751" s="11">
        <v>1</v>
      </c>
      <c r="G7751" s="11">
        <v>16806.72</v>
      </c>
    </row>
    <row r="7752" spans="2:7" x14ac:dyDescent="0.2">
      <c r="B7752" s="32">
        <v>46029</v>
      </c>
      <c r="C7752" t="s">
        <v>109</v>
      </c>
      <c r="D7752" s="13" t="s">
        <v>634</v>
      </c>
      <c r="E7752" t="s">
        <v>157</v>
      </c>
      <c r="F7752" s="11">
        <v>3</v>
      </c>
      <c r="G7752" s="11">
        <v>252100.84</v>
      </c>
    </row>
    <row r="7753" spans="2:7" x14ac:dyDescent="0.2">
      <c r="B7753" s="32">
        <v>46029</v>
      </c>
      <c r="C7753" t="s">
        <v>109</v>
      </c>
      <c r="D7753" s="13" t="s">
        <v>634</v>
      </c>
      <c r="E7753" t="s">
        <v>186</v>
      </c>
      <c r="F7753" s="11">
        <v>2</v>
      </c>
      <c r="G7753" s="11">
        <v>168067.23</v>
      </c>
    </row>
    <row r="7754" spans="2:7" x14ac:dyDescent="0.2">
      <c r="B7754" s="32">
        <v>46029</v>
      </c>
      <c r="C7754" t="s">
        <v>109</v>
      </c>
      <c r="D7754" s="13" t="s">
        <v>634</v>
      </c>
      <c r="E7754" t="s">
        <v>174</v>
      </c>
      <c r="F7754" s="11">
        <v>2</v>
      </c>
      <c r="G7754" s="11">
        <v>151260.5</v>
      </c>
    </row>
    <row r="7755" spans="2:7" x14ac:dyDescent="0.2">
      <c r="B7755" s="32">
        <v>46029</v>
      </c>
      <c r="C7755" t="s">
        <v>109</v>
      </c>
      <c r="D7755" s="13" t="s">
        <v>634</v>
      </c>
      <c r="F7755" s="11">
        <v>1</v>
      </c>
      <c r="G7755" s="11">
        <v>121848.75</v>
      </c>
    </row>
    <row r="7756" spans="2:7" x14ac:dyDescent="0.2">
      <c r="B7756" s="32">
        <v>46029</v>
      </c>
      <c r="C7756" t="s">
        <v>109</v>
      </c>
      <c r="D7756" s="13" t="s">
        <v>634</v>
      </c>
      <c r="E7756" t="s">
        <v>150</v>
      </c>
      <c r="F7756" s="11">
        <v>2</v>
      </c>
      <c r="G7756" s="11">
        <v>92436.98</v>
      </c>
    </row>
    <row r="7757" spans="2:7" x14ac:dyDescent="0.2">
      <c r="B7757" s="32">
        <v>46029</v>
      </c>
      <c r="C7757" t="s">
        <v>109</v>
      </c>
      <c r="D7757" s="13" t="s">
        <v>634</v>
      </c>
      <c r="E7757" t="s">
        <v>183</v>
      </c>
      <c r="F7757" s="11">
        <v>1</v>
      </c>
      <c r="G7757" s="11">
        <v>84033.61</v>
      </c>
    </row>
    <row r="7758" spans="2:7" x14ac:dyDescent="0.2">
      <c r="B7758" s="32">
        <v>46029</v>
      </c>
      <c r="C7758" t="s">
        <v>109</v>
      </c>
      <c r="D7758" s="13" t="s">
        <v>634</v>
      </c>
      <c r="E7758" t="s">
        <v>149</v>
      </c>
      <c r="F7758" s="11">
        <v>1</v>
      </c>
      <c r="G7758" s="11">
        <v>71428.570000000007</v>
      </c>
    </row>
    <row r="7759" spans="2:7" x14ac:dyDescent="0.2">
      <c r="B7759" s="32">
        <v>46029</v>
      </c>
      <c r="C7759" t="s">
        <v>109</v>
      </c>
      <c r="D7759" s="13" t="s">
        <v>634</v>
      </c>
      <c r="E7759" t="s">
        <v>325</v>
      </c>
      <c r="F7759" s="11">
        <v>0</v>
      </c>
      <c r="G7759" s="11">
        <v>58823.53</v>
      </c>
    </row>
    <row r="7760" spans="2:7" x14ac:dyDescent="0.2">
      <c r="B7760" s="32">
        <v>46029</v>
      </c>
      <c r="C7760" t="s">
        <v>109</v>
      </c>
      <c r="D7760" s="13" t="s">
        <v>634</v>
      </c>
      <c r="E7760" t="s">
        <v>196</v>
      </c>
      <c r="F7760" s="11">
        <v>1</v>
      </c>
      <c r="G7760" s="11">
        <v>46218.49</v>
      </c>
    </row>
    <row r="7761" spans="2:7" x14ac:dyDescent="0.2">
      <c r="B7761" s="32">
        <v>46029</v>
      </c>
      <c r="C7761" t="s">
        <v>109</v>
      </c>
      <c r="D7761" s="13" t="s">
        <v>634</v>
      </c>
      <c r="E7761" t="s">
        <v>168</v>
      </c>
      <c r="F7761" s="11">
        <v>1</v>
      </c>
      <c r="G7761" s="11">
        <v>46218.49</v>
      </c>
    </row>
    <row r="7762" spans="2:7" x14ac:dyDescent="0.2">
      <c r="B7762" s="32">
        <v>46029</v>
      </c>
      <c r="C7762" t="s">
        <v>109</v>
      </c>
      <c r="D7762" s="13" t="s">
        <v>634</v>
      </c>
      <c r="E7762" t="s">
        <v>263</v>
      </c>
      <c r="F7762" s="11">
        <v>1</v>
      </c>
      <c r="G7762" s="11">
        <v>37815.129999999997</v>
      </c>
    </row>
    <row r="7763" spans="2:7" x14ac:dyDescent="0.2">
      <c r="B7763" s="32">
        <v>46029</v>
      </c>
      <c r="C7763" t="s">
        <v>109</v>
      </c>
      <c r="D7763" s="13" t="s">
        <v>634</v>
      </c>
      <c r="E7763" t="s">
        <v>144</v>
      </c>
      <c r="F7763" s="11">
        <v>3</v>
      </c>
      <c r="G7763" s="11">
        <v>37815.120000000003</v>
      </c>
    </row>
    <row r="7764" spans="2:7" x14ac:dyDescent="0.2">
      <c r="B7764" s="32">
        <v>46029</v>
      </c>
      <c r="C7764" t="s">
        <v>109</v>
      </c>
      <c r="D7764" s="13" t="s">
        <v>634</v>
      </c>
      <c r="E7764" t="s">
        <v>171</v>
      </c>
      <c r="F7764" s="11">
        <v>1</v>
      </c>
      <c r="G7764" s="11">
        <v>22689.08</v>
      </c>
    </row>
    <row r="7765" spans="2:7" x14ac:dyDescent="0.2">
      <c r="B7765" s="32">
        <v>46029</v>
      </c>
      <c r="C7765" t="s">
        <v>109</v>
      </c>
      <c r="D7765" s="13" t="s">
        <v>634</v>
      </c>
      <c r="E7765" t="s">
        <v>273</v>
      </c>
      <c r="F7765" s="11">
        <v>0</v>
      </c>
      <c r="G7765" s="11">
        <v>-100840.34</v>
      </c>
    </row>
    <row r="7766" spans="2:7" x14ac:dyDescent="0.2">
      <c r="B7766" s="32">
        <v>46029</v>
      </c>
      <c r="C7766" t="s">
        <v>109</v>
      </c>
      <c r="D7766" s="13" t="s">
        <v>634</v>
      </c>
      <c r="E7766" t="s">
        <v>316</v>
      </c>
      <c r="F7766" s="11">
        <v>0</v>
      </c>
      <c r="G7766" s="11">
        <v>-184873.95</v>
      </c>
    </row>
    <row r="7767" spans="2:7" x14ac:dyDescent="0.2">
      <c r="B7767" s="32">
        <v>46029</v>
      </c>
      <c r="C7767" t="s">
        <v>109</v>
      </c>
      <c r="D7767" s="13" t="s">
        <v>633</v>
      </c>
      <c r="E7767" t="s">
        <v>189</v>
      </c>
      <c r="F7767" s="11">
        <v>2</v>
      </c>
      <c r="G7767" s="11">
        <v>142857.14000000001</v>
      </c>
    </row>
    <row r="7768" spans="2:7" x14ac:dyDescent="0.2">
      <c r="B7768" s="32">
        <v>46029</v>
      </c>
      <c r="C7768" t="s">
        <v>109</v>
      </c>
      <c r="D7768" s="13" t="s">
        <v>633</v>
      </c>
      <c r="E7768" t="s">
        <v>144</v>
      </c>
      <c r="F7768" s="11">
        <v>6</v>
      </c>
      <c r="G7768" s="11">
        <v>89915.97</v>
      </c>
    </row>
    <row r="7769" spans="2:7" x14ac:dyDescent="0.2">
      <c r="B7769" s="32">
        <v>46029</v>
      </c>
      <c r="C7769" t="s">
        <v>109</v>
      </c>
      <c r="D7769" s="13" t="s">
        <v>633</v>
      </c>
      <c r="E7769" t="s">
        <v>475</v>
      </c>
      <c r="F7769" s="11">
        <v>1</v>
      </c>
      <c r="G7769" s="11">
        <v>71428.570000000007</v>
      </c>
    </row>
    <row r="7770" spans="2:7" x14ac:dyDescent="0.2">
      <c r="B7770" s="32">
        <v>46029</v>
      </c>
      <c r="C7770" t="s">
        <v>109</v>
      </c>
      <c r="D7770" s="13" t="s">
        <v>633</v>
      </c>
      <c r="E7770" t="s">
        <v>654</v>
      </c>
      <c r="F7770" s="11">
        <v>1</v>
      </c>
      <c r="G7770" s="11">
        <v>54621.85</v>
      </c>
    </row>
    <row r="7771" spans="2:7" x14ac:dyDescent="0.2">
      <c r="B7771" s="32">
        <v>46029</v>
      </c>
      <c r="C7771" t="s">
        <v>109</v>
      </c>
      <c r="D7771" s="13" t="s">
        <v>633</v>
      </c>
      <c r="E7771" t="s">
        <v>362</v>
      </c>
      <c r="F7771" s="11">
        <v>1</v>
      </c>
      <c r="G7771" s="11">
        <v>54621.85</v>
      </c>
    </row>
    <row r="7772" spans="2:7" x14ac:dyDescent="0.2">
      <c r="B7772" s="32">
        <v>46029</v>
      </c>
      <c r="C7772" t="s">
        <v>109</v>
      </c>
      <c r="D7772" s="13" t="s">
        <v>633</v>
      </c>
      <c r="E7772" t="s">
        <v>146</v>
      </c>
      <c r="F7772" s="11">
        <v>1</v>
      </c>
      <c r="G7772" s="11">
        <v>46218.49</v>
      </c>
    </row>
    <row r="7773" spans="2:7" x14ac:dyDescent="0.2">
      <c r="B7773" s="32">
        <v>46029</v>
      </c>
      <c r="C7773" t="s">
        <v>109</v>
      </c>
      <c r="D7773" s="13" t="s">
        <v>633</v>
      </c>
      <c r="E7773" t="s">
        <v>150</v>
      </c>
      <c r="F7773" s="11">
        <v>1</v>
      </c>
      <c r="G7773" s="11">
        <v>46218.49</v>
      </c>
    </row>
    <row r="7774" spans="2:7" x14ac:dyDescent="0.2">
      <c r="B7774" s="32">
        <v>46029</v>
      </c>
      <c r="C7774" t="s">
        <v>109</v>
      </c>
      <c r="D7774" s="13" t="s">
        <v>633</v>
      </c>
      <c r="E7774" t="s">
        <v>196</v>
      </c>
      <c r="F7774" s="11">
        <v>1</v>
      </c>
      <c r="G7774" s="11">
        <v>46218.48</v>
      </c>
    </row>
    <row r="7775" spans="2:7" x14ac:dyDescent="0.2">
      <c r="B7775" s="32">
        <v>46030</v>
      </c>
      <c r="C7775" t="s">
        <v>142</v>
      </c>
      <c r="D7775" s="13"/>
      <c r="E7775" t="s">
        <v>382</v>
      </c>
      <c r="F7775" s="11">
        <v>1</v>
      </c>
      <c r="G7775" s="11">
        <v>37815.129999999997</v>
      </c>
    </row>
    <row r="7776" spans="2:7" x14ac:dyDescent="0.2">
      <c r="B7776" s="32">
        <v>46030</v>
      </c>
      <c r="C7776" t="s">
        <v>142</v>
      </c>
      <c r="D7776" s="13"/>
      <c r="E7776" t="s">
        <v>204</v>
      </c>
      <c r="F7776" s="11">
        <v>1</v>
      </c>
      <c r="G7776" s="11">
        <v>37815.120000000003</v>
      </c>
    </row>
    <row r="7777" spans="2:7" x14ac:dyDescent="0.2">
      <c r="B7777" s="32">
        <v>46030</v>
      </c>
      <c r="C7777" t="s">
        <v>142</v>
      </c>
      <c r="D7777" s="13" t="s">
        <v>634</v>
      </c>
      <c r="E7777" t="s">
        <v>169</v>
      </c>
      <c r="F7777" s="11">
        <v>2</v>
      </c>
      <c r="G7777" s="11">
        <v>201680.68</v>
      </c>
    </row>
    <row r="7778" spans="2:7" x14ac:dyDescent="0.2">
      <c r="B7778" s="32">
        <v>46030</v>
      </c>
      <c r="C7778" t="s">
        <v>142</v>
      </c>
      <c r="D7778" s="13" t="s">
        <v>634</v>
      </c>
      <c r="E7778" t="s">
        <v>302</v>
      </c>
      <c r="F7778" s="11">
        <v>1</v>
      </c>
      <c r="G7778" s="11">
        <v>100840.34</v>
      </c>
    </row>
    <row r="7779" spans="2:7" x14ac:dyDescent="0.2">
      <c r="B7779" s="32">
        <v>46030</v>
      </c>
      <c r="C7779" t="s">
        <v>142</v>
      </c>
      <c r="D7779" s="13" t="s">
        <v>634</v>
      </c>
      <c r="E7779" t="s">
        <v>287</v>
      </c>
      <c r="F7779" s="11">
        <v>1</v>
      </c>
      <c r="G7779" s="11">
        <v>58823.53</v>
      </c>
    </row>
    <row r="7780" spans="2:7" x14ac:dyDescent="0.2">
      <c r="B7780" s="32">
        <v>46030</v>
      </c>
      <c r="C7780" t="s">
        <v>142</v>
      </c>
      <c r="D7780" s="13" t="s">
        <v>634</v>
      </c>
      <c r="E7780" t="s">
        <v>145</v>
      </c>
      <c r="F7780" s="11">
        <v>2</v>
      </c>
      <c r="G7780" s="11">
        <v>58823.53</v>
      </c>
    </row>
    <row r="7781" spans="2:7" x14ac:dyDescent="0.2">
      <c r="B7781" s="32">
        <v>46030</v>
      </c>
      <c r="C7781" t="s">
        <v>142</v>
      </c>
      <c r="D7781" s="13" t="s">
        <v>634</v>
      </c>
      <c r="E7781" t="s">
        <v>281</v>
      </c>
      <c r="F7781" s="11">
        <v>1</v>
      </c>
      <c r="G7781" s="11">
        <v>58823.53</v>
      </c>
    </row>
    <row r="7782" spans="2:7" x14ac:dyDescent="0.2">
      <c r="B7782" s="32">
        <v>46030</v>
      </c>
      <c r="C7782" t="s">
        <v>142</v>
      </c>
      <c r="D7782" s="13" t="s">
        <v>634</v>
      </c>
      <c r="E7782" t="s">
        <v>230</v>
      </c>
      <c r="F7782" s="11">
        <v>1</v>
      </c>
      <c r="G7782" s="11">
        <v>58823.519999999997</v>
      </c>
    </row>
    <row r="7783" spans="2:7" x14ac:dyDescent="0.2">
      <c r="B7783" s="32">
        <v>46030</v>
      </c>
      <c r="C7783" t="s">
        <v>142</v>
      </c>
      <c r="D7783" s="13" t="s">
        <v>634</v>
      </c>
      <c r="E7783" t="s">
        <v>202</v>
      </c>
      <c r="F7783" s="11">
        <v>1</v>
      </c>
      <c r="G7783" s="11">
        <v>46218.49</v>
      </c>
    </row>
    <row r="7784" spans="2:7" x14ac:dyDescent="0.2">
      <c r="B7784" s="32">
        <v>46030</v>
      </c>
      <c r="C7784" t="s">
        <v>142</v>
      </c>
      <c r="D7784" s="13" t="s">
        <v>634</v>
      </c>
      <c r="E7784" t="s">
        <v>173</v>
      </c>
      <c r="F7784" s="11">
        <v>1</v>
      </c>
      <c r="G7784" s="11">
        <v>37815.129999999997</v>
      </c>
    </row>
    <row r="7785" spans="2:7" x14ac:dyDescent="0.2">
      <c r="B7785" s="32">
        <v>46030</v>
      </c>
      <c r="C7785" t="s">
        <v>142</v>
      </c>
      <c r="D7785" s="13" t="s">
        <v>634</v>
      </c>
      <c r="E7785" t="s">
        <v>234</v>
      </c>
      <c r="F7785" s="11">
        <v>1</v>
      </c>
      <c r="G7785" s="11">
        <v>37815.129999999997</v>
      </c>
    </row>
    <row r="7786" spans="2:7" x14ac:dyDescent="0.2">
      <c r="B7786" s="32">
        <v>46030</v>
      </c>
      <c r="C7786" t="s">
        <v>142</v>
      </c>
      <c r="D7786" s="13" t="s">
        <v>634</v>
      </c>
      <c r="F7786" s="11">
        <v>0</v>
      </c>
      <c r="G7786" s="11">
        <v>0</v>
      </c>
    </row>
    <row r="7787" spans="2:7" x14ac:dyDescent="0.2">
      <c r="B7787" s="32">
        <v>46030</v>
      </c>
      <c r="C7787" t="s">
        <v>142</v>
      </c>
      <c r="D7787" s="13" t="s">
        <v>634</v>
      </c>
      <c r="E7787" t="s">
        <v>158</v>
      </c>
      <c r="F7787" s="11">
        <v>1</v>
      </c>
      <c r="G7787" s="11">
        <v>0</v>
      </c>
    </row>
    <row r="7788" spans="2:7" x14ac:dyDescent="0.2">
      <c r="B7788" s="32">
        <v>46030</v>
      </c>
      <c r="C7788" t="s">
        <v>142</v>
      </c>
      <c r="D7788" s="13" t="s">
        <v>633</v>
      </c>
      <c r="E7788" t="s">
        <v>638</v>
      </c>
      <c r="F7788" s="11">
        <v>4</v>
      </c>
      <c r="G7788" s="11">
        <v>218487.39</v>
      </c>
    </row>
    <row r="7789" spans="2:7" x14ac:dyDescent="0.2">
      <c r="B7789" s="32">
        <v>46030</v>
      </c>
      <c r="C7789" t="s">
        <v>142</v>
      </c>
      <c r="D7789" s="13" t="s">
        <v>633</v>
      </c>
      <c r="E7789" t="s">
        <v>374</v>
      </c>
      <c r="F7789" s="11">
        <v>1</v>
      </c>
      <c r="G7789" s="11">
        <v>58823.53</v>
      </c>
    </row>
    <row r="7790" spans="2:7" x14ac:dyDescent="0.2">
      <c r="B7790" s="32">
        <v>46030</v>
      </c>
      <c r="C7790" t="s">
        <v>142</v>
      </c>
      <c r="D7790" s="13" t="s">
        <v>633</v>
      </c>
      <c r="F7790" s="11">
        <v>0</v>
      </c>
      <c r="G7790" s="11">
        <v>0</v>
      </c>
    </row>
    <row r="7791" spans="2:7" x14ac:dyDescent="0.2">
      <c r="B7791" s="32">
        <v>46030</v>
      </c>
      <c r="C7791" t="s">
        <v>109</v>
      </c>
      <c r="D7791" s="13"/>
      <c r="E7791" t="s">
        <v>172</v>
      </c>
      <c r="F7791" s="11">
        <v>2</v>
      </c>
      <c r="G7791" s="11">
        <v>92436.97</v>
      </c>
    </row>
    <row r="7792" spans="2:7" x14ac:dyDescent="0.2">
      <c r="B7792" s="32">
        <v>46030</v>
      </c>
      <c r="C7792" t="s">
        <v>109</v>
      </c>
      <c r="D7792" s="13"/>
      <c r="E7792" t="s">
        <v>145</v>
      </c>
      <c r="F7792" s="11">
        <v>2</v>
      </c>
      <c r="G7792" s="11">
        <v>58823.519999999997</v>
      </c>
    </row>
    <row r="7793" spans="2:7" x14ac:dyDescent="0.2">
      <c r="B7793" s="32">
        <v>46030</v>
      </c>
      <c r="C7793" t="s">
        <v>109</v>
      </c>
      <c r="D7793" s="13"/>
      <c r="E7793" t="s">
        <v>654</v>
      </c>
      <c r="F7793" s="11">
        <v>1</v>
      </c>
      <c r="G7793" s="11">
        <v>54621.85</v>
      </c>
    </row>
    <row r="7794" spans="2:7" x14ac:dyDescent="0.2">
      <c r="B7794" s="32">
        <v>46030</v>
      </c>
      <c r="C7794" t="s">
        <v>109</v>
      </c>
      <c r="D7794" s="13"/>
      <c r="E7794" t="s">
        <v>202</v>
      </c>
      <c r="F7794" s="11">
        <v>1</v>
      </c>
      <c r="G7794" s="11">
        <v>46218.49</v>
      </c>
    </row>
    <row r="7795" spans="2:7" x14ac:dyDescent="0.2">
      <c r="B7795" s="32">
        <v>46030</v>
      </c>
      <c r="C7795" t="s">
        <v>109</v>
      </c>
      <c r="D7795" s="13"/>
      <c r="E7795" t="s">
        <v>260</v>
      </c>
      <c r="F7795" s="11">
        <v>1</v>
      </c>
      <c r="G7795" s="11">
        <v>46218.49</v>
      </c>
    </row>
    <row r="7796" spans="2:7" x14ac:dyDescent="0.2">
      <c r="B7796" s="32">
        <v>46030</v>
      </c>
      <c r="C7796" t="s">
        <v>109</v>
      </c>
      <c r="D7796" s="13"/>
      <c r="E7796" t="s">
        <v>238</v>
      </c>
      <c r="F7796" s="11">
        <v>1</v>
      </c>
      <c r="G7796" s="11">
        <v>46218.49</v>
      </c>
    </row>
    <row r="7797" spans="2:7" x14ac:dyDescent="0.2">
      <c r="B7797" s="32">
        <v>46030</v>
      </c>
      <c r="C7797" t="s">
        <v>109</v>
      </c>
      <c r="D7797" s="13"/>
      <c r="E7797" t="s">
        <v>158</v>
      </c>
      <c r="F7797" s="11">
        <v>1</v>
      </c>
      <c r="G7797" s="11">
        <v>46218.48</v>
      </c>
    </row>
    <row r="7798" spans="2:7" x14ac:dyDescent="0.2">
      <c r="B7798" s="32">
        <v>46030</v>
      </c>
      <c r="C7798" t="s">
        <v>109</v>
      </c>
      <c r="D7798" s="13"/>
      <c r="E7798" t="s">
        <v>144</v>
      </c>
      <c r="F7798" s="11">
        <v>3</v>
      </c>
      <c r="G7798" s="11">
        <v>38655.46</v>
      </c>
    </row>
    <row r="7799" spans="2:7" x14ac:dyDescent="0.2">
      <c r="B7799" s="32">
        <v>46030</v>
      </c>
      <c r="C7799" t="s">
        <v>109</v>
      </c>
      <c r="D7799" s="13"/>
      <c r="E7799" t="s">
        <v>173</v>
      </c>
      <c r="F7799" s="11">
        <v>1</v>
      </c>
      <c r="G7799" s="11">
        <v>37815.129999999997</v>
      </c>
    </row>
    <row r="7800" spans="2:7" x14ac:dyDescent="0.2">
      <c r="B7800" s="32">
        <v>46030</v>
      </c>
      <c r="C7800" t="s">
        <v>109</v>
      </c>
      <c r="D7800" s="13"/>
      <c r="E7800" t="s">
        <v>293</v>
      </c>
      <c r="F7800" s="11">
        <v>1</v>
      </c>
      <c r="G7800" s="11">
        <v>37815.129999999997</v>
      </c>
    </row>
    <row r="7801" spans="2:7" x14ac:dyDescent="0.2">
      <c r="B7801" s="32">
        <v>46030</v>
      </c>
      <c r="C7801" t="s">
        <v>109</v>
      </c>
      <c r="D7801" s="13"/>
      <c r="E7801" t="s">
        <v>595</v>
      </c>
      <c r="F7801" s="11">
        <v>1</v>
      </c>
      <c r="G7801" s="11">
        <v>16806.73</v>
      </c>
    </row>
    <row r="7802" spans="2:7" x14ac:dyDescent="0.2">
      <c r="B7802" s="32">
        <v>46030</v>
      </c>
      <c r="C7802" t="s">
        <v>109</v>
      </c>
      <c r="D7802" s="13"/>
      <c r="E7802" t="s">
        <v>456</v>
      </c>
      <c r="F7802" s="11">
        <v>1</v>
      </c>
      <c r="G7802" s="11">
        <v>16806.72</v>
      </c>
    </row>
    <row r="7803" spans="2:7" x14ac:dyDescent="0.2">
      <c r="B7803" s="32">
        <v>46030</v>
      </c>
      <c r="C7803" t="s">
        <v>109</v>
      </c>
      <c r="D7803" s="13" t="s">
        <v>634</v>
      </c>
      <c r="E7803" t="s">
        <v>232</v>
      </c>
      <c r="F7803" s="11">
        <v>1</v>
      </c>
      <c r="G7803" s="11">
        <v>176470.59</v>
      </c>
    </row>
    <row r="7804" spans="2:7" x14ac:dyDescent="0.2">
      <c r="B7804" s="32">
        <v>46030</v>
      </c>
      <c r="C7804" t="s">
        <v>109</v>
      </c>
      <c r="D7804" s="13" t="s">
        <v>634</v>
      </c>
      <c r="E7804" t="s">
        <v>158</v>
      </c>
      <c r="F7804" s="11">
        <v>2</v>
      </c>
      <c r="G7804" s="11">
        <v>92436.98</v>
      </c>
    </row>
    <row r="7805" spans="2:7" x14ac:dyDescent="0.2">
      <c r="B7805" s="32">
        <v>46030</v>
      </c>
      <c r="C7805" t="s">
        <v>109</v>
      </c>
      <c r="D7805" s="13" t="s">
        <v>634</v>
      </c>
      <c r="E7805" t="s">
        <v>146</v>
      </c>
      <c r="F7805" s="11">
        <v>2</v>
      </c>
      <c r="G7805" s="11">
        <v>92436.97</v>
      </c>
    </row>
    <row r="7806" spans="2:7" x14ac:dyDescent="0.2">
      <c r="B7806" s="32">
        <v>46030</v>
      </c>
      <c r="C7806" t="s">
        <v>109</v>
      </c>
      <c r="D7806" s="13" t="s">
        <v>634</v>
      </c>
      <c r="E7806" t="s">
        <v>156</v>
      </c>
      <c r="F7806" s="11">
        <v>2</v>
      </c>
      <c r="G7806" s="11">
        <v>84033.61</v>
      </c>
    </row>
    <row r="7807" spans="2:7" x14ac:dyDescent="0.2">
      <c r="B7807" s="32">
        <v>46030</v>
      </c>
      <c r="C7807" t="s">
        <v>109</v>
      </c>
      <c r="D7807" s="13" t="s">
        <v>634</v>
      </c>
      <c r="E7807" t="s">
        <v>157</v>
      </c>
      <c r="F7807" s="11">
        <v>1</v>
      </c>
      <c r="G7807" s="11">
        <v>84033.61</v>
      </c>
    </row>
    <row r="7808" spans="2:7" x14ac:dyDescent="0.2">
      <c r="B7808" s="32">
        <v>46030</v>
      </c>
      <c r="C7808" t="s">
        <v>109</v>
      </c>
      <c r="D7808" s="13" t="s">
        <v>634</v>
      </c>
      <c r="E7808" t="s">
        <v>183</v>
      </c>
      <c r="F7808" s="11">
        <v>1</v>
      </c>
      <c r="G7808" s="11">
        <v>84033.61</v>
      </c>
    </row>
    <row r="7809" spans="2:7" x14ac:dyDescent="0.2">
      <c r="B7809" s="32">
        <v>46030</v>
      </c>
      <c r="C7809" t="s">
        <v>109</v>
      </c>
      <c r="D7809" s="13" t="s">
        <v>634</v>
      </c>
      <c r="E7809" t="s">
        <v>192</v>
      </c>
      <c r="F7809" s="11">
        <v>1</v>
      </c>
      <c r="G7809" s="11">
        <v>71428.570000000007</v>
      </c>
    </row>
    <row r="7810" spans="2:7" x14ac:dyDescent="0.2">
      <c r="B7810" s="32">
        <v>46030</v>
      </c>
      <c r="C7810" t="s">
        <v>109</v>
      </c>
      <c r="D7810" s="13" t="s">
        <v>634</v>
      </c>
      <c r="E7810" t="s">
        <v>276</v>
      </c>
      <c r="F7810" s="11">
        <v>1</v>
      </c>
      <c r="G7810" s="11">
        <v>58823.53</v>
      </c>
    </row>
    <row r="7811" spans="2:7" x14ac:dyDescent="0.2">
      <c r="B7811" s="32">
        <v>46030</v>
      </c>
      <c r="C7811" t="s">
        <v>109</v>
      </c>
      <c r="D7811" s="13" t="s">
        <v>634</v>
      </c>
      <c r="E7811" t="s">
        <v>279</v>
      </c>
      <c r="F7811" s="11">
        <v>1</v>
      </c>
      <c r="G7811" s="11">
        <v>58823.53</v>
      </c>
    </row>
    <row r="7812" spans="2:7" x14ac:dyDescent="0.2">
      <c r="B7812" s="32">
        <v>46030</v>
      </c>
      <c r="C7812" t="s">
        <v>109</v>
      </c>
      <c r="D7812" s="13" t="s">
        <v>634</v>
      </c>
      <c r="E7812" t="s">
        <v>258</v>
      </c>
      <c r="F7812" s="11">
        <v>1</v>
      </c>
      <c r="G7812" s="11">
        <v>54621.84</v>
      </c>
    </row>
    <row r="7813" spans="2:7" x14ac:dyDescent="0.2">
      <c r="B7813" s="32">
        <v>46030</v>
      </c>
      <c r="C7813" t="s">
        <v>109</v>
      </c>
      <c r="D7813" s="13" t="s">
        <v>634</v>
      </c>
      <c r="E7813" t="s">
        <v>172</v>
      </c>
      <c r="F7813" s="11">
        <v>1</v>
      </c>
      <c r="G7813" s="11">
        <v>46218.49</v>
      </c>
    </row>
    <row r="7814" spans="2:7" x14ac:dyDescent="0.2">
      <c r="B7814" s="32">
        <v>46030</v>
      </c>
      <c r="C7814" t="s">
        <v>109</v>
      </c>
      <c r="D7814" s="13" t="s">
        <v>634</v>
      </c>
      <c r="E7814" t="s">
        <v>195</v>
      </c>
      <c r="F7814" s="11">
        <v>1</v>
      </c>
      <c r="G7814" s="11">
        <v>46218.49</v>
      </c>
    </row>
    <row r="7815" spans="2:7" x14ac:dyDescent="0.2">
      <c r="B7815" s="32">
        <v>46030</v>
      </c>
      <c r="C7815" t="s">
        <v>109</v>
      </c>
      <c r="D7815" s="13" t="s">
        <v>634</v>
      </c>
      <c r="E7815" t="s">
        <v>240</v>
      </c>
      <c r="F7815" s="11">
        <v>1</v>
      </c>
      <c r="G7815" s="11">
        <v>46218.49</v>
      </c>
    </row>
    <row r="7816" spans="2:7" x14ac:dyDescent="0.2">
      <c r="B7816" s="32">
        <v>46030</v>
      </c>
      <c r="C7816" t="s">
        <v>109</v>
      </c>
      <c r="D7816" s="13" t="s">
        <v>634</v>
      </c>
      <c r="E7816" t="s">
        <v>168</v>
      </c>
      <c r="F7816" s="11">
        <v>1</v>
      </c>
      <c r="G7816" s="11">
        <v>46218.49</v>
      </c>
    </row>
    <row r="7817" spans="2:7" x14ac:dyDescent="0.2">
      <c r="B7817" s="32">
        <v>46030</v>
      </c>
      <c r="C7817" t="s">
        <v>109</v>
      </c>
      <c r="D7817" s="13" t="s">
        <v>634</v>
      </c>
      <c r="E7817" t="s">
        <v>160</v>
      </c>
      <c r="F7817" s="11">
        <v>1</v>
      </c>
      <c r="G7817" s="11">
        <v>46218.49</v>
      </c>
    </row>
    <row r="7818" spans="2:7" x14ac:dyDescent="0.2">
      <c r="B7818" s="32">
        <v>46030</v>
      </c>
      <c r="C7818" t="s">
        <v>109</v>
      </c>
      <c r="D7818" s="13" t="s">
        <v>634</v>
      </c>
      <c r="E7818" t="s">
        <v>196</v>
      </c>
      <c r="F7818" s="11">
        <v>1</v>
      </c>
      <c r="G7818" s="11">
        <v>46218.49</v>
      </c>
    </row>
    <row r="7819" spans="2:7" x14ac:dyDescent="0.2">
      <c r="B7819" s="32">
        <v>46030</v>
      </c>
      <c r="C7819" t="s">
        <v>109</v>
      </c>
      <c r="D7819" s="13" t="s">
        <v>634</v>
      </c>
      <c r="E7819" t="s">
        <v>166</v>
      </c>
      <c r="F7819" s="11">
        <v>1</v>
      </c>
      <c r="G7819" s="11">
        <v>42016.81</v>
      </c>
    </row>
    <row r="7820" spans="2:7" x14ac:dyDescent="0.2">
      <c r="B7820" s="32">
        <v>46030</v>
      </c>
      <c r="C7820" t="s">
        <v>109</v>
      </c>
      <c r="D7820" s="13" t="s">
        <v>634</v>
      </c>
      <c r="E7820" t="s">
        <v>144</v>
      </c>
      <c r="F7820" s="11">
        <v>2</v>
      </c>
      <c r="G7820" s="11">
        <v>32352.94</v>
      </c>
    </row>
    <row r="7821" spans="2:7" x14ac:dyDescent="0.2">
      <c r="B7821" s="32">
        <v>46030</v>
      </c>
      <c r="C7821" t="s">
        <v>109</v>
      </c>
      <c r="D7821" s="13" t="s">
        <v>633</v>
      </c>
      <c r="E7821" t="s">
        <v>245</v>
      </c>
      <c r="F7821" s="11">
        <v>1</v>
      </c>
      <c r="G7821" s="11">
        <v>126050.42</v>
      </c>
    </row>
    <row r="7822" spans="2:7" x14ac:dyDescent="0.2">
      <c r="B7822" s="32">
        <v>46030</v>
      </c>
      <c r="C7822" t="s">
        <v>109</v>
      </c>
      <c r="D7822" s="13" t="s">
        <v>633</v>
      </c>
      <c r="E7822" t="s">
        <v>226</v>
      </c>
      <c r="F7822" s="11">
        <v>1</v>
      </c>
      <c r="G7822" s="11">
        <v>117647.06</v>
      </c>
    </row>
    <row r="7823" spans="2:7" x14ac:dyDescent="0.2">
      <c r="B7823" s="32">
        <v>46030</v>
      </c>
      <c r="C7823" t="s">
        <v>109</v>
      </c>
      <c r="D7823" s="13" t="s">
        <v>633</v>
      </c>
      <c r="E7823" t="s">
        <v>207</v>
      </c>
      <c r="F7823" s="11">
        <v>1</v>
      </c>
      <c r="G7823" s="11">
        <v>100840.34</v>
      </c>
    </row>
    <row r="7824" spans="2:7" x14ac:dyDescent="0.2">
      <c r="B7824" s="32">
        <v>46030</v>
      </c>
      <c r="C7824" t="s">
        <v>109</v>
      </c>
      <c r="D7824" s="13" t="s">
        <v>633</v>
      </c>
      <c r="E7824" t="s">
        <v>168</v>
      </c>
      <c r="F7824" s="11">
        <v>1</v>
      </c>
      <c r="G7824" s="11">
        <v>46218.49</v>
      </c>
    </row>
    <row r="7825" spans="2:7" x14ac:dyDescent="0.2">
      <c r="B7825" s="32">
        <v>46030</v>
      </c>
      <c r="C7825" t="s">
        <v>109</v>
      </c>
      <c r="D7825" s="13" t="s">
        <v>633</v>
      </c>
      <c r="E7825" t="s">
        <v>293</v>
      </c>
      <c r="F7825" s="11">
        <v>1</v>
      </c>
      <c r="G7825" s="11">
        <v>37815.129999999997</v>
      </c>
    </row>
    <row r="7826" spans="2:7" x14ac:dyDescent="0.2">
      <c r="B7826" s="32">
        <v>46031</v>
      </c>
      <c r="C7826" t="s">
        <v>142</v>
      </c>
      <c r="D7826" s="13" t="s">
        <v>634</v>
      </c>
      <c r="E7826" t="s">
        <v>194</v>
      </c>
      <c r="F7826" s="11">
        <v>1</v>
      </c>
      <c r="G7826" s="11">
        <v>100840.34</v>
      </c>
    </row>
    <row r="7827" spans="2:7" x14ac:dyDescent="0.2">
      <c r="B7827" s="32">
        <v>46031</v>
      </c>
      <c r="C7827" t="s">
        <v>142</v>
      </c>
      <c r="D7827" s="13" t="s">
        <v>634</v>
      </c>
      <c r="E7827" t="s">
        <v>176</v>
      </c>
      <c r="F7827" s="11">
        <v>1</v>
      </c>
      <c r="G7827" s="11">
        <v>58823.53</v>
      </c>
    </row>
    <row r="7828" spans="2:7" x14ac:dyDescent="0.2">
      <c r="B7828" s="32">
        <v>46031</v>
      </c>
      <c r="C7828" t="s">
        <v>142</v>
      </c>
      <c r="D7828" s="13" t="s">
        <v>634</v>
      </c>
      <c r="E7828" t="s">
        <v>148</v>
      </c>
      <c r="F7828" s="11">
        <v>1</v>
      </c>
      <c r="G7828" s="11">
        <v>37815.120000000003</v>
      </c>
    </row>
    <row r="7829" spans="2:7" x14ac:dyDescent="0.2">
      <c r="B7829" s="32">
        <v>46031</v>
      </c>
      <c r="C7829" t="s">
        <v>142</v>
      </c>
      <c r="D7829" s="13" t="s">
        <v>634</v>
      </c>
      <c r="F7829" s="11">
        <v>0</v>
      </c>
      <c r="G7829" s="11">
        <v>0</v>
      </c>
    </row>
    <row r="7830" spans="2:7" x14ac:dyDescent="0.2">
      <c r="B7830" s="32">
        <v>46031</v>
      </c>
      <c r="C7830" t="s">
        <v>142</v>
      </c>
      <c r="D7830" s="13" t="s">
        <v>633</v>
      </c>
      <c r="E7830" t="s">
        <v>650</v>
      </c>
      <c r="F7830" s="11">
        <v>1</v>
      </c>
      <c r="G7830" s="11">
        <v>108907.56</v>
      </c>
    </row>
    <row r="7831" spans="2:7" x14ac:dyDescent="0.2">
      <c r="B7831" s="32">
        <v>46031</v>
      </c>
      <c r="C7831" t="s">
        <v>142</v>
      </c>
      <c r="D7831" s="13" t="s">
        <v>633</v>
      </c>
      <c r="E7831" t="s">
        <v>444</v>
      </c>
      <c r="F7831" s="11">
        <v>1</v>
      </c>
      <c r="G7831" s="11">
        <v>92436.97</v>
      </c>
    </row>
    <row r="7832" spans="2:7" x14ac:dyDescent="0.2">
      <c r="B7832" s="32">
        <v>46031</v>
      </c>
      <c r="C7832" t="s">
        <v>142</v>
      </c>
      <c r="D7832" s="13" t="s">
        <v>633</v>
      </c>
      <c r="E7832" t="s">
        <v>287</v>
      </c>
      <c r="F7832" s="11">
        <v>1</v>
      </c>
      <c r="G7832" s="11">
        <v>84033.61</v>
      </c>
    </row>
    <row r="7833" spans="2:7" x14ac:dyDescent="0.2">
      <c r="B7833" s="32">
        <v>46031</v>
      </c>
      <c r="C7833" t="s">
        <v>142</v>
      </c>
      <c r="D7833" s="13" t="s">
        <v>633</v>
      </c>
      <c r="E7833" t="s">
        <v>689</v>
      </c>
      <c r="F7833" s="11">
        <v>1</v>
      </c>
      <c r="G7833" s="11">
        <v>79831.94</v>
      </c>
    </row>
    <row r="7834" spans="2:7" x14ac:dyDescent="0.2">
      <c r="B7834" s="32">
        <v>46031</v>
      </c>
      <c r="C7834" t="s">
        <v>142</v>
      </c>
      <c r="D7834" s="13" t="s">
        <v>633</v>
      </c>
      <c r="E7834" t="s">
        <v>691</v>
      </c>
      <c r="F7834" s="11">
        <v>1</v>
      </c>
      <c r="G7834" s="11">
        <v>79831.929999999993</v>
      </c>
    </row>
    <row r="7835" spans="2:7" x14ac:dyDescent="0.2">
      <c r="B7835" s="32">
        <v>46031</v>
      </c>
      <c r="C7835" t="s">
        <v>142</v>
      </c>
      <c r="D7835" s="13" t="s">
        <v>633</v>
      </c>
      <c r="E7835" t="s">
        <v>666</v>
      </c>
      <c r="F7835" s="11">
        <v>1</v>
      </c>
      <c r="G7835" s="11">
        <v>79831.929999999993</v>
      </c>
    </row>
    <row r="7836" spans="2:7" x14ac:dyDescent="0.2">
      <c r="B7836" s="32">
        <v>46031</v>
      </c>
      <c r="C7836" t="s">
        <v>142</v>
      </c>
      <c r="D7836" s="13" t="s">
        <v>633</v>
      </c>
      <c r="E7836" t="s">
        <v>234</v>
      </c>
      <c r="F7836" s="11">
        <v>2</v>
      </c>
      <c r="G7836" s="11">
        <v>75630.25</v>
      </c>
    </row>
    <row r="7837" spans="2:7" x14ac:dyDescent="0.2">
      <c r="B7837" s="32">
        <v>46031</v>
      </c>
      <c r="C7837" t="s">
        <v>142</v>
      </c>
      <c r="D7837" s="13" t="s">
        <v>633</v>
      </c>
      <c r="E7837" t="s">
        <v>165</v>
      </c>
      <c r="F7837" s="11">
        <v>1</v>
      </c>
      <c r="G7837" s="11">
        <v>58823.53</v>
      </c>
    </row>
    <row r="7838" spans="2:7" x14ac:dyDescent="0.2">
      <c r="B7838" s="32">
        <v>46031</v>
      </c>
      <c r="C7838" t="s">
        <v>142</v>
      </c>
      <c r="D7838" s="13" t="s">
        <v>633</v>
      </c>
      <c r="F7838" s="11">
        <v>0</v>
      </c>
      <c r="G7838" s="11">
        <v>0</v>
      </c>
    </row>
    <row r="7839" spans="2:7" x14ac:dyDescent="0.2">
      <c r="B7839" s="32">
        <v>46031</v>
      </c>
      <c r="C7839" t="s">
        <v>109</v>
      </c>
      <c r="D7839" s="13"/>
      <c r="E7839" t="s">
        <v>310</v>
      </c>
      <c r="F7839" s="11">
        <v>3</v>
      </c>
      <c r="G7839" s="11">
        <v>50420.17</v>
      </c>
    </row>
    <row r="7840" spans="2:7" x14ac:dyDescent="0.2">
      <c r="B7840" s="32">
        <v>46031</v>
      </c>
      <c r="C7840" t="s">
        <v>109</v>
      </c>
      <c r="D7840" s="13"/>
      <c r="E7840" t="s">
        <v>552</v>
      </c>
      <c r="F7840" s="11">
        <v>3</v>
      </c>
      <c r="G7840" s="11">
        <v>50420.17</v>
      </c>
    </row>
    <row r="7841" spans="2:7" x14ac:dyDescent="0.2">
      <c r="B7841" s="32">
        <v>46031</v>
      </c>
      <c r="C7841" t="s">
        <v>109</v>
      </c>
      <c r="D7841" s="13"/>
      <c r="E7841" t="s">
        <v>367</v>
      </c>
      <c r="F7841" s="11">
        <v>3</v>
      </c>
      <c r="G7841" s="11">
        <v>50420.17</v>
      </c>
    </row>
    <row r="7842" spans="2:7" x14ac:dyDescent="0.2">
      <c r="B7842" s="32">
        <v>46031</v>
      </c>
      <c r="C7842" t="s">
        <v>109</v>
      </c>
      <c r="D7842" s="13"/>
      <c r="E7842" t="s">
        <v>509</v>
      </c>
      <c r="F7842" s="11">
        <v>3</v>
      </c>
      <c r="G7842" s="11">
        <v>50420.160000000003</v>
      </c>
    </row>
    <row r="7843" spans="2:7" x14ac:dyDescent="0.2">
      <c r="B7843" s="32">
        <v>46031</v>
      </c>
      <c r="C7843" t="s">
        <v>109</v>
      </c>
      <c r="D7843" s="13"/>
      <c r="E7843" t="s">
        <v>209</v>
      </c>
      <c r="F7843" s="11">
        <v>3</v>
      </c>
      <c r="G7843" s="11">
        <v>50420.160000000003</v>
      </c>
    </row>
    <row r="7844" spans="2:7" x14ac:dyDescent="0.2">
      <c r="B7844" s="32">
        <v>46031</v>
      </c>
      <c r="C7844" t="s">
        <v>109</v>
      </c>
      <c r="D7844" s="13"/>
      <c r="E7844" t="s">
        <v>168</v>
      </c>
      <c r="F7844" s="11">
        <v>1</v>
      </c>
      <c r="G7844" s="11">
        <v>46218.49</v>
      </c>
    </row>
    <row r="7845" spans="2:7" x14ac:dyDescent="0.2">
      <c r="B7845" s="32">
        <v>46031</v>
      </c>
      <c r="C7845" t="s">
        <v>109</v>
      </c>
      <c r="D7845" s="13"/>
      <c r="E7845" t="s">
        <v>153</v>
      </c>
      <c r="F7845" s="11">
        <v>1</v>
      </c>
      <c r="G7845" s="11">
        <v>46218.49</v>
      </c>
    </row>
    <row r="7846" spans="2:7" x14ac:dyDescent="0.2">
      <c r="B7846" s="32">
        <v>46031</v>
      </c>
      <c r="C7846" t="s">
        <v>109</v>
      </c>
      <c r="D7846" s="13"/>
      <c r="E7846" t="s">
        <v>229</v>
      </c>
      <c r="F7846" s="11">
        <v>1</v>
      </c>
      <c r="G7846" s="11">
        <v>42016.81</v>
      </c>
    </row>
    <row r="7847" spans="2:7" x14ac:dyDescent="0.2">
      <c r="B7847" s="32">
        <v>46031</v>
      </c>
      <c r="C7847" t="s">
        <v>109</v>
      </c>
      <c r="D7847" s="13" t="s">
        <v>634</v>
      </c>
      <c r="E7847" t="s">
        <v>255</v>
      </c>
      <c r="F7847" s="11">
        <v>1</v>
      </c>
      <c r="G7847" s="11">
        <v>138655.46</v>
      </c>
    </row>
    <row r="7848" spans="2:7" x14ac:dyDescent="0.2">
      <c r="B7848" s="32">
        <v>46031</v>
      </c>
      <c r="C7848" t="s">
        <v>109</v>
      </c>
      <c r="D7848" s="13" t="s">
        <v>634</v>
      </c>
      <c r="F7848" s="11">
        <v>1</v>
      </c>
      <c r="G7848" s="11">
        <v>121848.74</v>
      </c>
    </row>
    <row r="7849" spans="2:7" x14ac:dyDescent="0.2">
      <c r="B7849" s="32">
        <v>46031</v>
      </c>
      <c r="C7849" t="s">
        <v>109</v>
      </c>
      <c r="D7849" s="13" t="s">
        <v>634</v>
      </c>
      <c r="E7849" t="s">
        <v>233</v>
      </c>
      <c r="F7849" s="11">
        <v>1</v>
      </c>
      <c r="G7849" s="11">
        <v>84033.61</v>
      </c>
    </row>
    <row r="7850" spans="2:7" x14ac:dyDescent="0.2">
      <c r="B7850" s="32">
        <v>46031</v>
      </c>
      <c r="C7850" t="s">
        <v>109</v>
      </c>
      <c r="D7850" s="13" t="s">
        <v>634</v>
      </c>
      <c r="E7850" t="s">
        <v>254</v>
      </c>
      <c r="F7850" s="11">
        <v>1</v>
      </c>
      <c r="G7850" s="11">
        <v>50420.17</v>
      </c>
    </row>
    <row r="7851" spans="2:7" x14ac:dyDescent="0.2">
      <c r="B7851" s="32">
        <v>46031</v>
      </c>
      <c r="C7851" t="s">
        <v>109</v>
      </c>
      <c r="D7851" s="13" t="s">
        <v>634</v>
      </c>
      <c r="E7851" t="s">
        <v>303</v>
      </c>
      <c r="F7851" s="11">
        <v>1</v>
      </c>
      <c r="G7851" s="11">
        <v>50420.17</v>
      </c>
    </row>
    <row r="7852" spans="2:7" x14ac:dyDescent="0.2">
      <c r="B7852" s="32">
        <v>46031</v>
      </c>
      <c r="C7852" t="s">
        <v>109</v>
      </c>
      <c r="D7852" s="13" t="s">
        <v>634</v>
      </c>
      <c r="E7852" t="s">
        <v>317</v>
      </c>
      <c r="F7852" s="11">
        <v>1</v>
      </c>
      <c r="G7852" s="11">
        <v>50420.17</v>
      </c>
    </row>
    <row r="7853" spans="2:7" x14ac:dyDescent="0.2">
      <c r="B7853" s="32">
        <v>46031</v>
      </c>
      <c r="C7853" t="s">
        <v>109</v>
      </c>
      <c r="D7853" s="13" t="s">
        <v>634</v>
      </c>
      <c r="E7853" t="s">
        <v>269</v>
      </c>
      <c r="F7853" s="11">
        <v>1</v>
      </c>
      <c r="G7853" s="11">
        <v>50420.17</v>
      </c>
    </row>
    <row r="7854" spans="2:7" x14ac:dyDescent="0.2">
      <c r="B7854" s="32">
        <v>46031</v>
      </c>
      <c r="C7854" t="s">
        <v>109</v>
      </c>
      <c r="D7854" s="13" t="s">
        <v>634</v>
      </c>
      <c r="E7854" t="s">
        <v>307</v>
      </c>
      <c r="F7854" s="11">
        <v>1</v>
      </c>
      <c r="G7854" s="11">
        <v>50420.160000000003</v>
      </c>
    </row>
    <row r="7855" spans="2:7" x14ac:dyDescent="0.2">
      <c r="B7855" s="32">
        <v>46031</v>
      </c>
      <c r="C7855" t="s">
        <v>109</v>
      </c>
      <c r="D7855" s="13" t="s">
        <v>634</v>
      </c>
      <c r="E7855" t="s">
        <v>170</v>
      </c>
      <c r="F7855" s="11">
        <v>1</v>
      </c>
      <c r="G7855" s="11">
        <v>46218.49</v>
      </c>
    </row>
    <row r="7856" spans="2:7" x14ac:dyDescent="0.2">
      <c r="B7856" s="32">
        <v>46031</v>
      </c>
      <c r="C7856" t="s">
        <v>109</v>
      </c>
      <c r="D7856" s="13" t="s">
        <v>634</v>
      </c>
      <c r="E7856" t="s">
        <v>145</v>
      </c>
      <c r="F7856" s="11">
        <v>1</v>
      </c>
      <c r="G7856" s="11">
        <v>29411.759999999998</v>
      </c>
    </row>
    <row r="7857" spans="2:7" x14ac:dyDescent="0.2">
      <c r="B7857" s="32">
        <v>46031</v>
      </c>
      <c r="C7857" t="s">
        <v>109</v>
      </c>
      <c r="D7857" s="13" t="s">
        <v>633</v>
      </c>
      <c r="E7857" t="s">
        <v>558</v>
      </c>
      <c r="F7857" s="11">
        <v>1</v>
      </c>
      <c r="G7857" s="11">
        <v>75630.25</v>
      </c>
    </row>
    <row r="7858" spans="2:7" x14ac:dyDescent="0.2">
      <c r="B7858" s="32">
        <v>46031</v>
      </c>
      <c r="C7858" t="s">
        <v>109</v>
      </c>
      <c r="D7858" s="13" t="s">
        <v>633</v>
      </c>
      <c r="E7858" t="s">
        <v>192</v>
      </c>
      <c r="F7858" s="11">
        <v>1</v>
      </c>
      <c r="G7858" s="11">
        <v>71428.570000000007</v>
      </c>
    </row>
    <row r="7859" spans="2:7" x14ac:dyDescent="0.2">
      <c r="B7859" s="32">
        <v>46031</v>
      </c>
      <c r="C7859" t="s">
        <v>109</v>
      </c>
      <c r="D7859" s="13" t="s">
        <v>633</v>
      </c>
      <c r="E7859" t="s">
        <v>196</v>
      </c>
      <c r="F7859" s="11">
        <v>1</v>
      </c>
      <c r="G7859" s="11">
        <v>46218.49</v>
      </c>
    </row>
    <row r="7860" spans="2:7" x14ac:dyDescent="0.2">
      <c r="B7860" s="32">
        <v>46032</v>
      </c>
      <c r="C7860" t="s">
        <v>142</v>
      </c>
      <c r="D7860" s="13" t="s">
        <v>634</v>
      </c>
      <c r="E7860" t="s">
        <v>200</v>
      </c>
      <c r="F7860" s="11">
        <v>2</v>
      </c>
      <c r="G7860" s="11">
        <v>260504.21</v>
      </c>
    </row>
    <row r="7861" spans="2:7" x14ac:dyDescent="0.2">
      <c r="B7861" s="32">
        <v>46032</v>
      </c>
      <c r="C7861" t="s">
        <v>142</v>
      </c>
      <c r="D7861" s="13" t="s">
        <v>634</v>
      </c>
      <c r="E7861" t="s">
        <v>211</v>
      </c>
      <c r="F7861" s="11">
        <v>2</v>
      </c>
      <c r="G7861" s="11">
        <v>260504.2</v>
      </c>
    </row>
    <row r="7862" spans="2:7" x14ac:dyDescent="0.2">
      <c r="B7862" s="32">
        <v>46032</v>
      </c>
      <c r="C7862" t="s">
        <v>142</v>
      </c>
      <c r="D7862" s="13" t="s">
        <v>634</v>
      </c>
      <c r="E7862" t="s">
        <v>191</v>
      </c>
      <c r="F7862" s="11">
        <v>2</v>
      </c>
      <c r="G7862" s="11">
        <v>260504.2</v>
      </c>
    </row>
    <row r="7863" spans="2:7" x14ac:dyDescent="0.2">
      <c r="B7863" s="32">
        <v>46032</v>
      </c>
      <c r="C7863" t="s">
        <v>142</v>
      </c>
      <c r="D7863" s="13" t="s">
        <v>634</v>
      </c>
      <c r="E7863" t="s">
        <v>178</v>
      </c>
      <c r="F7863" s="11">
        <v>2</v>
      </c>
      <c r="G7863" s="11">
        <v>109243.7</v>
      </c>
    </row>
    <row r="7864" spans="2:7" x14ac:dyDescent="0.2">
      <c r="B7864" s="32">
        <v>46032</v>
      </c>
      <c r="C7864" t="s">
        <v>142</v>
      </c>
      <c r="D7864" s="13" t="s">
        <v>634</v>
      </c>
      <c r="E7864" t="s">
        <v>306</v>
      </c>
      <c r="F7864" s="11">
        <v>1</v>
      </c>
      <c r="G7864" s="11">
        <v>58823.53</v>
      </c>
    </row>
    <row r="7865" spans="2:7" x14ac:dyDescent="0.2">
      <c r="B7865" s="32">
        <v>46032</v>
      </c>
      <c r="C7865" t="s">
        <v>142</v>
      </c>
      <c r="D7865" s="13" t="s">
        <v>634</v>
      </c>
      <c r="E7865" t="s">
        <v>162</v>
      </c>
      <c r="F7865" s="11">
        <v>1</v>
      </c>
      <c r="G7865" s="11">
        <v>58823.53</v>
      </c>
    </row>
    <row r="7866" spans="2:7" x14ac:dyDescent="0.2">
      <c r="B7866" s="32">
        <v>46032</v>
      </c>
      <c r="C7866" t="s">
        <v>142</v>
      </c>
      <c r="D7866" s="13" t="s">
        <v>634</v>
      </c>
      <c r="E7866" t="s">
        <v>236</v>
      </c>
      <c r="F7866" s="11">
        <v>1</v>
      </c>
      <c r="G7866" s="11">
        <v>58823.53</v>
      </c>
    </row>
    <row r="7867" spans="2:7" x14ac:dyDescent="0.2">
      <c r="B7867" s="32">
        <v>46032</v>
      </c>
      <c r="C7867" t="s">
        <v>142</v>
      </c>
      <c r="D7867" s="13" t="s">
        <v>634</v>
      </c>
      <c r="E7867" t="s">
        <v>165</v>
      </c>
      <c r="F7867" s="11">
        <v>1</v>
      </c>
      <c r="G7867" s="11">
        <v>58823.53</v>
      </c>
    </row>
    <row r="7868" spans="2:7" x14ac:dyDescent="0.2">
      <c r="B7868" s="32">
        <v>46032</v>
      </c>
      <c r="C7868" t="s">
        <v>142</v>
      </c>
      <c r="D7868" s="13" t="s">
        <v>634</v>
      </c>
      <c r="F7868" s="11">
        <v>0</v>
      </c>
      <c r="G7868" s="11">
        <v>0</v>
      </c>
    </row>
    <row r="7869" spans="2:7" x14ac:dyDescent="0.2">
      <c r="B7869" s="32">
        <v>46032</v>
      </c>
      <c r="C7869" t="s">
        <v>142</v>
      </c>
      <c r="D7869" s="13" t="s">
        <v>634</v>
      </c>
      <c r="E7869" t="s">
        <v>143</v>
      </c>
      <c r="F7869" s="11">
        <v>28</v>
      </c>
      <c r="G7869" s="11">
        <v>0</v>
      </c>
    </row>
    <row r="7870" spans="2:7" x14ac:dyDescent="0.2">
      <c r="B7870" s="32">
        <v>46032</v>
      </c>
      <c r="C7870" t="s">
        <v>142</v>
      </c>
      <c r="D7870" s="13" t="s">
        <v>633</v>
      </c>
      <c r="E7870" t="s">
        <v>517</v>
      </c>
      <c r="F7870" s="11">
        <v>0</v>
      </c>
      <c r="G7870" s="11">
        <v>100840.34</v>
      </c>
    </row>
    <row r="7871" spans="2:7" x14ac:dyDescent="0.2">
      <c r="B7871" s="32">
        <v>46032</v>
      </c>
      <c r="C7871" t="s">
        <v>142</v>
      </c>
      <c r="D7871" s="13" t="s">
        <v>633</v>
      </c>
      <c r="E7871" t="s">
        <v>676</v>
      </c>
      <c r="F7871" s="11">
        <v>1</v>
      </c>
      <c r="G7871" s="11">
        <v>0</v>
      </c>
    </row>
    <row r="7872" spans="2:7" x14ac:dyDescent="0.2">
      <c r="B7872" s="32">
        <v>46032</v>
      </c>
      <c r="C7872" t="s">
        <v>142</v>
      </c>
      <c r="D7872" s="13" t="s">
        <v>633</v>
      </c>
      <c r="F7872" s="11">
        <v>0</v>
      </c>
      <c r="G7872" s="11">
        <v>0</v>
      </c>
    </row>
    <row r="7873" spans="2:7" x14ac:dyDescent="0.2">
      <c r="B7873" s="32">
        <v>46032</v>
      </c>
      <c r="C7873" t="s">
        <v>142</v>
      </c>
      <c r="D7873" s="13" t="s">
        <v>633</v>
      </c>
      <c r="E7873" t="s">
        <v>195</v>
      </c>
      <c r="F7873" s="11">
        <v>0</v>
      </c>
      <c r="G7873" s="11">
        <v>-46218.49</v>
      </c>
    </row>
    <row r="7874" spans="2:7" x14ac:dyDescent="0.2">
      <c r="B7874" s="32">
        <v>46032</v>
      </c>
      <c r="C7874" t="s">
        <v>109</v>
      </c>
      <c r="D7874" s="13"/>
      <c r="E7874" t="s">
        <v>475</v>
      </c>
      <c r="F7874" s="11">
        <v>1</v>
      </c>
      <c r="G7874" s="11">
        <v>71428.570000000007</v>
      </c>
    </row>
    <row r="7875" spans="2:7" x14ac:dyDescent="0.2">
      <c r="B7875" s="32">
        <v>46032</v>
      </c>
      <c r="C7875" t="s">
        <v>109</v>
      </c>
      <c r="D7875" s="13" t="s">
        <v>634</v>
      </c>
      <c r="E7875" t="s">
        <v>164</v>
      </c>
      <c r="F7875" s="11">
        <v>2</v>
      </c>
      <c r="G7875" s="11">
        <v>142857.14000000001</v>
      </c>
    </row>
    <row r="7876" spans="2:7" x14ac:dyDescent="0.2">
      <c r="B7876" s="32">
        <v>46032</v>
      </c>
      <c r="C7876" t="s">
        <v>109</v>
      </c>
      <c r="D7876" s="13" t="s">
        <v>634</v>
      </c>
      <c r="E7876" t="s">
        <v>153</v>
      </c>
      <c r="F7876" s="11">
        <v>2</v>
      </c>
      <c r="G7876" s="11">
        <v>92436.98</v>
      </c>
    </row>
    <row r="7877" spans="2:7" x14ac:dyDescent="0.2">
      <c r="B7877" s="32">
        <v>46032</v>
      </c>
      <c r="C7877" t="s">
        <v>109</v>
      </c>
      <c r="D7877" s="13" t="s">
        <v>634</v>
      </c>
      <c r="E7877" t="s">
        <v>144</v>
      </c>
      <c r="F7877" s="11">
        <v>3</v>
      </c>
      <c r="G7877" s="11">
        <v>68907.56</v>
      </c>
    </row>
    <row r="7878" spans="2:7" x14ac:dyDescent="0.2">
      <c r="B7878" s="32">
        <v>46032</v>
      </c>
      <c r="C7878" t="s">
        <v>109</v>
      </c>
      <c r="D7878" s="13" t="s">
        <v>634</v>
      </c>
      <c r="E7878" t="s">
        <v>225</v>
      </c>
      <c r="F7878" s="11">
        <v>1</v>
      </c>
      <c r="G7878" s="11">
        <v>46218.49</v>
      </c>
    </row>
    <row r="7879" spans="2:7" x14ac:dyDescent="0.2">
      <c r="B7879" s="32">
        <v>46032</v>
      </c>
      <c r="C7879" t="s">
        <v>109</v>
      </c>
      <c r="D7879" s="13" t="s">
        <v>634</v>
      </c>
      <c r="E7879" t="s">
        <v>168</v>
      </c>
      <c r="F7879" s="11">
        <v>1</v>
      </c>
      <c r="G7879" s="11">
        <v>46218.48</v>
      </c>
    </row>
    <row r="7880" spans="2:7" x14ac:dyDescent="0.2">
      <c r="B7880" s="32">
        <v>46032</v>
      </c>
      <c r="C7880" t="s">
        <v>109</v>
      </c>
      <c r="D7880" s="13" t="s">
        <v>634</v>
      </c>
      <c r="E7880" t="s">
        <v>309</v>
      </c>
      <c r="F7880" s="11">
        <v>1</v>
      </c>
      <c r="G7880" s="11">
        <v>42016.81</v>
      </c>
    </row>
    <row r="7881" spans="2:7" x14ac:dyDescent="0.2">
      <c r="B7881" s="32">
        <v>46032</v>
      </c>
      <c r="C7881" t="s">
        <v>109</v>
      </c>
      <c r="D7881" s="13" t="s">
        <v>634</v>
      </c>
      <c r="E7881" t="s">
        <v>145</v>
      </c>
      <c r="F7881" s="11">
        <v>1</v>
      </c>
      <c r="G7881" s="11">
        <v>29411.759999999998</v>
      </c>
    </row>
    <row r="7882" spans="2:7" x14ac:dyDescent="0.2">
      <c r="B7882" s="32">
        <v>46032</v>
      </c>
      <c r="C7882" t="s">
        <v>109</v>
      </c>
      <c r="D7882" s="13" t="s">
        <v>633</v>
      </c>
      <c r="E7882" t="s">
        <v>152</v>
      </c>
      <c r="F7882" s="11">
        <v>1</v>
      </c>
      <c r="G7882" s="11">
        <v>75630.25</v>
      </c>
    </row>
    <row r="7883" spans="2:7" x14ac:dyDescent="0.2">
      <c r="B7883" s="32">
        <v>46032</v>
      </c>
      <c r="C7883" t="s">
        <v>109</v>
      </c>
      <c r="D7883" s="13" t="s">
        <v>633</v>
      </c>
      <c r="E7883" t="s">
        <v>357</v>
      </c>
      <c r="F7883" s="11">
        <v>1</v>
      </c>
      <c r="G7883" s="11">
        <v>71428.570000000007</v>
      </c>
    </row>
    <row r="7884" spans="2:7" x14ac:dyDescent="0.2">
      <c r="B7884" s="32">
        <v>46032</v>
      </c>
      <c r="C7884" t="s">
        <v>109</v>
      </c>
      <c r="D7884" s="13" t="s">
        <v>633</v>
      </c>
      <c r="E7884" t="s">
        <v>147</v>
      </c>
      <c r="F7884" s="11">
        <v>1</v>
      </c>
      <c r="G7884" s="11">
        <v>71428.570000000007</v>
      </c>
    </row>
    <row r="7885" spans="2:7" x14ac:dyDescent="0.2">
      <c r="B7885" s="32">
        <v>46032</v>
      </c>
      <c r="C7885" t="s">
        <v>109</v>
      </c>
      <c r="D7885" s="13" t="s">
        <v>633</v>
      </c>
      <c r="E7885" t="s">
        <v>454</v>
      </c>
      <c r="F7885" s="11">
        <v>1</v>
      </c>
      <c r="G7885" s="11">
        <v>58823.53</v>
      </c>
    </row>
    <row r="7886" spans="2:7" x14ac:dyDescent="0.2">
      <c r="B7886" s="32">
        <v>46032</v>
      </c>
      <c r="C7886" t="s">
        <v>109</v>
      </c>
      <c r="D7886" s="13" t="s">
        <v>633</v>
      </c>
      <c r="E7886" t="s">
        <v>246</v>
      </c>
      <c r="F7886" s="11">
        <v>1</v>
      </c>
      <c r="G7886" s="11">
        <v>42016.81</v>
      </c>
    </row>
    <row r="7887" spans="2:7" x14ac:dyDescent="0.2">
      <c r="B7887" s="32">
        <v>46032</v>
      </c>
      <c r="C7887" t="s">
        <v>109</v>
      </c>
      <c r="D7887" s="13" t="s">
        <v>633</v>
      </c>
      <c r="E7887" t="s">
        <v>330</v>
      </c>
      <c r="F7887" s="11">
        <v>1</v>
      </c>
      <c r="G7887" s="11">
        <v>37815.129999999997</v>
      </c>
    </row>
    <row r="7888" spans="2:7" x14ac:dyDescent="0.2">
      <c r="B7888" s="32">
        <v>46032</v>
      </c>
      <c r="C7888" t="s">
        <v>109</v>
      </c>
      <c r="D7888" s="13" t="s">
        <v>633</v>
      </c>
      <c r="E7888" t="s">
        <v>148</v>
      </c>
      <c r="F7888" s="11">
        <v>1</v>
      </c>
      <c r="G7888" s="11">
        <v>37815.129999999997</v>
      </c>
    </row>
    <row r="7889" spans="2:7" x14ac:dyDescent="0.2">
      <c r="B7889" s="32">
        <v>46032</v>
      </c>
      <c r="C7889" t="s">
        <v>109</v>
      </c>
      <c r="D7889" s="13" t="s">
        <v>633</v>
      </c>
      <c r="E7889" t="s">
        <v>145</v>
      </c>
      <c r="F7889" s="11">
        <v>1</v>
      </c>
      <c r="G7889" s="11">
        <v>29411.759999999998</v>
      </c>
    </row>
    <row r="7890" spans="2:7" x14ac:dyDescent="0.2">
      <c r="B7890" s="32">
        <v>46032</v>
      </c>
      <c r="C7890" t="s">
        <v>109</v>
      </c>
      <c r="D7890" s="13" t="s">
        <v>633</v>
      </c>
      <c r="E7890" t="s">
        <v>144</v>
      </c>
      <c r="F7890" s="11">
        <v>1</v>
      </c>
      <c r="G7890" s="11">
        <v>13865.55</v>
      </c>
    </row>
    <row r="7891" spans="2:7" x14ac:dyDescent="0.2">
      <c r="B7891" s="32">
        <v>46033</v>
      </c>
      <c r="C7891" t="s">
        <v>142</v>
      </c>
      <c r="D7891" s="13" t="s">
        <v>633</v>
      </c>
      <c r="E7891" t="s">
        <v>680</v>
      </c>
      <c r="F7891" s="11">
        <v>1</v>
      </c>
      <c r="G7891" s="11">
        <v>58823.53</v>
      </c>
    </row>
    <row r="7892" spans="2:7" x14ac:dyDescent="0.2">
      <c r="B7892" s="32">
        <v>46033</v>
      </c>
      <c r="C7892" t="s">
        <v>142</v>
      </c>
      <c r="D7892" s="13" t="s">
        <v>633</v>
      </c>
      <c r="E7892" t="s">
        <v>653</v>
      </c>
      <c r="F7892" s="11">
        <v>1</v>
      </c>
      <c r="G7892" s="11">
        <v>58823.53</v>
      </c>
    </row>
    <row r="7893" spans="2:7" x14ac:dyDescent="0.2">
      <c r="B7893" s="32">
        <v>46033</v>
      </c>
      <c r="C7893" t="s">
        <v>142</v>
      </c>
      <c r="D7893" s="13" t="s">
        <v>633</v>
      </c>
      <c r="F7893" s="11">
        <v>0</v>
      </c>
      <c r="G7893" s="11">
        <v>0</v>
      </c>
    </row>
    <row r="7894" spans="2:7" x14ac:dyDescent="0.2">
      <c r="B7894" s="32">
        <v>46033</v>
      </c>
      <c r="C7894" t="s">
        <v>109</v>
      </c>
      <c r="D7894" s="13" t="s">
        <v>634</v>
      </c>
      <c r="E7894" t="s">
        <v>148</v>
      </c>
      <c r="F7894" s="11">
        <v>1</v>
      </c>
      <c r="G7894" s="11">
        <v>37815.129999999997</v>
      </c>
    </row>
    <row r="7895" spans="2:7" x14ac:dyDescent="0.2">
      <c r="B7895" s="32">
        <v>46033</v>
      </c>
      <c r="C7895" t="s">
        <v>109</v>
      </c>
      <c r="D7895" s="13" t="s">
        <v>634</v>
      </c>
      <c r="E7895" t="s">
        <v>145</v>
      </c>
      <c r="F7895" s="11">
        <v>1</v>
      </c>
      <c r="G7895" s="11">
        <v>29411.77</v>
      </c>
    </row>
    <row r="7896" spans="2:7" x14ac:dyDescent="0.2">
      <c r="B7896" s="32">
        <v>46033</v>
      </c>
      <c r="C7896" t="s">
        <v>109</v>
      </c>
      <c r="D7896" s="13" t="s">
        <v>634</v>
      </c>
      <c r="E7896" t="s">
        <v>218</v>
      </c>
      <c r="F7896" s="11">
        <v>1</v>
      </c>
      <c r="G7896" s="11">
        <v>29411.759999999998</v>
      </c>
    </row>
    <row r="7897" spans="2:7" x14ac:dyDescent="0.2">
      <c r="B7897" s="32">
        <v>46033</v>
      </c>
      <c r="C7897" t="s">
        <v>109</v>
      </c>
      <c r="D7897" s="13" t="s">
        <v>634</v>
      </c>
      <c r="E7897" t="s">
        <v>144</v>
      </c>
      <c r="F7897" s="11">
        <v>3</v>
      </c>
      <c r="G7897" s="11">
        <v>12184.87</v>
      </c>
    </row>
    <row r="7898" spans="2:7" x14ac:dyDescent="0.2">
      <c r="B7898" s="32">
        <v>46033</v>
      </c>
      <c r="C7898" t="s">
        <v>109</v>
      </c>
      <c r="D7898" s="13" t="s">
        <v>633</v>
      </c>
      <c r="E7898" t="s">
        <v>185</v>
      </c>
      <c r="F7898" s="11">
        <v>1</v>
      </c>
      <c r="G7898" s="11">
        <v>100840.34</v>
      </c>
    </row>
    <row r="7899" spans="2:7" x14ac:dyDescent="0.2">
      <c r="B7899" s="32">
        <v>46034</v>
      </c>
      <c r="C7899" t="s">
        <v>142</v>
      </c>
      <c r="D7899" s="13" t="s">
        <v>634</v>
      </c>
      <c r="E7899" t="s">
        <v>214</v>
      </c>
      <c r="F7899" s="11">
        <v>1</v>
      </c>
      <c r="G7899" s="11">
        <v>54621.85</v>
      </c>
    </row>
    <row r="7900" spans="2:7" x14ac:dyDescent="0.2">
      <c r="B7900" s="32">
        <v>46034</v>
      </c>
      <c r="C7900" t="s">
        <v>142</v>
      </c>
      <c r="D7900" s="13" t="s">
        <v>634</v>
      </c>
      <c r="E7900" t="s">
        <v>195</v>
      </c>
      <c r="F7900" s="11">
        <v>1</v>
      </c>
      <c r="G7900" s="11">
        <v>46218.49</v>
      </c>
    </row>
    <row r="7901" spans="2:7" x14ac:dyDescent="0.2">
      <c r="B7901" s="32">
        <v>46034</v>
      </c>
      <c r="C7901" t="s">
        <v>142</v>
      </c>
      <c r="D7901" s="13" t="s">
        <v>634</v>
      </c>
      <c r="E7901" t="s">
        <v>218</v>
      </c>
      <c r="F7901" s="11">
        <v>1</v>
      </c>
      <c r="G7901" s="11">
        <v>29411.759999999998</v>
      </c>
    </row>
    <row r="7902" spans="2:7" x14ac:dyDescent="0.2">
      <c r="B7902" s="32">
        <v>46034</v>
      </c>
      <c r="C7902" t="s">
        <v>142</v>
      </c>
      <c r="D7902" s="13" t="s">
        <v>634</v>
      </c>
      <c r="F7902" s="11">
        <v>0</v>
      </c>
      <c r="G7902" s="11">
        <v>0</v>
      </c>
    </row>
    <row r="7903" spans="2:7" x14ac:dyDescent="0.2">
      <c r="B7903" s="32">
        <v>46034</v>
      </c>
      <c r="C7903" t="s">
        <v>142</v>
      </c>
      <c r="D7903" s="13" t="s">
        <v>633</v>
      </c>
      <c r="E7903" t="s">
        <v>598</v>
      </c>
      <c r="F7903" s="11">
        <v>1</v>
      </c>
      <c r="G7903" s="11">
        <v>235294.12</v>
      </c>
    </row>
    <row r="7904" spans="2:7" x14ac:dyDescent="0.2">
      <c r="B7904" s="32">
        <v>46034</v>
      </c>
      <c r="C7904" t="s">
        <v>142</v>
      </c>
      <c r="D7904" s="13" t="s">
        <v>633</v>
      </c>
      <c r="F7904" s="11">
        <v>0</v>
      </c>
      <c r="G7904" s="11">
        <v>0</v>
      </c>
    </row>
    <row r="7905" spans="2:7" x14ac:dyDescent="0.2">
      <c r="B7905" s="32">
        <v>46035</v>
      </c>
      <c r="C7905" t="s">
        <v>142</v>
      </c>
      <c r="D7905" s="13" t="s">
        <v>634</v>
      </c>
      <c r="E7905" t="s">
        <v>152</v>
      </c>
      <c r="F7905" s="11">
        <v>2</v>
      </c>
      <c r="G7905" s="11">
        <v>151260.5</v>
      </c>
    </row>
    <row r="7906" spans="2:7" x14ac:dyDescent="0.2">
      <c r="B7906" s="32">
        <v>46035</v>
      </c>
      <c r="C7906" t="s">
        <v>142</v>
      </c>
      <c r="D7906" s="13" t="s">
        <v>634</v>
      </c>
      <c r="E7906" t="s">
        <v>155</v>
      </c>
      <c r="F7906" s="11">
        <v>1</v>
      </c>
      <c r="G7906" s="11">
        <v>100840.34</v>
      </c>
    </row>
    <row r="7907" spans="2:7" x14ac:dyDescent="0.2">
      <c r="B7907" s="32">
        <v>46035</v>
      </c>
      <c r="C7907" t="s">
        <v>142</v>
      </c>
      <c r="D7907" s="13" t="s">
        <v>634</v>
      </c>
      <c r="E7907" t="s">
        <v>312</v>
      </c>
      <c r="F7907" s="11">
        <v>1</v>
      </c>
      <c r="G7907" s="11">
        <v>54621.85</v>
      </c>
    </row>
    <row r="7908" spans="2:7" x14ac:dyDescent="0.2">
      <c r="B7908" s="32">
        <v>46035</v>
      </c>
      <c r="C7908" t="s">
        <v>142</v>
      </c>
      <c r="D7908" s="13" t="s">
        <v>634</v>
      </c>
      <c r="E7908" t="s">
        <v>305</v>
      </c>
      <c r="F7908" s="11">
        <v>1</v>
      </c>
      <c r="G7908" s="11">
        <v>54621.85</v>
      </c>
    </row>
    <row r="7909" spans="2:7" x14ac:dyDescent="0.2">
      <c r="B7909" s="32">
        <v>46035</v>
      </c>
      <c r="C7909" t="s">
        <v>142</v>
      </c>
      <c r="D7909" s="13" t="s">
        <v>634</v>
      </c>
      <c r="F7909" s="11">
        <v>0</v>
      </c>
      <c r="G7909" s="11">
        <v>0</v>
      </c>
    </row>
    <row r="7910" spans="2:7" x14ac:dyDescent="0.2">
      <c r="B7910" s="32">
        <v>46035</v>
      </c>
      <c r="C7910" t="s">
        <v>109</v>
      </c>
      <c r="D7910" s="13" t="s">
        <v>634</v>
      </c>
      <c r="E7910" t="s">
        <v>289</v>
      </c>
      <c r="F7910" s="11">
        <v>1</v>
      </c>
      <c r="G7910" s="11">
        <v>186554.62</v>
      </c>
    </row>
    <row r="7911" spans="2:7" x14ac:dyDescent="0.2">
      <c r="B7911" s="32">
        <v>46035</v>
      </c>
      <c r="C7911" t="s">
        <v>109</v>
      </c>
      <c r="D7911" s="13" t="s">
        <v>634</v>
      </c>
      <c r="E7911" t="s">
        <v>245</v>
      </c>
      <c r="F7911" s="11">
        <v>1</v>
      </c>
      <c r="G7911" s="11">
        <v>126050.42</v>
      </c>
    </row>
    <row r="7912" spans="2:7" x14ac:dyDescent="0.2">
      <c r="B7912" s="32">
        <v>46035</v>
      </c>
      <c r="C7912" t="s">
        <v>109</v>
      </c>
      <c r="D7912" s="13" t="s">
        <v>634</v>
      </c>
      <c r="E7912" t="s">
        <v>152</v>
      </c>
      <c r="F7912" s="11">
        <v>1</v>
      </c>
      <c r="G7912" s="11">
        <v>75630.25</v>
      </c>
    </row>
    <row r="7913" spans="2:7" x14ac:dyDescent="0.2">
      <c r="B7913" s="32">
        <v>46035</v>
      </c>
      <c r="C7913" t="s">
        <v>109</v>
      </c>
      <c r="D7913" s="13" t="s">
        <v>634</v>
      </c>
      <c r="E7913" t="s">
        <v>223</v>
      </c>
      <c r="F7913" s="11">
        <v>1</v>
      </c>
      <c r="G7913" s="11">
        <v>58823.53</v>
      </c>
    </row>
    <row r="7914" spans="2:7" x14ac:dyDescent="0.2">
      <c r="B7914" s="32">
        <v>46035</v>
      </c>
      <c r="C7914" t="s">
        <v>109</v>
      </c>
      <c r="D7914" s="13" t="s">
        <v>634</v>
      </c>
      <c r="E7914" t="s">
        <v>144</v>
      </c>
      <c r="F7914" s="11">
        <v>2</v>
      </c>
      <c r="G7914" s="11">
        <v>36974.79</v>
      </c>
    </row>
    <row r="7915" spans="2:7" x14ac:dyDescent="0.2">
      <c r="B7915" s="32">
        <v>46035</v>
      </c>
      <c r="C7915" t="s">
        <v>109</v>
      </c>
      <c r="D7915" s="13" t="s">
        <v>633</v>
      </c>
      <c r="E7915" t="s">
        <v>671</v>
      </c>
      <c r="F7915" s="11">
        <v>1</v>
      </c>
      <c r="G7915" s="11">
        <v>344537.82</v>
      </c>
    </row>
    <row r="7916" spans="2:7" x14ac:dyDescent="0.2">
      <c r="B7916" s="32">
        <v>46035</v>
      </c>
      <c r="C7916" t="s">
        <v>109</v>
      </c>
      <c r="D7916" s="13" t="s">
        <v>633</v>
      </c>
      <c r="E7916" t="s">
        <v>144</v>
      </c>
      <c r="F7916" s="11">
        <v>5</v>
      </c>
      <c r="G7916" s="11">
        <v>202941.17</v>
      </c>
    </row>
    <row r="7917" spans="2:7" x14ac:dyDescent="0.2">
      <c r="B7917" s="32">
        <v>46035</v>
      </c>
      <c r="C7917" t="s">
        <v>109</v>
      </c>
      <c r="D7917" s="13" t="s">
        <v>633</v>
      </c>
      <c r="E7917" t="s">
        <v>336</v>
      </c>
      <c r="F7917" s="11">
        <v>2</v>
      </c>
      <c r="G7917" s="11">
        <v>142857.15</v>
      </c>
    </row>
    <row r="7918" spans="2:7" x14ac:dyDescent="0.2">
      <c r="B7918" s="32">
        <v>46035</v>
      </c>
      <c r="C7918" t="s">
        <v>109</v>
      </c>
      <c r="D7918" s="13" t="s">
        <v>633</v>
      </c>
      <c r="F7918" s="11">
        <v>1</v>
      </c>
      <c r="G7918" s="11">
        <v>121848.74</v>
      </c>
    </row>
    <row r="7919" spans="2:7" x14ac:dyDescent="0.2">
      <c r="B7919" s="32">
        <v>46035</v>
      </c>
      <c r="C7919" t="s">
        <v>109</v>
      </c>
      <c r="D7919" s="13" t="s">
        <v>633</v>
      </c>
      <c r="E7919" t="s">
        <v>151</v>
      </c>
      <c r="F7919" s="11">
        <v>2</v>
      </c>
      <c r="G7919" s="11">
        <v>92436.97</v>
      </c>
    </row>
    <row r="7920" spans="2:7" x14ac:dyDescent="0.2">
      <c r="B7920" s="32">
        <v>46035</v>
      </c>
      <c r="C7920" t="s">
        <v>109</v>
      </c>
      <c r="D7920" s="13" t="s">
        <v>633</v>
      </c>
      <c r="E7920" t="s">
        <v>171</v>
      </c>
      <c r="F7920" s="11">
        <v>4</v>
      </c>
      <c r="G7920" s="11">
        <v>90756.29</v>
      </c>
    </row>
    <row r="7921" spans="2:7" x14ac:dyDescent="0.2">
      <c r="B7921" s="32">
        <v>46035</v>
      </c>
      <c r="C7921" t="s">
        <v>109</v>
      </c>
      <c r="D7921" s="13" t="s">
        <v>633</v>
      </c>
      <c r="E7921" t="s">
        <v>220</v>
      </c>
      <c r="F7921" s="11">
        <v>1</v>
      </c>
      <c r="G7921" s="11">
        <v>84033.600000000006</v>
      </c>
    </row>
    <row r="7922" spans="2:7" x14ac:dyDescent="0.2">
      <c r="B7922" s="32">
        <v>46035</v>
      </c>
      <c r="C7922" t="s">
        <v>109</v>
      </c>
      <c r="D7922" s="13" t="s">
        <v>633</v>
      </c>
      <c r="E7922" t="s">
        <v>192</v>
      </c>
      <c r="F7922" s="11">
        <v>1</v>
      </c>
      <c r="G7922" s="11">
        <v>71428.570000000007</v>
      </c>
    </row>
    <row r="7923" spans="2:7" x14ac:dyDescent="0.2">
      <c r="B7923" s="32">
        <v>46035</v>
      </c>
      <c r="C7923" t="s">
        <v>109</v>
      </c>
      <c r="D7923" s="13" t="s">
        <v>633</v>
      </c>
      <c r="E7923" t="s">
        <v>376</v>
      </c>
      <c r="F7923" s="11">
        <v>1</v>
      </c>
      <c r="G7923" s="11">
        <v>58823.519999999997</v>
      </c>
    </row>
    <row r="7924" spans="2:7" x14ac:dyDescent="0.2">
      <c r="B7924" s="32">
        <v>46035</v>
      </c>
      <c r="C7924" t="s">
        <v>109</v>
      </c>
      <c r="D7924" s="13" t="s">
        <v>633</v>
      </c>
      <c r="E7924" t="s">
        <v>678</v>
      </c>
      <c r="F7924" s="11">
        <v>1</v>
      </c>
      <c r="G7924" s="11">
        <v>50420.17</v>
      </c>
    </row>
    <row r="7925" spans="2:7" x14ac:dyDescent="0.2">
      <c r="B7925" s="32">
        <v>46035</v>
      </c>
      <c r="C7925" t="s">
        <v>109</v>
      </c>
      <c r="D7925" s="13" t="s">
        <v>633</v>
      </c>
      <c r="E7925" t="s">
        <v>317</v>
      </c>
      <c r="F7925" s="11">
        <v>1</v>
      </c>
      <c r="G7925" s="11">
        <v>50420.17</v>
      </c>
    </row>
    <row r="7926" spans="2:7" x14ac:dyDescent="0.2">
      <c r="B7926" s="32">
        <v>46035</v>
      </c>
      <c r="C7926" t="s">
        <v>109</v>
      </c>
      <c r="D7926" s="13" t="s">
        <v>633</v>
      </c>
      <c r="E7926" t="s">
        <v>587</v>
      </c>
      <c r="F7926" s="11">
        <v>1</v>
      </c>
      <c r="G7926" s="11">
        <v>50420.17</v>
      </c>
    </row>
    <row r="7927" spans="2:7" x14ac:dyDescent="0.2">
      <c r="B7927" s="32">
        <v>46035</v>
      </c>
      <c r="C7927" t="s">
        <v>109</v>
      </c>
      <c r="D7927" s="13" t="s">
        <v>633</v>
      </c>
      <c r="E7927" t="s">
        <v>291</v>
      </c>
      <c r="F7927" s="11">
        <v>1</v>
      </c>
      <c r="G7927" s="11">
        <v>46218.49</v>
      </c>
    </row>
    <row r="7928" spans="2:7" x14ac:dyDescent="0.2">
      <c r="B7928" s="32">
        <v>46035</v>
      </c>
      <c r="C7928" t="s">
        <v>109</v>
      </c>
      <c r="D7928" s="13" t="s">
        <v>633</v>
      </c>
      <c r="E7928" t="s">
        <v>196</v>
      </c>
      <c r="F7928" s="11">
        <v>1</v>
      </c>
      <c r="G7928" s="11">
        <v>46218.49</v>
      </c>
    </row>
    <row r="7929" spans="2:7" x14ac:dyDescent="0.2">
      <c r="B7929" s="32">
        <v>46035</v>
      </c>
      <c r="C7929" t="s">
        <v>109</v>
      </c>
      <c r="D7929" s="13" t="s">
        <v>633</v>
      </c>
      <c r="E7929" t="s">
        <v>225</v>
      </c>
      <c r="F7929" s="11">
        <v>1</v>
      </c>
      <c r="G7929" s="11">
        <v>46218.49</v>
      </c>
    </row>
    <row r="7930" spans="2:7" x14ac:dyDescent="0.2">
      <c r="B7930" s="32">
        <v>46035</v>
      </c>
      <c r="C7930" t="s">
        <v>109</v>
      </c>
      <c r="D7930" s="13" t="s">
        <v>633</v>
      </c>
      <c r="E7930" t="s">
        <v>240</v>
      </c>
      <c r="F7930" s="11">
        <v>1</v>
      </c>
      <c r="G7930" s="11">
        <v>46218.49</v>
      </c>
    </row>
    <row r="7931" spans="2:7" x14ac:dyDescent="0.2">
      <c r="B7931" s="32">
        <v>46035</v>
      </c>
      <c r="C7931" t="s">
        <v>109</v>
      </c>
      <c r="D7931" s="13" t="s">
        <v>633</v>
      </c>
      <c r="E7931" t="s">
        <v>153</v>
      </c>
      <c r="F7931" s="11">
        <v>1</v>
      </c>
      <c r="G7931" s="11">
        <v>46218.49</v>
      </c>
    </row>
    <row r="7932" spans="2:7" x14ac:dyDescent="0.2">
      <c r="B7932" s="32">
        <v>46035</v>
      </c>
      <c r="C7932" t="s">
        <v>109</v>
      </c>
      <c r="D7932" s="13" t="s">
        <v>633</v>
      </c>
      <c r="E7932" t="s">
        <v>330</v>
      </c>
      <c r="F7932" s="11">
        <v>1</v>
      </c>
      <c r="G7932" s="11">
        <v>37815.129999999997</v>
      </c>
    </row>
    <row r="7933" spans="2:7" x14ac:dyDescent="0.2">
      <c r="B7933" s="32">
        <v>46035</v>
      </c>
      <c r="C7933" t="s">
        <v>109</v>
      </c>
      <c r="D7933" s="13" t="s">
        <v>633</v>
      </c>
      <c r="E7933" t="s">
        <v>293</v>
      </c>
      <c r="F7933" s="11">
        <v>1</v>
      </c>
      <c r="G7933" s="11">
        <v>37815.129999999997</v>
      </c>
    </row>
    <row r="7934" spans="2:7" x14ac:dyDescent="0.2">
      <c r="B7934" s="32">
        <v>46035</v>
      </c>
      <c r="C7934" t="s">
        <v>109</v>
      </c>
      <c r="D7934" s="13" t="s">
        <v>633</v>
      </c>
      <c r="E7934" t="s">
        <v>145</v>
      </c>
      <c r="F7934" s="11">
        <v>1</v>
      </c>
      <c r="G7934" s="11">
        <v>29411.759999999998</v>
      </c>
    </row>
    <row r="7935" spans="2:7" x14ac:dyDescent="0.2">
      <c r="B7935" s="32">
        <v>46035</v>
      </c>
      <c r="C7935" t="s">
        <v>109</v>
      </c>
      <c r="D7935" s="13" t="s">
        <v>633</v>
      </c>
      <c r="E7935" t="s">
        <v>456</v>
      </c>
      <c r="F7935" s="11">
        <v>1</v>
      </c>
      <c r="G7935" s="11">
        <v>16806.72</v>
      </c>
    </row>
    <row r="7936" spans="2:7" x14ac:dyDescent="0.2">
      <c r="B7936" s="32">
        <v>46036</v>
      </c>
      <c r="C7936" t="s">
        <v>108</v>
      </c>
      <c r="D7936" s="13" t="s">
        <v>633</v>
      </c>
      <c r="E7936" t="s">
        <v>267</v>
      </c>
      <c r="F7936" s="11">
        <v>5</v>
      </c>
      <c r="G7936" s="11">
        <v>273109.25</v>
      </c>
    </row>
    <row r="7937" spans="2:7" x14ac:dyDescent="0.2">
      <c r="B7937" s="32">
        <v>46036</v>
      </c>
      <c r="C7937" t="s">
        <v>108</v>
      </c>
      <c r="D7937" s="13" t="s">
        <v>633</v>
      </c>
      <c r="E7937" t="s">
        <v>637</v>
      </c>
      <c r="F7937" s="11">
        <v>5</v>
      </c>
      <c r="G7937" s="11">
        <v>273109.24</v>
      </c>
    </row>
    <row r="7938" spans="2:7" x14ac:dyDescent="0.2">
      <c r="B7938" s="32">
        <v>46036</v>
      </c>
      <c r="C7938" t="s">
        <v>108</v>
      </c>
      <c r="D7938" s="13" t="s">
        <v>633</v>
      </c>
      <c r="E7938" t="s">
        <v>641</v>
      </c>
      <c r="F7938" s="11">
        <v>4</v>
      </c>
      <c r="G7938" s="11">
        <v>218487.4</v>
      </c>
    </row>
    <row r="7939" spans="2:7" x14ac:dyDescent="0.2">
      <c r="B7939" s="32">
        <v>46036</v>
      </c>
      <c r="C7939" t="s">
        <v>108</v>
      </c>
      <c r="D7939" s="13" t="s">
        <v>633</v>
      </c>
      <c r="E7939" t="s">
        <v>640</v>
      </c>
      <c r="F7939" s="11">
        <v>4</v>
      </c>
      <c r="G7939" s="11">
        <v>218487.39</v>
      </c>
    </row>
    <row r="7940" spans="2:7" x14ac:dyDescent="0.2">
      <c r="B7940" s="32">
        <v>46036</v>
      </c>
      <c r="C7940" t="s">
        <v>142</v>
      </c>
      <c r="D7940" s="13" t="s">
        <v>634</v>
      </c>
      <c r="E7940" t="s">
        <v>227</v>
      </c>
      <c r="F7940" s="11">
        <v>1</v>
      </c>
      <c r="G7940" s="11">
        <v>100840.34</v>
      </c>
    </row>
    <row r="7941" spans="2:7" x14ac:dyDescent="0.2">
      <c r="B7941" s="32">
        <v>46036</v>
      </c>
      <c r="C7941" t="s">
        <v>142</v>
      </c>
      <c r="D7941" s="13" t="s">
        <v>634</v>
      </c>
      <c r="E7941" t="s">
        <v>154</v>
      </c>
      <c r="F7941" s="11">
        <v>1</v>
      </c>
      <c r="G7941" s="11">
        <v>100840.34</v>
      </c>
    </row>
    <row r="7942" spans="2:7" x14ac:dyDescent="0.2">
      <c r="B7942" s="32">
        <v>46036</v>
      </c>
      <c r="C7942" t="s">
        <v>142</v>
      </c>
      <c r="D7942" s="13" t="s">
        <v>634</v>
      </c>
      <c r="E7942" t="s">
        <v>169</v>
      </c>
      <c r="F7942" s="11">
        <v>1</v>
      </c>
      <c r="G7942" s="11">
        <v>100840.34</v>
      </c>
    </row>
    <row r="7943" spans="2:7" x14ac:dyDescent="0.2">
      <c r="B7943" s="32">
        <v>46036</v>
      </c>
      <c r="C7943" t="s">
        <v>142</v>
      </c>
      <c r="D7943" s="13" t="s">
        <v>634</v>
      </c>
      <c r="E7943" t="s">
        <v>308</v>
      </c>
      <c r="F7943" s="11">
        <v>1</v>
      </c>
      <c r="G7943" s="11">
        <v>100840.33</v>
      </c>
    </row>
    <row r="7944" spans="2:7" x14ac:dyDescent="0.2">
      <c r="B7944" s="32">
        <v>46036</v>
      </c>
      <c r="C7944" t="s">
        <v>142</v>
      </c>
      <c r="D7944" s="13" t="s">
        <v>634</v>
      </c>
      <c r="E7944" t="s">
        <v>167</v>
      </c>
      <c r="F7944" s="11">
        <v>1</v>
      </c>
      <c r="G7944" s="11">
        <v>100840.33</v>
      </c>
    </row>
    <row r="7945" spans="2:7" x14ac:dyDescent="0.2">
      <c r="B7945" s="32">
        <v>46036</v>
      </c>
      <c r="C7945" t="s">
        <v>142</v>
      </c>
      <c r="D7945" s="13" t="s">
        <v>634</v>
      </c>
      <c r="E7945" t="s">
        <v>318</v>
      </c>
      <c r="F7945" s="11">
        <v>1</v>
      </c>
      <c r="G7945" s="11">
        <v>84033.61</v>
      </c>
    </row>
    <row r="7946" spans="2:7" x14ac:dyDescent="0.2">
      <c r="B7946" s="32">
        <v>46036</v>
      </c>
      <c r="C7946" t="s">
        <v>142</v>
      </c>
      <c r="D7946" s="13" t="s">
        <v>634</v>
      </c>
      <c r="E7946" t="s">
        <v>181</v>
      </c>
      <c r="F7946" s="11">
        <v>1</v>
      </c>
      <c r="G7946" s="11">
        <v>58823.53</v>
      </c>
    </row>
    <row r="7947" spans="2:7" x14ac:dyDescent="0.2">
      <c r="B7947" s="32">
        <v>46036</v>
      </c>
      <c r="C7947" t="s">
        <v>142</v>
      </c>
      <c r="D7947" s="13" t="s">
        <v>634</v>
      </c>
      <c r="E7947" t="s">
        <v>274</v>
      </c>
      <c r="F7947" s="11">
        <v>1</v>
      </c>
      <c r="G7947" s="11">
        <v>54621.85</v>
      </c>
    </row>
    <row r="7948" spans="2:7" x14ac:dyDescent="0.2">
      <c r="B7948" s="32">
        <v>46036</v>
      </c>
      <c r="C7948" t="s">
        <v>142</v>
      </c>
      <c r="D7948" s="13" t="s">
        <v>634</v>
      </c>
      <c r="F7948" s="11">
        <v>0</v>
      </c>
      <c r="G7948" s="11">
        <v>0</v>
      </c>
    </row>
    <row r="7949" spans="2:7" x14ac:dyDescent="0.2">
      <c r="B7949" s="32">
        <v>46036</v>
      </c>
      <c r="C7949" t="s">
        <v>142</v>
      </c>
      <c r="D7949" s="13" t="s">
        <v>633</v>
      </c>
      <c r="E7949" t="s">
        <v>228</v>
      </c>
      <c r="F7949" s="11">
        <v>1</v>
      </c>
      <c r="G7949" s="11">
        <v>100840.34</v>
      </c>
    </row>
    <row r="7950" spans="2:7" x14ac:dyDescent="0.2">
      <c r="B7950" s="32">
        <v>46036</v>
      </c>
      <c r="C7950" t="s">
        <v>142</v>
      </c>
      <c r="D7950" s="13" t="s">
        <v>633</v>
      </c>
      <c r="E7950" t="s">
        <v>679</v>
      </c>
      <c r="F7950" s="11">
        <v>1</v>
      </c>
      <c r="G7950" s="11">
        <v>100840.34</v>
      </c>
    </row>
    <row r="7951" spans="2:7" x14ac:dyDescent="0.2">
      <c r="B7951" s="32">
        <v>46036</v>
      </c>
      <c r="C7951" t="s">
        <v>142</v>
      </c>
      <c r="D7951" s="13" t="s">
        <v>633</v>
      </c>
      <c r="E7951" t="s">
        <v>280</v>
      </c>
      <c r="F7951" s="11">
        <v>1</v>
      </c>
      <c r="G7951" s="11">
        <v>100840.34</v>
      </c>
    </row>
    <row r="7952" spans="2:7" x14ac:dyDescent="0.2">
      <c r="B7952" s="32">
        <v>46036</v>
      </c>
      <c r="C7952" t="s">
        <v>142</v>
      </c>
      <c r="D7952" s="13" t="s">
        <v>633</v>
      </c>
      <c r="E7952" t="s">
        <v>648</v>
      </c>
      <c r="F7952" s="11">
        <v>1</v>
      </c>
      <c r="G7952" s="11">
        <v>100840.34</v>
      </c>
    </row>
    <row r="7953" spans="2:7" x14ac:dyDescent="0.2">
      <c r="B7953" s="32">
        <v>46036</v>
      </c>
      <c r="C7953" t="s">
        <v>142</v>
      </c>
      <c r="D7953" s="13" t="s">
        <v>633</v>
      </c>
      <c r="E7953" t="s">
        <v>292</v>
      </c>
      <c r="F7953" s="11">
        <v>1</v>
      </c>
      <c r="G7953" s="11">
        <v>100840.33</v>
      </c>
    </row>
    <row r="7954" spans="2:7" x14ac:dyDescent="0.2">
      <c r="B7954" s="32">
        <v>46036</v>
      </c>
      <c r="C7954" t="s">
        <v>142</v>
      </c>
      <c r="D7954" s="13" t="s">
        <v>633</v>
      </c>
      <c r="E7954" t="s">
        <v>283</v>
      </c>
      <c r="F7954" s="11">
        <v>1</v>
      </c>
      <c r="G7954" s="11">
        <v>100840.33</v>
      </c>
    </row>
    <row r="7955" spans="2:7" x14ac:dyDescent="0.2">
      <c r="B7955" s="32">
        <v>46036</v>
      </c>
      <c r="C7955" t="s">
        <v>142</v>
      </c>
      <c r="D7955" s="13" t="s">
        <v>633</v>
      </c>
      <c r="E7955" t="s">
        <v>237</v>
      </c>
      <c r="F7955" s="11">
        <v>1</v>
      </c>
      <c r="G7955" s="11">
        <v>100840.33</v>
      </c>
    </row>
    <row r="7956" spans="2:7" x14ac:dyDescent="0.2">
      <c r="B7956" s="32">
        <v>46036</v>
      </c>
      <c r="C7956" t="s">
        <v>142</v>
      </c>
      <c r="D7956" s="13" t="s">
        <v>633</v>
      </c>
      <c r="F7956" s="11">
        <v>0</v>
      </c>
      <c r="G7956" s="11">
        <v>0</v>
      </c>
    </row>
    <row r="7957" spans="2:7" x14ac:dyDescent="0.2">
      <c r="B7957" s="32">
        <v>46036</v>
      </c>
      <c r="C7957" t="s">
        <v>110</v>
      </c>
      <c r="D7957" s="13" t="s">
        <v>633</v>
      </c>
      <c r="E7957" t="s">
        <v>350</v>
      </c>
      <c r="F7957" s="11">
        <v>1</v>
      </c>
      <c r="G7957" s="11">
        <v>46218.49</v>
      </c>
    </row>
    <row r="7958" spans="2:7" x14ac:dyDescent="0.2">
      <c r="B7958" s="32">
        <v>46036</v>
      </c>
      <c r="C7958" t="s">
        <v>109</v>
      </c>
      <c r="D7958" s="13" t="s">
        <v>634</v>
      </c>
      <c r="E7958" t="s">
        <v>324</v>
      </c>
      <c r="F7958" s="11">
        <v>1</v>
      </c>
      <c r="G7958" s="11">
        <v>680672.27</v>
      </c>
    </row>
    <row r="7959" spans="2:7" x14ac:dyDescent="0.2">
      <c r="B7959" s="32">
        <v>46036</v>
      </c>
      <c r="C7959" t="s">
        <v>109</v>
      </c>
      <c r="D7959" s="13" t="s">
        <v>634</v>
      </c>
      <c r="F7959" s="11">
        <v>3</v>
      </c>
      <c r="G7959" s="11">
        <v>365546.22</v>
      </c>
    </row>
    <row r="7960" spans="2:7" x14ac:dyDescent="0.2">
      <c r="B7960" s="32">
        <v>46036</v>
      </c>
      <c r="C7960" t="s">
        <v>109</v>
      </c>
      <c r="D7960" s="13" t="s">
        <v>634</v>
      </c>
      <c r="E7960" t="s">
        <v>301</v>
      </c>
      <c r="F7960" s="11">
        <v>1</v>
      </c>
      <c r="G7960" s="11">
        <v>169000</v>
      </c>
    </row>
    <row r="7961" spans="2:7" x14ac:dyDescent="0.2">
      <c r="B7961" s="32">
        <v>46036</v>
      </c>
      <c r="C7961" t="s">
        <v>109</v>
      </c>
      <c r="D7961" s="13" t="s">
        <v>634</v>
      </c>
      <c r="E7961" t="s">
        <v>170</v>
      </c>
      <c r="F7961" s="11">
        <v>2</v>
      </c>
      <c r="G7961" s="11">
        <v>92436.98</v>
      </c>
    </row>
    <row r="7962" spans="2:7" x14ac:dyDescent="0.2">
      <c r="B7962" s="32">
        <v>46036</v>
      </c>
      <c r="C7962" t="s">
        <v>109</v>
      </c>
      <c r="D7962" s="13" t="s">
        <v>634</v>
      </c>
      <c r="E7962" t="s">
        <v>145</v>
      </c>
      <c r="F7962" s="11">
        <v>3</v>
      </c>
      <c r="G7962" s="11">
        <v>88235.29</v>
      </c>
    </row>
    <row r="7963" spans="2:7" x14ac:dyDescent="0.2">
      <c r="B7963" s="32">
        <v>46036</v>
      </c>
      <c r="C7963" t="s">
        <v>109</v>
      </c>
      <c r="D7963" s="13" t="s">
        <v>634</v>
      </c>
      <c r="E7963" t="s">
        <v>264</v>
      </c>
      <c r="F7963" s="11">
        <v>1</v>
      </c>
      <c r="G7963" s="11">
        <v>75630.25</v>
      </c>
    </row>
    <row r="7964" spans="2:7" x14ac:dyDescent="0.2">
      <c r="B7964" s="32">
        <v>46036</v>
      </c>
      <c r="C7964" t="s">
        <v>109</v>
      </c>
      <c r="D7964" s="13" t="s">
        <v>634</v>
      </c>
      <c r="E7964" t="s">
        <v>282</v>
      </c>
      <c r="F7964" s="11">
        <v>1</v>
      </c>
      <c r="G7964" s="11">
        <v>58823.53</v>
      </c>
    </row>
    <row r="7965" spans="2:7" x14ac:dyDescent="0.2">
      <c r="B7965" s="32">
        <v>46036</v>
      </c>
      <c r="C7965" t="s">
        <v>109</v>
      </c>
      <c r="D7965" s="13" t="s">
        <v>634</v>
      </c>
      <c r="E7965" t="s">
        <v>146</v>
      </c>
      <c r="F7965" s="11">
        <v>1</v>
      </c>
      <c r="G7965" s="11">
        <v>46218.49</v>
      </c>
    </row>
    <row r="7966" spans="2:7" x14ac:dyDescent="0.2">
      <c r="B7966" s="32">
        <v>46036</v>
      </c>
      <c r="C7966" t="s">
        <v>109</v>
      </c>
      <c r="D7966" s="13" t="s">
        <v>634</v>
      </c>
      <c r="E7966" t="s">
        <v>195</v>
      </c>
      <c r="F7966" s="11">
        <v>1</v>
      </c>
      <c r="G7966" s="11">
        <v>46218.49</v>
      </c>
    </row>
    <row r="7967" spans="2:7" x14ac:dyDescent="0.2">
      <c r="B7967" s="32">
        <v>46036</v>
      </c>
      <c r="C7967" t="s">
        <v>109</v>
      </c>
      <c r="D7967" s="13" t="s">
        <v>634</v>
      </c>
      <c r="E7967" t="s">
        <v>179</v>
      </c>
      <c r="F7967" s="11">
        <v>1</v>
      </c>
      <c r="G7967" s="11">
        <v>46218.49</v>
      </c>
    </row>
    <row r="7968" spans="2:7" x14ac:dyDescent="0.2">
      <c r="B7968" s="32">
        <v>46036</v>
      </c>
      <c r="C7968" t="s">
        <v>109</v>
      </c>
      <c r="D7968" s="13" t="s">
        <v>634</v>
      </c>
      <c r="E7968" t="s">
        <v>151</v>
      </c>
      <c r="F7968" s="11">
        <v>1</v>
      </c>
      <c r="G7968" s="11">
        <v>46218.48</v>
      </c>
    </row>
    <row r="7969" spans="2:7" x14ac:dyDescent="0.2">
      <c r="B7969" s="32">
        <v>46036</v>
      </c>
      <c r="C7969" t="s">
        <v>109</v>
      </c>
      <c r="D7969" s="13" t="s">
        <v>634</v>
      </c>
      <c r="E7969" t="s">
        <v>156</v>
      </c>
      <c r="F7969" s="11">
        <v>1</v>
      </c>
      <c r="G7969" s="11">
        <v>42016.81</v>
      </c>
    </row>
    <row r="7970" spans="2:7" x14ac:dyDescent="0.2">
      <c r="B7970" s="32">
        <v>46036</v>
      </c>
      <c r="C7970" t="s">
        <v>109</v>
      </c>
      <c r="D7970" s="13" t="s">
        <v>633</v>
      </c>
      <c r="E7970" t="s">
        <v>645</v>
      </c>
      <c r="F7970" s="11">
        <v>2</v>
      </c>
      <c r="G7970" s="11">
        <v>302521</v>
      </c>
    </row>
    <row r="7971" spans="2:7" x14ac:dyDescent="0.2">
      <c r="B7971" s="32">
        <v>46036</v>
      </c>
      <c r="C7971" t="s">
        <v>109</v>
      </c>
      <c r="D7971" s="13" t="s">
        <v>633</v>
      </c>
      <c r="E7971" t="s">
        <v>384</v>
      </c>
      <c r="F7971" s="11">
        <v>2</v>
      </c>
      <c r="G7971" s="11">
        <v>64705.88</v>
      </c>
    </row>
    <row r="7972" spans="2:7" x14ac:dyDescent="0.2">
      <c r="B7972" s="32">
        <v>46036</v>
      </c>
      <c r="C7972" t="s">
        <v>109</v>
      </c>
      <c r="D7972" s="13" t="s">
        <v>633</v>
      </c>
      <c r="E7972" t="s">
        <v>247</v>
      </c>
      <c r="F7972" s="11">
        <v>1</v>
      </c>
      <c r="G7972" s="11">
        <v>58823.53</v>
      </c>
    </row>
    <row r="7973" spans="2:7" x14ac:dyDescent="0.2">
      <c r="B7973" s="32">
        <v>46036</v>
      </c>
      <c r="C7973" t="s">
        <v>109</v>
      </c>
      <c r="D7973" s="13" t="s">
        <v>633</v>
      </c>
      <c r="E7973" t="s">
        <v>196</v>
      </c>
      <c r="F7973" s="11">
        <v>1</v>
      </c>
      <c r="G7973" s="11">
        <v>46218.49</v>
      </c>
    </row>
    <row r="7974" spans="2:7" x14ac:dyDescent="0.2">
      <c r="B7974" s="32">
        <v>46036</v>
      </c>
      <c r="C7974" t="s">
        <v>109</v>
      </c>
      <c r="D7974" s="13" t="s">
        <v>633</v>
      </c>
      <c r="E7974" t="s">
        <v>156</v>
      </c>
      <c r="F7974" s="11">
        <v>1</v>
      </c>
      <c r="G7974" s="11">
        <v>42016.81</v>
      </c>
    </row>
    <row r="7975" spans="2:7" x14ac:dyDescent="0.2">
      <c r="B7975" s="32">
        <v>46036</v>
      </c>
      <c r="C7975" t="s">
        <v>109</v>
      </c>
      <c r="D7975" s="13" t="s">
        <v>633</v>
      </c>
      <c r="E7975" t="s">
        <v>173</v>
      </c>
      <c r="F7975" s="11">
        <v>1</v>
      </c>
      <c r="G7975" s="11">
        <v>37815.129999999997</v>
      </c>
    </row>
    <row r="7976" spans="2:7" x14ac:dyDescent="0.2">
      <c r="B7976" s="32">
        <v>46036</v>
      </c>
      <c r="C7976" t="s">
        <v>109</v>
      </c>
      <c r="D7976" s="13" t="s">
        <v>633</v>
      </c>
      <c r="E7976" t="s">
        <v>330</v>
      </c>
      <c r="F7976" s="11">
        <v>1</v>
      </c>
      <c r="G7976" s="11">
        <v>37815.120000000003</v>
      </c>
    </row>
    <row r="7977" spans="2:7" x14ac:dyDescent="0.2">
      <c r="B7977" s="32">
        <v>46036</v>
      </c>
      <c r="C7977" t="s">
        <v>109</v>
      </c>
      <c r="D7977" s="13" t="s">
        <v>633</v>
      </c>
      <c r="E7977" t="s">
        <v>265</v>
      </c>
      <c r="F7977" s="11">
        <v>1</v>
      </c>
      <c r="G7977" s="11">
        <v>32352.94</v>
      </c>
    </row>
    <row r="7978" spans="2:7" x14ac:dyDescent="0.2">
      <c r="B7978" s="32">
        <v>46036</v>
      </c>
      <c r="C7978" t="s">
        <v>109</v>
      </c>
      <c r="D7978" s="13" t="s">
        <v>633</v>
      </c>
      <c r="E7978" t="s">
        <v>391</v>
      </c>
      <c r="F7978" s="11">
        <v>1</v>
      </c>
      <c r="G7978" s="11">
        <v>32352.94</v>
      </c>
    </row>
    <row r="7979" spans="2:7" x14ac:dyDescent="0.2">
      <c r="B7979" s="32">
        <v>46036</v>
      </c>
      <c r="C7979" t="s">
        <v>109</v>
      </c>
      <c r="D7979" s="13" t="s">
        <v>633</v>
      </c>
      <c r="E7979" t="s">
        <v>144</v>
      </c>
      <c r="F7979" s="11">
        <v>2</v>
      </c>
      <c r="G7979" s="11">
        <v>28991.59</v>
      </c>
    </row>
    <row r="7980" spans="2:7" x14ac:dyDescent="0.2">
      <c r="B7980" s="32">
        <v>46037</v>
      </c>
      <c r="C7980" t="s">
        <v>142</v>
      </c>
      <c r="D7980" s="13" t="s">
        <v>633</v>
      </c>
      <c r="E7980" t="s">
        <v>375</v>
      </c>
      <c r="F7980" s="11">
        <v>1</v>
      </c>
      <c r="G7980" s="11">
        <v>100840.34</v>
      </c>
    </row>
    <row r="7981" spans="2:7" x14ac:dyDescent="0.2">
      <c r="B7981" s="32">
        <v>46037</v>
      </c>
      <c r="C7981" t="s">
        <v>142</v>
      </c>
      <c r="D7981" s="13" t="s">
        <v>633</v>
      </c>
      <c r="F7981" s="11">
        <v>0</v>
      </c>
      <c r="G7981" s="11">
        <v>0</v>
      </c>
    </row>
    <row r="7982" spans="2:7" x14ac:dyDescent="0.2">
      <c r="B7982" s="32">
        <v>46037</v>
      </c>
      <c r="C7982" t="s">
        <v>110</v>
      </c>
      <c r="D7982" s="13" t="s">
        <v>633</v>
      </c>
      <c r="E7982" t="s">
        <v>150</v>
      </c>
      <c r="F7982" s="11">
        <v>1</v>
      </c>
      <c r="G7982" s="11">
        <v>46218.49</v>
      </c>
    </row>
    <row r="7983" spans="2:7" x14ac:dyDescent="0.2">
      <c r="B7983" s="32">
        <v>46037</v>
      </c>
      <c r="C7983" t="s">
        <v>110</v>
      </c>
      <c r="D7983" s="13" t="s">
        <v>633</v>
      </c>
      <c r="E7983" t="s">
        <v>195</v>
      </c>
      <c r="F7983" s="11">
        <v>1</v>
      </c>
      <c r="G7983" s="11">
        <v>46218.49</v>
      </c>
    </row>
    <row r="7984" spans="2:7" x14ac:dyDescent="0.2">
      <c r="B7984" s="32">
        <v>46037</v>
      </c>
      <c r="C7984" t="s">
        <v>110</v>
      </c>
      <c r="D7984" s="13" t="s">
        <v>633</v>
      </c>
      <c r="E7984" t="s">
        <v>151</v>
      </c>
      <c r="F7984" s="11">
        <v>1</v>
      </c>
      <c r="G7984" s="11">
        <v>46218.48</v>
      </c>
    </row>
    <row r="7985" spans="2:7" x14ac:dyDescent="0.2">
      <c r="B7985" s="32">
        <v>46037</v>
      </c>
      <c r="C7985" t="s">
        <v>110</v>
      </c>
      <c r="D7985" s="13" t="s">
        <v>633</v>
      </c>
      <c r="E7985" t="s">
        <v>202</v>
      </c>
      <c r="F7985" s="11">
        <v>1</v>
      </c>
      <c r="G7985" s="11">
        <v>46218.48</v>
      </c>
    </row>
    <row r="7986" spans="2:7" x14ac:dyDescent="0.2">
      <c r="B7986" s="32">
        <v>46037</v>
      </c>
      <c r="C7986" t="s">
        <v>110</v>
      </c>
      <c r="D7986" s="13" t="s">
        <v>633</v>
      </c>
      <c r="E7986" t="s">
        <v>466</v>
      </c>
      <c r="F7986" s="11">
        <v>1</v>
      </c>
      <c r="G7986" s="11">
        <v>37815.129999999997</v>
      </c>
    </row>
    <row r="7987" spans="2:7" x14ac:dyDescent="0.2">
      <c r="B7987" s="32">
        <v>46037</v>
      </c>
      <c r="C7987" t="s">
        <v>109</v>
      </c>
      <c r="D7987" s="13"/>
      <c r="E7987" t="s">
        <v>209</v>
      </c>
      <c r="F7987" s="11">
        <v>1</v>
      </c>
      <c r="G7987" s="11">
        <v>16806.72</v>
      </c>
    </row>
    <row r="7988" spans="2:7" x14ac:dyDescent="0.2">
      <c r="B7988" s="32">
        <v>46037</v>
      </c>
      <c r="C7988" t="s">
        <v>109</v>
      </c>
      <c r="D7988" s="13" t="s">
        <v>634</v>
      </c>
      <c r="E7988" t="s">
        <v>144</v>
      </c>
      <c r="F7988" s="11">
        <v>5</v>
      </c>
      <c r="G7988" s="11">
        <v>156302.51999999999</v>
      </c>
    </row>
    <row r="7989" spans="2:7" x14ac:dyDescent="0.2">
      <c r="B7989" s="32">
        <v>46037</v>
      </c>
      <c r="C7989" t="s">
        <v>109</v>
      </c>
      <c r="D7989" s="13" t="s">
        <v>634</v>
      </c>
      <c r="E7989" t="s">
        <v>145</v>
      </c>
      <c r="F7989" s="11">
        <v>4</v>
      </c>
      <c r="G7989" s="11">
        <v>117647.05</v>
      </c>
    </row>
    <row r="7990" spans="2:7" x14ac:dyDescent="0.2">
      <c r="B7990" s="32">
        <v>46037</v>
      </c>
      <c r="C7990" t="s">
        <v>109</v>
      </c>
      <c r="D7990" s="13" t="s">
        <v>634</v>
      </c>
      <c r="E7990" t="s">
        <v>249</v>
      </c>
      <c r="F7990" s="11">
        <v>1</v>
      </c>
      <c r="G7990" s="11">
        <v>79831.929999999993</v>
      </c>
    </row>
    <row r="7991" spans="2:7" x14ac:dyDescent="0.2">
      <c r="B7991" s="32">
        <v>46037</v>
      </c>
      <c r="C7991" t="s">
        <v>109</v>
      </c>
      <c r="D7991" s="13" t="s">
        <v>634</v>
      </c>
      <c r="E7991" t="s">
        <v>199</v>
      </c>
      <c r="F7991" s="11">
        <v>1</v>
      </c>
      <c r="G7991" s="11">
        <v>75630.25</v>
      </c>
    </row>
    <row r="7992" spans="2:7" x14ac:dyDescent="0.2">
      <c r="B7992" s="32">
        <v>46037</v>
      </c>
      <c r="C7992" t="s">
        <v>109</v>
      </c>
      <c r="D7992" s="13" t="s">
        <v>634</v>
      </c>
      <c r="E7992" t="s">
        <v>160</v>
      </c>
      <c r="F7992" s="11">
        <v>1</v>
      </c>
      <c r="G7992" s="11">
        <v>46218.49</v>
      </c>
    </row>
    <row r="7993" spans="2:7" x14ac:dyDescent="0.2">
      <c r="B7993" s="32">
        <v>46037</v>
      </c>
      <c r="C7993" t="s">
        <v>109</v>
      </c>
      <c r="D7993" s="13" t="s">
        <v>634</v>
      </c>
      <c r="E7993" t="s">
        <v>161</v>
      </c>
      <c r="F7993" s="11">
        <v>1</v>
      </c>
      <c r="G7993" s="11">
        <v>42016.800000000003</v>
      </c>
    </row>
    <row r="7994" spans="2:7" x14ac:dyDescent="0.2">
      <c r="B7994" s="32">
        <v>46037</v>
      </c>
      <c r="C7994" t="s">
        <v>109</v>
      </c>
      <c r="D7994" s="13" t="s">
        <v>633</v>
      </c>
      <c r="E7994" t="s">
        <v>639</v>
      </c>
      <c r="F7994" s="11">
        <v>2</v>
      </c>
      <c r="G7994" s="11">
        <v>198000</v>
      </c>
    </row>
    <row r="7995" spans="2:7" x14ac:dyDescent="0.2">
      <c r="B7995" s="32">
        <v>46037</v>
      </c>
      <c r="C7995" t="s">
        <v>109</v>
      </c>
      <c r="D7995" s="13" t="s">
        <v>633</v>
      </c>
      <c r="E7995" t="s">
        <v>234</v>
      </c>
      <c r="F7995" s="11">
        <v>2</v>
      </c>
      <c r="G7995" s="11">
        <v>75630.25</v>
      </c>
    </row>
    <row r="7996" spans="2:7" x14ac:dyDescent="0.2">
      <c r="B7996" s="32">
        <v>46037</v>
      </c>
      <c r="C7996" t="s">
        <v>109</v>
      </c>
      <c r="D7996" s="13" t="s">
        <v>633</v>
      </c>
      <c r="E7996" t="s">
        <v>145</v>
      </c>
      <c r="F7996" s="11">
        <v>2</v>
      </c>
      <c r="G7996" s="11">
        <v>58823.53</v>
      </c>
    </row>
    <row r="7997" spans="2:7" x14ac:dyDescent="0.2">
      <c r="B7997" s="32">
        <v>46037</v>
      </c>
      <c r="C7997" t="s">
        <v>109</v>
      </c>
      <c r="D7997" s="13" t="s">
        <v>633</v>
      </c>
      <c r="E7997" t="s">
        <v>198</v>
      </c>
      <c r="F7997" s="11">
        <v>1</v>
      </c>
      <c r="G7997" s="11">
        <v>46218.49</v>
      </c>
    </row>
    <row r="7998" spans="2:7" x14ac:dyDescent="0.2">
      <c r="B7998" s="32">
        <v>46037</v>
      </c>
      <c r="C7998" t="s">
        <v>109</v>
      </c>
      <c r="D7998" s="13" t="s">
        <v>633</v>
      </c>
      <c r="E7998" t="s">
        <v>260</v>
      </c>
      <c r="F7998" s="11">
        <v>1</v>
      </c>
      <c r="G7998" s="11">
        <v>46218.49</v>
      </c>
    </row>
    <row r="7999" spans="2:7" x14ac:dyDescent="0.2">
      <c r="B7999" s="32">
        <v>46037</v>
      </c>
      <c r="C7999" t="s">
        <v>109</v>
      </c>
      <c r="D7999" s="13" t="s">
        <v>633</v>
      </c>
      <c r="E7999" t="s">
        <v>265</v>
      </c>
      <c r="F7999" s="11">
        <v>1</v>
      </c>
      <c r="G7999" s="11">
        <v>46218.49</v>
      </c>
    </row>
    <row r="8000" spans="2:7" x14ac:dyDescent="0.2">
      <c r="B8000" s="32">
        <v>46037</v>
      </c>
      <c r="C8000" t="s">
        <v>109</v>
      </c>
      <c r="D8000" s="13" t="s">
        <v>633</v>
      </c>
      <c r="E8000" t="s">
        <v>166</v>
      </c>
      <c r="F8000" s="11">
        <v>1</v>
      </c>
      <c r="G8000" s="11">
        <v>42016.81</v>
      </c>
    </row>
    <row r="8001" spans="2:7" x14ac:dyDescent="0.2">
      <c r="B8001" s="32">
        <v>46037</v>
      </c>
      <c r="C8001" t="s">
        <v>109</v>
      </c>
      <c r="D8001" s="13" t="s">
        <v>633</v>
      </c>
      <c r="E8001" t="s">
        <v>662</v>
      </c>
      <c r="F8001" s="11">
        <v>1</v>
      </c>
      <c r="G8001" s="11">
        <v>37815.129999999997</v>
      </c>
    </row>
    <row r="8002" spans="2:7" x14ac:dyDescent="0.2">
      <c r="B8002" s="32">
        <v>46037</v>
      </c>
      <c r="C8002" t="s">
        <v>109</v>
      </c>
      <c r="D8002" s="13" t="s">
        <v>633</v>
      </c>
      <c r="E8002" t="s">
        <v>193</v>
      </c>
      <c r="F8002" s="11">
        <v>1</v>
      </c>
      <c r="G8002" s="11">
        <v>37815.129999999997</v>
      </c>
    </row>
    <row r="8003" spans="2:7" x14ac:dyDescent="0.2">
      <c r="B8003" s="32">
        <v>46037</v>
      </c>
      <c r="C8003" t="s">
        <v>109</v>
      </c>
      <c r="D8003" s="13" t="s">
        <v>633</v>
      </c>
      <c r="E8003" t="s">
        <v>182</v>
      </c>
      <c r="F8003" s="11">
        <v>1</v>
      </c>
      <c r="G8003" s="11">
        <v>29411.77</v>
      </c>
    </row>
    <row r="8004" spans="2:7" x14ac:dyDescent="0.2">
      <c r="B8004" s="32">
        <v>46037</v>
      </c>
      <c r="C8004" t="s">
        <v>109</v>
      </c>
      <c r="D8004" s="13" t="s">
        <v>633</v>
      </c>
      <c r="E8004" t="s">
        <v>456</v>
      </c>
      <c r="F8004" s="11">
        <v>1</v>
      </c>
      <c r="G8004" s="11">
        <v>16806.72</v>
      </c>
    </row>
    <row r="8005" spans="2:7" x14ac:dyDescent="0.2">
      <c r="B8005" s="32">
        <v>46038</v>
      </c>
      <c r="C8005" t="s">
        <v>142</v>
      </c>
      <c r="D8005" s="13" t="s">
        <v>634</v>
      </c>
      <c r="E8005" t="s">
        <v>163</v>
      </c>
      <c r="F8005" s="11">
        <v>1</v>
      </c>
      <c r="G8005" s="11">
        <v>84033.61</v>
      </c>
    </row>
    <row r="8006" spans="2:7" x14ac:dyDescent="0.2">
      <c r="B8006" s="32">
        <v>46038</v>
      </c>
      <c r="C8006" t="s">
        <v>142</v>
      </c>
      <c r="D8006" s="13" t="s">
        <v>634</v>
      </c>
      <c r="E8006" t="s">
        <v>165</v>
      </c>
      <c r="F8006" s="11">
        <v>1</v>
      </c>
      <c r="G8006" s="11">
        <v>58823.53</v>
      </c>
    </row>
    <row r="8007" spans="2:7" x14ac:dyDescent="0.2">
      <c r="B8007" s="32">
        <v>46038</v>
      </c>
      <c r="C8007" t="s">
        <v>142</v>
      </c>
      <c r="D8007" s="13" t="s">
        <v>634</v>
      </c>
      <c r="E8007" t="s">
        <v>311</v>
      </c>
      <c r="F8007" s="11">
        <v>1</v>
      </c>
      <c r="G8007" s="11">
        <v>54621.85</v>
      </c>
    </row>
    <row r="8008" spans="2:7" x14ac:dyDescent="0.2">
      <c r="B8008" s="32">
        <v>46038</v>
      </c>
      <c r="C8008" t="s">
        <v>142</v>
      </c>
      <c r="D8008" s="13" t="s">
        <v>634</v>
      </c>
      <c r="E8008" t="s">
        <v>292</v>
      </c>
      <c r="F8008" s="11">
        <v>1</v>
      </c>
      <c r="G8008" s="11">
        <v>54621.85</v>
      </c>
    </row>
    <row r="8009" spans="2:7" x14ac:dyDescent="0.2">
      <c r="B8009" s="32">
        <v>46038</v>
      </c>
      <c r="C8009" t="s">
        <v>142</v>
      </c>
      <c r="D8009" s="13" t="s">
        <v>634</v>
      </c>
      <c r="E8009" t="s">
        <v>228</v>
      </c>
      <c r="F8009" s="11">
        <v>1</v>
      </c>
      <c r="G8009" s="11">
        <v>54621.85</v>
      </c>
    </row>
    <row r="8010" spans="2:7" x14ac:dyDescent="0.2">
      <c r="B8010" s="32">
        <v>46038</v>
      </c>
      <c r="C8010" t="s">
        <v>142</v>
      </c>
      <c r="D8010" s="13" t="s">
        <v>634</v>
      </c>
      <c r="E8010" t="s">
        <v>283</v>
      </c>
      <c r="F8010" s="11">
        <v>1</v>
      </c>
      <c r="G8010" s="11">
        <v>54621.85</v>
      </c>
    </row>
    <row r="8011" spans="2:7" x14ac:dyDescent="0.2">
      <c r="B8011" s="32">
        <v>46038</v>
      </c>
      <c r="C8011" t="s">
        <v>142</v>
      </c>
      <c r="D8011" s="13" t="s">
        <v>634</v>
      </c>
      <c r="E8011" t="s">
        <v>280</v>
      </c>
      <c r="F8011" s="11">
        <v>1</v>
      </c>
      <c r="G8011" s="11">
        <v>54621.85</v>
      </c>
    </row>
    <row r="8012" spans="2:7" x14ac:dyDescent="0.2">
      <c r="B8012" s="32">
        <v>46038</v>
      </c>
      <c r="C8012" t="s">
        <v>142</v>
      </c>
      <c r="D8012" s="13" t="s">
        <v>634</v>
      </c>
      <c r="E8012" t="s">
        <v>222</v>
      </c>
      <c r="F8012" s="11">
        <v>1</v>
      </c>
      <c r="G8012" s="11">
        <v>54621.85</v>
      </c>
    </row>
    <row r="8013" spans="2:7" x14ac:dyDescent="0.2">
      <c r="B8013" s="32">
        <v>46038</v>
      </c>
      <c r="C8013" t="s">
        <v>142</v>
      </c>
      <c r="D8013" s="13" t="s">
        <v>634</v>
      </c>
      <c r="E8013" t="s">
        <v>243</v>
      </c>
      <c r="F8013" s="11">
        <v>1</v>
      </c>
      <c r="G8013" s="11">
        <v>54621.84</v>
      </c>
    </row>
    <row r="8014" spans="2:7" x14ac:dyDescent="0.2">
      <c r="B8014" s="32">
        <v>46038</v>
      </c>
      <c r="C8014" t="s">
        <v>142</v>
      </c>
      <c r="D8014" s="13" t="s">
        <v>634</v>
      </c>
      <c r="F8014" s="11">
        <v>0</v>
      </c>
      <c r="G8014" s="11">
        <v>0</v>
      </c>
    </row>
    <row r="8015" spans="2:7" x14ac:dyDescent="0.2">
      <c r="B8015" s="32">
        <v>46038</v>
      </c>
      <c r="C8015" t="s">
        <v>142</v>
      </c>
      <c r="D8015" s="13" t="s">
        <v>633</v>
      </c>
      <c r="E8015" t="s">
        <v>194</v>
      </c>
      <c r="F8015" s="11">
        <v>1</v>
      </c>
      <c r="G8015" s="11">
        <v>100840.34</v>
      </c>
    </row>
    <row r="8016" spans="2:7" x14ac:dyDescent="0.2">
      <c r="B8016" s="32">
        <v>46038</v>
      </c>
      <c r="C8016" t="s">
        <v>142</v>
      </c>
      <c r="D8016" s="13" t="s">
        <v>633</v>
      </c>
      <c r="E8016" t="s">
        <v>685</v>
      </c>
      <c r="F8016" s="11">
        <v>1</v>
      </c>
      <c r="G8016" s="11">
        <v>63025.21</v>
      </c>
    </row>
    <row r="8017" spans="2:7" x14ac:dyDescent="0.2">
      <c r="B8017" s="32">
        <v>46038</v>
      </c>
      <c r="C8017" t="s">
        <v>142</v>
      </c>
      <c r="D8017" s="13" t="s">
        <v>633</v>
      </c>
      <c r="F8017" s="11">
        <v>0</v>
      </c>
      <c r="G8017" s="11">
        <v>0</v>
      </c>
    </row>
    <row r="8018" spans="2:7" x14ac:dyDescent="0.2">
      <c r="B8018" s="32">
        <v>46038</v>
      </c>
      <c r="C8018" t="s">
        <v>109</v>
      </c>
      <c r="D8018" s="13" t="s">
        <v>634</v>
      </c>
      <c r="E8018" t="s">
        <v>197</v>
      </c>
      <c r="F8018" s="11">
        <v>2</v>
      </c>
      <c r="G8018" s="11">
        <v>155462.19</v>
      </c>
    </row>
    <row r="8019" spans="2:7" x14ac:dyDescent="0.2">
      <c r="B8019" s="32">
        <v>46038</v>
      </c>
      <c r="C8019" t="s">
        <v>109</v>
      </c>
      <c r="D8019" s="13" t="s">
        <v>634</v>
      </c>
      <c r="E8019" t="s">
        <v>154</v>
      </c>
      <c r="F8019" s="11">
        <v>1</v>
      </c>
      <c r="G8019" s="11">
        <v>100840.34</v>
      </c>
    </row>
    <row r="8020" spans="2:7" x14ac:dyDescent="0.2">
      <c r="B8020" s="32">
        <v>46038</v>
      </c>
      <c r="C8020" t="s">
        <v>109</v>
      </c>
      <c r="D8020" s="13" t="s">
        <v>634</v>
      </c>
      <c r="E8020" t="s">
        <v>181</v>
      </c>
      <c r="F8020" s="11">
        <v>1</v>
      </c>
      <c r="G8020" s="11">
        <v>84033.61</v>
      </c>
    </row>
    <row r="8021" spans="2:7" x14ac:dyDescent="0.2">
      <c r="B8021" s="32">
        <v>46038</v>
      </c>
      <c r="C8021" t="s">
        <v>109</v>
      </c>
      <c r="D8021" s="13" t="s">
        <v>634</v>
      </c>
      <c r="E8021" t="s">
        <v>251</v>
      </c>
      <c r="F8021" s="11">
        <v>1</v>
      </c>
      <c r="G8021" s="11">
        <v>58823.53</v>
      </c>
    </row>
    <row r="8022" spans="2:7" x14ac:dyDescent="0.2">
      <c r="B8022" s="32">
        <v>46038</v>
      </c>
      <c r="C8022" t="s">
        <v>109</v>
      </c>
      <c r="D8022" s="13" t="s">
        <v>634</v>
      </c>
      <c r="E8022" t="s">
        <v>145</v>
      </c>
      <c r="F8022" s="11">
        <v>2</v>
      </c>
      <c r="G8022" s="11">
        <v>58823.519999999997</v>
      </c>
    </row>
    <row r="8023" spans="2:7" x14ac:dyDescent="0.2">
      <c r="B8023" s="32">
        <v>46038</v>
      </c>
      <c r="C8023" t="s">
        <v>109</v>
      </c>
      <c r="D8023" s="13" t="s">
        <v>634</v>
      </c>
      <c r="E8023" t="s">
        <v>198</v>
      </c>
      <c r="F8023" s="11">
        <v>1</v>
      </c>
      <c r="G8023" s="11">
        <v>46218.49</v>
      </c>
    </row>
    <row r="8024" spans="2:7" x14ac:dyDescent="0.2">
      <c r="B8024" s="32">
        <v>46038</v>
      </c>
      <c r="C8024" t="s">
        <v>109</v>
      </c>
      <c r="D8024" s="13" t="s">
        <v>634</v>
      </c>
      <c r="E8024" t="s">
        <v>206</v>
      </c>
      <c r="F8024" s="11">
        <v>1</v>
      </c>
      <c r="G8024" s="11">
        <v>37815.129999999997</v>
      </c>
    </row>
    <row r="8025" spans="2:7" x14ac:dyDescent="0.2">
      <c r="B8025" s="32">
        <v>46038</v>
      </c>
      <c r="C8025" t="s">
        <v>109</v>
      </c>
      <c r="D8025" s="13" t="s">
        <v>633</v>
      </c>
      <c r="E8025" t="s">
        <v>154</v>
      </c>
      <c r="F8025" s="11">
        <v>3</v>
      </c>
      <c r="G8025" s="11">
        <v>302521.01</v>
      </c>
    </row>
    <row r="8026" spans="2:7" x14ac:dyDescent="0.2">
      <c r="B8026" s="32">
        <v>46038</v>
      </c>
      <c r="C8026" t="s">
        <v>109</v>
      </c>
      <c r="D8026" s="13" t="s">
        <v>633</v>
      </c>
      <c r="E8026" t="s">
        <v>260</v>
      </c>
      <c r="F8026" s="11">
        <v>2</v>
      </c>
      <c r="G8026" s="11">
        <v>92436.97</v>
      </c>
    </row>
    <row r="8027" spans="2:7" x14ac:dyDescent="0.2">
      <c r="B8027" s="32">
        <v>46038</v>
      </c>
      <c r="C8027" t="s">
        <v>109</v>
      </c>
      <c r="D8027" s="13" t="s">
        <v>633</v>
      </c>
      <c r="E8027" t="s">
        <v>357</v>
      </c>
      <c r="F8027" s="11">
        <v>1</v>
      </c>
      <c r="G8027" s="11">
        <v>71428.570000000007</v>
      </c>
    </row>
    <row r="8028" spans="2:7" x14ac:dyDescent="0.2">
      <c r="B8028" s="32">
        <v>46038</v>
      </c>
      <c r="C8028" t="s">
        <v>109</v>
      </c>
      <c r="D8028" s="13" t="s">
        <v>633</v>
      </c>
      <c r="E8028" t="s">
        <v>181</v>
      </c>
      <c r="F8028" s="11">
        <v>1</v>
      </c>
      <c r="G8028" s="11">
        <v>58823.53</v>
      </c>
    </row>
    <row r="8029" spans="2:7" x14ac:dyDescent="0.2">
      <c r="B8029" s="32">
        <v>46038</v>
      </c>
      <c r="C8029" t="s">
        <v>109</v>
      </c>
      <c r="D8029" s="13" t="s">
        <v>633</v>
      </c>
      <c r="E8029" t="s">
        <v>540</v>
      </c>
      <c r="F8029" s="11">
        <v>1</v>
      </c>
      <c r="G8029" s="11">
        <v>46218.49</v>
      </c>
    </row>
    <row r="8030" spans="2:7" x14ac:dyDescent="0.2">
      <c r="B8030" s="32">
        <v>46038</v>
      </c>
      <c r="C8030" t="s">
        <v>109</v>
      </c>
      <c r="D8030" s="13" t="s">
        <v>633</v>
      </c>
      <c r="E8030" t="s">
        <v>265</v>
      </c>
      <c r="F8030" s="11">
        <v>1</v>
      </c>
      <c r="G8030" s="11">
        <v>46218.49</v>
      </c>
    </row>
    <row r="8031" spans="2:7" x14ac:dyDescent="0.2">
      <c r="B8031" s="32">
        <v>46038</v>
      </c>
      <c r="C8031" t="s">
        <v>109</v>
      </c>
      <c r="D8031" s="13" t="s">
        <v>633</v>
      </c>
      <c r="E8031" t="s">
        <v>350</v>
      </c>
      <c r="F8031" s="11">
        <v>1</v>
      </c>
      <c r="G8031" s="11">
        <v>46218.49</v>
      </c>
    </row>
    <row r="8032" spans="2:7" x14ac:dyDescent="0.2">
      <c r="B8032" s="32">
        <v>46038</v>
      </c>
      <c r="C8032" t="s">
        <v>109</v>
      </c>
      <c r="D8032" s="13" t="s">
        <v>633</v>
      </c>
      <c r="E8032" t="s">
        <v>291</v>
      </c>
      <c r="F8032" s="11">
        <v>1</v>
      </c>
      <c r="G8032" s="11">
        <v>46218.48</v>
      </c>
    </row>
    <row r="8033" spans="2:7" x14ac:dyDescent="0.2">
      <c r="B8033" s="32">
        <v>46038</v>
      </c>
      <c r="C8033" t="s">
        <v>109</v>
      </c>
      <c r="D8033" s="13" t="s">
        <v>633</v>
      </c>
      <c r="E8033" t="s">
        <v>161</v>
      </c>
      <c r="F8033" s="11">
        <v>1</v>
      </c>
      <c r="G8033" s="11">
        <v>42016.81</v>
      </c>
    </row>
    <row r="8034" spans="2:7" x14ac:dyDescent="0.2">
      <c r="B8034" s="32">
        <v>46038</v>
      </c>
      <c r="C8034" t="s">
        <v>109</v>
      </c>
      <c r="D8034" s="13" t="s">
        <v>633</v>
      </c>
      <c r="E8034" t="s">
        <v>234</v>
      </c>
      <c r="F8034" s="11">
        <v>1</v>
      </c>
      <c r="G8034" s="11">
        <v>37815.129999999997</v>
      </c>
    </row>
    <row r="8035" spans="2:7" x14ac:dyDescent="0.2">
      <c r="B8035" s="32">
        <v>46038</v>
      </c>
      <c r="C8035" t="s">
        <v>109</v>
      </c>
      <c r="D8035" s="13" t="s">
        <v>633</v>
      </c>
      <c r="E8035" t="s">
        <v>145</v>
      </c>
      <c r="F8035" s="11">
        <v>1</v>
      </c>
      <c r="G8035" s="11">
        <v>29411.759999999998</v>
      </c>
    </row>
    <row r="8036" spans="2:7" x14ac:dyDescent="0.2">
      <c r="B8036" s="32">
        <v>46038</v>
      </c>
      <c r="C8036" t="s">
        <v>109</v>
      </c>
      <c r="D8036" s="13" t="s">
        <v>633</v>
      </c>
      <c r="E8036" t="s">
        <v>144</v>
      </c>
      <c r="F8036" s="11">
        <v>1</v>
      </c>
      <c r="G8036" s="11">
        <v>10084.030000000001</v>
      </c>
    </row>
    <row r="8037" spans="2:7" x14ac:dyDescent="0.2">
      <c r="B8037" s="32">
        <v>46039</v>
      </c>
      <c r="C8037" t="s">
        <v>142</v>
      </c>
      <c r="D8037" s="13" t="s">
        <v>634</v>
      </c>
      <c r="E8037" t="s">
        <v>224</v>
      </c>
      <c r="F8037" s="11">
        <v>1</v>
      </c>
      <c r="G8037" s="11">
        <v>58823.53</v>
      </c>
    </row>
    <row r="8038" spans="2:7" x14ac:dyDescent="0.2">
      <c r="B8038" s="32">
        <v>46039</v>
      </c>
      <c r="C8038" t="s">
        <v>142</v>
      </c>
      <c r="D8038" s="13" t="s">
        <v>634</v>
      </c>
      <c r="E8038" t="s">
        <v>259</v>
      </c>
      <c r="F8038" s="11">
        <v>1</v>
      </c>
      <c r="G8038" s="11">
        <v>58823.53</v>
      </c>
    </row>
    <row r="8039" spans="2:7" x14ac:dyDescent="0.2">
      <c r="B8039" s="32">
        <v>46039</v>
      </c>
      <c r="C8039" t="s">
        <v>142</v>
      </c>
      <c r="D8039" s="13" t="s">
        <v>634</v>
      </c>
      <c r="F8039" s="11">
        <v>0</v>
      </c>
      <c r="G8039" s="11">
        <v>0</v>
      </c>
    </row>
    <row r="8040" spans="2:7" x14ac:dyDescent="0.2">
      <c r="B8040" s="32">
        <v>46039</v>
      </c>
      <c r="C8040" t="s">
        <v>142</v>
      </c>
      <c r="D8040" s="13" t="s">
        <v>633</v>
      </c>
      <c r="E8040" t="s">
        <v>673</v>
      </c>
      <c r="F8040" s="11">
        <v>1</v>
      </c>
      <c r="G8040" s="11">
        <v>109243.7</v>
      </c>
    </row>
    <row r="8041" spans="2:7" x14ac:dyDescent="0.2">
      <c r="B8041" s="32">
        <v>46039</v>
      </c>
      <c r="C8041" t="s">
        <v>142</v>
      </c>
      <c r="D8041" s="13" t="s">
        <v>633</v>
      </c>
      <c r="E8041" t="s">
        <v>661</v>
      </c>
      <c r="F8041" s="11">
        <v>1</v>
      </c>
      <c r="G8041" s="11">
        <v>109243.7</v>
      </c>
    </row>
    <row r="8042" spans="2:7" x14ac:dyDescent="0.2">
      <c r="B8042" s="32">
        <v>46039</v>
      </c>
      <c r="C8042" t="s">
        <v>142</v>
      </c>
      <c r="D8042" s="13" t="s">
        <v>633</v>
      </c>
      <c r="E8042" t="s">
        <v>659</v>
      </c>
      <c r="F8042" s="11">
        <v>1</v>
      </c>
      <c r="G8042" s="11">
        <v>79831.929999999993</v>
      </c>
    </row>
    <row r="8043" spans="2:7" x14ac:dyDescent="0.2">
      <c r="B8043" s="32">
        <v>46039</v>
      </c>
      <c r="C8043" t="s">
        <v>142</v>
      </c>
      <c r="D8043" s="13" t="s">
        <v>633</v>
      </c>
      <c r="E8043" t="s">
        <v>588</v>
      </c>
      <c r="F8043" s="11">
        <v>1</v>
      </c>
      <c r="G8043" s="11">
        <v>79831.929999999993</v>
      </c>
    </row>
    <row r="8044" spans="2:7" x14ac:dyDescent="0.2">
      <c r="B8044" s="32">
        <v>46039</v>
      </c>
      <c r="C8044" t="s">
        <v>142</v>
      </c>
      <c r="D8044" s="13" t="s">
        <v>633</v>
      </c>
      <c r="E8044" t="s">
        <v>368</v>
      </c>
      <c r="F8044" s="11">
        <v>1</v>
      </c>
      <c r="G8044" s="11">
        <v>75630.25</v>
      </c>
    </row>
    <row r="8045" spans="2:7" x14ac:dyDescent="0.2">
      <c r="B8045" s="32">
        <v>46039</v>
      </c>
      <c r="C8045" t="s">
        <v>142</v>
      </c>
      <c r="D8045" s="13" t="s">
        <v>633</v>
      </c>
      <c r="E8045" t="s">
        <v>340</v>
      </c>
      <c r="F8045" s="11">
        <v>1</v>
      </c>
      <c r="G8045" s="11">
        <v>75630.25</v>
      </c>
    </row>
    <row r="8046" spans="2:7" x14ac:dyDescent="0.2">
      <c r="B8046" s="32">
        <v>46039</v>
      </c>
      <c r="C8046" t="s">
        <v>142</v>
      </c>
      <c r="D8046" s="13" t="s">
        <v>633</v>
      </c>
      <c r="E8046" t="s">
        <v>352</v>
      </c>
      <c r="F8046" s="11">
        <v>1</v>
      </c>
      <c r="G8046" s="11">
        <v>71428.570000000007</v>
      </c>
    </row>
    <row r="8047" spans="2:7" x14ac:dyDescent="0.2">
      <c r="B8047" s="32">
        <v>46039</v>
      </c>
      <c r="C8047" t="s">
        <v>142</v>
      </c>
      <c r="D8047" s="13" t="s">
        <v>633</v>
      </c>
      <c r="F8047" s="11">
        <v>1</v>
      </c>
      <c r="G8047" s="11">
        <v>67226.880000000005</v>
      </c>
    </row>
    <row r="8048" spans="2:7" x14ac:dyDescent="0.2">
      <c r="B8048" s="32">
        <v>46039</v>
      </c>
      <c r="C8048" t="s">
        <v>142</v>
      </c>
      <c r="D8048" s="13" t="s">
        <v>633</v>
      </c>
      <c r="E8048" t="s">
        <v>496</v>
      </c>
      <c r="F8048" s="11">
        <v>1</v>
      </c>
      <c r="G8048" s="11">
        <v>58823.53</v>
      </c>
    </row>
    <row r="8049" spans="2:7" x14ac:dyDescent="0.2">
      <c r="B8049" s="32">
        <v>46039</v>
      </c>
      <c r="C8049" t="s">
        <v>142</v>
      </c>
      <c r="D8049" s="13" t="s">
        <v>633</v>
      </c>
      <c r="E8049" t="s">
        <v>168</v>
      </c>
      <c r="F8049" s="11">
        <v>1</v>
      </c>
      <c r="G8049" s="11">
        <v>46218.49</v>
      </c>
    </row>
    <row r="8050" spans="2:7" x14ac:dyDescent="0.2">
      <c r="B8050" s="32">
        <v>46039</v>
      </c>
      <c r="C8050" t="s">
        <v>142</v>
      </c>
      <c r="D8050" s="13" t="s">
        <v>633</v>
      </c>
      <c r="E8050" t="s">
        <v>555</v>
      </c>
      <c r="F8050" s="11">
        <v>1</v>
      </c>
      <c r="G8050" s="11">
        <v>46218.49</v>
      </c>
    </row>
    <row r="8051" spans="2:7" x14ac:dyDescent="0.2">
      <c r="B8051" s="32">
        <v>46039</v>
      </c>
      <c r="C8051" t="s">
        <v>142</v>
      </c>
      <c r="D8051" s="13" t="s">
        <v>633</v>
      </c>
      <c r="E8051" t="s">
        <v>156</v>
      </c>
      <c r="F8051" s="11">
        <v>1</v>
      </c>
      <c r="G8051" s="11">
        <v>42016.81</v>
      </c>
    </row>
    <row r="8052" spans="2:7" x14ac:dyDescent="0.2">
      <c r="B8052" s="32">
        <v>46039</v>
      </c>
      <c r="C8052" t="s">
        <v>142</v>
      </c>
      <c r="D8052" s="13" t="s">
        <v>633</v>
      </c>
      <c r="E8052" t="s">
        <v>145</v>
      </c>
      <c r="F8052" s="11">
        <v>1</v>
      </c>
      <c r="G8052" s="11">
        <v>29411.77</v>
      </c>
    </row>
    <row r="8053" spans="2:7" x14ac:dyDescent="0.2">
      <c r="B8053" s="32">
        <v>46039</v>
      </c>
      <c r="C8053" t="s">
        <v>109</v>
      </c>
      <c r="D8053" s="13" t="s">
        <v>634</v>
      </c>
      <c r="E8053" t="s">
        <v>299</v>
      </c>
      <c r="F8053" s="11">
        <v>1</v>
      </c>
      <c r="G8053" s="11">
        <v>252100.84</v>
      </c>
    </row>
    <row r="8054" spans="2:7" x14ac:dyDescent="0.2">
      <c r="B8054" s="32">
        <v>46039</v>
      </c>
      <c r="C8054" t="s">
        <v>109</v>
      </c>
      <c r="D8054" s="13" t="s">
        <v>634</v>
      </c>
      <c r="E8054" t="s">
        <v>314</v>
      </c>
      <c r="F8054" s="11">
        <v>1</v>
      </c>
      <c r="G8054" s="11">
        <v>252100.84</v>
      </c>
    </row>
    <row r="8055" spans="2:7" x14ac:dyDescent="0.2">
      <c r="B8055" s="32">
        <v>46039</v>
      </c>
      <c r="C8055" t="s">
        <v>109</v>
      </c>
      <c r="D8055" s="13" t="s">
        <v>634</v>
      </c>
      <c r="E8055" t="s">
        <v>152</v>
      </c>
      <c r="F8055" s="11">
        <v>1</v>
      </c>
      <c r="G8055" s="11">
        <v>75630.25</v>
      </c>
    </row>
    <row r="8056" spans="2:7" x14ac:dyDescent="0.2">
      <c r="B8056" s="32">
        <v>46039</v>
      </c>
      <c r="C8056" t="s">
        <v>109</v>
      </c>
      <c r="D8056" s="13" t="s">
        <v>634</v>
      </c>
      <c r="E8056" t="s">
        <v>147</v>
      </c>
      <c r="F8056" s="11">
        <v>1</v>
      </c>
      <c r="G8056" s="11">
        <v>71428.570000000007</v>
      </c>
    </row>
    <row r="8057" spans="2:7" x14ac:dyDescent="0.2">
      <c r="B8057" s="32">
        <v>46039</v>
      </c>
      <c r="C8057" t="s">
        <v>109</v>
      </c>
      <c r="D8057" s="13" t="s">
        <v>634</v>
      </c>
      <c r="E8057" t="s">
        <v>286</v>
      </c>
      <c r="F8057" s="11">
        <v>1</v>
      </c>
      <c r="G8057" s="11">
        <v>58823.53</v>
      </c>
    </row>
    <row r="8058" spans="2:7" x14ac:dyDescent="0.2">
      <c r="B8058" s="32">
        <v>46039</v>
      </c>
      <c r="C8058" t="s">
        <v>109</v>
      </c>
      <c r="D8058" s="13" t="s">
        <v>634</v>
      </c>
      <c r="E8058" t="s">
        <v>259</v>
      </c>
      <c r="F8058" s="11">
        <v>1</v>
      </c>
      <c r="G8058" s="11">
        <v>58823.53</v>
      </c>
    </row>
    <row r="8059" spans="2:7" x14ac:dyDescent="0.2">
      <c r="B8059" s="32">
        <v>46039</v>
      </c>
      <c r="C8059" t="s">
        <v>109</v>
      </c>
      <c r="D8059" s="13" t="s">
        <v>634</v>
      </c>
      <c r="E8059" t="s">
        <v>146</v>
      </c>
      <c r="F8059" s="11">
        <v>1</v>
      </c>
      <c r="G8059" s="11">
        <v>46218.49</v>
      </c>
    </row>
    <row r="8060" spans="2:7" x14ac:dyDescent="0.2">
      <c r="B8060" s="32">
        <v>46039</v>
      </c>
      <c r="C8060" t="s">
        <v>109</v>
      </c>
      <c r="D8060" s="13" t="s">
        <v>634</v>
      </c>
      <c r="E8060" t="s">
        <v>173</v>
      </c>
      <c r="F8060" s="11">
        <v>1</v>
      </c>
      <c r="G8060" s="11">
        <v>37815.129999999997</v>
      </c>
    </row>
    <row r="8061" spans="2:7" x14ac:dyDescent="0.2">
      <c r="B8061" s="32">
        <v>46039</v>
      </c>
      <c r="C8061" t="s">
        <v>109</v>
      </c>
      <c r="D8061" s="13" t="s">
        <v>634</v>
      </c>
      <c r="E8061" t="s">
        <v>206</v>
      </c>
      <c r="F8061" s="11">
        <v>1</v>
      </c>
      <c r="G8061" s="11">
        <v>37815.129999999997</v>
      </c>
    </row>
    <row r="8062" spans="2:7" x14ac:dyDescent="0.2">
      <c r="B8062" s="32">
        <v>46039</v>
      </c>
      <c r="C8062" t="s">
        <v>109</v>
      </c>
      <c r="D8062" s="13" t="s">
        <v>634</v>
      </c>
      <c r="E8062" t="s">
        <v>234</v>
      </c>
      <c r="F8062" s="11">
        <v>1</v>
      </c>
      <c r="G8062" s="11">
        <v>37815.120000000003</v>
      </c>
    </row>
    <row r="8063" spans="2:7" x14ac:dyDescent="0.2">
      <c r="B8063" s="32">
        <v>46039</v>
      </c>
      <c r="C8063" t="s">
        <v>109</v>
      </c>
      <c r="D8063" s="13" t="s">
        <v>634</v>
      </c>
      <c r="E8063" t="s">
        <v>145</v>
      </c>
      <c r="F8063" s="11">
        <v>1</v>
      </c>
      <c r="G8063" s="11">
        <v>29411.759999999998</v>
      </c>
    </row>
    <row r="8064" spans="2:7" x14ac:dyDescent="0.2">
      <c r="B8064" s="32">
        <v>46039</v>
      </c>
      <c r="C8064" t="s">
        <v>109</v>
      </c>
      <c r="D8064" s="13" t="s">
        <v>634</v>
      </c>
      <c r="E8064" t="s">
        <v>171</v>
      </c>
      <c r="F8064" s="11">
        <v>1</v>
      </c>
      <c r="G8064" s="11">
        <v>24405.51</v>
      </c>
    </row>
    <row r="8065" spans="2:7" x14ac:dyDescent="0.2">
      <c r="B8065" s="32">
        <v>46039</v>
      </c>
      <c r="C8065" t="s">
        <v>109</v>
      </c>
      <c r="D8065" s="13" t="s">
        <v>634</v>
      </c>
      <c r="E8065" t="s">
        <v>144</v>
      </c>
      <c r="F8065" s="11">
        <v>2</v>
      </c>
      <c r="G8065" s="11">
        <v>21812.98</v>
      </c>
    </row>
    <row r="8066" spans="2:7" x14ac:dyDescent="0.2">
      <c r="B8066" s="32">
        <v>46039</v>
      </c>
      <c r="C8066" t="s">
        <v>109</v>
      </c>
      <c r="D8066" s="13" t="s">
        <v>634</v>
      </c>
      <c r="F8066" s="11">
        <v>0</v>
      </c>
      <c r="G8066" s="11">
        <v>0</v>
      </c>
    </row>
    <row r="8067" spans="2:7" x14ac:dyDescent="0.2">
      <c r="B8067" s="32">
        <v>46039</v>
      </c>
      <c r="C8067" t="s">
        <v>109</v>
      </c>
      <c r="D8067" s="13" t="s">
        <v>633</v>
      </c>
      <c r="E8067" t="s">
        <v>683</v>
      </c>
      <c r="F8067" s="11">
        <v>1</v>
      </c>
      <c r="G8067" s="11">
        <v>243697.48</v>
      </c>
    </row>
    <row r="8068" spans="2:7" x14ac:dyDescent="0.2">
      <c r="B8068" s="32">
        <v>46039</v>
      </c>
      <c r="C8068" t="s">
        <v>109</v>
      </c>
      <c r="D8068" s="13" t="s">
        <v>633</v>
      </c>
      <c r="E8068" t="s">
        <v>518</v>
      </c>
      <c r="F8068" s="11">
        <v>1</v>
      </c>
      <c r="G8068" s="11">
        <v>176470.59</v>
      </c>
    </row>
    <row r="8069" spans="2:7" x14ac:dyDescent="0.2">
      <c r="B8069" s="32">
        <v>46039</v>
      </c>
      <c r="C8069" t="s">
        <v>109</v>
      </c>
      <c r="D8069" s="13" t="s">
        <v>633</v>
      </c>
      <c r="E8069" t="s">
        <v>157</v>
      </c>
      <c r="F8069" s="11">
        <v>2</v>
      </c>
      <c r="G8069" s="11">
        <v>168067.23</v>
      </c>
    </row>
    <row r="8070" spans="2:7" x14ac:dyDescent="0.2">
      <c r="B8070" s="32">
        <v>46039</v>
      </c>
      <c r="C8070" t="s">
        <v>109</v>
      </c>
      <c r="D8070" s="13" t="s">
        <v>633</v>
      </c>
      <c r="E8070" t="s">
        <v>352</v>
      </c>
      <c r="F8070" s="11">
        <v>2</v>
      </c>
      <c r="G8070" s="11">
        <v>142857.14000000001</v>
      </c>
    </row>
    <row r="8071" spans="2:7" x14ac:dyDescent="0.2">
      <c r="B8071" s="32">
        <v>46039</v>
      </c>
      <c r="C8071" t="s">
        <v>109</v>
      </c>
      <c r="D8071" s="13" t="s">
        <v>633</v>
      </c>
      <c r="E8071" t="s">
        <v>245</v>
      </c>
      <c r="F8071" s="11">
        <v>1</v>
      </c>
      <c r="G8071" s="11">
        <v>126050.42</v>
      </c>
    </row>
    <row r="8072" spans="2:7" x14ac:dyDescent="0.2">
      <c r="B8072" s="32">
        <v>46039</v>
      </c>
      <c r="C8072" t="s">
        <v>109</v>
      </c>
      <c r="D8072" s="13" t="s">
        <v>633</v>
      </c>
      <c r="F8072" s="11">
        <v>1</v>
      </c>
      <c r="G8072" s="11">
        <v>121848.74</v>
      </c>
    </row>
    <row r="8073" spans="2:7" x14ac:dyDescent="0.2">
      <c r="B8073" s="32">
        <v>46039</v>
      </c>
      <c r="C8073" t="s">
        <v>109</v>
      </c>
      <c r="D8073" s="13" t="s">
        <v>633</v>
      </c>
      <c r="E8073" t="s">
        <v>240</v>
      </c>
      <c r="F8073" s="11">
        <v>2</v>
      </c>
      <c r="G8073" s="11">
        <v>92436.98</v>
      </c>
    </row>
    <row r="8074" spans="2:7" x14ac:dyDescent="0.2">
      <c r="B8074" s="32">
        <v>46039</v>
      </c>
      <c r="C8074" t="s">
        <v>109</v>
      </c>
      <c r="D8074" s="13" t="s">
        <v>633</v>
      </c>
      <c r="E8074" t="s">
        <v>183</v>
      </c>
      <c r="F8074" s="11">
        <v>1</v>
      </c>
      <c r="G8074" s="11">
        <v>84033.61</v>
      </c>
    </row>
    <row r="8075" spans="2:7" x14ac:dyDescent="0.2">
      <c r="B8075" s="32">
        <v>46039</v>
      </c>
      <c r="C8075" t="s">
        <v>109</v>
      </c>
      <c r="D8075" s="13" t="s">
        <v>633</v>
      </c>
      <c r="E8075" t="s">
        <v>186</v>
      </c>
      <c r="F8075" s="11">
        <v>1</v>
      </c>
      <c r="G8075" s="11">
        <v>84033.61</v>
      </c>
    </row>
    <row r="8076" spans="2:7" x14ac:dyDescent="0.2">
      <c r="B8076" s="32">
        <v>46039</v>
      </c>
      <c r="C8076" t="s">
        <v>109</v>
      </c>
      <c r="D8076" s="13" t="s">
        <v>633</v>
      </c>
      <c r="E8076" t="s">
        <v>681</v>
      </c>
      <c r="F8076" s="11">
        <v>1</v>
      </c>
      <c r="G8076" s="11">
        <v>75630.25</v>
      </c>
    </row>
    <row r="8077" spans="2:7" x14ac:dyDescent="0.2">
      <c r="B8077" s="32">
        <v>46039</v>
      </c>
      <c r="C8077" t="s">
        <v>109</v>
      </c>
      <c r="D8077" s="13" t="s">
        <v>633</v>
      </c>
      <c r="E8077" t="s">
        <v>395</v>
      </c>
      <c r="F8077" s="11">
        <v>1</v>
      </c>
      <c r="G8077" s="11">
        <v>75630.25</v>
      </c>
    </row>
    <row r="8078" spans="2:7" x14ac:dyDescent="0.2">
      <c r="B8078" s="32">
        <v>46039</v>
      </c>
      <c r="C8078" t="s">
        <v>109</v>
      </c>
      <c r="D8078" s="13" t="s">
        <v>633</v>
      </c>
      <c r="E8078" t="s">
        <v>340</v>
      </c>
      <c r="F8078" s="11">
        <v>1</v>
      </c>
      <c r="G8078" s="11">
        <v>75630.25</v>
      </c>
    </row>
    <row r="8079" spans="2:7" x14ac:dyDescent="0.2">
      <c r="B8079" s="32">
        <v>46039</v>
      </c>
      <c r="C8079" t="s">
        <v>109</v>
      </c>
      <c r="D8079" s="13" t="s">
        <v>633</v>
      </c>
      <c r="E8079" t="s">
        <v>174</v>
      </c>
      <c r="F8079" s="11">
        <v>1</v>
      </c>
      <c r="G8079" s="11">
        <v>75630.25</v>
      </c>
    </row>
    <row r="8080" spans="2:7" x14ac:dyDescent="0.2">
      <c r="B8080" s="32">
        <v>46039</v>
      </c>
      <c r="C8080" t="s">
        <v>109</v>
      </c>
      <c r="D8080" s="13" t="s">
        <v>633</v>
      </c>
      <c r="E8080" t="s">
        <v>300</v>
      </c>
      <c r="F8080" s="11">
        <v>2</v>
      </c>
      <c r="G8080" s="11">
        <v>75630.25</v>
      </c>
    </row>
    <row r="8081" spans="2:7" x14ac:dyDescent="0.2">
      <c r="B8081" s="32">
        <v>46039</v>
      </c>
      <c r="C8081" t="s">
        <v>109</v>
      </c>
      <c r="D8081" s="13" t="s">
        <v>633</v>
      </c>
      <c r="E8081" t="s">
        <v>149</v>
      </c>
      <c r="F8081" s="11">
        <v>1</v>
      </c>
      <c r="G8081" s="11">
        <v>71428.570000000007</v>
      </c>
    </row>
    <row r="8082" spans="2:7" x14ac:dyDescent="0.2">
      <c r="B8082" s="32">
        <v>46039</v>
      </c>
      <c r="C8082" t="s">
        <v>109</v>
      </c>
      <c r="D8082" s="13" t="s">
        <v>633</v>
      </c>
      <c r="E8082" t="s">
        <v>192</v>
      </c>
      <c r="F8082" s="11">
        <v>1</v>
      </c>
      <c r="G8082" s="11">
        <v>71428.570000000007</v>
      </c>
    </row>
    <row r="8083" spans="2:7" x14ac:dyDescent="0.2">
      <c r="B8083" s="32">
        <v>46039</v>
      </c>
      <c r="C8083" t="s">
        <v>109</v>
      </c>
      <c r="D8083" s="13" t="s">
        <v>633</v>
      </c>
      <c r="E8083" t="s">
        <v>336</v>
      </c>
      <c r="F8083" s="11">
        <v>1</v>
      </c>
      <c r="G8083" s="11">
        <v>71428.570000000007</v>
      </c>
    </row>
    <row r="8084" spans="2:7" x14ac:dyDescent="0.2">
      <c r="B8084" s="32">
        <v>46039</v>
      </c>
      <c r="C8084" t="s">
        <v>109</v>
      </c>
      <c r="D8084" s="13" t="s">
        <v>633</v>
      </c>
      <c r="E8084" t="s">
        <v>147</v>
      </c>
      <c r="F8084" s="11">
        <v>1</v>
      </c>
      <c r="G8084" s="11">
        <v>71428.570000000007</v>
      </c>
    </row>
    <row r="8085" spans="2:7" x14ac:dyDescent="0.2">
      <c r="B8085" s="32">
        <v>46039</v>
      </c>
      <c r="C8085" t="s">
        <v>109</v>
      </c>
      <c r="D8085" s="13" t="s">
        <v>633</v>
      </c>
      <c r="E8085" t="s">
        <v>144</v>
      </c>
      <c r="F8085" s="11">
        <v>4</v>
      </c>
      <c r="G8085" s="11">
        <v>65966.38</v>
      </c>
    </row>
    <row r="8086" spans="2:7" x14ac:dyDescent="0.2">
      <c r="B8086" s="32">
        <v>46039</v>
      </c>
      <c r="C8086" t="s">
        <v>109</v>
      </c>
      <c r="D8086" s="13" t="s">
        <v>633</v>
      </c>
      <c r="E8086" t="s">
        <v>205</v>
      </c>
      <c r="F8086" s="11">
        <v>1</v>
      </c>
      <c r="G8086" s="11">
        <v>58823.53</v>
      </c>
    </row>
    <row r="8087" spans="2:7" x14ac:dyDescent="0.2">
      <c r="B8087" s="32">
        <v>46039</v>
      </c>
      <c r="C8087" t="s">
        <v>109</v>
      </c>
      <c r="D8087" s="13" t="s">
        <v>633</v>
      </c>
      <c r="E8087" t="s">
        <v>162</v>
      </c>
      <c r="F8087" s="11">
        <v>1</v>
      </c>
      <c r="G8087" s="11">
        <v>58823.53</v>
      </c>
    </row>
    <row r="8088" spans="2:7" x14ac:dyDescent="0.2">
      <c r="B8088" s="32">
        <v>46039</v>
      </c>
      <c r="C8088" t="s">
        <v>109</v>
      </c>
      <c r="D8088" s="13" t="s">
        <v>633</v>
      </c>
      <c r="E8088" t="s">
        <v>494</v>
      </c>
      <c r="F8088" s="11">
        <v>1</v>
      </c>
      <c r="G8088" s="11">
        <v>58823.53</v>
      </c>
    </row>
    <row r="8089" spans="2:7" x14ac:dyDescent="0.2">
      <c r="B8089" s="32">
        <v>46039</v>
      </c>
      <c r="C8089" t="s">
        <v>109</v>
      </c>
      <c r="D8089" s="13" t="s">
        <v>633</v>
      </c>
      <c r="E8089" t="s">
        <v>642</v>
      </c>
      <c r="F8089" s="11">
        <v>1</v>
      </c>
      <c r="G8089" s="11">
        <v>55000</v>
      </c>
    </row>
    <row r="8090" spans="2:7" x14ac:dyDescent="0.2">
      <c r="B8090" s="32">
        <v>46039</v>
      </c>
      <c r="C8090" t="s">
        <v>109</v>
      </c>
      <c r="D8090" s="13" t="s">
        <v>633</v>
      </c>
      <c r="E8090" t="s">
        <v>212</v>
      </c>
      <c r="F8090" s="11">
        <v>1</v>
      </c>
      <c r="G8090" s="11">
        <v>54621.85</v>
      </c>
    </row>
    <row r="8091" spans="2:7" x14ac:dyDescent="0.2">
      <c r="B8091" s="32">
        <v>46039</v>
      </c>
      <c r="C8091" t="s">
        <v>109</v>
      </c>
      <c r="D8091" s="13" t="s">
        <v>633</v>
      </c>
      <c r="E8091" t="s">
        <v>260</v>
      </c>
      <c r="F8091" s="11">
        <v>1</v>
      </c>
      <c r="G8091" s="11">
        <v>46218.49</v>
      </c>
    </row>
    <row r="8092" spans="2:7" x14ac:dyDescent="0.2">
      <c r="B8092" s="32">
        <v>46039</v>
      </c>
      <c r="C8092" t="s">
        <v>109</v>
      </c>
      <c r="D8092" s="13" t="s">
        <v>633</v>
      </c>
      <c r="E8092" t="s">
        <v>239</v>
      </c>
      <c r="F8092" s="11">
        <v>1</v>
      </c>
      <c r="G8092" s="11">
        <v>46218.49</v>
      </c>
    </row>
    <row r="8093" spans="2:7" x14ac:dyDescent="0.2">
      <c r="B8093" s="32">
        <v>46039</v>
      </c>
      <c r="C8093" t="s">
        <v>109</v>
      </c>
      <c r="D8093" s="13" t="s">
        <v>633</v>
      </c>
      <c r="E8093" t="s">
        <v>150</v>
      </c>
      <c r="F8093" s="11">
        <v>1</v>
      </c>
      <c r="G8093" s="11">
        <v>46218.49</v>
      </c>
    </row>
    <row r="8094" spans="2:7" x14ac:dyDescent="0.2">
      <c r="B8094" s="32">
        <v>46039</v>
      </c>
      <c r="C8094" t="s">
        <v>109</v>
      </c>
      <c r="D8094" s="13" t="s">
        <v>633</v>
      </c>
      <c r="E8094" t="s">
        <v>241</v>
      </c>
      <c r="F8094" s="11">
        <v>1</v>
      </c>
      <c r="G8094" s="11">
        <v>46218.49</v>
      </c>
    </row>
    <row r="8095" spans="2:7" x14ac:dyDescent="0.2">
      <c r="B8095" s="32">
        <v>46039</v>
      </c>
      <c r="C8095" t="s">
        <v>109</v>
      </c>
      <c r="D8095" s="13" t="s">
        <v>633</v>
      </c>
      <c r="E8095" t="s">
        <v>153</v>
      </c>
      <c r="F8095" s="11">
        <v>1</v>
      </c>
      <c r="G8095" s="11">
        <v>46218.49</v>
      </c>
    </row>
    <row r="8096" spans="2:7" x14ac:dyDescent="0.2">
      <c r="B8096" s="32">
        <v>46039</v>
      </c>
      <c r="C8096" t="s">
        <v>109</v>
      </c>
      <c r="D8096" s="13" t="s">
        <v>633</v>
      </c>
      <c r="E8096" t="s">
        <v>248</v>
      </c>
      <c r="F8096" s="11">
        <v>1</v>
      </c>
      <c r="G8096" s="11">
        <v>37815.129999999997</v>
      </c>
    </row>
    <row r="8097" spans="2:7" x14ac:dyDescent="0.2">
      <c r="B8097" s="32">
        <v>46039</v>
      </c>
      <c r="C8097" t="s">
        <v>109</v>
      </c>
      <c r="D8097" s="13" t="s">
        <v>633</v>
      </c>
      <c r="E8097" t="s">
        <v>356</v>
      </c>
      <c r="F8097" s="11">
        <v>1</v>
      </c>
      <c r="G8097" s="11">
        <v>37815.120000000003</v>
      </c>
    </row>
    <row r="8098" spans="2:7" x14ac:dyDescent="0.2">
      <c r="B8098" s="32">
        <v>46040</v>
      </c>
      <c r="C8098" t="s">
        <v>142</v>
      </c>
      <c r="D8098" s="13" t="s">
        <v>634</v>
      </c>
      <c r="E8098" t="s">
        <v>242</v>
      </c>
      <c r="F8098" s="11">
        <v>1</v>
      </c>
      <c r="G8098" s="11">
        <v>130252.1</v>
      </c>
    </row>
    <row r="8099" spans="2:7" x14ac:dyDescent="0.2">
      <c r="B8099" s="32">
        <v>46040</v>
      </c>
      <c r="C8099" t="s">
        <v>142</v>
      </c>
      <c r="D8099" s="13" t="s">
        <v>634</v>
      </c>
      <c r="E8099" t="s">
        <v>163</v>
      </c>
      <c r="F8099" s="11">
        <v>2</v>
      </c>
      <c r="G8099" s="11">
        <v>117647.06</v>
      </c>
    </row>
    <row r="8100" spans="2:7" x14ac:dyDescent="0.2">
      <c r="B8100" s="32">
        <v>46040</v>
      </c>
      <c r="C8100" t="s">
        <v>142</v>
      </c>
      <c r="D8100" s="13" t="s">
        <v>634</v>
      </c>
      <c r="E8100" t="s">
        <v>176</v>
      </c>
      <c r="F8100" s="11">
        <v>1</v>
      </c>
      <c r="G8100" s="11">
        <v>58823.53</v>
      </c>
    </row>
    <row r="8101" spans="2:7" x14ac:dyDescent="0.2">
      <c r="B8101" s="32">
        <v>46040</v>
      </c>
      <c r="C8101" t="s">
        <v>142</v>
      </c>
      <c r="D8101" s="13" t="s">
        <v>634</v>
      </c>
      <c r="E8101" t="s">
        <v>293</v>
      </c>
      <c r="F8101" s="11">
        <v>1</v>
      </c>
      <c r="G8101" s="11">
        <v>45000</v>
      </c>
    </row>
    <row r="8102" spans="2:7" x14ac:dyDescent="0.2">
      <c r="B8102" s="32">
        <v>46040</v>
      </c>
      <c r="C8102" t="s">
        <v>142</v>
      </c>
      <c r="D8102" s="13" t="s">
        <v>634</v>
      </c>
      <c r="F8102" s="11">
        <v>0</v>
      </c>
      <c r="G8102" s="11">
        <v>0</v>
      </c>
    </row>
    <row r="8103" spans="2:7" x14ac:dyDescent="0.2">
      <c r="B8103" s="32">
        <v>46040</v>
      </c>
      <c r="C8103" t="s">
        <v>142</v>
      </c>
      <c r="D8103" s="13" t="s">
        <v>633</v>
      </c>
      <c r="E8103" t="s">
        <v>202</v>
      </c>
      <c r="F8103" s="11">
        <v>1</v>
      </c>
      <c r="G8103" s="11">
        <v>46218.49</v>
      </c>
    </row>
    <row r="8104" spans="2:7" x14ac:dyDescent="0.2">
      <c r="B8104" s="32">
        <v>46040</v>
      </c>
      <c r="C8104" t="s">
        <v>142</v>
      </c>
      <c r="D8104" s="13" t="s">
        <v>633</v>
      </c>
      <c r="F8104" s="11">
        <v>0</v>
      </c>
      <c r="G8104" s="11">
        <v>0</v>
      </c>
    </row>
    <row r="8105" spans="2:7" x14ac:dyDescent="0.2">
      <c r="B8105" s="32">
        <v>46040</v>
      </c>
      <c r="C8105" t="s">
        <v>109</v>
      </c>
      <c r="D8105" s="13" t="s">
        <v>634</v>
      </c>
      <c r="E8105" t="s">
        <v>159</v>
      </c>
      <c r="F8105" s="11">
        <v>1</v>
      </c>
      <c r="G8105" s="11">
        <v>243697.48</v>
      </c>
    </row>
    <row r="8106" spans="2:7" x14ac:dyDescent="0.2">
      <c r="B8106" s="32">
        <v>46040</v>
      </c>
      <c r="C8106" t="s">
        <v>109</v>
      </c>
      <c r="D8106" s="13" t="s">
        <v>634</v>
      </c>
      <c r="E8106" t="s">
        <v>268</v>
      </c>
      <c r="F8106" s="11">
        <v>1</v>
      </c>
      <c r="G8106" s="11">
        <v>130252.1</v>
      </c>
    </row>
    <row r="8107" spans="2:7" x14ac:dyDescent="0.2">
      <c r="B8107" s="32">
        <v>46040</v>
      </c>
      <c r="C8107" t="s">
        <v>109</v>
      </c>
      <c r="D8107" s="13" t="s">
        <v>634</v>
      </c>
      <c r="E8107" t="s">
        <v>149</v>
      </c>
      <c r="F8107" s="11">
        <v>1</v>
      </c>
      <c r="G8107" s="11">
        <v>71428.58</v>
      </c>
    </row>
    <row r="8108" spans="2:7" x14ac:dyDescent="0.2">
      <c r="B8108" s="32">
        <v>46040</v>
      </c>
      <c r="C8108" t="s">
        <v>109</v>
      </c>
      <c r="D8108" s="13" t="s">
        <v>634</v>
      </c>
      <c r="E8108" t="s">
        <v>147</v>
      </c>
      <c r="F8108" s="11">
        <v>1</v>
      </c>
      <c r="G8108" s="11">
        <v>71428.570000000007</v>
      </c>
    </row>
    <row r="8109" spans="2:7" x14ac:dyDescent="0.2">
      <c r="B8109" s="32">
        <v>46040</v>
      </c>
      <c r="C8109" t="s">
        <v>109</v>
      </c>
      <c r="D8109" s="13" t="s">
        <v>634</v>
      </c>
      <c r="E8109" t="s">
        <v>146</v>
      </c>
      <c r="F8109" s="11">
        <v>1</v>
      </c>
      <c r="G8109" s="11">
        <v>46218.49</v>
      </c>
    </row>
    <row r="8110" spans="2:7" x14ac:dyDescent="0.2">
      <c r="B8110" s="32">
        <v>46040</v>
      </c>
      <c r="C8110" t="s">
        <v>109</v>
      </c>
      <c r="D8110" s="13" t="s">
        <v>634</v>
      </c>
      <c r="E8110" t="s">
        <v>203</v>
      </c>
      <c r="F8110" s="11">
        <v>1</v>
      </c>
      <c r="G8110" s="11">
        <v>42016.81</v>
      </c>
    </row>
    <row r="8111" spans="2:7" x14ac:dyDescent="0.2">
      <c r="B8111" s="32">
        <v>46040</v>
      </c>
      <c r="C8111" t="s">
        <v>109</v>
      </c>
      <c r="D8111" s="13" t="s">
        <v>634</v>
      </c>
      <c r="E8111" t="s">
        <v>171</v>
      </c>
      <c r="F8111" s="11">
        <v>1</v>
      </c>
      <c r="G8111" s="11">
        <v>29411.759999999998</v>
      </c>
    </row>
    <row r="8112" spans="2:7" x14ac:dyDescent="0.2">
      <c r="B8112" s="32">
        <v>46040</v>
      </c>
      <c r="C8112" t="s">
        <v>109</v>
      </c>
      <c r="D8112" s="13" t="s">
        <v>634</v>
      </c>
      <c r="F8112" s="11">
        <v>0</v>
      </c>
      <c r="G8112" s="11">
        <v>0</v>
      </c>
    </row>
    <row r="8113" spans="2:7" x14ac:dyDescent="0.2">
      <c r="B8113" s="32">
        <v>46040</v>
      </c>
      <c r="C8113" t="s">
        <v>109</v>
      </c>
      <c r="D8113" s="13" t="s">
        <v>633</v>
      </c>
      <c r="E8113" t="s">
        <v>144</v>
      </c>
      <c r="F8113" s="11">
        <v>3</v>
      </c>
      <c r="G8113" s="11">
        <v>151260.5</v>
      </c>
    </row>
    <row r="8114" spans="2:7" x14ac:dyDescent="0.2">
      <c r="B8114" s="32">
        <v>46040</v>
      </c>
      <c r="C8114" t="s">
        <v>109</v>
      </c>
      <c r="D8114" s="13" t="s">
        <v>633</v>
      </c>
      <c r="E8114" t="s">
        <v>352</v>
      </c>
      <c r="F8114" s="11">
        <v>1</v>
      </c>
      <c r="G8114" s="11">
        <v>71428.570000000007</v>
      </c>
    </row>
    <row r="8115" spans="2:7" x14ac:dyDescent="0.2">
      <c r="B8115" s="32">
        <v>46040</v>
      </c>
      <c r="C8115" t="s">
        <v>109</v>
      </c>
      <c r="D8115" s="13" t="s">
        <v>633</v>
      </c>
      <c r="E8115" t="s">
        <v>225</v>
      </c>
      <c r="F8115" s="11">
        <v>1</v>
      </c>
      <c r="G8115" s="11">
        <v>46218.49</v>
      </c>
    </row>
    <row r="8116" spans="2:7" x14ac:dyDescent="0.2">
      <c r="B8116" s="32">
        <v>46040</v>
      </c>
      <c r="C8116" t="s">
        <v>109</v>
      </c>
      <c r="D8116" s="13" t="s">
        <v>633</v>
      </c>
      <c r="E8116" t="s">
        <v>240</v>
      </c>
      <c r="F8116" s="11">
        <v>1</v>
      </c>
      <c r="G8116" s="11">
        <v>46218.49</v>
      </c>
    </row>
    <row r="8117" spans="2:7" x14ac:dyDescent="0.2">
      <c r="B8117" s="32">
        <v>46041</v>
      </c>
      <c r="C8117" t="s">
        <v>108</v>
      </c>
      <c r="D8117" s="13" t="s">
        <v>633</v>
      </c>
      <c r="E8117" t="s">
        <v>554</v>
      </c>
      <c r="F8117" s="11">
        <v>1</v>
      </c>
      <c r="G8117" s="11">
        <v>285714.28999999998</v>
      </c>
    </row>
    <row r="8118" spans="2:7" x14ac:dyDescent="0.2">
      <c r="B8118" s="32">
        <v>46041</v>
      </c>
      <c r="C8118" t="s">
        <v>142</v>
      </c>
      <c r="D8118" s="13" t="s">
        <v>634</v>
      </c>
      <c r="E8118" t="s">
        <v>186</v>
      </c>
      <c r="F8118" s="11">
        <v>1</v>
      </c>
      <c r="G8118" s="11">
        <v>84033.61</v>
      </c>
    </row>
    <row r="8119" spans="2:7" x14ac:dyDescent="0.2">
      <c r="B8119" s="32">
        <v>46041</v>
      </c>
      <c r="C8119" t="s">
        <v>142</v>
      </c>
      <c r="D8119" s="13" t="s">
        <v>634</v>
      </c>
      <c r="F8119" s="11">
        <v>0</v>
      </c>
      <c r="G8119" s="11">
        <v>0</v>
      </c>
    </row>
    <row r="8120" spans="2:7" x14ac:dyDescent="0.2">
      <c r="B8120" s="32">
        <v>46041</v>
      </c>
      <c r="C8120" t="s">
        <v>142</v>
      </c>
      <c r="D8120" s="13" t="s">
        <v>633</v>
      </c>
      <c r="E8120" t="s">
        <v>694</v>
      </c>
      <c r="F8120" s="11">
        <v>1</v>
      </c>
      <c r="G8120" s="11">
        <v>142857.15</v>
      </c>
    </row>
    <row r="8121" spans="2:7" x14ac:dyDescent="0.2">
      <c r="B8121" s="32">
        <v>46041</v>
      </c>
      <c r="C8121" t="s">
        <v>142</v>
      </c>
      <c r="D8121" s="13" t="s">
        <v>633</v>
      </c>
      <c r="E8121" t="s">
        <v>652</v>
      </c>
      <c r="F8121" s="11">
        <v>1</v>
      </c>
      <c r="G8121" s="11">
        <v>142857.14000000001</v>
      </c>
    </row>
    <row r="8122" spans="2:7" x14ac:dyDescent="0.2">
      <c r="B8122" s="32">
        <v>46041</v>
      </c>
      <c r="C8122" t="s">
        <v>142</v>
      </c>
      <c r="D8122" s="13" t="s">
        <v>633</v>
      </c>
      <c r="E8122" t="s">
        <v>169</v>
      </c>
      <c r="F8122" s="11">
        <v>1</v>
      </c>
      <c r="G8122" s="11">
        <v>100840.34</v>
      </c>
    </row>
    <row r="8123" spans="2:7" x14ac:dyDescent="0.2">
      <c r="B8123" s="32">
        <v>46041</v>
      </c>
      <c r="C8123" t="s">
        <v>142</v>
      </c>
      <c r="D8123" s="13" t="s">
        <v>633</v>
      </c>
      <c r="E8123" t="s">
        <v>529</v>
      </c>
      <c r="F8123" s="11">
        <v>1</v>
      </c>
      <c r="G8123" s="11">
        <v>79831.929999999993</v>
      </c>
    </row>
    <row r="8124" spans="2:7" x14ac:dyDescent="0.2">
      <c r="B8124" s="32">
        <v>46041</v>
      </c>
      <c r="C8124" t="s">
        <v>142</v>
      </c>
      <c r="D8124" s="13" t="s">
        <v>633</v>
      </c>
      <c r="E8124" t="s">
        <v>239</v>
      </c>
      <c r="F8124" s="11">
        <v>1</v>
      </c>
      <c r="G8124" s="11">
        <v>46218.49</v>
      </c>
    </row>
    <row r="8125" spans="2:7" x14ac:dyDescent="0.2">
      <c r="B8125" s="32">
        <v>46041</v>
      </c>
      <c r="C8125" t="s">
        <v>142</v>
      </c>
      <c r="D8125" s="13" t="s">
        <v>633</v>
      </c>
      <c r="F8125" s="11">
        <v>0</v>
      </c>
      <c r="G8125" s="11">
        <v>0</v>
      </c>
    </row>
    <row r="8126" spans="2:7" x14ac:dyDescent="0.2">
      <c r="B8126" s="32">
        <v>46041</v>
      </c>
      <c r="C8126" t="s">
        <v>109</v>
      </c>
      <c r="D8126" s="13"/>
      <c r="E8126" t="s">
        <v>336</v>
      </c>
      <c r="F8126" s="11">
        <v>2</v>
      </c>
      <c r="G8126" s="11">
        <v>142857.14000000001</v>
      </c>
    </row>
    <row r="8127" spans="2:7" x14ac:dyDescent="0.2">
      <c r="B8127" s="32">
        <v>46041</v>
      </c>
      <c r="C8127" t="s">
        <v>109</v>
      </c>
      <c r="D8127" s="13"/>
      <c r="E8127" t="s">
        <v>144</v>
      </c>
      <c r="F8127" s="11">
        <v>1</v>
      </c>
      <c r="G8127" s="11">
        <v>13865.55</v>
      </c>
    </row>
    <row r="8128" spans="2:7" x14ac:dyDescent="0.2">
      <c r="B8128" s="32">
        <v>46041</v>
      </c>
      <c r="C8128" t="s">
        <v>109</v>
      </c>
      <c r="D8128" s="13" t="s">
        <v>634</v>
      </c>
      <c r="E8128" t="s">
        <v>187</v>
      </c>
      <c r="F8128" s="11">
        <v>2</v>
      </c>
      <c r="G8128" s="11">
        <v>190000</v>
      </c>
    </row>
    <row r="8129" spans="2:7" x14ac:dyDescent="0.2">
      <c r="B8129" s="32">
        <v>46041</v>
      </c>
      <c r="C8129" t="s">
        <v>109</v>
      </c>
      <c r="D8129" s="13" t="s">
        <v>634</v>
      </c>
      <c r="E8129" t="s">
        <v>152</v>
      </c>
      <c r="F8129" s="11">
        <v>2</v>
      </c>
      <c r="G8129" s="11">
        <v>151260.5</v>
      </c>
    </row>
    <row r="8130" spans="2:7" x14ac:dyDescent="0.2">
      <c r="B8130" s="32">
        <v>46041</v>
      </c>
      <c r="C8130" t="s">
        <v>109</v>
      </c>
      <c r="D8130" s="13" t="s">
        <v>634</v>
      </c>
      <c r="E8130" t="s">
        <v>173</v>
      </c>
      <c r="F8130" s="11">
        <v>2</v>
      </c>
      <c r="G8130" s="11">
        <v>75630.259999999995</v>
      </c>
    </row>
    <row r="8131" spans="2:7" x14ac:dyDescent="0.2">
      <c r="B8131" s="32">
        <v>46041</v>
      </c>
      <c r="C8131" t="s">
        <v>109</v>
      </c>
      <c r="D8131" s="13" t="s">
        <v>634</v>
      </c>
      <c r="E8131" t="s">
        <v>192</v>
      </c>
      <c r="F8131" s="11">
        <v>1</v>
      </c>
      <c r="G8131" s="11">
        <v>71428.570000000007</v>
      </c>
    </row>
    <row r="8132" spans="2:7" x14ac:dyDescent="0.2">
      <c r="B8132" s="32">
        <v>46041</v>
      </c>
      <c r="C8132" t="s">
        <v>109</v>
      </c>
      <c r="D8132" s="13" t="s">
        <v>634</v>
      </c>
      <c r="E8132" t="s">
        <v>213</v>
      </c>
      <c r="F8132" s="11">
        <v>1</v>
      </c>
      <c r="G8132" s="11">
        <v>58823.53</v>
      </c>
    </row>
    <row r="8133" spans="2:7" x14ac:dyDescent="0.2">
      <c r="B8133" s="32">
        <v>46041</v>
      </c>
      <c r="C8133" t="s">
        <v>109</v>
      </c>
      <c r="D8133" s="13" t="s">
        <v>634</v>
      </c>
      <c r="E8133" t="s">
        <v>150</v>
      </c>
      <c r="F8133" s="11">
        <v>1</v>
      </c>
      <c r="G8133" s="11">
        <v>46218.49</v>
      </c>
    </row>
    <row r="8134" spans="2:7" x14ac:dyDescent="0.2">
      <c r="B8134" s="32">
        <v>46041</v>
      </c>
      <c r="C8134" t="s">
        <v>109</v>
      </c>
      <c r="D8134" s="13" t="s">
        <v>634</v>
      </c>
      <c r="E8134" t="s">
        <v>158</v>
      </c>
      <c r="F8134" s="11">
        <v>1</v>
      </c>
      <c r="G8134" s="11">
        <v>46218.49</v>
      </c>
    </row>
    <row r="8135" spans="2:7" x14ac:dyDescent="0.2">
      <c r="B8135" s="32">
        <v>46041</v>
      </c>
      <c r="C8135" t="s">
        <v>109</v>
      </c>
      <c r="D8135" s="13" t="s">
        <v>634</v>
      </c>
      <c r="E8135" t="s">
        <v>204</v>
      </c>
      <c r="F8135" s="11">
        <v>1</v>
      </c>
      <c r="G8135" s="11">
        <v>37815.129999999997</v>
      </c>
    </row>
    <row r="8136" spans="2:7" x14ac:dyDescent="0.2">
      <c r="B8136" s="32">
        <v>46041</v>
      </c>
      <c r="C8136" t="s">
        <v>109</v>
      </c>
      <c r="D8136" s="13" t="s">
        <v>634</v>
      </c>
      <c r="E8136" t="s">
        <v>322</v>
      </c>
      <c r="F8136" s="11">
        <v>1</v>
      </c>
      <c r="G8136" s="11">
        <v>33000</v>
      </c>
    </row>
    <row r="8137" spans="2:7" x14ac:dyDescent="0.2">
      <c r="B8137" s="32">
        <v>46041</v>
      </c>
      <c r="C8137" t="s">
        <v>109</v>
      </c>
      <c r="D8137" s="13" t="s">
        <v>634</v>
      </c>
      <c r="E8137" t="s">
        <v>182</v>
      </c>
      <c r="F8137" s="11">
        <v>1</v>
      </c>
      <c r="G8137" s="11">
        <v>29411.759999999998</v>
      </c>
    </row>
    <row r="8138" spans="2:7" x14ac:dyDescent="0.2">
      <c r="B8138" s="32">
        <v>46041</v>
      </c>
      <c r="C8138" t="s">
        <v>109</v>
      </c>
      <c r="D8138" s="13" t="s">
        <v>633</v>
      </c>
      <c r="E8138" t="s">
        <v>250</v>
      </c>
      <c r="F8138" s="11">
        <v>1</v>
      </c>
      <c r="G8138" s="11">
        <v>100840.34</v>
      </c>
    </row>
    <row r="8139" spans="2:7" x14ac:dyDescent="0.2">
      <c r="B8139" s="32">
        <v>46041</v>
      </c>
      <c r="C8139" t="s">
        <v>109</v>
      </c>
      <c r="D8139" s="13" t="s">
        <v>633</v>
      </c>
      <c r="E8139" t="s">
        <v>364</v>
      </c>
      <c r="F8139" s="11">
        <v>1</v>
      </c>
      <c r="G8139" s="11">
        <v>100840.34</v>
      </c>
    </row>
    <row r="8140" spans="2:7" x14ac:dyDescent="0.2">
      <c r="B8140" s="32">
        <v>46041</v>
      </c>
      <c r="C8140" t="s">
        <v>109</v>
      </c>
      <c r="D8140" s="13" t="s">
        <v>633</v>
      </c>
      <c r="E8140" t="s">
        <v>304</v>
      </c>
      <c r="F8140" s="11">
        <v>1</v>
      </c>
      <c r="G8140" s="11">
        <v>100840.34</v>
      </c>
    </row>
    <row r="8141" spans="2:7" x14ac:dyDescent="0.2">
      <c r="B8141" s="32">
        <v>46041</v>
      </c>
      <c r="C8141" t="s">
        <v>109</v>
      </c>
      <c r="D8141" s="13" t="s">
        <v>633</v>
      </c>
      <c r="E8141" t="s">
        <v>313</v>
      </c>
      <c r="F8141" s="11">
        <v>1</v>
      </c>
      <c r="G8141" s="11">
        <v>100840.33</v>
      </c>
    </row>
    <row r="8142" spans="2:7" x14ac:dyDescent="0.2">
      <c r="B8142" s="32">
        <v>46041</v>
      </c>
      <c r="C8142" t="s">
        <v>109</v>
      </c>
      <c r="D8142" s="13" t="s">
        <v>633</v>
      </c>
      <c r="E8142" t="s">
        <v>420</v>
      </c>
      <c r="F8142" s="11">
        <v>1</v>
      </c>
      <c r="G8142" s="11">
        <v>100840.33</v>
      </c>
    </row>
    <row r="8143" spans="2:7" x14ac:dyDescent="0.2">
      <c r="B8143" s="32">
        <v>46041</v>
      </c>
      <c r="C8143" t="s">
        <v>109</v>
      </c>
      <c r="D8143" s="13" t="s">
        <v>633</v>
      </c>
      <c r="E8143" t="s">
        <v>147</v>
      </c>
      <c r="F8143" s="11">
        <v>1</v>
      </c>
      <c r="G8143" s="11">
        <v>71428.570000000007</v>
      </c>
    </row>
    <row r="8144" spans="2:7" x14ac:dyDescent="0.2">
      <c r="B8144" s="32">
        <v>46041</v>
      </c>
      <c r="C8144" t="s">
        <v>109</v>
      </c>
      <c r="D8144" s="13" t="s">
        <v>633</v>
      </c>
      <c r="E8144" t="s">
        <v>642</v>
      </c>
      <c r="F8144" s="11">
        <v>1</v>
      </c>
      <c r="G8144" s="11">
        <v>55000</v>
      </c>
    </row>
    <row r="8145" spans="2:7" x14ac:dyDescent="0.2">
      <c r="B8145" s="32">
        <v>46041</v>
      </c>
      <c r="C8145" t="s">
        <v>109</v>
      </c>
      <c r="D8145" s="13" t="s">
        <v>633</v>
      </c>
      <c r="E8145" t="s">
        <v>427</v>
      </c>
      <c r="F8145" s="11">
        <v>1</v>
      </c>
      <c r="G8145" s="11">
        <v>54621.85</v>
      </c>
    </row>
    <row r="8146" spans="2:7" x14ac:dyDescent="0.2">
      <c r="B8146" s="32">
        <v>46041</v>
      </c>
      <c r="C8146" t="s">
        <v>109</v>
      </c>
      <c r="D8146" s="13" t="s">
        <v>633</v>
      </c>
      <c r="E8146" t="s">
        <v>168</v>
      </c>
      <c r="F8146" s="11">
        <v>1</v>
      </c>
      <c r="G8146" s="11">
        <v>46218.49</v>
      </c>
    </row>
    <row r="8147" spans="2:7" x14ac:dyDescent="0.2">
      <c r="B8147" s="32">
        <v>46041</v>
      </c>
      <c r="C8147" t="s">
        <v>109</v>
      </c>
      <c r="D8147" s="13" t="s">
        <v>633</v>
      </c>
      <c r="E8147" t="s">
        <v>156</v>
      </c>
      <c r="F8147" s="11">
        <v>1</v>
      </c>
      <c r="G8147" s="11">
        <v>42016.81</v>
      </c>
    </row>
    <row r="8148" spans="2:7" x14ac:dyDescent="0.2">
      <c r="B8148" s="32">
        <v>46041</v>
      </c>
      <c r="C8148" t="s">
        <v>109</v>
      </c>
      <c r="D8148" s="13" t="s">
        <v>633</v>
      </c>
      <c r="E8148" t="s">
        <v>144</v>
      </c>
      <c r="F8148" s="11">
        <v>2</v>
      </c>
      <c r="G8148" s="11">
        <v>38655.46</v>
      </c>
    </row>
    <row r="8149" spans="2:7" x14ac:dyDescent="0.2">
      <c r="B8149" s="32">
        <v>46042</v>
      </c>
      <c r="C8149" t="s">
        <v>142</v>
      </c>
      <c r="D8149" s="13" t="s">
        <v>634</v>
      </c>
      <c r="E8149" t="s">
        <v>143</v>
      </c>
      <c r="F8149" s="11">
        <v>1</v>
      </c>
      <c r="G8149" s="11">
        <v>252100.84</v>
      </c>
    </row>
    <row r="8150" spans="2:7" x14ac:dyDescent="0.2">
      <c r="B8150" s="32">
        <v>46042</v>
      </c>
      <c r="C8150" t="s">
        <v>142</v>
      </c>
      <c r="D8150" s="13" t="s">
        <v>634</v>
      </c>
      <c r="E8150" t="s">
        <v>231</v>
      </c>
      <c r="F8150" s="11">
        <v>1</v>
      </c>
      <c r="G8150" s="11">
        <v>252100.84</v>
      </c>
    </row>
    <row r="8151" spans="2:7" x14ac:dyDescent="0.2">
      <c r="B8151" s="32">
        <v>46042</v>
      </c>
      <c r="C8151" t="s">
        <v>142</v>
      </c>
      <c r="D8151" s="13" t="s">
        <v>634</v>
      </c>
      <c r="E8151" t="s">
        <v>233</v>
      </c>
      <c r="F8151" s="11">
        <v>1</v>
      </c>
      <c r="G8151" s="11">
        <v>58823.53</v>
      </c>
    </row>
    <row r="8152" spans="2:7" x14ac:dyDescent="0.2">
      <c r="B8152" s="32">
        <v>46042</v>
      </c>
      <c r="C8152" t="s">
        <v>142</v>
      </c>
      <c r="D8152" s="13" t="s">
        <v>634</v>
      </c>
      <c r="E8152" t="s">
        <v>257</v>
      </c>
      <c r="F8152" s="11">
        <v>1</v>
      </c>
      <c r="G8152" s="11">
        <v>58823.53</v>
      </c>
    </row>
    <row r="8153" spans="2:7" x14ac:dyDescent="0.2">
      <c r="B8153" s="32">
        <v>46042</v>
      </c>
      <c r="C8153" t="s">
        <v>142</v>
      </c>
      <c r="D8153" s="13" t="s">
        <v>634</v>
      </c>
      <c r="E8153" t="s">
        <v>229</v>
      </c>
      <c r="F8153" s="11">
        <v>1</v>
      </c>
      <c r="G8153" s="11">
        <v>42016.81</v>
      </c>
    </row>
    <row r="8154" spans="2:7" x14ac:dyDescent="0.2">
      <c r="B8154" s="32">
        <v>46042</v>
      </c>
      <c r="C8154" t="s">
        <v>142</v>
      </c>
      <c r="D8154" s="13" t="s">
        <v>634</v>
      </c>
      <c r="F8154" s="11">
        <v>0</v>
      </c>
      <c r="G8154" s="11">
        <v>0</v>
      </c>
    </row>
    <row r="8155" spans="2:7" x14ac:dyDescent="0.2">
      <c r="B8155" s="32">
        <v>46042</v>
      </c>
      <c r="C8155" t="s">
        <v>142</v>
      </c>
      <c r="D8155" s="13" t="s">
        <v>633</v>
      </c>
      <c r="E8155" t="s">
        <v>308</v>
      </c>
      <c r="F8155" s="11">
        <v>1</v>
      </c>
      <c r="G8155" s="11">
        <v>100840.34</v>
      </c>
    </row>
    <row r="8156" spans="2:7" x14ac:dyDescent="0.2">
      <c r="B8156" s="32">
        <v>46042</v>
      </c>
      <c r="C8156" t="s">
        <v>142</v>
      </c>
      <c r="D8156" s="13" t="s">
        <v>633</v>
      </c>
      <c r="E8156" t="s">
        <v>392</v>
      </c>
      <c r="F8156" s="11">
        <v>1</v>
      </c>
      <c r="G8156" s="11">
        <v>46218.49</v>
      </c>
    </row>
    <row r="8157" spans="2:7" x14ac:dyDescent="0.2">
      <c r="B8157" s="32">
        <v>46042</v>
      </c>
      <c r="C8157" t="s">
        <v>142</v>
      </c>
      <c r="D8157" s="13" t="s">
        <v>633</v>
      </c>
      <c r="E8157" t="s">
        <v>540</v>
      </c>
      <c r="F8157" s="11">
        <v>1</v>
      </c>
      <c r="G8157" s="11">
        <v>46218.48</v>
      </c>
    </row>
    <row r="8158" spans="2:7" x14ac:dyDescent="0.2">
      <c r="B8158" s="32">
        <v>46042</v>
      </c>
      <c r="C8158" t="s">
        <v>142</v>
      </c>
      <c r="D8158" s="13" t="s">
        <v>633</v>
      </c>
      <c r="F8158" s="11">
        <v>0</v>
      </c>
      <c r="G8158" s="11">
        <v>0</v>
      </c>
    </row>
    <row r="8159" spans="2:7" x14ac:dyDescent="0.2">
      <c r="B8159" s="32">
        <v>46042</v>
      </c>
      <c r="C8159" t="s">
        <v>109</v>
      </c>
      <c r="D8159" s="13" t="s">
        <v>634</v>
      </c>
      <c r="E8159" t="s">
        <v>205</v>
      </c>
      <c r="F8159" s="11">
        <v>2</v>
      </c>
      <c r="G8159" s="11">
        <v>117647.06</v>
      </c>
    </row>
    <row r="8160" spans="2:7" x14ac:dyDescent="0.2">
      <c r="B8160" s="32">
        <v>46042</v>
      </c>
      <c r="C8160" t="s">
        <v>109</v>
      </c>
      <c r="D8160" s="13" t="s">
        <v>634</v>
      </c>
      <c r="E8160" t="s">
        <v>145</v>
      </c>
      <c r="F8160" s="11">
        <v>3</v>
      </c>
      <c r="G8160" s="11">
        <v>88235.29</v>
      </c>
    </row>
    <row r="8161" spans="2:7" x14ac:dyDescent="0.2">
      <c r="B8161" s="32">
        <v>46042</v>
      </c>
      <c r="C8161" t="s">
        <v>109</v>
      </c>
      <c r="D8161" s="13" t="s">
        <v>634</v>
      </c>
      <c r="E8161" t="s">
        <v>220</v>
      </c>
      <c r="F8161" s="11">
        <v>1</v>
      </c>
      <c r="G8161" s="11">
        <v>84033.61</v>
      </c>
    </row>
    <row r="8162" spans="2:7" x14ac:dyDescent="0.2">
      <c r="B8162" s="32">
        <v>46042</v>
      </c>
      <c r="C8162" t="s">
        <v>109</v>
      </c>
      <c r="D8162" s="13" t="s">
        <v>634</v>
      </c>
      <c r="E8162" t="s">
        <v>148</v>
      </c>
      <c r="F8162" s="11">
        <v>2</v>
      </c>
      <c r="G8162" s="11">
        <v>75630.259999999995</v>
      </c>
    </row>
    <row r="8163" spans="2:7" x14ac:dyDescent="0.2">
      <c r="B8163" s="32">
        <v>46042</v>
      </c>
      <c r="C8163" t="s">
        <v>109</v>
      </c>
      <c r="D8163" s="13" t="s">
        <v>634</v>
      </c>
      <c r="E8163" t="s">
        <v>153</v>
      </c>
      <c r="F8163" s="11">
        <v>1</v>
      </c>
      <c r="G8163" s="11">
        <v>46218.49</v>
      </c>
    </row>
    <row r="8164" spans="2:7" x14ac:dyDescent="0.2">
      <c r="B8164" s="32">
        <v>46042</v>
      </c>
      <c r="C8164" t="s">
        <v>109</v>
      </c>
      <c r="D8164" s="13" t="s">
        <v>634</v>
      </c>
      <c r="E8164" t="s">
        <v>144</v>
      </c>
      <c r="F8164" s="11">
        <v>4</v>
      </c>
      <c r="G8164" s="11">
        <v>40336.129999999997</v>
      </c>
    </row>
    <row r="8165" spans="2:7" x14ac:dyDescent="0.2">
      <c r="B8165" s="32">
        <v>46042</v>
      </c>
      <c r="C8165" t="s">
        <v>109</v>
      </c>
      <c r="D8165" s="13" t="s">
        <v>633</v>
      </c>
      <c r="E8165" t="s">
        <v>241</v>
      </c>
      <c r="F8165" s="11">
        <v>1</v>
      </c>
      <c r="G8165" s="11">
        <v>46218.49</v>
      </c>
    </row>
    <row r="8166" spans="2:7" x14ac:dyDescent="0.2">
      <c r="B8166" s="32">
        <v>46043</v>
      </c>
      <c r="C8166" t="s">
        <v>142</v>
      </c>
      <c r="D8166" s="13" t="s">
        <v>634</v>
      </c>
      <c r="E8166" t="s">
        <v>296</v>
      </c>
      <c r="F8166" s="11">
        <v>1</v>
      </c>
      <c r="G8166" s="11">
        <v>46218.49</v>
      </c>
    </row>
    <row r="8167" spans="2:7" x14ac:dyDescent="0.2">
      <c r="B8167" s="32">
        <v>46043</v>
      </c>
      <c r="C8167" t="s">
        <v>142</v>
      </c>
      <c r="D8167" s="13" t="s">
        <v>634</v>
      </c>
      <c r="E8167" t="s">
        <v>256</v>
      </c>
      <c r="F8167" s="11">
        <v>1</v>
      </c>
      <c r="G8167" s="11">
        <v>46218.49</v>
      </c>
    </row>
    <row r="8168" spans="2:7" x14ac:dyDescent="0.2">
      <c r="B8168" s="32">
        <v>46043</v>
      </c>
      <c r="C8168" t="s">
        <v>142</v>
      </c>
      <c r="D8168" s="13" t="s">
        <v>634</v>
      </c>
      <c r="E8168" t="s">
        <v>291</v>
      </c>
      <c r="F8168" s="11">
        <v>1</v>
      </c>
      <c r="G8168" s="11">
        <v>46218.49</v>
      </c>
    </row>
    <row r="8169" spans="2:7" x14ac:dyDescent="0.2">
      <c r="B8169" s="32">
        <v>46043</v>
      </c>
      <c r="C8169" t="s">
        <v>142</v>
      </c>
      <c r="D8169" s="13" t="s">
        <v>634</v>
      </c>
      <c r="E8169" t="s">
        <v>265</v>
      </c>
      <c r="F8169" s="11">
        <v>1</v>
      </c>
      <c r="G8169" s="11">
        <v>46218.48</v>
      </c>
    </row>
    <row r="8170" spans="2:7" x14ac:dyDescent="0.2">
      <c r="B8170" s="32">
        <v>46043</v>
      </c>
      <c r="C8170" t="s">
        <v>142</v>
      </c>
      <c r="D8170" s="13" t="s">
        <v>634</v>
      </c>
      <c r="F8170" s="11">
        <v>0</v>
      </c>
      <c r="G8170" s="11">
        <v>0</v>
      </c>
    </row>
    <row r="8171" spans="2:7" x14ac:dyDescent="0.2">
      <c r="B8171" s="32">
        <v>46043</v>
      </c>
      <c r="C8171" t="s">
        <v>142</v>
      </c>
      <c r="D8171" s="13" t="s">
        <v>633</v>
      </c>
      <c r="E8171" t="s">
        <v>636</v>
      </c>
      <c r="F8171" s="11">
        <v>8</v>
      </c>
      <c r="G8171" s="11">
        <v>369747.9</v>
      </c>
    </row>
    <row r="8172" spans="2:7" x14ac:dyDescent="0.2">
      <c r="B8172" s="32">
        <v>46043</v>
      </c>
      <c r="C8172" t="s">
        <v>142</v>
      </c>
      <c r="D8172" s="13" t="s">
        <v>633</v>
      </c>
      <c r="E8172" t="s">
        <v>690</v>
      </c>
      <c r="F8172" s="11">
        <v>1</v>
      </c>
      <c r="G8172" s="11">
        <v>294117.65000000002</v>
      </c>
    </row>
    <row r="8173" spans="2:7" x14ac:dyDescent="0.2">
      <c r="B8173" s="32">
        <v>46043</v>
      </c>
      <c r="C8173" t="s">
        <v>142</v>
      </c>
      <c r="D8173" s="13" t="s">
        <v>633</v>
      </c>
      <c r="E8173" t="s">
        <v>655</v>
      </c>
      <c r="F8173" s="11">
        <v>1</v>
      </c>
      <c r="G8173" s="11">
        <v>117647.06</v>
      </c>
    </row>
    <row r="8174" spans="2:7" x14ac:dyDescent="0.2">
      <c r="B8174" s="32">
        <v>46043</v>
      </c>
      <c r="C8174" t="s">
        <v>142</v>
      </c>
      <c r="D8174" s="13" t="s">
        <v>633</v>
      </c>
      <c r="E8174" t="s">
        <v>280</v>
      </c>
      <c r="F8174" s="11">
        <v>1</v>
      </c>
      <c r="G8174" s="11">
        <v>100840.34</v>
      </c>
    </row>
    <row r="8175" spans="2:7" x14ac:dyDescent="0.2">
      <c r="B8175" s="32">
        <v>46043</v>
      </c>
      <c r="C8175" t="s">
        <v>142</v>
      </c>
      <c r="D8175" s="13" t="s">
        <v>633</v>
      </c>
      <c r="E8175" t="s">
        <v>677</v>
      </c>
      <c r="F8175" s="11">
        <v>1</v>
      </c>
      <c r="G8175" s="11">
        <v>58823.53</v>
      </c>
    </row>
    <row r="8176" spans="2:7" x14ac:dyDescent="0.2">
      <c r="B8176" s="32">
        <v>46043</v>
      </c>
      <c r="C8176" t="s">
        <v>142</v>
      </c>
      <c r="D8176" s="13" t="s">
        <v>633</v>
      </c>
      <c r="E8176" t="s">
        <v>664</v>
      </c>
      <c r="F8176" s="11">
        <v>1</v>
      </c>
      <c r="G8176" s="11">
        <v>58823.53</v>
      </c>
    </row>
    <row r="8177" spans="2:7" x14ac:dyDescent="0.2">
      <c r="B8177" s="32">
        <v>46043</v>
      </c>
      <c r="C8177" t="s">
        <v>142</v>
      </c>
      <c r="D8177" s="13" t="s">
        <v>633</v>
      </c>
      <c r="E8177" t="s">
        <v>374</v>
      </c>
      <c r="F8177" s="11">
        <v>1</v>
      </c>
      <c r="G8177" s="11">
        <v>58823.519999999997</v>
      </c>
    </row>
    <row r="8178" spans="2:7" x14ac:dyDescent="0.2">
      <c r="B8178" s="32">
        <v>46043</v>
      </c>
      <c r="C8178" t="s">
        <v>142</v>
      </c>
      <c r="D8178" s="13" t="s">
        <v>633</v>
      </c>
      <c r="E8178" t="s">
        <v>638</v>
      </c>
      <c r="F8178" s="11">
        <v>1</v>
      </c>
      <c r="G8178" s="11">
        <v>54621.85</v>
      </c>
    </row>
    <row r="8179" spans="2:7" x14ac:dyDescent="0.2">
      <c r="B8179" s="32">
        <v>46043</v>
      </c>
      <c r="C8179" t="s">
        <v>142</v>
      </c>
      <c r="D8179" s="13" t="s">
        <v>633</v>
      </c>
      <c r="E8179" t="s">
        <v>328</v>
      </c>
      <c r="F8179" s="11">
        <v>1</v>
      </c>
      <c r="G8179" s="11">
        <v>37815.129999999997</v>
      </c>
    </row>
    <row r="8180" spans="2:7" x14ac:dyDescent="0.2">
      <c r="B8180" s="32">
        <v>46043</v>
      </c>
      <c r="C8180" t="s">
        <v>142</v>
      </c>
      <c r="D8180" s="13" t="s">
        <v>633</v>
      </c>
      <c r="E8180" t="s">
        <v>234</v>
      </c>
      <c r="F8180" s="11">
        <v>1</v>
      </c>
      <c r="G8180" s="11">
        <v>37815.129999999997</v>
      </c>
    </row>
    <row r="8181" spans="2:7" x14ac:dyDescent="0.2">
      <c r="B8181" s="32">
        <v>46043</v>
      </c>
      <c r="C8181" t="s">
        <v>142</v>
      </c>
      <c r="D8181" s="13" t="s">
        <v>633</v>
      </c>
      <c r="F8181" s="11">
        <v>0</v>
      </c>
      <c r="G8181" s="11">
        <v>0</v>
      </c>
    </row>
    <row r="8182" spans="2:7" x14ac:dyDescent="0.2">
      <c r="B8182" s="32">
        <v>46043</v>
      </c>
      <c r="C8182" t="s">
        <v>109</v>
      </c>
      <c r="D8182" s="13" t="s">
        <v>634</v>
      </c>
      <c r="E8182" t="s">
        <v>159</v>
      </c>
      <c r="F8182" s="11">
        <v>1</v>
      </c>
      <c r="G8182" s="11">
        <v>243697.48</v>
      </c>
    </row>
    <row r="8183" spans="2:7" x14ac:dyDescent="0.2">
      <c r="B8183" s="32">
        <v>46043</v>
      </c>
      <c r="C8183" t="s">
        <v>109</v>
      </c>
      <c r="D8183" s="13" t="s">
        <v>634</v>
      </c>
      <c r="E8183" t="s">
        <v>144</v>
      </c>
      <c r="F8183" s="11">
        <v>5</v>
      </c>
      <c r="G8183" s="11">
        <v>172689.07</v>
      </c>
    </row>
    <row r="8184" spans="2:7" x14ac:dyDescent="0.2">
      <c r="B8184" s="32">
        <v>46043</v>
      </c>
      <c r="C8184" t="s">
        <v>109</v>
      </c>
      <c r="D8184" s="13" t="s">
        <v>634</v>
      </c>
      <c r="E8184" t="s">
        <v>226</v>
      </c>
      <c r="F8184" s="11">
        <v>1</v>
      </c>
      <c r="G8184" s="11">
        <v>117647.06</v>
      </c>
    </row>
    <row r="8185" spans="2:7" x14ac:dyDescent="0.2">
      <c r="B8185" s="32">
        <v>46043</v>
      </c>
      <c r="C8185" t="s">
        <v>109</v>
      </c>
      <c r="D8185" s="13" t="s">
        <v>634</v>
      </c>
      <c r="E8185" t="s">
        <v>199</v>
      </c>
      <c r="F8185" s="11">
        <v>1</v>
      </c>
      <c r="G8185" s="11">
        <v>75630.25</v>
      </c>
    </row>
    <row r="8186" spans="2:7" x14ac:dyDescent="0.2">
      <c r="B8186" s="32">
        <v>46043</v>
      </c>
      <c r="C8186" t="s">
        <v>109</v>
      </c>
      <c r="D8186" s="13" t="s">
        <v>634</v>
      </c>
      <c r="E8186" t="s">
        <v>189</v>
      </c>
      <c r="F8186" s="11">
        <v>1</v>
      </c>
      <c r="G8186" s="11">
        <v>71428.570000000007</v>
      </c>
    </row>
    <row r="8187" spans="2:7" x14ac:dyDescent="0.2">
      <c r="B8187" s="32">
        <v>46043</v>
      </c>
      <c r="C8187" t="s">
        <v>109</v>
      </c>
      <c r="D8187" s="13" t="s">
        <v>634</v>
      </c>
      <c r="E8187" t="s">
        <v>208</v>
      </c>
      <c r="F8187" s="11">
        <v>1</v>
      </c>
      <c r="G8187" s="11">
        <v>58823.53</v>
      </c>
    </row>
    <row r="8188" spans="2:7" x14ac:dyDescent="0.2">
      <c r="B8188" s="32">
        <v>46043</v>
      </c>
      <c r="C8188" t="s">
        <v>109</v>
      </c>
      <c r="D8188" s="13" t="s">
        <v>634</v>
      </c>
      <c r="E8188" t="s">
        <v>219</v>
      </c>
      <c r="F8188" s="11">
        <v>1</v>
      </c>
      <c r="G8188" s="11">
        <v>58823.53</v>
      </c>
    </row>
    <row r="8189" spans="2:7" x14ac:dyDescent="0.2">
      <c r="B8189" s="32">
        <v>46043</v>
      </c>
      <c r="C8189" t="s">
        <v>109</v>
      </c>
      <c r="D8189" s="13" t="s">
        <v>634</v>
      </c>
      <c r="E8189" t="s">
        <v>150</v>
      </c>
      <c r="F8189" s="11">
        <v>1</v>
      </c>
      <c r="G8189" s="11">
        <v>46218.49</v>
      </c>
    </row>
    <row r="8190" spans="2:7" x14ac:dyDescent="0.2">
      <c r="B8190" s="32">
        <v>46043</v>
      </c>
      <c r="C8190" t="s">
        <v>109</v>
      </c>
      <c r="D8190" s="13" t="s">
        <v>634</v>
      </c>
      <c r="E8190" t="s">
        <v>153</v>
      </c>
      <c r="F8190" s="11">
        <v>1</v>
      </c>
      <c r="G8190" s="11">
        <v>46218.49</v>
      </c>
    </row>
    <row r="8191" spans="2:7" x14ac:dyDescent="0.2">
      <c r="B8191" s="32">
        <v>46043</v>
      </c>
      <c r="C8191" t="s">
        <v>109</v>
      </c>
      <c r="D8191" s="13" t="s">
        <v>634</v>
      </c>
      <c r="E8191" t="s">
        <v>160</v>
      </c>
      <c r="F8191" s="11">
        <v>1</v>
      </c>
      <c r="G8191" s="11">
        <v>46218.49</v>
      </c>
    </row>
    <row r="8192" spans="2:7" x14ac:dyDescent="0.2">
      <c r="B8192" s="32">
        <v>46043</v>
      </c>
      <c r="C8192" t="s">
        <v>109</v>
      </c>
      <c r="D8192" s="13" t="s">
        <v>634</v>
      </c>
      <c r="E8192" t="s">
        <v>161</v>
      </c>
      <c r="F8192" s="11">
        <v>1</v>
      </c>
      <c r="G8192" s="11">
        <v>42016.81</v>
      </c>
    </row>
    <row r="8193" spans="2:7" x14ac:dyDescent="0.2">
      <c r="B8193" s="32">
        <v>46043</v>
      </c>
      <c r="C8193" t="s">
        <v>109</v>
      </c>
      <c r="D8193" s="13" t="s">
        <v>634</v>
      </c>
      <c r="E8193" t="s">
        <v>182</v>
      </c>
      <c r="F8193" s="11">
        <v>1</v>
      </c>
      <c r="G8193" s="11">
        <v>29411.759999999998</v>
      </c>
    </row>
    <row r="8194" spans="2:7" x14ac:dyDescent="0.2">
      <c r="B8194" s="32">
        <v>46043</v>
      </c>
      <c r="C8194" t="s">
        <v>109</v>
      </c>
      <c r="D8194" s="13" t="s">
        <v>633</v>
      </c>
      <c r="E8194" t="s">
        <v>245</v>
      </c>
      <c r="F8194" s="11">
        <v>2</v>
      </c>
      <c r="G8194" s="11">
        <v>252100.84</v>
      </c>
    </row>
    <row r="8195" spans="2:7" x14ac:dyDescent="0.2">
      <c r="B8195" s="32">
        <v>46043</v>
      </c>
      <c r="C8195" t="s">
        <v>109</v>
      </c>
      <c r="D8195" s="13" t="s">
        <v>633</v>
      </c>
      <c r="E8195" t="s">
        <v>318</v>
      </c>
      <c r="F8195" s="11">
        <v>2</v>
      </c>
      <c r="G8195" s="11">
        <v>235294.12</v>
      </c>
    </row>
    <row r="8196" spans="2:7" x14ac:dyDescent="0.2">
      <c r="B8196" s="32">
        <v>46043</v>
      </c>
      <c r="C8196" t="s">
        <v>109</v>
      </c>
      <c r="D8196" s="13" t="s">
        <v>633</v>
      </c>
      <c r="E8196" t="s">
        <v>157</v>
      </c>
      <c r="F8196" s="11">
        <v>2</v>
      </c>
      <c r="G8196" s="11">
        <v>168067.23</v>
      </c>
    </row>
    <row r="8197" spans="2:7" x14ac:dyDescent="0.2">
      <c r="B8197" s="32">
        <v>46043</v>
      </c>
      <c r="C8197" t="s">
        <v>109</v>
      </c>
      <c r="D8197" s="13" t="s">
        <v>633</v>
      </c>
      <c r="E8197" t="s">
        <v>179</v>
      </c>
      <c r="F8197" s="11">
        <v>2</v>
      </c>
      <c r="G8197" s="11">
        <v>92436.97</v>
      </c>
    </row>
    <row r="8198" spans="2:7" x14ac:dyDescent="0.2">
      <c r="B8198" s="32">
        <v>46043</v>
      </c>
      <c r="C8198" t="s">
        <v>109</v>
      </c>
      <c r="D8198" s="13" t="s">
        <v>633</v>
      </c>
      <c r="E8198" t="s">
        <v>240</v>
      </c>
      <c r="F8198" s="11">
        <v>2</v>
      </c>
      <c r="G8198" s="11">
        <v>92436.97</v>
      </c>
    </row>
    <row r="8199" spans="2:7" x14ac:dyDescent="0.2">
      <c r="B8199" s="32">
        <v>46043</v>
      </c>
      <c r="C8199" t="s">
        <v>109</v>
      </c>
      <c r="D8199" s="13" t="s">
        <v>633</v>
      </c>
      <c r="E8199" t="s">
        <v>186</v>
      </c>
      <c r="F8199" s="11">
        <v>1</v>
      </c>
      <c r="G8199" s="11">
        <v>84033.61</v>
      </c>
    </row>
    <row r="8200" spans="2:7" x14ac:dyDescent="0.2">
      <c r="B8200" s="32">
        <v>46043</v>
      </c>
      <c r="C8200" t="s">
        <v>109</v>
      </c>
      <c r="D8200" s="13" t="s">
        <v>633</v>
      </c>
      <c r="E8200" t="s">
        <v>183</v>
      </c>
      <c r="F8200" s="11">
        <v>1</v>
      </c>
      <c r="G8200" s="11">
        <v>84033.61</v>
      </c>
    </row>
    <row r="8201" spans="2:7" x14ac:dyDescent="0.2">
      <c r="B8201" s="32">
        <v>46043</v>
      </c>
      <c r="C8201" t="s">
        <v>109</v>
      </c>
      <c r="D8201" s="13" t="s">
        <v>633</v>
      </c>
      <c r="E8201" t="s">
        <v>347</v>
      </c>
      <c r="F8201" s="11">
        <v>1</v>
      </c>
      <c r="G8201" s="11">
        <v>75630.259999999995</v>
      </c>
    </row>
    <row r="8202" spans="2:7" x14ac:dyDescent="0.2">
      <c r="B8202" s="32">
        <v>46043</v>
      </c>
      <c r="C8202" t="s">
        <v>109</v>
      </c>
      <c r="D8202" s="13" t="s">
        <v>633</v>
      </c>
      <c r="E8202" t="s">
        <v>403</v>
      </c>
      <c r="F8202" s="11">
        <v>1</v>
      </c>
      <c r="G8202" s="11">
        <v>75630.25</v>
      </c>
    </row>
    <row r="8203" spans="2:7" x14ac:dyDescent="0.2">
      <c r="B8203" s="32">
        <v>46043</v>
      </c>
      <c r="C8203" t="s">
        <v>109</v>
      </c>
      <c r="D8203" s="13" t="s">
        <v>633</v>
      </c>
      <c r="E8203" t="s">
        <v>352</v>
      </c>
      <c r="F8203" s="11">
        <v>1</v>
      </c>
      <c r="G8203" s="11">
        <v>71428.570000000007</v>
      </c>
    </row>
    <row r="8204" spans="2:7" x14ac:dyDescent="0.2">
      <c r="B8204" s="32">
        <v>46043</v>
      </c>
      <c r="C8204" t="s">
        <v>109</v>
      </c>
      <c r="D8204" s="13" t="s">
        <v>633</v>
      </c>
      <c r="E8204" t="s">
        <v>276</v>
      </c>
      <c r="F8204" s="11">
        <v>1</v>
      </c>
      <c r="G8204" s="11">
        <v>58823.53</v>
      </c>
    </row>
    <row r="8205" spans="2:7" x14ac:dyDescent="0.2">
      <c r="B8205" s="32">
        <v>46043</v>
      </c>
      <c r="C8205" t="s">
        <v>109</v>
      </c>
      <c r="D8205" s="13" t="s">
        <v>633</v>
      </c>
      <c r="E8205" t="s">
        <v>431</v>
      </c>
      <c r="F8205" s="11">
        <v>1</v>
      </c>
      <c r="G8205" s="11">
        <v>58823.53</v>
      </c>
    </row>
    <row r="8206" spans="2:7" x14ac:dyDescent="0.2">
      <c r="B8206" s="32">
        <v>46043</v>
      </c>
      <c r="C8206" t="s">
        <v>109</v>
      </c>
      <c r="D8206" s="13" t="s">
        <v>633</v>
      </c>
      <c r="E8206" t="s">
        <v>447</v>
      </c>
      <c r="F8206" s="11">
        <v>1</v>
      </c>
      <c r="G8206" s="11">
        <v>58823.53</v>
      </c>
    </row>
    <row r="8207" spans="2:7" x14ac:dyDescent="0.2">
      <c r="B8207" s="32">
        <v>46043</v>
      </c>
      <c r="C8207" t="s">
        <v>109</v>
      </c>
      <c r="D8207" s="13" t="s">
        <v>633</v>
      </c>
      <c r="E8207" t="s">
        <v>294</v>
      </c>
      <c r="F8207" s="11">
        <v>1</v>
      </c>
      <c r="G8207" s="11">
        <v>58823.53</v>
      </c>
    </row>
    <row r="8208" spans="2:7" x14ac:dyDescent="0.2">
      <c r="B8208" s="32">
        <v>46043</v>
      </c>
      <c r="C8208" t="s">
        <v>109</v>
      </c>
      <c r="D8208" s="13" t="s">
        <v>633</v>
      </c>
      <c r="E8208" t="s">
        <v>495</v>
      </c>
      <c r="F8208" s="11">
        <v>1</v>
      </c>
      <c r="G8208" s="11">
        <v>54621.85</v>
      </c>
    </row>
    <row r="8209" spans="2:7" x14ac:dyDescent="0.2">
      <c r="B8209" s="32">
        <v>46043</v>
      </c>
      <c r="C8209" t="s">
        <v>109</v>
      </c>
      <c r="D8209" s="13" t="s">
        <v>633</v>
      </c>
      <c r="E8209" t="s">
        <v>672</v>
      </c>
      <c r="F8209" s="11">
        <v>1</v>
      </c>
      <c r="G8209" s="11">
        <v>50420.17</v>
      </c>
    </row>
    <row r="8210" spans="2:7" x14ac:dyDescent="0.2">
      <c r="B8210" s="32">
        <v>46043</v>
      </c>
      <c r="C8210" t="s">
        <v>109</v>
      </c>
      <c r="D8210" s="13" t="s">
        <v>633</v>
      </c>
      <c r="E8210" t="s">
        <v>291</v>
      </c>
      <c r="F8210" s="11">
        <v>1</v>
      </c>
      <c r="G8210" s="11">
        <v>46218.49</v>
      </c>
    </row>
    <row r="8211" spans="2:7" x14ac:dyDescent="0.2">
      <c r="B8211" s="32">
        <v>46043</v>
      </c>
      <c r="C8211" t="s">
        <v>109</v>
      </c>
      <c r="D8211" s="13" t="s">
        <v>633</v>
      </c>
      <c r="E8211" t="s">
        <v>416</v>
      </c>
      <c r="F8211" s="11">
        <v>1</v>
      </c>
      <c r="G8211" s="11">
        <v>46218.49</v>
      </c>
    </row>
    <row r="8212" spans="2:7" x14ac:dyDescent="0.2">
      <c r="B8212" s="32">
        <v>46043</v>
      </c>
      <c r="C8212" t="s">
        <v>109</v>
      </c>
      <c r="D8212" s="13" t="s">
        <v>633</v>
      </c>
      <c r="E8212" t="s">
        <v>296</v>
      </c>
      <c r="F8212" s="11">
        <v>1</v>
      </c>
      <c r="G8212" s="11">
        <v>46218.49</v>
      </c>
    </row>
    <row r="8213" spans="2:7" x14ac:dyDescent="0.2">
      <c r="B8213" s="32">
        <v>46043</v>
      </c>
      <c r="C8213" t="s">
        <v>109</v>
      </c>
      <c r="D8213" s="13" t="s">
        <v>633</v>
      </c>
      <c r="E8213" t="s">
        <v>156</v>
      </c>
      <c r="F8213" s="11">
        <v>1</v>
      </c>
      <c r="G8213" s="11">
        <v>42016.800000000003</v>
      </c>
    </row>
    <row r="8214" spans="2:7" x14ac:dyDescent="0.2">
      <c r="B8214" s="32">
        <v>46043</v>
      </c>
      <c r="C8214" t="s">
        <v>109</v>
      </c>
      <c r="D8214" s="13" t="s">
        <v>633</v>
      </c>
      <c r="E8214" t="s">
        <v>692</v>
      </c>
      <c r="F8214" s="11">
        <v>1</v>
      </c>
      <c r="G8214" s="11">
        <v>37815.129999999997</v>
      </c>
    </row>
    <row r="8215" spans="2:7" x14ac:dyDescent="0.2">
      <c r="B8215" s="32">
        <v>46043</v>
      </c>
      <c r="C8215" t="s">
        <v>109</v>
      </c>
      <c r="D8215" s="13" t="s">
        <v>633</v>
      </c>
      <c r="E8215" t="s">
        <v>144</v>
      </c>
      <c r="F8215" s="11">
        <v>3</v>
      </c>
      <c r="G8215" s="11">
        <v>29411.77</v>
      </c>
    </row>
    <row r="8216" spans="2:7" x14ac:dyDescent="0.2">
      <c r="B8216" s="32">
        <v>46043</v>
      </c>
      <c r="C8216" t="s">
        <v>109</v>
      </c>
      <c r="D8216" s="13" t="s">
        <v>633</v>
      </c>
      <c r="E8216" t="s">
        <v>171</v>
      </c>
      <c r="F8216" s="11">
        <v>1</v>
      </c>
      <c r="G8216" s="11">
        <v>29411.759999999998</v>
      </c>
    </row>
    <row r="8217" spans="2:7" x14ac:dyDescent="0.2">
      <c r="B8217" s="32">
        <v>46043</v>
      </c>
      <c r="C8217" t="s">
        <v>109</v>
      </c>
      <c r="D8217" s="13" t="s">
        <v>633</v>
      </c>
      <c r="E8217" t="s">
        <v>145</v>
      </c>
      <c r="F8217" s="11">
        <v>1</v>
      </c>
      <c r="G8217" s="11">
        <v>29411.759999999998</v>
      </c>
    </row>
    <row r="8218" spans="2:7" x14ac:dyDescent="0.2">
      <c r="B8218" s="32">
        <v>46044</v>
      </c>
      <c r="C8218" t="s">
        <v>108</v>
      </c>
      <c r="D8218" s="13" t="s">
        <v>634</v>
      </c>
      <c r="E8218" t="s">
        <v>143</v>
      </c>
      <c r="F8218" s="11">
        <v>0</v>
      </c>
      <c r="G8218" s="11">
        <v>7563025.21</v>
      </c>
    </row>
    <row r="8219" spans="2:7" x14ac:dyDescent="0.2">
      <c r="B8219" s="32">
        <v>46044</v>
      </c>
      <c r="C8219" t="s">
        <v>108</v>
      </c>
      <c r="D8219" s="13" t="s">
        <v>634</v>
      </c>
      <c r="E8219" t="s">
        <v>326</v>
      </c>
      <c r="F8219" s="11">
        <v>0</v>
      </c>
      <c r="G8219" s="11">
        <v>-6806722.6900000004</v>
      </c>
    </row>
    <row r="8220" spans="2:7" x14ac:dyDescent="0.2">
      <c r="B8220" s="32">
        <v>46044</v>
      </c>
      <c r="C8220" t="s">
        <v>142</v>
      </c>
      <c r="D8220" s="13" t="s">
        <v>634</v>
      </c>
      <c r="E8220" t="s">
        <v>205</v>
      </c>
      <c r="F8220" s="11">
        <v>1</v>
      </c>
      <c r="G8220" s="11">
        <v>58823.53</v>
      </c>
    </row>
    <row r="8221" spans="2:7" x14ac:dyDescent="0.2">
      <c r="B8221" s="32">
        <v>46044</v>
      </c>
      <c r="C8221" t="s">
        <v>142</v>
      </c>
      <c r="D8221" s="13" t="s">
        <v>634</v>
      </c>
      <c r="E8221" t="s">
        <v>175</v>
      </c>
      <c r="F8221" s="11">
        <v>1</v>
      </c>
      <c r="G8221" s="11">
        <v>58823.53</v>
      </c>
    </row>
    <row r="8222" spans="2:7" x14ac:dyDescent="0.2">
      <c r="B8222" s="32">
        <v>46044</v>
      </c>
      <c r="C8222" t="s">
        <v>142</v>
      </c>
      <c r="D8222" s="13" t="s">
        <v>634</v>
      </c>
      <c r="E8222" t="s">
        <v>275</v>
      </c>
      <c r="F8222" s="11">
        <v>1</v>
      </c>
      <c r="G8222" s="11">
        <v>58823.53</v>
      </c>
    </row>
    <row r="8223" spans="2:7" x14ac:dyDescent="0.2">
      <c r="B8223" s="32">
        <v>46044</v>
      </c>
      <c r="C8223" t="s">
        <v>142</v>
      </c>
      <c r="D8223" s="13" t="s">
        <v>634</v>
      </c>
      <c r="F8223" s="11">
        <v>0</v>
      </c>
      <c r="G8223" s="11">
        <v>45000</v>
      </c>
    </row>
    <row r="8224" spans="2:7" x14ac:dyDescent="0.2">
      <c r="B8224" s="32">
        <v>46044</v>
      </c>
      <c r="C8224" t="s">
        <v>142</v>
      </c>
      <c r="D8224" s="13" t="s">
        <v>634</v>
      </c>
      <c r="E8224" t="s">
        <v>293</v>
      </c>
      <c r="F8224" s="11">
        <v>0</v>
      </c>
      <c r="G8224" s="11">
        <v>-45000</v>
      </c>
    </row>
    <row r="8225" spans="2:7" x14ac:dyDescent="0.2">
      <c r="B8225" s="32">
        <v>46044</v>
      </c>
      <c r="C8225" t="s">
        <v>142</v>
      </c>
      <c r="D8225" s="13" t="s">
        <v>633</v>
      </c>
      <c r="E8225" t="s">
        <v>185</v>
      </c>
      <c r="F8225" s="11">
        <v>1</v>
      </c>
      <c r="G8225" s="11">
        <v>100840.34</v>
      </c>
    </row>
    <row r="8226" spans="2:7" x14ac:dyDescent="0.2">
      <c r="B8226" s="32">
        <v>46044</v>
      </c>
      <c r="C8226" t="s">
        <v>142</v>
      </c>
      <c r="D8226" s="13" t="s">
        <v>633</v>
      </c>
      <c r="E8226" t="s">
        <v>167</v>
      </c>
      <c r="F8226" s="11">
        <v>1</v>
      </c>
      <c r="G8226" s="11">
        <v>65383.58</v>
      </c>
    </row>
    <row r="8227" spans="2:7" x14ac:dyDescent="0.2">
      <c r="B8227" s="32">
        <v>46044</v>
      </c>
      <c r="C8227" t="s">
        <v>142</v>
      </c>
      <c r="D8227" s="13" t="s">
        <v>633</v>
      </c>
      <c r="E8227" t="s">
        <v>420</v>
      </c>
      <c r="F8227" s="11">
        <v>1</v>
      </c>
      <c r="G8227" s="11">
        <v>65383.57</v>
      </c>
    </row>
    <row r="8228" spans="2:7" x14ac:dyDescent="0.2">
      <c r="B8228" s="32">
        <v>46044</v>
      </c>
      <c r="C8228" t="s">
        <v>142</v>
      </c>
      <c r="D8228" s="13" t="s">
        <v>633</v>
      </c>
      <c r="E8228" t="s">
        <v>276</v>
      </c>
      <c r="F8228" s="11">
        <v>1</v>
      </c>
      <c r="G8228" s="11">
        <v>58823.53</v>
      </c>
    </row>
    <row r="8229" spans="2:7" x14ac:dyDescent="0.2">
      <c r="B8229" s="32">
        <v>46044</v>
      </c>
      <c r="C8229" t="s">
        <v>142</v>
      </c>
      <c r="D8229" s="13" t="s">
        <v>633</v>
      </c>
      <c r="E8229" t="s">
        <v>244</v>
      </c>
      <c r="F8229" s="11">
        <v>1</v>
      </c>
      <c r="G8229" s="11">
        <v>58823.53</v>
      </c>
    </row>
    <row r="8230" spans="2:7" x14ac:dyDescent="0.2">
      <c r="B8230" s="32">
        <v>46044</v>
      </c>
      <c r="C8230" t="s">
        <v>142</v>
      </c>
      <c r="D8230" s="13" t="s">
        <v>633</v>
      </c>
      <c r="E8230" t="s">
        <v>658</v>
      </c>
      <c r="F8230" s="11">
        <v>1</v>
      </c>
      <c r="G8230" s="11">
        <v>54621.85</v>
      </c>
    </row>
    <row r="8231" spans="2:7" x14ac:dyDescent="0.2">
      <c r="B8231" s="32">
        <v>46044</v>
      </c>
      <c r="C8231" t="s">
        <v>142</v>
      </c>
      <c r="D8231" s="13" t="s">
        <v>633</v>
      </c>
      <c r="E8231" t="s">
        <v>208</v>
      </c>
      <c r="F8231" s="11">
        <v>1</v>
      </c>
      <c r="G8231" s="11">
        <v>38140.410000000003</v>
      </c>
    </row>
    <row r="8232" spans="2:7" x14ac:dyDescent="0.2">
      <c r="B8232" s="32">
        <v>46044</v>
      </c>
      <c r="C8232" t="s">
        <v>142</v>
      </c>
      <c r="D8232" s="13" t="s">
        <v>633</v>
      </c>
      <c r="F8232" s="11">
        <v>0</v>
      </c>
      <c r="G8232" s="11">
        <v>0</v>
      </c>
    </row>
    <row r="8233" spans="2:7" x14ac:dyDescent="0.2">
      <c r="B8233" s="32">
        <v>46044</v>
      </c>
      <c r="C8233" t="s">
        <v>109</v>
      </c>
      <c r="D8233" s="13" t="s">
        <v>634</v>
      </c>
      <c r="F8233" s="11">
        <v>1</v>
      </c>
      <c r="G8233" s="11">
        <v>121848.74</v>
      </c>
    </row>
    <row r="8234" spans="2:7" x14ac:dyDescent="0.2">
      <c r="B8234" s="32">
        <v>46044</v>
      </c>
      <c r="C8234" t="s">
        <v>109</v>
      </c>
      <c r="D8234" s="13" t="s">
        <v>634</v>
      </c>
      <c r="E8234" t="s">
        <v>188</v>
      </c>
      <c r="F8234" s="11">
        <v>2</v>
      </c>
      <c r="G8234" s="11">
        <v>117647.05</v>
      </c>
    </row>
    <row r="8235" spans="2:7" x14ac:dyDescent="0.2">
      <c r="B8235" s="32">
        <v>46044</v>
      </c>
      <c r="C8235" t="s">
        <v>109</v>
      </c>
      <c r="D8235" s="13" t="s">
        <v>634</v>
      </c>
      <c r="E8235" t="s">
        <v>250</v>
      </c>
      <c r="F8235" s="11">
        <v>1</v>
      </c>
      <c r="G8235" s="11">
        <v>100840.34</v>
      </c>
    </row>
    <row r="8236" spans="2:7" x14ac:dyDescent="0.2">
      <c r="B8236" s="32">
        <v>46044</v>
      </c>
      <c r="C8236" t="s">
        <v>109</v>
      </c>
      <c r="D8236" s="13" t="s">
        <v>634</v>
      </c>
      <c r="E8236" t="s">
        <v>227</v>
      </c>
      <c r="F8236" s="11">
        <v>1</v>
      </c>
      <c r="G8236" s="11">
        <v>100840.33</v>
      </c>
    </row>
    <row r="8237" spans="2:7" x14ac:dyDescent="0.2">
      <c r="B8237" s="32">
        <v>46044</v>
      </c>
      <c r="C8237" t="s">
        <v>109</v>
      </c>
      <c r="D8237" s="13" t="s">
        <v>634</v>
      </c>
      <c r="E8237" t="s">
        <v>172</v>
      </c>
      <c r="F8237" s="11">
        <v>2</v>
      </c>
      <c r="G8237" s="11">
        <v>92436.98</v>
      </c>
    </row>
    <row r="8238" spans="2:7" x14ac:dyDescent="0.2">
      <c r="B8238" s="32">
        <v>46044</v>
      </c>
      <c r="C8238" t="s">
        <v>109</v>
      </c>
      <c r="D8238" s="13" t="s">
        <v>634</v>
      </c>
      <c r="E8238" t="s">
        <v>164</v>
      </c>
      <c r="F8238" s="11">
        <v>1</v>
      </c>
      <c r="G8238" s="11">
        <v>71428.570000000007</v>
      </c>
    </row>
    <row r="8239" spans="2:7" x14ac:dyDescent="0.2">
      <c r="B8239" s="32">
        <v>46044</v>
      </c>
      <c r="C8239" t="s">
        <v>109</v>
      </c>
      <c r="D8239" s="13" t="s">
        <v>634</v>
      </c>
      <c r="E8239" t="s">
        <v>151</v>
      </c>
      <c r="F8239" s="11">
        <v>1</v>
      </c>
      <c r="G8239" s="11">
        <v>46218.49</v>
      </c>
    </row>
    <row r="8240" spans="2:7" x14ac:dyDescent="0.2">
      <c r="B8240" s="32">
        <v>46044</v>
      </c>
      <c r="C8240" t="s">
        <v>109</v>
      </c>
      <c r="D8240" s="13" t="s">
        <v>634</v>
      </c>
      <c r="E8240" t="s">
        <v>146</v>
      </c>
      <c r="F8240" s="11">
        <v>1</v>
      </c>
      <c r="G8240" s="11">
        <v>46218.49</v>
      </c>
    </row>
    <row r="8241" spans="2:7" x14ac:dyDescent="0.2">
      <c r="B8241" s="32">
        <v>46044</v>
      </c>
      <c r="C8241" t="s">
        <v>109</v>
      </c>
      <c r="D8241" s="13" t="s">
        <v>634</v>
      </c>
      <c r="E8241" t="s">
        <v>260</v>
      </c>
      <c r="F8241" s="11">
        <v>1</v>
      </c>
      <c r="G8241" s="11">
        <v>46218.49</v>
      </c>
    </row>
    <row r="8242" spans="2:7" x14ac:dyDescent="0.2">
      <c r="B8242" s="32">
        <v>46044</v>
      </c>
      <c r="C8242" t="s">
        <v>109</v>
      </c>
      <c r="D8242" s="13" t="s">
        <v>634</v>
      </c>
      <c r="E8242" t="s">
        <v>277</v>
      </c>
      <c r="F8242" s="11">
        <v>1</v>
      </c>
      <c r="G8242" s="11">
        <v>46218.49</v>
      </c>
    </row>
    <row r="8243" spans="2:7" x14ac:dyDescent="0.2">
      <c r="B8243" s="32">
        <v>46044</v>
      </c>
      <c r="C8243" t="s">
        <v>109</v>
      </c>
      <c r="D8243" s="13" t="s">
        <v>634</v>
      </c>
      <c r="E8243" t="s">
        <v>158</v>
      </c>
      <c r="F8243" s="11">
        <v>1</v>
      </c>
      <c r="G8243" s="11">
        <v>46218.49</v>
      </c>
    </row>
    <row r="8244" spans="2:7" x14ac:dyDescent="0.2">
      <c r="B8244" s="32">
        <v>46044</v>
      </c>
      <c r="C8244" t="s">
        <v>109</v>
      </c>
      <c r="D8244" s="13" t="s">
        <v>634</v>
      </c>
      <c r="E8244" t="s">
        <v>150</v>
      </c>
      <c r="F8244" s="11">
        <v>1</v>
      </c>
      <c r="G8244" s="11">
        <v>46218.48</v>
      </c>
    </row>
    <row r="8245" spans="2:7" x14ac:dyDescent="0.2">
      <c r="B8245" s="32">
        <v>46044</v>
      </c>
      <c r="C8245" t="s">
        <v>109</v>
      </c>
      <c r="D8245" s="13" t="s">
        <v>633</v>
      </c>
      <c r="E8245" t="s">
        <v>646</v>
      </c>
      <c r="F8245" s="11">
        <v>1</v>
      </c>
      <c r="G8245" s="11">
        <v>113445.38</v>
      </c>
    </row>
    <row r="8246" spans="2:7" x14ac:dyDescent="0.2">
      <c r="B8246" s="32">
        <v>46044</v>
      </c>
      <c r="C8246" t="s">
        <v>109</v>
      </c>
      <c r="D8246" s="13" t="s">
        <v>633</v>
      </c>
      <c r="E8246" t="s">
        <v>365</v>
      </c>
      <c r="F8246" s="11">
        <v>1</v>
      </c>
      <c r="G8246" s="11">
        <v>100840.34</v>
      </c>
    </row>
    <row r="8247" spans="2:7" x14ac:dyDescent="0.2">
      <c r="B8247" s="32">
        <v>46044</v>
      </c>
      <c r="C8247" t="s">
        <v>109</v>
      </c>
      <c r="D8247" s="13" t="s">
        <v>633</v>
      </c>
      <c r="E8247" t="s">
        <v>549</v>
      </c>
      <c r="F8247" s="11">
        <v>2</v>
      </c>
      <c r="G8247" s="11">
        <v>92436.97</v>
      </c>
    </row>
    <row r="8248" spans="2:7" x14ac:dyDescent="0.2">
      <c r="B8248" s="32">
        <v>46044</v>
      </c>
      <c r="C8248" t="s">
        <v>109</v>
      </c>
      <c r="D8248" s="13" t="s">
        <v>633</v>
      </c>
      <c r="E8248" t="s">
        <v>357</v>
      </c>
      <c r="F8248" s="11">
        <v>1</v>
      </c>
      <c r="G8248" s="11">
        <v>71428.570000000007</v>
      </c>
    </row>
    <row r="8249" spans="2:7" x14ac:dyDescent="0.2">
      <c r="B8249" s="32">
        <v>46044</v>
      </c>
      <c r="C8249" t="s">
        <v>109</v>
      </c>
      <c r="D8249" s="13" t="s">
        <v>633</v>
      </c>
      <c r="E8249" t="s">
        <v>658</v>
      </c>
      <c r="F8249" s="11">
        <v>1</v>
      </c>
      <c r="G8249" s="11">
        <v>54621.85</v>
      </c>
    </row>
    <row r="8250" spans="2:7" x14ac:dyDescent="0.2">
      <c r="B8250" s="32">
        <v>46044</v>
      </c>
      <c r="C8250" t="s">
        <v>109</v>
      </c>
      <c r="D8250" s="13" t="s">
        <v>633</v>
      </c>
      <c r="E8250" t="s">
        <v>202</v>
      </c>
      <c r="F8250" s="11">
        <v>1</v>
      </c>
      <c r="G8250" s="11">
        <v>46218.49</v>
      </c>
    </row>
    <row r="8251" spans="2:7" x14ac:dyDescent="0.2">
      <c r="B8251" s="32">
        <v>46044</v>
      </c>
      <c r="C8251" t="s">
        <v>109</v>
      </c>
      <c r="D8251" s="13" t="s">
        <v>633</v>
      </c>
      <c r="E8251" t="s">
        <v>160</v>
      </c>
      <c r="F8251" s="11">
        <v>1</v>
      </c>
      <c r="G8251" s="11">
        <v>46218.49</v>
      </c>
    </row>
    <row r="8252" spans="2:7" x14ac:dyDescent="0.2">
      <c r="B8252" s="32">
        <v>46044</v>
      </c>
      <c r="C8252" t="s">
        <v>109</v>
      </c>
      <c r="D8252" s="13" t="s">
        <v>633</v>
      </c>
      <c r="E8252" t="s">
        <v>241</v>
      </c>
      <c r="F8252" s="11">
        <v>1</v>
      </c>
      <c r="G8252" s="11">
        <v>46218.49</v>
      </c>
    </row>
    <row r="8253" spans="2:7" x14ac:dyDescent="0.2">
      <c r="B8253" s="32">
        <v>46044</v>
      </c>
      <c r="C8253" t="s">
        <v>109</v>
      </c>
      <c r="D8253" s="13" t="s">
        <v>633</v>
      </c>
      <c r="E8253" t="s">
        <v>560</v>
      </c>
      <c r="F8253" s="11">
        <v>1</v>
      </c>
      <c r="G8253" s="11">
        <v>46218.49</v>
      </c>
    </row>
    <row r="8254" spans="2:7" x14ac:dyDescent="0.2">
      <c r="B8254" s="32">
        <v>46044</v>
      </c>
      <c r="C8254" t="s">
        <v>109</v>
      </c>
      <c r="D8254" s="13" t="s">
        <v>633</v>
      </c>
      <c r="E8254" t="s">
        <v>158</v>
      </c>
      <c r="F8254" s="11">
        <v>1</v>
      </c>
      <c r="G8254" s="11">
        <v>46218.48</v>
      </c>
    </row>
    <row r="8255" spans="2:7" x14ac:dyDescent="0.2">
      <c r="B8255" s="32">
        <v>46044</v>
      </c>
      <c r="C8255" t="s">
        <v>109</v>
      </c>
      <c r="D8255" s="13" t="s">
        <v>633</v>
      </c>
      <c r="E8255" t="s">
        <v>173</v>
      </c>
      <c r="F8255" s="11">
        <v>1</v>
      </c>
      <c r="G8255" s="11">
        <v>37815.129999999997</v>
      </c>
    </row>
    <row r="8256" spans="2:7" x14ac:dyDescent="0.2">
      <c r="B8256" s="32">
        <v>46044</v>
      </c>
      <c r="C8256" t="s">
        <v>109</v>
      </c>
      <c r="D8256" s="13" t="s">
        <v>633</v>
      </c>
      <c r="E8256" t="s">
        <v>148</v>
      </c>
      <c r="F8256" s="11">
        <v>1</v>
      </c>
      <c r="G8256" s="11">
        <v>37815.120000000003</v>
      </c>
    </row>
    <row r="8257" spans="2:7" x14ac:dyDescent="0.2">
      <c r="B8257" s="32">
        <v>46044</v>
      </c>
      <c r="C8257" t="s">
        <v>109</v>
      </c>
      <c r="D8257" s="13" t="s">
        <v>633</v>
      </c>
      <c r="F8257" s="11">
        <v>0</v>
      </c>
      <c r="G8257" s="11">
        <v>0</v>
      </c>
    </row>
    <row r="8258" spans="2:7" x14ac:dyDescent="0.2">
      <c r="B8258" s="32">
        <v>46045</v>
      </c>
      <c r="C8258" t="s">
        <v>142</v>
      </c>
      <c r="D8258" s="13" t="s">
        <v>634</v>
      </c>
      <c r="E8258" t="s">
        <v>202</v>
      </c>
      <c r="F8258" s="11">
        <v>1</v>
      </c>
      <c r="G8258" s="11">
        <v>46218.49</v>
      </c>
    </row>
    <row r="8259" spans="2:7" x14ac:dyDescent="0.2">
      <c r="B8259" s="32">
        <v>46045</v>
      </c>
      <c r="C8259" t="s">
        <v>142</v>
      </c>
      <c r="D8259" s="13" t="s">
        <v>633</v>
      </c>
      <c r="E8259" t="s">
        <v>283</v>
      </c>
      <c r="F8259" s="11">
        <v>2</v>
      </c>
      <c r="G8259" s="11">
        <v>109243.7</v>
      </c>
    </row>
    <row r="8260" spans="2:7" x14ac:dyDescent="0.2">
      <c r="B8260" s="32">
        <v>46045</v>
      </c>
      <c r="C8260" t="s">
        <v>142</v>
      </c>
      <c r="D8260" s="13" t="s">
        <v>633</v>
      </c>
      <c r="E8260" t="s">
        <v>292</v>
      </c>
      <c r="F8260" s="11">
        <v>2</v>
      </c>
      <c r="G8260" s="11">
        <v>109243.7</v>
      </c>
    </row>
    <row r="8261" spans="2:7" x14ac:dyDescent="0.2">
      <c r="B8261" s="32">
        <v>46045</v>
      </c>
      <c r="C8261" t="s">
        <v>142</v>
      </c>
      <c r="D8261" s="13" t="s">
        <v>633</v>
      </c>
      <c r="E8261" t="s">
        <v>280</v>
      </c>
      <c r="F8261" s="11">
        <v>2</v>
      </c>
      <c r="G8261" s="11">
        <v>109243.69</v>
      </c>
    </row>
    <row r="8262" spans="2:7" x14ac:dyDescent="0.2">
      <c r="B8262" s="32">
        <v>46045</v>
      </c>
      <c r="C8262" t="s">
        <v>142</v>
      </c>
      <c r="D8262" s="13" t="s">
        <v>633</v>
      </c>
      <c r="E8262" t="s">
        <v>243</v>
      </c>
      <c r="F8262" s="11">
        <v>2</v>
      </c>
      <c r="G8262" s="11">
        <v>109243.69</v>
      </c>
    </row>
    <row r="8263" spans="2:7" x14ac:dyDescent="0.2">
      <c r="B8263" s="32">
        <v>46045</v>
      </c>
      <c r="C8263" t="s">
        <v>142</v>
      </c>
      <c r="D8263" s="13" t="s">
        <v>633</v>
      </c>
      <c r="E8263" t="s">
        <v>222</v>
      </c>
      <c r="F8263" s="11">
        <v>1</v>
      </c>
      <c r="G8263" s="11">
        <v>54621.85</v>
      </c>
    </row>
    <row r="8264" spans="2:7" x14ac:dyDescent="0.2">
      <c r="B8264" s="32">
        <v>46045</v>
      </c>
      <c r="C8264" t="s">
        <v>142</v>
      </c>
      <c r="D8264" s="13" t="s">
        <v>633</v>
      </c>
      <c r="E8264" t="s">
        <v>409</v>
      </c>
      <c r="F8264" s="11">
        <v>1</v>
      </c>
      <c r="G8264" s="11">
        <v>54621.85</v>
      </c>
    </row>
    <row r="8265" spans="2:7" x14ac:dyDescent="0.2">
      <c r="B8265" s="32">
        <v>46045</v>
      </c>
      <c r="C8265" t="s">
        <v>142</v>
      </c>
      <c r="D8265" s="13" t="s">
        <v>633</v>
      </c>
      <c r="E8265" t="s">
        <v>212</v>
      </c>
      <c r="F8265" s="11">
        <v>1</v>
      </c>
      <c r="G8265" s="11">
        <v>54621.85</v>
      </c>
    </row>
    <row r="8266" spans="2:7" x14ac:dyDescent="0.2">
      <c r="B8266" s="32">
        <v>46045</v>
      </c>
      <c r="C8266" t="s">
        <v>142</v>
      </c>
      <c r="D8266" s="13" t="s">
        <v>633</v>
      </c>
      <c r="E8266" t="s">
        <v>311</v>
      </c>
      <c r="F8266" s="11">
        <v>1</v>
      </c>
      <c r="G8266" s="11">
        <v>54621.85</v>
      </c>
    </row>
    <row r="8267" spans="2:7" x14ac:dyDescent="0.2">
      <c r="B8267" s="32">
        <v>46045</v>
      </c>
      <c r="C8267" t="s">
        <v>142</v>
      </c>
      <c r="D8267" s="13" t="s">
        <v>633</v>
      </c>
      <c r="E8267" t="s">
        <v>228</v>
      </c>
      <c r="F8267" s="11">
        <v>1</v>
      </c>
      <c r="G8267" s="11">
        <v>54621.85</v>
      </c>
    </row>
    <row r="8268" spans="2:7" x14ac:dyDescent="0.2">
      <c r="B8268" s="32">
        <v>46045</v>
      </c>
      <c r="C8268" t="s">
        <v>142</v>
      </c>
      <c r="D8268" s="13" t="s">
        <v>633</v>
      </c>
      <c r="E8268" t="s">
        <v>145</v>
      </c>
      <c r="F8268" s="11">
        <v>1</v>
      </c>
      <c r="G8268" s="11">
        <v>29411.759999999998</v>
      </c>
    </row>
    <row r="8269" spans="2:7" x14ac:dyDescent="0.2">
      <c r="B8269" s="32">
        <v>46045</v>
      </c>
      <c r="C8269" t="s">
        <v>142</v>
      </c>
      <c r="D8269" s="13" t="s">
        <v>633</v>
      </c>
      <c r="F8269" s="11">
        <v>0</v>
      </c>
      <c r="G8269" s="11">
        <v>0</v>
      </c>
    </row>
    <row r="8270" spans="2:7" x14ac:dyDescent="0.2">
      <c r="B8270" s="32">
        <v>46045</v>
      </c>
      <c r="C8270" t="s">
        <v>109</v>
      </c>
      <c r="D8270" s="13" t="s">
        <v>634</v>
      </c>
      <c r="E8270" t="s">
        <v>194</v>
      </c>
      <c r="F8270" s="11">
        <v>1</v>
      </c>
      <c r="G8270" s="11">
        <v>100840.34</v>
      </c>
    </row>
    <row r="8271" spans="2:7" x14ac:dyDescent="0.2">
      <c r="B8271" s="32">
        <v>46045</v>
      </c>
      <c r="C8271" t="s">
        <v>109</v>
      </c>
      <c r="D8271" s="13" t="s">
        <v>634</v>
      </c>
      <c r="E8271" t="s">
        <v>189</v>
      </c>
      <c r="F8271" s="11">
        <v>1</v>
      </c>
      <c r="G8271" s="11">
        <v>71428.570000000007</v>
      </c>
    </row>
    <row r="8272" spans="2:7" x14ac:dyDescent="0.2">
      <c r="B8272" s="32">
        <v>46045</v>
      </c>
      <c r="C8272" t="s">
        <v>109</v>
      </c>
      <c r="D8272" s="13" t="s">
        <v>634</v>
      </c>
      <c r="E8272" t="s">
        <v>248</v>
      </c>
      <c r="F8272" s="11">
        <v>1</v>
      </c>
      <c r="G8272" s="11">
        <v>37815.129999999997</v>
      </c>
    </row>
    <row r="8273" spans="2:7" x14ac:dyDescent="0.2">
      <c r="B8273" s="32">
        <v>46045</v>
      </c>
      <c r="C8273" t="s">
        <v>109</v>
      </c>
      <c r="D8273" s="13" t="s">
        <v>633</v>
      </c>
      <c r="E8273" t="s">
        <v>558</v>
      </c>
      <c r="F8273" s="11">
        <v>1</v>
      </c>
      <c r="G8273" s="11">
        <v>75630.25</v>
      </c>
    </row>
    <row r="8274" spans="2:7" x14ac:dyDescent="0.2">
      <c r="B8274" s="32">
        <v>46045</v>
      </c>
      <c r="C8274" t="s">
        <v>109</v>
      </c>
      <c r="D8274" s="13" t="s">
        <v>633</v>
      </c>
      <c r="E8274" t="s">
        <v>624</v>
      </c>
      <c r="F8274" s="11">
        <v>1</v>
      </c>
      <c r="G8274" s="11">
        <v>71428.570000000007</v>
      </c>
    </row>
    <row r="8275" spans="2:7" x14ac:dyDescent="0.2">
      <c r="B8275" s="32">
        <v>46045</v>
      </c>
      <c r="C8275" t="s">
        <v>109</v>
      </c>
      <c r="D8275" s="13" t="s">
        <v>633</v>
      </c>
      <c r="E8275" t="s">
        <v>348</v>
      </c>
      <c r="F8275" s="11">
        <v>1</v>
      </c>
      <c r="G8275" s="11">
        <v>54621.85</v>
      </c>
    </row>
    <row r="8276" spans="2:7" x14ac:dyDescent="0.2">
      <c r="B8276" s="32">
        <v>46045</v>
      </c>
      <c r="C8276" t="s">
        <v>109</v>
      </c>
      <c r="D8276" s="13" t="s">
        <v>633</v>
      </c>
      <c r="E8276" t="s">
        <v>616</v>
      </c>
      <c r="F8276" s="11">
        <v>1</v>
      </c>
      <c r="G8276" s="11">
        <v>54621.85</v>
      </c>
    </row>
    <row r="8277" spans="2:7" x14ac:dyDescent="0.2">
      <c r="B8277" s="32">
        <v>46045</v>
      </c>
      <c r="C8277" t="s">
        <v>109</v>
      </c>
      <c r="D8277" s="13" t="s">
        <v>633</v>
      </c>
      <c r="E8277" t="s">
        <v>158</v>
      </c>
      <c r="F8277" s="11">
        <v>1</v>
      </c>
      <c r="G8277" s="11">
        <v>46218.49</v>
      </c>
    </row>
    <row r="8278" spans="2:7" x14ac:dyDescent="0.2">
      <c r="B8278" s="32">
        <v>46045</v>
      </c>
      <c r="C8278" t="s">
        <v>109</v>
      </c>
      <c r="D8278" s="13" t="s">
        <v>633</v>
      </c>
      <c r="E8278" t="s">
        <v>263</v>
      </c>
      <c r="F8278" s="11">
        <v>1</v>
      </c>
      <c r="G8278" s="11">
        <v>37815.129999999997</v>
      </c>
    </row>
    <row r="8279" spans="2:7" x14ac:dyDescent="0.2">
      <c r="B8279" s="32">
        <v>46046</v>
      </c>
      <c r="C8279" t="s">
        <v>142</v>
      </c>
      <c r="D8279" s="13"/>
      <c r="E8279" t="s">
        <v>670</v>
      </c>
      <c r="F8279" s="11">
        <v>1</v>
      </c>
      <c r="G8279" s="11">
        <v>0</v>
      </c>
    </row>
    <row r="8280" spans="2:7" x14ac:dyDescent="0.2">
      <c r="B8280" s="32">
        <v>46046</v>
      </c>
      <c r="C8280" t="s">
        <v>109</v>
      </c>
      <c r="D8280" s="13" t="s">
        <v>634</v>
      </c>
      <c r="E8280" t="s">
        <v>288</v>
      </c>
      <c r="F8280" s="11">
        <v>1</v>
      </c>
      <c r="G8280" s="11">
        <v>130252.1</v>
      </c>
    </row>
    <row r="8281" spans="2:7" x14ac:dyDescent="0.2">
      <c r="B8281" s="32">
        <v>46046</v>
      </c>
      <c r="C8281" t="s">
        <v>109</v>
      </c>
      <c r="D8281" s="13" t="s">
        <v>634</v>
      </c>
      <c r="E8281" t="s">
        <v>154</v>
      </c>
      <c r="F8281" s="11">
        <v>1</v>
      </c>
      <c r="G8281" s="11">
        <v>100840.34</v>
      </c>
    </row>
    <row r="8282" spans="2:7" x14ac:dyDescent="0.2">
      <c r="B8282" s="32">
        <v>46046</v>
      </c>
      <c r="C8282" t="s">
        <v>109</v>
      </c>
      <c r="D8282" s="13" t="s">
        <v>634</v>
      </c>
      <c r="E8282" t="s">
        <v>181</v>
      </c>
      <c r="F8282" s="11">
        <v>1</v>
      </c>
      <c r="G8282" s="11">
        <v>84033.61</v>
      </c>
    </row>
    <row r="8283" spans="2:7" x14ac:dyDescent="0.2">
      <c r="B8283" s="32">
        <v>46046</v>
      </c>
      <c r="C8283" t="s">
        <v>109</v>
      </c>
      <c r="D8283" s="13" t="s">
        <v>634</v>
      </c>
      <c r="E8283" t="s">
        <v>290</v>
      </c>
      <c r="F8283" s="11">
        <v>1</v>
      </c>
      <c r="G8283" s="11">
        <v>58823.53</v>
      </c>
    </row>
    <row r="8284" spans="2:7" x14ac:dyDescent="0.2">
      <c r="B8284" s="32">
        <v>46046</v>
      </c>
      <c r="C8284" t="s">
        <v>109</v>
      </c>
      <c r="D8284" s="13" t="s">
        <v>634</v>
      </c>
      <c r="E8284" t="s">
        <v>166</v>
      </c>
      <c r="F8284" s="11">
        <v>1</v>
      </c>
      <c r="G8284" s="11">
        <v>42016.81</v>
      </c>
    </row>
    <row r="8285" spans="2:7" x14ac:dyDescent="0.2">
      <c r="B8285" s="32">
        <v>46046</v>
      </c>
      <c r="C8285" t="s">
        <v>109</v>
      </c>
      <c r="D8285" s="13" t="s">
        <v>634</v>
      </c>
      <c r="F8285" s="11">
        <v>0</v>
      </c>
      <c r="G8285" s="11">
        <v>0</v>
      </c>
    </row>
    <row r="8286" spans="2:7" x14ac:dyDescent="0.2">
      <c r="B8286" s="32">
        <v>46046</v>
      </c>
      <c r="C8286" t="s">
        <v>109</v>
      </c>
      <c r="D8286" s="13" t="s">
        <v>633</v>
      </c>
      <c r="E8286" t="s">
        <v>643</v>
      </c>
      <c r="F8286" s="11">
        <v>2</v>
      </c>
      <c r="G8286" s="11">
        <v>121008.4</v>
      </c>
    </row>
    <row r="8287" spans="2:7" x14ac:dyDescent="0.2">
      <c r="B8287" s="32">
        <v>46046</v>
      </c>
      <c r="C8287" t="s">
        <v>109</v>
      </c>
      <c r="D8287" s="13" t="s">
        <v>633</v>
      </c>
      <c r="E8287" t="s">
        <v>567</v>
      </c>
      <c r="F8287" s="11">
        <v>1</v>
      </c>
      <c r="G8287" s="11">
        <v>109243.7</v>
      </c>
    </row>
    <row r="8288" spans="2:7" x14ac:dyDescent="0.2">
      <c r="B8288" s="32">
        <v>46046</v>
      </c>
      <c r="C8288" t="s">
        <v>109</v>
      </c>
      <c r="D8288" s="13" t="s">
        <v>633</v>
      </c>
      <c r="E8288" t="s">
        <v>395</v>
      </c>
      <c r="F8288" s="11">
        <v>1</v>
      </c>
      <c r="G8288" s="11">
        <v>75630.25</v>
      </c>
    </row>
    <row r="8289" spans="2:7" x14ac:dyDescent="0.2">
      <c r="B8289" s="32">
        <v>46046</v>
      </c>
      <c r="C8289" t="s">
        <v>109</v>
      </c>
      <c r="D8289" s="13" t="s">
        <v>633</v>
      </c>
      <c r="E8289" t="s">
        <v>264</v>
      </c>
      <c r="F8289" s="11">
        <v>1</v>
      </c>
      <c r="G8289" s="11">
        <v>75630.25</v>
      </c>
    </row>
    <row r="8290" spans="2:7" x14ac:dyDescent="0.2">
      <c r="B8290" s="32">
        <v>46046</v>
      </c>
      <c r="C8290" t="s">
        <v>109</v>
      </c>
      <c r="D8290" s="13" t="s">
        <v>633</v>
      </c>
      <c r="E8290" t="s">
        <v>234</v>
      </c>
      <c r="F8290" s="11">
        <v>2</v>
      </c>
      <c r="G8290" s="11">
        <v>75630.25</v>
      </c>
    </row>
    <row r="8291" spans="2:7" x14ac:dyDescent="0.2">
      <c r="B8291" s="32">
        <v>46046</v>
      </c>
      <c r="C8291" t="s">
        <v>109</v>
      </c>
      <c r="D8291" s="13" t="s">
        <v>633</v>
      </c>
      <c r="E8291" t="s">
        <v>152</v>
      </c>
      <c r="F8291" s="11">
        <v>1</v>
      </c>
      <c r="G8291" s="11">
        <v>75630.25</v>
      </c>
    </row>
    <row r="8292" spans="2:7" x14ac:dyDescent="0.2">
      <c r="B8292" s="32">
        <v>46046</v>
      </c>
      <c r="C8292" t="s">
        <v>109</v>
      </c>
      <c r="D8292" s="13" t="s">
        <v>633</v>
      </c>
      <c r="E8292" t="s">
        <v>147</v>
      </c>
      <c r="F8292" s="11">
        <v>1</v>
      </c>
      <c r="G8292" s="11">
        <v>71428.58</v>
      </c>
    </row>
    <row r="8293" spans="2:7" x14ac:dyDescent="0.2">
      <c r="B8293" s="32">
        <v>46046</v>
      </c>
      <c r="C8293" t="s">
        <v>109</v>
      </c>
      <c r="D8293" s="13" t="s">
        <v>633</v>
      </c>
      <c r="E8293" t="s">
        <v>357</v>
      </c>
      <c r="F8293" s="11">
        <v>1</v>
      </c>
      <c r="G8293" s="11">
        <v>71428.570000000007</v>
      </c>
    </row>
    <row r="8294" spans="2:7" x14ac:dyDescent="0.2">
      <c r="B8294" s="32">
        <v>46046</v>
      </c>
      <c r="C8294" t="s">
        <v>109</v>
      </c>
      <c r="D8294" s="13" t="s">
        <v>633</v>
      </c>
      <c r="E8294" t="s">
        <v>334</v>
      </c>
      <c r="F8294" s="11">
        <v>1</v>
      </c>
      <c r="G8294" s="11">
        <v>71428.570000000007</v>
      </c>
    </row>
    <row r="8295" spans="2:7" x14ac:dyDescent="0.2">
      <c r="B8295" s="32">
        <v>46046</v>
      </c>
      <c r="C8295" t="s">
        <v>109</v>
      </c>
      <c r="D8295" s="13" t="s">
        <v>633</v>
      </c>
      <c r="E8295" t="s">
        <v>336</v>
      </c>
      <c r="F8295" s="11">
        <v>1</v>
      </c>
      <c r="G8295" s="11">
        <v>71428.570000000007</v>
      </c>
    </row>
    <row r="8296" spans="2:7" x14ac:dyDescent="0.2">
      <c r="B8296" s="32">
        <v>46046</v>
      </c>
      <c r="C8296" t="s">
        <v>109</v>
      </c>
      <c r="D8296" s="13" t="s">
        <v>633</v>
      </c>
      <c r="E8296" t="s">
        <v>181</v>
      </c>
      <c r="F8296" s="11">
        <v>1</v>
      </c>
      <c r="G8296" s="11">
        <v>58823.519999999997</v>
      </c>
    </row>
    <row r="8297" spans="2:7" x14ac:dyDescent="0.2">
      <c r="B8297" s="32">
        <v>46046</v>
      </c>
      <c r="C8297" t="s">
        <v>109</v>
      </c>
      <c r="D8297" s="13" t="s">
        <v>633</v>
      </c>
      <c r="E8297" t="s">
        <v>151</v>
      </c>
      <c r="F8297" s="11">
        <v>1</v>
      </c>
      <c r="G8297" s="11">
        <v>46218.49</v>
      </c>
    </row>
    <row r="8298" spans="2:7" x14ac:dyDescent="0.2">
      <c r="B8298" s="32">
        <v>46046</v>
      </c>
      <c r="C8298" t="s">
        <v>109</v>
      </c>
      <c r="D8298" s="13" t="s">
        <v>633</v>
      </c>
      <c r="E8298" t="s">
        <v>150</v>
      </c>
      <c r="F8298" s="11">
        <v>1</v>
      </c>
      <c r="G8298" s="11">
        <v>46218.49</v>
      </c>
    </row>
    <row r="8299" spans="2:7" x14ac:dyDescent="0.2">
      <c r="B8299" s="32">
        <v>46046</v>
      </c>
      <c r="C8299" t="s">
        <v>109</v>
      </c>
      <c r="D8299" s="13" t="s">
        <v>633</v>
      </c>
      <c r="E8299" t="s">
        <v>179</v>
      </c>
      <c r="F8299" s="11">
        <v>1</v>
      </c>
      <c r="G8299" s="11">
        <v>46218.49</v>
      </c>
    </row>
    <row r="8300" spans="2:7" x14ac:dyDescent="0.2">
      <c r="B8300" s="32">
        <v>46046</v>
      </c>
      <c r="C8300" t="s">
        <v>109</v>
      </c>
      <c r="D8300" s="13" t="s">
        <v>633</v>
      </c>
      <c r="E8300" t="s">
        <v>195</v>
      </c>
      <c r="F8300" s="11">
        <v>1</v>
      </c>
      <c r="G8300" s="11">
        <v>46218.49</v>
      </c>
    </row>
    <row r="8301" spans="2:7" x14ac:dyDescent="0.2">
      <c r="B8301" s="32">
        <v>46046</v>
      </c>
      <c r="C8301" t="s">
        <v>109</v>
      </c>
      <c r="D8301" s="13" t="s">
        <v>633</v>
      </c>
      <c r="E8301" t="s">
        <v>161</v>
      </c>
      <c r="F8301" s="11">
        <v>1</v>
      </c>
      <c r="G8301" s="11">
        <v>42016.81</v>
      </c>
    </row>
    <row r="8302" spans="2:7" x14ac:dyDescent="0.2">
      <c r="B8302" s="32">
        <v>46046</v>
      </c>
      <c r="C8302" t="s">
        <v>109</v>
      </c>
      <c r="D8302" s="13" t="s">
        <v>633</v>
      </c>
      <c r="E8302" t="s">
        <v>203</v>
      </c>
      <c r="F8302" s="11">
        <v>1</v>
      </c>
      <c r="G8302" s="11">
        <v>42016.800000000003</v>
      </c>
    </row>
    <row r="8303" spans="2:7" x14ac:dyDescent="0.2">
      <c r="B8303" s="32">
        <v>46046</v>
      </c>
      <c r="C8303" t="s">
        <v>109</v>
      </c>
      <c r="D8303" s="13" t="s">
        <v>633</v>
      </c>
      <c r="E8303" t="s">
        <v>173</v>
      </c>
      <c r="F8303" s="11">
        <v>1</v>
      </c>
      <c r="G8303" s="11">
        <v>37815.129999999997</v>
      </c>
    </row>
    <row r="8304" spans="2:7" x14ac:dyDescent="0.2">
      <c r="B8304" s="32">
        <v>46046</v>
      </c>
      <c r="C8304" t="s">
        <v>109</v>
      </c>
      <c r="D8304" s="13" t="s">
        <v>633</v>
      </c>
      <c r="E8304" t="s">
        <v>144</v>
      </c>
      <c r="F8304" s="11">
        <v>1</v>
      </c>
      <c r="G8304" s="11">
        <v>25210.080000000002</v>
      </c>
    </row>
    <row r="8305" spans="2:7" x14ac:dyDescent="0.2">
      <c r="B8305" s="32">
        <v>46047</v>
      </c>
      <c r="C8305" t="s">
        <v>142</v>
      </c>
      <c r="D8305" s="13" t="s">
        <v>634</v>
      </c>
      <c r="E8305" t="s">
        <v>160</v>
      </c>
      <c r="F8305" s="11">
        <v>2</v>
      </c>
      <c r="G8305" s="11">
        <v>92436.97</v>
      </c>
    </row>
    <row r="8306" spans="2:7" x14ac:dyDescent="0.2">
      <c r="B8306" s="32">
        <v>46047</v>
      </c>
      <c r="C8306" t="s">
        <v>142</v>
      </c>
      <c r="D8306" s="13" t="s">
        <v>634</v>
      </c>
      <c r="E8306" t="s">
        <v>238</v>
      </c>
      <c r="F8306" s="11">
        <v>1</v>
      </c>
      <c r="G8306" s="11">
        <v>46218.49</v>
      </c>
    </row>
    <row r="8307" spans="2:7" x14ac:dyDescent="0.2">
      <c r="B8307" s="32">
        <v>46047</v>
      </c>
      <c r="C8307" t="s">
        <v>142</v>
      </c>
      <c r="D8307" s="13" t="s">
        <v>634</v>
      </c>
      <c r="F8307" s="11">
        <v>0</v>
      </c>
      <c r="G8307" s="11">
        <v>0</v>
      </c>
    </row>
    <row r="8308" spans="2:7" x14ac:dyDescent="0.2">
      <c r="B8308" s="32">
        <v>46047</v>
      </c>
      <c r="C8308" t="s">
        <v>142</v>
      </c>
      <c r="D8308" s="13" t="s">
        <v>633</v>
      </c>
      <c r="E8308" t="s">
        <v>233</v>
      </c>
      <c r="F8308" s="11">
        <v>1</v>
      </c>
      <c r="G8308" s="11">
        <v>58823.53</v>
      </c>
    </row>
    <row r="8309" spans="2:7" x14ac:dyDescent="0.2">
      <c r="B8309" s="32">
        <v>46047</v>
      </c>
      <c r="C8309" t="s">
        <v>142</v>
      </c>
      <c r="D8309" s="13" t="s">
        <v>633</v>
      </c>
      <c r="E8309" t="s">
        <v>281</v>
      </c>
      <c r="F8309" s="11">
        <v>1</v>
      </c>
      <c r="G8309" s="11">
        <v>58823.53</v>
      </c>
    </row>
    <row r="8310" spans="2:7" x14ac:dyDescent="0.2">
      <c r="B8310" s="32">
        <v>46047</v>
      </c>
      <c r="C8310" t="s">
        <v>142</v>
      </c>
      <c r="D8310" s="13" t="s">
        <v>633</v>
      </c>
      <c r="E8310" t="s">
        <v>272</v>
      </c>
      <c r="F8310" s="11">
        <v>1</v>
      </c>
      <c r="G8310" s="11">
        <v>58823.53</v>
      </c>
    </row>
    <row r="8311" spans="2:7" x14ac:dyDescent="0.2">
      <c r="B8311" s="32">
        <v>46047</v>
      </c>
      <c r="C8311" t="s">
        <v>142</v>
      </c>
      <c r="D8311" s="13" t="s">
        <v>633</v>
      </c>
      <c r="F8311" s="11">
        <v>0</v>
      </c>
      <c r="G8311" s="11">
        <v>0</v>
      </c>
    </row>
    <row r="8312" spans="2:7" x14ac:dyDescent="0.2">
      <c r="B8312" s="32">
        <v>46047</v>
      </c>
      <c r="C8312" t="s">
        <v>109</v>
      </c>
      <c r="D8312" s="13" t="s">
        <v>634</v>
      </c>
      <c r="E8312" t="s">
        <v>190</v>
      </c>
      <c r="F8312" s="11">
        <v>2</v>
      </c>
      <c r="G8312" s="11">
        <v>159663.87</v>
      </c>
    </row>
    <row r="8313" spans="2:7" x14ac:dyDescent="0.2">
      <c r="B8313" s="32">
        <v>46047</v>
      </c>
      <c r="C8313" t="s">
        <v>109</v>
      </c>
      <c r="D8313" s="13" t="s">
        <v>634</v>
      </c>
      <c r="E8313" t="s">
        <v>147</v>
      </c>
      <c r="F8313" s="11">
        <v>1</v>
      </c>
      <c r="G8313" s="11">
        <v>71428.570000000007</v>
      </c>
    </row>
    <row r="8314" spans="2:7" x14ac:dyDescent="0.2">
      <c r="B8314" s="32">
        <v>46047</v>
      </c>
      <c r="C8314" t="s">
        <v>109</v>
      </c>
      <c r="D8314" s="13" t="s">
        <v>634</v>
      </c>
      <c r="E8314" t="s">
        <v>149</v>
      </c>
      <c r="F8314" s="11">
        <v>1</v>
      </c>
      <c r="G8314" s="11">
        <v>71428.570000000007</v>
      </c>
    </row>
    <row r="8315" spans="2:7" x14ac:dyDescent="0.2">
      <c r="B8315" s="32">
        <v>46047</v>
      </c>
      <c r="C8315" t="s">
        <v>109</v>
      </c>
      <c r="D8315" s="13" t="s">
        <v>634</v>
      </c>
      <c r="E8315" t="s">
        <v>291</v>
      </c>
      <c r="F8315" s="11">
        <v>1</v>
      </c>
      <c r="G8315" s="11">
        <v>46218.49</v>
      </c>
    </row>
    <row r="8316" spans="2:7" x14ac:dyDescent="0.2">
      <c r="B8316" s="32">
        <v>46047</v>
      </c>
      <c r="C8316" t="s">
        <v>109</v>
      </c>
      <c r="D8316" s="13" t="s">
        <v>633</v>
      </c>
      <c r="E8316" t="s">
        <v>674</v>
      </c>
      <c r="F8316" s="11">
        <v>1</v>
      </c>
      <c r="G8316" s="11">
        <v>159663.87</v>
      </c>
    </row>
    <row r="8317" spans="2:7" x14ac:dyDescent="0.2">
      <c r="B8317" s="32">
        <v>46047</v>
      </c>
      <c r="C8317" t="s">
        <v>109</v>
      </c>
      <c r="D8317" s="13" t="s">
        <v>633</v>
      </c>
      <c r="E8317" t="s">
        <v>639</v>
      </c>
      <c r="F8317" s="11">
        <v>1</v>
      </c>
      <c r="G8317" s="11">
        <v>99000</v>
      </c>
    </row>
    <row r="8318" spans="2:7" x14ac:dyDescent="0.2">
      <c r="B8318" s="32">
        <v>46047</v>
      </c>
      <c r="C8318" t="s">
        <v>109</v>
      </c>
      <c r="D8318" s="13" t="s">
        <v>633</v>
      </c>
      <c r="E8318" t="s">
        <v>238</v>
      </c>
      <c r="F8318" s="11">
        <v>1</v>
      </c>
      <c r="G8318" s="11">
        <v>46218.49</v>
      </c>
    </row>
    <row r="8319" spans="2:7" x14ac:dyDescent="0.2">
      <c r="B8319" s="32">
        <v>46047</v>
      </c>
      <c r="C8319" t="s">
        <v>109</v>
      </c>
      <c r="D8319" s="13" t="s">
        <v>633</v>
      </c>
      <c r="E8319" t="s">
        <v>150</v>
      </c>
      <c r="F8319" s="11">
        <v>1</v>
      </c>
      <c r="G8319" s="11">
        <v>46218.48</v>
      </c>
    </row>
    <row r="8320" spans="2:7" x14ac:dyDescent="0.2">
      <c r="B8320" s="32">
        <v>46047</v>
      </c>
      <c r="C8320" t="s">
        <v>109</v>
      </c>
      <c r="D8320" s="13" t="s">
        <v>633</v>
      </c>
      <c r="E8320" t="s">
        <v>158</v>
      </c>
      <c r="F8320" s="11">
        <v>1</v>
      </c>
      <c r="G8320" s="11">
        <v>46218.48</v>
      </c>
    </row>
    <row r="8321" spans="2:7" x14ac:dyDescent="0.2">
      <c r="B8321" s="32">
        <v>46047</v>
      </c>
      <c r="C8321" t="s">
        <v>109</v>
      </c>
      <c r="D8321" s="13" t="s">
        <v>633</v>
      </c>
      <c r="E8321" t="s">
        <v>166</v>
      </c>
      <c r="F8321" s="11">
        <v>1</v>
      </c>
      <c r="G8321" s="11">
        <v>42016.81</v>
      </c>
    </row>
    <row r="8322" spans="2:7" x14ac:dyDescent="0.2">
      <c r="B8322" s="32">
        <v>46047</v>
      </c>
      <c r="C8322" t="s">
        <v>109</v>
      </c>
      <c r="D8322" s="13" t="s">
        <v>633</v>
      </c>
      <c r="E8322" t="s">
        <v>234</v>
      </c>
      <c r="F8322" s="11">
        <v>1</v>
      </c>
      <c r="G8322" s="11">
        <v>37815.129999999997</v>
      </c>
    </row>
    <row r="8323" spans="2:7" x14ac:dyDescent="0.2">
      <c r="B8323" s="32">
        <v>46047</v>
      </c>
      <c r="C8323" t="s">
        <v>109</v>
      </c>
      <c r="D8323" s="13" t="s">
        <v>633</v>
      </c>
      <c r="E8323" t="s">
        <v>171</v>
      </c>
      <c r="F8323" s="11">
        <v>1</v>
      </c>
      <c r="G8323" s="11">
        <v>29411.759999999998</v>
      </c>
    </row>
    <row r="8324" spans="2:7" x14ac:dyDescent="0.2">
      <c r="B8324" s="32">
        <v>46048</v>
      </c>
      <c r="C8324" t="s">
        <v>142</v>
      </c>
      <c r="D8324" s="13" t="s">
        <v>634</v>
      </c>
      <c r="E8324" t="s">
        <v>298</v>
      </c>
      <c r="F8324" s="11">
        <v>1</v>
      </c>
      <c r="G8324" s="11">
        <v>100840.34</v>
      </c>
    </row>
    <row r="8325" spans="2:7" x14ac:dyDescent="0.2">
      <c r="B8325" s="32">
        <v>46048</v>
      </c>
      <c r="C8325" t="s">
        <v>142</v>
      </c>
      <c r="D8325" s="13" t="s">
        <v>634</v>
      </c>
      <c r="E8325" t="s">
        <v>213</v>
      </c>
      <c r="F8325" s="11">
        <v>1</v>
      </c>
      <c r="G8325" s="11">
        <v>63025.21</v>
      </c>
    </row>
    <row r="8326" spans="2:7" x14ac:dyDescent="0.2">
      <c r="B8326" s="32">
        <v>46048</v>
      </c>
      <c r="C8326" t="s">
        <v>142</v>
      </c>
      <c r="D8326" s="13" t="s">
        <v>634</v>
      </c>
      <c r="E8326" t="s">
        <v>267</v>
      </c>
      <c r="F8326" s="11">
        <v>1</v>
      </c>
      <c r="G8326" s="11">
        <v>58823.53</v>
      </c>
    </row>
    <row r="8327" spans="2:7" x14ac:dyDescent="0.2">
      <c r="B8327" s="32">
        <v>46048</v>
      </c>
      <c r="C8327" t="s">
        <v>142</v>
      </c>
      <c r="D8327" s="13" t="s">
        <v>634</v>
      </c>
      <c r="E8327" t="s">
        <v>210</v>
      </c>
      <c r="F8327" s="11">
        <v>1</v>
      </c>
      <c r="G8327" s="11">
        <v>50420.17</v>
      </c>
    </row>
    <row r="8328" spans="2:7" x14ac:dyDescent="0.2">
      <c r="B8328" s="32">
        <v>46048</v>
      </c>
      <c r="C8328" t="s">
        <v>142</v>
      </c>
      <c r="D8328" s="13" t="s">
        <v>634</v>
      </c>
      <c r="F8328" s="11">
        <v>0</v>
      </c>
      <c r="G8328" s="11">
        <v>0</v>
      </c>
    </row>
    <row r="8329" spans="2:7" x14ac:dyDescent="0.2">
      <c r="B8329" s="32">
        <v>46048</v>
      </c>
      <c r="C8329" t="s">
        <v>142</v>
      </c>
      <c r="D8329" s="13" t="s">
        <v>633</v>
      </c>
      <c r="E8329" t="s">
        <v>554</v>
      </c>
      <c r="F8329" s="11">
        <v>3</v>
      </c>
      <c r="G8329" s="11">
        <v>563025.21</v>
      </c>
    </row>
    <row r="8330" spans="2:7" x14ac:dyDescent="0.2">
      <c r="B8330" s="32">
        <v>46048</v>
      </c>
      <c r="C8330" t="s">
        <v>142</v>
      </c>
      <c r="D8330" s="13" t="s">
        <v>633</v>
      </c>
      <c r="E8330" t="s">
        <v>644</v>
      </c>
      <c r="F8330" s="11">
        <v>2</v>
      </c>
      <c r="G8330" s="11">
        <v>126050.42</v>
      </c>
    </row>
    <row r="8331" spans="2:7" x14ac:dyDescent="0.2">
      <c r="B8331" s="32">
        <v>46048</v>
      </c>
      <c r="C8331" t="s">
        <v>142</v>
      </c>
      <c r="D8331" s="13" t="s">
        <v>633</v>
      </c>
      <c r="E8331" t="s">
        <v>228</v>
      </c>
      <c r="F8331" s="11">
        <v>2</v>
      </c>
      <c r="G8331" s="11">
        <v>109243.7</v>
      </c>
    </row>
    <row r="8332" spans="2:7" x14ac:dyDescent="0.2">
      <c r="B8332" s="32">
        <v>46048</v>
      </c>
      <c r="C8332" t="s">
        <v>142</v>
      </c>
      <c r="D8332" s="13" t="s">
        <v>633</v>
      </c>
      <c r="E8332" t="s">
        <v>239</v>
      </c>
      <c r="F8332" s="11">
        <v>2</v>
      </c>
      <c r="G8332" s="11">
        <v>100840.34</v>
      </c>
    </row>
    <row r="8333" spans="2:7" x14ac:dyDescent="0.2">
      <c r="B8333" s="32">
        <v>46048</v>
      </c>
      <c r="C8333" t="s">
        <v>142</v>
      </c>
      <c r="D8333" s="13" t="s">
        <v>633</v>
      </c>
      <c r="E8333" t="s">
        <v>370</v>
      </c>
      <c r="F8333" s="11">
        <v>1</v>
      </c>
      <c r="G8333" s="11">
        <v>84033.61</v>
      </c>
    </row>
    <row r="8334" spans="2:7" x14ac:dyDescent="0.2">
      <c r="B8334" s="32">
        <v>46048</v>
      </c>
      <c r="C8334" t="s">
        <v>142</v>
      </c>
      <c r="D8334" s="13" t="s">
        <v>633</v>
      </c>
      <c r="E8334" t="s">
        <v>287</v>
      </c>
      <c r="F8334" s="11">
        <v>1</v>
      </c>
      <c r="G8334" s="11">
        <v>63025.21</v>
      </c>
    </row>
    <row r="8335" spans="2:7" x14ac:dyDescent="0.2">
      <c r="B8335" s="32">
        <v>46048</v>
      </c>
      <c r="C8335" t="s">
        <v>142</v>
      </c>
      <c r="D8335" s="13" t="s">
        <v>633</v>
      </c>
      <c r="F8335" s="11">
        <v>0</v>
      </c>
      <c r="G8335" s="11">
        <v>0</v>
      </c>
    </row>
    <row r="8336" spans="2:7" x14ac:dyDescent="0.2">
      <c r="B8336" s="32">
        <v>46048</v>
      </c>
      <c r="C8336" t="s">
        <v>109</v>
      </c>
      <c r="D8336" s="13" t="s">
        <v>634</v>
      </c>
      <c r="E8336" t="s">
        <v>145</v>
      </c>
      <c r="F8336" s="11">
        <v>4</v>
      </c>
      <c r="G8336" s="11">
        <v>117647.06</v>
      </c>
    </row>
    <row r="8337" spans="2:7" x14ac:dyDescent="0.2">
      <c r="B8337" s="32">
        <v>46048</v>
      </c>
      <c r="C8337" t="s">
        <v>109</v>
      </c>
      <c r="D8337" s="13" t="s">
        <v>634</v>
      </c>
      <c r="E8337" t="s">
        <v>266</v>
      </c>
      <c r="F8337" s="11">
        <v>1</v>
      </c>
      <c r="G8337" s="11">
        <v>84033.61</v>
      </c>
    </row>
    <row r="8338" spans="2:7" x14ac:dyDescent="0.2">
      <c r="B8338" s="32">
        <v>46048</v>
      </c>
      <c r="C8338" t="s">
        <v>109</v>
      </c>
      <c r="D8338" s="13" t="s">
        <v>634</v>
      </c>
      <c r="E8338" t="s">
        <v>177</v>
      </c>
      <c r="F8338" s="11">
        <v>2</v>
      </c>
      <c r="G8338" s="11">
        <v>84033.61</v>
      </c>
    </row>
    <row r="8339" spans="2:7" x14ac:dyDescent="0.2">
      <c r="B8339" s="32">
        <v>46048</v>
      </c>
      <c r="C8339" t="s">
        <v>109</v>
      </c>
      <c r="D8339" s="13" t="s">
        <v>634</v>
      </c>
      <c r="E8339" t="s">
        <v>271</v>
      </c>
      <c r="F8339" s="11">
        <v>1</v>
      </c>
      <c r="G8339" s="11">
        <v>83193.279999999999</v>
      </c>
    </row>
    <row r="8340" spans="2:7" x14ac:dyDescent="0.2">
      <c r="B8340" s="32">
        <v>46048</v>
      </c>
      <c r="C8340" t="s">
        <v>109</v>
      </c>
      <c r="D8340" s="13" t="s">
        <v>634</v>
      </c>
      <c r="E8340" t="s">
        <v>149</v>
      </c>
      <c r="F8340" s="11">
        <v>1</v>
      </c>
      <c r="G8340" s="11">
        <v>71428.570000000007</v>
      </c>
    </row>
    <row r="8341" spans="2:7" x14ac:dyDescent="0.2">
      <c r="B8341" s="32">
        <v>46048</v>
      </c>
      <c r="C8341" t="s">
        <v>109</v>
      </c>
      <c r="D8341" s="13" t="s">
        <v>634</v>
      </c>
      <c r="E8341" t="s">
        <v>300</v>
      </c>
      <c r="F8341" s="11">
        <v>1</v>
      </c>
      <c r="G8341" s="11">
        <v>42016.81</v>
      </c>
    </row>
    <row r="8342" spans="2:7" x14ac:dyDescent="0.2">
      <c r="B8342" s="32">
        <v>46048</v>
      </c>
      <c r="C8342" t="s">
        <v>109</v>
      </c>
      <c r="D8342" s="13" t="s">
        <v>634</v>
      </c>
      <c r="E8342" t="s">
        <v>204</v>
      </c>
      <c r="F8342" s="11">
        <v>1</v>
      </c>
      <c r="G8342" s="11">
        <v>42016.81</v>
      </c>
    </row>
    <row r="8343" spans="2:7" x14ac:dyDescent="0.2">
      <c r="B8343" s="32">
        <v>46048</v>
      </c>
      <c r="C8343" t="s">
        <v>109</v>
      </c>
      <c r="D8343" s="13" t="s">
        <v>634</v>
      </c>
      <c r="E8343" t="s">
        <v>284</v>
      </c>
      <c r="F8343" s="11">
        <v>1</v>
      </c>
      <c r="G8343" s="11">
        <v>42016.81</v>
      </c>
    </row>
    <row r="8344" spans="2:7" x14ac:dyDescent="0.2">
      <c r="B8344" s="32">
        <v>46048</v>
      </c>
      <c r="C8344" t="s">
        <v>109</v>
      </c>
      <c r="D8344" s="13" t="s">
        <v>633</v>
      </c>
      <c r="E8344" t="s">
        <v>301</v>
      </c>
      <c r="F8344" s="11">
        <v>1</v>
      </c>
      <c r="G8344" s="11">
        <v>336977.53</v>
      </c>
    </row>
    <row r="8345" spans="2:7" x14ac:dyDescent="0.2">
      <c r="B8345" s="32">
        <v>46048</v>
      </c>
      <c r="C8345" t="s">
        <v>109</v>
      </c>
      <c r="D8345" s="13" t="s">
        <v>633</v>
      </c>
      <c r="E8345" t="s">
        <v>145</v>
      </c>
      <c r="F8345" s="11">
        <v>5</v>
      </c>
      <c r="G8345" s="11">
        <v>147058.82</v>
      </c>
    </row>
    <row r="8346" spans="2:7" x14ac:dyDescent="0.2">
      <c r="B8346" s="32">
        <v>46048</v>
      </c>
      <c r="C8346" t="s">
        <v>109</v>
      </c>
      <c r="D8346" s="13" t="s">
        <v>633</v>
      </c>
      <c r="E8346" t="s">
        <v>245</v>
      </c>
      <c r="F8346" s="11">
        <v>1</v>
      </c>
      <c r="G8346" s="11">
        <v>125287.8</v>
      </c>
    </row>
    <row r="8347" spans="2:7" x14ac:dyDescent="0.2">
      <c r="B8347" s="32">
        <v>46048</v>
      </c>
      <c r="C8347" t="s">
        <v>109</v>
      </c>
      <c r="D8347" s="13" t="s">
        <v>633</v>
      </c>
      <c r="E8347" t="s">
        <v>675</v>
      </c>
      <c r="F8347" s="11">
        <v>1</v>
      </c>
      <c r="G8347" s="11">
        <v>97407.09</v>
      </c>
    </row>
    <row r="8348" spans="2:7" x14ac:dyDescent="0.2">
      <c r="B8348" s="32">
        <v>46048</v>
      </c>
      <c r="C8348" t="s">
        <v>109</v>
      </c>
      <c r="D8348" s="13" t="s">
        <v>633</v>
      </c>
      <c r="E8348" t="s">
        <v>157</v>
      </c>
      <c r="F8348" s="11">
        <v>1</v>
      </c>
      <c r="G8348" s="11">
        <v>83525.2</v>
      </c>
    </row>
    <row r="8349" spans="2:7" x14ac:dyDescent="0.2">
      <c r="B8349" s="32">
        <v>46048</v>
      </c>
      <c r="C8349" t="s">
        <v>109</v>
      </c>
      <c r="D8349" s="13" t="s">
        <v>633</v>
      </c>
      <c r="E8349" t="s">
        <v>668</v>
      </c>
      <c r="F8349" s="11">
        <v>1</v>
      </c>
      <c r="G8349" s="11">
        <v>83525.19</v>
      </c>
    </row>
    <row r="8350" spans="2:7" x14ac:dyDescent="0.2">
      <c r="B8350" s="32">
        <v>46048</v>
      </c>
      <c r="C8350" t="s">
        <v>109</v>
      </c>
      <c r="D8350" s="13" t="s">
        <v>633</v>
      </c>
      <c r="E8350" t="s">
        <v>330</v>
      </c>
      <c r="F8350" s="11">
        <v>2</v>
      </c>
      <c r="G8350" s="11">
        <v>75172.679999999993</v>
      </c>
    </row>
    <row r="8351" spans="2:7" x14ac:dyDescent="0.2">
      <c r="B8351" s="32">
        <v>46048</v>
      </c>
      <c r="C8351" t="s">
        <v>109</v>
      </c>
      <c r="D8351" s="13" t="s">
        <v>633</v>
      </c>
      <c r="E8351" t="s">
        <v>148</v>
      </c>
      <c r="F8351" s="11">
        <v>2</v>
      </c>
      <c r="G8351" s="11">
        <v>75172.679999999993</v>
      </c>
    </row>
    <row r="8352" spans="2:7" x14ac:dyDescent="0.2">
      <c r="B8352" s="32">
        <v>46048</v>
      </c>
      <c r="C8352" t="s">
        <v>109</v>
      </c>
      <c r="D8352" s="13" t="s">
        <v>633</v>
      </c>
      <c r="E8352" t="s">
        <v>173</v>
      </c>
      <c r="F8352" s="11">
        <v>2</v>
      </c>
      <c r="G8352" s="11">
        <v>75172.679999999993</v>
      </c>
    </row>
    <row r="8353" spans="2:7" x14ac:dyDescent="0.2">
      <c r="B8353" s="32">
        <v>46048</v>
      </c>
      <c r="C8353" t="s">
        <v>109</v>
      </c>
      <c r="D8353" s="13" t="s">
        <v>633</v>
      </c>
      <c r="E8353" t="s">
        <v>234</v>
      </c>
      <c r="F8353" s="11">
        <v>2</v>
      </c>
      <c r="G8353" s="11">
        <v>75172.679999999993</v>
      </c>
    </row>
    <row r="8354" spans="2:7" x14ac:dyDescent="0.2">
      <c r="B8354" s="32">
        <v>46048</v>
      </c>
      <c r="C8354" t="s">
        <v>109</v>
      </c>
      <c r="D8354" s="13" t="s">
        <v>633</v>
      </c>
      <c r="E8354" t="s">
        <v>416</v>
      </c>
      <c r="F8354" s="11">
        <v>1</v>
      </c>
      <c r="G8354" s="11">
        <v>50115.12</v>
      </c>
    </row>
    <row r="8355" spans="2:7" x14ac:dyDescent="0.2">
      <c r="B8355" s="32">
        <v>46048</v>
      </c>
      <c r="C8355" t="s">
        <v>109</v>
      </c>
      <c r="D8355" s="13" t="s">
        <v>633</v>
      </c>
      <c r="E8355" t="s">
        <v>265</v>
      </c>
      <c r="F8355" s="11">
        <v>1</v>
      </c>
      <c r="G8355" s="11">
        <v>50115.12</v>
      </c>
    </row>
    <row r="8356" spans="2:7" x14ac:dyDescent="0.2">
      <c r="B8356" s="32">
        <v>46048</v>
      </c>
      <c r="C8356" t="s">
        <v>109</v>
      </c>
      <c r="D8356" s="13" t="s">
        <v>633</v>
      </c>
      <c r="E8356" t="s">
        <v>555</v>
      </c>
      <c r="F8356" s="11">
        <v>1</v>
      </c>
      <c r="G8356" s="11">
        <v>50115.12</v>
      </c>
    </row>
    <row r="8357" spans="2:7" x14ac:dyDescent="0.2">
      <c r="B8357" s="32">
        <v>46048</v>
      </c>
      <c r="C8357" t="s">
        <v>109</v>
      </c>
      <c r="D8357" s="13" t="s">
        <v>633</v>
      </c>
      <c r="E8357" t="s">
        <v>382</v>
      </c>
      <c r="F8357" s="11">
        <v>1</v>
      </c>
      <c r="G8357" s="11">
        <v>42016.81</v>
      </c>
    </row>
    <row r="8358" spans="2:7" x14ac:dyDescent="0.2">
      <c r="B8358" s="32">
        <v>46048</v>
      </c>
      <c r="C8358" t="s">
        <v>109</v>
      </c>
      <c r="D8358" s="13" t="s">
        <v>633</v>
      </c>
      <c r="E8358" t="s">
        <v>646</v>
      </c>
      <c r="F8358" s="11">
        <v>0</v>
      </c>
      <c r="G8358" s="11">
        <v>-113445.38</v>
      </c>
    </row>
    <row r="8359" spans="2:7" x14ac:dyDescent="0.2">
      <c r="B8359" s="32">
        <v>46049</v>
      </c>
      <c r="C8359" t="s">
        <v>142</v>
      </c>
      <c r="D8359" s="13" t="s">
        <v>634</v>
      </c>
      <c r="E8359" t="s">
        <v>197</v>
      </c>
      <c r="F8359" s="11">
        <v>1</v>
      </c>
      <c r="G8359" s="11">
        <v>109243.7</v>
      </c>
    </row>
    <row r="8360" spans="2:7" x14ac:dyDescent="0.2">
      <c r="B8360" s="32">
        <v>46049</v>
      </c>
      <c r="C8360" t="s">
        <v>142</v>
      </c>
      <c r="D8360" s="13" t="s">
        <v>634</v>
      </c>
      <c r="E8360" t="s">
        <v>323</v>
      </c>
      <c r="F8360" s="11">
        <v>1</v>
      </c>
      <c r="G8360" s="11">
        <v>83193.279999999999</v>
      </c>
    </row>
    <row r="8361" spans="2:7" x14ac:dyDescent="0.2">
      <c r="B8361" s="32">
        <v>46049</v>
      </c>
      <c r="C8361" t="s">
        <v>142</v>
      </c>
      <c r="D8361" s="13" t="s">
        <v>634</v>
      </c>
      <c r="F8361" s="11">
        <v>0</v>
      </c>
      <c r="G8361" s="11">
        <v>0</v>
      </c>
    </row>
    <row r="8362" spans="2:7" x14ac:dyDescent="0.2">
      <c r="B8362" s="32">
        <v>46049</v>
      </c>
      <c r="C8362" t="s">
        <v>142</v>
      </c>
      <c r="D8362" s="13" t="s">
        <v>633</v>
      </c>
      <c r="E8362" t="s">
        <v>554</v>
      </c>
      <c r="F8362" s="11">
        <v>1</v>
      </c>
      <c r="G8362" s="11">
        <v>323529.40999999997</v>
      </c>
    </row>
    <row r="8363" spans="2:7" x14ac:dyDescent="0.2">
      <c r="B8363" s="32">
        <v>46049</v>
      </c>
      <c r="C8363" t="s">
        <v>142</v>
      </c>
      <c r="D8363" s="13" t="s">
        <v>633</v>
      </c>
      <c r="E8363" t="s">
        <v>521</v>
      </c>
      <c r="F8363" s="11">
        <v>2</v>
      </c>
      <c r="G8363" s="11">
        <v>201680.67</v>
      </c>
    </row>
    <row r="8364" spans="2:7" x14ac:dyDescent="0.2">
      <c r="B8364" s="32">
        <v>46049</v>
      </c>
      <c r="C8364" t="s">
        <v>142</v>
      </c>
      <c r="D8364" s="13" t="s">
        <v>633</v>
      </c>
      <c r="E8364" t="s">
        <v>185</v>
      </c>
      <c r="F8364" s="11">
        <v>1</v>
      </c>
      <c r="G8364" s="11">
        <v>100840.34</v>
      </c>
    </row>
    <row r="8365" spans="2:7" x14ac:dyDescent="0.2">
      <c r="B8365" s="32">
        <v>46049</v>
      </c>
      <c r="C8365" t="s">
        <v>142</v>
      </c>
      <c r="D8365" s="13" t="s">
        <v>633</v>
      </c>
      <c r="E8365" t="s">
        <v>430</v>
      </c>
      <c r="F8365" s="11">
        <v>1</v>
      </c>
      <c r="G8365" s="11">
        <v>63025.21</v>
      </c>
    </row>
    <row r="8366" spans="2:7" x14ac:dyDescent="0.2">
      <c r="B8366" s="32">
        <v>46049</v>
      </c>
      <c r="C8366" t="s">
        <v>142</v>
      </c>
      <c r="D8366" s="13" t="s">
        <v>633</v>
      </c>
      <c r="E8366" t="s">
        <v>282</v>
      </c>
      <c r="F8366" s="11">
        <v>1</v>
      </c>
      <c r="G8366" s="11">
        <v>63025.21</v>
      </c>
    </row>
    <row r="8367" spans="2:7" x14ac:dyDescent="0.2">
      <c r="B8367" s="32">
        <v>46049</v>
      </c>
      <c r="C8367" t="s">
        <v>142</v>
      </c>
      <c r="D8367" s="13" t="s">
        <v>633</v>
      </c>
      <c r="E8367" t="s">
        <v>247</v>
      </c>
      <c r="F8367" s="11">
        <v>1</v>
      </c>
      <c r="G8367" s="11">
        <v>63025.21</v>
      </c>
    </row>
    <row r="8368" spans="2:7" x14ac:dyDescent="0.2">
      <c r="B8368" s="32">
        <v>46049</v>
      </c>
      <c r="C8368" t="s">
        <v>142</v>
      </c>
      <c r="D8368" s="13" t="s">
        <v>633</v>
      </c>
      <c r="E8368" t="s">
        <v>275</v>
      </c>
      <c r="F8368" s="11">
        <v>1</v>
      </c>
      <c r="G8368" s="11">
        <v>63025.21</v>
      </c>
    </row>
    <row r="8369" spans="2:7" x14ac:dyDescent="0.2">
      <c r="B8369" s="32">
        <v>46049</v>
      </c>
      <c r="C8369" t="s">
        <v>142</v>
      </c>
      <c r="D8369" s="13" t="s">
        <v>633</v>
      </c>
      <c r="E8369" t="s">
        <v>233</v>
      </c>
      <c r="F8369" s="11">
        <v>1</v>
      </c>
      <c r="G8369" s="11">
        <v>63025.21</v>
      </c>
    </row>
    <row r="8370" spans="2:7" x14ac:dyDescent="0.2">
      <c r="B8370" s="32">
        <v>46049</v>
      </c>
      <c r="C8370" t="s">
        <v>142</v>
      </c>
      <c r="D8370" s="13" t="s">
        <v>633</v>
      </c>
      <c r="E8370" t="s">
        <v>243</v>
      </c>
      <c r="F8370" s="11">
        <v>1</v>
      </c>
      <c r="G8370" s="11">
        <v>54621.85</v>
      </c>
    </row>
    <row r="8371" spans="2:7" x14ac:dyDescent="0.2">
      <c r="B8371" s="32">
        <v>46049</v>
      </c>
      <c r="C8371" t="s">
        <v>142</v>
      </c>
      <c r="D8371" s="13" t="s">
        <v>633</v>
      </c>
      <c r="E8371" t="s">
        <v>222</v>
      </c>
      <c r="F8371" s="11">
        <v>1</v>
      </c>
      <c r="G8371" s="11">
        <v>54621.85</v>
      </c>
    </row>
    <row r="8372" spans="2:7" x14ac:dyDescent="0.2">
      <c r="B8372" s="32">
        <v>46049</v>
      </c>
      <c r="C8372" t="s">
        <v>142</v>
      </c>
      <c r="D8372" s="13" t="s">
        <v>633</v>
      </c>
      <c r="E8372" t="s">
        <v>283</v>
      </c>
      <c r="F8372" s="11">
        <v>1</v>
      </c>
      <c r="G8372" s="11">
        <v>54621.85</v>
      </c>
    </row>
    <row r="8373" spans="2:7" x14ac:dyDescent="0.2">
      <c r="B8373" s="32">
        <v>46049</v>
      </c>
      <c r="C8373" t="s">
        <v>142</v>
      </c>
      <c r="D8373" s="13" t="s">
        <v>633</v>
      </c>
      <c r="F8373" s="11">
        <v>0</v>
      </c>
      <c r="G8373" s="11">
        <v>0</v>
      </c>
    </row>
    <row r="8374" spans="2:7" x14ac:dyDescent="0.2">
      <c r="B8374" s="32">
        <v>46049</v>
      </c>
      <c r="C8374" t="s">
        <v>109</v>
      </c>
      <c r="D8374" s="13"/>
      <c r="E8374" t="s">
        <v>166</v>
      </c>
      <c r="F8374" s="11">
        <v>1</v>
      </c>
      <c r="G8374" s="11">
        <v>42016.81</v>
      </c>
    </row>
    <row r="8375" spans="2:7" x14ac:dyDescent="0.2">
      <c r="B8375" s="32">
        <v>46049</v>
      </c>
      <c r="C8375" t="s">
        <v>109</v>
      </c>
      <c r="D8375" s="13" t="s">
        <v>634</v>
      </c>
      <c r="E8375" t="s">
        <v>262</v>
      </c>
      <c r="F8375" s="11">
        <v>1</v>
      </c>
      <c r="G8375" s="11">
        <v>323529.40999999997</v>
      </c>
    </row>
    <row r="8376" spans="2:7" x14ac:dyDescent="0.2">
      <c r="B8376" s="32">
        <v>46049</v>
      </c>
      <c r="C8376" t="s">
        <v>109</v>
      </c>
      <c r="D8376" s="13" t="s">
        <v>634</v>
      </c>
      <c r="E8376" t="s">
        <v>151</v>
      </c>
      <c r="F8376" s="11">
        <v>2</v>
      </c>
      <c r="G8376" s="11">
        <v>100840.34</v>
      </c>
    </row>
    <row r="8377" spans="2:7" x14ac:dyDescent="0.2">
      <c r="B8377" s="32">
        <v>46049</v>
      </c>
      <c r="C8377" t="s">
        <v>109</v>
      </c>
      <c r="D8377" s="13" t="s">
        <v>634</v>
      </c>
      <c r="E8377" t="s">
        <v>201</v>
      </c>
      <c r="F8377" s="11">
        <v>2</v>
      </c>
      <c r="G8377" s="11">
        <v>65546.22</v>
      </c>
    </row>
    <row r="8378" spans="2:7" x14ac:dyDescent="0.2">
      <c r="B8378" s="32">
        <v>46049</v>
      </c>
      <c r="C8378" t="s">
        <v>109</v>
      </c>
      <c r="D8378" s="13" t="s">
        <v>634</v>
      </c>
      <c r="F8378" s="11">
        <v>0</v>
      </c>
      <c r="G8378" s="11">
        <v>0</v>
      </c>
    </row>
    <row r="8379" spans="2:7" x14ac:dyDescent="0.2">
      <c r="B8379" s="32">
        <v>46049</v>
      </c>
      <c r="C8379" t="s">
        <v>109</v>
      </c>
      <c r="D8379" s="13" t="s">
        <v>633</v>
      </c>
      <c r="E8379" t="s">
        <v>639</v>
      </c>
      <c r="F8379" s="11">
        <v>1</v>
      </c>
      <c r="G8379" s="11">
        <v>99000</v>
      </c>
    </row>
    <row r="8380" spans="2:7" x14ac:dyDescent="0.2">
      <c r="B8380" s="32">
        <v>46049</v>
      </c>
      <c r="C8380" t="s">
        <v>109</v>
      </c>
      <c r="D8380" s="13" t="s">
        <v>633</v>
      </c>
      <c r="E8380" t="s">
        <v>395</v>
      </c>
      <c r="F8380" s="11">
        <v>1</v>
      </c>
      <c r="G8380" s="11">
        <v>75630.25</v>
      </c>
    </row>
    <row r="8381" spans="2:7" x14ac:dyDescent="0.2">
      <c r="B8381" s="32">
        <v>46049</v>
      </c>
      <c r="C8381" t="s">
        <v>109</v>
      </c>
      <c r="D8381" s="13" t="s">
        <v>633</v>
      </c>
      <c r="E8381" t="s">
        <v>199</v>
      </c>
      <c r="F8381" s="11">
        <v>1</v>
      </c>
      <c r="G8381" s="11">
        <v>75630.25</v>
      </c>
    </row>
    <row r="8382" spans="2:7" x14ac:dyDescent="0.2">
      <c r="B8382" s="32">
        <v>46049</v>
      </c>
      <c r="C8382" t="s">
        <v>109</v>
      </c>
      <c r="D8382" s="13" t="s">
        <v>633</v>
      </c>
      <c r="E8382" t="s">
        <v>144</v>
      </c>
      <c r="F8382" s="11">
        <v>2</v>
      </c>
      <c r="G8382" s="11">
        <v>7563.03</v>
      </c>
    </row>
    <row r="8383" spans="2:7" x14ac:dyDescent="0.2">
      <c r="B8383" s="32">
        <v>46050</v>
      </c>
      <c r="C8383" t="s">
        <v>142</v>
      </c>
      <c r="D8383" s="13" t="s">
        <v>634</v>
      </c>
      <c r="E8383" t="s">
        <v>160</v>
      </c>
      <c r="F8383" s="11">
        <v>1</v>
      </c>
      <c r="G8383" s="11">
        <v>46218.49</v>
      </c>
    </row>
    <row r="8384" spans="2:7" x14ac:dyDescent="0.2">
      <c r="B8384" s="32">
        <v>46050</v>
      </c>
      <c r="C8384" t="s">
        <v>142</v>
      </c>
      <c r="D8384" s="13" t="s">
        <v>634</v>
      </c>
      <c r="F8384" s="11">
        <v>0</v>
      </c>
      <c r="G8384" s="11">
        <v>0</v>
      </c>
    </row>
    <row r="8385" spans="2:7" x14ac:dyDescent="0.2">
      <c r="B8385" s="32">
        <v>46050</v>
      </c>
      <c r="C8385" t="s">
        <v>142</v>
      </c>
      <c r="D8385" s="13" t="s">
        <v>633</v>
      </c>
      <c r="E8385" t="s">
        <v>660</v>
      </c>
      <c r="F8385" s="11">
        <v>1</v>
      </c>
      <c r="G8385" s="11">
        <v>252100.84</v>
      </c>
    </row>
    <row r="8386" spans="2:7" x14ac:dyDescent="0.2">
      <c r="B8386" s="32">
        <v>46050</v>
      </c>
      <c r="C8386" t="s">
        <v>142</v>
      </c>
      <c r="D8386" s="13" t="s">
        <v>633</v>
      </c>
      <c r="E8386" t="s">
        <v>682</v>
      </c>
      <c r="F8386" s="11">
        <v>1</v>
      </c>
      <c r="G8386" s="11">
        <v>193277.31</v>
      </c>
    </row>
    <row r="8387" spans="2:7" x14ac:dyDescent="0.2">
      <c r="B8387" s="32">
        <v>46050</v>
      </c>
      <c r="C8387" t="s">
        <v>142</v>
      </c>
      <c r="D8387" s="13" t="s">
        <v>633</v>
      </c>
      <c r="E8387" t="s">
        <v>649</v>
      </c>
      <c r="F8387" s="11">
        <v>1</v>
      </c>
      <c r="G8387" s="11">
        <v>184873.95</v>
      </c>
    </row>
    <row r="8388" spans="2:7" x14ac:dyDescent="0.2">
      <c r="B8388" s="32">
        <v>46050</v>
      </c>
      <c r="C8388" t="s">
        <v>142</v>
      </c>
      <c r="D8388" s="13" t="s">
        <v>633</v>
      </c>
      <c r="E8388" t="s">
        <v>181</v>
      </c>
      <c r="F8388" s="11">
        <v>1</v>
      </c>
      <c r="G8388" s="11">
        <v>63025.21</v>
      </c>
    </row>
    <row r="8389" spans="2:7" x14ac:dyDescent="0.2">
      <c r="B8389" s="32">
        <v>46050</v>
      </c>
      <c r="C8389" t="s">
        <v>142</v>
      </c>
      <c r="D8389" s="13" t="s">
        <v>633</v>
      </c>
      <c r="E8389" t="s">
        <v>441</v>
      </c>
      <c r="F8389" s="11">
        <v>1</v>
      </c>
      <c r="G8389" s="11">
        <v>21008.400000000001</v>
      </c>
    </row>
    <row r="8390" spans="2:7" x14ac:dyDescent="0.2">
      <c r="B8390" s="32">
        <v>46050</v>
      </c>
      <c r="C8390" t="s">
        <v>142</v>
      </c>
      <c r="D8390" s="13" t="s">
        <v>633</v>
      </c>
      <c r="E8390" t="s">
        <v>218</v>
      </c>
      <c r="F8390" s="11">
        <v>1</v>
      </c>
      <c r="G8390" s="11">
        <v>2521.0100000000002</v>
      </c>
    </row>
    <row r="8391" spans="2:7" x14ac:dyDescent="0.2">
      <c r="B8391" s="32">
        <v>46050</v>
      </c>
      <c r="C8391" t="s">
        <v>142</v>
      </c>
      <c r="D8391" s="13" t="s">
        <v>633</v>
      </c>
      <c r="F8391" s="11">
        <v>0</v>
      </c>
      <c r="G8391" s="11">
        <v>0</v>
      </c>
    </row>
    <row r="8392" spans="2:7" x14ac:dyDescent="0.2">
      <c r="B8392" s="32">
        <v>46050</v>
      </c>
      <c r="C8392" t="s">
        <v>109</v>
      </c>
      <c r="D8392" s="13" t="s">
        <v>634</v>
      </c>
      <c r="E8392" t="s">
        <v>147</v>
      </c>
      <c r="F8392" s="11">
        <v>2</v>
      </c>
      <c r="G8392" s="11">
        <v>151260.5</v>
      </c>
    </row>
    <row r="8393" spans="2:7" x14ac:dyDescent="0.2">
      <c r="B8393" s="32">
        <v>46050</v>
      </c>
      <c r="C8393" t="s">
        <v>109</v>
      </c>
      <c r="D8393" s="13" t="s">
        <v>634</v>
      </c>
      <c r="E8393" t="s">
        <v>216</v>
      </c>
      <c r="F8393" s="11">
        <v>1</v>
      </c>
      <c r="G8393" s="11">
        <v>115000</v>
      </c>
    </row>
    <row r="8394" spans="2:7" x14ac:dyDescent="0.2">
      <c r="B8394" s="32">
        <v>46050</v>
      </c>
      <c r="C8394" t="s">
        <v>109</v>
      </c>
      <c r="D8394" s="13" t="s">
        <v>634</v>
      </c>
      <c r="E8394" t="s">
        <v>154</v>
      </c>
      <c r="F8394" s="11">
        <v>1</v>
      </c>
      <c r="G8394" s="11">
        <v>100840.34</v>
      </c>
    </row>
    <row r="8395" spans="2:7" x14ac:dyDescent="0.2">
      <c r="B8395" s="32">
        <v>46050</v>
      </c>
      <c r="C8395" t="s">
        <v>109</v>
      </c>
      <c r="D8395" s="13" t="s">
        <v>634</v>
      </c>
      <c r="E8395" t="s">
        <v>208</v>
      </c>
      <c r="F8395" s="11">
        <v>1</v>
      </c>
      <c r="G8395" s="11">
        <v>58823.53</v>
      </c>
    </row>
    <row r="8396" spans="2:7" x14ac:dyDescent="0.2">
      <c r="B8396" s="32">
        <v>46050</v>
      </c>
      <c r="C8396" t="s">
        <v>109</v>
      </c>
      <c r="D8396" s="13" t="s">
        <v>634</v>
      </c>
      <c r="E8396" t="s">
        <v>244</v>
      </c>
      <c r="F8396" s="11">
        <v>1</v>
      </c>
      <c r="G8396" s="11">
        <v>58823.519999999997</v>
      </c>
    </row>
    <row r="8397" spans="2:7" x14ac:dyDescent="0.2">
      <c r="B8397" s="32">
        <v>46050</v>
      </c>
      <c r="C8397" t="s">
        <v>109</v>
      </c>
      <c r="D8397" s="13" t="s">
        <v>634</v>
      </c>
      <c r="E8397" t="s">
        <v>217</v>
      </c>
      <c r="F8397" s="11">
        <v>1</v>
      </c>
      <c r="G8397" s="11">
        <v>54621.85</v>
      </c>
    </row>
    <row r="8398" spans="2:7" x14ac:dyDescent="0.2">
      <c r="B8398" s="32">
        <v>46050</v>
      </c>
      <c r="C8398" t="s">
        <v>109</v>
      </c>
      <c r="D8398" s="13" t="s">
        <v>634</v>
      </c>
      <c r="E8398" t="s">
        <v>237</v>
      </c>
      <c r="F8398" s="11">
        <v>1</v>
      </c>
      <c r="G8398" s="11">
        <v>54621.85</v>
      </c>
    </row>
    <row r="8399" spans="2:7" x14ac:dyDescent="0.2">
      <c r="B8399" s="32">
        <v>46050</v>
      </c>
      <c r="C8399" t="s">
        <v>109</v>
      </c>
      <c r="D8399" s="13" t="s">
        <v>634</v>
      </c>
      <c r="E8399" t="s">
        <v>295</v>
      </c>
      <c r="F8399" s="11">
        <v>1</v>
      </c>
      <c r="G8399" s="11">
        <v>54621.85</v>
      </c>
    </row>
    <row r="8400" spans="2:7" x14ac:dyDescent="0.2">
      <c r="B8400" s="32">
        <v>46050</v>
      </c>
      <c r="C8400" t="s">
        <v>109</v>
      </c>
      <c r="D8400" s="13" t="s">
        <v>634</v>
      </c>
      <c r="E8400" t="s">
        <v>239</v>
      </c>
      <c r="F8400" s="11">
        <v>1</v>
      </c>
      <c r="G8400" s="11">
        <v>50420.17</v>
      </c>
    </row>
    <row r="8401" spans="2:7" x14ac:dyDescent="0.2">
      <c r="B8401" s="32">
        <v>46050</v>
      </c>
      <c r="C8401" t="s">
        <v>109</v>
      </c>
      <c r="D8401" s="13" t="s">
        <v>634</v>
      </c>
      <c r="E8401" t="s">
        <v>297</v>
      </c>
      <c r="F8401" s="11">
        <v>1</v>
      </c>
      <c r="G8401" s="11">
        <v>50420.160000000003</v>
      </c>
    </row>
    <row r="8402" spans="2:7" x14ac:dyDescent="0.2">
      <c r="B8402" s="32">
        <v>46050</v>
      </c>
      <c r="C8402" t="s">
        <v>109</v>
      </c>
      <c r="D8402" s="13" t="s">
        <v>634</v>
      </c>
      <c r="E8402" t="s">
        <v>221</v>
      </c>
      <c r="F8402" s="11">
        <v>1</v>
      </c>
      <c r="G8402" s="11">
        <v>50420.160000000003</v>
      </c>
    </row>
    <row r="8403" spans="2:7" x14ac:dyDescent="0.2">
      <c r="B8403" s="32">
        <v>46050</v>
      </c>
      <c r="C8403" t="s">
        <v>109</v>
      </c>
      <c r="D8403" s="13" t="s">
        <v>634</v>
      </c>
      <c r="E8403" t="s">
        <v>246</v>
      </c>
      <c r="F8403" s="11">
        <v>1</v>
      </c>
      <c r="G8403" s="11">
        <v>42016.81</v>
      </c>
    </row>
    <row r="8404" spans="2:7" x14ac:dyDescent="0.2">
      <c r="B8404" s="32">
        <v>46050</v>
      </c>
      <c r="C8404" t="s">
        <v>109</v>
      </c>
      <c r="D8404" s="13" t="s">
        <v>634</v>
      </c>
      <c r="E8404" t="s">
        <v>166</v>
      </c>
      <c r="F8404" s="11">
        <v>1</v>
      </c>
      <c r="G8404" s="11">
        <v>42016.81</v>
      </c>
    </row>
    <row r="8405" spans="2:7" x14ac:dyDescent="0.2">
      <c r="B8405" s="32">
        <v>46050</v>
      </c>
      <c r="C8405" t="s">
        <v>109</v>
      </c>
      <c r="D8405" s="13" t="s">
        <v>634</v>
      </c>
      <c r="E8405" t="s">
        <v>180</v>
      </c>
      <c r="F8405" s="11">
        <v>2</v>
      </c>
      <c r="G8405" s="11">
        <v>33613.449999999997</v>
      </c>
    </row>
    <row r="8406" spans="2:7" x14ac:dyDescent="0.2">
      <c r="B8406" s="32">
        <v>46050</v>
      </c>
      <c r="C8406" t="s">
        <v>109</v>
      </c>
      <c r="D8406" s="13" t="s">
        <v>633</v>
      </c>
      <c r="E8406" t="s">
        <v>189</v>
      </c>
      <c r="F8406" s="11">
        <v>2</v>
      </c>
      <c r="G8406" s="11">
        <v>142857.15</v>
      </c>
    </row>
    <row r="8407" spans="2:7" x14ac:dyDescent="0.2">
      <c r="B8407" s="32">
        <v>46050</v>
      </c>
      <c r="C8407" t="s">
        <v>109</v>
      </c>
      <c r="D8407" s="13" t="s">
        <v>633</v>
      </c>
      <c r="E8407" t="s">
        <v>684</v>
      </c>
      <c r="F8407" s="11">
        <v>1</v>
      </c>
      <c r="G8407" s="11">
        <v>142857.14000000001</v>
      </c>
    </row>
    <row r="8408" spans="2:7" x14ac:dyDescent="0.2">
      <c r="B8408" s="32">
        <v>46050</v>
      </c>
      <c r="C8408" t="s">
        <v>109</v>
      </c>
      <c r="D8408" s="13" t="s">
        <v>633</v>
      </c>
      <c r="E8408" t="s">
        <v>160</v>
      </c>
      <c r="F8408" s="11">
        <v>2</v>
      </c>
      <c r="G8408" s="11">
        <v>92436.97</v>
      </c>
    </row>
    <row r="8409" spans="2:7" x14ac:dyDescent="0.2">
      <c r="B8409" s="32">
        <v>46050</v>
      </c>
      <c r="C8409" t="s">
        <v>109</v>
      </c>
      <c r="D8409" s="13" t="s">
        <v>633</v>
      </c>
      <c r="E8409" t="s">
        <v>152</v>
      </c>
      <c r="F8409" s="11">
        <v>1</v>
      </c>
      <c r="G8409" s="11">
        <v>84033.62</v>
      </c>
    </row>
    <row r="8410" spans="2:7" x14ac:dyDescent="0.2">
      <c r="B8410" s="32">
        <v>46050</v>
      </c>
      <c r="C8410" t="s">
        <v>109</v>
      </c>
      <c r="D8410" s="13" t="s">
        <v>633</v>
      </c>
      <c r="E8410" t="s">
        <v>368</v>
      </c>
      <c r="F8410" s="11">
        <v>1</v>
      </c>
      <c r="G8410" s="11">
        <v>84033.61</v>
      </c>
    </row>
    <row r="8411" spans="2:7" x14ac:dyDescent="0.2">
      <c r="B8411" s="32">
        <v>46050</v>
      </c>
      <c r="C8411" t="s">
        <v>109</v>
      </c>
      <c r="D8411" s="13" t="s">
        <v>633</v>
      </c>
      <c r="E8411" t="s">
        <v>147</v>
      </c>
      <c r="F8411" s="11">
        <v>1</v>
      </c>
      <c r="G8411" s="11">
        <v>73829.539999999994</v>
      </c>
    </row>
    <row r="8412" spans="2:7" x14ac:dyDescent="0.2">
      <c r="B8412" s="32">
        <v>46050</v>
      </c>
      <c r="C8412" t="s">
        <v>109</v>
      </c>
      <c r="D8412" s="13" t="s">
        <v>633</v>
      </c>
      <c r="E8412" t="s">
        <v>192</v>
      </c>
      <c r="F8412" s="11">
        <v>1</v>
      </c>
      <c r="G8412" s="11">
        <v>71428.570000000007</v>
      </c>
    </row>
    <row r="8413" spans="2:7" x14ac:dyDescent="0.2">
      <c r="B8413" s="32">
        <v>46050</v>
      </c>
      <c r="C8413" t="s">
        <v>109</v>
      </c>
      <c r="D8413" s="13" t="s">
        <v>633</v>
      </c>
      <c r="E8413" t="s">
        <v>334</v>
      </c>
      <c r="F8413" s="11">
        <v>1</v>
      </c>
      <c r="G8413" s="11">
        <v>71428.570000000007</v>
      </c>
    </row>
    <row r="8414" spans="2:7" x14ac:dyDescent="0.2">
      <c r="B8414" s="32">
        <v>46050</v>
      </c>
      <c r="C8414" t="s">
        <v>109</v>
      </c>
      <c r="D8414" s="13" t="s">
        <v>633</v>
      </c>
      <c r="E8414" t="s">
        <v>179</v>
      </c>
      <c r="F8414" s="11">
        <v>1</v>
      </c>
      <c r="G8414" s="11">
        <v>50420.17</v>
      </c>
    </row>
    <row r="8415" spans="2:7" x14ac:dyDescent="0.2">
      <c r="B8415" s="32">
        <v>46050</v>
      </c>
      <c r="C8415" t="s">
        <v>109</v>
      </c>
      <c r="D8415" s="13" t="s">
        <v>633</v>
      </c>
      <c r="E8415" t="s">
        <v>146</v>
      </c>
      <c r="F8415" s="11">
        <v>1</v>
      </c>
      <c r="G8415" s="11">
        <v>49219.69</v>
      </c>
    </row>
    <row r="8416" spans="2:7" x14ac:dyDescent="0.2">
      <c r="B8416" s="32">
        <v>46050</v>
      </c>
      <c r="C8416" t="s">
        <v>109</v>
      </c>
      <c r="D8416" s="13" t="s">
        <v>633</v>
      </c>
      <c r="E8416" t="s">
        <v>151</v>
      </c>
      <c r="F8416" s="11">
        <v>1</v>
      </c>
      <c r="G8416" s="11">
        <v>49219.68</v>
      </c>
    </row>
    <row r="8417" spans="2:7" x14ac:dyDescent="0.2">
      <c r="B8417" s="32">
        <v>46050</v>
      </c>
      <c r="C8417" t="s">
        <v>109</v>
      </c>
      <c r="D8417" s="13" t="s">
        <v>633</v>
      </c>
      <c r="E8417" t="s">
        <v>150</v>
      </c>
      <c r="F8417" s="11">
        <v>1</v>
      </c>
      <c r="G8417" s="11">
        <v>46218.49</v>
      </c>
    </row>
    <row r="8418" spans="2:7" x14ac:dyDescent="0.2">
      <c r="B8418" s="32">
        <v>46050</v>
      </c>
      <c r="C8418" t="s">
        <v>109</v>
      </c>
      <c r="D8418" s="13" t="s">
        <v>633</v>
      </c>
      <c r="E8418" t="s">
        <v>148</v>
      </c>
      <c r="F8418" s="11">
        <v>1</v>
      </c>
      <c r="G8418" s="11">
        <v>37815.129999999997</v>
      </c>
    </row>
    <row r="8419" spans="2:7" x14ac:dyDescent="0.2">
      <c r="B8419" s="32">
        <v>46050</v>
      </c>
      <c r="C8419" t="s">
        <v>109</v>
      </c>
      <c r="D8419" s="13" t="s">
        <v>633</v>
      </c>
      <c r="E8419" t="s">
        <v>144</v>
      </c>
      <c r="F8419" s="11">
        <v>2</v>
      </c>
      <c r="G8419" s="11">
        <v>15966.39</v>
      </c>
    </row>
    <row r="8420" spans="2:7" x14ac:dyDescent="0.2">
      <c r="B8420" s="32">
        <v>46051</v>
      </c>
      <c r="C8420" t="s">
        <v>142</v>
      </c>
      <c r="D8420" s="13" t="s">
        <v>634</v>
      </c>
      <c r="E8420" t="s">
        <v>261</v>
      </c>
      <c r="F8420" s="11">
        <v>1</v>
      </c>
      <c r="G8420" s="11">
        <v>109243.7</v>
      </c>
    </row>
    <row r="8421" spans="2:7" x14ac:dyDescent="0.2">
      <c r="B8421" s="32">
        <v>46051</v>
      </c>
      <c r="C8421" t="s">
        <v>142</v>
      </c>
      <c r="D8421" s="13" t="s">
        <v>634</v>
      </c>
      <c r="E8421" t="s">
        <v>185</v>
      </c>
      <c r="F8421" s="11">
        <v>1</v>
      </c>
      <c r="G8421" s="11">
        <v>100840.34</v>
      </c>
    </row>
    <row r="8422" spans="2:7" x14ac:dyDescent="0.2">
      <c r="B8422" s="32">
        <v>46051</v>
      </c>
      <c r="C8422" t="s">
        <v>142</v>
      </c>
      <c r="D8422" s="13" t="s">
        <v>634</v>
      </c>
      <c r="F8422" s="11">
        <v>0</v>
      </c>
      <c r="G8422" s="11">
        <v>0</v>
      </c>
    </row>
    <row r="8423" spans="2:7" x14ac:dyDescent="0.2">
      <c r="B8423" s="32">
        <v>46051</v>
      </c>
      <c r="C8423" t="s">
        <v>142</v>
      </c>
      <c r="D8423" s="13" t="s">
        <v>633</v>
      </c>
      <c r="E8423" t="s">
        <v>174</v>
      </c>
      <c r="F8423" s="11">
        <v>1</v>
      </c>
      <c r="G8423" s="11">
        <v>84033.61</v>
      </c>
    </row>
    <row r="8424" spans="2:7" x14ac:dyDescent="0.2">
      <c r="B8424" s="32">
        <v>46051</v>
      </c>
      <c r="C8424" t="s">
        <v>142</v>
      </c>
      <c r="D8424" s="13" t="s">
        <v>633</v>
      </c>
      <c r="E8424" t="s">
        <v>494</v>
      </c>
      <c r="F8424" s="11">
        <v>1</v>
      </c>
      <c r="G8424" s="11">
        <v>63025.21</v>
      </c>
    </row>
    <row r="8425" spans="2:7" x14ac:dyDescent="0.2">
      <c r="B8425" s="32">
        <v>46051</v>
      </c>
      <c r="C8425" t="s">
        <v>142</v>
      </c>
      <c r="D8425" s="13" t="s">
        <v>633</v>
      </c>
      <c r="E8425" t="s">
        <v>536</v>
      </c>
      <c r="F8425" s="11">
        <v>1</v>
      </c>
      <c r="G8425" s="11">
        <v>58823.53</v>
      </c>
    </row>
    <row r="8426" spans="2:7" x14ac:dyDescent="0.2">
      <c r="B8426" s="32">
        <v>46051</v>
      </c>
      <c r="C8426" t="s">
        <v>142</v>
      </c>
      <c r="D8426" s="13" t="s">
        <v>633</v>
      </c>
      <c r="E8426" t="s">
        <v>218</v>
      </c>
      <c r="F8426" s="11">
        <v>1</v>
      </c>
      <c r="G8426" s="11">
        <v>42016.81</v>
      </c>
    </row>
    <row r="8427" spans="2:7" x14ac:dyDescent="0.2">
      <c r="B8427" s="32">
        <v>46051</v>
      </c>
      <c r="C8427" t="s">
        <v>142</v>
      </c>
      <c r="D8427" s="13" t="s">
        <v>633</v>
      </c>
      <c r="F8427" s="11">
        <v>0</v>
      </c>
      <c r="G8427" s="11">
        <v>0</v>
      </c>
    </row>
    <row r="8428" spans="2:7" x14ac:dyDescent="0.2">
      <c r="B8428" s="32">
        <v>46051</v>
      </c>
      <c r="C8428" t="s">
        <v>109</v>
      </c>
      <c r="D8428" s="13" t="s">
        <v>634</v>
      </c>
      <c r="E8428" t="s">
        <v>321</v>
      </c>
      <c r="F8428" s="11">
        <v>1</v>
      </c>
      <c r="G8428" s="11">
        <v>193277.31</v>
      </c>
    </row>
    <row r="8429" spans="2:7" x14ac:dyDescent="0.2">
      <c r="B8429" s="32">
        <v>46051</v>
      </c>
      <c r="C8429" t="s">
        <v>109</v>
      </c>
      <c r="D8429" s="13" t="s">
        <v>633</v>
      </c>
      <c r="E8429" t="s">
        <v>146</v>
      </c>
      <c r="F8429" s="11">
        <v>2</v>
      </c>
      <c r="G8429" s="11">
        <v>100840.34</v>
      </c>
    </row>
    <row r="8430" spans="2:7" x14ac:dyDescent="0.2">
      <c r="B8430" s="32">
        <v>46051</v>
      </c>
      <c r="C8430" t="s">
        <v>109</v>
      </c>
      <c r="D8430" s="13" t="s">
        <v>633</v>
      </c>
      <c r="E8430" t="s">
        <v>362</v>
      </c>
      <c r="F8430" s="11">
        <v>1</v>
      </c>
      <c r="G8430" s="11">
        <v>58823.53</v>
      </c>
    </row>
    <row r="8431" spans="2:7" x14ac:dyDescent="0.2">
      <c r="B8431" s="32">
        <v>46051</v>
      </c>
      <c r="C8431" t="s">
        <v>109</v>
      </c>
      <c r="D8431" s="13" t="s">
        <v>633</v>
      </c>
      <c r="E8431" t="s">
        <v>196</v>
      </c>
      <c r="F8431" s="11">
        <v>1</v>
      </c>
      <c r="G8431" s="11">
        <v>46218.49</v>
      </c>
    </row>
    <row r="8432" spans="2:7" x14ac:dyDescent="0.2">
      <c r="B8432" s="32">
        <v>46051</v>
      </c>
      <c r="C8432" t="s">
        <v>109</v>
      </c>
      <c r="D8432" s="13" t="s">
        <v>633</v>
      </c>
      <c r="E8432" t="s">
        <v>241</v>
      </c>
      <c r="F8432" s="11">
        <v>1</v>
      </c>
      <c r="G8432" s="11">
        <v>46218.49</v>
      </c>
    </row>
    <row r="8433" spans="2:7" x14ac:dyDescent="0.2">
      <c r="B8433" s="32">
        <v>46051</v>
      </c>
      <c r="C8433" t="s">
        <v>109</v>
      </c>
      <c r="D8433" s="13" t="s">
        <v>633</v>
      </c>
      <c r="E8433" t="s">
        <v>300</v>
      </c>
      <c r="F8433" s="11">
        <v>1</v>
      </c>
      <c r="G8433" s="11">
        <v>42016.81</v>
      </c>
    </row>
    <row r="8434" spans="2:7" x14ac:dyDescent="0.2">
      <c r="B8434" s="32">
        <v>46051</v>
      </c>
      <c r="C8434" t="s">
        <v>109</v>
      </c>
      <c r="D8434" s="13" t="s">
        <v>633</v>
      </c>
      <c r="E8434" t="s">
        <v>635</v>
      </c>
      <c r="F8434" s="11">
        <v>10</v>
      </c>
      <c r="G8434" s="11">
        <v>29411.759999999998</v>
      </c>
    </row>
    <row r="8435" spans="2:7" x14ac:dyDescent="0.2">
      <c r="B8435" s="32">
        <v>46052</v>
      </c>
      <c r="C8435" t="s">
        <v>142</v>
      </c>
      <c r="D8435" s="13" t="s">
        <v>634</v>
      </c>
      <c r="E8435" t="s">
        <v>270</v>
      </c>
      <c r="F8435" s="11">
        <v>1</v>
      </c>
      <c r="G8435" s="11">
        <v>84033.61</v>
      </c>
    </row>
    <row r="8436" spans="2:7" x14ac:dyDescent="0.2">
      <c r="B8436" s="32">
        <v>46052</v>
      </c>
      <c r="C8436" t="s">
        <v>142</v>
      </c>
      <c r="D8436" s="13" t="s">
        <v>634</v>
      </c>
      <c r="E8436" t="s">
        <v>247</v>
      </c>
      <c r="F8436" s="11">
        <v>1</v>
      </c>
      <c r="G8436" s="11">
        <v>63025.21</v>
      </c>
    </row>
    <row r="8437" spans="2:7" x14ac:dyDescent="0.2">
      <c r="B8437" s="32">
        <v>46052</v>
      </c>
      <c r="C8437" t="s">
        <v>142</v>
      </c>
      <c r="D8437" s="13" t="s">
        <v>634</v>
      </c>
      <c r="E8437" t="s">
        <v>272</v>
      </c>
      <c r="F8437" s="11">
        <v>1</v>
      </c>
      <c r="G8437" s="11">
        <v>63025.21</v>
      </c>
    </row>
    <row r="8438" spans="2:7" x14ac:dyDescent="0.2">
      <c r="B8438" s="32">
        <v>46052</v>
      </c>
      <c r="C8438" t="s">
        <v>142</v>
      </c>
      <c r="D8438" s="13" t="s">
        <v>634</v>
      </c>
      <c r="F8438" s="11">
        <v>0</v>
      </c>
      <c r="G8438" s="11">
        <v>0</v>
      </c>
    </row>
    <row r="8439" spans="2:7" x14ac:dyDescent="0.2">
      <c r="B8439" s="32">
        <v>46052</v>
      </c>
      <c r="C8439" t="s">
        <v>142</v>
      </c>
      <c r="D8439" s="13" t="s">
        <v>633</v>
      </c>
      <c r="E8439" t="s">
        <v>693</v>
      </c>
      <c r="F8439" s="11">
        <v>1</v>
      </c>
      <c r="G8439" s="11">
        <v>58823.53</v>
      </c>
    </row>
    <row r="8440" spans="2:7" x14ac:dyDescent="0.2">
      <c r="B8440" s="32">
        <v>46052</v>
      </c>
      <c r="C8440" t="s">
        <v>142</v>
      </c>
      <c r="D8440" s="13" t="s">
        <v>633</v>
      </c>
      <c r="F8440" s="11">
        <v>0</v>
      </c>
      <c r="G8440" s="11">
        <v>0</v>
      </c>
    </row>
    <row r="8441" spans="2:7" x14ac:dyDescent="0.2">
      <c r="B8441" s="32">
        <v>46052</v>
      </c>
      <c r="C8441" t="s">
        <v>109</v>
      </c>
      <c r="D8441" s="13"/>
      <c r="F8441" s="11">
        <v>2</v>
      </c>
      <c r="G8441" s="11">
        <v>252100.84</v>
      </c>
    </row>
    <row r="8442" spans="2:7" x14ac:dyDescent="0.2">
      <c r="B8442" s="32">
        <v>46052</v>
      </c>
      <c r="C8442" t="s">
        <v>109</v>
      </c>
      <c r="D8442" s="13"/>
      <c r="E8442" t="s">
        <v>647</v>
      </c>
      <c r="F8442" s="11">
        <v>2</v>
      </c>
      <c r="G8442" s="11">
        <v>168067.23</v>
      </c>
    </row>
    <row r="8443" spans="2:7" x14ac:dyDescent="0.2">
      <c r="B8443" s="32">
        <v>46052</v>
      </c>
      <c r="C8443" t="s">
        <v>109</v>
      </c>
      <c r="D8443" s="13"/>
      <c r="E8443" t="s">
        <v>396</v>
      </c>
      <c r="F8443" s="11">
        <v>2</v>
      </c>
      <c r="G8443" s="11">
        <v>92436.97</v>
      </c>
    </row>
    <row r="8444" spans="2:7" x14ac:dyDescent="0.2">
      <c r="B8444" s="32">
        <v>46052</v>
      </c>
      <c r="C8444" t="s">
        <v>109</v>
      </c>
      <c r="D8444" s="13"/>
      <c r="E8444" t="s">
        <v>667</v>
      </c>
      <c r="F8444" s="11">
        <v>1</v>
      </c>
      <c r="G8444" s="11">
        <v>78000</v>
      </c>
    </row>
    <row r="8445" spans="2:7" x14ac:dyDescent="0.2">
      <c r="B8445" s="32">
        <v>46052</v>
      </c>
      <c r="C8445" t="s">
        <v>109</v>
      </c>
      <c r="D8445" s="13"/>
      <c r="E8445" t="s">
        <v>147</v>
      </c>
      <c r="F8445" s="11">
        <v>1</v>
      </c>
      <c r="G8445" s="11">
        <v>75630.25</v>
      </c>
    </row>
    <row r="8446" spans="2:7" x14ac:dyDescent="0.2">
      <c r="B8446" s="32">
        <v>46052</v>
      </c>
      <c r="C8446" t="s">
        <v>109</v>
      </c>
      <c r="D8446" s="13" t="s">
        <v>634</v>
      </c>
      <c r="E8446" t="s">
        <v>159</v>
      </c>
      <c r="F8446" s="11">
        <v>2</v>
      </c>
      <c r="G8446" s="11">
        <v>478991.6</v>
      </c>
    </row>
    <row r="8447" spans="2:7" x14ac:dyDescent="0.2">
      <c r="B8447" s="32">
        <v>46052</v>
      </c>
      <c r="C8447" t="s">
        <v>109</v>
      </c>
      <c r="D8447" s="13" t="s">
        <v>634</v>
      </c>
      <c r="E8447" t="s">
        <v>184</v>
      </c>
      <c r="F8447" s="11">
        <v>2</v>
      </c>
      <c r="G8447" s="11">
        <v>201680.67</v>
      </c>
    </row>
    <row r="8448" spans="2:7" x14ac:dyDescent="0.2">
      <c r="B8448" s="32">
        <v>46052</v>
      </c>
      <c r="C8448" t="s">
        <v>109</v>
      </c>
      <c r="D8448" s="13" t="s">
        <v>634</v>
      </c>
      <c r="E8448" t="s">
        <v>253</v>
      </c>
      <c r="F8448" s="11">
        <v>1</v>
      </c>
      <c r="G8448" s="11">
        <v>58823.53</v>
      </c>
    </row>
    <row r="8449" spans="2:7" x14ac:dyDescent="0.2">
      <c r="B8449" s="32">
        <v>46052</v>
      </c>
      <c r="C8449" t="s">
        <v>109</v>
      </c>
      <c r="D8449" s="13" t="s">
        <v>634</v>
      </c>
      <c r="E8449" t="s">
        <v>161</v>
      </c>
      <c r="F8449" s="11">
        <v>1</v>
      </c>
      <c r="G8449" s="11">
        <v>42016.81</v>
      </c>
    </row>
    <row r="8450" spans="2:7" x14ac:dyDescent="0.2">
      <c r="B8450" s="32">
        <v>46052</v>
      </c>
      <c r="C8450" t="s">
        <v>109</v>
      </c>
      <c r="D8450" s="13" t="s">
        <v>634</v>
      </c>
      <c r="F8450" s="11">
        <v>0</v>
      </c>
      <c r="G8450" s="11">
        <v>0</v>
      </c>
    </row>
    <row r="8451" spans="2:7" x14ac:dyDescent="0.2">
      <c r="B8451" s="32">
        <v>46052</v>
      </c>
      <c r="C8451" t="s">
        <v>109</v>
      </c>
      <c r="D8451" s="13" t="s">
        <v>633</v>
      </c>
      <c r="E8451" t="s">
        <v>300</v>
      </c>
      <c r="F8451" s="11">
        <v>3</v>
      </c>
      <c r="G8451" s="11">
        <v>126050.42</v>
      </c>
    </row>
    <row r="8452" spans="2:7" x14ac:dyDescent="0.2">
      <c r="B8452" s="32">
        <v>46052</v>
      </c>
      <c r="C8452" t="s">
        <v>109</v>
      </c>
      <c r="D8452" s="13" t="s">
        <v>633</v>
      </c>
      <c r="E8452" t="s">
        <v>145</v>
      </c>
      <c r="F8452" s="11">
        <v>4</v>
      </c>
      <c r="G8452" s="11">
        <v>117647.05</v>
      </c>
    </row>
    <row r="8453" spans="2:7" x14ac:dyDescent="0.2">
      <c r="B8453" s="32">
        <v>46052</v>
      </c>
      <c r="C8453" t="s">
        <v>109</v>
      </c>
      <c r="D8453" s="13" t="s">
        <v>633</v>
      </c>
      <c r="E8453" t="s">
        <v>646</v>
      </c>
      <c r="F8453" s="11">
        <v>1</v>
      </c>
      <c r="G8453" s="11">
        <v>113445.38</v>
      </c>
    </row>
    <row r="8454" spans="2:7" x14ac:dyDescent="0.2">
      <c r="B8454" s="32">
        <v>46052</v>
      </c>
      <c r="C8454" t="s">
        <v>109</v>
      </c>
      <c r="D8454" s="13" t="s">
        <v>633</v>
      </c>
      <c r="E8454" t="s">
        <v>669</v>
      </c>
      <c r="F8454" s="11">
        <v>1</v>
      </c>
      <c r="G8454" s="11">
        <v>102000</v>
      </c>
    </row>
    <row r="8455" spans="2:7" x14ac:dyDescent="0.2">
      <c r="B8455" s="32">
        <v>46052</v>
      </c>
      <c r="C8455" t="s">
        <v>109</v>
      </c>
      <c r="D8455" s="13" t="s">
        <v>633</v>
      </c>
      <c r="E8455" t="s">
        <v>399</v>
      </c>
      <c r="F8455" s="11">
        <v>1</v>
      </c>
      <c r="G8455" s="11">
        <v>54621.85</v>
      </c>
    </row>
    <row r="8456" spans="2:7" x14ac:dyDescent="0.2">
      <c r="B8456" s="32">
        <v>46052</v>
      </c>
      <c r="C8456" t="s">
        <v>109</v>
      </c>
      <c r="D8456" s="13" t="s">
        <v>633</v>
      </c>
      <c r="E8456" t="s">
        <v>648</v>
      </c>
      <c r="F8456" s="11">
        <v>1</v>
      </c>
      <c r="G8456" s="11">
        <v>54621.85</v>
      </c>
    </row>
    <row r="8457" spans="2:7" x14ac:dyDescent="0.2">
      <c r="B8457" s="32">
        <v>46052</v>
      </c>
      <c r="C8457" t="s">
        <v>109</v>
      </c>
      <c r="D8457" s="13" t="s">
        <v>633</v>
      </c>
      <c r="E8457" t="s">
        <v>158</v>
      </c>
      <c r="F8457" s="11">
        <v>1</v>
      </c>
      <c r="G8457" s="11">
        <v>46218.49</v>
      </c>
    </row>
    <row r="8458" spans="2:7" x14ac:dyDescent="0.2">
      <c r="B8458" s="32">
        <v>46052</v>
      </c>
      <c r="C8458" t="s">
        <v>109</v>
      </c>
      <c r="D8458" s="13" t="s">
        <v>633</v>
      </c>
      <c r="E8458" t="s">
        <v>153</v>
      </c>
      <c r="F8458" s="11">
        <v>1</v>
      </c>
      <c r="G8458" s="11">
        <v>46218.49</v>
      </c>
    </row>
    <row r="8459" spans="2:7" x14ac:dyDescent="0.2">
      <c r="B8459" s="32">
        <v>46052</v>
      </c>
      <c r="C8459" t="s">
        <v>109</v>
      </c>
      <c r="D8459" s="13" t="s">
        <v>633</v>
      </c>
      <c r="E8459" t="s">
        <v>172</v>
      </c>
      <c r="F8459" s="11">
        <v>1</v>
      </c>
      <c r="G8459" s="11">
        <v>46218.49</v>
      </c>
    </row>
    <row r="8460" spans="2:7" x14ac:dyDescent="0.2">
      <c r="B8460" s="32">
        <v>46052</v>
      </c>
      <c r="C8460" t="s">
        <v>109</v>
      </c>
      <c r="D8460" s="13" t="s">
        <v>633</v>
      </c>
      <c r="E8460" t="s">
        <v>161</v>
      </c>
      <c r="F8460" s="11">
        <v>1</v>
      </c>
      <c r="G8460" s="11">
        <v>42016.82</v>
      </c>
    </row>
    <row r="8461" spans="2:7" x14ac:dyDescent="0.2">
      <c r="B8461" s="32">
        <v>46052</v>
      </c>
      <c r="C8461" t="s">
        <v>109</v>
      </c>
      <c r="D8461" s="13" t="s">
        <v>633</v>
      </c>
      <c r="E8461" t="s">
        <v>522</v>
      </c>
      <c r="F8461" s="11">
        <v>1</v>
      </c>
      <c r="G8461" s="11">
        <v>35000</v>
      </c>
    </row>
    <row r="8462" spans="2:7" x14ac:dyDescent="0.2">
      <c r="B8462" s="32">
        <v>46052</v>
      </c>
      <c r="C8462" t="s">
        <v>109</v>
      </c>
      <c r="D8462" s="13" t="s">
        <v>633</v>
      </c>
      <c r="E8462" t="s">
        <v>144</v>
      </c>
      <c r="F8462" s="11">
        <v>2</v>
      </c>
      <c r="G8462" s="11">
        <v>21428.57</v>
      </c>
    </row>
    <row r="8463" spans="2:7" x14ac:dyDescent="0.2">
      <c r="B8463" s="32">
        <v>46052</v>
      </c>
      <c r="C8463" t="s">
        <v>109</v>
      </c>
      <c r="D8463" s="13" t="s">
        <v>633</v>
      </c>
      <c r="E8463" t="s">
        <v>367</v>
      </c>
      <c r="F8463" s="11">
        <v>1</v>
      </c>
      <c r="G8463" s="11">
        <v>16806.72</v>
      </c>
    </row>
    <row r="8464" spans="2:7" x14ac:dyDescent="0.2">
      <c r="B8464" s="32">
        <v>46052</v>
      </c>
      <c r="C8464" t="s">
        <v>109</v>
      </c>
      <c r="D8464" s="13" t="s">
        <v>633</v>
      </c>
      <c r="E8464" t="s">
        <v>209</v>
      </c>
      <c r="F8464" s="11">
        <v>1</v>
      </c>
      <c r="G8464" s="11">
        <v>16806.72</v>
      </c>
    </row>
    <row r="8465" spans="2:7" x14ac:dyDescent="0.2">
      <c r="B8465" s="32">
        <v>46052</v>
      </c>
      <c r="C8465" t="s">
        <v>109</v>
      </c>
      <c r="D8465" s="13" t="s">
        <v>633</v>
      </c>
      <c r="E8465" t="s">
        <v>509</v>
      </c>
      <c r="F8465" s="11">
        <v>1</v>
      </c>
      <c r="G8465" s="11">
        <v>16806.72</v>
      </c>
    </row>
    <row r="8466" spans="2:7" x14ac:dyDescent="0.2">
      <c r="B8466" s="32">
        <v>46052</v>
      </c>
      <c r="C8466" t="s">
        <v>109</v>
      </c>
      <c r="D8466" s="13" t="s">
        <v>633</v>
      </c>
      <c r="E8466" t="s">
        <v>333</v>
      </c>
      <c r="F8466" s="11">
        <v>1</v>
      </c>
      <c r="G8466" s="11">
        <v>16806.72</v>
      </c>
    </row>
    <row r="8467" spans="2:7" x14ac:dyDescent="0.2">
      <c r="B8467" s="32">
        <v>46053</v>
      </c>
      <c r="C8467" t="s">
        <v>142</v>
      </c>
      <c r="D8467" s="13" t="s">
        <v>634</v>
      </c>
      <c r="E8467" t="s">
        <v>155</v>
      </c>
      <c r="F8467" s="11">
        <v>1</v>
      </c>
      <c r="G8467" s="11">
        <v>100840.34</v>
      </c>
    </row>
    <row r="8468" spans="2:7" x14ac:dyDescent="0.2">
      <c r="B8468" s="32">
        <v>46053</v>
      </c>
      <c r="C8468" t="s">
        <v>142</v>
      </c>
      <c r="D8468" s="13" t="s">
        <v>634</v>
      </c>
      <c r="F8468" s="11">
        <v>0</v>
      </c>
      <c r="G8468" s="11">
        <v>0</v>
      </c>
    </row>
    <row r="8469" spans="2:7" x14ac:dyDescent="0.2">
      <c r="B8469" s="32">
        <v>46053</v>
      </c>
      <c r="C8469" t="s">
        <v>142</v>
      </c>
      <c r="D8469" s="13" t="s">
        <v>633</v>
      </c>
      <c r="E8469" t="s">
        <v>602</v>
      </c>
      <c r="F8469" s="11">
        <v>3</v>
      </c>
      <c r="G8469" s="11">
        <v>365546.22</v>
      </c>
    </row>
    <row r="8470" spans="2:7" x14ac:dyDescent="0.2">
      <c r="B8470" s="32">
        <v>46053</v>
      </c>
      <c r="C8470" t="s">
        <v>142</v>
      </c>
      <c r="D8470" s="13" t="s">
        <v>633</v>
      </c>
      <c r="E8470" t="s">
        <v>413</v>
      </c>
      <c r="F8470" s="11">
        <v>1</v>
      </c>
      <c r="G8470" s="11">
        <v>100840.34</v>
      </c>
    </row>
    <row r="8471" spans="2:7" x14ac:dyDescent="0.2">
      <c r="B8471" s="32">
        <v>46053</v>
      </c>
      <c r="C8471" t="s">
        <v>142</v>
      </c>
      <c r="D8471" s="13" t="s">
        <v>633</v>
      </c>
      <c r="E8471" t="s">
        <v>249</v>
      </c>
      <c r="F8471" s="11">
        <v>1</v>
      </c>
      <c r="G8471" s="11">
        <v>100840.33</v>
      </c>
    </row>
    <row r="8472" spans="2:7" x14ac:dyDescent="0.2">
      <c r="B8472" s="32">
        <v>46053</v>
      </c>
      <c r="C8472" t="s">
        <v>142</v>
      </c>
      <c r="D8472" s="13" t="s">
        <v>633</v>
      </c>
      <c r="E8472" t="s">
        <v>167</v>
      </c>
      <c r="F8472" s="11">
        <v>1</v>
      </c>
      <c r="G8472" s="11">
        <v>100840.33</v>
      </c>
    </row>
    <row r="8473" spans="2:7" x14ac:dyDescent="0.2">
      <c r="B8473" s="32">
        <v>46053</v>
      </c>
      <c r="C8473" t="s">
        <v>142</v>
      </c>
      <c r="D8473" s="13" t="s">
        <v>633</v>
      </c>
      <c r="E8473" t="s">
        <v>537</v>
      </c>
      <c r="F8473" s="11">
        <v>1</v>
      </c>
      <c r="G8473" s="11">
        <v>63025.21</v>
      </c>
    </row>
    <row r="8474" spans="2:7" x14ac:dyDescent="0.2">
      <c r="B8474" s="32">
        <v>46053</v>
      </c>
      <c r="C8474" t="s">
        <v>142</v>
      </c>
      <c r="D8474" s="13" t="s">
        <v>633</v>
      </c>
      <c r="E8474" t="s">
        <v>613</v>
      </c>
      <c r="F8474" s="11">
        <v>1</v>
      </c>
      <c r="G8474" s="11">
        <v>55000</v>
      </c>
    </row>
    <row r="8475" spans="2:7" x14ac:dyDescent="0.2">
      <c r="B8475" s="32">
        <v>46053</v>
      </c>
      <c r="C8475" t="s">
        <v>142</v>
      </c>
      <c r="D8475" s="13" t="s">
        <v>633</v>
      </c>
      <c r="E8475" t="s">
        <v>519</v>
      </c>
      <c r="F8475" s="11">
        <v>1</v>
      </c>
      <c r="G8475" s="11">
        <v>50420.17</v>
      </c>
    </row>
    <row r="8476" spans="2:7" x14ac:dyDescent="0.2">
      <c r="B8476" s="32">
        <v>46053</v>
      </c>
      <c r="C8476" t="s">
        <v>142</v>
      </c>
      <c r="D8476" s="13" t="s">
        <v>633</v>
      </c>
      <c r="E8476" t="s">
        <v>144</v>
      </c>
      <c r="F8476" s="11">
        <v>1</v>
      </c>
      <c r="G8476" s="11">
        <v>13445.38</v>
      </c>
    </row>
    <row r="8477" spans="2:7" x14ac:dyDescent="0.2">
      <c r="B8477" s="32">
        <v>46053</v>
      </c>
      <c r="C8477" t="s">
        <v>142</v>
      </c>
      <c r="D8477" s="13" t="s">
        <v>633</v>
      </c>
      <c r="F8477" s="11">
        <v>0</v>
      </c>
      <c r="G8477" s="11">
        <v>0</v>
      </c>
    </row>
    <row r="8478" spans="2:7" x14ac:dyDescent="0.2">
      <c r="B8478" s="32">
        <v>46053</v>
      </c>
      <c r="C8478" t="s">
        <v>109</v>
      </c>
      <c r="D8478" s="13"/>
      <c r="E8478" t="s">
        <v>193</v>
      </c>
      <c r="F8478" s="11">
        <v>1</v>
      </c>
      <c r="G8478" s="11">
        <v>37815.129999999997</v>
      </c>
    </row>
    <row r="8479" spans="2:7" x14ac:dyDescent="0.2">
      <c r="B8479" s="32">
        <v>46053</v>
      </c>
      <c r="C8479" t="s">
        <v>109</v>
      </c>
      <c r="D8479" s="13"/>
      <c r="E8479" t="s">
        <v>144</v>
      </c>
      <c r="F8479" s="11">
        <v>1</v>
      </c>
      <c r="G8479" s="11">
        <v>7983.19</v>
      </c>
    </row>
    <row r="8480" spans="2:7" x14ac:dyDescent="0.2">
      <c r="B8480" s="32">
        <v>46053</v>
      </c>
      <c r="C8480" t="s">
        <v>109</v>
      </c>
      <c r="D8480" s="13" t="s">
        <v>634</v>
      </c>
      <c r="F8480" s="11">
        <v>1</v>
      </c>
      <c r="G8480" s="11">
        <v>122818.36</v>
      </c>
    </row>
    <row r="8481" spans="2:7" x14ac:dyDescent="0.2">
      <c r="B8481" s="32">
        <v>46053</v>
      </c>
      <c r="C8481" t="s">
        <v>109</v>
      </c>
      <c r="D8481" s="13" t="s">
        <v>634</v>
      </c>
      <c r="E8481" t="s">
        <v>145</v>
      </c>
      <c r="F8481" s="11">
        <v>3</v>
      </c>
      <c r="G8481" s="11">
        <v>88235.29</v>
      </c>
    </row>
    <row r="8482" spans="2:7" x14ac:dyDescent="0.2">
      <c r="B8482" s="32">
        <v>46053</v>
      </c>
      <c r="C8482" t="s">
        <v>109</v>
      </c>
      <c r="D8482" s="13" t="s">
        <v>634</v>
      </c>
      <c r="E8482" t="s">
        <v>147</v>
      </c>
      <c r="F8482" s="11">
        <v>1</v>
      </c>
      <c r="G8482" s="11">
        <v>75630.25</v>
      </c>
    </row>
    <row r="8483" spans="2:7" x14ac:dyDescent="0.2">
      <c r="B8483" s="32">
        <v>46053</v>
      </c>
      <c r="C8483" t="s">
        <v>109</v>
      </c>
      <c r="D8483" s="13" t="s">
        <v>634</v>
      </c>
      <c r="E8483" t="s">
        <v>148</v>
      </c>
      <c r="F8483" s="11">
        <v>2</v>
      </c>
      <c r="G8483" s="11">
        <v>75630.25</v>
      </c>
    </row>
    <row r="8484" spans="2:7" x14ac:dyDescent="0.2">
      <c r="B8484" s="32">
        <v>46053</v>
      </c>
      <c r="C8484" t="s">
        <v>109</v>
      </c>
      <c r="D8484" s="13" t="s">
        <v>634</v>
      </c>
      <c r="E8484" t="s">
        <v>146</v>
      </c>
      <c r="F8484" s="11">
        <v>1</v>
      </c>
      <c r="G8484" s="11">
        <v>50420.17</v>
      </c>
    </row>
    <row r="8485" spans="2:7" x14ac:dyDescent="0.2">
      <c r="B8485" s="32">
        <v>46053</v>
      </c>
      <c r="C8485" t="s">
        <v>109</v>
      </c>
      <c r="D8485" s="13" t="s">
        <v>634</v>
      </c>
      <c r="E8485" t="s">
        <v>179</v>
      </c>
      <c r="F8485" s="11">
        <v>1</v>
      </c>
      <c r="G8485" s="11">
        <v>50420.17</v>
      </c>
    </row>
    <row r="8486" spans="2:7" x14ac:dyDescent="0.2">
      <c r="B8486" s="32">
        <v>46053</v>
      </c>
      <c r="C8486" t="s">
        <v>109</v>
      </c>
      <c r="D8486" s="13" t="s">
        <v>634</v>
      </c>
      <c r="E8486" t="s">
        <v>198</v>
      </c>
      <c r="F8486" s="11">
        <v>1</v>
      </c>
      <c r="G8486" s="11">
        <v>50420.17</v>
      </c>
    </row>
    <row r="8487" spans="2:7" x14ac:dyDescent="0.2">
      <c r="B8487" s="32">
        <v>46053</v>
      </c>
      <c r="C8487" t="s">
        <v>109</v>
      </c>
      <c r="D8487" s="13" t="s">
        <v>634</v>
      </c>
      <c r="E8487" t="s">
        <v>151</v>
      </c>
      <c r="F8487" s="11">
        <v>1</v>
      </c>
      <c r="G8487" s="11">
        <v>50420.160000000003</v>
      </c>
    </row>
    <row r="8488" spans="2:7" x14ac:dyDescent="0.2">
      <c r="B8488" s="32">
        <v>46053</v>
      </c>
      <c r="C8488" t="s">
        <v>109</v>
      </c>
      <c r="D8488" s="13" t="s">
        <v>634</v>
      </c>
      <c r="E8488" t="s">
        <v>156</v>
      </c>
      <c r="F8488" s="11">
        <v>1</v>
      </c>
      <c r="G8488" s="11">
        <v>46218.49</v>
      </c>
    </row>
    <row r="8489" spans="2:7" x14ac:dyDescent="0.2">
      <c r="B8489" s="32">
        <v>46053</v>
      </c>
      <c r="C8489" t="s">
        <v>109</v>
      </c>
      <c r="D8489" s="13" t="s">
        <v>634</v>
      </c>
      <c r="E8489" t="s">
        <v>203</v>
      </c>
      <c r="F8489" s="11">
        <v>1</v>
      </c>
      <c r="G8489" s="11">
        <v>42016.81</v>
      </c>
    </row>
    <row r="8490" spans="2:7" x14ac:dyDescent="0.2">
      <c r="B8490" s="32">
        <v>46053</v>
      </c>
      <c r="C8490" t="s">
        <v>109</v>
      </c>
      <c r="D8490" s="13" t="s">
        <v>634</v>
      </c>
      <c r="E8490" t="s">
        <v>193</v>
      </c>
      <c r="F8490" s="11">
        <v>1</v>
      </c>
      <c r="G8490" s="11">
        <v>36845.51</v>
      </c>
    </row>
    <row r="8491" spans="2:7" x14ac:dyDescent="0.2">
      <c r="B8491" s="32">
        <v>46053</v>
      </c>
      <c r="C8491" t="s">
        <v>109</v>
      </c>
      <c r="D8491" s="13" t="s">
        <v>634</v>
      </c>
      <c r="E8491" t="s">
        <v>144</v>
      </c>
      <c r="F8491" s="11">
        <v>1</v>
      </c>
      <c r="G8491" s="11">
        <v>4621.8500000000004</v>
      </c>
    </row>
    <row r="8492" spans="2:7" x14ac:dyDescent="0.2">
      <c r="B8492" s="32">
        <v>46053</v>
      </c>
      <c r="C8492" t="s">
        <v>109</v>
      </c>
      <c r="D8492" s="13" t="s">
        <v>633</v>
      </c>
      <c r="E8492" t="s">
        <v>642</v>
      </c>
      <c r="F8492" s="11">
        <v>2</v>
      </c>
      <c r="G8492" s="11">
        <v>98000</v>
      </c>
    </row>
    <row r="8493" spans="2:7" x14ac:dyDescent="0.2">
      <c r="B8493" s="32">
        <v>46053</v>
      </c>
      <c r="C8493" t="s">
        <v>109</v>
      </c>
      <c r="D8493" s="13" t="s">
        <v>633</v>
      </c>
      <c r="E8493" t="s">
        <v>196</v>
      </c>
      <c r="F8493" s="11">
        <v>2</v>
      </c>
      <c r="G8493" s="11">
        <v>92436.98</v>
      </c>
    </row>
    <row r="8494" spans="2:7" x14ac:dyDescent="0.2">
      <c r="B8494" s="32">
        <v>46053</v>
      </c>
      <c r="C8494" t="s">
        <v>109</v>
      </c>
      <c r="D8494" s="13" t="s">
        <v>633</v>
      </c>
      <c r="E8494" t="s">
        <v>403</v>
      </c>
      <c r="F8494" s="11">
        <v>1</v>
      </c>
      <c r="G8494" s="11">
        <v>84033.61</v>
      </c>
    </row>
    <row r="8495" spans="2:7" x14ac:dyDescent="0.2">
      <c r="B8495" s="32">
        <v>46054</v>
      </c>
      <c r="C8495" t="s">
        <v>142</v>
      </c>
      <c r="D8495" s="13" t="s">
        <v>634</v>
      </c>
      <c r="E8495" t="s">
        <v>167</v>
      </c>
      <c r="F8495" s="11">
        <v>1</v>
      </c>
      <c r="G8495" s="11">
        <v>100840.34</v>
      </c>
    </row>
    <row r="8496" spans="2:7" x14ac:dyDescent="0.2">
      <c r="B8496" s="32">
        <v>46054</v>
      </c>
      <c r="C8496" t="s">
        <v>142</v>
      </c>
      <c r="D8496" s="13" t="s">
        <v>634</v>
      </c>
      <c r="E8496" t="s">
        <v>354</v>
      </c>
      <c r="F8496" s="11">
        <v>1</v>
      </c>
      <c r="G8496" s="11">
        <v>63025.21</v>
      </c>
    </row>
    <row r="8497" spans="2:7" x14ac:dyDescent="0.2">
      <c r="B8497" s="32">
        <v>46054</v>
      </c>
      <c r="C8497" t="s">
        <v>142</v>
      </c>
      <c r="D8497" s="13" t="s">
        <v>634</v>
      </c>
      <c r="E8497" t="s">
        <v>153</v>
      </c>
      <c r="F8497" s="11">
        <v>1</v>
      </c>
      <c r="G8497" s="11">
        <v>46218.49</v>
      </c>
    </row>
    <row r="8498" spans="2:7" x14ac:dyDescent="0.2">
      <c r="B8498" s="32">
        <v>46054</v>
      </c>
      <c r="C8498" t="s">
        <v>142</v>
      </c>
      <c r="D8498" s="13" t="s">
        <v>634</v>
      </c>
      <c r="F8498" s="11">
        <v>0</v>
      </c>
      <c r="G8498" s="11">
        <v>0</v>
      </c>
    </row>
    <row r="8499" spans="2:7" x14ac:dyDescent="0.2">
      <c r="B8499" s="32">
        <v>46054</v>
      </c>
      <c r="C8499" t="s">
        <v>142</v>
      </c>
      <c r="D8499" s="13" t="s">
        <v>633</v>
      </c>
      <c r="E8499" t="s">
        <v>663</v>
      </c>
      <c r="F8499" s="11">
        <v>1</v>
      </c>
      <c r="G8499" s="11">
        <v>239495.8</v>
      </c>
    </row>
    <row r="8500" spans="2:7" x14ac:dyDescent="0.2">
      <c r="B8500" s="32">
        <v>46054</v>
      </c>
      <c r="C8500" t="s">
        <v>142</v>
      </c>
      <c r="D8500" s="13" t="s">
        <v>633</v>
      </c>
      <c r="F8500" s="11">
        <v>0</v>
      </c>
      <c r="G8500" s="11">
        <v>0</v>
      </c>
    </row>
    <row r="8501" spans="2:7" x14ac:dyDescent="0.2">
      <c r="B8501" s="32">
        <v>46055</v>
      </c>
      <c r="C8501" t="s">
        <v>142</v>
      </c>
      <c r="D8501" s="13" t="s">
        <v>634</v>
      </c>
      <c r="E8501" t="s">
        <v>169</v>
      </c>
      <c r="F8501" s="11">
        <v>2</v>
      </c>
      <c r="G8501" s="11">
        <v>201680.67</v>
      </c>
    </row>
    <row r="8502" spans="2:7" x14ac:dyDescent="0.2">
      <c r="B8502" s="32">
        <v>46055</v>
      </c>
      <c r="C8502" t="s">
        <v>142</v>
      </c>
      <c r="D8502" s="13" t="s">
        <v>634</v>
      </c>
      <c r="E8502" t="s">
        <v>207</v>
      </c>
      <c r="F8502" s="11">
        <v>1</v>
      </c>
      <c r="G8502" s="11">
        <v>100840.34</v>
      </c>
    </row>
    <row r="8503" spans="2:7" x14ac:dyDescent="0.2">
      <c r="B8503" s="32">
        <v>46055</v>
      </c>
      <c r="C8503" t="s">
        <v>142</v>
      </c>
      <c r="D8503" s="13" t="s">
        <v>634</v>
      </c>
      <c r="E8503" t="s">
        <v>154</v>
      </c>
      <c r="F8503" s="11">
        <v>1</v>
      </c>
      <c r="G8503" s="11">
        <v>100840.34</v>
      </c>
    </row>
    <row r="8504" spans="2:7" x14ac:dyDescent="0.2">
      <c r="B8504" s="32">
        <v>46055</v>
      </c>
      <c r="C8504" t="s">
        <v>142</v>
      </c>
      <c r="D8504" s="13" t="s">
        <v>634</v>
      </c>
      <c r="E8504" t="s">
        <v>236</v>
      </c>
      <c r="F8504" s="11">
        <v>1</v>
      </c>
      <c r="G8504" s="11">
        <v>63025.21</v>
      </c>
    </row>
    <row r="8505" spans="2:7" x14ac:dyDescent="0.2">
      <c r="B8505" s="32">
        <v>46055</v>
      </c>
      <c r="C8505" t="s">
        <v>142</v>
      </c>
      <c r="D8505" s="13" t="s">
        <v>634</v>
      </c>
      <c r="F8505" s="11">
        <v>0</v>
      </c>
      <c r="G8505" s="11">
        <v>0</v>
      </c>
    </row>
    <row r="8506" spans="2:7" x14ac:dyDescent="0.2">
      <c r="B8506" s="32">
        <v>46055</v>
      </c>
      <c r="C8506" t="s">
        <v>142</v>
      </c>
      <c r="D8506" s="13" t="s">
        <v>633</v>
      </c>
      <c r="E8506" t="s">
        <v>716</v>
      </c>
      <c r="F8506" s="11">
        <v>1</v>
      </c>
      <c r="G8506" s="11">
        <v>58823.53</v>
      </c>
    </row>
    <row r="8507" spans="2:7" x14ac:dyDescent="0.2">
      <c r="B8507" s="32">
        <v>46055</v>
      </c>
      <c r="C8507" t="s">
        <v>142</v>
      </c>
      <c r="D8507" s="13" t="s">
        <v>633</v>
      </c>
      <c r="F8507" s="11">
        <v>0</v>
      </c>
      <c r="G8507" s="11">
        <v>0</v>
      </c>
    </row>
    <row r="8508" spans="2:7" x14ac:dyDescent="0.2">
      <c r="B8508" s="32">
        <v>46055</v>
      </c>
      <c r="C8508" t="s">
        <v>109</v>
      </c>
      <c r="D8508" s="13" t="s">
        <v>634</v>
      </c>
      <c r="E8508" t="s">
        <v>191</v>
      </c>
      <c r="F8508" s="11">
        <v>1</v>
      </c>
      <c r="G8508" s="11">
        <v>142857.14000000001</v>
      </c>
    </row>
    <row r="8509" spans="2:7" x14ac:dyDescent="0.2">
      <c r="B8509" s="32">
        <v>46055</v>
      </c>
      <c r="C8509" t="s">
        <v>109</v>
      </c>
      <c r="D8509" s="13" t="s">
        <v>634</v>
      </c>
      <c r="E8509" t="s">
        <v>450</v>
      </c>
      <c r="F8509" s="11">
        <v>1</v>
      </c>
      <c r="G8509" s="11">
        <v>138655.46</v>
      </c>
    </row>
    <row r="8510" spans="2:7" x14ac:dyDescent="0.2">
      <c r="B8510" s="32">
        <v>46055</v>
      </c>
      <c r="C8510" t="s">
        <v>109</v>
      </c>
      <c r="D8510" s="13" t="s">
        <v>634</v>
      </c>
      <c r="F8510" s="11">
        <v>1</v>
      </c>
      <c r="G8510" s="11">
        <v>126050.42</v>
      </c>
    </row>
    <row r="8511" spans="2:7" x14ac:dyDescent="0.2">
      <c r="B8511" s="32">
        <v>46055</v>
      </c>
      <c r="C8511" t="s">
        <v>109</v>
      </c>
      <c r="D8511" s="13" t="s">
        <v>634</v>
      </c>
      <c r="E8511" t="s">
        <v>313</v>
      </c>
      <c r="F8511" s="11">
        <v>1</v>
      </c>
      <c r="G8511" s="11">
        <v>100840.34</v>
      </c>
    </row>
    <row r="8512" spans="2:7" x14ac:dyDescent="0.2">
      <c r="B8512" s="32">
        <v>46055</v>
      </c>
      <c r="C8512" t="s">
        <v>109</v>
      </c>
      <c r="D8512" s="13" t="s">
        <v>634</v>
      </c>
      <c r="E8512" t="s">
        <v>224</v>
      </c>
      <c r="F8512" s="11">
        <v>1</v>
      </c>
      <c r="G8512" s="11">
        <v>58823.53</v>
      </c>
    </row>
    <row r="8513" spans="2:7" x14ac:dyDescent="0.2">
      <c r="B8513" s="32">
        <v>46055</v>
      </c>
      <c r="C8513" t="s">
        <v>109</v>
      </c>
      <c r="D8513" s="13" t="s">
        <v>634</v>
      </c>
      <c r="E8513" t="s">
        <v>182</v>
      </c>
      <c r="F8513" s="11">
        <v>2</v>
      </c>
      <c r="G8513" s="11">
        <v>58823.53</v>
      </c>
    </row>
    <row r="8514" spans="2:7" x14ac:dyDescent="0.2">
      <c r="B8514" s="32">
        <v>46055</v>
      </c>
      <c r="C8514" t="s">
        <v>109</v>
      </c>
      <c r="D8514" s="13" t="s">
        <v>634</v>
      </c>
      <c r="E8514" t="s">
        <v>212</v>
      </c>
      <c r="F8514" s="11">
        <v>1</v>
      </c>
      <c r="G8514" s="11">
        <v>58823.53</v>
      </c>
    </row>
    <row r="8515" spans="2:7" x14ac:dyDescent="0.2">
      <c r="B8515" s="32">
        <v>46055</v>
      </c>
      <c r="C8515" t="s">
        <v>109</v>
      </c>
      <c r="D8515" s="13" t="s">
        <v>634</v>
      </c>
      <c r="E8515" t="s">
        <v>397</v>
      </c>
      <c r="F8515" s="11">
        <v>1</v>
      </c>
      <c r="G8515" s="11">
        <v>50420.17</v>
      </c>
    </row>
    <row r="8516" spans="2:7" x14ac:dyDescent="0.2">
      <c r="B8516" s="32">
        <v>46055</v>
      </c>
      <c r="C8516" t="s">
        <v>109</v>
      </c>
      <c r="D8516" s="13" t="s">
        <v>634</v>
      </c>
      <c r="E8516" t="s">
        <v>210</v>
      </c>
      <c r="F8516" s="11">
        <v>1</v>
      </c>
      <c r="G8516" s="11">
        <v>50420.17</v>
      </c>
    </row>
    <row r="8517" spans="2:7" x14ac:dyDescent="0.2">
      <c r="B8517" s="32">
        <v>46055</v>
      </c>
      <c r="C8517" t="s">
        <v>109</v>
      </c>
      <c r="D8517" s="13" t="s">
        <v>634</v>
      </c>
      <c r="E8517" t="s">
        <v>296</v>
      </c>
      <c r="F8517" s="11">
        <v>1</v>
      </c>
      <c r="G8517" s="11">
        <v>50420.17</v>
      </c>
    </row>
    <row r="8518" spans="2:7" x14ac:dyDescent="0.2">
      <c r="B8518" s="32">
        <v>46055</v>
      </c>
      <c r="C8518" t="s">
        <v>109</v>
      </c>
      <c r="D8518" s="13" t="s">
        <v>634</v>
      </c>
      <c r="E8518" t="s">
        <v>148</v>
      </c>
      <c r="F8518" s="11">
        <v>1</v>
      </c>
      <c r="G8518" s="11">
        <v>37815.129999999997</v>
      </c>
    </row>
    <row r="8519" spans="2:7" x14ac:dyDescent="0.2">
      <c r="B8519" s="32">
        <v>46055</v>
      </c>
      <c r="C8519" t="s">
        <v>109</v>
      </c>
      <c r="D8519" s="13" t="s">
        <v>634</v>
      </c>
      <c r="E8519" t="s">
        <v>328</v>
      </c>
      <c r="F8519" s="11">
        <v>1</v>
      </c>
      <c r="G8519" s="11">
        <v>37815.129999999997</v>
      </c>
    </row>
    <row r="8520" spans="2:7" x14ac:dyDescent="0.2">
      <c r="B8520" s="32">
        <v>46055</v>
      </c>
      <c r="C8520" t="s">
        <v>109</v>
      </c>
      <c r="D8520" s="13" t="s">
        <v>634</v>
      </c>
      <c r="E8520" t="s">
        <v>356</v>
      </c>
      <c r="F8520" s="11">
        <v>1</v>
      </c>
      <c r="G8520" s="11">
        <v>37815.120000000003</v>
      </c>
    </row>
    <row r="8521" spans="2:7" x14ac:dyDescent="0.2">
      <c r="B8521" s="32">
        <v>46055</v>
      </c>
      <c r="C8521" t="s">
        <v>109</v>
      </c>
      <c r="D8521" s="13" t="s">
        <v>634</v>
      </c>
      <c r="E8521" t="s">
        <v>171</v>
      </c>
      <c r="F8521" s="11">
        <v>1</v>
      </c>
      <c r="G8521" s="11">
        <v>29411.759999999998</v>
      </c>
    </row>
    <row r="8522" spans="2:7" x14ac:dyDescent="0.2">
      <c r="B8522" s="32">
        <v>46055</v>
      </c>
      <c r="C8522" t="s">
        <v>109</v>
      </c>
      <c r="D8522" s="13" t="s">
        <v>633</v>
      </c>
      <c r="E8522" t="s">
        <v>423</v>
      </c>
      <c r="F8522" s="11">
        <v>1</v>
      </c>
      <c r="G8522" s="11">
        <v>63025.21</v>
      </c>
    </row>
    <row r="8523" spans="2:7" x14ac:dyDescent="0.2">
      <c r="B8523" s="32">
        <v>46055</v>
      </c>
      <c r="C8523" t="s">
        <v>109</v>
      </c>
      <c r="D8523" s="13" t="s">
        <v>633</v>
      </c>
      <c r="E8523" t="s">
        <v>306</v>
      </c>
      <c r="F8523" s="11">
        <v>1</v>
      </c>
      <c r="G8523" s="11">
        <v>63025.21</v>
      </c>
    </row>
    <row r="8524" spans="2:7" x14ac:dyDescent="0.2">
      <c r="B8524" s="32">
        <v>46055</v>
      </c>
      <c r="C8524" t="s">
        <v>109</v>
      </c>
      <c r="D8524" s="13" t="s">
        <v>633</v>
      </c>
      <c r="E8524" t="s">
        <v>700</v>
      </c>
      <c r="F8524" s="11">
        <v>1</v>
      </c>
      <c r="G8524" s="11">
        <v>63025.21</v>
      </c>
    </row>
    <row r="8525" spans="2:7" x14ac:dyDescent="0.2">
      <c r="B8525" s="32">
        <v>46055</v>
      </c>
      <c r="C8525" t="s">
        <v>109</v>
      </c>
      <c r="D8525" s="13" t="s">
        <v>633</v>
      </c>
      <c r="E8525" t="s">
        <v>156</v>
      </c>
      <c r="F8525" s="11">
        <v>1</v>
      </c>
      <c r="G8525" s="11">
        <v>46218.49</v>
      </c>
    </row>
    <row r="8526" spans="2:7" x14ac:dyDescent="0.2">
      <c r="B8526" s="32">
        <v>46055</v>
      </c>
      <c r="C8526" t="s">
        <v>109</v>
      </c>
      <c r="D8526" s="13" t="s">
        <v>633</v>
      </c>
      <c r="E8526" t="s">
        <v>382</v>
      </c>
      <c r="F8526" s="11">
        <v>1</v>
      </c>
      <c r="G8526" s="11">
        <v>42016.81</v>
      </c>
    </row>
    <row r="8527" spans="2:7" x14ac:dyDescent="0.2">
      <c r="B8527" s="32">
        <v>46055</v>
      </c>
      <c r="C8527" t="s">
        <v>109</v>
      </c>
      <c r="D8527" s="13" t="s">
        <v>633</v>
      </c>
      <c r="E8527" t="s">
        <v>328</v>
      </c>
      <c r="F8527" s="11">
        <v>1</v>
      </c>
      <c r="G8527" s="11">
        <v>37815.129999999997</v>
      </c>
    </row>
    <row r="8528" spans="2:7" x14ac:dyDescent="0.2">
      <c r="B8528" s="32">
        <v>46055</v>
      </c>
      <c r="C8528" t="s">
        <v>109</v>
      </c>
      <c r="D8528" s="13" t="s">
        <v>633</v>
      </c>
      <c r="E8528" t="s">
        <v>234</v>
      </c>
      <c r="F8528" s="11">
        <v>1</v>
      </c>
      <c r="G8528" s="11">
        <v>37815.120000000003</v>
      </c>
    </row>
    <row r="8529" spans="2:7" x14ac:dyDescent="0.2">
      <c r="B8529" s="32">
        <v>46055</v>
      </c>
      <c r="C8529" t="s">
        <v>109</v>
      </c>
      <c r="D8529" s="13" t="s">
        <v>633</v>
      </c>
      <c r="E8529" t="s">
        <v>144</v>
      </c>
      <c r="F8529" s="11">
        <v>3</v>
      </c>
      <c r="G8529" s="11">
        <v>35714.28</v>
      </c>
    </row>
    <row r="8530" spans="2:7" x14ac:dyDescent="0.2">
      <c r="B8530" s="32">
        <v>46056</v>
      </c>
      <c r="C8530" t="s">
        <v>142</v>
      </c>
      <c r="D8530" s="13" t="s">
        <v>634</v>
      </c>
      <c r="E8530" t="s">
        <v>194</v>
      </c>
      <c r="F8530" s="11">
        <v>1</v>
      </c>
      <c r="G8530" s="11">
        <v>100840.34</v>
      </c>
    </row>
    <row r="8531" spans="2:7" x14ac:dyDescent="0.2">
      <c r="B8531" s="32">
        <v>46056</v>
      </c>
      <c r="C8531" t="s">
        <v>142</v>
      </c>
      <c r="D8531" s="13" t="s">
        <v>634</v>
      </c>
      <c r="E8531" t="s">
        <v>444</v>
      </c>
      <c r="F8531" s="11">
        <v>1</v>
      </c>
      <c r="G8531" s="11">
        <v>84033.61</v>
      </c>
    </row>
    <row r="8532" spans="2:7" x14ac:dyDescent="0.2">
      <c r="B8532" s="32">
        <v>46056</v>
      </c>
      <c r="C8532" t="s">
        <v>142</v>
      </c>
      <c r="D8532" s="13" t="s">
        <v>634</v>
      </c>
      <c r="E8532" t="s">
        <v>335</v>
      </c>
      <c r="F8532" s="11">
        <v>1</v>
      </c>
      <c r="G8532" s="11">
        <v>63025.21</v>
      </c>
    </row>
    <row r="8533" spans="2:7" x14ac:dyDescent="0.2">
      <c r="B8533" s="32">
        <v>46056</v>
      </c>
      <c r="C8533" t="s">
        <v>142</v>
      </c>
      <c r="D8533" s="13" t="s">
        <v>634</v>
      </c>
      <c r="F8533" s="11">
        <v>0</v>
      </c>
      <c r="G8533" s="11">
        <v>0</v>
      </c>
    </row>
    <row r="8534" spans="2:7" x14ac:dyDescent="0.2">
      <c r="B8534" s="32">
        <v>46056</v>
      </c>
      <c r="C8534" t="s">
        <v>142</v>
      </c>
      <c r="D8534" s="13" t="s">
        <v>633</v>
      </c>
      <c r="E8534" t="s">
        <v>649</v>
      </c>
      <c r="F8534" s="11">
        <v>1</v>
      </c>
      <c r="G8534" s="11">
        <v>184873.95</v>
      </c>
    </row>
    <row r="8535" spans="2:7" x14ac:dyDescent="0.2">
      <c r="B8535" s="32">
        <v>46056</v>
      </c>
      <c r="C8535" t="s">
        <v>142</v>
      </c>
      <c r="D8535" s="13" t="s">
        <v>633</v>
      </c>
      <c r="E8535" t="s">
        <v>689</v>
      </c>
      <c r="F8535" s="11">
        <v>1</v>
      </c>
      <c r="G8535" s="11">
        <v>84033.61</v>
      </c>
    </row>
    <row r="8536" spans="2:7" x14ac:dyDescent="0.2">
      <c r="B8536" s="32">
        <v>46056</v>
      </c>
      <c r="C8536" t="s">
        <v>142</v>
      </c>
      <c r="D8536" s="13" t="s">
        <v>633</v>
      </c>
      <c r="E8536" t="s">
        <v>271</v>
      </c>
      <c r="F8536" s="11">
        <v>1</v>
      </c>
      <c r="G8536" s="11">
        <v>83193.279999999999</v>
      </c>
    </row>
    <row r="8537" spans="2:7" x14ac:dyDescent="0.2">
      <c r="B8537" s="32">
        <v>46056</v>
      </c>
      <c r="C8537" t="s">
        <v>142</v>
      </c>
      <c r="D8537" s="13" t="s">
        <v>633</v>
      </c>
      <c r="E8537" t="s">
        <v>727</v>
      </c>
      <c r="F8537" s="11">
        <v>1</v>
      </c>
      <c r="G8537" s="11">
        <v>63025.21</v>
      </c>
    </row>
    <row r="8538" spans="2:7" x14ac:dyDescent="0.2">
      <c r="B8538" s="32">
        <v>46056</v>
      </c>
      <c r="C8538" t="s">
        <v>142</v>
      </c>
      <c r="D8538" s="13" t="s">
        <v>633</v>
      </c>
      <c r="E8538" t="s">
        <v>306</v>
      </c>
      <c r="F8538" s="11">
        <v>1</v>
      </c>
      <c r="G8538" s="11">
        <v>63025.21</v>
      </c>
    </row>
    <row r="8539" spans="2:7" x14ac:dyDescent="0.2">
      <c r="B8539" s="32">
        <v>46056</v>
      </c>
      <c r="C8539" t="s">
        <v>142</v>
      </c>
      <c r="D8539" s="13" t="s">
        <v>633</v>
      </c>
      <c r="E8539" t="s">
        <v>315</v>
      </c>
      <c r="F8539" s="11">
        <v>1</v>
      </c>
      <c r="G8539" s="11">
        <v>63025.21</v>
      </c>
    </row>
    <row r="8540" spans="2:7" x14ac:dyDescent="0.2">
      <c r="B8540" s="32">
        <v>46056</v>
      </c>
      <c r="C8540" t="s">
        <v>142</v>
      </c>
      <c r="D8540" s="13" t="s">
        <v>633</v>
      </c>
      <c r="E8540" t="s">
        <v>150</v>
      </c>
      <c r="F8540" s="11">
        <v>1</v>
      </c>
      <c r="G8540" s="11">
        <v>46218.49</v>
      </c>
    </row>
    <row r="8541" spans="2:7" x14ac:dyDescent="0.2">
      <c r="B8541" s="32">
        <v>46056</v>
      </c>
      <c r="C8541" t="s">
        <v>142</v>
      </c>
      <c r="D8541" s="13" t="s">
        <v>633</v>
      </c>
      <c r="F8541" s="11">
        <v>0</v>
      </c>
      <c r="G8541" s="11">
        <v>0</v>
      </c>
    </row>
    <row r="8542" spans="2:7" x14ac:dyDescent="0.2">
      <c r="B8542" s="32">
        <v>46056</v>
      </c>
      <c r="C8542" t="s">
        <v>109</v>
      </c>
      <c r="D8542" s="13" t="s">
        <v>634</v>
      </c>
      <c r="E8542" t="s">
        <v>417</v>
      </c>
      <c r="F8542" s="11">
        <v>1</v>
      </c>
      <c r="G8542" s="11">
        <v>181512.61</v>
      </c>
    </row>
    <row r="8543" spans="2:7" x14ac:dyDescent="0.2">
      <c r="B8543" s="32">
        <v>46056</v>
      </c>
      <c r="C8543" t="s">
        <v>109</v>
      </c>
      <c r="D8543" s="13" t="s">
        <v>634</v>
      </c>
      <c r="E8543" t="s">
        <v>451</v>
      </c>
      <c r="F8543" s="11">
        <v>1</v>
      </c>
      <c r="G8543" s="11">
        <v>163865.54999999999</v>
      </c>
    </row>
    <row r="8544" spans="2:7" x14ac:dyDescent="0.2">
      <c r="B8544" s="32">
        <v>46056</v>
      </c>
      <c r="C8544" t="s">
        <v>109</v>
      </c>
      <c r="D8544" s="13" t="s">
        <v>634</v>
      </c>
      <c r="E8544" t="s">
        <v>414</v>
      </c>
      <c r="F8544" s="11">
        <v>1</v>
      </c>
      <c r="G8544" s="11">
        <v>138655.46</v>
      </c>
    </row>
    <row r="8545" spans="2:7" x14ac:dyDescent="0.2">
      <c r="B8545" s="32">
        <v>46056</v>
      </c>
      <c r="C8545" t="s">
        <v>109</v>
      </c>
      <c r="D8545" s="13" t="s">
        <v>634</v>
      </c>
      <c r="E8545" t="s">
        <v>379</v>
      </c>
      <c r="F8545" s="11">
        <v>1</v>
      </c>
      <c r="G8545" s="11">
        <v>67226.880000000005</v>
      </c>
    </row>
    <row r="8546" spans="2:7" x14ac:dyDescent="0.2">
      <c r="B8546" s="32">
        <v>46056</v>
      </c>
      <c r="C8546" t="s">
        <v>109</v>
      </c>
      <c r="D8546" s="13" t="s">
        <v>634</v>
      </c>
      <c r="E8546" t="s">
        <v>442</v>
      </c>
      <c r="F8546" s="11">
        <v>1</v>
      </c>
      <c r="G8546" s="11">
        <v>63025.21</v>
      </c>
    </row>
    <row r="8547" spans="2:7" x14ac:dyDescent="0.2">
      <c r="B8547" s="32">
        <v>46056</v>
      </c>
      <c r="C8547" t="s">
        <v>109</v>
      </c>
      <c r="D8547" s="13" t="s">
        <v>634</v>
      </c>
      <c r="E8547" t="s">
        <v>325</v>
      </c>
      <c r="F8547" s="11">
        <v>1</v>
      </c>
      <c r="G8547" s="11">
        <v>63025.21</v>
      </c>
    </row>
    <row r="8548" spans="2:7" x14ac:dyDescent="0.2">
      <c r="B8548" s="32">
        <v>46056</v>
      </c>
      <c r="C8548" t="s">
        <v>109</v>
      </c>
      <c r="D8548" s="13" t="s">
        <v>634</v>
      </c>
      <c r="E8548" t="s">
        <v>179</v>
      </c>
      <c r="F8548" s="11">
        <v>1</v>
      </c>
      <c r="G8548" s="11">
        <v>50420.17</v>
      </c>
    </row>
    <row r="8549" spans="2:7" x14ac:dyDescent="0.2">
      <c r="B8549" s="32">
        <v>46056</v>
      </c>
      <c r="C8549" t="s">
        <v>109</v>
      </c>
      <c r="D8549" s="13" t="s">
        <v>634</v>
      </c>
      <c r="E8549" t="s">
        <v>396</v>
      </c>
      <c r="F8549" s="11">
        <v>1</v>
      </c>
      <c r="G8549" s="11">
        <v>46218.49</v>
      </c>
    </row>
    <row r="8550" spans="2:7" x14ac:dyDescent="0.2">
      <c r="B8550" s="32">
        <v>46056</v>
      </c>
      <c r="C8550" t="s">
        <v>109</v>
      </c>
      <c r="D8550" s="13" t="s">
        <v>634</v>
      </c>
      <c r="E8550" t="s">
        <v>351</v>
      </c>
      <c r="F8550" s="11">
        <v>1</v>
      </c>
      <c r="G8550" s="11">
        <v>16806.72</v>
      </c>
    </row>
    <row r="8551" spans="2:7" x14ac:dyDescent="0.2">
      <c r="B8551" s="32">
        <v>46056</v>
      </c>
      <c r="C8551" t="s">
        <v>109</v>
      </c>
      <c r="D8551" s="13" t="s">
        <v>634</v>
      </c>
      <c r="E8551" t="s">
        <v>144</v>
      </c>
      <c r="F8551" s="11">
        <v>1</v>
      </c>
      <c r="G8551" s="11">
        <v>13445.38</v>
      </c>
    </row>
    <row r="8552" spans="2:7" x14ac:dyDescent="0.2">
      <c r="B8552" s="32">
        <v>46056</v>
      </c>
      <c r="C8552" t="s">
        <v>109</v>
      </c>
      <c r="D8552" s="13" t="s">
        <v>633</v>
      </c>
      <c r="E8552" t="s">
        <v>358</v>
      </c>
      <c r="F8552" s="11">
        <v>1</v>
      </c>
      <c r="G8552" s="11">
        <v>180672.27</v>
      </c>
    </row>
    <row r="8553" spans="2:7" x14ac:dyDescent="0.2">
      <c r="B8553" s="32">
        <v>46056</v>
      </c>
      <c r="C8553" t="s">
        <v>109</v>
      </c>
      <c r="D8553" s="13" t="s">
        <v>633</v>
      </c>
      <c r="E8553" t="s">
        <v>164</v>
      </c>
      <c r="F8553" s="11">
        <v>1</v>
      </c>
      <c r="G8553" s="11">
        <v>75630.25</v>
      </c>
    </row>
    <row r="8554" spans="2:7" x14ac:dyDescent="0.2">
      <c r="B8554" s="32">
        <v>46056</v>
      </c>
      <c r="C8554" t="s">
        <v>109</v>
      </c>
      <c r="D8554" s="13" t="s">
        <v>633</v>
      </c>
      <c r="E8554" t="s">
        <v>336</v>
      </c>
      <c r="F8554" s="11">
        <v>1</v>
      </c>
      <c r="G8554" s="11">
        <v>75630.25</v>
      </c>
    </row>
    <row r="8555" spans="2:7" x14ac:dyDescent="0.2">
      <c r="B8555" s="32">
        <v>46056</v>
      </c>
      <c r="C8555" t="s">
        <v>109</v>
      </c>
      <c r="D8555" s="13" t="s">
        <v>633</v>
      </c>
      <c r="E8555" t="s">
        <v>149</v>
      </c>
      <c r="F8555" s="11">
        <v>1</v>
      </c>
      <c r="G8555" s="11">
        <v>75630.25</v>
      </c>
    </row>
    <row r="8556" spans="2:7" x14ac:dyDescent="0.2">
      <c r="B8556" s="32">
        <v>46056</v>
      </c>
      <c r="C8556" t="s">
        <v>109</v>
      </c>
      <c r="D8556" s="13" t="s">
        <v>633</v>
      </c>
      <c r="E8556" t="s">
        <v>205</v>
      </c>
      <c r="F8556" s="11">
        <v>1</v>
      </c>
      <c r="G8556" s="11">
        <v>58823.53</v>
      </c>
    </row>
    <row r="8557" spans="2:7" x14ac:dyDescent="0.2">
      <c r="B8557" s="32">
        <v>46056</v>
      </c>
      <c r="C8557" t="s">
        <v>109</v>
      </c>
      <c r="D8557" s="13" t="s">
        <v>633</v>
      </c>
      <c r="E8557" t="s">
        <v>544</v>
      </c>
      <c r="F8557" s="11">
        <v>1</v>
      </c>
      <c r="G8557" s="11">
        <v>54000</v>
      </c>
    </row>
    <row r="8558" spans="2:7" x14ac:dyDescent="0.2">
      <c r="B8558" s="32">
        <v>46056</v>
      </c>
      <c r="C8558" t="s">
        <v>109</v>
      </c>
      <c r="D8558" s="13" t="s">
        <v>633</v>
      </c>
      <c r="E8558" t="s">
        <v>260</v>
      </c>
      <c r="F8558" s="11">
        <v>1</v>
      </c>
      <c r="G8558" s="11">
        <v>46218.49</v>
      </c>
    </row>
    <row r="8559" spans="2:7" x14ac:dyDescent="0.2">
      <c r="B8559" s="32">
        <v>46056</v>
      </c>
      <c r="C8559" t="s">
        <v>109</v>
      </c>
      <c r="D8559" s="13" t="s">
        <v>633</v>
      </c>
      <c r="E8559" t="s">
        <v>172</v>
      </c>
      <c r="F8559" s="11">
        <v>1</v>
      </c>
      <c r="G8559" s="11">
        <v>46218.49</v>
      </c>
    </row>
    <row r="8560" spans="2:7" x14ac:dyDescent="0.2">
      <c r="B8560" s="32">
        <v>46056</v>
      </c>
      <c r="C8560" t="s">
        <v>109</v>
      </c>
      <c r="D8560" s="13" t="s">
        <v>633</v>
      </c>
      <c r="E8560" t="s">
        <v>238</v>
      </c>
      <c r="F8560" s="11">
        <v>1</v>
      </c>
      <c r="G8560" s="11">
        <v>46218.49</v>
      </c>
    </row>
    <row r="8561" spans="2:7" x14ac:dyDescent="0.2">
      <c r="B8561" s="32">
        <v>46056</v>
      </c>
      <c r="C8561" t="s">
        <v>109</v>
      </c>
      <c r="D8561" s="13" t="s">
        <v>633</v>
      </c>
      <c r="E8561" t="s">
        <v>196</v>
      </c>
      <c r="F8561" s="11">
        <v>1</v>
      </c>
      <c r="G8561" s="11">
        <v>46218.48</v>
      </c>
    </row>
    <row r="8562" spans="2:7" x14ac:dyDescent="0.2">
      <c r="B8562" s="32">
        <v>46056</v>
      </c>
      <c r="C8562" t="s">
        <v>109</v>
      </c>
      <c r="D8562" s="13" t="s">
        <v>633</v>
      </c>
      <c r="E8562" t="s">
        <v>166</v>
      </c>
      <c r="F8562" s="11">
        <v>1</v>
      </c>
      <c r="G8562" s="11">
        <v>42016.81</v>
      </c>
    </row>
    <row r="8563" spans="2:7" x14ac:dyDescent="0.2">
      <c r="B8563" s="32">
        <v>46056</v>
      </c>
      <c r="C8563" t="s">
        <v>109</v>
      </c>
      <c r="D8563" s="13" t="s">
        <v>633</v>
      </c>
      <c r="E8563" t="s">
        <v>177</v>
      </c>
      <c r="F8563" s="11">
        <v>1</v>
      </c>
      <c r="G8563" s="11">
        <v>42016.81</v>
      </c>
    </row>
    <row r="8564" spans="2:7" x14ac:dyDescent="0.2">
      <c r="B8564" s="32">
        <v>46056</v>
      </c>
      <c r="C8564" t="s">
        <v>109</v>
      </c>
      <c r="D8564" s="13" t="s">
        <v>633</v>
      </c>
      <c r="E8564" t="s">
        <v>161</v>
      </c>
      <c r="F8564" s="11">
        <v>1</v>
      </c>
      <c r="G8564" s="11">
        <v>42016.81</v>
      </c>
    </row>
    <row r="8565" spans="2:7" x14ac:dyDescent="0.2">
      <c r="B8565" s="32">
        <v>46056</v>
      </c>
      <c r="C8565" t="s">
        <v>109</v>
      </c>
      <c r="D8565" s="13" t="s">
        <v>633</v>
      </c>
      <c r="E8565" t="s">
        <v>234</v>
      </c>
      <c r="F8565" s="11">
        <v>1</v>
      </c>
      <c r="G8565" s="11">
        <v>37815.129999999997</v>
      </c>
    </row>
    <row r="8566" spans="2:7" x14ac:dyDescent="0.2">
      <c r="B8566" s="32">
        <v>46056</v>
      </c>
      <c r="C8566" t="s">
        <v>109</v>
      </c>
      <c r="D8566" s="13" t="s">
        <v>633</v>
      </c>
      <c r="E8566" t="s">
        <v>522</v>
      </c>
      <c r="F8566" s="11">
        <v>1</v>
      </c>
      <c r="G8566" s="11">
        <v>35000</v>
      </c>
    </row>
    <row r="8567" spans="2:7" x14ac:dyDescent="0.2">
      <c r="B8567" s="32">
        <v>46056</v>
      </c>
      <c r="C8567" t="s">
        <v>109</v>
      </c>
      <c r="D8567" s="13" t="s">
        <v>633</v>
      </c>
      <c r="E8567" t="s">
        <v>182</v>
      </c>
      <c r="F8567" s="11">
        <v>1</v>
      </c>
      <c r="G8567" s="11">
        <v>29411.759999999998</v>
      </c>
    </row>
    <row r="8568" spans="2:7" x14ac:dyDescent="0.2">
      <c r="B8568" s="32">
        <v>46056</v>
      </c>
      <c r="C8568" t="s">
        <v>109</v>
      </c>
      <c r="D8568" s="13" t="s">
        <v>633</v>
      </c>
      <c r="E8568" t="s">
        <v>145</v>
      </c>
      <c r="F8568" s="11">
        <v>1</v>
      </c>
      <c r="G8568" s="11">
        <v>29411.75</v>
      </c>
    </row>
    <row r="8569" spans="2:7" x14ac:dyDescent="0.2">
      <c r="B8569" s="32">
        <v>46056</v>
      </c>
      <c r="C8569" t="s">
        <v>109</v>
      </c>
      <c r="D8569" s="13" t="s">
        <v>633</v>
      </c>
      <c r="E8569" t="s">
        <v>144</v>
      </c>
      <c r="F8569" s="11">
        <v>1</v>
      </c>
      <c r="G8569" s="11">
        <v>4621.8500000000004</v>
      </c>
    </row>
    <row r="8570" spans="2:7" x14ac:dyDescent="0.2">
      <c r="B8570" s="32">
        <v>46057</v>
      </c>
      <c r="C8570" t="s">
        <v>142</v>
      </c>
      <c r="D8570" s="13" t="s">
        <v>634</v>
      </c>
      <c r="E8570" t="s">
        <v>449</v>
      </c>
      <c r="F8570" s="11">
        <v>1</v>
      </c>
      <c r="G8570" s="11">
        <v>411764.71</v>
      </c>
    </row>
    <row r="8571" spans="2:7" x14ac:dyDescent="0.2">
      <c r="B8571" s="32">
        <v>46057</v>
      </c>
      <c r="C8571" t="s">
        <v>142</v>
      </c>
      <c r="D8571" s="13" t="s">
        <v>634</v>
      </c>
      <c r="E8571" t="s">
        <v>350</v>
      </c>
      <c r="F8571" s="11">
        <v>2</v>
      </c>
      <c r="G8571" s="11">
        <v>100840.34</v>
      </c>
    </row>
    <row r="8572" spans="2:7" x14ac:dyDescent="0.2">
      <c r="B8572" s="32">
        <v>46057</v>
      </c>
      <c r="C8572" t="s">
        <v>142</v>
      </c>
      <c r="D8572" s="13" t="s">
        <v>634</v>
      </c>
      <c r="E8572" t="s">
        <v>308</v>
      </c>
      <c r="F8572" s="11">
        <v>1</v>
      </c>
      <c r="G8572" s="11">
        <v>100840.34</v>
      </c>
    </row>
    <row r="8573" spans="2:7" x14ac:dyDescent="0.2">
      <c r="B8573" s="32">
        <v>46057</v>
      </c>
      <c r="C8573" t="s">
        <v>142</v>
      </c>
      <c r="D8573" s="13" t="s">
        <v>634</v>
      </c>
      <c r="E8573" t="s">
        <v>372</v>
      </c>
      <c r="F8573" s="11">
        <v>1</v>
      </c>
      <c r="G8573" s="11">
        <v>92436.97</v>
      </c>
    </row>
    <row r="8574" spans="2:7" x14ac:dyDescent="0.2">
      <c r="B8574" s="32">
        <v>46057</v>
      </c>
      <c r="C8574" t="s">
        <v>142</v>
      </c>
      <c r="D8574" s="13" t="s">
        <v>634</v>
      </c>
      <c r="E8574" t="s">
        <v>165</v>
      </c>
      <c r="F8574" s="11">
        <v>1</v>
      </c>
      <c r="G8574" s="11">
        <v>63025.21</v>
      </c>
    </row>
    <row r="8575" spans="2:7" x14ac:dyDescent="0.2">
      <c r="B8575" s="32">
        <v>46057</v>
      </c>
      <c r="C8575" t="s">
        <v>142</v>
      </c>
      <c r="D8575" s="13" t="s">
        <v>634</v>
      </c>
      <c r="F8575" s="11">
        <v>0</v>
      </c>
      <c r="G8575" s="11">
        <v>0</v>
      </c>
    </row>
    <row r="8576" spans="2:7" x14ac:dyDescent="0.2">
      <c r="B8576" s="32">
        <v>46057</v>
      </c>
      <c r="C8576" t="s">
        <v>142</v>
      </c>
      <c r="D8576" s="13" t="s">
        <v>633</v>
      </c>
      <c r="E8576" t="s">
        <v>167</v>
      </c>
      <c r="F8576" s="11">
        <v>1</v>
      </c>
      <c r="G8576" s="11">
        <v>100840.34</v>
      </c>
    </row>
    <row r="8577" spans="2:7" x14ac:dyDescent="0.2">
      <c r="B8577" s="32">
        <v>46057</v>
      </c>
      <c r="C8577" t="s">
        <v>142</v>
      </c>
      <c r="D8577" s="13" t="s">
        <v>633</v>
      </c>
      <c r="E8577" t="s">
        <v>730</v>
      </c>
      <c r="F8577" s="11">
        <v>1</v>
      </c>
      <c r="G8577" s="11">
        <v>67226.89</v>
      </c>
    </row>
    <row r="8578" spans="2:7" x14ac:dyDescent="0.2">
      <c r="B8578" s="32">
        <v>46057</v>
      </c>
      <c r="C8578" t="s">
        <v>142</v>
      </c>
      <c r="D8578" s="13" t="s">
        <v>633</v>
      </c>
      <c r="E8578" t="s">
        <v>686</v>
      </c>
      <c r="F8578" s="11">
        <v>1</v>
      </c>
      <c r="G8578" s="11">
        <v>63025.21</v>
      </c>
    </row>
    <row r="8579" spans="2:7" x14ac:dyDescent="0.2">
      <c r="B8579" s="32">
        <v>46057</v>
      </c>
      <c r="C8579" t="s">
        <v>142</v>
      </c>
      <c r="D8579" s="13" t="s">
        <v>633</v>
      </c>
      <c r="E8579" t="s">
        <v>496</v>
      </c>
      <c r="F8579" s="11">
        <v>1</v>
      </c>
      <c r="G8579" s="11">
        <v>63025.21</v>
      </c>
    </row>
    <row r="8580" spans="2:7" x14ac:dyDescent="0.2">
      <c r="B8580" s="32">
        <v>46057</v>
      </c>
      <c r="C8580" t="s">
        <v>142</v>
      </c>
      <c r="D8580" s="13" t="s">
        <v>633</v>
      </c>
      <c r="E8580" t="s">
        <v>398</v>
      </c>
      <c r="F8580" s="11">
        <v>1</v>
      </c>
      <c r="G8580" s="11">
        <v>63025.21</v>
      </c>
    </row>
    <row r="8581" spans="2:7" x14ac:dyDescent="0.2">
      <c r="B8581" s="32">
        <v>46057</v>
      </c>
      <c r="C8581" t="s">
        <v>142</v>
      </c>
      <c r="D8581" s="13" t="s">
        <v>633</v>
      </c>
      <c r="F8581" s="11">
        <v>0</v>
      </c>
      <c r="G8581" s="11">
        <v>0</v>
      </c>
    </row>
    <row r="8582" spans="2:7" x14ac:dyDescent="0.2">
      <c r="B8582" s="32">
        <v>46057</v>
      </c>
      <c r="C8582" t="s">
        <v>109</v>
      </c>
      <c r="D8582" s="13" t="s">
        <v>634</v>
      </c>
      <c r="E8582" t="s">
        <v>399</v>
      </c>
      <c r="F8582" s="11">
        <v>1</v>
      </c>
      <c r="G8582" s="11">
        <v>109243.7</v>
      </c>
    </row>
    <row r="8583" spans="2:7" x14ac:dyDescent="0.2">
      <c r="B8583" s="32">
        <v>46057</v>
      </c>
      <c r="C8583" t="s">
        <v>109</v>
      </c>
      <c r="D8583" s="13" t="s">
        <v>634</v>
      </c>
      <c r="E8583" t="s">
        <v>158</v>
      </c>
      <c r="F8583" s="11">
        <v>2</v>
      </c>
      <c r="G8583" s="11">
        <v>92436.98</v>
      </c>
    </row>
    <row r="8584" spans="2:7" x14ac:dyDescent="0.2">
      <c r="B8584" s="32">
        <v>46057</v>
      </c>
      <c r="C8584" t="s">
        <v>109</v>
      </c>
      <c r="D8584" s="13" t="s">
        <v>634</v>
      </c>
      <c r="E8584" t="s">
        <v>325</v>
      </c>
      <c r="F8584" s="11">
        <v>1</v>
      </c>
      <c r="G8584" s="11">
        <v>63025.21</v>
      </c>
    </row>
    <row r="8585" spans="2:7" x14ac:dyDescent="0.2">
      <c r="B8585" s="32">
        <v>46057</v>
      </c>
      <c r="C8585" t="s">
        <v>109</v>
      </c>
      <c r="D8585" s="13" t="s">
        <v>634</v>
      </c>
      <c r="E8585" t="s">
        <v>287</v>
      </c>
      <c r="F8585" s="11">
        <v>1</v>
      </c>
      <c r="G8585" s="11">
        <v>63025.21</v>
      </c>
    </row>
    <row r="8586" spans="2:7" x14ac:dyDescent="0.2">
      <c r="B8586" s="32">
        <v>46057</v>
      </c>
      <c r="C8586" t="s">
        <v>109</v>
      </c>
      <c r="D8586" s="13" t="s">
        <v>634</v>
      </c>
      <c r="E8586" t="s">
        <v>285</v>
      </c>
      <c r="F8586" s="11">
        <v>1</v>
      </c>
      <c r="G8586" s="11">
        <v>63025.21</v>
      </c>
    </row>
    <row r="8587" spans="2:7" x14ac:dyDescent="0.2">
      <c r="B8587" s="32">
        <v>46057</v>
      </c>
      <c r="C8587" t="s">
        <v>109</v>
      </c>
      <c r="D8587" s="13" t="s">
        <v>634</v>
      </c>
      <c r="E8587" t="s">
        <v>212</v>
      </c>
      <c r="F8587" s="11">
        <v>1</v>
      </c>
      <c r="G8587" s="11">
        <v>58823.53</v>
      </c>
    </row>
    <row r="8588" spans="2:7" x14ac:dyDescent="0.2">
      <c r="B8588" s="32">
        <v>46057</v>
      </c>
      <c r="C8588" t="s">
        <v>109</v>
      </c>
      <c r="D8588" s="13" t="s">
        <v>634</v>
      </c>
      <c r="E8588" t="s">
        <v>333</v>
      </c>
      <c r="F8588" s="11">
        <v>2</v>
      </c>
      <c r="G8588" s="11">
        <v>33613.449999999997</v>
      </c>
    </row>
    <row r="8589" spans="2:7" x14ac:dyDescent="0.2">
      <c r="B8589" s="32">
        <v>46057</v>
      </c>
      <c r="C8589" t="s">
        <v>109</v>
      </c>
      <c r="D8589" s="13" t="s">
        <v>634</v>
      </c>
      <c r="E8589" t="s">
        <v>310</v>
      </c>
      <c r="F8589" s="11">
        <v>2</v>
      </c>
      <c r="G8589" s="11">
        <v>33613.440000000002</v>
      </c>
    </row>
    <row r="8590" spans="2:7" x14ac:dyDescent="0.2">
      <c r="B8590" s="32">
        <v>46057</v>
      </c>
      <c r="C8590" t="s">
        <v>109</v>
      </c>
      <c r="D8590" s="13" t="s">
        <v>634</v>
      </c>
      <c r="E8590" t="s">
        <v>351</v>
      </c>
      <c r="F8590" s="11">
        <v>1</v>
      </c>
      <c r="G8590" s="11">
        <v>16806.72</v>
      </c>
    </row>
    <row r="8591" spans="2:7" x14ac:dyDescent="0.2">
      <c r="B8591" s="32">
        <v>46057</v>
      </c>
      <c r="C8591" t="s">
        <v>109</v>
      </c>
      <c r="D8591" s="13" t="s">
        <v>633</v>
      </c>
      <c r="E8591" t="s">
        <v>726</v>
      </c>
      <c r="F8591" s="11">
        <v>1</v>
      </c>
      <c r="G8591" s="11">
        <v>142857.14000000001</v>
      </c>
    </row>
    <row r="8592" spans="2:7" x14ac:dyDescent="0.2">
      <c r="B8592" s="32">
        <v>46057</v>
      </c>
      <c r="C8592" t="s">
        <v>109</v>
      </c>
      <c r="D8592" s="13" t="s">
        <v>633</v>
      </c>
      <c r="E8592" t="s">
        <v>168</v>
      </c>
      <c r="F8592" s="11">
        <v>1</v>
      </c>
      <c r="G8592" s="11">
        <v>46218.49</v>
      </c>
    </row>
    <row r="8593" spans="2:7" x14ac:dyDescent="0.2">
      <c r="B8593" s="32">
        <v>46057</v>
      </c>
      <c r="C8593" t="s">
        <v>109</v>
      </c>
      <c r="D8593" s="13" t="s">
        <v>633</v>
      </c>
      <c r="E8593" t="s">
        <v>156</v>
      </c>
      <c r="F8593" s="11">
        <v>1</v>
      </c>
      <c r="G8593" s="11">
        <v>46218.49</v>
      </c>
    </row>
    <row r="8594" spans="2:7" x14ac:dyDescent="0.2">
      <c r="B8594" s="32">
        <v>46057</v>
      </c>
      <c r="C8594" t="s">
        <v>109</v>
      </c>
      <c r="D8594" s="13" t="s">
        <v>633</v>
      </c>
      <c r="E8594" t="s">
        <v>145</v>
      </c>
      <c r="F8594" s="11">
        <v>1</v>
      </c>
      <c r="G8594" s="11">
        <v>29411.759999999998</v>
      </c>
    </row>
    <row r="8595" spans="2:7" x14ac:dyDescent="0.2">
      <c r="B8595" s="32">
        <v>46058</v>
      </c>
      <c r="C8595" t="s">
        <v>142</v>
      </c>
      <c r="D8595" s="13" t="s">
        <v>634</v>
      </c>
      <c r="E8595" t="s">
        <v>279</v>
      </c>
      <c r="F8595" s="11">
        <v>1</v>
      </c>
      <c r="G8595" s="11">
        <v>63025.21</v>
      </c>
    </row>
    <row r="8596" spans="2:7" x14ac:dyDescent="0.2">
      <c r="B8596" s="32">
        <v>46058</v>
      </c>
      <c r="C8596" t="s">
        <v>142</v>
      </c>
      <c r="D8596" s="13" t="s">
        <v>634</v>
      </c>
      <c r="E8596" t="s">
        <v>419</v>
      </c>
      <c r="F8596" s="11">
        <v>1</v>
      </c>
      <c r="G8596" s="11">
        <v>63025.21</v>
      </c>
    </row>
    <row r="8597" spans="2:7" x14ac:dyDescent="0.2">
      <c r="B8597" s="32">
        <v>46058</v>
      </c>
      <c r="C8597" t="s">
        <v>142</v>
      </c>
      <c r="D8597" s="13" t="s">
        <v>634</v>
      </c>
      <c r="E8597" t="s">
        <v>458</v>
      </c>
      <c r="F8597" s="11">
        <v>1</v>
      </c>
      <c r="G8597" s="11">
        <v>63025.21</v>
      </c>
    </row>
    <row r="8598" spans="2:7" x14ac:dyDescent="0.2">
      <c r="B8598" s="32">
        <v>46058</v>
      </c>
      <c r="C8598" t="s">
        <v>142</v>
      </c>
      <c r="D8598" s="13" t="s">
        <v>634</v>
      </c>
      <c r="F8598" s="11">
        <v>0</v>
      </c>
      <c r="G8598" s="11">
        <v>0</v>
      </c>
    </row>
    <row r="8599" spans="2:7" x14ac:dyDescent="0.2">
      <c r="B8599" s="32">
        <v>46058</v>
      </c>
      <c r="C8599" t="s">
        <v>142</v>
      </c>
      <c r="D8599" s="13" t="s">
        <v>633</v>
      </c>
      <c r="E8599" t="s">
        <v>724</v>
      </c>
      <c r="F8599" s="11">
        <v>1</v>
      </c>
      <c r="G8599" s="11">
        <v>277310.92</v>
      </c>
    </row>
    <row r="8600" spans="2:7" x14ac:dyDescent="0.2">
      <c r="B8600" s="32">
        <v>46058</v>
      </c>
      <c r="C8600" t="s">
        <v>142</v>
      </c>
      <c r="D8600" s="13" t="s">
        <v>633</v>
      </c>
      <c r="E8600" t="s">
        <v>701</v>
      </c>
      <c r="F8600" s="11">
        <v>2</v>
      </c>
      <c r="G8600" s="11">
        <v>142857.14000000001</v>
      </c>
    </row>
    <row r="8601" spans="2:7" x14ac:dyDescent="0.2">
      <c r="B8601" s="32">
        <v>46058</v>
      </c>
      <c r="C8601" t="s">
        <v>142</v>
      </c>
      <c r="D8601" s="13" t="s">
        <v>633</v>
      </c>
      <c r="E8601" t="s">
        <v>147</v>
      </c>
      <c r="F8601" s="11">
        <v>1</v>
      </c>
      <c r="G8601" s="11">
        <v>75630.25</v>
      </c>
    </row>
    <row r="8602" spans="2:7" x14ac:dyDescent="0.2">
      <c r="B8602" s="32">
        <v>46058</v>
      </c>
      <c r="C8602" t="s">
        <v>142</v>
      </c>
      <c r="D8602" s="13" t="s">
        <v>633</v>
      </c>
      <c r="E8602" t="s">
        <v>265</v>
      </c>
      <c r="F8602" s="11">
        <v>1</v>
      </c>
      <c r="G8602" s="11">
        <v>50420.17</v>
      </c>
    </row>
    <row r="8603" spans="2:7" x14ac:dyDescent="0.2">
      <c r="B8603" s="32">
        <v>46058</v>
      </c>
      <c r="C8603" t="s">
        <v>142</v>
      </c>
      <c r="D8603" s="13" t="s">
        <v>633</v>
      </c>
      <c r="E8603" t="s">
        <v>706</v>
      </c>
      <c r="F8603" s="11">
        <v>1</v>
      </c>
      <c r="G8603" s="11">
        <v>50420.17</v>
      </c>
    </row>
    <row r="8604" spans="2:7" x14ac:dyDescent="0.2">
      <c r="B8604" s="32">
        <v>46058</v>
      </c>
      <c r="C8604" t="s">
        <v>142</v>
      </c>
      <c r="D8604" s="13" t="s">
        <v>633</v>
      </c>
      <c r="F8604" s="11">
        <v>0</v>
      </c>
      <c r="G8604" s="11">
        <v>0</v>
      </c>
    </row>
    <row r="8605" spans="2:7" x14ac:dyDescent="0.2">
      <c r="B8605" s="32">
        <v>46058</v>
      </c>
      <c r="C8605" t="s">
        <v>109</v>
      </c>
      <c r="D8605" s="13"/>
      <c r="E8605" t="s">
        <v>544</v>
      </c>
      <c r="F8605" s="11">
        <v>1</v>
      </c>
      <c r="G8605" s="11">
        <v>140000</v>
      </c>
    </row>
    <row r="8606" spans="2:7" x14ac:dyDescent="0.2">
      <c r="B8606" s="32">
        <v>46058</v>
      </c>
      <c r="C8606" t="s">
        <v>109</v>
      </c>
      <c r="D8606" s="13" t="s">
        <v>634</v>
      </c>
      <c r="F8606" s="11">
        <v>2</v>
      </c>
      <c r="G8606" s="11">
        <v>252100.84</v>
      </c>
    </row>
    <row r="8607" spans="2:7" x14ac:dyDescent="0.2">
      <c r="B8607" s="32">
        <v>46058</v>
      </c>
      <c r="C8607" t="s">
        <v>109</v>
      </c>
      <c r="D8607" s="13" t="s">
        <v>634</v>
      </c>
      <c r="E8607" t="s">
        <v>340</v>
      </c>
      <c r="F8607" s="11">
        <v>1</v>
      </c>
      <c r="G8607" s="11">
        <v>84033.61</v>
      </c>
    </row>
    <row r="8608" spans="2:7" x14ac:dyDescent="0.2">
      <c r="B8608" s="32">
        <v>46058</v>
      </c>
      <c r="C8608" t="s">
        <v>109</v>
      </c>
      <c r="D8608" s="13" t="s">
        <v>634</v>
      </c>
      <c r="E8608" t="s">
        <v>192</v>
      </c>
      <c r="F8608" s="11">
        <v>1</v>
      </c>
      <c r="G8608" s="11">
        <v>75630.259999999995</v>
      </c>
    </row>
    <row r="8609" spans="2:7" x14ac:dyDescent="0.2">
      <c r="B8609" s="32">
        <v>46058</v>
      </c>
      <c r="C8609" t="s">
        <v>109</v>
      </c>
      <c r="D8609" s="13" t="s">
        <v>634</v>
      </c>
      <c r="E8609" t="s">
        <v>149</v>
      </c>
      <c r="F8609" s="11">
        <v>1</v>
      </c>
      <c r="G8609" s="11">
        <v>75630.25</v>
      </c>
    </row>
    <row r="8610" spans="2:7" x14ac:dyDescent="0.2">
      <c r="B8610" s="32">
        <v>46058</v>
      </c>
      <c r="C8610" t="s">
        <v>109</v>
      </c>
      <c r="D8610" s="13" t="s">
        <v>634</v>
      </c>
      <c r="E8610" t="s">
        <v>440</v>
      </c>
      <c r="F8610" s="11">
        <v>1</v>
      </c>
      <c r="G8610" s="11">
        <v>63025.21</v>
      </c>
    </row>
    <row r="8611" spans="2:7" x14ac:dyDescent="0.2">
      <c r="B8611" s="32">
        <v>46058</v>
      </c>
      <c r="C8611" t="s">
        <v>109</v>
      </c>
      <c r="D8611" s="13" t="s">
        <v>634</v>
      </c>
      <c r="E8611" t="s">
        <v>296</v>
      </c>
      <c r="F8611" s="11">
        <v>1</v>
      </c>
      <c r="G8611" s="11">
        <v>50420.17</v>
      </c>
    </row>
    <row r="8612" spans="2:7" x14ac:dyDescent="0.2">
      <c r="B8612" s="32">
        <v>46058</v>
      </c>
      <c r="C8612" t="s">
        <v>109</v>
      </c>
      <c r="D8612" s="13" t="s">
        <v>634</v>
      </c>
      <c r="E8612" t="s">
        <v>148</v>
      </c>
      <c r="F8612" s="11">
        <v>1</v>
      </c>
      <c r="G8612" s="11">
        <v>37815.129999999997</v>
      </c>
    </row>
    <row r="8613" spans="2:7" x14ac:dyDescent="0.2">
      <c r="B8613" s="32">
        <v>46058</v>
      </c>
      <c r="C8613" t="s">
        <v>109</v>
      </c>
      <c r="D8613" s="13" t="s">
        <v>634</v>
      </c>
      <c r="E8613" t="s">
        <v>145</v>
      </c>
      <c r="F8613" s="11">
        <v>1</v>
      </c>
      <c r="G8613" s="11">
        <v>29411.759999999998</v>
      </c>
    </row>
    <row r="8614" spans="2:7" x14ac:dyDescent="0.2">
      <c r="B8614" s="32">
        <v>46058</v>
      </c>
      <c r="C8614" t="s">
        <v>109</v>
      </c>
      <c r="D8614" s="13" t="s">
        <v>634</v>
      </c>
      <c r="E8614" t="s">
        <v>381</v>
      </c>
      <c r="F8614" s="11">
        <v>1</v>
      </c>
      <c r="G8614" s="11">
        <v>16806.72</v>
      </c>
    </row>
    <row r="8615" spans="2:7" x14ac:dyDescent="0.2">
      <c r="B8615" s="32">
        <v>46058</v>
      </c>
      <c r="C8615" t="s">
        <v>109</v>
      </c>
      <c r="D8615" s="13" t="s">
        <v>633</v>
      </c>
      <c r="E8615" t="s">
        <v>639</v>
      </c>
      <c r="F8615" s="11">
        <v>1</v>
      </c>
      <c r="G8615" s="11">
        <v>99000</v>
      </c>
    </row>
    <row r="8616" spans="2:7" x14ac:dyDescent="0.2">
      <c r="B8616" s="32">
        <v>46058</v>
      </c>
      <c r="C8616" t="s">
        <v>109</v>
      </c>
      <c r="D8616" s="13" t="s">
        <v>633</v>
      </c>
      <c r="E8616" t="s">
        <v>151</v>
      </c>
      <c r="F8616" s="11">
        <v>1</v>
      </c>
      <c r="G8616" s="11">
        <v>50420.17</v>
      </c>
    </row>
    <row r="8617" spans="2:7" x14ac:dyDescent="0.2">
      <c r="B8617" s="32">
        <v>46058</v>
      </c>
      <c r="C8617" t="s">
        <v>109</v>
      </c>
      <c r="D8617" s="13" t="s">
        <v>633</v>
      </c>
      <c r="E8617" t="s">
        <v>202</v>
      </c>
      <c r="F8617" s="11">
        <v>1</v>
      </c>
      <c r="G8617" s="11">
        <v>46218.49</v>
      </c>
    </row>
    <row r="8618" spans="2:7" x14ac:dyDescent="0.2">
      <c r="B8618" s="32">
        <v>46058</v>
      </c>
      <c r="C8618" t="s">
        <v>109</v>
      </c>
      <c r="D8618" s="13" t="s">
        <v>633</v>
      </c>
      <c r="E8618" t="s">
        <v>153</v>
      </c>
      <c r="F8618" s="11">
        <v>1</v>
      </c>
      <c r="G8618" s="11">
        <v>46218.49</v>
      </c>
    </row>
    <row r="8619" spans="2:7" x14ac:dyDescent="0.2">
      <c r="B8619" s="32">
        <v>46058</v>
      </c>
      <c r="C8619" t="s">
        <v>109</v>
      </c>
      <c r="D8619" s="13" t="s">
        <v>633</v>
      </c>
      <c r="E8619" t="s">
        <v>168</v>
      </c>
      <c r="F8619" s="11">
        <v>1</v>
      </c>
      <c r="G8619" s="11">
        <v>46218.49</v>
      </c>
    </row>
    <row r="8620" spans="2:7" x14ac:dyDescent="0.2">
      <c r="B8620" s="32">
        <v>46058</v>
      </c>
      <c r="C8620" t="s">
        <v>109</v>
      </c>
      <c r="D8620" s="13" t="s">
        <v>633</v>
      </c>
      <c r="E8620" t="s">
        <v>150</v>
      </c>
      <c r="F8620" s="11">
        <v>1</v>
      </c>
      <c r="G8620" s="11">
        <v>46218.49</v>
      </c>
    </row>
    <row r="8621" spans="2:7" x14ac:dyDescent="0.2">
      <c r="B8621" s="32">
        <v>46058</v>
      </c>
      <c r="C8621" t="s">
        <v>109</v>
      </c>
      <c r="D8621" s="13" t="s">
        <v>633</v>
      </c>
      <c r="E8621" t="s">
        <v>218</v>
      </c>
      <c r="F8621" s="11">
        <v>1</v>
      </c>
      <c r="G8621" s="11">
        <v>42016.81</v>
      </c>
    </row>
    <row r="8622" spans="2:7" x14ac:dyDescent="0.2">
      <c r="B8622" s="32">
        <v>46058</v>
      </c>
      <c r="C8622" t="s">
        <v>109</v>
      </c>
      <c r="D8622" s="13" t="s">
        <v>633</v>
      </c>
      <c r="E8622" t="s">
        <v>203</v>
      </c>
      <c r="F8622" s="11">
        <v>1</v>
      </c>
      <c r="G8622" s="11">
        <v>42016.81</v>
      </c>
    </row>
    <row r="8623" spans="2:7" x14ac:dyDescent="0.2">
      <c r="B8623" s="32">
        <v>46058</v>
      </c>
      <c r="C8623" t="s">
        <v>109</v>
      </c>
      <c r="D8623" s="13" t="s">
        <v>633</v>
      </c>
      <c r="E8623" t="s">
        <v>161</v>
      </c>
      <c r="F8623" s="11">
        <v>1</v>
      </c>
      <c r="G8623" s="11">
        <v>42016.81</v>
      </c>
    </row>
    <row r="8624" spans="2:7" x14ac:dyDescent="0.2">
      <c r="B8624" s="32">
        <v>46058</v>
      </c>
      <c r="C8624" t="s">
        <v>109</v>
      </c>
      <c r="D8624" s="13" t="s">
        <v>633</v>
      </c>
      <c r="E8624" t="s">
        <v>263</v>
      </c>
      <c r="F8624" s="11">
        <v>1</v>
      </c>
      <c r="G8624" s="11">
        <v>37815.129999999997</v>
      </c>
    </row>
    <row r="8625" spans="2:7" x14ac:dyDescent="0.2">
      <c r="B8625" s="32">
        <v>46058</v>
      </c>
      <c r="C8625" t="s">
        <v>109</v>
      </c>
      <c r="D8625" s="13" t="s">
        <v>633</v>
      </c>
      <c r="E8625" t="s">
        <v>144</v>
      </c>
      <c r="F8625" s="11">
        <v>1</v>
      </c>
      <c r="G8625" s="11">
        <v>25210.080000000002</v>
      </c>
    </row>
    <row r="8626" spans="2:7" x14ac:dyDescent="0.2">
      <c r="B8626" s="32">
        <v>46059</v>
      </c>
      <c r="C8626" t="s">
        <v>142</v>
      </c>
      <c r="D8626" s="13" t="s">
        <v>634</v>
      </c>
      <c r="E8626" t="s">
        <v>232</v>
      </c>
      <c r="F8626" s="11">
        <v>1</v>
      </c>
      <c r="G8626" s="11">
        <v>193277.31</v>
      </c>
    </row>
    <row r="8627" spans="2:7" x14ac:dyDescent="0.2">
      <c r="B8627" s="32">
        <v>46059</v>
      </c>
      <c r="C8627" t="s">
        <v>142</v>
      </c>
      <c r="D8627" s="13" t="s">
        <v>634</v>
      </c>
      <c r="E8627" t="s">
        <v>227</v>
      </c>
      <c r="F8627" s="11">
        <v>1</v>
      </c>
      <c r="G8627" s="11">
        <v>100840.34</v>
      </c>
    </row>
    <row r="8628" spans="2:7" x14ac:dyDescent="0.2">
      <c r="B8628" s="32">
        <v>46059</v>
      </c>
      <c r="C8628" t="s">
        <v>142</v>
      </c>
      <c r="D8628" s="13" t="s">
        <v>634</v>
      </c>
      <c r="E8628" t="s">
        <v>154</v>
      </c>
      <c r="F8628" s="11">
        <v>1</v>
      </c>
      <c r="G8628" s="11">
        <v>100840.34</v>
      </c>
    </row>
    <row r="8629" spans="2:7" x14ac:dyDescent="0.2">
      <c r="B8629" s="32">
        <v>46059</v>
      </c>
      <c r="C8629" t="s">
        <v>142</v>
      </c>
      <c r="D8629" s="13" t="s">
        <v>634</v>
      </c>
      <c r="E8629" t="s">
        <v>371</v>
      </c>
      <c r="F8629" s="11">
        <v>1</v>
      </c>
      <c r="G8629" s="11">
        <v>92436.97</v>
      </c>
    </row>
    <row r="8630" spans="2:7" x14ac:dyDescent="0.2">
      <c r="B8630" s="32">
        <v>46059</v>
      </c>
      <c r="C8630" t="s">
        <v>142</v>
      </c>
      <c r="D8630" s="13" t="s">
        <v>634</v>
      </c>
      <c r="E8630" t="s">
        <v>375</v>
      </c>
      <c r="F8630" s="11">
        <v>1</v>
      </c>
      <c r="G8630" s="11">
        <v>54621.84</v>
      </c>
    </row>
    <row r="8631" spans="2:7" x14ac:dyDescent="0.2">
      <c r="B8631" s="32">
        <v>46059</v>
      </c>
      <c r="C8631" t="s">
        <v>142</v>
      </c>
      <c r="D8631" s="13" t="s">
        <v>634</v>
      </c>
      <c r="F8631" s="11">
        <v>0</v>
      </c>
      <c r="G8631" s="11">
        <v>0</v>
      </c>
    </row>
    <row r="8632" spans="2:7" x14ac:dyDescent="0.2">
      <c r="B8632" s="32">
        <v>46059</v>
      </c>
      <c r="C8632" t="s">
        <v>142</v>
      </c>
      <c r="D8632" s="13" t="s">
        <v>633</v>
      </c>
      <c r="E8632" t="s">
        <v>232</v>
      </c>
      <c r="F8632" s="11">
        <v>1</v>
      </c>
      <c r="G8632" s="11">
        <v>193277.31</v>
      </c>
    </row>
    <row r="8633" spans="2:7" x14ac:dyDescent="0.2">
      <c r="B8633" s="32">
        <v>46059</v>
      </c>
      <c r="C8633" t="s">
        <v>142</v>
      </c>
      <c r="D8633" s="13" t="s">
        <v>633</v>
      </c>
      <c r="E8633" t="s">
        <v>709</v>
      </c>
      <c r="F8633" s="11">
        <v>1</v>
      </c>
      <c r="G8633" s="11">
        <v>63025.21</v>
      </c>
    </row>
    <row r="8634" spans="2:7" x14ac:dyDescent="0.2">
      <c r="B8634" s="32">
        <v>46059</v>
      </c>
      <c r="C8634" t="s">
        <v>142</v>
      </c>
      <c r="D8634" s="13" t="s">
        <v>633</v>
      </c>
      <c r="F8634" s="11">
        <v>0</v>
      </c>
      <c r="G8634" s="11">
        <v>0</v>
      </c>
    </row>
    <row r="8635" spans="2:7" x14ac:dyDescent="0.2">
      <c r="B8635" s="32">
        <v>46059</v>
      </c>
      <c r="C8635" t="s">
        <v>109</v>
      </c>
      <c r="D8635" s="13"/>
      <c r="E8635" t="s">
        <v>300</v>
      </c>
      <c r="F8635" s="11">
        <v>1</v>
      </c>
      <c r="G8635" s="11">
        <v>42016.81</v>
      </c>
    </row>
    <row r="8636" spans="2:7" x14ac:dyDescent="0.2">
      <c r="B8636" s="32">
        <v>46059</v>
      </c>
      <c r="C8636" t="s">
        <v>109</v>
      </c>
      <c r="D8636" s="13"/>
      <c r="E8636" t="s">
        <v>452</v>
      </c>
      <c r="F8636" s="11">
        <v>1</v>
      </c>
      <c r="G8636" s="11">
        <v>42016.800000000003</v>
      </c>
    </row>
    <row r="8637" spans="2:7" x14ac:dyDescent="0.2">
      <c r="B8637" s="32">
        <v>46059</v>
      </c>
      <c r="C8637" t="s">
        <v>109</v>
      </c>
      <c r="D8637" s="13" t="s">
        <v>634</v>
      </c>
      <c r="F8637" s="11">
        <v>1</v>
      </c>
      <c r="G8637" s="11">
        <v>126050.42</v>
      </c>
    </row>
    <row r="8638" spans="2:7" x14ac:dyDescent="0.2">
      <c r="B8638" s="32">
        <v>46059</v>
      </c>
      <c r="C8638" t="s">
        <v>109</v>
      </c>
      <c r="D8638" s="13" t="s">
        <v>634</v>
      </c>
      <c r="E8638" t="s">
        <v>153</v>
      </c>
      <c r="F8638" s="11">
        <v>1</v>
      </c>
      <c r="G8638" s="11">
        <v>46218.49</v>
      </c>
    </row>
    <row r="8639" spans="2:7" x14ac:dyDescent="0.2">
      <c r="B8639" s="32">
        <v>46059</v>
      </c>
      <c r="C8639" t="s">
        <v>109</v>
      </c>
      <c r="D8639" s="13" t="s">
        <v>634</v>
      </c>
      <c r="E8639" t="s">
        <v>156</v>
      </c>
      <c r="F8639" s="11">
        <v>1</v>
      </c>
      <c r="G8639" s="11">
        <v>46218.49</v>
      </c>
    </row>
    <row r="8640" spans="2:7" x14ac:dyDescent="0.2">
      <c r="B8640" s="32">
        <v>46059</v>
      </c>
      <c r="C8640" t="s">
        <v>109</v>
      </c>
      <c r="D8640" s="13" t="s">
        <v>634</v>
      </c>
      <c r="E8640" t="s">
        <v>206</v>
      </c>
      <c r="F8640" s="11">
        <v>1</v>
      </c>
      <c r="G8640" s="11">
        <v>37815.129999999997</v>
      </c>
    </row>
    <row r="8641" spans="2:7" x14ac:dyDescent="0.2">
      <c r="B8641" s="32">
        <v>46059</v>
      </c>
      <c r="C8641" t="s">
        <v>109</v>
      </c>
      <c r="D8641" s="13" t="s">
        <v>634</v>
      </c>
      <c r="E8641" t="s">
        <v>173</v>
      </c>
      <c r="F8641" s="11">
        <v>1</v>
      </c>
      <c r="G8641" s="11">
        <v>37815.129999999997</v>
      </c>
    </row>
    <row r="8642" spans="2:7" x14ac:dyDescent="0.2">
      <c r="B8642" s="32">
        <v>46059</v>
      </c>
      <c r="C8642" t="s">
        <v>109</v>
      </c>
      <c r="D8642" s="13" t="s">
        <v>634</v>
      </c>
      <c r="E8642" t="s">
        <v>330</v>
      </c>
      <c r="F8642" s="11">
        <v>1</v>
      </c>
      <c r="G8642" s="11">
        <v>37815.120000000003</v>
      </c>
    </row>
    <row r="8643" spans="2:7" x14ac:dyDescent="0.2">
      <c r="B8643" s="32">
        <v>46059</v>
      </c>
      <c r="C8643" t="s">
        <v>109</v>
      </c>
      <c r="D8643" s="13" t="s">
        <v>633</v>
      </c>
      <c r="E8643" t="s">
        <v>196</v>
      </c>
      <c r="F8643" s="11">
        <v>2</v>
      </c>
      <c r="G8643" s="11">
        <v>92436.97</v>
      </c>
    </row>
    <row r="8644" spans="2:7" x14ac:dyDescent="0.2">
      <c r="B8644" s="32">
        <v>46059</v>
      </c>
      <c r="C8644" t="s">
        <v>109</v>
      </c>
      <c r="D8644" s="13" t="s">
        <v>633</v>
      </c>
      <c r="E8644" t="s">
        <v>145</v>
      </c>
      <c r="F8644" s="11">
        <v>3</v>
      </c>
      <c r="G8644" s="11">
        <v>88235.28</v>
      </c>
    </row>
    <row r="8645" spans="2:7" x14ac:dyDescent="0.2">
      <c r="B8645" s="32">
        <v>46059</v>
      </c>
      <c r="C8645" t="s">
        <v>109</v>
      </c>
      <c r="D8645" s="13" t="s">
        <v>633</v>
      </c>
      <c r="E8645" t="s">
        <v>340</v>
      </c>
      <c r="F8645" s="11">
        <v>1</v>
      </c>
      <c r="G8645" s="11">
        <v>84033.61</v>
      </c>
    </row>
    <row r="8646" spans="2:7" x14ac:dyDescent="0.2">
      <c r="B8646" s="32">
        <v>46059</v>
      </c>
      <c r="C8646" t="s">
        <v>109</v>
      </c>
      <c r="D8646" s="13" t="s">
        <v>633</v>
      </c>
      <c r="E8646" t="s">
        <v>452</v>
      </c>
      <c r="F8646" s="11">
        <v>2</v>
      </c>
      <c r="G8646" s="11">
        <v>84033.61</v>
      </c>
    </row>
    <row r="8647" spans="2:7" x14ac:dyDescent="0.2">
      <c r="B8647" s="32">
        <v>46059</v>
      </c>
      <c r="C8647" t="s">
        <v>109</v>
      </c>
      <c r="D8647" s="13" t="s">
        <v>633</v>
      </c>
      <c r="E8647" t="s">
        <v>192</v>
      </c>
      <c r="F8647" s="11">
        <v>1</v>
      </c>
      <c r="G8647" s="11">
        <v>75630.25</v>
      </c>
    </row>
    <row r="8648" spans="2:7" x14ac:dyDescent="0.2">
      <c r="B8648" s="32">
        <v>46059</v>
      </c>
      <c r="C8648" t="s">
        <v>109</v>
      </c>
      <c r="D8648" s="13" t="s">
        <v>633</v>
      </c>
      <c r="E8648" t="s">
        <v>149</v>
      </c>
      <c r="F8648" s="11">
        <v>1</v>
      </c>
      <c r="G8648" s="11">
        <v>75630.25</v>
      </c>
    </row>
    <row r="8649" spans="2:7" x14ac:dyDescent="0.2">
      <c r="B8649" s="32">
        <v>46059</v>
      </c>
      <c r="C8649" t="s">
        <v>109</v>
      </c>
      <c r="D8649" s="13" t="s">
        <v>633</v>
      </c>
      <c r="E8649" t="s">
        <v>337</v>
      </c>
      <c r="F8649" s="11">
        <v>1</v>
      </c>
      <c r="G8649" s="11">
        <v>50420.17</v>
      </c>
    </row>
    <row r="8650" spans="2:7" x14ac:dyDescent="0.2">
      <c r="B8650" s="32">
        <v>46059</v>
      </c>
      <c r="C8650" t="s">
        <v>109</v>
      </c>
      <c r="D8650" s="13" t="s">
        <v>633</v>
      </c>
      <c r="E8650" t="s">
        <v>642</v>
      </c>
      <c r="F8650" s="11">
        <v>1</v>
      </c>
      <c r="G8650" s="11">
        <v>49000</v>
      </c>
    </row>
    <row r="8651" spans="2:7" x14ac:dyDescent="0.2">
      <c r="B8651" s="32">
        <v>46059</v>
      </c>
      <c r="C8651" t="s">
        <v>109</v>
      </c>
      <c r="D8651" s="13" t="s">
        <v>633</v>
      </c>
      <c r="E8651" t="s">
        <v>636</v>
      </c>
      <c r="F8651" s="11">
        <v>1</v>
      </c>
      <c r="G8651" s="11">
        <v>46218.49</v>
      </c>
    </row>
    <row r="8652" spans="2:7" x14ac:dyDescent="0.2">
      <c r="B8652" s="32">
        <v>46059</v>
      </c>
      <c r="C8652" t="s">
        <v>109</v>
      </c>
      <c r="D8652" s="13" t="s">
        <v>633</v>
      </c>
      <c r="E8652" t="s">
        <v>150</v>
      </c>
      <c r="F8652" s="11">
        <v>1</v>
      </c>
      <c r="G8652" s="11">
        <v>46218.49</v>
      </c>
    </row>
    <row r="8653" spans="2:7" x14ac:dyDescent="0.2">
      <c r="B8653" s="32">
        <v>46059</v>
      </c>
      <c r="C8653" t="s">
        <v>109</v>
      </c>
      <c r="D8653" s="13" t="s">
        <v>633</v>
      </c>
      <c r="E8653" t="s">
        <v>240</v>
      </c>
      <c r="F8653" s="11">
        <v>1</v>
      </c>
      <c r="G8653" s="11">
        <v>46218.49</v>
      </c>
    </row>
    <row r="8654" spans="2:7" x14ac:dyDescent="0.2">
      <c r="B8654" s="32">
        <v>46059</v>
      </c>
      <c r="C8654" t="s">
        <v>109</v>
      </c>
      <c r="D8654" s="13" t="s">
        <v>633</v>
      </c>
      <c r="E8654" t="s">
        <v>173</v>
      </c>
      <c r="F8654" s="11">
        <v>1</v>
      </c>
      <c r="G8654" s="11">
        <v>37815.129999999997</v>
      </c>
    </row>
    <row r="8655" spans="2:7" x14ac:dyDescent="0.2">
      <c r="B8655" s="32">
        <v>46059</v>
      </c>
      <c r="C8655" t="s">
        <v>109</v>
      </c>
      <c r="D8655" s="13" t="s">
        <v>633</v>
      </c>
      <c r="E8655" t="s">
        <v>144</v>
      </c>
      <c r="F8655" s="11">
        <v>1</v>
      </c>
      <c r="G8655" s="11">
        <v>35294.120000000003</v>
      </c>
    </row>
    <row r="8656" spans="2:7" x14ac:dyDescent="0.2">
      <c r="B8656" s="32">
        <v>46059</v>
      </c>
      <c r="C8656" t="s">
        <v>109</v>
      </c>
      <c r="D8656" s="13" t="s">
        <v>633</v>
      </c>
      <c r="E8656" t="s">
        <v>381</v>
      </c>
      <c r="F8656" s="11">
        <v>1</v>
      </c>
      <c r="G8656" s="11">
        <v>16806.72</v>
      </c>
    </row>
    <row r="8657" spans="2:7" x14ac:dyDescent="0.2">
      <c r="B8657" s="32">
        <v>46060</v>
      </c>
      <c r="C8657" t="s">
        <v>142</v>
      </c>
      <c r="D8657" s="13" t="s">
        <v>634</v>
      </c>
      <c r="E8657" t="s">
        <v>434</v>
      </c>
      <c r="F8657" s="11">
        <v>1</v>
      </c>
      <c r="G8657" s="11">
        <v>92436.97</v>
      </c>
    </row>
    <row r="8658" spans="2:7" x14ac:dyDescent="0.2">
      <c r="B8658" s="32">
        <v>46060</v>
      </c>
      <c r="C8658" t="s">
        <v>142</v>
      </c>
      <c r="D8658" s="13" t="s">
        <v>634</v>
      </c>
      <c r="F8658" s="11">
        <v>0</v>
      </c>
      <c r="G8658" s="11">
        <v>0</v>
      </c>
    </row>
    <row r="8659" spans="2:7" x14ac:dyDescent="0.2">
      <c r="B8659" s="32">
        <v>46060</v>
      </c>
      <c r="C8659" t="s">
        <v>142</v>
      </c>
      <c r="D8659" s="13" t="s">
        <v>633</v>
      </c>
      <c r="E8659" t="s">
        <v>334</v>
      </c>
      <c r="F8659" s="11">
        <v>1</v>
      </c>
      <c r="G8659" s="11">
        <v>75630.25</v>
      </c>
    </row>
    <row r="8660" spans="2:7" x14ac:dyDescent="0.2">
      <c r="B8660" s="32">
        <v>46060</v>
      </c>
      <c r="C8660" t="s">
        <v>142</v>
      </c>
      <c r="D8660" s="13" t="s">
        <v>633</v>
      </c>
      <c r="E8660" t="s">
        <v>708</v>
      </c>
      <c r="F8660" s="11">
        <v>1</v>
      </c>
      <c r="G8660" s="11">
        <v>63025.21</v>
      </c>
    </row>
    <row r="8661" spans="2:7" x14ac:dyDescent="0.2">
      <c r="B8661" s="32">
        <v>46060</v>
      </c>
      <c r="C8661" t="s">
        <v>142</v>
      </c>
      <c r="D8661" s="13" t="s">
        <v>633</v>
      </c>
      <c r="E8661" t="s">
        <v>219</v>
      </c>
      <c r="F8661" s="11">
        <v>1</v>
      </c>
      <c r="G8661" s="11">
        <v>63025.21</v>
      </c>
    </row>
    <row r="8662" spans="2:7" x14ac:dyDescent="0.2">
      <c r="B8662" s="32">
        <v>46060</v>
      </c>
      <c r="C8662" t="s">
        <v>142</v>
      </c>
      <c r="D8662" s="13" t="s">
        <v>633</v>
      </c>
      <c r="E8662" t="s">
        <v>292</v>
      </c>
      <c r="F8662" s="11">
        <v>1</v>
      </c>
      <c r="G8662" s="11">
        <v>54621.85</v>
      </c>
    </row>
    <row r="8663" spans="2:7" x14ac:dyDescent="0.2">
      <c r="B8663" s="32">
        <v>46060</v>
      </c>
      <c r="C8663" t="s">
        <v>142</v>
      </c>
      <c r="D8663" s="13" t="s">
        <v>633</v>
      </c>
      <c r="E8663" t="s">
        <v>241</v>
      </c>
      <c r="F8663" s="11">
        <v>1</v>
      </c>
      <c r="G8663" s="11">
        <v>46218.49</v>
      </c>
    </row>
    <row r="8664" spans="2:7" x14ac:dyDescent="0.2">
      <c r="B8664" s="32">
        <v>46060</v>
      </c>
      <c r="C8664" t="s">
        <v>142</v>
      </c>
      <c r="D8664" s="13" t="s">
        <v>633</v>
      </c>
      <c r="F8664" s="11">
        <v>0</v>
      </c>
      <c r="G8664" s="11">
        <v>0</v>
      </c>
    </row>
    <row r="8665" spans="2:7" x14ac:dyDescent="0.2">
      <c r="B8665" s="32">
        <v>46060</v>
      </c>
      <c r="C8665" t="s">
        <v>109</v>
      </c>
      <c r="D8665" s="13"/>
      <c r="E8665" t="s">
        <v>241</v>
      </c>
      <c r="F8665" s="11">
        <v>1</v>
      </c>
      <c r="G8665" s="11">
        <v>46218.49</v>
      </c>
    </row>
    <row r="8666" spans="2:7" x14ac:dyDescent="0.2">
      <c r="B8666" s="32">
        <v>46060</v>
      </c>
      <c r="C8666" t="s">
        <v>109</v>
      </c>
      <c r="D8666" s="13"/>
      <c r="E8666" t="s">
        <v>145</v>
      </c>
      <c r="F8666" s="11">
        <v>1</v>
      </c>
      <c r="G8666" s="11">
        <v>29411.759999999998</v>
      </c>
    </row>
    <row r="8667" spans="2:7" x14ac:dyDescent="0.2">
      <c r="B8667" s="32">
        <v>46060</v>
      </c>
      <c r="C8667" t="s">
        <v>109</v>
      </c>
      <c r="D8667" s="13" t="s">
        <v>634</v>
      </c>
      <c r="E8667" t="s">
        <v>298</v>
      </c>
      <c r="F8667" s="11">
        <v>1</v>
      </c>
      <c r="G8667" s="11">
        <v>100840.34</v>
      </c>
    </row>
    <row r="8668" spans="2:7" x14ac:dyDescent="0.2">
      <c r="B8668" s="32">
        <v>46060</v>
      </c>
      <c r="C8668" t="s">
        <v>109</v>
      </c>
      <c r="D8668" s="13" t="s">
        <v>634</v>
      </c>
      <c r="E8668" t="s">
        <v>336</v>
      </c>
      <c r="F8668" s="11">
        <v>1</v>
      </c>
      <c r="G8668" s="11">
        <v>75630.25</v>
      </c>
    </row>
    <row r="8669" spans="2:7" x14ac:dyDescent="0.2">
      <c r="B8669" s="32">
        <v>46060</v>
      </c>
      <c r="C8669" t="s">
        <v>109</v>
      </c>
      <c r="D8669" s="13" t="s">
        <v>634</v>
      </c>
      <c r="E8669" t="s">
        <v>212</v>
      </c>
      <c r="F8669" s="11">
        <v>1</v>
      </c>
      <c r="G8669" s="11">
        <v>58823.53</v>
      </c>
    </row>
    <row r="8670" spans="2:7" x14ac:dyDescent="0.2">
      <c r="B8670" s="32">
        <v>46060</v>
      </c>
      <c r="C8670" t="s">
        <v>109</v>
      </c>
      <c r="D8670" s="13" t="s">
        <v>634</v>
      </c>
      <c r="E8670" t="s">
        <v>146</v>
      </c>
      <c r="F8670" s="11">
        <v>1</v>
      </c>
      <c r="G8670" s="11">
        <v>50420.17</v>
      </c>
    </row>
    <row r="8671" spans="2:7" x14ac:dyDescent="0.2">
      <c r="B8671" s="32">
        <v>46060</v>
      </c>
      <c r="C8671" t="s">
        <v>109</v>
      </c>
      <c r="D8671" s="13" t="s">
        <v>634</v>
      </c>
      <c r="E8671" t="s">
        <v>337</v>
      </c>
      <c r="F8671" s="11">
        <v>1</v>
      </c>
      <c r="G8671" s="11">
        <v>50420.17</v>
      </c>
    </row>
    <row r="8672" spans="2:7" x14ac:dyDescent="0.2">
      <c r="B8672" s="32">
        <v>46060</v>
      </c>
      <c r="C8672" t="s">
        <v>109</v>
      </c>
      <c r="D8672" s="13" t="s">
        <v>634</v>
      </c>
      <c r="E8672" t="s">
        <v>225</v>
      </c>
      <c r="F8672" s="11">
        <v>1</v>
      </c>
      <c r="G8672" s="11">
        <v>46218.48</v>
      </c>
    </row>
    <row r="8673" spans="2:7" x14ac:dyDescent="0.2">
      <c r="B8673" s="32">
        <v>46060</v>
      </c>
      <c r="C8673" t="s">
        <v>109</v>
      </c>
      <c r="D8673" s="13" t="s">
        <v>634</v>
      </c>
      <c r="E8673" t="s">
        <v>193</v>
      </c>
      <c r="F8673" s="11">
        <v>1</v>
      </c>
      <c r="G8673" s="11">
        <v>37815.129999999997</v>
      </c>
    </row>
    <row r="8674" spans="2:7" x14ac:dyDescent="0.2">
      <c r="B8674" s="32">
        <v>46060</v>
      </c>
      <c r="C8674" t="s">
        <v>109</v>
      </c>
      <c r="D8674" s="13" t="s">
        <v>633</v>
      </c>
      <c r="E8674" t="s">
        <v>723</v>
      </c>
      <c r="F8674" s="11">
        <v>1</v>
      </c>
      <c r="G8674" s="11">
        <v>323529.40999999997</v>
      </c>
    </row>
    <row r="8675" spans="2:7" x14ac:dyDescent="0.2">
      <c r="B8675" s="32">
        <v>46060</v>
      </c>
      <c r="C8675" t="s">
        <v>109</v>
      </c>
      <c r="D8675" s="13" t="s">
        <v>633</v>
      </c>
      <c r="E8675" t="s">
        <v>368</v>
      </c>
      <c r="F8675" s="11">
        <v>2</v>
      </c>
      <c r="G8675" s="11">
        <v>168067.23</v>
      </c>
    </row>
    <row r="8676" spans="2:7" x14ac:dyDescent="0.2">
      <c r="B8676" s="32">
        <v>46060</v>
      </c>
      <c r="C8676" t="s">
        <v>109</v>
      </c>
      <c r="D8676" s="13" t="s">
        <v>633</v>
      </c>
      <c r="E8676" t="s">
        <v>158</v>
      </c>
      <c r="F8676" s="11">
        <v>2</v>
      </c>
      <c r="G8676" s="11">
        <v>92436.98</v>
      </c>
    </row>
    <row r="8677" spans="2:7" x14ac:dyDescent="0.2">
      <c r="B8677" s="32">
        <v>46060</v>
      </c>
      <c r="C8677" t="s">
        <v>109</v>
      </c>
      <c r="D8677" s="13" t="s">
        <v>633</v>
      </c>
      <c r="E8677" t="s">
        <v>334</v>
      </c>
      <c r="F8677" s="11">
        <v>1</v>
      </c>
      <c r="G8677" s="11">
        <v>75630.25</v>
      </c>
    </row>
    <row r="8678" spans="2:7" x14ac:dyDescent="0.2">
      <c r="B8678" s="32">
        <v>46060</v>
      </c>
      <c r="C8678" t="s">
        <v>109</v>
      </c>
      <c r="D8678" s="13" t="s">
        <v>633</v>
      </c>
      <c r="E8678" t="s">
        <v>189</v>
      </c>
      <c r="F8678" s="11">
        <v>1</v>
      </c>
      <c r="G8678" s="11">
        <v>75630.25</v>
      </c>
    </row>
    <row r="8679" spans="2:7" x14ac:dyDescent="0.2">
      <c r="B8679" s="32">
        <v>46060</v>
      </c>
      <c r="C8679" t="s">
        <v>109</v>
      </c>
      <c r="D8679" s="13" t="s">
        <v>633</v>
      </c>
      <c r="E8679" t="s">
        <v>164</v>
      </c>
      <c r="F8679" s="11">
        <v>1</v>
      </c>
      <c r="G8679" s="11">
        <v>75630.25</v>
      </c>
    </row>
    <row r="8680" spans="2:7" x14ac:dyDescent="0.2">
      <c r="B8680" s="32">
        <v>46060</v>
      </c>
      <c r="C8680" t="s">
        <v>109</v>
      </c>
      <c r="D8680" s="13" t="s">
        <v>633</v>
      </c>
      <c r="E8680" t="s">
        <v>238</v>
      </c>
      <c r="F8680" s="11">
        <v>1</v>
      </c>
      <c r="G8680" s="11">
        <v>46218.49</v>
      </c>
    </row>
    <row r="8681" spans="2:7" x14ac:dyDescent="0.2">
      <c r="B8681" s="32">
        <v>46060</v>
      </c>
      <c r="C8681" t="s">
        <v>109</v>
      </c>
      <c r="D8681" s="13" t="s">
        <v>633</v>
      </c>
      <c r="E8681" t="s">
        <v>166</v>
      </c>
      <c r="F8681" s="11">
        <v>1</v>
      </c>
      <c r="G8681" s="11">
        <v>42016.81</v>
      </c>
    </row>
    <row r="8682" spans="2:7" x14ac:dyDescent="0.2">
      <c r="B8682" s="32">
        <v>46060</v>
      </c>
      <c r="C8682" t="s">
        <v>109</v>
      </c>
      <c r="D8682" s="13" t="s">
        <v>633</v>
      </c>
      <c r="E8682" t="s">
        <v>177</v>
      </c>
      <c r="F8682" s="11">
        <v>1</v>
      </c>
      <c r="G8682" s="11">
        <v>42016.81</v>
      </c>
    </row>
    <row r="8683" spans="2:7" x14ac:dyDescent="0.2">
      <c r="B8683" s="32">
        <v>46060</v>
      </c>
      <c r="C8683" t="s">
        <v>109</v>
      </c>
      <c r="D8683" s="13" t="s">
        <v>633</v>
      </c>
      <c r="E8683" t="s">
        <v>330</v>
      </c>
      <c r="F8683" s="11">
        <v>1</v>
      </c>
      <c r="G8683" s="11">
        <v>37815.129999999997</v>
      </c>
    </row>
    <row r="8684" spans="2:7" x14ac:dyDescent="0.2">
      <c r="B8684" s="32">
        <v>46060</v>
      </c>
      <c r="C8684" t="s">
        <v>109</v>
      </c>
      <c r="D8684" s="13" t="s">
        <v>633</v>
      </c>
      <c r="E8684" t="s">
        <v>145</v>
      </c>
      <c r="F8684" s="11">
        <v>1</v>
      </c>
      <c r="G8684" s="11">
        <v>29411.759999999998</v>
      </c>
    </row>
    <row r="8685" spans="2:7" x14ac:dyDescent="0.2">
      <c r="B8685" s="32">
        <v>46060</v>
      </c>
      <c r="C8685" t="s">
        <v>109</v>
      </c>
      <c r="D8685" s="13" t="s">
        <v>633</v>
      </c>
      <c r="E8685" t="s">
        <v>144</v>
      </c>
      <c r="F8685" s="11">
        <v>1</v>
      </c>
      <c r="G8685" s="11">
        <v>3781.51</v>
      </c>
    </row>
    <row r="8686" spans="2:7" x14ac:dyDescent="0.2">
      <c r="B8686" s="32">
        <v>46061</v>
      </c>
      <c r="C8686" t="s">
        <v>142</v>
      </c>
      <c r="D8686" s="13" t="s">
        <v>633</v>
      </c>
      <c r="E8686" t="s">
        <v>588</v>
      </c>
      <c r="F8686" s="11">
        <v>1</v>
      </c>
      <c r="G8686" s="11">
        <v>100840.34</v>
      </c>
    </row>
    <row r="8687" spans="2:7" x14ac:dyDescent="0.2">
      <c r="B8687" s="32">
        <v>46061</v>
      </c>
      <c r="C8687" t="s">
        <v>142</v>
      </c>
      <c r="D8687" s="13" t="s">
        <v>633</v>
      </c>
      <c r="E8687" t="s">
        <v>479</v>
      </c>
      <c r="F8687" s="11">
        <v>1</v>
      </c>
      <c r="G8687" s="11">
        <v>63025.21</v>
      </c>
    </row>
    <row r="8688" spans="2:7" x14ac:dyDescent="0.2">
      <c r="B8688" s="32">
        <v>46061</v>
      </c>
      <c r="C8688" t="s">
        <v>142</v>
      </c>
      <c r="D8688" s="13" t="s">
        <v>633</v>
      </c>
      <c r="E8688" t="s">
        <v>315</v>
      </c>
      <c r="F8688" s="11">
        <v>1</v>
      </c>
      <c r="G8688" s="11">
        <v>63025.21</v>
      </c>
    </row>
    <row r="8689" spans="2:7" x14ac:dyDescent="0.2">
      <c r="B8689" s="32">
        <v>46061</v>
      </c>
      <c r="C8689" t="s">
        <v>142</v>
      </c>
      <c r="D8689" s="13" t="s">
        <v>633</v>
      </c>
      <c r="F8689" s="11">
        <v>0</v>
      </c>
      <c r="G8689" s="11">
        <v>0</v>
      </c>
    </row>
    <row r="8690" spans="2:7" x14ac:dyDescent="0.2">
      <c r="B8690" s="32">
        <v>46062</v>
      </c>
      <c r="C8690" t="s">
        <v>142</v>
      </c>
      <c r="D8690" s="13" t="s">
        <v>634</v>
      </c>
      <c r="E8690" t="s">
        <v>352</v>
      </c>
      <c r="F8690" s="11">
        <v>1</v>
      </c>
      <c r="G8690" s="11">
        <v>75630.25</v>
      </c>
    </row>
    <row r="8691" spans="2:7" x14ac:dyDescent="0.2">
      <c r="B8691" s="32">
        <v>46062</v>
      </c>
      <c r="C8691" t="s">
        <v>142</v>
      </c>
      <c r="D8691" s="13" t="s">
        <v>634</v>
      </c>
      <c r="E8691" t="s">
        <v>163</v>
      </c>
      <c r="F8691" s="11">
        <v>1</v>
      </c>
      <c r="G8691" s="11">
        <v>63025.21</v>
      </c>
    </row>
    <row r="8692" spans="2:7" x14ac:dyDescent="0.2">
      <c r="B8692" s="32">
        <v>46062</v>
      </c>
      <c r="C8692" t="s">
        <v>142</v>
      </c>
      <c r="D8692" s="13" t="s">
        <v>634</v>
      </c>
      <c r="E8692" t="s">
        <v>411</v>
      </c>
      <c r="F8692" s="11">
        <v>1</v>
      </c>
      <c r="G8692" s="11">
        <v>63025.21</v>
      </c>
    </row>
    <row r="8693" spans="2:7" x14ac:dyDescent="0.2">
      <c r="B8693" s="32">
        <v>46062</v>
      </c>
      <c r="C8693" t="s">
        <v>142</v>
      </c>
      <c r="D8693" s="13" t="s">
        <v>634</v>
      </c>
      <c r="E8693" t="s">
        <v>283</v>
      </c>
      <c r="F8693" s="11">
        <v>1</v>
      </c>
      <c r="G8693" s="11">
        <v>54621.85</v>
      </c>
    </row>
    <row r="8694" spans="2:7" x14ac:dyDescent="0.2">
      <c r="B8694" s="32">
        <v>46062</v>
      </c>
      <c r="C8694" t="s">
        <v>142</v>
      </c>
      <c r="D8694" s="13" t="s">
        <v>634</v>
      </c>
      <c r="E8694" t="s">
        <v>421</v>
      </c>
      <c r="F8694" s="11">
        <v>1</v>
      </c>
      <c r="G8694" s="11">
        <v>54621.85</v>
      </c>
    </row>
    <row r="8695" spans="2:7" x14ac:dyDescent="0.2">
      <c r="B8695" s="32">
        <v>46062</v>
      </c>
      <c r="C8695" t="s">
        <v>142</v>
      </c>
      <c r="D8695" s="13" t="s">
        <v>634</v>
      </c>
      <c r="E8695" t="s">
        <v>228</v>
      </c>
      <c r="F8695" s="11">
        <v>1</v>
      </c>
      <c r="G8695" s="11">
        <v>54621.85</v>
      </c>
    </row>
    <row r="8696" spans="2:7" x14ac:dyDescent="0.2">
      <c r="B8696" s="32">
        <v>46062</v>
      </c>
      <c r="C8696" t="s">
        <v>142</v>
      </c>
      <c r="D8696" s="13" t="s">
        <v>634</v>
      </c>
      <c r="E8696" t="s">
        <v>151</v>
      </c>
      <c r="F8696" s="11">
        <v>1</v>
      </c>
      <c r="G8696" s="11">
        <v>50420.17</v>
      </c>
    </row>
    <row r="8697" spans="2:7" x14ac:dyDescent="0.2">
      <c r="B8697" s="32">
        <v>46062</v>
      </c>
      <c r="C8697" t="s">
        <v>142</v>
      </c>
      <c r="D8697" s="13" t="s">
        <v>634</v>
      </c>
      <c r="F8697" s="11">
        <v>0</v>
      </c>
      <c r="G8697" s="11">
        <v>0</v>
      </c>
    </row>
    <row r="8698" spans="2:7" x14ac:dyDescent="0.2">
      <c r="B8698" s="32">
        <v>46062</v>
      </c>
      <c r="C8698" t="s">
        <v>142</v>
      </c>
      <c r="D8698" s="13" t="s">
        <v>633</v>
      </c>
      <c r="E8698" t="s">
        <v>398</v>
      </c>
      <c r="F8698" s="11">
        <v>1</v>
      </c>
      <c r="G8698" s="11">
        <v>63025.21</v>
      </c>
    </row>
    <row r="8699" spans="2:7" x14ac:dyDescent="0.2">
      <c r="B8699" s="32">
        <v>46062</v>
      </c>
      <c r="C8699" t="s">
        <v>142</v>
      </c>
      <c r="D8699" s="13" t="s">
        <v>633</v>
      </c>
      <c r="E8699" t="s">
        <v>275</v>
      </c>
      <c r="F8699" s="11">
        <v>1</v>
      </c>
      <c r="G8699" s="11">
        <v>63025.21</v>
      </c>
    </row>
    <row r="8700" spans="2:7" x14ac:dyDescent="0.2">
      <c r="B8700" s="32">
        <v>46062</v>
      </c>
      <c r="C8700" t="s">
        <v>142</v>
      </c>
      <c r="D8700" s="13" t="s">
        <v>633</v>
      </c>
      <c r="E8700" t="s">
        <v>337</v>
      </c>
      <c r="F8700" s="11">
        <v>1</v>
      </c>
      <c r="G8700" s="11">
        <v>50420.17</v>
      </c>
    </row>
    <row r="8701" spans="2:7" x14ac:dyDescent="0.2">
      <c r="B8701" s="32">
        <v>46062</v>
      </c>
      <c r="C8701" t="s">
        <v>142</v>
      </c>
      <c r="D8701" s="13" t="s">
        <v>633</v>
      </c>
      <c r="F8701" s="11">
        <v>0</v>
      </c>
      <c r="G8701" s="11">
        <v>0</v>
      </c>
    </row>
    <row r="8702" spans="2:7" x14ac:dyDescent="0.2">
      <c r="B8702" s="32">
        <v>46062</v>
      </c>
      <c r="C8702" t="s">
        <v>109</v>
      </c>
      <c r="D8702" s="13"/>
      <c r="E8702" t="s">
        <v>195</v>
      </c>
      <c r="F8702" s="11">
        <v>1</v>
      </c>
      <c r="G8702" s="11">
        <v>50420.17</v>
      </c>
    </row>
    <row r="8703" spans="2:7" x14ac:dyDescent="0.2">
      <c r="B8703" s="32">
        <v>46062</v>
      </c>
      <c r="C8703" t="s">
        <v>109</v>
      </c>
      <c r="D8703" s="13" t="s">
        <v>634</v>
      </c>
      <c r="E8703" t="s">
        <v>360</v>
      </c>
      <c r="F8703" s="11">
        <v>1</v>
      </c>
      <c r="G8703" s="11">
        <v>138655.46</v>
      </c>
    </row>
    <row r="8704" spans="2:7" x14ac:dyDescent="0.2">
      <c r="B8704" s="32">
        <v>46062</v>
      </c>
      <c r="C8704" t="s">
        <v>109</v>
      </c>
      <c r="D8704" s="13" t="s">
        <v>634</v>
      </c>
      <c r="E8704" t="s">
        <v>375</v>
      </c>
      <c r="F8704" s="11">
        <v>1</v>
      </c>
      <c r="G8704" s="11">
        <v>109243.7</v>
      </c>
    </row>
    <row r="8705" spans="2:7" x14ac:dyDescent="0.2">
      <c r="B8705" s="32">
        <v>46062</v>
      </c>
      <c r="C8705" t="s">
        <v>109</v>
      </c>
      <c r="D8705" s="13" t="s">
        <v>634</v>
      </c>
      <c r="E8705" t="s">
        <v>364</v>
      </c>
      <c r="F8705" s="11">
        <v>1</v>
      </c>
      <c r="G8705" s="11">
        <v>100840.34</v>
      </c>
    </row>
    <row r="8706" spans="2:7" x14ac:dyDescent="0.2">
      <c r="B8706" s="32">
        <v>46062</v>
      </c>
      <c r="C8706" t="s">
        <v>109</v>
      </c>
      <c r="D8706" s="13" t="s">
        <v>634</v>
      </c>
      <c r="E8706" t="s">
        <v>308</v>
      </c>
      <c r="F8706" s="11">
        <v>1</v>
      </c>
      <c r="G8706" s="11">
        <v>100840.33</v>
      </c>
    </row>
    <row r="8707" spans="2:7" x14ac:dyDescent="0.2">
      <c r="B8707" s="32">
        <v>46062</v>
      </c>
      <c r="C8707" t="s">
        <v>109</v>
      </c>
      <c r="D8707" s="13" t="s">
        <v>634</v>
      </c>
      <c r="E8707" t="s">
        <v>144</v>
      </c>
      <c r="F8707" s="11">
        <v>3</v>
      </c>
      <c r="G8707" s="11">
        <v>69747.899999999994</v>
      </c>
    </row>
    <row r="8708" spans="2:7" x14ac:dyDescent="0.2">
      <c r="B8708" s="32">
        <v>46062</v>
      </c>
      <c r="C8708" t="s">
        <v>109</v>
      </c>
      <c r="D8708" s="13" t="s">
        <v>634</v>
      </c>
      <c r="E8708" t="s">
        <v>332</v>
      </c>
      <c r="F8708" s="11">
        <v>1</v>
      </c>
      <c r="G8708" s="11">
        <v>63025.21</v>
      </c>
    </row>
    <row r="8709" spans="2:7" x14ac:dyDescent="0.2">
      <c r="B8709" s="32">
        <v>46062</v>
      </c>
      <c r="C8709" t="s">
        <v>109</v>
      </c>
      <c r="D8709" s="13" t="s">
        <v>634</v>
      </c>
      <c r="E8709" t="s">
        <v>426</v>
      </c>
      <c r="F8709" s="11">
        <v>1</v>
      </c>
      <c r="G8709" s="11">
        <v>54621.85</v>
      </c>
    </row>
    <row r="8710" spans="2:7" x14ac:dyDescent="0.2">
      <c r="B8710" s="32">
        <v>46062</v>
      </c>
      <c r="C8710" t="s">
        <v>109</v>
      </c>
      <c r="D8710" s="13" t="s">
        <v>634</v>
      </c>
      <c r="E8710" t="s">
        <v>438</v>
      </c>
      <c r="F8710" s="11">
        <v>1</v>
      </c>
      <c r="G8710" s="11">
        <v>54621.85</v>
      </c>
    </row>
    <row r="8711" spans="2:7" x14ac:dyDescent="0.2">
      <c r="B8711" s="32">
        <v>46062</v>
      </c>
      <c r="C8711" t="s">
        <v>109</v>
      </c>
      <c r="D8711" s="13" t="s">
        <v>634</v>
      </c>
      <c r="E8711" t="s">
        <v>218</v>
      </c>
      <c r="F8711" s="11">
        <v>1</v>
      </c>
      <c r="G8711" s="11">
        <v>42016.81</v>
      </c>
    </row>
    <row r="8712" spans="2:7" x14ac:dyDescent="0.2">
      <c r="B8712" s="32">
        <v>46062</v>
      </c>
      <c r="C8712" t="s">
        <v>109</v>
      </c>
      <c r="D8712" s="13" t="s">
        <v>633</v>
      </c>
      <c r="E8712" t="s">
        <v>645</v>
      </c>
      <c r="F8712" s="11">
        <v>1</v>
      </c>
      <c r="G8712" s="11">
        <v>159663.85999999999</v>
      </c>
    </row>
    <row r="8713" spans="2:7" x14ac:dyDescent="0.2">
      <c r="B8713" s="32">
        <v>46062</v>
      </c>
      <c r="C8713" t="s">
        <v>109</v>
      </c>
      <c r="D8713" s="13" t="s">
        <v>633</v>
      </c>
      <c r="E8713" t="s">
        <v>170</v>
      </c>
      <c r="F8713" s="11">
        <v>2</v>
      </c>
      <c r="G8713" s="11">
        <v>100840.34</v>
      </c>
    </row>
    <row r="8714" spans="2:7" x14ac:dyDescent="0.2">
      <c r="B8714" s="32">
        <v>46062</v>
      </c>
      <c r="C8714" t="s">
        <v>109</v>
      </c>
      <c r="D8714" s="13" t="s">
        <v>633</v>
      </c>
      <c r="E8714" t="s">
        <v>174</v>
      </c>
      <c r="F8714" s="11">
        <v>1</v>
      </c>
      <c r="G8714" s="11">
        <v>84033.61</v>
      </c>
    </row>
    <row r="8715" spans="2:7" x14ac:dyDescent="0.2">
      <c r="B8715" s="32">
        <v>46062</v>
      </c>
      <c r="C8715" t="s">
        <v>109</v>
      </c>
      <c r="D8715" s="13" t="s">
        <v>633</v>
      </c>
      <c r="E8715" t="s">
        <v>258</v>
      </c>
      <c r="F8715" s="11">
        <v>1</v>
      </c>
      <c r="G8715" s="11">
        <v>58823.53</v>
      </c>
    </row>
    <row r="8716" spans="2:7" x14ac:dyDescent="0.2">
      <c r="B8716" s="32">
        <v>46062</v>
      </c>
      <c r="C8716" t="s">
        <v>109</v>
      </c>
      <c r="D8716" s="13" t="s">
        <v>633</v>
      </c>
      <c r="E8716" t="s">
        <v>283</v>
      </c>
      <c r="F8716" s="11">
        <v>1</v>
      </c>
      <c r="G8716" s="11">
        <v>54621.85</v>
      </c>
    </row>
    <row r="8717" spans="2:7" x14ac:dyDescent="0.2">
      <c r="B8717" s="32">
        <v>46062</v>
      </c>
      <c r="C8717" t="s">
        <v>109</v>
      </c>
      <c r="D8717" s="13" t="s">
        <v>633</v>
      </c>
      <c r="E8717" t="s">
        <v>303</v>
      </c>
      <c r="F8717" s="11">
        <v>1</v>
      </c>
      <c r="G8717" s="11">
        <v>54621.85</v>
      </c>
    </row>
    <row r="8718" spans="2:7" x14ac:dyDescent="0.2">
      <c r="B8718" s="32">
        <v>46062</v>
      </c>
      <c r="C8718" t="s">
        <v>109</v>
      </c>
      <c r="D8718" s="13" t="s">
        <v>633</v>
      </c>
      <c r="E8718" t="s">
        <v>337</v>
      </c>
      <c r="F8718" s="11">
        <v>1</v>
      </c>
      <c r="G8718" s="11">
        <v>50420.17</v>
      </c>
    </row>
    <row r="8719" spans="2:7" x14ac:dyDescent="0.2">
      <c r="B8719" s="32">
        <v>46062</v>
      </c>
      <c r="C8719" t="s">
        <v>109</v>
      </c>
      <c r="D8719" s="13" t="s">
        <v>633</v>
      </c>
      <c r="E8719" t="s">
        <v>146</v>
      </c>
      <c r="F8719" s="11">
        <v>1</v>
      </c>
      <c r="G8719" s="11">
        <v>50420.17</v>
      </c>
    </row>
    <row r="8720" spans="2:7" x14ac:dyDescent="0.2">
      <c r="B8720" s="32">
        <v>46063</v>
      </c>
      <c r="C8720" t="s">
        <v>142</v>
      </c>
      <c r="D8720" s="13" t="s">
        <v>634</v>
      </c>
      <c r="E8720" t="s">
        <v>167</v>
      </c>
      <c r="F8720" s="11">
        <v>1</v>
      </c>
      <c r="G8720" s="11">
        <v>100840.34</v>
      </c>
    </row>
    <row r="8721" spans="2:7" x14ac:dyDescent="0.2">
      <c r="B8721" s="32">
        <v>46063</v>
      </c>
      <c r="C8721" t="s">
        <v>142</v>
      </c>
      <c r="D8721" s="13" t="s">
        <v>634</v>
      </c>
      <c r="E8721" t="s">
        <v>171</v>
      </c>
      <c r="F8721" s="11">
        <v>1</v>
      </c>
      <c r="G8721" s="11">
        <v>29411.759999999998</v>
      </c>
    </row>
    <row r="8722" spans="2:7" x14ac:dyDescent="0.2">
      <c r="B8722" s="32">
        <v>46063</v>
      </c>
      <c r="C8722" t="s">
        <v>142</v>
      </c>
      <c r="D8722" s="13" t="s">
        <v>634</v>
      </c>
      <c r="E8722" t="s">
        <v>388</v>
      </c>
      <c r="F8722" s="11">
        <v>1</v>
      </c>
      <c r="G8722" s="11">
        <v>12605.04</v>
      </c>
    </row>
    <row r="8723" spans="2:7" x14ac:dyDescent="0.2">
      <c r="B8723" s="32">
        <v>46063</v>
      </c>
      <c r="C8723" t="s">
        <v>142</v>
      </c>
      <c r="D8723" s="13" t="s">
        <v>634</v>
      </c>
      <c r="F8723" s="11">
        <v>0</v>
      </c>
      <c r="G8723" s="11">
        <v>0</v>
      </c>
    </row>
    <row r="8724" spans="2:7" x14ac:dyDescent="0.2">
      <c r="B8724" s="32">
        <v>46063</v>
      </c>
      <c r="C8724" t="s">
        <v>142</v>
      </c>
      <c r="D8724" s="13" t="s">
        <v>633</v>
      </c>
      <c r="E8724" t="s">
        <v>169</v>
      </c>
      <c r="F8724" s="11">
        <v>1</v>
      </c>
      <c r="G8724" s="11">
        <v>100840.34</v>
      </c>
    </row>
    <row r="8725" spans="2:7" x14ac:dyDescent="0.2">
      <c r="B8725" s="32">
        <v>46063</v>
      </c>
      <c r="C8725" t="s">
        <v>142</v>
      </c>
      <c r="D8725" s="13" t="s">
        <v>633</v>
      </c>
      <c r="E8725" t="s">
        <v>364</v>
      </c>
      <c r="F8725" s="11">
        <v>1</v>
      </c>
      <c r="G8725" s="11">
        <v>100840.33</v>
      </c>
    </row>
    <row r="8726" spans="2:7" x14ac:dyDescent="0.2">
      <c r="B8726" s="32">
        <v>46063</v>
      </c>
      <c r="C8726" t="s">
        <v>142</v>
      </c>
      <c r="D8726" s="13" t="s">
        <v>633</v>
      </c>
      <c r="F8726" s="11">
        <v>0</v>
      </c>
      <c r="G8726" s="11">
        <v>0</v>
      </c>
    </row>
    <row r="8727" spans="2:7" x14ac:dyDescent="0.2">
      <c r="B8727" s="32">
        <v>46063</v>
      </c>
      <c r="C8727" t="s">
        <v>142</v>
      </c>
      <c r="D8727" s="13" t="s">
        <v>633</v>
      </c>
      <c r="E8727" t="s">
        <v>308</v>
      </c>
      <c r="F8727" s="11">
        <v>1</v>
      </c>
      <c r="G8727" s="11">
        <v>0</v>
      </c>
    </row>
    <row r="8728" spans="2:7" x14ac:dyDescent="0.2">
      <c r="B8728" s="32">
        <v>46063</v>
      </c>
      <c r="C8728" t="s">
        <v>109</v>
      </c>
      <c r="D8728" s="13" t="s">
        <v>634</v>
      </c>
      <c r="E8728" t="s">
        <v>181</v>
      </c>
      <c r="F8728" s="11">
        <v>4</v>
      </c>
      <c r="G8728" s="11">
        <v>281512.61</v>
      </c>
    </row>
    <row r="8729" spans="2:7" x14ac:dyDescent="0.2">
      <c r="B8729" s="32">
        <v>46063</v>
      </c>
      <c r="C8729" t="s">
        <v>109</v>
      </c>
      <c r="D8729" s="13" t="s">
        <v>634</v>
      </c>
      <c r="E8729" t="s">
        <v>336</v>
      </c>
      <c r="F8729" s="11">
        <v>1</v>
      </c>
      <c r="G8729" s="11">
        <v>75630.25</v>
      </c>
    </row>
    <row r="8730" spans="2:7" x14ac:dyDescent="0.2">
      <c r="B8730" s="32">
        <v>46063</v>
      </c>
      <c r="C8730" t="s">
        <v>109</v>
      </c>
      <c r="D8730" s="13" t="s">
        <v>634</v>
      </c>
      <c r="E8730" t="s">
        <v>309</v>
      </c>
      <c r="F8730" s="11">
        <v>1</v>
      </c>
      <c r="G8730" s="11">
        <v>42016.81</v>
      </c>
    </row>
    <row r="8731" spans="2:7" x14ac:dyDescent="0.2">
      <c r="B8731" s="32">
        <v>46063</v>
      </c>
      <c r="C8731" t="s">
        <v>109</v>
      </c>
      <c r="D8731" s="13" t="s">
        <v>634</v>
      </c>
      <c r="E8731" t="s">
        <v>203</v>
      </c>
      <c r="F8731" s="11">
        <v>1</v>
      </c>
      <c r="G8731" s="11">
        <v>42016.800000000003</v>
      </c>
    </row>
    <row r="8732" spans="2:7" x14ac:dyDescent="0.2">
      <c r="B8732" s="32">
        <v>46063</v>
      </c>
      <c r="C8732" t="s">
        <v>109</v>
      </c>
      <c r="D8732" s="13" t="s">
        <v>633</v>
      </c>
      <c r="E8732" t="s">
        <v>712</v>
      </c>
      <c r="F8732" s="11">
        <v>1</v>
      </c>
      <c r="G8732" s="11">
        <v>413445.38</v>
      </c>
    </row>
    <row r="8733" spans="2:7" x14ac:dyDescent="0.2">
      <c r="B8733" s="32">
        <v>46063</v>
      </c>
      <c r="C8733" t="s">
        <v>109</v>
      </c>
      <c r="D8733" s="13" t="s">
        <v>633</v>
      </c>
      <c r="E8733" t="s">
        <v>702</v>
      </c>
      <c r="F8733" s="11">
        <v>2</v>
      </c>
      <c r="G8733" s="11">
        <v>277310.92</v>
      </c>
    </row>
    <row r="8734" spans="2:7" x14ac:dyDescent="0.2">
      <c r="B8734" s="32">
        <v>46063</v>
      </c>
      <c r="C8734" t="s">
        <v>109</v>
      </c>
      <c r="D8734" s="13" t="s">
        <v>633</v>
      </c>
      <c r="F8734" s="11">
        <v>2</v>
      </c>
      <c r="G8734" s="11">
        <v>165546.22</v>
      </c>
    </row>
    <row r="8735" spans="2:7" x14ac:dyDescent="0.2">
      <c r="B8735" s="32">
        <v>46063</v>
      </c>
      <c r="C8735" t="s">
        <v>109</v>
      </c>
      <c r="D8735" s="13" t="s">
        <v>633</v>
      </c>
      <c r="E8735" t="s">
        <v>710</v>
      </c>
      <c r="F8735" s="11">
        <v>1</v>
      </c>
      <c r="G8735" s="11">
        <v>163865.54999999999</v>
      </c>
    </row>
    <row r="8736" spans="2:7" x14ac:dyDescent="0.2">
      <c r="B8736" s="32">
        <v>46063</v>
      </c>
      <c r="C8736" t="s">
        <v>109</v>
      </c>
      <c r="D8736" s="13" t="s">
        <v>633</v>
      </c>
      <c r="E8736" t="s">
        <v>679</v>
      </c>
      <c r="F8736" s="11">
        <v>2</v>
      </c>
      <c r="G8736" s="11">
        <v>109243.7</v>
      </c>
    </row>
    <row r="8737" spans="2:7" x14ac:dyDescent="0.2">
      <c r="B8737" s="32">
        <v>46063</v>
      </c>
      <c r="C8737" t="s">
        <v>109</v>
      </c>
      <c r="D8737" s="13" t="s">
        <v>633</v>
      </c>
      <c r="E8737" t="s">
        <v>395</v>
      </c>
      <c r="F8737" s="11">
        <v>1</v>
      </c>
      <c r="G8737" s="11">
        <v>84033.61</v>
      </c>
    </row>
    <row r="8738" spans="2:7" x14ac:dyDescent="0.2">
      <c r="B8738" s="32">
        <v>46063</v>
      </c>
      <c r="C8738" t="s">
        <v>109</v>
      </c>
      <c r="D8738" s="13" t="s">
        <v>633</v>
      </c>
      <c r="E8738" t="s">
        <v>336</v>
      </c>
      <c r="F8738" s="11">
        <v>1</v>
      </c>
      <c r="G8738" s="11">
        <v>75630.25</v>
      </c>
    </row>
    <row r="8739" spans="2:7" x14ac:dyDescent="0.2">
      <c r="B8739" s="32">
        <v>46063</v>
      </c>
      <c r="C8739" t="s">
        <v>109</v>
      </c>
      <c r="D8739" s="13" t="s">
        <v>633</v>
      </c>
      <c r="E8739" t="s">
        <v>144</v>
      </c>
      <c r="F8739" s="11">
        <v>6</v>
      </c>
      <c r="G8739" s="11">
        <v>66806.720000000001</v>
      </c>
    </row>
    <row r="8740" spans="2:7" x14ac:dyDescent="0.2">
      <c r="B8740" s="32">
        <v>46063</v>
      </c>
      <c r="C8740" t="s">
        <v>109</v>
      </c>
      <c r="D8740" s="13" t="s">
        <v>633</v>
      </c>
      <c r="E8740" t="s">
        <v>348</v>
      </c>
      <c r="F8740" s="11">
        <v>1</v>
      </c>
      <c r="G8740" s="11">
        <v>58823.53</v>
      </c>
    </row>
    <row r="8741" spans="2:7" x14ac:dyDescent="0.2">
      <c r="B8741" s="32">
        <v>46063</v>
      </c>
      <c r="C8741" t="s">
        <v>109</v>
      </c>
      <c r="D8741" s="13" t="s">
        <v>633</v>
      </c>
      <c r="E8741" t="s">
        <v>171</v>
      </c>
      <c r="F8741" s="11">
        <v>2</v>
      </c>
      <c r="G8741" s="11">
        <v>58823.53</v>
      </c>
    </row>
    <row r="8742" spans="2:7" x14ac:dyDescent="0.2">
      <c r="B8742" s="32">
        <v>46063</v>
      </c>
      <c r="C8742" t="s">
        <v>109</v>
      </c>
      <c r="D8742" s="13" t="s">
        <v>633</v>
      </c>
      <c r="E8742" t="s">
        <v>258</v>
      </c>
      <c r="F8742" s="11">
        <v>1</v>
      </c>
      <c r="G8742" s="11">
        <v>58823.53</v>
      </c>
    </row>
    <row r="8743" spans="2:7" x14ac:dyDescent="0.2">
      <c r="B8743" s="32">
        <v>46063</v>
      </c>
      <c r="C8743" t="s">
        <v>109</v>
      </c>
      <c r="D8743" s="13" t="s">
        <v>633</v>
      </c>
      <c r="E8743" t="s">
        <v>399</v>
      </c>
      <c r="F8743" s="11">
        <v>1</v>
      </c>
      <c r="G8743" s="11">
        <v>54621.85</v>
      </c>
    </row>
    <row r="8744" spans="2:7" x14ac:dyDescent="0.2">
      <c r="B8744" s="32">
        <v>46063</v>
      </c>
      <c r="C8744" t="s">
        <v>109</v>
      </c>
      <c r="D8744" s="13" t="s">
        <v>633</v>
      </c>
      <c r="E8744" t="s">
        <v>628</v>
      </c>
      <c r="F8744" s="11">
        <v>1</v>
      </c>
      <c r="G8744" s="11">
        <v>54621.85</v>
      </c>
    </row>
    <row r="8745" spans="2:7" x14ac:dyDescent="0.2">
      <c r="B8745" s="32">
        <v>46063</v>
      </c>
      <c r="C8745" t="s">
        <v>109</v>
      </c>
      <c r="D8745" s="13" t="s">
        <v>633</v>
      </c>
      <c r="E8745" t="s">
        <v>195</v>
      </c>
      <c r="F8745" s="11">
        <v>1</v>
      </c>
      <c r="G8745" s="11">
        <v>50420.17</v>
      </c>
    </row>
    <row r="8746" spans="2:7" x14ac:dyDescent="0.2">
      <c r="B8746" s="32">
        <v>46063</v>
      </c>
      <c r="C8746" t="s">
        <v>109</v>
      </c>
      <c r="D8746" s="13" t="s">
        <v>633</v>
      </c>
      <c r="E8746" t="s">
        <v>256</v>
      </c>
      <c r="F8746" s="11">
        <v>1</v>
      </c>
      <c r="G8746" s="11">
        <v>50420.17</v>
      </c>
    </row>
    <row r="8747" spans="2:7" x14ac:dyDescent="0.2">
      <c r="B8747" s="32">
        <v>46063</v>
      </c>
      <c r="C8747" t="s">
        <v>109</v>
      </c>
      <c r="D8747" s="13" t="s">
        <v>633</v>
      </c>
      <c r="E8747" t="s">
        <v>238</v>
      </c>
      <c r="F8747" s="11">
        <v>1</v>
      </c>
      <c r="G8747" s="11">
        <v>46218.49</v>
      </c>
    </row>
    <row r="8748" spans="2:7" x14ac:dyDescent="0.2">
      <c r="B8748" s="32">
        <v>46063</v>
      </c>
      <c r="C8748" t="s">
        <v>109</v>
      </c>
      <c r="D8748" s="13" t="s">
        <v>633</v>
      </c>
      <c r="E8748" t="s">
        <v>260</v>
      </c>
      <c r="F8748" s="11">
        <v>1</v>
      </c>
      <c r="G8748" s="11">
        <v>46218.49</v>
      </c>
    </row>
    <row r="8749" spans="2:7" x14ac:dyDescent="0.2">
      <c r="B8749" s="32">
        <v>46063</v>
      </c>
      <c r="C8749" t="s">
        <v>109</v>
      </c>
      <c r="D8749" s="13" t="s">
        <v>633</v>
      </c>
      <c r="E8749" t="s">
        <v>168</v>
      </c>
      <c r="F8749" s="11">
        <v>1</v>
      </c>
      <c r="G8749" s="11">
        <v>46218.49</v>
      </c>
    </row>
    <row r="8750" spans="2:7" x14ac:dyDescent="0.2">
      <c r="B8750" s="32">
        <v>46063</v>
      </c>
      <c r="C8750" t="s">
        <v>109</v>
      </c>
      <c r="D8750" s="13" t="s">
        <v>633</v>
      </c>
      <c r="E8750" t="s">
        <v>180</v>
      </c>
      <c r="F8750" s="11">
        <v>1</v>
      </c>
      <c r="G8750" s="11">
        <v>16806.72</v>
      </c>
    </row>
    <row r="8751" spans="2:7" x14ac:dyDescent="0.2">
      <c r="B8751" s="32">
        <v>46064</v>
      </c>
      <c r="C8751" t="s">
        <v>142</v>
      </c>
      <c r="D8751" s="13" t="s">
        <v>634</v>
      </c>
      <c r="E8751" t="s">
        <v>298</v>
      </c>
      <c r="F8751" s="11">
        <v>1</v>
      </c>
      <c r="G8751" s="11">
        <v>100840.34</v>
      </c>
    </row>
    <row r="8752" spans="2:7" x14ac:dyDescent="0.2">
      <c r="B8752" s="32">
        <v>46064</v>
      </c>
      <c r="C8752" t="s">
        <v>142</v>
      </c>
      <c r="D8752" s="13" t="s">
        <v>634</v>
      </c>
      <c r="E8752" t="s">
        <v>163</v>
      </c>
      <c r="F8752" s="11">
        <v>1</v>
      </c>
      <c r="G8752" s="11">
        <v>63025.21</v>
      </c>
    </row>
    <row r="8753" spans="2:7" x14ac:dyDescent="0.2">
      <c r="B8753" s="32">
        <v>46064</v>
      </c>
      <c r="C8753" t="s">
        <v>142</v>
      </c>
      <c r="D8753" s="13" t="s">
        <v>634</v>
      </c>
      <c r="E8753" t="s">
        <v>165</v>
      </c>
      <c r="F8753" s="11">
        <v>1</v>
      </c>
      <c r="G8753" s="11">
        <v>63025.21</v>
      </c>
    </row>
    <row r="8754" spans="2:7" x14ac:dyDescent="0.2">
      <c r="B8754" s="32">
        <v>46064</v>
      </c>
      <c r="C8754" t="s">
        <v>142</v>
      </c>
      <c r="D8754" s="13" t="s">
        <v>634</v>
      </c>
      <c r="F8754" s="11">
        <v>0</v>
      </c>
      <c r="G8754" s="11">
        <v>0</v>
      </c>
    </row>
    <row r="8755" spans="2:7" x14ac:dyDescent="0.2">
      <c r="B8755" s="32">
        <v>46064</v>
      </c>
      <c r="C8755" t="s">
        <v>109</v>
      </c>
      <c r="D8755" s="13" t="s">
        <v>634</v>
      </c>
      <c r="E8755" t="s">
        <v>329</v>
      </c>
      <c r="F8755" s="11">
        <v>4</v>
      </c>
      <c r="G8755" s="11">
        <v>840336.13</v>
      </c>
    </row>
    <row r="8756" spans="2:7" x14ac:dyDescent="0.2">
      <c r="B8756" s="32">
        <v>46064</v>
      </c>
      <c r="C8756" t="s">
        <v>109</v>
      </c>
      <c r="D8756" s="13" t="s">
        <v>634</v>
      </c>
      <c r="E8756" t="s">
        <v>189</v>
      </c>
      <c r="F8756" s="11">
        <v>2</v>
      </c>
      <c r="G8756" s="11">
        <v>151260.51</v>
      </c>
    </row>
    <row r="8757" spans="2:7" x14ac:dyDescent="0.2">
      <c r="B8757" s="32">
        <v>46064</v>
      </c>
      <c r="C8757" t="s">
        <v>109</v>
      </c>
      <c r="D8757" s="13" t="s">
        <v>634</v>
      </c>
      <c r="E8757" t="s">
        <v>173</v>
      </c>
      <c r="F8757" s="11">
        <v>3</v>
      </c>
      <c r="G8757" s="11">
        <v>113445.38</v>
      </c>
    </row>
    <row r="8758" spans="2:7" x14ac:dyDescent="0.2">
      <c r="B8758" s="32">
        <v>46064</v>
      </c>
      <c r="C8758" t="s">
        <v>109</v>
      </c>
      <c r="D8758" s="13" t="s">
        <v>634</v>
      </c>
      <c r="E8758" t="s">
        <v>334</v>
      </c>
      <c r="F8758" s="11">
        <v>1</v>
      </c>
      <c r="G8758" s="11">
        <v>75630.25</v>
      </c>
    </row>
    <row r="8759" spans="2:7" x14ac:dyDescent="0.2">
      <c r="B8759" s="32">
        <v>46064</v>
      </c>
      <c r="C8759" t="s">
        <v>109</v>
      </c>
      <c r="D8759" s="13" t="s">
        <v>634</v>
      </c>
      <c r="E8759" t="s">
        <v>306</v>
      </c>
      <c r="F8759" s="11">
        <v>1</v>
      </c>
      <c r="G8759" s="11">
        <v>63025.21</v>
      </c>
    </row>
    <row r="8760" spans="2:7" x14ac:dyDescent="0.2">
      <c r="B8760" s="32">
        <v>46064</v>
      </c>
      <c r="C8760" t="s">
        <v>109</v>
      </c>
      <c r="D8760" s="13" t="s">
        <v>634</v>
      </c>
      <c r="E8760" t="s">
        <v>409</v>
      </c>
      <c r="F8760" s="11">
        <v>1</v>
      </c>
      <c r="G8760" s="11">
        <v>54621.85</v>
      </c>
    </row>
    <row r="8761" spans="2:7" x14ac:dyDescent="0.2">
      <c r="B8761" s="32">
        <v>46064</v>
      </c>
      <c r="C8761" t="s">
        <v>109</v>
      </c>
      <c r="D8761" s="13" t="s">
        <v>634</v>
      </c>
      <c r="E8761" t="s">
        <v>345</v>
      </c>
      <c r="F8761" s="11">
        <v>1</v>
      </c>
      <c r="G8761" s="11">
        <v>54621.85</v>
      </c>
    </row>
    <row r="8762" spans="2:7" x14ac:dyDescent="0.2">
      <c r="B8762" s="32">
        <v>46064</v>
      </c>
      <c r="C8762" t="s">
        <v>109</v>
      </c>
      <c r="D8762" s="13" t="s">
        <v>634</v>
      </c>
      <c r="E8762" t="s">
        <v>206</v>
      </c>
      <c r="F8762" s="11">
        <v>1</v>
      </c>
      <c r="G8762" s="11">
        <v>37815.129999999997</v>
      </c>
    </row>
    <row r="8763" spans="2:7" x14ac:dyDescent="0.2">
      <c r="B8763" s="32">
        <v>46064</v>
      </c>
      <c r="C8763" t="s">
        <v>109</v>
      </c>
      <c r="D8763" s="13" t="s">
        <v>634</v>
      </c>
      <c r="E8763" t="s">
        <v>234</v>
      </c>
      <c r="F8763" s="11">
        <v>1</v>
      </c>
      <c r="G8763" s="11">
        <v>37815.129999999997</v>
      </c>
    </row>
    <row r="8764" spans="2:7" x14ac:dyDescent="0.2">
      <c r="B8764" s="32">
        <v>46064</v>
      </c>
      <c r="C8764" t="s">
        <v>109</v>
      </c>
      <c r="D8764" s="13" t="s">
        <v>634</v>
      </c>
      <c r="E8764" t="s">
        <v>145</v>
      </c>
      <c r="F8764" s="11">
        <v>1</v>
      </c>
      <c r="G8764" s="11">
        <v>29411.759999999998</v>
      </c>
    </row>
    <row r="8765" spans="2:7" x14ac:dyDescent="0.2">
      <c r="B8765" s="32">
        <v>46064</v>
      </c>
      <c r="C8765" t="s">
        <v>109</v>
      </c>
      <c r="D8765" s="13" t="s">
        <v>634</v>
      </c>
      <c r="F8765" s="11">
        <v>0</v>
      </c>
      <c r="G8765" s="11">
        <v>0</v>
      </c>
    </row>
    <row r="8766" spans="2:7" x14ac:dyDescent="0.2">
      <c r="B8766" s="32">
        <v>46064</v>
      </c>
      <c r="C8766" t="s">
        <v>109</v>
      </c>
      <c r="D8766" s="13" t="s">
        <v>633</v>
      </c>
      <c r="E8766" t="s">
        <v>223</v>
      </c>
      <c r="F8766" s="11">
        <v>3</v>
      </c>
      <c r="G8766" s="11">
        <v>189075.63</v>
      </c>
    </row>
    <row r="8767" spans="2:7" x14ac:dyDescent="0.2">
      <c r="B8767" s="32">
        <v>46064</v>
      </c>
      <c r="C8767" t="s">
        <v>109</v>
      </c>
      <c r="D8767" s="13" t="s">
        <v>633</v>
      </c>
      <c r="E8767" t="s">
        <v>154</v>
      </c>
      <c r="F8767" s="11">
        <v>1</v>
      </c>
      <c r="G8767" s="11">
        <v>100840.34</v>
      </c>
    </row>
    <row r="8768" spans="2:7" x14ac:dyDescent="0.2">
      <c r="B8768" s="32">
        <v>46064</v>
      </c>
      <c r="C8768" t="s">
        <v>109</v>
      </c>
      <c r="D8768" s="13" t="s">
        <v>633</v>
      </c>
      <c r="E8768" t="s">
        <v>264</v>
      </c>
      <c r="F8768" s="11">
        <v>1</v>
      </c>
      <c r="G8768" s="11">
        <v>84033.62</v>
      </c>
    </row>
    <row r="8769" spans="2:7" x14ac:dyDescent="0.2">
      <c r="B8769" s="32">
        <v>46064</v>
      </c>
      <c r="C8769" t="s">
        <v>109</v>
      </c>
      <c r="D8769" s="13" t="s">
        <v>633</v>
      </c>
      <c r="E8769" t="s">
        <v>174</v>
      </c>
      <c r="F8769" s="11">
        <v>1</v>
      </c>
      <c r="G8769" s="11">
        <v>84033.61</v>
      </c>
    </row>
    <row r="8770" spans="2:7" x14ac:dyDescent="0.2">
      <c r="B8770" s="32">
        <v>46064</v>
      </c>
      <c r="C8770" t="s">
        <v>109</v>
      </c>
      <c r="D8770" s="13" t="s">
        <v>633</v>
      </c>
      <c r="E8770" t="s">
        <v>368</v>
      </c>
      <c r="F8770" s="11">
        <v>1</v>
      </c>
      <c r="G8770" s="11">
        <v>84033.61</v>
      </c>
    </row>
    <row r="8771" spans="2:7" x14ac:dyDescent="0.2">
      <c r="B8771" s="32">
        <v>46064</v>
      </c>
      <c r="C8771" t="s">
        <v>109</v>
      </c>
      <c r="D8771" s="13" t="s">
        <v>633</v>
      </c>
      <c r="E8771" t="s">
        <v>395</v>
      </c>
      <c r="F8771" s="11">
        <v>1</v>
      </c>
      <c r="G8771" s="11">
        <v>84033.61</v>
      </c>
    </row>
    <row r="8772" spans="2:7" x14ac:dyDescent="0.2">
      <c r="B8772" s="32">
        <v>46064</v>
      </c>
      <c r="C8772" t="s">
        <v>109</v>
      </c>
      <c r="D8772" s="13" t="s">
        <v>633</v>
      </c>
      <c r="E8772" t="s">
        <v>667</v>
      </c>
      <c r="F8772" s="11">
        <v>1</v>
      </c>
      <c r="G8772" s="11">
        <v>78000</v>
      </c>
    </row>
    <row r="8773" spans="2:7" x14ac:dyDescent="0.2">
      <c r="B8773" s="32">
        <v>46064</v>
      </c>
      <c r="C8773" t="s">
        <v>109</v>
      </c>
      <c r="D8773" s="13" t="s">
        <v>633</v>
      </c>
      <c r="E8773" t="s">
        <v>719</v>
      </c>
      <c r="F8773" s="11">
        <v>1</v>
      </c>
      <c r="G8773" s="11">
        <v>63025.21</v>
      </c>
    </row>
    <row r="8774" spans="2:7" x14ac:dyDescent="0.2">
      <c r="B8774" s="32">
        <v>46064</v>
      </c>
      <c r="C8774" t="s">
        <v>109</v>
      </c>
      <c r="D8774" s="13" t="s">
        <v>633</v>
      </c>
      <c r="E8774" t="s">
        <v>399</v>
      </c>
      <c r="F8774" s="11">
        <v>1</v>
      </c>
      <c r="G8774" s="11">
        <v>54621.85</v>
      </c>
    </row>
    <row r="8775" spans="2:7" x14ac:dyDescent="0.2">
      <c r="B8775" s="32">
        <v>46064</v>
      </c>
      <c r="C8775" t="s">
        <v>109</v>
      </c>
      <c r="D8775" s="13" t="s">
        <v>633</v>
      </c>
      <c r="E8775" t="s">
        <v>246</v>
      </c>
      <c r="F8775" s="11">
        <v>1</v>
      </c>
      <c r="G8775" s="11">
        <v>42016.81</v>
      </c>
    </row>
    <row r="8776" spans="2:7" x14ac:dyDescent="0.2">
      <c r="B8776" s="32">
        <v>46064</v>
      </c>
      <c r="C8776" t="s">
        <v>109</v>
      </c>
      <c r="D8776" s="13" t="s">
        <v>633</v>
      </c>
      <c r="E8776" t="s">
        <v>166</v>
      </c>
      <c r="F8776" s="11">
        <v>1</v>
      </c>
      <c r="G8776" s="11">
        <v>42016.81</v>
      </c>
    </row>
    <row r="8777" spans="2:7" x14ac:dyDescent="0.2">
      <c r="B8777" s="32">
        <v>46064</v>
      </c>
      <c r="C8777" t="s">
        <v>109</v>
      </c>
      <c r="D8777" s="13" t="s">
        <v>633</v>
      </c>
      <c r="E8777" t="s">
        <v>203</v>
      </c>
      <c r="F8777" s="11">
        <v>1</v>
      </c>
      <c r="G8777" s="11">
        <v>42016.81</v>
      </c>
    </row>
    <row r="8778" spans="2:7" x14ac:dyDescent="0.2">
      <c r="B8778" s="32">
        <v>46064</v>
      </c>
      <c r="C8778" t="s">
        <v>109</v>
      </c>
      <c r="D8778" s="13" t="s">
        <v>633</v>
      </c>
      <c r="E8778" t="s">
        <v>330</v>
      </c>
      <c r="F8778" s="11">
        <v>1</v>
      </c>
      <c r="G8778" s="11">
        <v>37815.129999999997</v>
      </c>
    </row>
    <row r="8779" spans="2:7" x14ac:dyDescent="0.2">
      <c r="B8779" s="32">
        <v>46064</v>
      </c>
      <c r="C8779" t="s">
        <v>109</v>
      </c>
      <c r="D8779" s="13" t="s">
        <v>633</v>
      </c>
      <c r="E8779" t="s">
        <v>328</v>
      </c>
      <c r="F8779" s="11">
        <v>1</v>
      </c>
      <c r="G8779" s="11">
        <v>37815.120000000003</v>
      </c>
    </row>
    <row r="8780" spans="2:7" x14ac:dyDescent="0.2">
      <c r="B8780" s="32">
        <v>46064</v>
      </c>
      <c r="C8780" t="s">
        <v>109</v>
      </c>
      <c r="D8780" s="13" t="s">
        <v>633</v>
      </c>
      <c r="E8780" t="s">
        <v>206</v>
      </c>
      <c r="F8780" s="11">
        <v>1</v>
      </c>
      <c r="G8780" s="11">
        <v>28361.35</v>
      </c>
    </row>
    <row r="8781" spans="2:7" x14ac:dyDescent="0.2">
      <c r="B8781" s="32">
        <v>46064</v>
      </c>
      <c r="C8781" t="s">
        <v>109</v>
      </c>
      <c r="D8781" s="13" t="s">
        <v>633</v>
      </c>
      <c r="E8781" t="s">
        <v>145</v>
      </c>
      <c r="F8781" s="11">
        <v>1</v>
      </c>
      <c r="G8781" s="11">
        <v>22058.82</v>
      </c>
    </row>
    <row r="8782" spans="2:7" x14ac:dyDescent="0.2">
      <c r="B8782" s="32">
        <v>46064</v>
      </c>
      <c r="C8782" t="s">
        <v>109</v>
      </c>
      <c r="D8782" s="13" t="s">
        <v>633</v>
      </c>
      <c r="F8782" s="11">
        <v>0</v>
      </c>
      <c r="G8782" s="11">
        <v>0</v>
      </c>
    </row>
    <row r="8783" spans="2:7" x14ac:dyDescent="0.2">
      <c r="B8783" s="32">
        <v>46065</v>
      </c>
      <c r="C8783" t="s">
        <v>142</v>
      </c>
      <c r="D8783" s="13" t="s">
        <v>634</v>
      </c>
      <c r="E8783" t="s">
        <v>155</v>
      </c>
      <c r="F8783" s="11">
        <v>1</v>
      </c>
      <c r="G8783" s="11">
        <v>100840.34</v>
      </c>
    </row>
    <row r="8784" spans="2:7" x14ac:dyDescent="0.2">
      <c r="B8784" s="32">
        <v>46065</v>
      </c>
      <c r="C8784" t="s">
        <v>142</v>
      </c>
      <c r="D8784" s="13" t="s">
        <v>634</v>
      </c>
      <c r="E8784" t="s">
        <v>194</v>
      </c>
      <c r="F8784" s="11">
        <v>1</v>
      </c>
      <c r="G8784" s="11">
        <v>100840.33</v>
      </c>
    </row>
    <row r="8785" spans="2:7" x14ac:dyDescent="0.2">
      <c r="B8785" s="32">
        <v>46065</v>
      </c>
      <c r="C8785" t="s">
        <v>142</v>
      </c>
      <c r="D8785" s="13" t="s">
        <v>634</v>
      </c>
      <c r="E8785" t="s">
        <v>408</v>
      </c>
      <c r="F8785" s="11">
        <v>1</v>
      </c>
      <c r="G8785" s="11">
        <v>54621.85</v>
      </c>
    </row>
    <row r="8786" spans="2:7" x14ac:dyDescent="0.2">
      <c r="B8786" s="32">
        <v>46065</v>
      </c>
      <c r="C8786" t="s">
        <v>142</v>
      </c>
      <c r="D8786" s="13" t="s">
        <v>634</v>
      </c>
      <c r="F8786" s="11">
        <v>0</v>
      </c>
      <c r="G8786" s="11">
        <v>0</v>
      </c>
    </row>
    <row r="8787" spans="2:7" x14ac:dyDescent="0.2">
      <c r="B8787" s="32">
        <v>46065</v>
      </c>
      <c r="C8787" t="s">
        <v>142</v>
      </c>
      <c r="D8787" s="13" t="s">
        <v>633</v>
      </c>
      <c r="E8787" t="s">
        <v>499</v>
      </c>
      <c r="F8787" s="11">
        <v>1</v>
      </c>
      <c r="G8787" s="11">
        <v>361344.54</v>
      </c>
    </row>
    <row r="8788" spans="2:7" x14ac:dyDescent="0.2">
      <c r="B8788" s="32">
        <v>46065</v>
      </c>
      <c r="C8788" t="s">
        <v>142</v>
      </c>
      <c r="D8788" s="13" t="s">
        <v>633</v>
      </c>
      <c r="E8788" t="s">
        <v>725</v>
      </c>
      <c r="F8788" s="11">
        <v>1</v>
      </c>
      <c r="G8788" s="11">
        <v>184873.95</v>
      </c>
    </row>
    <row r="8789" spans="2:7" x14ac:dyDescent="0.2">
      <c r="B8789" s="32">
        <v>46065</v>
      </c>
      <c r="C8789" t="s">
        <v>142</v>
      </c>
      <c r="D8789" s="13" t="s">
        <v>633</v>
      </c>
      <c r="E8789" t="s">
        <v>718</v>
      </c>
      <c r="F8789" s="11">
        <v>1</v>
      </c>
      <c r="G8789" s="11">
        <v>163865.54999999999</v>
      </c>
    </row>
    <row r="8790" spans="2:7" x14ac:dyDescent="0.2">
      <c r="B8790" s="32">
        <v>46065</v>
      </c>
      <c r="C8790" t="s">
        <v>142</v>
      </c>
      <c r="D8790" s="13" t="s">
        <v>633</v>
      </c>
      <c r="E8790" t="s">
        <v>192</v>
      </c>
      <c r="F8790" s="11">
        <v>2</v>
      </c>
      <c r="G8790" s="11">
        <v>151260.5</v>
      </c>
    </row>
    <row r="8791" spans="2:7" x14ac:dyDescent="0.2">
      <c r="B8791" s="32">
        <v>46065</v>
      </c>
      <c r="C8791" t="s">
        <v>142</v>
      </c>
      <c r="D8791" s="13" t="s">
        <v>633</v>
      </c>
      <c r="E8791" t="s">
        <v>598</v>
      </c>
      <c r="F8791" s="11">
        <v>1</v>
      </c>
      <c r="G8791" s="11">
        <v>138655.45000000001</v>
      </c>
    </row>
    <row r="8792" spans="2:7" x14ac:dyDescent="0.2">
      <c r="B8792" s="32">
        <v>46065</v>
      </c>
      <c r="C8792" t="s">
        <v>142</v>
      </c>
      <c r="D8792" s="13" t="s">
        <v>633</v>
      </c>
      <c r="E8792" t="s">
        <v>198</v>
      </c>
      <c r="F8792" s="11">
        <v>1</v>
      </c>
      <c r="G8792" s="11">
        <v>50420.17</v>
      </c>
    </row>
    <row r="8793" spans="2:7" x14ac:dyDescent="0.2">
      <c r="B8793" s="32">
        <v>46065</v>
      </c>
      <c r="C8793" t="s">
        <v>142</v>
      </c>
      <c r="D8793" s="13" t="s">
        <v>633</v>
      </c>
      <c r="E8793" t="s">
        <v>714</v>
      </c>
      <c r="F8793" s="11">
        <v>1</v>
      </c>
      <c r="G8793" s="11">
        <v>42016.81</v>
      </c>
    </row>
    <row r="8794" spans="2:7" x14ac:dyDescent="0.2">
      <c r="B8794" s="32">
        <v>46065</v>
      </c>
      <c r="C8794" t="s">
        <v>142</v>
      </c>
      <c r="D8794" s="13" t="s">
        <v>633</v>
      </c>
      <c r="E8794" t="s">
        <v>670</v>
      </c>
      <c r="F8794" s="11">
        <v>1</v>
      </c>
      <c r="G8794" s="11">
        <v>0</v>
      </c>
    </row>
    <row r="8795" spans="2:7" x14ac:dyDescent="0.2">
      <c r="B8795" s="32">
        <v>46065</v>
      </c>
      <c r="C8795" t="s">
        <v>109</v>
      </c>
      <c r="D8795" s="13" t="s">
        <v>634</v>
      </c>
      <c r="E8795" t="s">
        <v>158</v>
      </c>
      <c r="F8795" s="11">
        <v>8</v>
      </c>
      <c r="G8795" s="11">
        <v>369747.9</v>
      </c>
    </row>
    <row r="8796" spans="2:7" x14ac:dyDescent="0.2">
      <c r="B8796" s="32">
        <v>46065</v>
      </c>
      <c r="C8796" t="s">
        <v>109</v>
      </c>
      <c r="D8796" s="13" t="s">
        <v>634</v>
      </c>
      <c r="E8796" t="s">
        <v>198</v>
      </c>
      <c r="F8796" s="11">
        <v>3</v>
      </c>
      <c r="G8796" s="11">
        <v>151260.5</v>
      </c>
    </row>
    <row r="8797" spans="2:7" x14ac:dyDescent="0.2">
      <c r="B8797" s="32">
        <v>46065</v>
      </c>
      <c r="C8797" t="s">
        <v>109</v>
      </c>
      <c r="D8797" s="13" t="s">
        <v>634</v>
      </c>
      <c r="E8797" t="s">
        <v>195</v>
      </c>
      <c r="F8797" s="11">
        <v>2</v>
      </c>
      <c r="G8797" s="11">
        <v>100840.34</v>
      </c>
    </row>
    <row r="8798" spans="2:7" x14ac:dyDescent="0.2">
      <c r="B8798" s="32">
        <v>46065</v>
      </c>
      <c r="C8798" t="s">
        <v>109</v>
      </c>
      <c r="D8798" s="13" t="s">
        <v>634</v>
      </c>
      <c r="E8798" t="s">
        <v>145</v>
      </c>
      <c r="F8798" s="11">
        <v>3</v>
      </c>
      <c r="G8798" s="11">
        <v>88235.29</v>
      </c>
    </row>
    <row r="8799" spans="2:7" x14ac:dyDescent="0.2">
      <c r="B8799" s="32">
        <v>46065</v>
      </c>
      <c r="C8799" t="s">
        <v>109</v>
      </c>
      <c r="D8799" s="13" t="s">
        <v>634</v>
      </c>
      <c r="E8799" t="s">
        <v>147</v>
      </c>
      <c r="F8799" s="11">
        <v>1</v>
      </c>
      <c r="G8799" s="11">
        <v>75630.25</v>
      </c>
    </row>
    <row r="8800" spans="2:7" x14ac:dyDescent="0.2">
      <c r="B8800" s="32">
        <v>46065</v>
      </c>
      <c r="C8800" t="s">
        <v>109</v>
      </c>
      <c r="D8800" s="13" t="s">
        <v>634</v>
      </c>
      <c r="E8800" t="s">
        <v>173</v>
      </c>
      <c r="F8800" s="11">
        <v>2</v>
      </c>
      <c r="G8800" s="11">
        <v>75630.25</v>
      </c>
    </row>
    <row r="8801" spans="2:7" x14ac:dyDescent="0.2">
      <c r="B8801" s="32">
        <v>46065</v>
      </c>
      <c r="C8801" t="s">
        <v>109</v>
      </c>
      <c r="D8801" s="13" t="s">
        <v>634</v>
      </c>
      <c r="E8801" t="s">
        <v>179</v>
      </c>
      <c r="F8801" s="11">
        <v>1</v>
      </c>
      <c r="G8801" s="11">
        <v>50420.17</v>
      </c>
    </row>
    <row r="8802" spans="2:7" x14ac:dyDescent="0.2">
      <c r="B8802" s="32">
        <v>46065</v>
      </c>
      <c r="C8802" t="s">
        <v>109</v>
      </c>
      <c r="D8802" s="13" t="s">
        <v>634</v>
      </c>
      <c r="E8802" t="s">
        <v>146</v>
      </c>
      <c r="F8802" s="11">
        <v>1</v>
      </c>
      <c r="G8802" s="11">
        <v>50420.17</v>
      </c>
    </row>
    <row r="8803" spans="2:7" x14ac:dyDescent="0.2">
      <c r="B8803" s="32">
        <v>46065</v>
      </c>
      <c r="C8803" t="s">
        <v>109</v>
      </c>
      <c r="D8803" s="13" t="s">
        <v>634</v>
      </c>
      <c r="E8803" t="s">
        <v>443</v>
      </c>
      <c r="F8803" s="11">
        <v>1</v>
      </c>
      <c r="G8803" s="11">
        <v>50420.160000000003</v>
      </c>
    </row>
    <row r="8804" spans="2:7" x14ac:dyDescent="0.2">
      <c r="B8804" s="32">
        <v>46065</v>
      </c>
      <c r="C8804" t="s">
        <v>109</v>
      </c>
      <c r="D8804" s="13" t="s">
        <v>634</v>
      </c>
      <c r="E8804" t="s">
        <v>452</v>
      </c>
      <c r="F8804" s="11">
        <v>1</v>
      </c>
      <c r="G8804" s="11">
        <v>42016.81</v>
      </c>
    </row>
    <row r="8805" spans="2:7" x14ac:dyDescent="0.2">
      <c r="B8805" s="32">
        <v>46065</v>
      </c>
      <c r="C8805" t="s">
        <v>109</v>
      </c>
      <c r="D8805" s="13" t="s">
        <v>634</v>
      </c>
      <c r="E8805" t="s">
        <v>293</v>
      </c>
      <c r="F8805" s="11">
        <v>1</v>
      </c>
      <c r="G8805" s="11">
        <v>37815.129999999997</v>
      </c>
    </row>
    <row r="8806" spans="2:7" x14ac:dyDescent="0.2">
      <c r="B8806" s="32">
        <v>46065</v>
      </c>
      <c r="C8806" t="s">
        <v>109</v>
      </c>
      <c r="D8806" s="13" t="s">
        <v>634</v>
      </c>
      <c r="E8806" t="s">
        <v>328</v>
      </c>
      <c r="F8806" s="11">
        <v>1</v>
      </c>
      <c r="G8806" s="11">
        <v>37815.129999999997</v>
      </c>
    </row>
    <row r="8807" spans="2:7" x14ac:dyDescent="0.2">
      <c r="B8807" s="32">
        <v>46065</v>
      </c>
      <c r="C8807" t="s">
        <v>109</v>
      </c>
      <c r="D8807" s="13" t="s">
        <v>634</v>
      </c>
      <c r="E8807" t="s">
        <v>263</v>
      </c>
      <c r="F8807" s="11">
        <v>1</v>
      </c>
      <c r="G8807" s="11">
        <v>37815.129999999997</v>
      </c>
    </row>
    <row r="8808" spans="2:7" x14ac:dyDescent="0.2">
      <c r="B8808" s="32">
        <v>46065</v>
      </c>
      <c r="C8808" t="s">
        <v>109</v>
      </c>
      <c r="D8808" s="13" t="s">
        <v>634</v>
      </c>
      <c r="E8808" t="s">
        <v>181</v>
      </c>
      <c r="F8808" s="11">
        <v>0</v>
      </c>
      <c r="G8808" s="11">
        <v>-155462.19</v>
      </c>
    </row>
    <row r="8809" spans="2:7" x14ac:dyDescent="0.2">
      <c r="B8809" s="32">
        <v>46065</v>
      </c>
      <c r="C8809" t="s">
        <v>109</v>
      </c>
      <c r="D8809" s="13" t="s">
        <v>633</v>
      </c>
      <c r="E8809" t="s">
        <v>152</v>
      </c>
      <c r="F8809" s="11">
        <v>2</v>
      </c>
      <c r="G8809" s="11">
        <v>168067.23</v>
      </c>
    </row>
    <row r="8810" spans="2:7" x14ac:dyDescent="0.2">
      <c r="B8810" s="32">
        <v>46065</v>
      </c>
      <c r="C8810" t="s">
        <v>109</v>
      </c>
      <c r="D8810" s="13" t="s">
        <v>633</v>
      </c>
      <c r="E8810" t="s">
        <v>347</v>
      </c>
      <c r="F8810" s="11">
        <v>2</v>
      </c>
      <c r="G8810" s="11">
        <v>168067.22</v>
      </c>
    </row>
    <row r="8811" spans="2:7" x14ac:dyDescent="0.2">
      <c r="B8811" s="32">
        <v>46065</v>
      </c>
      <c r="C8811" t="s">
        <v>109</v>
      </c>
      <c r="D8811" s="13" t="s">
        <v>633</v>
      </c>
      <c r="E8811" t="s">
        <v>395</v>
      </c>
      <c r="F8811" s="11">
        <v>0</v>
      </c>
      <c r="G8811" s="11">
        <v>84033.61</v>
      </c>
    </row>
    <row r="8812" spans="2:7" x14ac:dyDescent="0.2">
      <c r="B8812" s="32">
        <v>46065</v>
      </c>
      <c r="C8812" t="s">
        <v>109</v>
      </c>
      <c r="D8812" s="13" t="s">
        <v>633</v>
      </c>
      <c r="E8812" t="s">
        <v>149</v>
      </c>
      <c r="F8812" s="11">
        <v>1</v>
      </c>
      <c r="G8812" s="11">
        <v>75630.25</v>
      </c>
    </row>
    <row r="8813" spans="2:7" x14ac:dyDescent="0.2">
      <c r="B8813" s="32">
        <v>46065</v>
      </c>
      <c r="C8813" t="s">
        <v>109</v>
      </c>
      <c r="D8813" s="13" t="s">
        <v>633</v>
      </c>
      <c r="E8813" t="s">
        <v>731</v>
      </c>
      <c r="F8813" s="11">
        <v>0</v>
      </c>
      <c r="G8813" s="11">
        <v>74000</v>
      </c>
    </row>
    <row r="8814" spans="2:7" x14ac:dyDescent="0.2">
      <c r="B8814" s="32">
        <v>46065</v>
      </c>
      <c r="C8814" t="s">
        <v>109</v>
      </c>
      <c r="D8814" s="13" t="s">
        <v>633</v>
      </c>
      <c r="E8814" t="s">
        <v>151</v>
      </c>
      <c r="F8814" s="11">
        <v>1</v>
      </c>
      <c r="G8814" s="11">
        <v>50420.17</v>
      </c>
    </row>
    <row r="8815" spans="2:7" x14ac:dyDescent="0.2">
      <c r="B8815" s="32">
        <v>46065</v>
      </c>
      <c r="C8815" t="s">
        <v>109</v>
      </c>
      <c r="D8815" s="13" t="s">
        <v>633</v>
      </c>
      <c r="E8815" t="s">
        <v>160</v>
      </c>
      <c r="F8815" s="11">
        <v>1</v>
      </c>
      <c r="G8815" s="11">
        <v>46218.49</v>
      </c>
    </row>
    <row r="8816" spans="2:7" x14ac:dyDescent="0.2">
      <c r="B8816" s="32">
        <v>46065</v>
      </c>
      <c r="C8816" t="s">
        <v>109</v>
      </c>
      <c r="D8816" s="13" t="s">
        <v>633</v>
      </c>
      <c r="E8816" t="s">
        <v>156</v>
      </c>
      <c r="F8816" s="11">
        <v>1</v>
      </c>
      <c r="G8816" s="11">
        <v>46218.49</v>
      </c>
    </row>
    <row r="8817" spans="2:7" x14ac:dyDescent="0.2">
      <c r="B8817" s="32">
        <v>46065</v>
      </c>
      <c r="C8817" t="s">
        <v>109</v>
      </c>
      <c r="D8817" s="13" t="s">
        <v>633</v>
      </c>
      <c r="E8817" t="s">
        <v>330</v>
      </c>
      <c r="F8817" s="11">
        <v>1</v>
      </c>
      <c r="G8817" s="11">
        <v>37815.129999999997</v>
      </c>
    </row>
    <row r="8818" spans="2:7" x14ac:dyDescent="0.2">
      <c r="B8818" s="32">
        <v>46065</v>
      </c>
      <c r="C8818" t="s">
        <v>109</v>
      </c>
      <c r="D8818" s="13" t="s">
        <v>633</v>
      </c>
      <c r="E8818" t="s">
        <v>148</v>
      </c>
      <c r="F8818" s="11">
        <v>1</v>
      </c>
      <c r="G8818" s="11">
        <v>37815.129999999997</v>
      </c>
    </row>
    <row r="8819" spans="2:7" x14ac:dyDescent="0.2">
      <c r="B8819" s="32">
        <v>46065</v>
      </c>
      <c r="C8819" t="s">
        <v>109</v>
      </c>
      <c r="D8819" s="13" t="s">
        <v>633</v>
      </c>
      <c r="E8819" t="s">
        <v>182</v>
      </c>
      <c r="F8819" s="11">
        <v>1</v>
      </c>
      <c r="G8819" s="11">
        <v>29411.759999999998</v>
      </c>
    </row>
    <row r="8820" spans="2:7" x14ac:dyDescent="0.2">
      <c r="B8820" s="32">
        <v>46065</v>
      </c>
      <c r="C8820" t="s">
        <v>109</v>
      </c>
      <c r="D8820" s="13" t="s">
        <v>633</v>
      </c>
      <c r="E8820" t="s">
        <v>144</v>
      </c>
      <c r="F8820" s="11">
        <v>2</v>
      </c>
      <c r="G8820" s="11">
        <v>27731.1</v>
      </c>
    </row>
    <row r="8821" spans="2:7" x14ac:dyDescent="0.2">
      <c r="B8821" s="32">
        <v>46065</v>
      </c>
      <c r="C8821" t="s">
        <v>109</v>
      </c>
      <c r="D8821" s="13" t="s">
        <v>633</v>
      </c>
      <c r="E8821" t="s">
        <v>173</v>
      </c>
      <c r="F8821" s="11">
        <v>1</v>
      </c>
      <c r="G8821" s="11">
        <v>16806.73</v>
      </c>
    </row>
    <row r="8822" spans="2:7" x14ac:dyDescent="0.2">
      <c r="B8822" s="32">
        <v>46065</v>
      </c>
      <c r="C8822" t="s">
        <v>109</v>
      </c>
      <c r="D8822" s="13" t="s">
        <v>633</v>
      </c>
      <c r="E8822" t="s">
        <v>206</v>
      </c>
      <c r="F8822" s="11">
        <v>1</v>
      </c>
      <c r="G8822" s="11">
        <v>16806.72</v>
      </c>
    </row>
    <row r="8823" spans="2:7" x14ac:dyDescent="0.2">
      <c r="B8823" s="32">
        <v>46065</v>
      </c>
      <c r="C8823" t="s">
        <v>109</v>
      </c>
      <c r="D8823" s="13" t="s">
        <v>633</v>
      </c>
      <c r="E8823" t="s">
        <v>310</v>
      </c>
      <c r="F8823" s="11">
        <v>1</v>
      </c>
      <c r="G8823" s="11">
        <v>16806.72</v>
      </c>
    </row>
    <row r="8824" spans="2:7" x14ac:dyDescent="0.2">
      <c r="B8824" s="32">
        <v>46065</v>
      </c>
      <c r="C8824" t="s">
        <v>109</v>
      </c>
      <c r="D8824" s="13" t="s">
        <v>633</v>
      </c>
      <c r="E8824" t="s">
        <v>147</v>
      </c>
      <c r="F8824" s="11">
        <v>1</v>
      </c>
      <c r="G8824" s="11">
        <v>4201.67</v>
      </c>
    </row>
    <row r="8825" spans="2:7" x14ac:dyDescent="0.2">
      <c r="B8825" s="32">
        <v>46065</v>
      </c>
      <c r="C8825" t="s">
        <v>109</v>
      </c>
      <c r="D8825" s="13" t="s">
        <v>633</v>
      </c>
      <c r="E8825" t="s">
        <v>334</v>
      </c>
      <c r="F8825" s="11">
        <v>0</v>
      </c>
      <c r="G8825" s="11">
        <v>-71428.570000000007</v>
      </c>
    </row>
    <row r="8826" spans="2:7" x14ac:dyDescent="0.2">
      <c r="B8826" s="32">
        <v>46066</v>
      </c>
      <c r="C8826" t="s">
        <v>142</v>
      </c>
      <c r="D8826" s="13" t="s">
        <v>634</v>
      </c>
      <c r="E8826" t="s">
        <v>420</v>
      </c>
      <c r="F8826" s="11">
        <v>1</v>
      </c>
      <c r="G8826" s="11">
        <v>100840.34</v>
      </c>
    </row>
    <row r="8827" spans="2:7" x14ac:dyDescent="0.2">
      <c r="B8827" s="32">
        <v>46066</v>
      </c>
      <c r="C8827" t="s">
        <v>142</v>
      </c>
      <c r="D8827" s="13" t="s">
        <v>634</v>
      </c>
      <c r="E8827" t="s">
        <v>404</v>
      </c>
      <c r="F8827" s="11">
        <v>1</v>
      </c>
      <c r="G8827" s="11">
        <v>65000</v>
      </c>
    </row>
    <row r="8828" spans="2:7" x14ac:dyDescent="0.2">
      <c r="B8828" s="32">
        <v>46066</v>
      </c>
      <c r="C8828" t="s">
        <v>142</v>
      </c>
      <c r="D8828" s="13" t="s">
        <v>634</v>
      </c>
      <c r="E8828" t="s">
        <v>374</v>
      </c>
      <c r="F8828" s="11">
        <v>1</v>
      </c>
      <c r="G8828" s="11">
        <v>58823.519999999997</v>
      </c>
    </row>
    <row r="8829" spans="2:7" x14ac:dyDescent="0.2">
      <c r="B8829" s="32">
        <v>46066</v>
      </c>
      <c r="C8829" t="s">
        <v>142</v>
      </c>
      <c r="D8829" s="13" t="s">
        <v>634</v>
      </c>
      <c r="E8829" t="s">
        <v>229</v>
      </c>
      <c r="F8829" s="11">
        <v>1</v>
      </c>
      <c r="G8829" s="11">
        <v>42016.81</v>
      </c>
    </row>
    <row r="8830" spans="2:7" x14ac:dyDescent="0.2">
      <c r="B8830" s="32">
        <v>46066</v>
      </c>
      <c r="C8830" t="s">
        <v>142</v>
      </c>
      <c r="D8830" s="13" t="s">
        <v>634</v>
      </c>
      <c r="E8830" t="s">
        <v>166</v>
      </c>
      <c r="F8830" s="11">
        <v>1</v>
      </c>
      <c r="G8830" s="11">
        <v>42016.81</v>
      </c>
    </row>
    <row r="8831" spans="2:7" x14ac:dyDescent="0.2">
      <c r="B8831" s="32">
        <v>46066</v>
      </c>
      <c r="C8831" t="s">
        <v>142</v>
      </c>
      <c r="D8831" s="13" t="s">
        <v>634</v>
      </c>
      <c r="F8831" s="11">
        <v>0</v>
      </c>
      <c r="G8831" s="11">
        <v>0</v>
      </c>
    </row>
    <row r="8832" spans="2:7" x14ac:dyDescent="0.2">
      <c r="B8832" s="32">
        <v>46066</v>
      </c>
      <c r="C8832" t="s">
        <v>142</v>
      </c>
      <c r="D8832" s="13" t="s">
        <v>633</v>
      </c>
      <c r="E8832" t="s">
        <v>181</v>
      </c>
      <c r="F8832" s="11">
        <v>4</v>
      </c>
      <c r="G8832" s="11">
        <v>235294.12</v>
      </c>
    </row>
    <row r="8833" spans="2:7" x14ac:dyDescent="0.2">
      <c r="B8833" s="32">
        <v>46066</v>
      </c>
      <c r="C8833" t="s">
        <v>142</v>
      </c>
      <c r="D8833" s="13" t="s">
        <v>633</v>
      </c>
      <c r="E8833" t="s">
        <v>175</v>
      </c>
      <c r="F8833" s="11">
        <v>1</v>
      </c>
      <c r="G8833" s="11">
        <v>63025.21</v>
      </c>
    </row>
    <row r="8834" spans="2:7" x14ac:dyDescent="0.2">
      <c r="B8834" s="32">
        <v>46066</v>
      </c>
      <c r="C8834" t="s">
        <v>142</v>
      </c>
      <c r="D8834" s="13" t="s">
        <v>633</v>
      </c>
      <c r="F8834" s="11">
        <v>0</v>
      </c>
      <c r="G8834" s="11">
        <v>0</v>
      </c>
    </row>
    <row r="8835" spans="2:7" x14ac:dyDescent="0.2">
      <c r="B8835" s="32">
        <v>46066</v>
      </c>
      <c r="C8835" t="s">
        <v>109</v>
      </c>
      <c r="D8835" s="13"/>
      <c r="E8835" t="s">
        <v>144</v>
      </c>
      <c r="F8835" s="11">
        <v>1</v>
      </c>
      <c r="G8835" s="11">
        <v>3781.51</v>
      </c>
    </row>
    <row r="8836" spans="2:7" x14ac:dyDescent="0.2">
      <c r="B8836" s="32">
        <v>46066</v>
      </c>
      <c r="C8836" t="s">
        <v>109</v>
      </c>
      <c r="D8836" s="13" t="s">
        <v>634</v>
      </c>
      <c r="E8836" t="s">
        <v>153</v>
      </c>
      <c r="F8836" s="11">
        <v>2</v>
      </c>
      <c r="G8836" s="11">
        <v>92436.98</v>
      </c>
    </row>
    <row r="8837" spans="2:7" x14ac:dyDescent="0.2">
      <c r="B8837" s="32">
        <v>46066</v>
      </c>
      <c r="C8837" t="s">
        <v>109</v>
      </c>
      <c r="D8837" s="13" t="s">
        <v>634</v>
      </c>
      <c r="E8837" t="s">
        <v>164</v>
      </c>
      <c r="F8837" s="11">
        <v>1</v>
      </c>
      <c r="G8837" s="11">
        <v>75630.25</v>
      </c>
    </row>
    <row r="8838" spans="2:7" x14ac:dyDescent="0.2">
      <c r="B8838" s="32">
        <v>46066</v>
      </c>
      <c r="C8838" t="s">
        <v>109</v>
      </c>
      <c r="D8838" s="13" t="s">
        <v>634</v>
      </c>
      <c r="E8838" t="s">
        <v>149</v>
      </c>
      <c r="F8838" s="11">
        <v>1</v>
      </c>
      <c r="G8838" s="11">
        <v>75630.25</v>
      </c>
    </row>
    <row r="8839" spans="2:7" x14ac:dyDescent="0.2">
      <c r="B8839" s="32">
        <v>46066</v>
      </c>
      <c r="C8839" t="s">
        <v>109</v>
      </c>
      <c r="D8839" s="13" t="s">
        <v>634</v>
      </c>
      <c r="E8839" t="s">
        <v>241</v>
      </c>
      <c r="F8839" s="11">
        <v>1</v>
      </c>
      <c r="G8839" s="11">
        <v>46218.49</v>
      </c>
    </row>
    <row r="8840" spans="2:7" x14ac:dyDescent="0.2">
      <c r="B8840" s="32">
        <v>46066</v>
      </c>
      <c r="C8840" t="s">
        <v>109</v>
      </c>
      <c r="D8840" s="13" t="s">
        <v>634</v>
      </c>
      <c r="E8840" t="s">
        <v>263</v>
      </c>
      <c r="F8840" s="11">
        <v>1</v>
      </c>
      <c r="G8840" s="11">
        <v>37815.129999999997</v>
      </c>
    </row>
    <row r="8841" spans="2:7" x14ac:dyDescent="0.2">
      <c r="B8841" s="32">
        <v>46066</v>
      </c>
      <c r="C8841" t="s">
        <v>109</v>
      </c>
      <c r="D8841" s="13" t="s">
        <v>634</v>
      </c>
      <c r="E8841" t="s">
        <v>333</v>
      </c>
      <c r="F8841" s="11">
        <v>1</v>
      </c>
      <c r="G8841" s="11">
        <v>16806.72</v>
      </c>
    </row>
    <row r="8842" spans="2:7" x14ac:dyDescent="0.2">
      <c r="B8842" s="32">
        <v>46066</v>
      </c>
      <c r="C8842" t="s">
        <v>109</v>
      </c>
      <c r="D8842" s="13" t="s">
        <v>633</v>
      </c>
      <c r="E8842" t="s">
        <v>403</v>
      </c>
      <c r="F8842" s="11">
        <v>1</v>
      </c>
      <c r="G8842" s="11">
        <v>84033.61</v>
      </c>
    </row>
    <row r="8843" spans="2:7" x14ac:dyDescent="0.2">
      <c r="B8843" s="32">
        <v>46066</v>
      </c>
      <c r="C8843" t="s">
        <v>109</v>
      </c>
      <c r="D8843" s="13" t="s">
        <v>633</v>
      </c>
      <c r="E8843" t="s">
        <v>144</v>
      </c>
      <c r="F8843" s="11">
        <v>9</v>
      </c>
      <c r="G8843" s="11">
        <v>80252.100000000006</v>
      </c>
    </row>
    <row r="8844" spans="2:7" x14ac:dyDescent="0.2">
      <c r="B8844" s="32">
        <v>46066</v>
      </c>
      <c r="C8844" t="s">
        <v>109</v>
      </c>
      <c r="D8844" s="13" t="s">
        <v>633</v>
      </c>
      <c r="E8844" t="s">
        <v>189</v>
      </c>
      <c r="F8844" s="11">
        <v>1</v>
      </c>
      <c r="G8844" s="11">
        <v>75630.25</v>
      </c>
    </row>
    <row r="8845" spans="2:7" x14ac:dyDescent="0.2">
      <c r="B8845" s="32">
        <v>46066</v>
      </c>
      <c r="C8845" t="s">
        <v>109</v>
      </c>
      <c r="D8845" s="13" t="s">
        <v>633</v>
      </c>
      <c r="E8845" t="s">
        <v>258</v>
      </c>
      <c r="F8845" s="11">
        <v>1</v>
      </c>
      <c r="G8845" s="11">
        <v>58823.53</v>
      </c>
    </row>
    <row r="8846" spans="2:7" x14ac:dyDescent="0.2">
      <c r="B8846" s="32">
        <v>46066</v>
      </c>
      <c r="C8846" t="s">
        <v>109</v>
      </c>
      <c r="D8846" s="13" t="s">
        <v>633</v>
      </c>
      <c r="E8846" t="s">
        <v>146</v>
      </c>
      <c r="F8846" s="11">
        <v>1</v>
      </c>
      <c r="G8846" s="11">
        <v>50420.17</v>
      </c>
    </row>
    <row r="8847" spans="2:7" x14ac:dyDescent="0.2">
      <c r="B8847" s="32">
        <v>46066</v>
      </c>
      <c r="C8847" t="s">
        <v>109</v>
      </c>
      <c r="D8847" s="13" t="s">
        <v>633</v>
      </c>
      <c r="E8847" t="s">
        <v>195</v>
      </c>
      <c r="F8847" s="11">
        <v>1</v>
      </c>
      <c r="G8847" s="11">
        <v>50420.17</v>
      </c>
    </row>
    <row r="8848" spans="2:7" x14ac:dyDescent="0.2">
      <c r="B8848" s="32">
        <v>46066</v>
      </c>
      <c r="C8848" t="s">
        <v>109</v>
      </c>
      <c r="D8848" s="13" t="s">
        <v>633</v>
      </c>
      <c r="E8848" t="s">
        <v>151</v>
      </c>
      <c r="F8848" s="11">
        <v>1</v>
      </c>
      <c r="G8848" s="11">
        <v>50420.160000000003</v>
      </c>
    </row>
    <row r="8849" spans="2:7" x14ac:dyDescent="0.2">
      <c r="B8849" s="32">
        <v>46066</v>
      </c>
      <c r="C8849" t="s">
        <v>109</v>
      </c>
      <c r="D8849" s="13" t="s">
        <v>633</v>
      </c>
      <c r="E8849" t="s">
        <v>168</v>
      </c>
      <c r="F8849" s="11">
        <v>1</v>
      </c>
      <c r="G8849" s="11">
        <v>46218.49</v>
      </c>
    </row>
    <row r="8850" spans="2:7" x14ac:dyDescent="0.2">
      <c r="B8850" s="32">
        <v>46066</v>
      </c>
      <c r="C8850" t="s">
        <v>109</v>
      </c>
      <c r="D8850" s="13" t="s">
        <v>633</v>
      </c>
      <c r="E8850" t="s">
        <v>241</v>
      </c>
      <c r="F8850" s="11">
        <v>1</v>
      </c>
      <c r="G8850" s="11">
        <v>46218.49</v>
      </c>
    </row>
    <row r="8851" spans="2:7" x14ac:dyDescent="0.2">
      <c r="B8851" s="32">
        <v>46066</v>
      </c>
      <c r="C8851" t="s">
        <v>109</v>
      </c>
      <c r="D8851" s="13" t="s">
        <v>633</v>
      </c>
      <c r="E8851" t="s">
        <v>333</v>
      </c>
      <c r="F8851" s="11">
        <v>1</v>
      </c>
      <c r="G8851" s="11">
        <v>16806.72</v>
      </c>
    </row>
    <row r="8852" spans="2:7" x14ac:dyDescent="0.2">
      <c r="B8852" s="32">
        <v>46067</v>
      </c>
      <c r="C8852" t="s">
        <v>142</v>
      </c>
      <c r="D8852" s="13" t="s">
        <v>634</v>
      </c>
      <c r="E8852" t="s">
        <v>437</v>
      </c>
      <c r="F8852" s="11">
        <v>1</v>
      </c>
      <c r="G8852" s="11">
        <v>138655.46</v>
      </c>
    </row>
    <row r="8853" spans="2:7" x14ac:dyDescent="0.2">
      <c r="B8853" s="32">
        <v>46067</v>
      </c>
      <c r="C8853" t="s">
        <v>142</v>
      </c>
      <c r="D8853" s="13" t="s">
        <v>634</v>
      </c>
      <c r="E8853" t="s">
        <v>341</v>
      </c>
      <c r="F8853" s="11">
        <v>1</v>
      </c>
      <c r="G8853" s="11">
        <v>92436.97</v>
      </c>
    </row>
    <row r="8854" spans="2:7" x14ac:dyDescent="0.2">
      <c r="B8854" s="32">
        <v>46067</v>
      </c>
      <c r="C8854" t="s">
        <v>142</v>
      </c>
      <c r="D8854" s="13" t="s">
        <v>634</v>
      </c>
      <c r="E8854" t="s">
        <v>386</v>
      </c>
      <c r="F8854" s="11">
        <v>1</v>
      </c>
      <c r="G8854" s="11">
        <v>67226.89</v>
      </c>
    </row>
    <row r="8855" spans="2:7" x14ac:dyDescent="0.2">
      <c r="B8855" s="32">
        <v>46067</v>
      </c>
      <c r="C8855" t="s">
        <v>142</v>
      </c>
      <c r="D8855" s="13" t="s">
        <v>634</v>
      </c>
      <c r="E8855" t="s">
        <v>425</v>
      </c>
      <c r="F8855" s="11">
        <v>1</v>
      </c>
      <c r="G8855" s="11">
        <v>58823.53</v>
      </c>
    </row>
    <row r="8856" spans="2:7" x14ac:dyDescent="0.2">
      <c r="B8856" s="32">
        <v>46067</v>
      </c>
      <c r="C8856" t="s">
        <v>142</v>
      </c>
      <c r="D8856" s="13" t="s">
        <v>634</v>
      </c>
      <c r="E8856" t="s">
        <v>401</v>
      </c>
      <c r="F8856" s="11">
        <v>1</v>
      </c>
      <c r="G8856" s="11">
        <v>58823.53</v>
      </c>
    </row>
    <row r="8857" spans="2:7" x14ac:dyDescent="0.2">
      <c r="B8857" s="32">
        <v>46067</v>
      </c>
      <c r="C8857" t="s">
        <v>142</v>
      </c>
      <c r="D8857" s="13" t="s">
        <v>634</v>
      </c>
      <c r="F8857" s="11">
        <v>0</v>
      </c>
      <c r="G8857" s="11">
        <v>0</v>
      </c>
    </row>
    <row r="8858" spans="2:7" x14ac:dyDescent="0.2">
      <c r="B8858" s="32">
        <v>46067</v>
      </c>
      <c r="C8858" t="s">
        <v>142</v>
      </c>
      <c r="D8858" s="13" t="s">
        <v>633</v>
      </c>
      <c r="E8858" t="s">
        <v>358</v>
      </c>
      <c r="F8858" s="11">
        <v>1</v>
      </c>
      <c r="G8858" s="11">
        <v>92436.97</v>
      </c>
    </row>
    <row r="8859" spans="2:7" x14ac:dyDescent="0.2">
      <c r="B8859" s="32">
        <v>46067</v>
      </c>
      <c r="C8859" t="s">
        <v>142</v>
      </c>
      <c r="D8859" s="13" t="s">
        <v>633</v>
      </c>
      <c r="E8859" t="s">
        <v>169</v>
      </c>
      <c r="F8859" s="11">
        <v>1</v>
      </c>
      <c r="G8859" s="11">
        <v>85775.78</v>
      </c>
    </row>
    <row r="8860" spans="2:7" x14ac:dyDescent="0.2">
      <c r="B8860" s="32">
        <v>46067</v>
      </c>
      <c r="C8860" t="s">
        <v>142</v>
      </c>
      <c r="D8860" s="13" t="s">
        <v>633</v>
      </c>
      <c r="E8860" t="s">
        <v>259</v>
      </c>
      <c r="F8860" s="11">
        <v>1</v>
      </c>
      <c r="G8860" s="11">
        <v>44476.32</v>
      </c>
    </row>
    <row r="8861" spans="2:7" x14ac:dyDescent="0.2">
      <c r="B8861" s="32">
        <v>46067</v>
      </c>
      <c r="C8861" t="s">
        <v>142</v>
      </c>
      <c r="D8861" s="13" t="s">
        <v>633</v>
      </c>
      <c r="F8861" s="11">
        <v>0</v>
      </c>
      <c r="G8861" s="11">
        <v>0</v>
      </c>
    </row>
    <row r="8862" spans="2:7" x14ac:dyDescent="0.2">
      <c r="B8862" s="32">
        <v>46067</v>
      </c>
      <c r="C8862" t="s">
        <v>110</v>
      </c>
      <c r="D8862" s="13" t="s">
        <v>633</v>
      </c>
      <c r="E8862" t="s">
        <v>258</v>
      </c>
      <c r="F8862" s="11">
        <v>3</v>
      </c>
      <c r="G8862" s="11">
        <v>168262.66</v>
      </c>
    </row>
    <row r="8863" spans="2:7" x14ac:dyDescent="0.2">
      <c r="B8863" s="32">
        <v>46067</v>
      </c>
      <c r="C8863" t="s">
        <v>110</v>
      </c>
      <c r="D8863" s="13" t="s">
        <v>633</v>
      </c>
      <c r="E8863" t="s">
        <v>192</v>
      </c>
      <c r="F8863" s="11">
        <v>2</v>
      </c>
      <c r="G8863" s="11">
        <v>144717.6</v>
      </c>
    </row>
    <row r="8864" spans="2:7" x14ac:dyDescent="0.2">
      <c r="B8864" s="32">
        <v>46067</v>
      </c>
      <c r="C8864" t="s">
        <v>110</v>
      </c>
      <c r="D8864" s="13" t="s">
        <v>633</v>
      </c>
      <c r="E8864" t="s">
        <v>246</v>
      </c>
      <c r="F8864" s="11">
        <v>3</v>
      </c>
      <c r="G8864" s="11">
        <v>120734.81</v>
      </c>
    </row>
    <row r="8865" spans="2:7" x14ac:dyDescent="0.2">
      <c r="B8865" s="32">
        <v>46067</v>
      </c>
      <c r="C8865" t="s">
        <v>110</v>
      </c>
      <c r="D8865" s="13" t="s">
        <v>633</v>
      </c>
      <c r="E8865" t="s">
        <v>161</v>
      </c>
      <c r="F8865" s="11">
        <v>2</v>
      </c>
      <c r="G8865" s="11">
        <v>80672.27</v>
      </c>
    </row>
    <row r="8866" spans="2:7" x14ac:dyDescent="0.2">
      <c r="B8866" s="32">
        <v>46067</v>
      </c>
      <c r="C8866" t="s">
        <v>110</v>
      </c>
      <c r="D8866" s="13" t="s">
        <v>633</v>
      </c>
      <c r="E8866" t="s">
        <v>174</v>
      </c>
      <c r="F8866" s="11">
        <v>1</v>
      </c>
      <c r="G8866" s="11">
        <v>80672.27</v>
      </c>
    </row>
    <row r="8867" spans="2:7" x14ac:dyDescent="0.2">
      <c r="B8867" s="32">
        <v>46067</v>
      </c>
      <c r="C8867" t="s">
        <v>110</v>
      </c>
      <c r="D8867" s="13" t="s">
        <v>633</v>
      </c>
      <c r="E8867" t="s">
        <v>350</v>
      </c>
      <c r="F8867" s="11">
        <v>1</v>
      </c>
      <c r="G8867" s="11">
        <v>48403.360000000001</v>
      </c>
    </row>
    <row r="8868" spans="2:7" x14ac:dyDescent="0.2">
      <c r="B8868" s="32">
        <v>46067</v>
      </c>
      <c r="C8868" t="s">
        <v>110</v>
      </c>
      <c r="D8868" s="13" t="s">
        <v>633</v>
      </c>
      <c r="E8868" t="s">
        <v>198</v>
      </c>
      <c r="F8868" s="11">
        <v>1</v>
      </c>
      <c r="G8868" s="11">
        <v>48075.040000000001</v>
      </c>
    </row>
    <row r="8869" spans="2:7" x14ac:dyDescent="0.2">
      <c r="B8869" s="32">
        <v>46067</v>
      </c>
      <c r="C8869" t="s">
        <v>110</v>
      </c>
      <c r="D8869" s="13" t="s">
        <v>633</v>
      </c>
      <c r="E8869" t="s">
        <v>166</v>
      </c>
      <c r="F8869" s="11">
        <v>1</v>
      </c>
      <c r="G8869" s="11">
        <v>40336.129999999997</v>
      </c>
    </row>
    <row r="8870" spans="2:7" x14ac:dyDescent="0.2">
      <c r="B8870" s="32">
        <v>46067</v>
      </c>
      <c r="C8870" t="s">
        <v>110</v>
      </c>
      <c r="D8870" s="13" t="s">
        <v>633</v>
      </c>
      <c r="E8870" t="s">
        <v>595</v>
      </c>
      <c r="F8870" s="11">
        <v>1</v>
      </c>
      <c r="G8870" s="11">
        <v>16025.02</v>
      </c>
    </row>
    <row r="8871" spans="2:7" x14ac:dyDescent="0.2">
      <c r="B8871" s="32">
        <v>46067</v>
      </c>
      <c r="C8871" t="s">
        <v>109</v>
      </c>
      <c r="D8871" s="13"/>
      <c r="E8871" t="s">
        <v>254</v>
      </c>
      <c r="F8871" s="11">
        <v>1</v>
      </c>
      <c r="G8871" s="11">
        <v>54621.85</v>
      </c>
    </row>
    <row r="8872" spans="2:7" x14ac:dyDescent="0.2">
      <c r="B8872" s="32">
        <v>46067</v>
      </c>
      <c r="C8872" t="s">
        <v>109</v>
      </c>
      <c r="D8872" s="13" t="s">
        <v>634</v>
      </c>
      <c r="E8872" t="s">
        <v>329</v>
      </c>
      <c r="F8872" s="11">
        <v>1</v>
      </c>
      <c r="G8872" s="11">
        <v>210084.03</v>
      </c>
    </row>
    <row r="8873" spans="2:7" x14ac:dyDescent="0.2">
      <c r="B8873" s="32">
        <v>46067</v>
      </c>
      <c r="C8873" t="s">
        <v>109</v>
      </c>
      <c r="D8873" s="13" t="s">
        <v>634</v>
      </c>
      <c r="E8873" t="s">
        <v>373</v>
      </c>
      <c r="F8873" s="11">
        <v>1</v>
      </c>
      <c r="G8873" s="11">
        <v>184873.95</v>
      </c>
    </row>
    <row r="8874" spans="2:7" x14ac:dyDescent="0.2">
      <c r="B8874" s="32">
        <v>46067</v>
      </c>
      <c r="C8874" t="s">
        <v>109</v>
      </c>
      <c r="D8874" s="13" t="s">
        <v>634</v>
      </c>
      <c r="E8874" t="s">
        <v>339</v>
      </c>
      <c r="F8874" s="11">
        <v>2</v>
      </c>
      <c r="G8874" s="11">
        <v>151260.51</v>
      </c>
    </row>
    <row r="8875" spans="2:7" x14ac:dyDescent="0.2">
      <c r="B8875" s="32">
        <v>46067</v>
      </c>
      <c r="C8875" t="s">
        <v>109</v>
      </c>
      <c r="D8875" s="13" t="s">
        <v>634</v>
      </c>
      <c r="E8875" t="s">
        <v>245</v>
      </c>
      <c r="F8875" s="11">
        <v>1</v>
      </c>
      <c r="G8875" s="11">
        <v>126050.42</v>
      </c>
    </row>
    <row r="8876" spans="2:7" x14ac:dyDescent="0.2">
      <c r="B8876" s="32">
        <v>46067</v>
      </c>
      <c r="C8876" t="s">
        <v>109</v>
      </c>
      <c r="D8876" s="13" t="s">
        <v>634</v>
      </c>
      <c r="E8876" t="s">
        <v>144</v>
      </c>
      <c r="F8876" s="11">
        <v>5</v>
      </c>
      <c r="G8876" s="11">
        <v>124789.92</v>
      </c>
    </row>
    <row r="8877" spans="2:7" x14ac:dyDescent="0.2">
      <c r="B8877" s="32">
        <v>46067</v>
      </c>
      <c r="C8877" t="s">
        <v>109</v>
      </c>
      <c r="D8877" s="13" t="s">
        <v>634</v>
      </c>
      <c r="E8877" t="s">
        <v>184</v>
      </c>
      <c r="F8877" s="11">
        <v>1</v>
      </c>
      <c r="G8877" s="11">
        <v>100840.34</v>
      </c>
    </row>
    <row r="8878" spans="2:7" x14ac:dyDescent="0.2">
      <c r="B8878" s="32">
        <v>46067</v>
      </c>
      <c r="C8878" t="s">
        <v>109</v>
      </c>
      <c r="D8878" s="13" t="s">
        <v>634</v>
      </c>
      <c r="E8878" t="s">
        <v>398</v>
      </c>
      <c r="F8878" s="11">
        <v>1</v>
      </c>
      <c r="G8878" s="11">
        <v>92436.98</v>
      </c>
    </row>
    <row r="8879" spans="2:7" x14ac:dyDescent="0.2">
      <c r="B8879" s="32">
        <v>46067</v>
      </c>
      <c r="C8879" t="s">
        <v>109</v>
      </c>
      <c r="D8879" s="13" t="s">
        <v>634</v>
      </c>
      <c r="E8879" t="s">
        <v>332</v>
      </c>
      <c r="F8879" s="11">
        <v>1</v>
      </c>
      <c r="G8879" s="11">
        <v>92436.97</v>
      </c>
    </row>
    <row r="8880" spans="2:7" x14ac:dyDescent="0.2">
      <c r="B8880" s="32">
        <v>46067</v>
      </c>
      <c r="C8880" t="s">
        <v>109</v>
      </c>
      <c r="D8880" s="13" t="s">
        <v>634</v>
      </c>
      <c r="E8880" t="s">
        <v>152</v>
      </c>
      <c r="F8880" s="11">
        <v>1</v>
      </c>
      <c r="G8880" s="11">
        <v>84033.62</v>
      </c>
    </row>
    <row r="8881" spans="2:7" x14ac:dyDescent="0.2">
      <c r="B8881" s="32">
        <v>46067</v>
      </c>
      <c r="C8881" t="s">
        <v>109</v>
      </c>
      <c r="D8881" s="13" t="s">
        <v>634</v>
      </c>
      <c r="E8881" t="s">
        <v>395</v>
      </c>
      <c r="F8881" s="11">
        <v>1</v>
      </c>
      <c r="G8881" s="11">
        <v>84033.62</v>
      </c>
    </row>
    <row r="8882" spans="2:7" x14ac:dyDescent="0.2">
      <c r="B8882" s="32">
        <v>46067</v>
      </c>
      <c r="C8882" t="s">
        <v>109</v>
      </c>
      <c r="D8882" s="13" t="s">
        <v>634</v>
      </c>
      <c r="E8882" t="s">
        <v>149</v>
      </c>
      <c r="F8882" s="11">
        <v>1</v>
      </c>
      <c r="G8882" s="11">
        <v>75630.25</v>
      </c>
    </row>
    <row r="8883" spans="2:7" x14ac:dyDescent="0.2">
      <c r="B8883" s="32">
        <v>46067</v>
      </c>
      <c r="C8883" t="s">
        <v>109</v>
      </c>
      <c r="D8883" s="13" t="s">
        <v>634</v>
      </c>
      <c r="E8883" t="s">
        <v>334</v>
      </c>
      <c r="F8883" s="11">
        <v>1</v>
      </c>
      <c r="G8883" s="11">
        <v>75630.25</v>
      </c>
    </row>
    <row r="8884" spans="2:7" x14ac:dyDescent="0.2">
      <c r="B8884" s="32">
        <v>46067</v>
      </c>
      <c r="C8884" t="s">
        <v>109</v>
      </c>
      <c r="D8884" s="13" t="s">
        <v>634</v>
      </c>
      <c r="E8884" t="s">
        <v>325</v>
      </c>
      <c r="F8884" s="11">
        <v>1</v>
      </c>
      <c r="G8884" s="11">
        <v>63025.21</v>
      </c>
    </row>
    <row r="8885" spans="2:7" x14ac:dyDescent="0.2">
      <c r="B8885" s="32">
        <v>46067</v>
      </c>
      <c r="C8885" t="s">
        <v>109</v>
      </c>
      <c r="D8885" s="13" t="s">
        <v>634</v>
      </c>
      <c r="E8885" t="s">
        <v>447</v>
      </c>
      <c r="F8885" s="11">
        <v>1</v>
      </c>
      <c r="G8885" s="11">
        <v>63025.21</v>
      </c>
    </row>
    <row r="8886" spans="2:7" x14ac:dyDescent="0.2">
      <c r="B8886" s="32">
        <v>46067</v>
      </c>
      <c r="C8886" t="s">
        <v>109</v>
      </c>
      <c r="D8886" s="13" t="s">
        <v>634</v>
      </c>
      <c r="E8886" t="s">
        <v>427</v>
      </c>
      <c r="F8886" s="11">
        <v>1</v>
      </c>
      <c r="G8886" s="11">
        <v>58823.53</v>
      </c>
    </row>
    <row r="8887" spans="2:7" x14ac:dyDescent="0.2">
      <c r="B8887" s="32">
        <v>46067</v>
      </c>
      <c r="C8887" t="s">
        <v>109</v>
      </c>
      <c r="D8887" s="13" t="s">
        <v>634</v>
      </c>
      <c r="E8887" t="s">
        <v>366</v>
      </c>
      <c r="F8887" s="11">
        <v>1</v>
      </c>
      <c r="G8887" s="11">
        <v>58823.53</v>
      </c>
    </row>
    <row r="8888" spans="2:7" x14ac:dyDescent="0.2">
      <c r="B8888" s="32">
        <v>46067</v>
      </c>
      <c r="C8888" t="s">
        <v>109</v>
      </c>
      <c r="D8888" s="13" t="s">
        <v>634</v>
      </c>
      <c r="E8888" t="s">
        <v>362</v>
      </c>
      <c r="F8888" s="11">
        <v>1</v>
      </c>
      <c r="G8888" s="11">
        <v>58823.53</v>
      </c>
    </row>
    <row r="8889" spans="2:7" x14ac:dyDescent="0.2">
      <c r="B8889" s="32">
        <v>46067</v>
      </c>
      <c r="C8889" t="s">
        <v>109</v>
      </c>
      <c r="D8889" s="13" t="s">
        <v>634</v>
      </c>
      <c r="E8889" t="s">
        <v>406</v>
      </c>
      <c r="F8889" s="11">
        <v>1</v>
      </c>
      <c r="G8889" s="11">
        <v>58823.519999999997</v>
      </c>
    </row>
    <row r="8890" spans="2:7" x14ac:dyDescent="0.2">
      <c r="B8890" s="32">
        <v>46067</v>
      </c>
      <c r="C8890" t="s">
        <v>109</v>
      </c>
      <c r="D8890" s="13" t="s">
        <v>634</v>
      </c>
      <c r="E8890" t="s">
        <v>145</v>
      </c>
      <c r="F8890" s="11">
        <v>2</v>
      </c>
      <c r="G8890" s="11">
        <v>58823.519999999997</v>
      </c>
    </row>
    <row r="8891" spans="2:7" x14ac:dyDescent="0.2">
      <c r="B8891" s="32">
        <v>46067</v>
      </c>
      <c r="C8891" t="s">
        <v>109</v>
      </c>
      <c r="D8891" s="13" t="s">
        <v>634</v>
      </c>
      <c r="E8891" t="s">
        <v>338</v>
      </c>
      <c r="F8891" s="11">
        <v>1</v>
      </c>
      <c r="G8891" s="11">
        <v>50420.17</v>
      </c>
    </row>
    <row r="8892" spans="2:7" x14ac:dyDescent="0.2">
      <c r="B8892" s="32">
        <v>46067</v>
      </c>
      <c r="C8892" t="s">
        <v>109</v>
      </c>
      <c r="D8892" s="13" t="s">
        <v>634</v>
      </c>
      <c r="E8892" t="s">
        <v>384</v>
      </c>
      <c r="F8892" s="11">
        <v>1</v>
      </c>
      <c r="G8892" s="11">
        <v>50420.17</v>
      </c>
    </row>
    <row r="8893" spans="2:7" x14ac:dyDescent="0.2">
      <c r="B8893" s="32">
        <v>46067</v>
      </c>
      <c r="C8893" t="s">
        <v>109</v>
      </c>
      <c r="D8893" s="13" t="s">
        <v>634</v>
      </c>
      <c r="E8893" t="s">
        <v>291</v>
      </c>
      <c r="F8893" s="11">
        <v>1</v>
      </c>
      <c r="G8893" s="11">
        <v>50420.17</v>
      </c>
    </row>
    <row r="8894" spans="2:7" x14ac:dyDescent="0.2">
      <c r="B8894" s="32">
        <v>46067</v>
      </c>
      <c r="C8894" t="s">
        <v>109</v>
      </c>
      <c r="D8894" s="13" t="s">
        <v>634</v>
      </c>
      <c r="E8894" t="s">
        <v>296</v>
      </c>
      <c r="F8894" s="11">
        <v>1</v>
      </c>
      <c r="G8894" s="11">
        <v>50420.17</v>
      </c>
    </row>
    <row r="8895" spans="2:7" x14ac:dyDescent="0.2">
      <c r="B8895" s="32">
        <v>46067</v>
      </c>
      <c r="C8895" t="s">
        <v>109</v>
      </c>
      <c r="D8895" s="13" t="s">
        <v>634</v>
      </c>
      <c r="E8895" t="s">
        <v>416</v>
      </c>
      <c r="F8895" s="11">
        <v>1</v>
      </c>
      <c r="G8895" s="11">
        <v>50420.17</v>
      </c>
    </row>
    <row r="8896" spans="2:7" x14ac:dyDescent="0.2">
      <c r="B8896" s="32">
        <v>46067</v>
      </c>
      <c r="C8896" t="s">
        <v>109</v>
      </c>
      <c r="D8896" s="13" t="s">
        <v>634</v>
      </c>
      <c r="E8896" t="s">
        <v>391</v>
      </c>
      <c r="F8896" s="11">
        <v>1</v>
      </c>
      <c r="G8896" s="11">
        <v>50420.160000000003</v>
      </c>
    </row>
    <row r="8897" spans="2:7" x14ac:dyDescent="0.2">
      <c r="B8897" s="32">
        <v>46067</v>
      </c>
      <c r="C8897" t="s">
        <v>109</v>
      </c>
      <c r="D8897" s="13" t="s">
        <v>634</v>
      </c>
      <c r="E8897" t="s">
        <v>168</v>
      </c>
      <c r="F8897" s="11">
        <v>1</v>
      </c>
      <c r="G8897" s="11">
        <v>46218.49</v>
      </c>
    </row>
    <row r="8898" spans="2:7" x14ac:dyDescent="0.2">
      <c r="B8898" s="32">
        <v>46067</v>
      </c>
      <c r="C8898" t="s">
        <v>109</v>
      </c>
      <c r="D8898" s="13" t="s">
        <v>634</v>
      </c>
      <c r="E8898" t="s">
        <v>166</v>
      </c>
      <c r="F8898" s="11">
        <v>1</v>
      </c>
      <c r="G8898" s="11">
        <v>42016.81</v>
      </c>
    </row>
    <row r="8899" spans="2:7" x14ac:dyDescent="0.2">
      <c r="B8899" s="32">
        <v>46067</v>
      </c>
      <c r="C8899" t="s">
        <v>109</v>
      </c>
      <c r="D8899" s="13" t="s">
        <v>634</v>
      </c>
      <c r="E8899" t="s">
        <v>234</v>
      </c>
      <c r="F8899" s="11">
        <v>1</v>
      </c>
      <c r="G8899" s="11">
        <v>37815.129999999997</v>
      </c>
    </row>
    <row r="8900" spans="2:7" x14ac:dyDescent="0.2">
      <c r="B8900" s="32">
        <v>46067</v>
      </c>
      <c r="C8900" t="s">
        <v>109</v>
      </c>
      <c r="D8900" s="13" t="s">
        <v>634</v>
      </c>
      <c r="E8900" t="s">
        <v>293</v>
      </c>
      <c r="F8900" s="11">
        <v>1</v>
      </c>
      <c r="G8900" s="11">
        <v>37815.129999999997</v>
      </c>
    </row>
    <row r="8901" spans="2:7" x14ac:dyDescent="0.2">
      <c r="B8901" s="32">
        <v>46067</v>
      </c>
      <c r="C8901" t="s">
        <v>109</v>
      </c>
      <c r="D8901" s="13" t="s">
        <v>633</v>
      </c>
      <c r="F8901" s="11">
        <v>1</v>
      </c>
      <c r="G8901" s="11">
        <v>126050.42</v>
      </c>
    </row>
    <row r="8902" spans="2:7" x14ac:dyDescent="0.2">
      <c r="B8902" s="32">
        <v>46067</v>
      </c>
      <c r="C8902" t="s">
        <v>109</v>
      </c>
      <c r="D8902" s="13" t="s">
        <v>633</v>
      </c>
      <c r="E8902" t="s">
        <v>506</v>
      </c>
      <c r="F8902" s="11">
        <v>1</v>
      </c>
      <c r="G8902" s="11">
        <v>109243.7</v>
      </c>
    </row>
    <row r="8903" spans="2:7" x14ac:dyDescent="0.2">
      <c r="B8903" s="32">
        <v>46067</v>
      </c>
      <c r="C8903" t="s">
        <v>109</v>
      </c>
      <c r="D8903" s="13" t="s">
        <v>633</v>
      </c>
      <c r="E8903" t="s">
        <v>238</v>
      </c>
      <c r="F8903" s="11">
        <v>2</v>
      </c>
      <c r="G8903" s="11">
        <v>92436.98</v>
      </c>
    </row>
    <row r="8904" spans="2:7" x14ac:dyDescent="0.2">
      <c r="B8904" s="32">
        <v>46067</v>
      </c>
      <c r="C8904" t="s">
        <v>109</v>
      </c>
      <c r="D8904" s="13" t="s">
        <v>633</v>
      </c>
      <c r="E8904" t="s">
        <v>160</v>
      </c>
      <c r="F8904" s="11">
        <v>2</v>
      </c>
      <c r="G8904" s="11">
        <v>92436.98</v>
      </c>
    </row>
    <row r="8905" spans="2:7" x14ac:dyDescent="0.2">
      <c r="B8905" s="32">
        <v>46067</v>
      </c>
      <c r="C8905" t="s">
        <v>109</v>
      </c>
      <c r="D8905" s="13" t="s">
        <v>633</v>
      </c>
      <c r="E8905" t="s">
        <v>720</v>
      </c>
      <c r="F8905" s="11">
        <v>1</v>
      </c>
      <c r="G8905" s="11">
        <v>92436.97</v>
      </c>
    </row>
    <row r="8906" spans="2:7" x14ac:dyDescent="0.2">
      <c r="B8906" s="32">
        <v>46067</v>
      </c>
      <c r="C8906" t="s">
        <v>109</v>
      </c>
      <c r="D8906" s="13" t="s">
        <v>633</v>
      </c>
      <c r="E8906" t="s">
        <v>145</v>
      </c>
      <c r="F8906" s="11">
        <v>3</v>
      </c>
      <c r="G8906" s="11">
        <v>88235.29</v>
      </c>
    </row>
    <row r="8907" spans="2:7" x14ac:dyDescent="0.2">
      <c r="B8907" s="32">
        <v>46067</v>
      </c>
      <c r="C8907" t="s">
        <v>109</v>
      </c>
      <c r="D8907" s="13" t="s">
        <v>633</v>
      </c>
      <c r="E8907" t="s">
        <v>558</v>
      </c>
      <c r="F8907" s="11">
        <v>1</v>
      </c>
      <c r="G8907" s="11">
        <v>84033.61</v>
      </c>
    </row>
    <row r="8908" spans="2:7" x14ac:dyDescent="0.2">
      <c r="B8908" s="32">
        <v>46067</v>
      </c>
      <c r="C8908" t="s">
        <v>109</v>
      </c>
      <c r="D8908" s="13" t="s">
        <v>633</v>
      </c>
      <c r="E8908" t="s">
        <v>271</v>
      </c>
      <c r="F8908" s="11">
        <v>1</v>
      </c>
      <c r="G8908" s="11">
        <v>83193.279999999999</v>
      </c>
    </row>
    <row r="8909" spans="2:7" x14ac:dyDescent="0.2">
      <c r="B8909" s="32">
        <v>46067</v>
      </c>
      <c r="C8909" t="s">
        <v>109</v>
      </c>
      <c r="D8909" s="13" t="s">
        <v>633</v>
      </c>
      <c r="E8909" t="s">
        <v>376</v>
      </c>
      <c r="F8909" s="11">
        <v>1</v>
      </c>
      <c r="G8909" s="11">
        <v>83193.27</v>
      </c>
    </row>
    <row r="8910" spans="2:7" x14ac:dyDescent="0.2">
      <c r="B8910" s="32">
        <v>46067</v>
      </c>
      <c r="C8910" t="s">
        <v>109</v>
      </c>
      <c r="D8910" s="13" t="s">
        <v>633</v>
      </c>
      <c r="E8910" t="s">
        <v>149</v>
      </c>
      <c r="F8910" s="11">
        <v>1</v>
      </c>
      <c r="G8910" s="11">
        <v>75630.25</v>
      </c>
    </row>
    <row r="8911" spans="2:7" x14ac:dyDescent="0.2">
      <c r="B8911" s="32">
        <v>46067</v>
      </c>
      <c r="C8911" t="s">
        <v>109</v>
      </c>
      <c r="D8911" s="13" t="s">
        <v>633</v>
      </c>
      <c r="E8911" t="s">
        <v>205</v>
      </c>
      <c r="F8911" s="11">
        <v>1</v>
      </c>
      <c r="G8911" s="11">
        <v>63025.21</v>
      </c>
    </row>
    <row r="8912" spans="2:7" x14ac:dyDescent="0.2">
      <c r="B8912" s="32">
        <v>46067</v>
      </c>
      <c r="C8912" t="s">
        <v>109</v>
      </c>
      <c r="D8912" s="13" t="s">
        <v>633</v>
      </c>
      <c r="E8912" t="s">
        <v>455</v>
      </c>
      <c r="F8912" s="11">
        <v>1</v>
      </c>
      <c r="G8912" s="11">
        <v>54621.85</v>
      </c>
    </row>
    <row r="8913" spans="2:7" x14ac:dyDescent="0.2">
      <c r="B8913" s="32">
        <v>46067</v>
      </c>
      <c r="C8913" t="s">
        <v>109</v>
      </c>
      <c r="D8913" s="13" t="s">
        <v>633</v>
      </c>
      <c r="E8913" t="s">
        <v>337</v>
      </c>
      <c r="F8913" s="11">
        <v>1</v>
      </c>
      <c r="G8913" s="11">
        <v>50420.17</v>
      </c>
    </row>
    <row r="8914" spans="2:7" x14ac:dyDescent="0.2">
      <c r="B8914" s="32">
        <v>46067</v>
      </c>
      <c r="C8914" t="s">
        <v>109</v>
      </c>
      <c r="D8914" s="13" t="s">
        <v>633</v>
      </c>
      <c r="E8914" t="s">
        <v>215</v>
      </c>
      <c r="F8914" s="11">
        <v>1</v>
      </c>
      <c r="G8914" s="11">
        <v>50420.17</v>
      </c>
    </row>
    <row r="8915" spans="2:7" x14ac:dyDescent="0.2">
      <c r="B8915" s="32">
        <v>46067</v>
      </c>
      <c r="C8915" t="s">
        <v>109</v>
      </c>
      <c r="D8915" s="13" t="s">
        <v>633</v>
      </c>
      <c r="E8915" t="s">
        <v>172</v>
      </c>
      <c r="F8915" s="11">
        <v>1</v>
      </c>
      <c r="G8915" s="11">
        <v>46218.49</v>
      </c>
    </row>
    <row r="8916" spans="2:7" x14ac:dyDescent="0.2">
      <c r="B8916" s="32">
        <v>46067</v>
      </c>
      <c r="C8916" t="s">
        <v>109</v>
      </c>
      <c r="D8916" s="13" t="s">
        <v>633</v>
      </c>
      <c r="E8916" t="s">
        <v>158</v>
      </c>
      <c r="F8916" s="11">
        <v>1</v>
      </c>
      <c r="G8916" s="11">
        <v>46218.49</v>
      </c>
    </row>
    <row r="8917" spans="2:7" x14ac:dyDescent="0.2">
      <c r="B8917" s="32">
        <v>46067</v>
      </c>
      <c r="C8917" t="s">
        <v>109</v>
      </c>
      <c r="D8917" s="13" t="s">
        <v>633</v>
      </c>
      <c r="E8917" t="s">
        <v>704</v>
      </c>
      <c r="F8917" s="11">
        <v>1</v>
      </c>
      <c r="G8917" s="11">
        <v>46218.49</v>
      </c>
    </row>
    <row r="8918" spans="2:7" x14ac:dyDescent="0.2">
      <c r="B8918" s="32">
        <v>46067</v>
      </c>
      <c r="C8918" t="s">
        <v>109</v>
      </c>
      <c r="D8918" s="13" t="s">
        <v>633</v>
      </c>
      <c r="E8918" t="s">
        <v>248</v>
      </c>
      <c r="F8918" s="11">
        <v>1</v>
      </c>
      <c r="G8918" s="11">
        <v>37815.129999999997</v>
      </c>
    </row>
    <row r="8919" spans="2:7" x14ac:dyDescent="0.2">
      <c r="B8919" s="32">
        <v>46067</v>
      </c>
      <c r="C8919" t="s">
        <v>109</v>
      </c>
      <c r="D8919" s="13" t="s">
        <v>633</v>
      </c>
      <c r="E8919" t="s">
        <v>144</v>
      </c>
      <c r="F8919" s="11">
        <v>1</v>
      </c>
      <c r="G8919" s="11">
        <v>25210.080000000002</v>
      </c>
    </row>
    <row r="8920" spans="2:7" x14ac:dyDescent="0.2">
      <c r="B8920" s="32">
        <v>46067</v>
      </c>
      <c r="C8920" t="s">
        <v>109</v>
      </c>
      <c r="D8920" s="13" t="s">
        <v>633</v>
      </c>
      <c r="E8920" t="s">
        <v>367</v>
      </c>
      <c r="F8920" s="11">
        <v>1</v>
      </c>
      <c r="G8920" s="11">
        <v>16806.72</v>
      </c>
    </row>
    <row r="8921" spans="2:7" x14ac:dyDescent="0.2">
      <c r="B8921" s="32">
        <v>46068</v>
      </c>
      <c r="C8921" t="s">
        <v>142</v>
      </c>
      <c r="D8921" s="13" t="s">
        <v>634</v>
      </c>
      <c r="E8921" t="s">
        <v>315</v>
      </c>
      <c r="F8921" s="11">
        <v>1</v>
      </c>
      <c r="G8921" s="11">
        <v>63025.21</v>
      </c>
    </row>
    <row r="8922" spans="2:7" x14ac:dyDescent="0.2">
      <c r="B8922" s="32">
        <v>46068</v>
      </c>
      <c r="C8922" t="s">
        <v>142</v>
      </c>
      <c r="D8922" s="13" t="s">
        <v>634</v>
      </c>
      <c r="F8922" s="11">
        <v>0</v>
      </c>
      <c r="G8922" s="11">
        <v>0</v>
      </c>
    </row>
    <row r="8923" spans="2:7" x14ac:dyDescent="0.2">
      <c r="B8923" s="32">
        <v>46068</v>
      </c>
      <c r="C8923" t="s">
        <v>142</v>
      </c>
      <c r="D8923" s="13" t="s">
        <v>633</v>
      </c>
      <c r="E8923" t="s">
        <v>308</v>
      </c>
      <c r="F8923" s="11">
        <v>1</v>
      </c>
      <c r="G8923" s="11">
        <v>113445.38</v>
      </c>
    </row>
    <row r="8924" spans="2:7" x14ac:dyDescent="0.2">
      <c r="B8924" s="32">
        <v>46068</v>
      </c>
      <c r="C8924" t="s">
        <v>142</v>
      </c>
      <c r="D8924" s="13" t="s">
        <v>633</v>
      </c>
      <c r="E8924" t="s">
        <v>666</v>
      </c>
      <c r="F8924" s="11">
        <v>1</v>
      </c>
      <c r="G8924" s="11">
        <v>84033.61</v>
      </c>
    </row>
    <row r="8925" spans="2:7" x14ac:dyDescent="0.2">
      <c r="B8925" s="32">
        <v>46068</v>
      </c>
      <c r="C8925" t="s">
        <v>142</v>
      </c>
      <c r="D8925" s="13" t="s">
        <v>633</v>
      </c>
      <c r="F8925" s="11">
        <v>0</v>
      </c>
      <c r="G8925" s="11">
        <v>0</v>
      </c>
    </row>
    <row r="8926" spans="2:7" x14ac:dyDescent="0.2">
      <c r="B8926" s="32">
        <v>46069</v>
      </c>
      <c r="C8926" t="s">
        <v>142</v>
      </c>
      <c r="D8926" s="13" t="s">
        <v>634</v>
      </c>
      <c r="E8926" t="s">
        <v>383</v>
      </c>
      <c r="F8926" s="11">
        <v>1</v>
      </c>
      <c r="G8926" s="11">
        <v>239495.8</v>
      </c>
    </row>
    <row r="8927" spans="2:7" x14ac:dyDescent="0.2">
      <c r="B8927" s="32">
        <v>46069</v>
      </c>
      <c r="C8927" t="s">
        <v>142</v>
      </c>
      <c r="D8927" s="13" t="s">
        <v>634</v>
      </c>
      <c r="F8927" s="11">
        <v>0</v>
      </c>
      <c r="G8927" s="11">
        <v>0</v>
      </c>
    </row>
    <row r="8928" spans="2:7" x14ac:dyDescent="0.2">
      <c r="B8928" s="32">
        <v>46069</v>
      </c>
      <c r="C8928" t="s">
        <v>142</v>
      </c>
      <c r="D8928" s="13" t="s">
        <v>633</v>
      </c>
      <c r="E8928" t="s">
        <v>703</v>
      </c>
      <c r="F8928" s="11">
        <v>2</v>
      </c>
      <c r="G8928" s="11">
        <v>411764.71</v>
      </c>
    </row>
    <row r="8929" spans="2:7" x14ac:dyDescent="0.2">
      <c r="B8929" s="32">
        <v>46069</v>
      </c>
      <c r="C8929" t="s">
        <v>142</v>
      </c>
      <c r="D8929" s="13" t="s">
        <v>633</v>
      </c>
      <c r="E8929" t="s">
        <v>205</v>
      </c>
      <c r="F8929" s="11">
        <v>1</v>
      </c>
      <c r="G8929" s="11">
        <v>63025.21</v>
      </c>
    </row>
    <row r="8930" spans="2:7" x14ac:dyDescent="0.2">
      <c r="B8930" s="32">
        <v>46069</v>
      </c>
      <c r="C8930" t="s">
        <v>142</v>
      </c>
      <c r="D8930" s="13" t="s">
        <v>633</v>
      </c>
      <c r="E8930" t="s">
        <v>247</v>
      </c>
      <c r="F8930" s="11">
        <v>1</v>
      </c>
      <c r="G8930" s="11">
        <v>63025.21</v>
      </c>
    </row>
    <row r="8931" spans="2:7" x14ac:dyDescent="0.2">
      <c r="B8931" s="32">
        <v>46069</v>
      </c>
      <c r="C8931" t="s">
        <v>142</v>
      </c>
      <c r="D8931" s="13" t="s">
        <v>633</v>
      </c>
      <c r="E8931" t="s">
        <v>175</v>
      </c>
      <c r="F8931" s="11">
        <v>1</v>
      </c>
      <c r="G8931" s="11">
        <v>63025.21</v>
      </c>
    </row>
    <row r="8932" spans="2:7" x14ac:dyDescent="0.2">
      <c r="B8932" s="32">
        <v>46069</v>
      </c>
      <c r="C8932" t="s">
        <v>142</v>
      </c>
      <c r="D8932" s="13" t="s">
        <v>633</v>
      </c>
      <c r="E8932" t="s">
        <v>451</v>
      </c>
      <c r="F8932" s="11">
        <v>1</v>
      </c>
      <c r="G8932" s="11">
        <v>42016.81</v>
      </c>
    </row>
    <row r="8933" spans="2:7" x14ac:dyDescent="0.2">
      <c r="B8933" s="32">
        <v>46069</v>
      </c>
      <c r="C8933" t="s">
        <v>142</v>
      </c>
      <c r="D8933" s="13" t="s">
        <v>633</v>
      </c>
      <c r="F8933" s="11">
        <v>0</v>
      </c>
      <c r="G8933" s="11">
        <v>0</v>
      </c>
    </row>
    <row r="8934" spans="2:7" x14ac:dyDescent="0.2">
      <c r="B8934" s="32">
        <v>46069</v>
      </c>
      <c r="C8934" t="s">
        <v>109</v>
      </c>
      <c r="D8934" s="13" t="s">
        <v>634</v>
      </c>
      <c r="E8934" t="s">
        <v>412</v>
      </c>
      <c r="F8934" s="11">
        <v>1</v>
      </c>
      <c r="G8934" s="11">
        <v>142857.14000000001</v>
      </c>
    </row>
    <row r="8935" spans="2:7" x14ac:dyDescent="0.2">
      <c r="B8935" s="32">
        <v>46069</v>
      </c>
      <c r="C8935" t="s">
        <v>109</v>
      </c>
      <c r="D8935" s="13" t="s">
        <v>634</v>
      </c>
      <c r="E8935" t="s">
        <v>169</v>
      </c>
      <c r="F8935" s="11">
        <v>1</v>
      </c>
      <c r="G8935" s="11">
        <v>113445.38</v>
      </c>
    </row>
    <row r="8936" spans="2:7" x14ac:dyDescent="0.2">
      <c r="B8936" s="32">
        <v>46069</v>
      </c>
      <c r="C8936" t="s">
        <v>109</v>
      </c>
      <c r="D8936" s="13" t="s">
        <v>634</v>
      </c>
      <c r="E8936" t="s">
        <v>403</v>
      </c>
      <c r="F8936" s="11">
        <v>1</v>
      </c>
      <c r="G8936" s="11">
        <v>84033.61</v>
      </c>
    </row>
    <row r="8937" spans="2:7" x14ac:dyDescent="0.2">
      <c r="B8937" s="32">
        <v>46069</v>
      </c>
      <c r="C8937" t="s">
        <v>109</v>
      </c>
      <c r="D8937" s="13" t="s">
        <v>634</v>
      </c>
      <c r="E8937" t="s">
        <v>327</v>
      </c>
      <c r="F8937" s="11">
        <v>2</v>
      </c>
      <c r="G8937" s="11">
        <v>70000</v>
      </c>
    </row>
    <row r="8938" spans="2:7" x14ac:dyDescent="0.2">
      <c r="B8938" s="32">
        <v>46069</v>
      </c>
      <c r="C8938" t="s">
        <v>109</v>
      </c>
      <c r="D8938" s="13" t="s">
        <v>634</v>
      </c>
      <c r="E8938" t="s">
        <v>346</v>
      </c>
      <c r="F8938" s="11">
        <v>1</v>
      </c>
      <c r="G8938" s="11">
        <v>63025.21</v>
      </c>
    </row>
    <row r="8939" spans="2:7" x14ac:dyDescent="0.2">
      <c r="B8939" s="32">
        <v>46069</v>
      </c>
      <c r="C8939" t="s">
        <v>109</v>
      </c>
      <c r="D8939" s="13" t="s">
        <v>634</v>
      </c>
      <c r="E8939" t="s">
        <v>146</v>
      </c>
      <c r="F8939" s="11">
        <v>1</v>
      </c>
      <c r="G8939" s="11">
        <v>50420.17</v>
      </c>
    </row>
    <row r="8940" spans="2:7" x14ac:dyDescent="0.2">
      <c r="B8940" s="32">
        <v>46069</v>
      </c>
      <c r="C8940" t="s">
        <v>109</v>
      </c>
      <c r="D8940" s="13" t="s">
        <v>634</v>
      </c>
      <c r="E8940" t="s">
        <v>337</v>
      </c>
      <c r="F8940" s="11">
        <v>1</v>
      </c>
      <c r="G8940" s="11">
        <v>50420.17</v>
      </c>
    </row>
    <row r="8941" spans="2:7" x14ac:dyDescent="0.2">
      <c r="B8941" s="32">
        <v>46069</v>
      </c>
      <c r="C8941" t="s">
        <v>109</v>
      </c>
      <c r="D8941" s="13" t="s">
        <v>634</v>
      </c>
      <c r="E8941" t="s">
        <v>151</v>
      </c>
      <c r="F8941" s="11">
        <v>1</v>
      </c>
      <c r="G8941" s="11">
        <v>50420.160000000003</v>
      </c>
    </row>
    <row r="8942" spans="2:7" x14ac:dyDescent="0.2">
      <c r="B8942" s="32">
        <v>46069</v>
      </c>
      <c r="C8942" t="s">
        <v>109</v>
      </c>
      <c r="D8942" s="13" t="s">
        <v>634</v>
      </c>
      <c r="E8942" t="s">
        <v>195</v>
      </c>
      <c r="F8942" s="11">
        <v>1</v>
      </c>
      <c r="G8942" s="11">
        <v>50420.160000000003</v>
      </c>
    </row>
    <row r="8943" spans="2:7" x14ac:dyDescent="0.2">
      <c r="B8943" s="32">
        <v>46069</v>
      </c>
      <c r="C8943" t="s">
        <v>109</v>
      </c>
      <c r="D8943" s="13" t="s">
        <v>634</v>
      </c>
      <c r="E8943" t="s">
        <v>144</v>
      </c>
      <c r="F8943" s="11">
        <v>3</v>
      </c>
      <c r="G8943" s="11">
        <v>29831.94</v>
      </c>
    </row>
    <row r="8944" spans="2:7" x14ac:dyDescent="0.2">
      <c r="B8944" s="32">
        <v>46069</v>
      </c>
      <c r="C8944" t="s">
        <v>109</v>
      </c>
      <c r="D8944" s="13" t="s">
        <v>634</v>
      </c>
      <c r="F8944" s="11">
        <v>0</v>
      </c>
      <c r="G8944" s="11">
        <v>0</v>
      </c>
    </row>
    <row r="8945" spans="2:7" x14ac:dyDescent="0.2">
      <c r="B8945" s="32">
        <v>46069</v>
      </c>
      <c r="C8945" t="s">
        <v>109</v>
      </c>
      <c r="D8945" s="13" t="s">
        <v>633</v>
      </c>
      <c r="E8945" t="s">
        <v>423</v>
      </c>
      <c r="F8945" s="11">
        <v>1</v>
      </c>
      <c r="G8945" s="11">
        <v>159663.85999999999</v>
      </c>
    </row>
    <row r="8946" spans="2:7" x14ac:dyDescent="0.2">
      <c r="B8946" s="32">
        <v>46069</v>
      </c>
      <c r="C8946" t="s">
        <v>109</v>
      </c>
      <c r="D8946" s="13" t="s">
        <v>633</v>
      </c>
      <c r="E8946" t="s">
        <v>218</v>
      </c>
      <c r="F8946" s="11">
        <v>3</v>
      </c>
      <c r="G8946" s="11">
        <v>126050.43</v>
      </c>
    </row>
    <row r="8947" spans="2:7" x14ac:dyDescent="0.2">
      <c r="B8947" s="32">
        <v>46069</v>
      </c>
      <c r="C8947" t="s">
        <v>109</v>
      </c>
      <c r="D8947" s="13" t="s">
        <v>633</v>
      </c>
      <c r="E8947" t="s">
        <v>295</v>
      </c>
      <c r="F8947" s="11">
        <v>1</v>
      </c>
      <c r="G8947" s="11">
        <v>109243.7</v>
      </c>
    </row>
    <row r="8948" spans="2:7" x14ac:dyDescent="0.2">
      <c r="B8948" s="32">
        <v>46069</v>
      </c>
      <c r="C8948" t="s">
        <v>109</v>
      </c>
      <c r="D8948" s="13" t="s">
        <v>633</v>
      </c>
      <c r="E8948" t="s">
        <v>145</v>
      </c>
      <c r="F8948" s="11">
        <v>3</v>
      </c>
      <c r="G8948" s="11">
        <v>88235.29</v>
      </c>
    </row>
    <row r="8949" spans="2:7" x14ac:dyDescent="0.2">
      <c r="B8949" s="32">
        <v>46069</v>
      </c>
      <c r="C8949" t="s">
        <v>109</v>
      </c>
      <c r="D8949" s="13" t="s">
        <v>633</v>
      </c>
      <c r="E8949" t="s">
        <v>157</v>
      </c>
      <c r="F8949" s="11">
        <v>1</v>
      </c>
      <c r="G8949" s="11">
        <v>84033.62</v>
      </c>
    </row>
    <row r="8950" spans="2:7" x14ac:dyDescent="0.2">
      <c r="B8950" s="32">
        <v>46069</v>
      </c>
      <c r="C8950" t="s">
        <v>109</v>
      </c>
      <c r="D8950" s="13" t="s">
        <v>633</v>
      </c>
      <c r="E8950" t="s">
        <v>558</v>
      </c>
      <c r="F8950" s="11">
        <v>1</v>
      </c>
      <c r="G8950" s="11">
        <v>84033.61</v>
      </c>
    </row>
    <row r="8951" spans="2:7" x14ac:dyDescent="0.2">
      <c r="B8951" s="32">
        <v>46069</v>
      </c>
      <c r="C8951" t="s">
        <v>109</v>
      </c>
      <c r="D8951" s="13" t="s">
        <v>633</v>
      </c>
      <c r="E8951" t="s">
        <v>220</v>
      </c>
      <c r="F8951" s="11">
        <v>1</v>
      </c>
      <c r="G8951" s="11">
        <v>84033.61</v>
      </c>
    </row>
    <row r="8952" spans="2:7" x14ac:dyDescent="0.2">
      <c r="B8952" s="32">
        <v>46069</v>
      </c>
      <c r="C8952" t="s">
        <v>109</v>
      </c>
      <c r="D8952" s="13" t="s">
        <v>633</v>
      </c>
      <c r="E8952" t="s">
        <v>189</v>
      </c>
      <c r="F8952" s="11">
        <v>1</v>
      </c>
      <c r="G8952" s="11">
        <v>75630.25</v>
      </c>
    </row>
    <row r="8953" spans="2:7" x14ac:dyDescent="0.2">
      <c r="B8953" s="32">
        <v>46069</v>
      </c>
      <c r="C8953" t="s">
        <v>109</v>
      </c>
      <c r="D8953" s="13" t="s">
        <v>633</v>
      </c>
      <c r="E8953" t="s">
        <v>149</v>
      </c>
      <c r="F8953" s="11">
        <v>1</v>
      </c>
      <c r="G8953" s="11">
        <v>75630.25</v>
      </c>
    </row>
    <row r="8954" spans="2:7" x14ac:dyDescent="0.2">
      <c r="B8954" s="32">
        <v>46069</v>
      </c>
      <c r="C8954" t="s">
        <v>109</v>
      </c>
      <c r="D8954" s="13" t="s">
        <v>633</v>
      </c>
      <c r="E8954" t="s">
        <v>233</v>
      </c>
      <c r="F8954" s="11">
        <v>1</v>
      </c>
      <c r="G8954" s="11">
        <v>63025.2</v>
      </c>
    </row>
    <row r="8955" spans="2:7" x14ac:dyDescent="0.2">
      <c r="B8955" s="32">
        <v>46069</v>
      </c>
      <c r="C8955" t="s">
        <v>109</v>
      </c>
      <c r="D8955" s="13" t="s">
        <v>633</v>
      </c>
      <c r="E8955" t="s">
        <v>544</v>
      </c>
      <c r="F8955" s="11">
        <v>1</v>
      </c>
      <c r="G8955" s="11">
        <v>54000</v>
      </c>
    </row>
    <row r="8956" spans="2:7" x14ac:dyDescent="0.2">
      <c r="B8956" s="32">
        <v>46069</v>
      </c>
      <c r="C8956" t="s">
        <v>109</v>
      </c>
      <c r="D8956" s="13" t="s">
        <v>633</v>
      </c>
      <c r="E8956" t="s">
        <v>337</v>
      </c>
      <c r="F8956" s="11">
        <v>1</v>
      </c>
      <c r="G8956" s="11">
        <v>50420.17</v>
      </c>
    </row>
    <row r="8957" spans="2:7" x14ac:dyDescent="0.2">
      <c r="B8957" s="32">
        <v>46069</v>
      </c>
      <c r="C8957" t="s">
        <v>109</v>
      </c>
      <c r="D8957" s="13" t="s">
        <v>633</v>
      </c>
      <c r="E8957" t="s">
        <v>156</v>
      </c>
      <c r="F8957" s="11">
        <v>1</v>
      </c>
      <c r="G8957" s="11">
        <v>46218.49</v>
      </c>
    </row>
    <row r="8958" spans="2:7" x14ac:dyDescent="0.2">
      <c r="B8958" s="32">
        <v>46069</v>
      </c>
      <c r="C8958" t="s">
        <v>109</v>
      </c>
      <c r="D8958" s="13" t="s">
        <v>633</v>
      </c>
      <c r="E8958" t="s">
        <v>382</v>
      </c>
      <c r="F8958" s="11">
        <v>1</v>
      </c>
      <c r="G8958" s="11">
        <v>42016.81</v>
      </c>
    </row>
    <row r="8959" spans="2:7" x14ac:dyDescent="0.2">
      <c r="B8959" s="32">
        <v>46069</v>
      </c>
      <c r="C8959" t="s">
        <v>109</v>
      </c>
      <c r="D8959" s="13" t="s">
        <v>633</v>
      </c>
      <c r="E8959" t="s">
        <v>328</v>
      </c>
      <c r="F8959" s="11">
        <v>1</v>
      </c>
      <c r="G8959" s="11">
        <v>37815.129999999997</v>
      </c>
    </row>
    <row r="8960" spans="2:7" x14ac:dyDescent="0.2">
      <c r="B8960" s="32">
        <v>46069</v>
      </c>
      <c r="C8960" t="s">
        <v>109</v>
      </c>
      <c r="D8960" s="13" t="s">
        <v>633</v>
      </c>
      <c r="E8960" t="s">
        <v>327</v>
      </c>
      <c r="F8960" s="11">
        <v>1</v>
      </c>
      <c r="G8960" s="11">
        <v>35000</v>
      </c>
    </row>
    <row r="8961" spans="2:7" x14ac:dyDescent="0.2">
      <c r="B8961" s="32">
        <v>46069</v>
      </c>
      <c r="C8961" t="s">
        <v>109</v>
      </c>
      <c r="D8961" s="13" t="s">
        <v>633</v>
      </c>
      <c r="E8961" t="s">
        <v>144</v>
      </c>
      <c r="F8961" s="11">
        <v>1</v>
      </c>
      <c r="G8961" s="11">
        <v>13445.38</v>
      </c>
    </row>
    <row r="8962" spans="2:7" x14ac:dyDescent="0.2">
      <c r="B8962" s="32">
        <v>46069</v>
      </c>
      <c r="C8962" t="s">
        <v>109</v>
      </c>
      <c r="D8962" s="13" t="s">
        <v>633</v>
      </c>
      <c r="F8962" s="11">
        <v>0</v>
      </c>
      <c r="G8962" s="11">
        <v>0</v>
      </c>
    </row>
    <row r="8963" spans="2:7" x14ac:dyDescent="0.2">
      <c r="B8963" s="32">
        <v>46070</v>
      </c>
      <c r="C8963" t="s">
        <v>108</v>
      </c>
      <c r="D8963" s="13" t="s">
        <v>633</v>
      </c>
      <c r="E8963" t="s">
        <v>415</v>
      </c>
      <c r="F8963" s="11">
        <v>1</v>
      </c>
      <c r="G8963" s="11">
        <v>978151.26</v>
      </c>
    </row>
    <row r="8964" spans="2:7" x14ac:dyDescent="0.2">
      <c r="B8964" s="32">
        <v>46070</v>
      </c>
      <c r="C8964" t="s">
        <v>142</v>
      </c>
      <c r="D8964" s="13" t="s">
        <v>634</v>
      </c>
      <c r="E8964" t="s">
        <v>415</v>
      </c>
      <c r="F8964" s="11">
        <v>1</v>
      </c>
      <c r="G8964" s="11">
        <v>811764.71</v>
      </c>
    </row>
    <row r="8965" spans="2:7" x14ac:dyDescent="0.2">
      <c r="B8965" s="32">
        <v>46070</v>
      </c>
      <c r="C8965" t="s">
        <v>142</v>
      </c>
      <c r="D8965" s="13" t="s">
        <v>634</v>
      </c>
      <c r="E8965" t="s">
        <v>331</v>
      </c>
      <c r="F8965" s="11">
        <v>4</v>
      </c>
      <c r="G8965" s="11">
        <v>395168.07</v>
      </c>
    </row>
    <row r="8966" spans="2:7" x14ac:dyDescent="0.2">
      <c r="B8966" s="32">
        <v>46070</v>
      </c>
      <c r="C8966" t="s">
        <v>142</v>
      </c>
      <c r="D8966" s="13" t="s">
        <v>634</v>
      </c>
      <c r="E8966" t="s">
        <v>154</v>
      </c>
      <c r="F8966" s="11">
        <v>2</v>
      </c>
      <c r="G8966" s="11">
        <v>226890.76</v>
      </c>
    </row>
    <row r="8967" spans="2:7" x14ac:dyDescent="0.2">
      <c r="B8967" s="32">
        <v>46070</v>
      </c>
      <c r="C8967" t="s">
        <v>142</v>
      </c>
      <c r="D8967" s="13" t="s">
        <v>634</v>
      </c>
      <c r="E8967" t="s">
        <v>181</v>
      </c>
      <c r="F8967" s="11">
        <v>1</v>
      </c>
      <c r="G8967" s="11">
        <v>63025.21</v>
      </c>
    </row>
    <row r="8968" spans="2:7" x14ac:dyDescent="0.2">
      <c r="B8968" s="32">
        <v>46070</v>
      </c>
      <c r="C8968" t="s">
        <v>142</v>
      </c>
      <c r="D8968" s="13" t="s">
        <v>634</v>
      </c>
      <c r="E8968" t="s">
        <v>332</v>
      </c>
      <c r="F8968" s="11">
        <v>1</v>
      </c>
      <c r="G8968" s="11">
        <v>63025.21</v>
      </c>
    </row>
    <row r="8969" spans="2:7" x14ac:dyDescent="0.2">
      <c r="B8969" s="32">
        <v>46070</v>
      </c>
      <c r="C8969" t="s">
        <v>142</v>
      </c>
      <c r="D8969" s="13" t="s">
        <v>634</v>
      </c>
      <c r="E8969" t="s">
        <v>436</v>
      </c>
      <c r="F8969" s="11">
        <v>1</v>
      </c>
      <c r="G8969" s="11">
        <v>63025.21</v>
      </c>
    </row>
    <row r="8970" spans="2:7" x14ac:dyDescent="0.2">
      <c r="B8970" s="32">
        <v>46070</v>
      </c>
      <c r="C8970" t="s">
        <v>142</v>
      </c>
      <c r="D8970" s="13" t="s">
        <v>634</v>
      </c>
      <c r="F8970" s="11">
        <v>0</v>
      </c>
      <c r="G8970" s="11">
        <v>-966000</v>
      </c>
    </row>
    <row r="8971" spans="2:7" x14ac:dyDescent="0.2">
      <c r="B8971" s="32">
        <v>46070</v>
      </c>
      <c r="C8971" t="s">
        <v>142</v>
      </c>
      <c r="D8971" s="13" t="s">
        <v>633</v>
      </c>
      <c r="E8971" t="s">
        <v>175</v>
      </c>
      <c r="F8971" s="11">
        <v>1</v>
      </c>
      <c r="G8971" s="11">
        <v>92436.97</v>
      </c>
    </row>
    <row r="8972" spans="2:7" x14ac:dyDescent="0.2">
      <c r="B8972" s="32">
        <v>46070</v>
      </c>
      <c r="C8972" t="s">
        <v>142</v>
      </c>
      <c r="D8972" s="13" t="s">
        <v>633</v>
      </c>
      <c r="E8972" t="s">
        <v>722</v>
      </c>
      <c r="F8972" s="11">
        <v>1</v>
      </c>
      <c r="G8972" s="11">
        <v>84033.61</v>
      </c>
    </row>
    <row r="8973" spans="2:7" x14ac:dyDescent="0.2">
      <c r="B8973" s="32">
        <v>46070</v>
      </c>
      <c r="C8973" t="s">
        <v>142</v>
      </c>
      <c r="D8973" s="13" t="s">
        <v>633</v>
      </c>
      <c r="E8973" t="s">
        <v>290</v>
      </c>
      <c r="F8973" s="11">
        <v>1</v>
      </c>
      <c r="G8973" s="11">
        <v>63025.21</v>
      </c>
    </row>
    <row r="8974" spans="2:7" x14ac:dyDescent="0.2">
      <c r="B8974" s="32">
        <v>46070</v>
      </c>
      <c r="C8974" t="s">
        <v>142</v>
      </c>
      <c r="D8974" s="13" t="s">
        <v>633</v>
      </c>
      <c r="E8974" t="s">
        <v>292</v>
      </c>
      <c r="F8974" s="11">
        <v>1</v>
      </c>
      <c r="G8974" s="11">
        <v>54621.85</v>
      </c>
    </row>
    <row r="8975" spans="2:7" x14ac:dyDescent="0.2">
      <c r="B8975" s="32">
        <v>46070</v>
      </c>
      <c r="C8975" t="s">
        <v>142</v>
      </c>
      <c r="D8975" s="13" t="s">
        <v>633</v>
      </c>
      <c r="F8975" s="11">
        <v>0</v>
      </c>
      <c r="G8975" s="11">
        <v>0</v>
      </c>
    </row>
    <row r="8976" spans="2:7" x14ac:dyDescent="0.2">
      <c r="B8976" s="32">
        <v>46070</v>
      </c>
      <c r="C8976" t="s">
        <v>110</v>
      </c>
      <c r="D8976" s="13"/>
      <c r="E8976" t="s">
        <v>246</v>
      </c>
      <c r="F8976" s="11">
        <v>1</v>
      </c>
      <c r="G8976" s="11">
        <v>42016.81</v>
      </c>
    </row>
    <row r="8977" spans="2:7" x14ac:dyDescent="0.2">
      <c r="B8977" s="32">
        <v>46070</v>
      </c>
      <c r="C8977" t="s">
        <v>110</v>
      </c>
      <c r="D8977" s="13"/>
      <c r="E8977" t="s">
        <v>161</v>
      </c>
      <c r="F8977" s="11">
        <v>1</v>
      </c>
      <c r="G8977" s="11">
        <v>42016.81</v>
      </c>
    </row>
    <row r="8978" spans="2:7" x14ac:dyDescent="0.2">
      <c r="B8978" s="32">
        <v>46070</v>
      </c>
      <c r="C8978" t="s">
        <v>110</v>
      </c>
      <c r="D8978" s="13"/>
      <c r="E8978" t="s">
        <v>180</v>
      </c>
      <c r="F8978" s="11">
        <v>1</v>
      </c>
      <c r="G8978" s="11">
        <v>16806.72</v>
      </c>
    </row>
    <row r="8979" spans="2:7" x14ac:dyDescent="0.2">
      <c r="B8979" s="32">
        <v>46070</v>
      </c>
      <c r="C8979" t="s">
        <v>110</v>
      </c>
      <c r="D8979" s="13" t="s">
        <v>633</v>
      </c>
      <c r="E8979" t="s">
        <v>193</v>
      </c>
      <c r="F8979" s="11">
        <v>1</v>
      </c>
      <c r="G8979" s="11">
        <v>37815.129999999997</v>
      </c>
    </row>
    <row r="8980" spans="2:7" x14ac:dyDescent="0.2">
      <c r="B8980" s="32">
        <v>46070</v>
      </c>
      <c r="C8980" t="s">
        <v>110</v>
      </c>
      <c r="D8980" s="13" t="s">
        <v>633</v>
      </c>
      <c r="E8980" t="s">
        <v>456</v>
      </c>
      <c r="F8980" s="11">
        <v>2</v>
      </c>
      <c r="G8980" s="11">
        <v>33613.440000000002</v>
      </c>
    </row>
    <row r="8981" spans="2:7" x14ac:dyDescent="0.2">
      <c r="B8981" s="32">
        <v>46070</v>
      </c>
      <c r="C8981" t="s">
        <v>109</v>
      </c>
      <c r="D8981" s="13" t="s">
        <v>634</v>
      </c>
      <c r="E8981" t="s">
        <v>218</v>
      </c>
      <c r="F8981" s="11">
        <v>5</v>
      </c>
      <c r="G8981" s="11">
        <v>210084.03</v>
      </c>
    </row>
    <row r="8982" spans="2:7" x14ac:dyDescent="0.2">
      <c r="B8982" s="32">
        <v>46070</v>
      </c>
      <c r="C8982" t="s">
        <v>109</v>
      </c>
      <c r="D8982" s="13" t="s">
        <v>634</v>
      </c>
      <c r="E8982" t="s">
        <v>433</v>
      </c>
      <c r="F8982" s="11">
        <v>1</v>
      </c>
      <c r="G8982" s="11">
        <v>210084.03</v>
      </c>
    </row>
    <row r="8983" spans="2:7" x14ac:dyDescent="0.2">
      <c r="B8983" s="32">
        <v>46070</v>
      </c>
      <c r="C8983" t="s">
        <v>109</v>
      </c>
      <c r="D8983" s="13" t="s">
        <v>634</v>
      </c>
      <c r="E8983" t="s">
        <v>448</v>
      </c>
      <c r="F8983" s="11">
        <v>1</v>
      </c>
      <c r="G8983" s="11">
        <v>163865.54999999999</v>
      </c>
    </row>
    <row r="8984" spans="2:7" x14ac:dyDescent="0.2">
      <c r="B8984" s="32">
        <v>46070</v>
      </c>
      <c r="C8984" t="s">
        <v>109</v>
      </c>
      <c r="D8984" s="13" t="s">
        <v>634</v>
      </c>
      <c r="E8984" t="s">
        <v>245</v>
      </c>
      <c r="F8984" s="11">
        <v>1</v>
      </c>
      <c r="G8984" s="11">
        <v>126050.42</v>
      </c>
    </row>
    <row r="8985" spans="2:7" x14ac:dyDescent="0.2">
      <c r="B8985" s="32">
        <v>46070</v>
      </c>
      <c r="C8985" t="s">
        <v>109</v>
      </c>
      <c r="D8985" s="13" t="s">
        <v>634</v>
      </c>
      <c r="E8985" t="s">
        <v>439</v>
      </c>
      <c r="F8985" s="11">
        <v>1</v>
      </c>
      <c r="G8985" s="11">
        <v>117647.06</v>
      </c>
    </row>
    <row r="8986" spans="2:7" x14ac:dyDescent="0.2">
      <c r="B8986" s="32">
        <v>46070</v>
      </c>
      <c r="C8986" t="s">
        <v>109</v>
      </c>
      <c r="D8986" s="13" t="s">
        <v>634</v>
      </c>
      <c r="E8986" t="s">
        <v>423</v>
      </c>
      <c r="F8986" s="11">
        <v>1</v>
      </c>
      <c r="G8986" s="11">
        <v>63025.21</v>
      </c>
    </row>
    <row r="8987" spans="2:7" x14ac:dyDescent="0.2">
      <c r="B8987" s="32">
        <v>46070</v>
      </c>
      <c r="C8987" t="s">
        <v>109</v>
      </c>
      <c r="D8987" s="13" t="s">
        <v>634</v>
      </c>
      <c r="E8987" t="s">
        <v>205</v>
      </c>
      <c r="F8987" s="11">
        <v>1</v>
      </c>
      <c r="G8987" s="11">
        <v>63025.21</v>
      </c>
    </row>
    <row r="8988" spans="2:7" x14ac:dyDescent="0.2">
      <c r="B8988" s="32">
        <v>46070</v>
      </c>
      <c r="C8988" t="s">
        <v>109</v>
      </c>
      <c r="D8988" s="13" t="s">
        <v>634</v>
      </c>
      <c r="E8988" t="s">
        <v>170</v>
      </c>
      <c r="F8988" s="11">
        <v>1</v>
      </c>
      <c r="G8988" s="11">
        <v>50420.17</v>
      </c>
    </row>
    <row r="8989" spans="2:7" x14ac:dyDescent="0.2">
      <c r="B8989" s="32">
        <v>46070</v>
      </c>
      <c r="C8989" t="s">
        <v>109</v>
      </c>
      <c r="D8989" s="13" t="s">
        <v>634</v>
      </c>
      <c r="E8989" t="s">
        <v>145</v>
      </c>
      <c r="F8989" s="11">
        <v>1</v>
      </c>
      <c r="G8989" s="11">
        <v>29411.759999999998</v>
      </c>
    </row>
    <row r="8990" spans="2:7" x14ac:dyDescent="0.2">
      <c r="B8990" s="32">
        <v>46070</v>
      </c>
      <c r="C8990" t="s">
        <v>109</v>
      </c>
      <c r="D8990" s="13" t="s">
        <v>633</v>
      </c>
      <c r="E8990" t="s">
        <v>145</v>
      </c>
      <c r="F8990" s="11">
        <v>9</v>
      </c>
      <c r="G8990" s="11">
        <v>264705.88</v>
      </c>
    </row>
    <row r="8991" spans="2:7" x14ac:dyDescent="0.2">
      <c r="B8991" s="32">
        <v>46070</v>
      </c>
      <c r="C8991" t="s">
        <v>109</v>
      </c>
      <c r="D8991" s="13" t="s">
        <v>633</v>
      </c>
      <c r="E8991" t="s">
        <v>362</v>
      </c>
      <c r="F8991" s="11">
        <v>2</v>
      </c>
      <c r="G8991" s="11">
        <v>117647.06</v>
      </c>
    </row>
    <row r="8992" spans="2:7" x14ac:dyDescent="0.2">
      <c r="B8992" s="32">
        <v>46070</v>
      </c>
      <c r="C8992" t="s">
        <v>109</v>
      </c>
      <c r="D8992" s="13" t="s">
        <v>633</v>
      </c>
      <c r="E8992" t="s">
        <v>427</v>
      </c>
      <c r="F8992" s="11">
        <v>2</v>
      </c>
      <c r="G8992" s="11">
        <v>117647.06</v>
      </c>
    </row>
    <row r="8993" spans="2:7" x14ac:dyDescent="0.2">
      <c r="B8993" s="32">
        <v>46070</v>
      </c>
      <c r="C8993" t="s">
        <v>109</v>
      </c>
      <c r="D8993" s="13" t="s">
        <v>633</v>
      </c>
      <c r="E8993" t="s">
        <v>578</v>
      </c>
      <c r="F8993" s="11">
        <v>1</v>
      </c>
      <c r="G8993" s="11">
        <v>117647.06</v>
      </c>
    </row>
    <row r="8994" spans="2:7" x14ac:dyDescent="0.2">
      <c r="B8994" s="32">
        <v>46070</v>
      </c>
      <c r="C8994" t="s">
        <v>109</v>
      </c>
      <c r="D8994" s="13" t="s">
        <v>633</v>
      </c>
      <c r="E8994" t="s">
        <v>168</v>
      </c>
      <c r="F8994" s="11">
        <v>2</v>
      </c>
      <c r="G8994" s="11">
        <v>92436.98</v>
      </c>
    </row>
    <row r="8995" spans="2:7" x14ac:dyDescent="0.2">
      <c r="B8995" s="32">
        <v>46070</v>
      </c>
      <c r="C8995" t="s">
        <v>109</v>
      </c>
      <c r="D8995" s="13" t="s">
        <v>633</v>
      </c>
      <c r="E8995" t="s">
        <v>147</v>
      </c>
      <c r="F8995" s="11">
        <v>1</v>
      </c>
      <c r="G8995" s="11">
        <v>75630.25</v>
      </c>
    </row>
    <row r="8996" spans="2:7" x14ac:dyDescent="0.2">
      <c r="B8996" s="32">
        <v>46070</v>
      </c>
      <c r="C8996" t="s">
        <v>109</v>
      </c>
      <c r="D8996" s="13" t="s">
        <v>633</v>
      </c>
      <c r="E8996" t="s">
        <v>164</v>
      </c>
      <c r="F8996" s="11">
        <v>1</v>
      </c>
      <c r="G8996" s="11">
        <v>75630.25</v>
      </c>
    </row>
    <row r="8997" spans="2:7" x14ac:dyDescent="0.2">
      <c r="B8997" s="32">
        <v>46070</v>
      </c>
      <c r="C8997" t="s">
        <v>109</v>
      </c>
      <c r="D8997" s="13" t="s">
        <v>633</v>
      </c>
      <c r="E8997" t="s">
        <v>179</v>
      </c>
      <c r="F8997" s="11">
        <v>1</v>
      </c>
      <c r="G8997" s="11">
        <v>50420.17</v>
      </c>
    </row>
    <row r="8998" spans="2:7" x14ac:dyDescent="0.2">
      <c r="B8998" s="32">
        <v>46070</v>
      </c>
      <c r="C8998" t="s">
        <v>109</v>
      </c>
      <c r="D8998" s="13" t="s">
        <v>633</v>
      </c>
      <c r="E8998" t="s">
        <v>309</v>
      </c>
      <c r="F8998" s="11">
        <v>1</v>
      </c>
      <c r="G8998" s="11">
        <v>42016.81</v>
      </c>
    </row>
    <row r="8999" spans="2:7" x14ac:dyDescent="0.2">
      <c r="B8999" s="32">
        <v>46070</v>
      </c>
      <c r="C8999" t="s">
        <v>109</v>
      </c>
      <c r="D8999" s="13" t="s">
        <v>633</v>
      </c>
      <c r="E8999" t="s">
        <v>193</v>
      </c>
      <c r="F8999" s="11">
        <v>1</v>
      </c>
      <c r="G8999" s="11">
        <v>37815.129999999997</v>
      </c>
    </row>
    <row r="9000" spans="2:7" x14ac:dyDescent="0.2">
      <c r="B9000" s="32">
        <v>46070</v>
      </c>
      <c r="C9000" t="s">
        <v>109</v>
      </c>
      <c r="D9000" s="13" t="s">
        <v>633</v>
      </c>
      <c r="E9000" t="s">
        <v>234</v>
      </c>
      <c r="F9000" s="11">
        <v>1</v>
      </c>
      <c r="G9000" s="11">
        <v>37815.120000000003</v>
      </c>
    </row>
    <row r="9001" spans="2:7" x14ac:dyDescent="0.2">
      <c r="B9001" s="32">
        <v>46070</v>
      </c>
      <c r="C9001" t="s">
        <v>109</v>
      </c>
      <c r="D9001" s="13" t="s">
        <v>633</v>
      </c>
      <c r="E9001" t="s">
        <v>144</v>
      </c>
      <c r="F9001" s="11">
        <v>2</v>
      </c>
      <c r="G9001" s="11">
        <v>27731.1</v>
      </c>
    </row>
    <row r="9002" spans="2:7" x14ac:dyDescent="0.2">
      <c r="B9002" s="32">
        <v>46070</v>
      </c>
      <c r="C9002" t="s">
        <v>109</v>
      </c>
      <c r="D9002" s="13" t="s">
        <v>633</v>
      </c>
      <c r="E9002" t="s">
        <v>509</v>
      </c>
      <c r="F9002" s="11">
        <v>1</v>
      </c>
      <c r="G9002" s="11">
        <v>16806.72</v>
      </c>
    </row>
    <row r="9003" spans="2:7" x14ac:dyDescent="0.2">
      <c r="B9003" s="32">
        <v>46070</v>
      </c>
      <c r="C9003" t="s">
        <v>109</v>
      </c>
      <c r="D9003" s="13" t="s">
        <v>633</v>
      </c>
      <c r="E9003" t="s">
        <v>310</v>
      </c>
      <c r="F9003" s="11">
        <v>1</v>
      </c>
      <c r="G9003" s="11">
        <v>16806.72</v>
      </c>
    </row>
    <row r="9004" spans="2:7" x14ac:dyDescent="0.2">
      <c r="B9004" s="32">
        <v>46070</v>
      </c>
      <c r="C9004" t="s">
        <v>109</v>
      </c>
      <c r="D9004" s="13" t="s">
        <v>633</v>
      </c>
      <c r="F9004" s="11">
        <v>0</v>
      </c>
      <c r="G9004" s="11">
        <v>0</v>
      </c>
    </row>
    <row r="9005" spans="2:7" x14ac:dyDescent="0.2">
      <c r="B9005" s="32">
        <v>46071</v>
      </c>
      <c r="C9005" t="s">
        <v>142</v>
      </c>
      <c r="D9005" s="13" t="s">
        <v>634</v>
      </c>
      <c r="E9005" t="s">
        <v>331</v>
      </c>
      <c r="F9005" s="11">
        <v>0</v>
      </c>
      <c r="G9005" s="11">
        <v>126932.77</v>
      </c>
    </row>
    <row r="9006" spans="2:7" x14ac:dyDescent="0.2">
      <c r="B9006" s="32">
        <v>46071</v>
      </c>
      <c r="C9006" t="s">
        <v>142</v>
      </c>
      <c r="D9006" s="13" t="s">
        <v>634</v>
      </c>
      <c r="E9006" t="s">
        <v>176</v>
      </c>
      <c r="F9006" s="11">
        <v>2</v>
      </c>
      <c r="G9006" s="11">
        <v>126050.42</v>
      </c>
    </row>
    <row r="9007" spans="2:7" x14ac:dyDescent="0.2">
      <c r="B9007" s="32">
        <v>46071</v>
      </c>
      <c r="C9007" t="s">
        <v>142</v>
      </c>
      <c r="D9007" s="13" t="s">
        <v>634</v>
      </c>
      <c r="E9007" t="s">
        <v>359</v>
      </c>
      <c r="F9007" s="11">
        <v>1</v>
      </c>
      <c r="G9007" s="11">
        <v>121848.74</v>
      </c>
    </row>
    <row r="9008" spans="2:7" x14ac:dyDescent="0.2">
      <c r="B9008" s="32">
        <v>46071</v>
      </c>
      <c r="C9008" t="s">
        <v>142</v>
      </c>
      <c r="D9008" s="13" t="s">
        <v>634</v>
      </c>
      <c r="E9008" t="s">
        <v>169</v>
      </c>
      <c r="F9008" s="11">
        <v>1</v>
      </c>
      <c r="G9008" s="11">
        <v>113445.38</v>
      </c>
    </row>
    <row r="9009" spans="2:7" x14ac:dyDescent="0.2">
      <c r="B9009" s="32">
        <v>46071</v>
      </c>
      <c r="C9009" t="s">
        <v>142</v>
      </c>
      <c r="D9009" s="13" t="s">
        <v>634</v>
      </c>
      <c r="E9009" t="s">
        <v>247</v>
      </c>
      <c r="F9009" s="11">
        <v>1</v>
      </c>
      <c r="G9009" s="11">
        <v>63025.21</v>
      </c>
    </row>
    <row r="9010" spans="2:7" x14ac:dyDescent="0.2">
      <c r="B9010" s="32">
        <v>46071</v>
      </c>
      <c r="C9010" t="s">
        <v>142</v>
      </c>
      <c r="D9010" s="13" t="s">
        <v>634</v>
      </c>
      <c r="E9010" t="s">
        <v>280</v>
      </c>
      <c r="F9010" s="11">
        <v>1</v>
      </c>
      <c r="G9010" s="11">
        <v>54621.85</v>
      </c>
    </row>
    <row r="9011" spans="2:7" x14ac:dyDescent="0.2">
      <c r="B9011" s="32">
        <v>46071</v>
      </c>
      <c r="C9011" t="s">
        <v>142</v>
      </c>
      <c r="D9011" s="13" t="s">
        <v>634</v>
      </c>
      <c r="F9011" s="11">
        <v>0</v>
      </c>
      <c r="G9011" s="11">
        <v>0</v>
      </c>
    </row>
    <row r="9012" spans="2:7" x14ac:dyDescent="0.2">
      <c r="B9012" s="32">
        <v>46071</v>
      </c>
      <c r="C9012" t="s">
        <v>142</v>
      </c>
      <c r="D9012" s="13" t="s">
        <v>633</v>
      </c>
      <c r="E9012" t="s">
        <v>233</v>
      </c>
      <c r="F9012" s="11">
        <v>1</v>
      </c>
      <c r="G9012" s="11">
        <v>63025.21</v>
      </c>
    </row>
    <row r="9013" spans="2:7" x14ac:dyDescent="0.2">
      <c r="B9013" s="32">
        <v>46071</v>
      </c>
      <c r="C9013" t="s">
        <v>142</v>
      </c>
      <c r="D9013" s="13" t="s">
        <v>633</v>
      </c>
      <c r="F9013" s="11">
        <v>0</v>
      </c>
      <c r="G9013" s="11">
        <v>0</v>
      </c>
    </row>
    <row r="9014" spans="2:7" x14ac:dyDescent="0.2">
      <c r="B9014" s="32">
        <v>46071</v>
      </c>
      <c r="C9014" t="s">
        <v>109</v>
      </c>
      <c r="D9014" s="13" t="s">
        <v>634</v>
      </c>
      <c r="E9014" t="s">
        <v>313</v>
      </c>
      <c r="F9014" s="11">
        <v>5</v>
      </c>
      <c r="G9014" s="11">
        <v>453781.52</v>
      </c>
    </row>
    <row r="9015" spans="2:7" x14ac:dyDescent="0.2">
      <c r="B9015" s="32">
        <v>46071</v>
      </c>
      <c r="C9015" t="s">
        <v>109</v>
      </c>
      <c r="D9015" s="13" t="s">
        <v>634</v>
      </c>
      <c r="E9015" t="s">
        <v>154</v>
      </c>
      <c r="F9015" s="11">
        <v>5</v>
      </c>
      <c r="G9015" s="11">
        <v>453781.51</v>
      </c>
    </row>
    <row r="9016" spans="2:7" x14ac:dyDescent="0.2">
      <c r="B9016" s="32">
        <v>46071</v>
      </c>
      <c r="C9016" t="s">
        <v>109</v>
      </c>
      <c r="D9016" s="13" t="s">
        <v>634</v>
      </c>
      <c r="E9016" t="s">
        <v>250</v>
      </c>
      <c r="F9016" s="11">
        <v>5</v>
      </c>
      <c r="G9016" s="11">
        <v>453781.51</v>
      </c>
    </row>
    <row r="9017" spans="2:7" x14ac:dyDescent="0.2">
      <c r="B9017" s="32">
        <v>46071</v>
      </c>
      <c r="C9017" t="s">
        <v>109</v>
      </c>
      <c r="D9017" s="13" t="s">
        <v>634</v>
      </c>
      <c r="E9017" t="s">
        <v>147</v>
      </c>
      <c r="F9017" s="11">
        <v>1</v>
      </c>
      <c r="G9017" s="11">
        <v>75630.259999999995</v>
      </c>
    </row>
    <row r="9018" spans="2:7" x14ac:dyDescent="0.2">
      <c r="B9018" s="32">
        <v>46071</v>
      </c>
      <c r="C9018" t="s">
        <v>109</v>
      </c>
      <c r="D9018" s="13" t="s">
        <v>634</v>
      </c>
      <c r="E9018" t="s">
        <v>352</v>
      </c>
      <c r="F9018" s="11">
        <v>1</v>
      </c>
      <c r="G9018" s="11">
        <v>75630.25</v>
      </c>
    </row>
    <row r="9019" spans="2:7" x14ac:dyDescent="0.2">
      <c r="B9019" s="32">
        <v>46071</v>
      </c>
      <c r="C9019" t="s">
        <v>109</v>
      </c>
      <c r="D9019" s="13" t="s">
        <v>634</v>
      </c>
      <c r="E9019" t="s">
        <v>164</v>
      </c>
      <c r="F9019" s="11">
        <v>1</v>
      </c>
      <c r="G9019" s="11">
        <v>75630.25</v>
      </c>
    </row>
    <row r="9020" spans="2:7" x14ac:dyDescent="0.2">
      <c r="B9020" s="32">
        <v>46071</v>
      </c>
      <c r="C9020" t="s">
        <v>109</v>
      </c>
      <c r="D9020" s="13" t="s">
        <v>634</v>
      </c>
      <c r="E9020" t="s">
        <v>192</v>
      </c>
      <c r="F9020" s="11">
        <v>1</v>
      </c>
      <c r="G9020" s="11">
        <v>75630.25</v>
      </c>
    </row>
    <row r="9021" spans="2:7" x14ac:dyDescent="0.2">
      <c r="B9021" s="32">
        <v>46071</v>
      </c>
      <c r="C9021" t="s">
        <v>109</v>
      </c>
      <c r="D9021" s="13" t="s">
        <v>634</v>
      </c>
      <c r="E9021" t="s">
        <v>165</v>
      </c>
      <c r="F9021" s="11">
        <v>1</v>
      </c>
      <c r="G9021" s="11">
        <v>63025.21</v>
      </c>
    </row>
    <row r="9022" spans="2:7" x14ac:dyDescent="0.2">
      <c r="B9022" s="32">
        <v>46071</v>
      </c>
      <c r="C9022" t="s">
        <v>109</v>
      </c>
      <c r="D9022" s="13" t="s">
        <v>634</v>
      </c>
      <c r="E9022" t="s">
        <v>332</v>
      </c>
      <c r="F9022" s="11">
        <v>1</v>
      </c>
      <c r="G9022" s="11">
        <v>63025.21</v>
      </c>
    </row>
    <row r="9023" spans="2:7" x14ac:dyDescent="0.2">
      <c r="B9023" s="32">
        <v>46071</v>
      </c>
      <c r="C9023" t="s">
        <v>109</v>
      </c>
      <c r="D9023" s="13" t="s">
        <v>634</v>
      </c>
      <c r="E9023" t="s">
        <v>407</v>
      </c>
      <c r="F9023" s="11">
        <v>1</v>
      </c>
      <c r="G9023" s="11">
        <v>54621.85</v>
      </c>
    </row>
    <row r="9024" spans="2:7" x14ac:dyDescent="0.2">
      <c r="B9024" s="32">
        <v>46071</v>
      </c>
      <c r="C9024" t="s">
        <v>109</v>
      </c>
      <c r="D9024" s="13" t="s">
        <v>634</v>
      </c>
      <c r="E9024" t="s">
        <v>350</v>
      </c>
      <c r="F9024" s="11">
        <v>1</v>
      </c>
      <c r="G9024" s="11">
        <v>50420.17</v>
      </c>
    </row>
    <row r="9025" spans="2:7" x14ac:dyDescent="0.2">
      <c r="B9025" s="32">
        <v>46071</v>
      </c>
      <c r="C9025" t="s">
        <v>109</v>
      </c>
      <c r="D9025" s="13" t="s">
        <v>634</v>
      </c>
      <c r="E9025" t="s">
        <v>146</v>
      </c>
      <c r="F9025" s="11">
        <v>1</v>
      </c>
      <c r="G9025" s="11">
        <v>50420.17</v>
      </c>
    </row>
    <row r="9026" spans="2:7" x14ac:dyDescent="0.2">
      <c r="B9026" s="32">
        <v>46071</v>
      </c>
      <c r="C9026" t="s">
        <v>109</v>
      </c>
      <c r="D9026" s="13" t="s">
        <v>634</v>
      </c>
      <c r="E9026" t="s">
        <v>179</v>
      </c>
      <c r="F9026" s="11">
        <v>1</v>
      </c>
      <c r="G9026" s="11">
        <v>50420.17</v>
      </c>
    </row>
    <row r="9027" spans="2:7" x14ac:dyDescent="0.2">
      <c r="B9027" s="32">
        <v>46071</v>
      </c>
      <c r="C9027" t="s">
        <v>109</v>
      </c>
      <c r="D9027" s="13" t="s">
        <v>634</v>
      </c>
      <c r="E9027" t="s">
        <v>284</v>
      </c>
      <c r="F9027" s="11">
        <v>2</v>
      </c>
      <c r="G9027" s="11">
        <v>38415.370000000003</v>
      </c>
    </row>
    <row r="9028" spans="2:7" x14ac:dyDescent="0.2">
      <c r="B9028" s="32">
        <v>46071</v>
      </c>
      <c r="C9028" t="s">
        <v>109</v>
      </c>
      <c r="D9028" s="13" t="s">
        <v>634</v>
      </c>
      <c r="E9028" t="s">
        <v>148</v>
      </c>
      <c r="F9028" s="11">
        <v>1</v>
      </c>
      <c r="G9028" s="11">
        <v>37815.129999999997</v>
      </c>
    </row>
    <row r="9029" spans="2:7" x14ac:dyDescent="0.2">
      <c r="B9029" s="32">
        <v>46071</v>
      </c>
      <c r="C9029" t="s">
        <v>109</v>
      </c>
      <c r="D9029" s="13" t="s">
        <v>634</v>
      </c>
      <c r="E9029" t="s">
        <v>327</v>
      </c>
      <c r="F9029" s="11">
        <v>1</v>
      </c>
      <c r="G9029" s="11">
        <v>35000</v>
      </c>
    </row>
    <row r="9030" spans="2:7" x14ac:dyDescent="0.2">
      <c r="B9030" s="32">
        <v>46071</v>
      </c>
      <c r="C9030" t="s">
        <v>109</v>
      </c>
      <c r="D9030" s="13" t="s">
        <v>634</v>
      </c>
      <c r="E9030" t="s">
        <v>145</v>
      </c>
      <c r="F9030" s="11">
        <v>1</v>
      </c>
      <c r="G9030" s="11">
        <v>29411.759999999998</v>
      </c>
    </row>
    <row r="9031" spans="2:7" x14ac:dyDescent="0.2">
      <c r="B9031" s="32">
        <v>46071</v>
      </c>
      <c r="C9031" t="s">
        <v>109</v>
      </c>
      <c r="D9031" s="13" t="s">
        <v>634</v>
      </c>
      <c r="E9031" t="s">
        <v>223</v>
      </c>
      <c r="F9031" s="11">
        <v>1</v>
      </c>
      <c r="G9031" s="11">
        <v>28811.52</v>
      </c>
    </row>
    <row r="9032" spans="2:7" x14ac:dyDescent="0.2">
      <c r="B9032" s="32">
        <v>46071</v>
      </c>
      <c r="C9032" t="s">
        <v>109</v>
      </c>
      <c r="D9032" s="13" t="s">
        <v>633</v>
      </c>
      <c r="E9032" t="s">
        <v>271</v>
      </c>
      <c r="F9032" s="11">
        <v>3</v>
      </c>
      <c r="G9032" s="11">
        <v>189075.63</v>
      </c>
    </row>
    <row r="9033" spans="2:7" x14ac:dyDescent="0.2">
      <c r="B9033" s="32">
        <v>46071</v>
      </c>
      <c r="C9033" t="s">
        <v>109</v>
      </c>
      <c r="D9033" s="13" t="s">
        <v>633</v>
      </c>
      <c r="E9033" t="s">
        <v>645</v>
      </c>
      <c r="F9033" s="11">
        <v>1</v>
      </c>
      <c r="G9033" s="11">
        <v>159663.87</v>
      </c>
    </row>
    <row r="9034" spans="2:7" x14ac:dyDescent="0.2">
      <c r="B9034" s="32">
        <v>46071</v>
      </c>
      <c r="C9034" t="s">
        <v>109</v>
      </c>
      <c r="D9034" s="13" t="s">
        <v>633</v>
      </c>
      <c r="E9034" t="s">
        <v>212</v>
      </c>
      <c r="F9034" s="11">
        <v>2</v>
      </c>
      <c r="G9034" s="11">
        <v>117647.06</v>
      </c>
    </row>
    <row r="9035" spans="2:7" x14ac:dyDescent="0.2">
      <c r="B9035" s="32">
        <v>46071</v>
      </c>
      <c r="C9035" t="s">
        <v>109</v>
      </c>
      <c r="D9035" s="13" t="s">
        <v>633</v>
      </c>
      <c r="E9035" t="s">
        <v>275</v>
      </c>
      <c r="F9035" s="11">
        <v>1</v>
      </c>
      <c r="G9035" s="11">
        <v>63025.21</v>
      </c>
    </row>
    <row r="9036" spans="2:7" x14ac:dyDescent="0.2">
      <c r="B9036" s="32">
        <v>46071</v>
      </c>
      <c r="C9036" t="s">
        <v>109</v>
      </c>
      <c r="D9036" s="13" t="s">
        <v>633</v>
      </c>
      <c r="E9036" t="s">
        <v>168</v>
      </c>
      <c r="F9036" s="11">
        <v>1</v>
      </c>
      <c r="G9036" s="11">
        <v>46218.49</v>
      </c>
    </row>
    <row r="9037" spans="2:7" x14ac:dyDescent="0.2">
      <c r="B9037" s="32">
        <v>46071</v>
      </c>
      <c r="C9037" t="s">
        <v>109</v>
      </c>
      <c r="D9037" s="13" t="s">
        <v>633</v>
      </c>
      <c r="E9037" t="s">
        <v>156</v>
      </c>
      <c r="F9037" s="11">
        <v>1</v>
      </c>
      <c r="G9037" s="11">
        <v>46218.49</v>
      </c>
    </row>
    <row r="9038" spans="2:7" x14ac:dyDescent="0.2">
      <c r="B9038" s="32">
        <v>46071</v>
      </c>
      <c r="C9038" t="s">
        <v>109</v>
      </c>
      <c r="D9038" s="13" t="s">
        <v>633</v>
      </c>
      <c r="E9038" t="s">
        <v>193</v>
      </c>
      <c r="F9038" s="11">
        <v>1</v>
      </c>
      <c r="G9038" s="11">
        <v>37815.129999999997</v>
      </c>
    </row>
    <row r="9039" spans="2:7" x14ac:dyDescent="0.2">
      <c r="B9039" s="32">
        <v>46071</v>
      </c>
      <c r="C9039" t="s">
        <v>109</v>
      </c>
      <c r="D9039" s="13" t="s">
        <v>633</v>
      </c>
      <c r="E9039" t="s">
        <v>327</v>
      </c>
      <c r="F9039" s="11">
        <v>1</v>
      </c>
      <c r="G9039" s="11">
        <v>35000</v>
      </c>
    </row>
    <row r="9040" spans="2:7" x14ac:dyDescent="0.2">
      <c r="B9040" s="32">
        <v>46072</v>
      </c>
      <c r="C9040" t="s">
        <v>142</v>
      </c>
      <c r="D9040" s="13" t="s">
        <v>634</v>
      </c>
      <c r="E9040" t="s">
        <v>453</v>
      </c>
      <c r="F9040" s="11">
        <v>1</v>
      </c>
      <c r="G9040" s="11">
        <v>205882.35</v>
      </c>
    </row>
    <row r="9041" spans="2:7" x14ac:dyDescent="0.2">
      <c r="B9041" s="32">
        <v>46072</v>
      </c>
      <c r="C9041" t="s">
        <v>142</v>
      </c>
      <c r="D9041" s="13" t="s">
        <v>634</v>
      </c>
      <c r="E9041" t="s">
        <v>365</v>
      </c>
      <c r="F9041" s="11">
        <v>1</v>
      </c>
      <c r="G9041" s="11">
        <v>121848.74</v>
      </c>
    </row>
    <row r="9042" spans="2:7" x14ac:dyDescent="0.2">
      <c r="B9042" s="32">
        <v>46072</v>
      </c>
      <c r="C9042" t="s">
        <v>142</v>
      </c>
      <c r="D9042" s="13" t="s">
        <v>634</v>
      </c>
      <c r="E9042" t="s">
        <v>315</v>
      </c>
      <c r="F9042" s="11">
        <v>1</v>
      </c>
      <c r="G9042" s="11">
        <v>92436.97</v>
      </c>
    </row>
    <row r="9043" spans="2:7" x14ac:dyDescent="0.2">
      <c r="B9043" s="32">
        <v>46072</v>
      </c>
      <c r="C9043" t="s">
        <v>142</v>
      </c>
      <c r="D9043" s="13" t="s">
        <v>634</v>
      </c>
      <c r="F9043" s="11">
        <v>0</v>
      </c>
      <c r="G9043" s="11">
        <v>0</v>
      </c>
    </row>
    <row r="9044" spans="2:7" x14ac:dyDescent="0.2">
      <c r="B9044" s="32">
        <v>46072</v>
      </c>
      <c r="C9044" t="s">
        <v>142</v>
      </c>
      <c r="D9044" s="13" t="s">
        <v>633</v>
      </c>
      <c r="E9044" t="s">
        <v>226</v>
      </c>
      <c r="F9044" s="11">
        <v>1</v>
      </c>
      <c r="G9044" s="11">
        <v>121848.74</v>
      </c>
    </row>
    <row r="9045" spans="2:7" x14ac:dyDescent="0.2">
      <c r="B9045" s="32">
        <v>46072</v>
      </c>
      <c r="C9045" t="s">
        <v>142</v>
      </c>
      <c r="D9045" s="13" t="s">
        <v>633</v>
      </c>
      <c r="E9045" t="s">
        <v>721</v>
      </c>
      <c r="F9045" s="11">
        <v>1</v>
      </c>
      <c r="G9045" s="11">
        <v>92436.97</v>
      </c>
    </row>
    <row r="9046" spans="2:7" x14ac:dyDescent="0.2">
      <c r="B9046" s="32">
        <v>46072</v>
      </c>
      <c r="C9046" t="s">
        <v>142</v>
      </c>
      <c r="D9046" s="13" t="s">
        <v>633</v>
      </c>
      <c r="E9046" t="s">
        <v>282</v>
      </c>
      <c r="F9046" s="11">
        <v>1</v>
      </c>
      <c r="G9046" s="11">
        <v>92436.97</v>
      </c>
    </row>
    <row r="9047" spans="2:7" x14ac:dyDescent="0.2">
      <c r="B9047" s="32">
        <v>46072</v>
      </c>
      <c r="C9047" t="s">
        <v>142</v>
      </c>
      <c r="D9047" s="13" t="s">
        <v>633</v>
      </c>
      <c r="E9047" t="s">
        <v>176</v>
      </c>
      <c r="F9047" s="11">
        <v>1</v>
      </c>
      <c r="G9047" s="11">
        <v>63025.22</v>
      </c>
    </row>
    <row r="9048" spans="2:7" x14ac:dyDescent="0.2">
      <c r="B9048" s="32">
        <v>46072</v>
      </c>
      <c r="C9048" t="s">
        <v>142</v>
      </c>
      <c r="D9048" s="13" t="s">
        <v>633</v>
      </c>
      <c r="F9048" s="11">
        <v>0</v>
      </c>
      <c r="G9048" s="11">
        <v>0</v>
      </c>
    </row>
    <row r="9049" spans="2:7" x14ac:dyDescent="0.2">
      <c r="B9049" s="32">
        <v>46072</v>
      </c>
      <c r="C9049" t="s">
        <v>109</v>
      </c>
      <c r="D9049" s="13" t="s">
        <v>634</v>
      </c>
      <c r="E9049" t="s">
        <v>311</v>
      </c>
      <c r="F9049" s="11">
        <v>3</v>
      </c>
      <c r="G9049" s="11">
        <v>163865.54999999999</v>
      </c>
    </row>
    <row r="9050" spans="2:7" x14ac:dyDescent="0.2">
      <c r="B9050" s="32">
        <v>46072</v>
      </c>
      <c r="C9050" t="s">
        <v>109</v>
      </c>
      <c r="D9050" s="13" t="s">
        <v>634</v>
      </c>
      <c r="E9050" t="s">
        <v>385</v>
      </c>
      <c r="F9050" s="11">
        <v>1</v>
      </c>
      <c r="G9050" s="11">
        <v>142857.14000000001</v>
      </c>
    </row>
    <row r="9051" spans="2:7" x14ac:dyDescent="0.2">
      <c r="B9051" s="32">
        <v>46072</v>
      </c>
      <c r="C9051" t="s">
        <v>109</v>
      </c>
      <c r="D9051" s="13" t="s">
        <v>634</v>
      </c>
      <c r="E9051" t="s">
        <v>194</v>
      </c>
      <c r="F9051" s="11">
        <v>1</v>
      </c>
      <c r="G9051" s="11">
        <v>113445.38</v>
      </c>
    </row>
    <row r="9052" spans="2:7" x14ac:dyDescent="0.2">
      <c r="B9052" s="32">
        <v>46072</v>
      </c>
      <c r="C9052" t="s">
        <v>109</v>
      </c>
      <c r="D9052" s="13" t="s">
        <v>634</v>
      </c>
      <c r="E9052" t="s">
        <v>228</v>
      </c>
      <c r="F9052" s="11">
        <v>2</v>
      </c>
      <c r="G9052" s="11">
        <v>109243.7</v>
      </c>
    </row>
    <row r="9053" spans="2:7" x14ac:dyDescent="0.2">
      <c r="B9053" s="32">
        <v>46072</v>
      </c>
      <c r="C9053" t="s">
        <v>109</v>
      </c>
      <c r="D9053" s="13" t="s">
        <v>634</v>
      </c>
      <c r="E9053" t="s">
        <v>295</v>
      </c>
      <c r="F9053" s="11">
        <v>2</v>
      </c>
      <c r="G9053" s="11">
        <v>109243.7</v>
      </c>
    </row>
    <row r="9054" spans="2:7" x14ac:dyDescent="0.2">
      <c r="B9054" s="32">
        <v>46072</v>
      </c>
      <c r="C9054" t="s">
        <v>109</v>
      </c>
      <c r="D9054" s="13" t="s">
        <v>634</v>
      </c>
      <c r="E9054" t="s">
        <v>243</v>
      </c>
      <c r="F9054" s="11">
        <v>2</v>
      </c>
      <c r="G9054" s="11">
        <v>109243.7</v>
      </c>
    </row>
    <row r="9055" spans="2:7" x14ac:dyDescent="0.2">
      <c r="B9055" s="32">
        <v>46072</v>
      </c>
      <c r="C9055" t="s">
        <v>109</v>
      </c>
      <c r="D9055" s="13" t="s">
        <v>634</v>
      </c>
      <c r="E9055" t="s">
        <v>283</v>
      </c>
      <c r="F9055" s="11">
        <v>2</v>
      </c>
      <c r="G9055" s="11">
        <v>109243.69</v>
      </c>
    </row>
    <row r="9056" spans="2:7" x14ac:dyDescent="0.2">
      <c r="B9056" s="32">
        <v>46072</v>
      </c>
      <c r="C9056" t="s">
        <v>109</v>
      </c>
      <c r="D9056" s="13" t="s">
        <v>634</v>
      </c>
      <c r="E9056" t="s">
        <v>327</v>
      </c>
      <c r="F9056" s="11">
        <v>3</v>
      </c>
      <c r="G9056" s="11">
        <v>105000</v>
      </c>
    </row>
    <row r="9057" spans="2:7" x14ac:dyDescent="0.2">
      <c r="B9057" s="32">
        <v>46072</v>
      </c>
      <c r="C9057" t="s">
        <v>109</v>
      </c>
      <c r="D9057" s="13" t="s">
        <v>634</v>
      </c>
      <c r="E9057" t="s">
        <v>259</v>
      </c>
      <c r="F9057" s="11">
        <v>1</v>
      </c>
      <c r="G9057" s="11">
        <v>58823.53</v>
      </c>
    </row>
    <row r="9058" spans="2:7" x14ac:dyDescent="0.2">
      <c r="B9058" s="32">
        <v>46072</v>
      </c>
      <c r="C9058" t="s">
        <v>109</v>
      </c>
      <c r="D9058" s="13" t="s">
        <v>634</v>
      </c>
      <c r="E9058" t="s">
        <v>286</v>
      </c>
      <c r="F9058" s="11">
        <v>1</v>
      </c>
      <c r="G9058" s="11">
        <v>58823.53</v>
      </c>
    </row>
    <row r="9059" spans="2:7" x14ac:dyDescent="0.2">
      <c r="B9059" s="32">
        <v>46072</v>
      </c>
      <c r="C9059" t="s">
        <v>109</v>
      </c>
      <c r="D9059" s="13" t="s">
        <v>634</v>
      </c>
      <c r="E9059" t="s">
        <v>424</v>
      </c>
      <c r="F9059" s="11">
        <v>1</v>
      </c>
      <c r="G9059" s="11">
        <v>54621.85</v>
      </c>
    </row>
    <row r="9060" spans="2:7" x14ac:dyDescent="0.2">
      <c r="B9060" s="32">
        <v>46072</v>
      </c>
      <c r="C9060" t="s">
        <v>109</v>
      </c>
      <c r="D9060" s="13" t="s">
        <v>634</v>
      </c>
      <c r="E9060" t="s">
        <v>429</v>
      </c>
      <c r="F9060" s="11">
        <v>1</v>
      </c>
      <c r="G9060" s="11">
        <v>54621.85</v>
      </c>
    </row>
    <row r="9061" spans="2:7" x14ac:dyDescent="0.2">
      <c r="B9061" s="32">
        <v>46072</v>
      </c>
      <c r="C9061" t="s">
        <v>109</v>
      </c>
      <c r="D9061" s="13" t="s">
        <v>634</v>
      </c>
      <c r="E9061" t="s">
        <v>345</v>
      </c>
      <c r="F9061" s="11">
        <v>1</v>
      </c>
      <c r="G9061" s="11">
        <v>54621.85</v>
      </c>
    </row>
    <row r="9062" spans="2:7" x14ac:dyDescent="0.2">
      <c r="B9062" s="32">
        <v>46072</v>
      </c>
      <c r="C9062" t="s">
        <v>109</v>
      </c>
      <c r="D9062" s="13" t="s">
        <v>634</v>
      </c>
      <c r="E9062" t="s">
        <v>428</v>
      </c>
      <c r="F9062" s="11">
        <v>1</v>
      </c>
      <c r="G9062" s="11">
        <v>54621.85</v>
      </c>
    </row>
    <row r="9063" spans="2:7" x14ac:dyDescent="0.2">
      <c r="B9063" s="32">
        <v>46072</v>
      </c>
      <c r="C9063" t="s">
        <v>109</v>
      </c>
      <c r="D9063" s="13" t="s">
        <v>634</v>
      </c>
      <c r="E9063" t="s">
        <v>292</v>
      </c>
      <c r="F9063" s="11">
        <v>1</v>
      </c>
      <c r="G9063" s="11">
        <v>54621.84</v>
      </c>
    </row>
    <row r="9064" spans="2:7" x14ac:dyDescent="0.2">
      <c r="B9064" s="32">
        <v>46072</v>
      </c>
      <c r="C9064" t="s">
        <v>109</v>
      </c>
      <c r="D9064" s="13" t="s">
        <v>634</v>
      </c>
      <c r="E9064" t="s">
        <v>241</v>
      </c>
      <c r="F9064" s="11">
        <v>1</v>
      </c>
      <c r="G9064" s="11">
        <v>46218.49</v>
      </c>
    </row>
    <row r="9065" spans="2:7" x14ac:dyDescent="0.2">
      <c r="B9065" s="32">
        <v>46072</v>
      </c>
      <c r="C9065" t="s">
        <v>109</v>
      </c>
      <c r="D9065" s="13" t="s">
        <v>634</v>
      </c>
      <c r="E9065" t="s">
        <v>328</v>
      </c>
      <c r="F9065" s="11">
        <v>1</v>
      </c>
      <c r="G9065" s="11">
        <v>37815.129999999997</v>
      </c>
    </row>
    <row r="9066" spans="2:7" x14ac:dyDescent="0.2">
      <c r="B9066" s="32">
        <v>46072</v>
      </c>
      <c r="C9066" t="s">
        <v>109</v>
      </c>
      <c r="D9066" s="13" t="s">
        <v>634</v>
      </c>
      <c r="E9066" t="s">
        <v>145</v>
      </c>
      <c r="F9066" s="11">
        <v>1</v>
      </c>
      <c r="G9066" s="11">
        <v>29411.759999999998</v>
      </c>
    </row>
    <row r="9067" spans="2:7" x14ac:dyDescent="0.2">
      <c r="B9067" s="32">
        <v>46072</v>
      </c>
      <c r="C9067" t="s">
        <v>109</v>
      </c>
      <c r="D9067" s="13" t="s">
        <v>634</v>
      </c>
      <c r="E9067" t="s">
        <v>144</v>
      </c>
      <c r="F9067" s="11">
        <v>1</v>
      </c>
      <c r="G9067" s="11">
        <v>13445.38</v>
      </c>
    </row>
    <row r="9068" spans="2:7" x14ac:dyDescent="0.2">
      <c r="B9068" s="32">
        <v>46072</v>
      </c>
      <c r="C9068" t="s">
        <v>109</v>
      </c>
      <c r="D9068" s="13" t="s">
        <v>633</v>
      </c>
      <c r="E9068" t="s">
        <v>169</v>
      </c>
      <c r="F9068" s="11">
        <v>2</v>
      </c>
      <c r="G9068" s="11">
        <v>226890.76</v>
      </c>
    </row>
    <row r="9069" spans="2:7" x14ac:dyDescent="0.2">
      <c r="B9069" s="32">
        <v>46072</v>
      </c>
      <c r="C9069" t="s">
        <v>109</v>
      </c>
      <c r="D9069" s="13" t="s">
        <v>633</v>
      </c>
      <c r="E9069" t="s">
        <v>145</v>
      </c>
      <c r="F9069" s="11">
        <v>7</v>
      </c>
      <c r="G9069" s="11">
        <v>205882.34</v>
      </c>
    </row>
    <row r="9070" spans="2:7" x14ac:dyDescent="0.2">
      <c r="B9070" s="32">
        <v>46072</v>
      </c>
      <c r="C9070" t="s">
        <v>109</v>
      </c>
      <c r="D9070" s="13" t="s">
        <v>633</v>
      </c>
      <c r="E9070" t="s">
        <v>728</v>
      </c>
      <c r="F9070" s="11">
        <v>1</v>
      </c>
      <c r="G9070" s="11">
        <v>193277.31</v>
      </c>
    </row>
    <row r="9071" spans="2:7" x14ac:dyDescent="0.2">
      <c r="B9071" s="32">
        <v>46072</v>
      </c>
      <c r="C9071" t="s">
        <v>109</v>
      </c>
      <c r="D9071" s="13" t="s">
        <v>633</v>
      </c>
      <c r="E9071" t="s">
        <v>667</v>
      </c>
      <c r="F9071" s="11">
        <v>2</v>
      </c>
      <c r="G9071" s="11">
        <v>156000</v>
      </c>
    </row>
    <row r="9072" spans="2:7" x14ac:dyDescent="0.2">
      <c r="B9072" s="32">
        <v>46072</v>
      </c>
      <c r="C9072" t="s">
        <v>109</v>
      </c>
      <c r="D9072" s="13" t="s">
        <v>633</v>
      </c>
      <c r="F9072" s="11">
        <v>1</v>
      </c>
      <c r="G9072" s="11">
        <v>126050.42</v>
      </c>
    </row>
    <row r="9073" spans="2:7" x14ac:dyDescent="0.2">
      <c r="B9073" s="32">
        <v>46072</v>
      </c>
      <c r="C9073" t="s">
        <v>109</v>
      </c>
      <c r="D9073" s="13" t="s">
        <v>633</v>
      </c>
      <c r="E9073" t="s">
        <v>484</v>
      </c>
      <c r="F9073" s="11">
        <v>1</v>
      </c>
      <c r="G9073" s="11">
        <v>116000</v>
      </c>
    </row>
    <row r="9074" spans="2:7" x14ac:dyDescent="0.2">
      <c r="B9074" s="32">
        <v>46072</v>
      </c>
      <c r="C9074" t="s">
        <v>109</v>
      </c>
      <c r="D9074" s="13" t="s">
        <v>633</v>
      </c>
      <c r="E9074" t="s">
        <v>243</v>
      </c>
      <c r="F9074" s="11">
        <v>1</v>
      </c>
      <c r="G9074" s="11">
        <v>109243.7</v>
      </c>
    </row>
    <row r="9075" spans="2:7" x14ac:dyDescent="0.2">
      <c r="B9075" s="32">
        <v>46072</v>
      </c>
      <c r="C9075" t="s">
        <v>109</v>
      </c>
      <c r="D9075" s="13" t="s">
        <v>633</v>
      </c>
      <c r="E9075" t="s">
        <v>669</v>
      </c>
      <c r="F9075" s="11">
        <v>1</v>
      </c>
      <c r="G9075" s="11">
        <v>102000</v>
      </c>
    </row>
    <row r="9076" spans="2:7" x14ac:dyDescent="0.2">
      <c r="B9076" s="32">
        <v>46072</v>
      </c>
      <c r="C9076" t="s">
        <v>109</v>
      </c>
      <c r="D9076" s="13" t="s">
        <v>633</v>
      </c>
      <c r="E9076" t="s">
        <v>184</v>
      </c>
      <c r="F9076" s="11">
        <v>1</v>
      </c>
      <c r="G9076" s="11">
        <v>100840.33</v>
      </c>
    </row>
    <row r="9077" spans="2:7" x14ac:dyDescent="0.2">
      <c r="B9077" s="32">
        <v>46072</v>
      </c>
      <c r="C9077" t="s">
        <v>109</v>
      </c>
      <c r="D9077" s="13" t="s">
        <v>633</v>
      </c>
      <c r="E9077" t="s">
        <v>698</v>
      </c>
      <c r="F9077" s="11">
        <v>1</v>
      </c>
      <c r="G9077" s="11">
        <v>84033.61</v>
      </c>
    </row>
    <row r="9078" spans="2:7" x14ac:dyDescent="0.2">
      <c r="B9078" s="32">
        <v>46072</v>
      </c>
      <c r="C9078" t="s">
        <v>109</v>
      </c>
      <c r="D9078" s="13" t="s">
        <v>633</v>
      </c>
      <c r="E9078" t="s">
        <v>234</v>
      </c>
      <c r="F9078" s="11">
        <v>2</v>
      </c>
      <c r="G9078" s="11">
        <v>75630.25</v>
      </c>
    </row>
    <row r="9079" spans="2:7" x14ac:dyDescent="0.2">
      <c r="B9079" s="32">
        <v>46072</v>
      </c>
      <c r="C9079" t="s">
        <v>109</v>
      </c>
      <c r="D9079" s="13" t="s">
        <v>633</v>
      </c>
      <c r="E9079" t="s">
        <v>147</v>
      </c>
      <c r="F9079" s="11">
        <v>1</v>
      </c>
      <c r="G9079" s="11">
        <v>75630.25</v>
      </c>
    </row>
    <row r="9080" spans="2:7" x14ac:dyDescent="0.2">
      <c r="B9080" s="32">
        <v>46072</v>
      </c>
      <c r="C9080" t="s">
        <v>109</v>
      </c>
      <c r="D9080" s="13" t="s">
        <v>633</v>
      </c>
      <c r="E9080" t="s">
        <v>281</v>
      </c>
      <c r="F9080" s="11">
        <v>1</v>
      </c>
      <c r="G9080" s="11">
        <v>63025.21</v>
      </c>
    </row>
    <row r="9081" spans="2:7" x14ac:dyDescent="0.2">
      <c r="B9081" s="32">
        <v>46072</v>
      </c>
      <c r="C9081" t="s">
        <v>109</v>
      </c>
      <c r="D9081" s="13" t="s">
        <v>633</v>
      </c>
      <c r="E9081" t="s">
        <v>616</v>
      </c>
      <c r="F9081" s="11">
        <v>1</v>
      </c>
      <c r="G9081" s="11">
        <v>58823.53</v>
      </c>
    </row>
    <row r="9082" spans="2:7" x14ac:dyDescent="0.2">
      <c r="B9082" s="32">
        <v>46072</v>
      </c>
      <c r="C9082" t="s">
        <v>109</v>
      </c>
      <c r="D9082" s="13" t="s">
        <v>633</v>
      </c>
      <c r="E9082" t="s">
        <v>151</v>
      </c>
      <c r="F9082" s="11">
        <v>1</v>
      </c>
      <c r="G9082" s="11">
        <v>50420.17</v>
      </c>
    </row>
    <row r="9083" spans="2:7" x14ac:dyDescent="0.2">
      <c r="B9083" s="32">
        <v>46072</v>
      </c>
      <c r="C9083" t="s">
        <v>109</v>
      </c>
      <c r="D9083" s="13" t="s">
        <v>633</v>
      </c>
      <c r="E9083" t="s">
        <v>156</v>
      </c>
      <c r="F9083" s="11">
        <v>1</v>
      </c>
      <c r="G9083" s="11">
        <v>46218.49</v>
      </c>
    </row>
    <row r="9084" spans="2:7" x14ac:dyDescent="0.2">
      <c r="B9084" s="32">
        <v>46072</v>
      </c>
      <c r="C9084" t="s">
        <v>109</v>
      </c>
      <c r="D9084" s="13" t="s">
        <v>633</v>
      </c>
      <c r="E9084" t="s">
        <v>144</v>
      </c>
      <c r="F9084" s="11">
        <v>4</v>
      </c>
      <c r="G9084" s="11">
        <v>37394.959999999999</v>
      </c>
    </row>
    <row r="9085" spans="2:7" x14ac:dyDescent="0.2">
      <c r="B9085" s="32">
        <v>46072</v>
      </c>
      <c r="C9085" t="s">
        <v>109</v>
      </c>
      <c r="D9085" s="13" t="s">
        <v>633</v>
      </c>
      <c r="E9085" t="s">
        <v>327</v>
      </c>
      <c r="F9085" s="11">
        <v>1</v>
      </c>
      <c r="G9085" s="11">
        <v>35000</v>
      </c>
    </row>
    <row r="9086" spans="2:7" x14ac:dyDescent="0.2">
      <c r="B9086" s="32">
        <v>46072</v>
      </c>
      <c r="C9086" t="s">
        <v>109</v>
      </c>
      <c r="D9086" s="13" t="s">
        <v>633</v>
      </c>
      <c r="E9086" t="s">
        <v>209</v>
      </c>
      <c r="F9086" s="11">
        <v>1</v>
      </c>
      <c r="G9086" s="11">
        <v>16806.72</v>
      </c>
    </row>
    <row r="9087" spans="2:7" x14ac:dyDescent="0.2">
      <c r="B9087" s="32">
        <v>46073</v>
      </c>
      <c r="C9087" t="s">
        <v>109</v>
      </c>
      <c r="D9087" s="13"/>
      <c r="E9087" t="s">
        <v>348</v>
      </c>
      <c r="F9087" s="11">
        <v>1</v>
      </c>
      <c r="G9087" s="11">
        <v>58823.53</v>
      </c>
    </row>
    <row r="9088" spans="2:7" x14ac:dyDescent="0.2">
      <c r="B9088" s="32">
        <v>46073</v>
      </c>
      <c r="C9088" t="s">
        <v>109</v>
      </c>
      <c r="D9088" s="13" t="s">
        <v>634</v>
      </c>
      <c r="E9088" t="s">
        <v>390</v>
      </c>
      <c r="F9088" s="11">
        <v>1</v>
      </c>
      <c r="G9088" s="11">
        <v>277310.92</v>
      </c>
    </row>
    <row r="9089" spans="2:7" x14ac:dyDescent="0.2">
      <c r="B9089" s="32">
        <v>46073</v>
      </c>
      <c r="C9089" t="s">
        <v>109</v>
      </c>
      <c r="D9089" s="13" t="s">
        <v>634</v>
      </c>
      <c r="E9089" t="s">
        <v>233</v>
      </c>
      <c r="F9089" s="11">
        <v>1</v>
      </c>
      <c r="G9089" s="11">
        <v>92436.97</v>
      </c>
    </row>
    <row r="9090" spans="2:7" x14ac:dyDescent="0.2">
      <c r="B9090" s="32">
        <v>46073</v>
      </c>
      <c r="C9090" t="s">
        <v>109</v>
      </c>
      <c r="D9090" s="13" t="s">
        <v>634</v>
      </c>
      <c r="E9090" t="s">
        <v>413</v>
      </c>
      <c r="F9090" s="11">
        <v>1</v>
      </c>
      <c r="G9090" s="11">
        <v>84033.62</v>
      </c>
    </row>
    <row r="9091" spans="2:7" x14ac:dyDescent="0.2">
      <c r="B9091" s="32">
        <v>46073</v>
      </c>
      <c r="C9091" t="s">
        <v>109</v>
      </c>
      <c r="D9091" s="13" t="s">
        <v>634</v>
      </c>
      <c r="E9091" t="s">
        <v>393</v>
      </c>
      <c r="F9091" s="11">
        <v>1</v>
      </c>
      <c r="G9091" s="11">
        <v>84033.61</v>
      </c>
    </row>
    <row r="9092" spans="2:7" x14ac:dyDescent="0.2">
      <c r="B9092" s="32">
        <v>46073</v>
      </c>
      <c r="C9092" t="s">
        <v>109</v>
      </c>
      <c r="D9092" s="13" t="s">
        <v>634</v>
      </c>
      <c r="E9092" t="s">
        <v>394</v>
      </c>
      <c r="F9092" s="11">
        <v>1</v>
      </c>
      <c r="G9092" s="11">
        <v>84033.61</v>
      </c>
    </row>
    <row r="9093" spans="2:7" x14ac:dyDescent="0.2">
      <c r="B9093" s="32">
        <v>46073</v>
      </c>
      <c r="C9093" t="s">
        <v>109</v>
      </c>
      <c r="D9093" s="13" t="s">
        <v>634</v>
      </c>
      <c r="E9093" t="s">
        <v>336</v>
      </c>
      <c r="F9093" s="11">
        <v>1</v>
      </c>
      <c r="G9093" s="11">
        <v>75630.25</v>
      </c>
    </row>
    <row r="9094" spans="2:7" x14ac:dyDescent="0.2">
      <c r="B9094" s="32">
        <v>46073</v>
      </c>
      <c r="C9094" t="s">
        <v>109</v>
      </c>
      <c r="D9094" s="13" t="s">
        <v>634</v>
      </c>
      <c r="E9094" t="s">
        <v>446</v>
      </c>
      <c r="F9094" s="11">
        <v>1</v>
      </c>
      <c r="G9094" s="11">
        <v>73190.570000000007</v>
      </c>
    </row>
    <row r="9095" spans="2:7" x14ac:dyDescent="0.2">
      <c r="B9095" s="32">
        <v>46073</v>
      </c>
      <c r="C9095" t="s">
        <v>109</v>
      </c>
      <c r="D9095" s="13" t="s">
        <v>634</v>
      </c>
      <c r="E9095" t="s">
        <v>341</v>
      </c>
      <c r="F9095" s="11">
        <v>1</v>
      </c>
      <c r="G9095" s="11">
        <v>63025.21</v>
      </c>
    </row>
    <row r="9096" spans="2:7" x14ac:dyDescent="0.2">
      <c r="B9096" s="32">
        <v>46073</v>
      </c>
      <c r="C9096" t="s">
        <v>109</v>
      </c>
      <c r="D9096" s="13" t="s">
        <v>634</v>
      </c>
      <c r="E9096" t="s">
        <v>303</v>
      </c>
      <c r="F9096" s="11">
        <v>1</v>
      </c>
      <c r="G9096" s="11">
        <v>52859.85</v>
      </c>
    </row>
    <row r="9097" spans="2:7" x14ac:dyDescent="0.2">
      <c r="B9097" s="32">
        <v>46073</v>
      </c>
      <c r="C9097" t="s">
        <v>109</v>
      </c>
      <c r="D9097" s="13" t="s">
        <v>634</v>
      </c>
      <c r="E9097" t="s">
        <v>160</v>
      </c>
      <c r="F9097" s="11">
        <v>1</v>
      </c>
      <c r="G9097" s="11">
        <v>46218.49</v>
      </c>
    </row>
    <row r="9098" spans="2:7" x14ac:dyDescent="0.2">
      <c r="B9098" s="32">
        <v>46073</v>
      </c>
      <c r="C9098" t="s">
        <v>109</v>
      </c>
      <c r="D9098" s="13" t="s">
        <v>634</v>
      </c>
      <c r="E9098" t="s">
        <v>206</v>
      </c>
      <c r="F9098" s="11">
        <v>1</v>
      </c>
      <c r="G9098" s="11">
        <v>37815.129999999997</v>
      </c>
    </row>
    <row r="9099" spans="2:7" x14ac:dyDescent="0.2">
      <c r="B9099" s="32">
        <v>46073</v>
      </c>
      <c r="C9099" t="s">
        <v>109</v>
      </c>
      <c r="D9099" s="13" t="s">
        <v>634</v>
      </c>
      <c r="E9099" t="s">
        <v>144</v>
      </c>
      <c r="F9099" s="11">
        <v>1</v>
      </c>
      <c r="G9099" s="11">
        <v>3781.51</v>
      </c>
    </row>
    <row r="9100" spans="2:7" x14ac:dyDescent="0.2">
      <c r="B9100" s="32">
        <v>46073</v>
      </c>
      <c r="C9100" t="s">
        <v>109</v>
      </c>
      <c r="D9100" s="13" t="s">
        <v>634</v>
      </c>
      <c r="F9100" s="11">
        <v>0</v>
      </c>
      <c r="G9100" s="11">
        <v>0</v>
      </c>
    </row>
    <row r="9101" spans="2:7" x14ac:dyDescent="0.2">
      <c r="B9101" s="32">
        <v>46073</v>
      </c>
      <c r="C9101" t="s">
        <v>109</v>
      </c>
      <c r="D9101" s="13" t="s">
        <v>633</v>
      </c>
      <c r="E9101" t="s">
        <v>669</v>
      </c>
      <c r="F9101" s="11">
        <v>1</v>
      </c>
      <c r="G9101" s="11">
        <v>102000</v>
      </c>
    </row>
    <row r="9102" spans="2:7" x14ac:dyDescent="0.2">
      <c r="B9102" s="32">
        <v>46073</v>
      </c>
      <c r="C9102" t="s">
        <v>109</v>
      </c>
      <c r="D9102" s="13" t="s">
        <v>633</v>
      </c>
      <c r="E9102" t="s">
        <v>152</v>
      </c>
      <c r="F9102" s="11">
        <v>1</v>
      </c>
      <c r="G9102" s="11">
        <v>84033.61</v>
      </c>
    </row>
    <row r="9103" spans="2:7" x14ac:dyDescent="0.2">
      <c r="B9103" s="32">
        <v>46073</v>
      </c>
      <c r="C9103" t="s">
        <v>109</v>
      </c>
      <c r="D9103" s="13" t="s">
        <v>633</v>
      </c>
      <c r="E9103" t="s">
        <v>248</v>
      </c>
      <c r="F9103" s="11">
        <v>2</v>
      </c>
      <c r="G9103" s="11">
        <v>75630.25</v>
      </c>
    </row>
    <row r="9104" spans="2:7" x14ac:dyDescent="0.2">
      <c r="B9104" s="32">
        <v>46073</v>
      </c>
      <c r="C9104" t="s">
        <v>109</v>
      </c>
      <c r="D9104" s="13" t="s">
        <v>633</v>
      </c>
      <c r="E9104" t="s">
        <v>144</v>
      </c>
      <c r="F9104" s="11">
        <v>9</v>
      </c>
      <c r="G9104" s="11">
        <v>73109.240000000005</v>
      </c>
    </row>
    <row r="9105" spans="2:7" x14ac:dyDescent="0.2">
      <c r="B9105" s="32">
        <v>46073</v>
      </c>
      <c r="C9105" t="s">
        <v>109</v>
      </c>
      <c r="D9105" s="13" t="s">
        <v>633</v>
      </c>
      <c r="E9105" t="s">
        <v>327</v>
      </c>
      <c r="F9105" s="11">
        <v>2</v>
      </c>
      <c r="G9105" s="11">
        <v>70000</v>
      </c>
    </row>
    <row r="9106" spans="2:7" x14ac:dyDescent="0.2">
      <c r="B9106" s="32">
        <v>46073</v>
      </c>
      <c r="C9106" t="s">
        <v>109</v>
      </c>
      <c r="D9106" s="13" t="s">
        <v>633</v>
      </c>
      <c r="E9106" t="s">
        <v>153</v>
      </c>
      <c r="F9106" s="11">
        <v>1</v>
      </c>
      <c r="G9106" s="11">
        <v>46218.49</v>
      </c>
    </row>
    <row r="9107" spans="2:7" x14ac:dyDescent="0.2">
      <c r="B9107" s="32">
        <v>46073</v>
      </c>
      <c r="C9107" t="s">
        <v>109</v>
      </c>
      <c r="D9107" s="13" t="s">
        <v>633</v>
      </c>
      <c r="E9107" t="s">
        <v>158</v>
      </c>
      <c r="F9107" s="11">
        <v>1</v>
      </c>
      <c r="G9107" s="11">
        <v>46218.49</v>
      </c>
    </row>
    <row r="9108" spans="2:7" x14ac:dyDescent="0.2">
      <c r="B9108" s="32">
        <v>46073</v>
      </c>
      <c r="C9108" t="s">
        <v>109</v>
      </c>
      <c r="D9108" s="13" t="s">
        <v>633</v>
      </c>
      <c r="E9108" t="s">
        <v>203</v>
      </c>
      <c r="F9108" s="11">
        <v>1</v>
      </c>
      <c r="G9108" s="11">
        <v>42016.81</v>
      </c>
    </row>
    <row r="9109" spans="2:7" x14ac:dyDescent="0.2">
      <c r="B9109" s="32">
        <v>46073</v>
      </c>
      <c r="C9109" t="s">
        <v>109</v>
      </c>
      <c r="D9109" s="13" t="s">
        <v>633</v>
      </c>
      <c r="E9109" t="s">
        <v>166</v>
      </c>
      <c r="F9109" s="11">
        <v>1</v>
      </c>
      <c r="G9109" s="11">
        <v>42016.81</v>
      </c>
    </row>
    <row r="9110" spans="2:7" x14ac:dyDescent="0.2">
      <c r="B9110" s="32">
        <v>46074</v>
      </c>
      <c r="C9110" t="s">
        <v>142</v>
      </c>
      <c r="D9110" s="13" t="s">
        <v>634</v>
      </c>
      <c r="E9110" t="s">
        <v>355</v>
      </c>
      <c r="F9110" s="11">
        <v>2</v>
      </c>
      <c r="G9110" s="11">
        <v>180672.27</v>
      </c>
    </row>
    <row r="9111" spans="2:7" x14ac:dyDescent="0.2">
      <c r="B9111" s="32">
        <v>46074</v>
      </c>
      <c r="C9111" t="s">
        <v>142</v>
      </c>
      <c r="D9111" s="13" t="s">
        <v>634</v>
      </c>
      <c r="E9111" t="s">
        <v>400</v>
      </c>
      <c r="F9111" s="11">
        <v>1</v>
      </c>
      <c r="G9111" s="11">
        <v>138655.46</v>
      </c>
    </row>
    <row r="9112" spans="2:7" x14ac:dyDescent="0.2">
      <c r="B9112" s="32">
        <v>46074</v>
      </c>
      <c r="C9112" t="s">
        <v>142</v>
      </c>
      <c r="D9112" s="13" t="s">
        <v>634</v>
      </c>
      <c r="E9112" t="s">
        <v>176</v>
      </c>
      <c r="F9112" s="11">
        <v>1</v>
      </c>
      <c r="G9112" s="11">
        <v>63025.21</v>
      </c>
    </row>
    <row r="9113" spans="2:7" x14ac:dyDescent="0.2">
      <c r="B9113" s="32">
        <v>46074</v>
      </c>
      <c r="C9113" t="s">
        <v>142</v>
      </c>
      <c r="D9113" s="13" t="s">
        <v>634</v>
      </c>
      <c r="E9113" t="s">
        <v>392</v>
      </c>
      <c r="F9113" s="11">
        <v>1</v>
      </c>
      <c r="G9113" s="11">
        <v>50420.17</v>
      </c>
    </row>
    <row r="9114" spans="2:7" x14ac:dyDescent="0.2">
      <c r="B9114" s="32">
        <v>46074</v>
      </c>
      <c r="C9114" t="s">
        <v>142</v>
      </c>
      <c r="D9114" s="13" t="s">
        <v>634</v>
      </c>
      <c r="F9114" s="11">
        <v>0</v>
      </c>
      <c r="G9114" s="11">
        <v>0</v>
      </c>
    </row>
    <row r="9115" spans="2:7" x14ac:dyDescent="0.2">
      <c r="B9115" s="32">
        <v>46074</v>
      </c>
      <c r="C9115" t="s">
        <v>142</v>
      </c>
      <c r="D9115" s="13" t="s">
        <v>633</v>
      </c>
      <c r="E9115" t="s">
        <v>705</v>
      </c>
      <c r="F9115" s="11">
        <v>1</v>
      </c>
      <c r="G9115" s="11">
        <v>63025.21</v>
      </c>
    </row>
    <row r="9116" spans="2:7" x14ac:dyDescent="0.2">
      <c r="B9116" s="32">
        <v>46074</v>
      </c>
      <c r="C9116" t="s">
        <v>142</v>
      </c>
      <c r="D9116" s="13" t="s">
        <v>633</v>
      </c>
      <c r="E9116" t="s">
        <v>651</v>
      </c>
      <c r="F9116" s="11">
        <v>1</v>
      </c>
      <c r="G9116" s="11">
        <v>58823.53</v>
      </c>
    </row>
    <row r="9117" spans="2:7" x14ac:dyDescent="0.2">
      <c r="B9117" s="32">
        <v>46074</v>
      </c>
      <c r="C9117" t="s">
        <v>142</v>
      </c>
      <c r="D9117" s="13" t="s">
        <v>633</v>
      </c>
      <c r="F9117" s="11">
        <v>0</v>
      </c>
      <c r="G9117" s="11">
        <v>0</v>
      </c>
    </row>
    <row r="9118" spans="2:7" x14ac:dyDescent="0.2">
      <c r="B9118" s="32">
        <v>46074</v>
      </c>
      <c r="C9118" t="s">
        <v>110</v>
      </c>
      <c r="D9118" s="13" t="s">
        <v>633</v>
      </c>
      <c r="E9118" t="s">
        <v>348</v>
      </c>
      <c r="F9118" s="11">
        <v>1</v>
      </c>
      <c r="G9118" s="11">
        <v>58823.53</v>
      </c>
    </row>
    <row r="9119" spans="2:7" x14ac:dyDescent="0.2">
      <c r="B9119" s="32">
        <v>46074</v>
      </c>
      <c r="C9119" t="s">
        <v>110</v>
      </c>
      <c r="D9119" s="13" t="s">
        <v>633</v>
      </c>
      <c r="E9119" t="s">
        <v>466</v>
      </c>
      <c r="F9119" s="11">
        <v>1</v>
      </c>
      <c r="G9119" s="11">
        <v>37815.129999999997</v>
      </c>
    </row>
    <row r="9120" spans="2:7" x14ac:dyDescent="0.2">
      <c r="B9120" s="32">
        <v>46074</v>
      </c>
      <c r="C9120" t="s">
        <v>109</v>
      </c>
      <c r="D9120" s="13"/>
      <c r="E9120" t="s">
        <v>238</v>
      </c>
      <c r="F9120" s="11">
        <v>1</v>
      </c>
      <c r="G9120" s="11">
        <v>46218.49</v>
      </c>
    </row>
    <row r="9121" spans="2:7" x14ac:dyDescent="0.2">
      <c r="B9121" s="32">
        <v>46074</v>
      </c>
      <c r="C9121" t="s">
        <v>109</v>
      </c>
      <c r="D9121" s="13" t="s">
        <v>634</v>
      </c>
      <c r="E9121" t="s">
        <v>216</v>
      </c>
      <c r="F9121" s="11">
        <v>1</v>
      </c>
      <c r="G9121" s="11">
        <v>115000</v>
      </c>
    </row>
    <row r="9122" spans="2:7" x14ac:dyDescent="0.2">
      <c r="B9122" s="32">
        <v>46074</v>
      </c>
      <c r="C9122" t="s">
        <v>109</v>
      </c>
      <c r="D9122" s="13" t="s">
        <v>634</v>
      </c>
      <c r="E9122" t="s">
        <v>144</v>
      </c>
      <c r="F9122" s="11">
        <v>1</v>
      </c>
      <c r="G9122" s="11">
        <v>84033.61</v>
      </c>
    </row>
    <row r="9123" spans="2:7" x14ac:dyDescent="0.2">
      <c r="B9123" s="32">
        <v>46074</v>
      </c>
      <c r="C9123" t="s">
        <v>109</v>
      </c>
      <c r="D9123" s="13" t="s">
        <v>634</v>
      </c>
      <c r="E9123" t="s">
        <v>445</v>
      </c>
      <c r="F9123" s="11">
        <v>1</v>
      </c>
      <c r="G9123" s="11">
        <v>54621.85</v>
      </c>
    </row>
    <row r="9124" spans="2:7" x14ac:dyDescent="0.2">
      <c r="B9124" s="32">
        <v>46074</v>
      </c>
      <c r="C9124" t="s">
        <v>109</v>
      </c>
      <c r="D9124" s="13" t="s">
        <v>634</v>
      </c>
      <c r="E9124" t="s">
        <v>168</v>
      </c>
      <c r="F9124" s="11">
        <v>1</v>
      </c>
      <c r="G9124" s="11">
        <v>46218.49</v>
      </c>
    </row>
    <row r="9125" spans="2:7" x14ac:dyDescent="0.2">
      <c r="B9125" s="32">
        <v>46074</v>
      </c>
      <c r="C9125" t="s">
        <v>109</v>
      </c>
      <c r="D9125" s="13" t="s">
        <v>634</v>
      </c>
      <c r="E9125" t="s">
        <v>206</v>
      </c>
      <c r="F9125" s="11">
        <v>1</v>
      </c>
      <c r="G9125" s="11">
        <v>37815.129999999997</v>
      </c>
    </row>
    <row r="9126" spans="2:7" x14ac:dyDescent="0.2">
      <c r="B9126" s="32">
        <v>46074</v>
      </c>
      <c r="C9126" t="s">
        <v>109</v>
      </c>
      <c r="D9126" s="13" t="s">
        <v>634</v>
      </c>
      <c r="E9126" t="s">
        <v>327</v>
      </c>
      <c r="F9126" s="11">
        <v>1</v>
      </c>
      <c r="G9126" s="11">
        <v>35000</v>
      </c>
    </row>
    <row r="9127" spans="2:7" x14ac:dyDescent="0.2">
      <c r="B9127" s="32">
        <v>46074</v>
      </c>
      <c r="C9127" t="s">
        <v>109</v>
      </c>
      <c r="D9127" s="13" t="s">
        <v>634</v>
      </c>
      <c r="E9127" t="s">
        <v>171</v>
      </c>
      <c r="F9127" s="11">
        <v>1</v>
      </c>
      <c r="G9127" s="11">
        <v>29411.759999999998</v>
      </c>
    </row>
    <row r="9128" spans="2:7" x14ac:dyDescent="0.2">
      <c r="B9128" s="32">
        <v>46074</v>
      </c>
      <c r="C9128" t="s">
        <v>109</v>
      </c>
      <c r="D9128" s="13" t="s">
        <v>634</v>
      </c>
      <c r="E9128" t="s">
        <v>180</v>
      </c>
      <c r="F9128" s="11">
        <v>1</v>
      </c>
      <c r="G9128" s="11">
        <v>16806.72</v>
      </c>
    </row>
    <row r="9129" spans="2:7" x14ac:dyDescent="0.2">
      <c r="B9129" s="32">
        <v>46074</v>
      </c>
      <c r="C9129" t="s">
        <v>109</v>
      </c>
      <c r="D9129" s="13" t="s">
        <v>633</v>
      </c>
      <c r="F9129" s="11">
        <v>3</v>
      </c>
      <c r="G9129" s="11">
        <v>378151.26</v>
      </c>
    </row>
    <row r="9130" spans="2:7" x14ac:dyDescent="0.2">
      <c r="B9130" s="32">
        <v>46074</v>
      </c>
      <c r="C9130" t="s">
        <v>109</v>
      </c>
      <c r="D9130" s="13" t="s">
        <v>633</v>
      </c>
      <c r="E9130" t="s">
        <v>301</v>
      </c>
      <c r="F9130" s="11">
        <v>1</v>
      </c>
      <c r="G9130" s="11">
        <v>169000</v>
      </c>
    </row>
    <row r="9131" spans="2:7" x14ac:dyDescent="0.2">
      <c r="B9131" s="32">
        <v>46074</v>
      </c>
      <c r="C9131" t="s">
        <v>109</v>
      </c>
      <c r="D9131" s="13" t="s">
        <v>633</v>
      </c>
      <c r="E9131" t="s">
        <v>157</v>
      </c>
      <c r="F9131" s="11">
        <v>2</v>
      </c>
      <c r="G9131" s="11">
        <v>168067.22</v>
      </c>
    </row>
    <row r="9132" spans="2:7" x14ac:dyDescent="0.2">
      <c r="B9132" s="32">
        <v>46074</v>
      </c>
      <c r="C9132" t="s">
        <v>109</v>
      </c>
      <c r="D9132" s="13" t="s">
        <v>633</v>
      </c>
      <c r="E9132" t="s">
        <v>220</v>
      </c>
      <c r="F9132" s="11">
        <v>2</v>
      </c>
      <c r="G9132" s="11">
        <v>168067.22</v>
      </c>
    </row>
    <row r="9133" spans="2:7" x14ac:dyDescent="0.2">
      <c r="B9133" s="32">
        <v>46074</v>
      </c>
      <c r="C9133" t="s">
        <v>109</v>
      </c>
      <c r="D9133" s="13" t="s">
        <v>633</v>
      </c>
      <c r="E9133" t="s">
        <v>642</v>
      </c>
      <c r="F9133" s="11">
        <v>3</v>
      </c>
      <c r="G9133" s="11">
        <v>147000</v>
      </c>
    </row>
    <row r="9134" spans="2:7" x14ac:dyDescent="0.2">
      <c r="B9134" s="32">
        <v>46074</v>
      </c>
      <c r="C9134" t="s">
        <v>109</v>
      </c>
      <c r="D9134" s="13" t="s">
        <v>633</v>
      </c>
      <c r="E9134" t="s">
        <v>161</v>
      </c>
      <c r="F9134" s="11">
        <v>3</v>
      </c>
      <c r="G9134" s="11">
        <v>126050.42</v>
      </c>
    </row>
    <row r="9135" spans="2:7" x14ac:dyDescent="0.2">
      <c r="B9135" s="32">
        <v>46074</v>
      </c>
      <c r="C9135" t="s">
        <v>109</v>
      </c>
      <c r="D9135" s="13" t="s">
        <v>633</v>
      </c>
      <c r="E9135" t="s">
        <v>145</v>
      </c>
      <c r="F9135" s="11">
        <v>3</v>
      </c>
      <c r="G9135" s="11">
        <v>88235.3</v>
      </c>
    </row>
    <row r="9136" spans="2:7" x14ac:dyDescent="0.2">
      <c r="B9136" s="32">
        <v>46074</v>
      </c>
      <c r="C9136" t="s">
        <v>109</v>
      </c>
      <c r="D9136" s="13" t="s">
        <v>633</v>
      </c>
      <c r="E9136" t="s">
        <v>264</v>
      </c>
      <c r="F9136" s="11">
        <v>1</v>
      </c>
      <c r="G9136" s="11">
        <v>84033.61</v>
      </c>
    </row>
    <row r="9137" spans="2:7" x14ac:dyDescent="0.2">
      <c r="B9137" s="32">
        <v>46074</v>
      </c>
      <c r="C9137" t="s">
        <v>109</v>
      </c>
      <c r="D9137" s="13" t="s">
        <v>633</v>
      </c>
      <c r="E9137" t="s">
        <v>356</v>
      </c>
      <c r="F9137" s="11">
        <v>2</v>
      </c>
      <c r="G9137" s="11">
        <v>75630.259999999995</v>
      </c>
    </row>
    <row r="9138" spans="2:7" x14ac:dyDescent="0.2">
      <c r="B9138" s="32">
        <v>46074</v>
      </c>
      <c r="C9138" t="s">
        <v>109</v>
      </c>
      <c r="D9138" s="13" t="s">
        <v>633</v>
      </c>
      <c r="E9138" t="s">
        <v>175</v>
      </c>
      <c r="F9138" s="11">
        <v>1</v>
      </c>
      <c r="G9138" s="11">
        <v>63025.21</v>
      </c>
    </row>
    <row r="9139" spans="2:7" x14ac:dyDescent="0.2">
      <c r="B9139" s="32">
        <v>46074</v>
      </c>
      <c r="C9139" t="s">
        <v>109</v>
      </c>
      <c r="D9139" s="13" t="s">
        <v>633</v>
      </c>
      <c r="E9139" t="s">
        <v>258</v>
      </c>
      <c r="F9139" s="11">
        <v>1</v>
      </c>
      <c r="G9139" s="11">
        <v>58823.53</v>
      </c>
    </row>
    <row r="9140" spans="2:7" x14ac:dyDescent="0.2">
      <c r="B9140" s="32">
        <v>46074</v>
      </c>
      <c r="C9140" t="s">
        <v>109</v>
      </c>
      <c r="D9140" s="13" t="s">
        <v>633</v>
      </c>
      <c r="E9140" t="s">
        <v>427</v>
      </c>
      <c r="F9140" s="11">
        <v>1</v>
      </c>
      <c r="G9140" s="11">
        <v>58823.53</v>
      </c>
    </row>
    <row r="9141" spans="2:7" x14ac:dyDescent="0.2">
      <c r="B9141" s="32">
        <v>46074</v>
      </c>
      <c r="C9141" t="s">
        <v>109</v>
      </c>
      <c r="D9141" s="13" t="s">
        <v>633</v>
      </c>
      <c r="E9141" t="s">
        <v>218</v>
      </c>
      <c r="F9141" s="11">
        <v>1</v>
      </c>
      <c r="G9141" s="11">
        <v>42016.81</v>
      </c>
    </row>
    <row r="9142" spans="2:7" x14ac:dyDescent="0.2">
      <c r="B9142" s="32">
        <v>46074</v>
      </c>
      <c r="C9142" t="s">
        <v>109</v>
      </c>
      <c r="D9142" s="13" t="s">
        <v>633</v>
      </c>
      <c r="E9142" t="s">
        <v>309</v>
      </c>
      <c r="F9142" s="11">
        <v>1</v>
      </c>
      <c r="G9142" s="11">
        <v>42016.81</v>
      </c>
    </row>
    <row r="9143" spans="2:7" x14ac:dyDescent="0.2">
      <c r="B9143" s="32">
        <v>46074</v>
      </c>
      <c r="C9143" t="s">
        <v>109</v>
      </c>
      <c r="D9143" s="13" t="s">
        <v>633</v>
      </c>
      <c r="E9143" t="s">
        <v>177</v>
      </c>
      <c r="F9143" s="11">
        <v>1</v>
      </c>
      <c r="G9143" s="11">
        <v>42016.800000000003</v>
      </c>
    </row>
    <row r="9144" spans="2:7" x14ac:dyDescent="0.2">
      <c r="B9144" s="32">
        <v>46074</v>
      </c>
      <c r="C9144" t="s">
        <v>109</v>
      </c>
      <c r="D9144" s="13" t="s">
        <v>633</v>
      </c>
      <c r="E9144" t="s">
        <v>144</v>
      </c>
      <c r="F9144" s="11">
        <v>5</v>
      </c>
      <c r="G9144" s="11">
        <v>39915.97</v>
      </c>
    </row>
    <row r="9145" spans="2:7" x14ac:dyDescent="0.2">
      <c r="B9145" s="32">
        <v>46074</v>
      </c>
      <c r="C9145" t="s">
        <v>109</v>
      </c>
      <c r="D9145" s="13" t="s">
        <v>633</v>
      </c>
      <c r="E9145" t="s">
        <v>148</v>
      </c>
      <c r="F9145" s="11">
        <v>1</v>
      </c>
      <c r="G9145" s="11">
        <v>37815.129999999997</v>
      </c>
    </row>
    <row r="9146" spans="2:7" x14ac:dyDescent="0.2">
      <c r="B9146" s="32">
        <v>46074</v>
      </c>
      <c r="C9146" t="s">
        <v>109</v>
      </c>
      <c r="D9146" s="13" t="s">
        <v>633</v>
      </c>
      <c r="E9146" t="s">
        <v>293</v>
      </c>
      <c r="F9146" s="11">
        <v>1</v>
      </c>
      <c r="G9146" s="11">
        <v>37815.129999999997</v>
      </c>
    </row>
    <row r="9147" spans="2:7" x14ac:dyDescent="0.2">
      <c r="B9147" s="32">
        <v>46074</v>
      </c>
      <c r="C9147" t="s">
        <v>109</v>
      </c>
      <c r="D9147" s="13" t="s">
        <v>633</v>
      </c>
      <c r="E9147" t="s">
        <v>193</v>
      </c>
      <c r="F9147" s="11">
        <v>1</v>
      </c>
      <c r="G9147" s="11">
        <v>37815.129999999997</v>
      </c>
    </row>
    <row r="9148" spans="2:7" x14ac:dyDescent="0.2">
      <c r="B9148" s="32">
        <v>46074</v>
      </c>
      <c r="C9148" t="s">
        <v>109</v>
      </c>
      <c r="D9148" s="13" t="s">
        <v>633</v>
      </c>
      <c r="E9148" t="s">
        <v>327</v>
      </c>
      <c r="F9148" s="11">
        <v>1</v>
      </c>
      <c r="G9148" s="11">
        <v>35000</v>
      </c>
    </row>
    <row r="9149" spans="2:7" x14ac:dyDescent="0.2">
      <c r="B9149" s="32">
        <v>46074</v>
      </c>
      <c r="C9149" t="s">
        <v>109</v>
      </c>
      <c r="D9149" s="13" t="s">
        <v>633</v>
      </c>
      <c r="E9149" t="s">
        <v>509</v>
      </c>
      <c r="F9149" s="11">
        <v>1</v>
      </c>
      <c r="G9149" s="11">
        <v>16806.72</v>
      </c>
    </row>
    <row r="9150" spans="2:7" x14ac:dyDescent="0.2">
      <c r="B9150" s="32">
        <v>46075</v>
      </c>
      <c r="C9150" t="s">
        <v>142</v>
      </c>
      <c r="D9150" s="13" t="s">
        <v>634</v>
      </c>
      <c r="E9150" t="s">
        <v>281</v>
      </c>
      <c r="F9150" s="11">
        <v>1</v>
      </c>
      <c r="G9150" s="11">
        <v>63025.21</v>
      </c>
    </row>
    <row r="9151" spans="2:7" x14ac:dyDescent="0.2">
      <c r="B9151" s="32">
        <v>46075</v>
      </c>
      <c r="C9151" t="s">
        <v>142</v>
      </c>
      <c r="D9151" s="13" t="s">
        <v>634</v>
      </c>
      <c r="E9151" t="s">
        <v>378</v>
      </c>
      <c r="F9151" s="11">
        <v>1</v>
      </c>
      <c r="G9151" s="11">
        <v>63025.21</v>
      </c>
    </row>
    <row r="9152" spans="2:7" x14ac:dyDescent="0.2">
      <c r="B9152" s="32">
        <v>46075</v>
      </c>
      <c r="C9152" t="s">
        <v>142</v>
      </c>
      <c r="D9152" s="13" t="s">
        <v>634</v>
      </c>
      <c r="F9152" s="11">
        <v>0</v>
      </c>
      <c r="G9152" s="11">
        <v>0</v>
      </c>
    </row>
    <row r="9153" spans="2:7" x14ac:dyDescent="0.2">
      <c r="B9153" s="32">
        <v>46075</v>
      </c>
      <c r="C9153" t="s">
        <v>142</v>
      </c>
      <c r="D9153" s="13" t="s">
        <v>633</v>
      </c>
      <c r="E9153" t="s">
        <v>717</v>
      </c>
      <c r="F9153" s="11">
        <v>1</v>
      </c>
      <c r="G9153" s="11">
        <v>163865.54999999999</v>
      </c>
    </row>
    <row r="9154" spans="2:7" x14ac:dyDescent="0.2">
      <c r="B9154" s="32">
        <v>46075</v>
      </c>
      <c r="C9154" t="s">
        <v>142</v>
      </c>
      <c r="D9154" s="13" t="s">
        <v>633</v>
      </c>
      <c r="E9154" t="s">
        <v>218</v>
      </c>
      <c r="F9154" s="11">
        <v>2</v>
      </c>
      <c r="G9154" s="11">
        <v>84033.61</v>
      </c>
    </row>
    <row r="9155" spans="2:7" x14ac:dyDescent="0.2">
      <c r="B9155" s="32">
        <v>46075</v>
      </c>
      <c r="C9155" t="s">
        <v>142</v>
      </c>
      <c r="D9155" s="13" t="s">
        <v>633</v>
      </c>
      <c r="E9155" t="s">
        <v>647</v>
      </c>
      <c r="F9155" s="11">
        <v>1</v>
      </c>
      <c r="G9155" s="11">
        <v>84033.61</v>
      </c>
    </row>
    <row r="9156" spans="2:7" x14ac:dyDescent="0.2">
      <c r="B9156" s="32">
        <v>46075</v>
      </c>
      <c r="C9156" t="s">
        <v>142</v>
      </c>
      <c r="D9156" s="13" t="s">
        <v>633</v>
      </c>
      <c r="E9156" t="s">
        <v>704</v>
      </c>
      <c r="F9156" s="11">
        <v>1</v>
      </c>
      <c r="G9156" s="11">
        <v>46218.49</v>
      </c>
    </row>
    <row r="9157" spans="2:7" x14ac:dyDescent="0.2">
      <c r="B9157" s="32">
        <v>46075</v>
      </c>
      <c r="C9157" t="s">
        <v>142</v>
      </c>
      <c r="D9157" s="13" t="s">
        <v>633</v>
      </c>
      <c r="F9157" s="11">
        <v>0</v>
      </c>
      <c r="G9157" s="11">
        <v>0</v>
      </c>
    </row>
    <row r="9158" spans="2:7" x14ac:dyDescent="0.2">
      <c r="B9158" s="32">
        <v>46076</v>
      </c>
      <c r="C9158" t="s">
        <v>142</v>
      </c>
      <c r="D9158" s="13" t="s">
        <v>633</v>
      </c>
      <c r="E9158" t="s">
        <v>711</v>
      </c>
      <c r="F9158" s="11">
        <v>1</v>
      </c>
      <c r="G9158" s="11">
        <v>462184.87</v>
      </c>
    </row>
    <row r="9159" spans="2:7" x14ac:dyDescent="0.2">
      <c r="B9159" s="32">
        <v>46076</v>
      </c>
      <c r="C9159" t="s">
        <v>142</v>
      </c>
      <c r="D9159" s="13" t="s">
        <v>633</v>
      </c>
      <c r="E9159" t="s">
        <v>364</v>
      </c>
      <c r="F9159" s="11">
        <v>1</v>
      </c>
      <c r="G9159" s="11">
        <v>113445.38</v>
      </c>
    </row>
    <row r="9160" spans="2:7" x14ac:dyDescent="0.2">
      <c r="B9160" s="32">
        <v>46076</v>
      </c>
      <c r="C9160" t="s">
        <v>142</v>
      </c>
      <c r="D9160" s="13" t="s">
        <v>633</v>
      </c>
      <c r="E9160" t="s">
        <v>229</v>
      </c>
      <c r="F9160" s="11">
        <v>1</v>
      </c>
      <c r="G9160" s="11">
        <v>42016.81</v>
      </c>
    </row>
    <row r="9161" spans="2:7" x14ac:dyDescent="0.2">
      <c r="B9161" s="32">
        <v>46076</v>
      </c>
      <c r="C9161" t="s">
        <v>142</v>
      </c>
      <c r="D9161" s="13" t="s">
        <v>633</v>
      </c>
      <c r="F9161" s="11">
        <v>0</v>
      </c>
      <c r="G9161" s="11">
        <v>0</v>
      </c>
    </row>
    <row r="9162" spans="2:7" x14ac:dyDescent="0.2">
      <c r="B9162" s="32">
        <v>46076</v>
      </c>
      <c r="C9162" t="s">
        <v>109</v>
      </c>
      <c r="D9162" s="13" t="s">
        <v>634</v>
      </c>
      <c r="E9162" t="s">
        <v>347</v>
      </c>
      <c r="F9162" s="11">
        <v>2</v>
      </c>
      <c r="G9162" s="11">
        <v>168067.23</v>
      </c>
    </row>
    <row r="9163" spans="2:7" x14ac:dyDescent="0.2">
      <c r="B9163" s="32">
        <v>46076</v>
      </c>
      <c r="C9163" t="s">
        <v>109</v>
      </c>
      <c r="D9163" s="13" t="s">
        <v>634</v>
      </c>
      <c r="E9163" t="s">
        <v>258</v>
      </c>
      <c r="F9163" s="11">
        <v>2</v>
      </c>
      <c r="G9163" s="11">
        <v>117647.06</v>
      </c>
    </row>
    <row r="9164" spans="2:7" x14ac:dyDescent="0.2">
      <c r="B9164" s="32">
        <v>46076</v>
      </c>
      <c r="C9164" t="s">
        <v>109</v>
      </c>
      <c r="D9164" s="13" t="s">
        <v>634</v>
      </c>
      <c r="E9164" t="s">
        <v>180</v>
      </c>
      <c r="F9164" s="11">
        <v>1</v>
      </c>
      <c r="G9164" s="11">
        <v>16806.73</v>
      </c>
    </row>
    <row r="9165" spans="2:7" x14ac:dyDescent="0.2">
      <c r="B9165" s="32">
        <v>46076</v>
      </c>
      <c r="C9165" t="s">
        <v>109</v>
      </c>
      <c r="D9165" s="13" t="s">
        <v>634</v>
      </c>
      <c r="E9165" t="s">
        <v>456</v>
      </c>
      <c r="F9165" s="11">
        <v>1</v>
      </c>
      <c r="G9165" s="11">
        <v>16806.72</v>
      </c>
    </row>
    <row r="9166" spans="2:7" x14ac:dyDescent="0.2">
      <c r="B9166" s="32">
        <v>46076</v>
      </c>
      <c r="C9166" t="s">
        <v>109</v>
      </c>
      <c r="D9166" s="13" t="s">
        <v>633</v>
      </c>
      <c r="E9166" t="s">
        <v>697</v>
      </c>
      <c r="F9166" s="11">
        <v>19</v>
      </c>
      <c r="G9166" s="11">
        <v>2646428.5699999998</v>
      </c>
    </row>
    <row r="9167" spans="2:7" x14ac:dyDescent="0.2">
      <c r="B9167" s="32">
        <v>46076</v>
      </c>
      <c r="C9167" t="s">
        <v>109</v>
      </c>
      <c r="D9167" s="13" t="s">
        <v>633</v>
      </c>
      <c r="E9167" t="s">
        <v>193</v>
      </c>
      <c r="F9167" s="11">
        <v>1</v>
      </c>
      <c r="G9167" s="11">
        <v>37815.129999999997</v>
      </c>
    </row>
    <row r="9168" spans="2:7" x14ac:dyDescent="0.2">
      <c r="B9168" s="32">
        <v>46076</v>
      </c>
      <c r="C9168" t="s">
        <v>109</v>
      </c>
      <c r="D9168" s="13" t="s">
        <v>633</v>
      </c>
      <c r="E9168" t="s">
        <v>145</v>
      </c>
      <c r="F9168" s="11">
        <v>1</v>
      </c>
      <c r="G9168" s="11">
        <v>29411.759999999998</v>
      </c>
    </row>
    <row r="9169" spans="2:7" x14ac:dyDescent="0.2">
      <c r="B9169" s="32">
        <v>46076</v>
      </c>
      <c r="C9169" t="s">
        <v>109</v>
      </c>
      <c r="D9169" s="13" t="s">
        <v>633</v>
      </c>
      <c r="E9169" t="s">
        <v>144</v>
      </c>
      <c r="F9169" s="11">
        <v>4</v>
      </c>
      <c r="G9169" s="11">
        <v>20588.240000000002</v>
      </c>
    </row>
    <row r="9170" spans="2:7" x14ac:dyDescent="0.2">
      <c r="B9170" s="32">
        <v>46077</v>
      </c>
      <c r="C9170" t="s">
        <v>142</v>
      </c>
      <c r="D9170" s="13" t="s">
        <v>634</v>
      </c>
      <c r="E9170" t="s">
        <v>357</v>
      </c>
      <c r="F9170" s="11">
        <v>1</v>
      </c>
      <c r="G9170" s="11">
        <v>75630.25</v>
      </c>
    </row>
    <row r="9171" spans="2:7" x14ac:dyDescent="0.2">
      <c r="B9171" s="32">
        <v>46077</v>
      </c>
      <c r="C9171" t="s">
        <v>142</v>
      </c>
      <c r="D9171" s="13" t="s">
        <v>634</v>
      </c>
      <c r="E9171" t="s">
        <v>354</v>
      </c>
      <c r="F9171" s="11">
        <v>1</v>
      </c>
      <c r="G9171" s="11">
        <v>63025.21</v>
      </c>
    </row>
    <row r="9172" spans="2:7" x14ac:dyDescent="0.2">
      <c r="B9172" s="32">
        <v>46077</v>
      </c>
      <c r="C9172" t="s">
        <v>142</v>
      </c>
      <c r="D9172" s="13" t="s">
        <v>634</v>
      </c>
      <c r="E9172" t="s">
        <v>335</v>
      </c>
      <c r="F9172" s="11">
        <v>1</v>
      </c>
      <c r="G9172" s="11">
        <v>63025.21</v>
      </c>
    </row>
    <row r="9173" spans="2:7" x14ac:dyDescent="0.2">
      <c r="B9173" s="32">
        <v>46077</v>
      </c>
      <c r="C9173" t="s">
        <v>142</v>
      </c>
      <c r="D9173" s="13" t="s">
        <v>634</v>
      </c>
      <c r="F9173" s="11">
        <v>0</v>
      </c>
      <c r="G9173" s="11">
        <v>0</v>
      </c>
    </row>
    <row r="9174" spans="2:7" x14ac:dyDescent="0.2">
      <c r="B9174" s="32">
        <v>46077</v>
      </c>
      <c r="C9174" t="s">
        <v>142</v>
      </c>
      <c r="D9174" s="13" t="s">
        <v>633</v>
      </c>
      <c r="E9174" t="s">
        <v>485</v>
      </c>
      <c r="F9174" s="11">
        <v>1</v>
      </c>
      <c r="G9174" s="11">
        <v>138655.46</v>
      </c>
    </row>
    <row r="9175" spans="2:7" x14ac:dyDescent="0.2">
      <c r="B9175" s="32">
        <v>46077</v>
      </c>
      <c r="C9175" t="s">
        <v>142</v>
      </c>
      <c r="D9175" s="13" t="s">
        <v>633</v>
      </c>
      <c r="E9175" t="s">
        <v>241</v>
      </c>
      <c r="F9175" s="11">
        <v>1</v>
      </c>
      <c r="G9175" s="11">
        <v>46218.49</v>
      </c>
    </row>
    <row r="9176" spans="2:7" x14ac:dyDescent="0.2">
      <c r="B9176" s="32">
        <v>46077</v>
      </c>
      <c r="C9176" t="s">
        <v>142</v>
      </c>
      <c r="D9176" s="13" t="s">
        <v>633</v>
      </c>
      <c r="F9176" s="11">
        <v>0</v>
      </c>
      <c r="G9176" s="11">
        <v>0</v>
      </c>
    </row>
    <row r="9177" spans="2:7" x14ac:dyDescent="0.2">
      <c r="B9177" s="32">
        <v>46077</v>
      </c>
      <c r="C9177" t="s">
        <v>109</v>
      </c>
      <c r="D9177" s="13" t="s">
        <v>634</v>
      </c>
      <c r="E9177" t="s">
        <v>418</v>
      </c>
      <c r="F9177" s="11">
        <v>1</v>
      </c>
      <c r="G9177" s="11">
        <v>226890.76</v>
      </c>
    </row>
    <row r="9178" spans="2:7" x14ac:dyDescent="0.2">
      <c r="B9178" s="32">
        <v>46077</v>
      </c>
      <c r="C9178" t="s">
        <v>109</v>
      </c>
      <c r="D9178" s="13" t="s">
        <v>634</v>
      </c>
      <c r="E9178" t="s">
        <v>365</v>
      </c>
      <c r="F9178" s="11">
        <v>1</v>
      </c>
      <c r="G9178" s="11">
        <v>226890.76</v>
      </c>
    </row>
    <row r="9179" spans="2:7" x14ac:dyDescent="0.2">
      <c r="B9179" s="32">
        <v>46077</v>
      </c>
      <c r="C9179" t="s">
        <v>109</v>
      </c>
      <c r="D9179" s="13" t="s">
        <v>634</v>
      </c>
      <c r="E9179" t="s">
        <v>353</v>
      </c>
      <c r="F9179" s="11">
        <v>1</v>
      </c>
      <c r="G9179" s="11">
        <v>142857.14000000001</v>
      </c>
    </row>
    <row r="9180" spans="2:7" x14ac:dyDescent="0.2">
      <c r="B9180" s="32">
        <v>46077</v>
      </c>
      <c r="C9180" t="s">
        <v>109</v>
      </c>
      <c r="D9180" s="13" t="s">
        <v>634</v>
      </c>
      <c r="F9180" s="11">
        <v>1</v>
      </c>
      <c r="G9180" s="11">
        <v>126050.42</v>
      </c>
    </row>
    <row r="9181" spans="2:7" x14ac:dyDescent="0.2">
      <c r="B9181" s="32">
        <v>46077</v>
      </c>
      <c r="C9181" t="s">
        <v>109</v>
      </c>
      <c r="D9181" s="13" t="s">
        <v>634</v>
      </c>
      <c r="E9181" t="s">
        <v>155</v>
      </c>
      <c r="F9181" s="11">
        <v>1</v>
      </c>
      <c r="G9181" s="11">
        <v>113445.38</v>
      </c>
    </row>
    <row r="9182" spans="2:7" x14ac:dyDescent="0.2">
      <c r="B9182" s="32">
        <v>46077</v>
      </c>
      <c r="C9182" t="s">
        <v>109</v>
      </c>
      <c r="D9182" s="13" t="s">
        <v>634</v>
      </c>
      <c r="E9182" t="s">
        <v>164</v>
      </c>
      <c r="F9182" s="11">
        <v>1</v>
      </c>
      <c r="G9182" s="11">
        <v>75630.25</v>
      </c>
    </row>
    <row r="9183" spans="2:7" x14ac:dyDescent="0.2">
      <c r="B9183" s="32">
        <v>46077</v>
      </c>
      <c r="C9183" t="s">
        <v>109</v>
      </c>
      <c r="D9183" s="13" t="s">
        <v>634</v>
      </c>
      <c r="E9183" t="s">
        <v>377</v>
      </c>
      <c r="F9183" s="11">
        <v>1</v>
      </c>
      <c r="G9183" s="11">
        <v>63025.21</v>
      </c>
    </row>
    <row r="9184" spans="2:7" x14ac:dyDescent="0.2">
      <c r="B9184" s="32">
        <v>46077</v>
      </c>
      <c r="C9184" t="s">
        <v>109</v>
      </c>
      <c r="D9184" s="13" t="s">
        <v>634</v>
      </c>
      <c r="E9184" t="s">
        <v>281</v>
      </c>
      <c r="F9184" s="11">
        <v>1</v>
      </c>
      <c r="G9184" s="11">
        <v>63025.21</v>
      </c>
    </row>
    <row r="9185" spans="2:7" x14ac:dyDescent="0.2">
      <c r="B9185" s="32">
        <v>46077</v>
      </c>
      <c r="C9185" t="s">
        <v>109</v>
      </c>
      <c r="D9185" s="13" t="s">
        <v>634</v>
      </c>
      <c r="E9185" t="s">
        <v>341</v>
      </c>
      <c r="F9185" s="11">
        <v>1</v>
      </c>
      <c r="G9185" s="11">
        <v>63025.2</v>
      </c>
    </row>
    <row r="9186" spans="2:7" x14ac:dyDescent="0.2">
      <c r="B9186" s="32">
        <v>46077</v>
      </c>
      <c r="C9186" t="s">
        <v>109</v>
      </c>
      <c r="D9186" s="13" t="s">
        <v>634</v>
      </c>
      <c r="E9186" t="s">
        <v>145</v>
      </c>
      <c r="F9186" s="11">
        <v>2</v>
      </c>
      <c r="G9186" s="11">
        <v>58823.53</v>
      </c>
    </row>
    <row r="9187" spans="2:7" x14ac:dyDescent="0.2">
      <c r="B9187" s="32">
        <v>46077</v>
      </c>
      <c r="C9187" t="s">
        <v>109</v>
      </c>
      <c r="D9187" s="13" t="s">
        <v>634</v>
      </c>
      <c r="E9187" t="s">
        <v>161</v>
      </c>
      <c r="F9187" s="11">
        <v>1</v>
      </c>
      <c r="G9187" s="11">
        <v>42016.81</v>
      </c>
    </row>
    <row r="9188" spans="2:7" x14ac:dyDescent="0.2">
      <c r="B9188" s="32">
        <v>46077</v>
      </c>
      <c r="C9188" t="s">
        <v>109</v>
      </c>
      <c r="D9188" s="13" t="s">
        <v>634</v>
      </c>
      <c r="E9188" t="s">
        <v>327</v>
      </c>
      <c r="F9188" s="11">
        <v>1</v>
      </c>
      <c r="G9188" s="11">
        <v>35000</v>
      </c>
    </row>
    <row r="9189" spans="2:7" x14ac:dyDescent="0.2">
      <c r="B9189" s="32">
        <v>46077</v>
      </c>
      <c r="C9189" t="s">
        <v>109</v>
      </c>
      <c r="D9189" s="13" t="s">
        <v>633</v>
      </c>
      <c r="E9189" t="s">
        <v>698</v>
      </c>
      <c r="F9189" s="11">
        <v>1</v>
      </c>
      <c r="G9189" s="11">
        <v>84033.61</v>
      </c>
    </row>
    <row r="9190" spans="2:7" x14ac:dyDescent="0.2">
      <c r="B9190" s="32">
        <v>46077</v>
      </c>
      <c r="C9190" t="s">
        <v>109</v>
      </c>
      <c r="D9190" s="13" t="s">
        <v>633</v>
      </c>
      <c r="E9190" t="s">
        <v>544</v>
      </c>
      <c r="F9190" s="11">
        <v>1</v>
      </c>
      <c r="G9190" s="11">
        <v>78000</v>
      </c>
    </row>
    <row r="9191" spans="2:7" x14ac:dyDescent="0.2">
      <c r="B9191" s="32">
        <v>46077</v>
      </c>
      <c r="C9191" t="s">
        <v>109</v>
      </c>
      <c r="D9191" s="13" t="s">
        <v>633</v>
      </c>
      <c r="E9191" t="s">
        <v>667</v>
      </c>
      <c r="F9191" s="11">
        <v>1</v>
      </c>
      <c r="G9191" s="11">
        <v>78000</v>
      </c>
    </row>
    <row r="9192" spans="2:7" x14ac:dyDescent="0.2">
      <c r="B9192" s="32">
        <v>46077</v>
      </c>
      <c r="C9192" t="s">
        <v>109</v>
      </c>
      <c r="D9192" s="13" t="s">
        <v>633</v>
      </c>
      <c r="E9192" t="s">
        <v>175</v>
      </c>
      <c r="F9192" s="11">
        <v>1</v>
      </c>
      <c r="G9192" s="11">
        <v>63025.21</v>
      </c>
    </row>
    <row r="9193" spans="2:7" x14ac:dyDescent="0.2">
      <c r="B9193" s="32">
        <v>46077</v>
      </c>
      <c r="C9193" t="s">
        <v>109</v>
      </c>
      <c r="D9193" s="13" t="s">
        <v>633</v>
      </c>
      <c r="E9193" t="s">
        <v>212</v>
      </c>
      <c r="F9193" s="11">
        <v>1</v>
      </c>
      <c r="G9193" s="11">
        <v>58823.53</v>
      </c>
    </row>
    <row r="9194" spans="2:7" x14ac:dyDescent="0.2">
      <c r="B9194" s="32">
        <v>46077</v>
      </c>
      <c r="C9194" t="s">
        <v>109</v>
      </c>
      <c r="D9194" s="13" t="s">
        <v>633</v>
      </c>
      <c r="E9194" t="s">
        <v>225</v>
      </c>
      <c r="F9194" s="11">
        <v>1</v>
      </c>
      <c r="G9194" s="11">
        <v>46218.48</v>
      </c>
    </row>
    <row r="9195" spans="2:7" x14ac:dyDescent="0.2">
      <c r="B9195" s="32">
        <v>46077</v>
      </c>
      <c r="C9195" t="s">
        <v>109</v>
      </c>
      <c r="D9195" s="13" t="s">
        <v>633</v>
      </c>
      <c r="E9195" t="s">
        <v>300</v>
      </c>
      <c r="F9195" s="11">
        <v>1</v>
      </c>
      <c r="G9195" s="11">
        <v>42016.81</v>
      </c>
    </row>
    <row r="9196" spans="2:7" x14ac:dyDescent="0.2">
      <c r="B9196" s="32">
        <v>46077</v>
      </c>
      <c r="C9196" t="s">
        <v>109</v>
      </c>
      <c r="D9196" s="13" t="s">
        <v>633</v>
      </c>
      <c r="E9196" t="s">
        <v>284</v>
      </c>
      <c r="F9196" s="11">
        <v>1</v>
      </c>
      <c r="G9196" s="11">
        <v>42016.81</v>
      </c>
    </row>
    <row r="9197" spans="2:7" x14ac:dyDescent="0.2">
      <c r="B9197" s="32">
        <v>46077</v>
      </c>
      <c r="C9197" t="s">
        <v>109</v>
      </c>
      <c r="D9197" s="13" t="s">
        <v>633</v>
      </c>
      <c r="E9197" t="s">
        <v>509</v>
      </c>
      <c r="F9197" s="11">
        <v>1</v>
      </c>
      <c r="G9197" s="11">
        <v>16806.72</v>
      </c>
    </row>
    <row r="9198" spans="2:7" x14ac:dyDescent="0.2">
      <c r="B9198" s="32">
        <v>46077</v>
      </c>
      <c r="C9198" t="s">
        <v>109</v>
      </c>
      <c r="D9198" s="13" t="s">
        <v>633</v>
      </c>
      <c r="E9198" t="s">
        <v>144</v>
      </c>
      <c r="F9198" s="11">
        <v>4</v>
      </c>
      <c r="G9198" s="11">
        <v>16806.72</v>
      </c>
    </row>
    <row r="9199" spans="2:7" x14ac:dyDescent="0.2">
      <c r="B9199" s="32">
        <v>46077</v>
      </c>
      <c r="C9199" t="s">
        <v>109</v>
      </c>
      <c r="D9199" s="13" t="s">
        <v>633</v>
      </c>
      <c r="F9199" s="11">
        <v>0</v>
      </c>
      <c r="G9199" s="11">
        <v>0</v>
      </c>
    </row>
    <row r="9200" spans="2:7" x14ac:dyDescent="0.2">
      <c r="B9200" s="32">
        <v>46078</v>
      </c>
      <c r="C9200" t="s">
        <v>142</v>
      </c>
      <c r="D9200" s="13" t="s">
        <v>634</v>
      </c>
      <c r="E9200" t="s">
        <v>432</v>
      </c>
      <c r="F9200" s="11">
        <v>1</v>
      </c>
      <c r="G9200" s="11">
        <v>205882.36</v>
      </c>
    </row>
    <row r="9201" spans="2:7" x14ac:dyDescent="0.2">
      <c r="B9201" s="32">
        <v>46078</v>
      </c>
      <c r="C9201" t="s">
        <v>142</v>
      </c>
      <c r="D9201" s="13" t="s">
        <v>634</v>
      </c>
      <c r="E9201" t="s">
        <v>441</v>
      </c>
      <c r="F9201" s="11">
        <v>1</v>
      </c>
      <c r="G9201" s="11">
        <v>21008.400000000001</v>
      </c>
    </row>
    <row r="9202" spans="2:7" x14ac:dyDescent="0.2">
      <c r="B9202" s="32">
        <v>46078</v>
      </c>
      <c r="C9202" t="s">
        <v>142</v>
      </c>
      <c r="D9202" s="13" t="s">
        <v>634</v>
      </c>
      <c r="E9202" t="s">
        <v>241</v>
      </c>
      <c r="F9202" s="11">
        <v>1</v>
      </c>
      <c r="G9202" s="11">
        <v>0</v>
      </c>
    </row>
    <row r="9203" spans="2:7" x14ac:dyDescent="0.2">
      <c r="B9203" s="32">
        <v>46078</v>
      </c>
      <c r="C9203" t="s">
        <v>142</v>
      </c>
      <c r="D9203" s="13" t="s">
        <v>634</v>
      </c>
      <c r="F9203" s="11">
        <v>0</v>
      </c>
      <c r="G9203" s="11">
        <v>0</v>
      </c>
    </row>
    <row r="9204" spans="2:7" x14ac:dyDescent="0.2">
      <c r="B9204" s="32">
        <v>46078</v>
      </c>
      <c r="C9204" t="s">
        <v>142</v>
      </c>
      <c r="D9204" s="13" t="s">
        <v>633</v>
      </c>
      <c r="E9204" t="s">
        <v>268</v>
      </c>
      <c r="F9204" s="11">
        <v>1</v>
      </c>
      <c r="G9204" s="11">
        <v>163865.54999999999</v>
      </c>
    </row>
    <row r="9205" spans="2:7" x14ac:dyDescent="0.2">
      <c r="B9205" s="32">
        <v>46078</v>
      </c>
      <c r="C9205" t="s">
        <v>142</v>
      </c>
      <c r="D9205" s="13" t="s">
        <v>633</v>
      </c>
      <c r="E9205" t="s">
        <v>679</v>
      </c>
      <c r="F9205" s="11">
        <v>1</v>
      </c>
      <c r="G9205" s="11">
        <v>54621.84</v>
      </c>
    </row>
    <row r="9206" spans="2:7" x14ac:dyDescent="0.2">
      <c r="B9206" s="32">
        <v>46078</v>
      </c>
      <c r="C9206" t="s">
        <v>142</v>
      </c>
      <c r="D9206" s="13" t="s">
        <v>633</v>
      </c>
      <c r="F9206" s="11">
        <v>0</v>
      </c>
      <c r="G9206" s="11">
        <v>0</v>
      </c>
    </row>
    <row r="9207" spans="2:7" x14ac:dyDescent="0.2">
      <c r="B9207" s="32">
        <v>46078</v>
      </c>
      <c r="C9207" t="s">
        <v>109</v>
      </c>
      <c r="D9207" s="13" t="s">
        <v>634</v>
      </c>
      <c r="E9207" t="s">
        <v>349</v>
      </c>
      <c r="F9207" s="11">
        <v>2</v>
      </c>
      <c r="G9207" s="11">
        <v>840336.13</v>
      </c>
    </row>
    <row r="9208" spans="2:7" x14ac:dyDescent="0.2">
      <c r="B9208" s="32">
        <v>46078</v>
      </c>
      <c r="C9208" t="s">
        <v>109</v>
      </c>
      <c r="D9208" s="13" t="s">
        <v>634</v>
      </c>
      <c r="E9208" t="s">
        <v>144</v>
      </c>
      <c r="F9208" s="11">
        <v>4</v>
      </c>
      <c r="G9208" s="11">
        <v>226890.76</v>
      </c>
    </row>
    <row r="9209" spans="2:7" x14ac:dyDescent="0.2">
      <c r="B9209" s="32">
        <v>46078</v>
      </c>
      <c r="C9209" t="s">
        <v>109</v>
      </c>
      <c r="D9209" s="13" t="s">
        <v>634</v>
      </c>
      <c r="E9209" t="s">
        <v>223</v>
      </c>
      <c r="F9209" s="11">
        <v>3</v>
      </c>
      <c r="G9209" s="11">
        <v>218487.4</v>
      </c>
    </row>
    <row r="9210" spans="2:7" x14ac:dyDescent="0.2">
      <c r="B9210" s="32">
        <v>46078</v>
      </c>
      <c r="C9210" t="s">
        <v>109</v>
      </c>
      <c r="D9210" s="13" t="s">
        <v>634</v>
      </c>
      <c r="E9210" t="s">
        <v>358</v>
      </c>
      <c r="F9210" s="11">
        <v>1</v>
      </c>
      <c r="G9210" s="11">
        <v>180672.27</v>
      </c>
    </row>
    <row r="9211" spans="2:7" x14ac:dyDescent="0.2">
      <c r="B9211" s="32">
        <v>46078</v>
      </c>
      <c r="C9211" t="s">
        <v>109</v>
      </c>
      <c r="D9211" s="13" t="s">
        <v>634</v>
      </c>
      <c r="F9211" s="11">
        <v>5</v>
      </c>
      <c r="G9211" s="11">
        <v>168068.07</v>
      </c>
    </row>
    <row r="9212" spans="2:7" x14ac:dyDescent="0.2">
      <c r="B9212" s="32">
        <v>46078</v>
      </c>
      <c r="C9212" t="s">
        <v>109</v>
      </c>
      <c r="D9212" s="13" t="s">
        <v>634</v>
      </c>
      <c r="E9212" t="s">
        <v>376</v>
      </c>
      <c r="F9212" s="11">
        <v>1</v>
      </c>
      <c r="G9212" s="11">
        <v>159663.87</v>
      </c>
    </row>
    <row r="9213" spans="2:7" x14ac:dyDescent="0.2">
      <c r="B9213" s="32">
        <v>46078</v>
      </c>
      <c r="C9213" t="s">
        <v>109</v>
      </c>
      <c r="D9213" s="13" t="s">
        <v>634</v>
      </c>
      <c r="E9213" t="s">
        <v>348</v>
      </c>
      <c r="F9213" s="11">
        <v>2</v>
      </c>
      <c r="G9213" s="11">
        <v>117647.06</v>
      </c>
    </row>
    <row r="9214" spans="2:7" x14ac:dyDescent="0.2">
      <c r="B9214" s="32">
        <v>46078</v>
      </c>
      <c r="C9214" t="s">
        <v>109</v>
      </c>
      <c r="D9214" s="13" t="s">
        <v>634</v>
      </c>
      <c r="E9214" t="s">
        <v>368</v>
      </c>
      <c r="F9214" s="11">
        <v>1</v>
      </c>
      <c r="G9214" s="11">
        <v>84033.61</v>
      </c>
    </row>
    <row r="9215" spans="2:7" x14ac:dyDescent="0.2">
      <c r="B9215" s="32">
        <v>46078</v>
      </c>
      <c r="C9215" t="s">
        <v>109</v>
      </c>
      <c r="D9215" s="13" t="s">
        <v>634</v>
      </c>
      <c r="E9215" t="s">
        <v>369</v>
      </c>
      <c r="F9215" s="11">
        <v>1</v>
      </c>
      <c r="G9215" s="11">
        <v>84033.61</v>
      </c>
    </row>
    <row r="9216" spans="2:7" x14ac:dyDescent="0.2">
      <c r="B9216" s="32">
        <v>46078</v>
      </c>
      <c r="C9216" t="s">
        <v>109</v>
      </c>
      <c r="D9216" s="13" t="s">
        <v>634</v>
      </c>
      <c r="E9216" t="s">
        <v>340</v>
      </c>
      <c r="F9216" s="11">
        <v>1</v>
      </c>
      <c r="G9216" s="11">
        <v>84033.61</v>
      </c>
    </row>
    <row r="9217" spans="2:7" x14ac:dyDescent="0.2">
      <c r="B9217" s="32">
        <v>46078</v>
      </c>
      <c r="C9217" t="s">
        <v>109</v>
      </c>
      <c r="D9217" s="13" t="s">
        <v>634</v>
      </c>
      <c r="E9217" t="s">
        <v>342</v>
      </c>
      <c r="F9217" s="11">
        <v>2</v>
      </c>
      <c r="G9217" s="11">
        <v>75630.259999999995</v>
      </c>
    </row>
    <row r="9218" spans="2:7" x14ac:dyDescent="0.2">
      <c r="B9218" s="32">
        <v>46078</v>
      </c>
      <c r="C9218" t="s">
        <v>109</v>
      </c>
      <c r="D9218" s="13" t="s">
        <v>634</v>
      </c>
      <c r="E9218" t="s">
        <v>189</v>
      </c>
      <c r="F9218" s="11">
        <v>1</v>
      </c>
      <c r="G9218" s="11">
        <v>75630.25</v>
      </c>
    </row>
    <row r="9219" spans="2:7" x14ac:dyDescent="0.2">
      <c r="B9219" s="32">
        <v>46078</v>
      </c>
      <c r="C9219" t="s">
        <v>109</v>
      </c>
      <c r="D9219" s="13" t="s">
        <v>634</v>
      </c>
      <c r="E9219" t="s">
        <v>431</v>
      </c>
      <c r="F9219" s="11">
        <v>1</v>
      </c>
      <c r="G9219" s="11">
        <v>63025.21</v>
      </c>
    </row>
    <row r="9220" spans="2:7" x14ac:dyDescent="0.2">
      <c r="B9220" s="32">
        <v>46078</v>
      </c>
      <c r="C9220" t="s">
        <v>109</v>
      </c>
      <c r="D9220" s="13" t="s">
        <v>634</v>
      </c>
      <c r="E9220" t="s">
        <v>291</v>
      </c>
      <c r="F9220" s="11">
        <v>1</v>
      </c>
      <c r="G9220" s="11">
        <v>50420.17</v>
      </c>
    </row>
    <row r="9221" spans="2:7" x14ac:dyDescent="0.2">
      <c r="B9221" s="32">
        <v>46078</v>
      </c>
      <c r="C9221" t="s">
        <v>109</v>
      </c>
      <c r="D9221" s="13" t="s">
        <v>634</v>
      </c>
      <c r="E9221" t="s">
        <v>198</v>
      </c>
      <c r="F9221" s="11">
        <v>0</v>
      </c>
      <c r="G9221" s="11">
        <v>50420.17</v>
      </c>
    </row>
    <row r="9222" spans="2:7" x14ac:dyDescent="0.2">
      <c r="B9222" s="32">
        <v>46078</v>
      </c>
      <c r="C9222" t="s">
        <v>109</v>
      </c>
      <c r="D9222" s="13" t="s">
        <v>634</v>
      </c>
      <c r="E9222" t="s">
        <v>338</v>
      </c>
      <c r="F9222" s="11">
        <v>1</v>
      </c>
      <c r="G9222" s="11">
        <v>50420.17</v>
      </c>
    </row>
    <row r="9223" spans="2:7" x14ac:dyDescent="0.2">
      <c r="B9223" s="32">
        <v>46078</v>
      </c>
      <c r="C9223" t="s">
        <v>109</v>
      </c>
      <c r="D9223" s="13" t="s">
        <v>634</v>
      </c>
      <c r="E9223" t="s">
        <v>148</v>
      </c>
      <c r="F9223" s="11">
        <v>1</v>
      </c>
      <c r="G9223" s="11">
        <v>37815.129999999997</v>
      </c>
    </row>
    <row r="9224" spans="2:7" x14ac:dyDescent="0.2">
      <c r="B9224" s="32">
        <v>46078</v>
      </c>
      <c r="C9224" t="s">
        <v>109</v>
      </c>
      <c r="D9224" s="13" t="s">
        <v>634</v>
      </c>
      <c r="E9224" t="s">
        <v>234</v>
      </c>
      <c r="F9224" s="11">
        <v>1</v>
      </c>
      <c r="G9224" s="11">
        <v>37815.120000000003</v>
      </c>
    </row>
    <row r="9225" spans="2:7" x14ac:dyDescent="0.2">
      <c r="B9225" s="32">
        <v>46078</v>
      </c>
      <c r="C9225" t="s">
        <v>109</v>
      </c>
      <c r="D9225" s="13" t="s">
        <v>634</v>
      </c>
      <c r="E9225" t="s">
        <v>328</v>
      </c>
      <c r="F9225" s="11">
        <v>1</v>
      </c>
      <c r="G9225" s="11">
        <v>37815.120000000003</v>
      </c>
    </row>
    <row r="9226" spans="2:7" x14ac:dyDescent="0.2">
      <c r="B9226" s="32">
        <v>46078</v>
      </c>
      <c r="C9226" t="s">
        <v>109</v>
      </c>
      <c r="D9226" s="13" t="s">
        <v>634</v>
      </c>
      <c r="E9226" t="s">
        <v>367</v>
      </c>
      <c r="F9226" s="11">
        <v>1</v>
      </c>
      <c r="G9226" s="11">
        <v>16806.72</v>
      </c>
    </row>
    <row r="9227" spans="2:7" x14ac:dyDescent="0.2">
      <c r="B9227" s="32">
        <v>46078</v>
      </c>
      <c r="C9227" t="s">
        <v>109</v>
      </c>
      <c r="D9227" s="13" t="s">
        <v>634</v>
      </c>
      <c r="E9227" t="s">
        <v>323</v>
      </c>
      <c r="F9227" s="11">
        <v>1</v>
      </c>
      <c r="G9227" s="11">
        <v>0</v>
      </c>
    </row>
    <row r="9228" spans="2:7" x14ac:dyDescent="0.2">
      <c r="B9228" s="32">
        <v>46078</v>
      </c>
      <c r="C9228" t="s">
        <v>109</v>
      </c>
      <c r="D9228" s="13" t="s">
        <v>633</v>
      </c>
      <c r="E9228" t="s">
        <v>699</v>
      </c>
      <c r="F9228" s="11">
        <v>1</v>
      </c>
      <c r="G9228" s="11">
        <v>159663.87</v>
      </c>
    </row>
    <row r="9229" spans="2:7" x14ac:dyDescent="0.2">
      <c r="B9229" s="32">
        <v>46078</v>
      </c>
      <c r="C9229" t="s">
        <v>109</v>
      </c>
      <c r="D9229" s="13" t="s">
        <v>633</v>
      </c>
      <c r="E9229" t="s">
        <v>446</v>
      </c>
      <c r="F9229" s="11">
        <v>2</v>
      </c>
      <c r="G9229" s="11">
        <v>151260.5</v>
      </c>
    </row>
    <row r="9230" spans="2:7" x14ac:dyDescent="0.2">
      <c r="B9230" s="32">
        <v>46078</v>
      </c>
      <c r="C9230" t="s">
        <v>109</v>
      </c>
      <c r="D9230" s="13" t="s">
        <v>633</v>
      </c>
      <c r="E9230" t="s">
        <v>207</v>
      </c>
      <c r="F9230" s="11">
        <v>1</v>
      </c>
      <c r="G9230" s="11">
        <v>113445.38</v>
      </c>
    </row>
    <row r="9231" spans="2:7" x14ac:dyDescent="0.2">
      <c r="B9231" s="32">
        <v>46078</v>
      </c>
      <c r="C9231" t="s">
        <v>109</v>
      </c>
      <c r="D9231" s="13" t="s">
        <v>633</v>
      </c>
      <c r="E9231" t="s">
        <v>307</v>
      </c>
      <c r="F9231" s="11">
        <v>2</v>
      </c>
      <c r="G9231" s="11">
        <v>109243.7</v>
      </c>
    </row>
    <row r="9232" spans="2:7" x14ac:dyDescent="0.2">
      <c r="B9232" s="32">
        <v>46078</v>
      </c>
      <c r="C9232" t="s">
        <v>109</v>
      </c>
      <c r="D9232" s="13" t="s">
        <v>633</v>
      </c>
      <c r="E9232" t="s">
        <v>179</v>
      </c>
      <c r="F9232" s="11">
        <v>2</v>
      </c>
      <c r="G9232" s="11">
        <v>100840.34</v>
      </c>
    </row>
    <row r="9233" spans="2:7" x14ac:dyDescent="0.2">
      <c r="B9233" s="32">
        <v>46078</v>
      </c>
      <c r="C9233" t="s">
        <v>109</v>
      </c>
      <c r="D9233" s="13" t="s">
        <v>633</v>
      </c>
      <c r="E9233" t="s">
        <v>361</v>
      </c>
      <c r="F9233" s="11">
        <v>1</v>
      </c>
      <c r="G9233" s="11">
        <v>84033.62</v>
      </c>
    </row>
    <row r="9234" spans="2:7" x14ac:dyDescent="0.2">
      <c r="B9234" s="32">
        <v>46078</v>
      </c>
      <c r="C9234" t="s">
        <v>109</v>
      </c>
      <c r="D9234" s="13" t="s">
        <v>633</v>
      </c>
      <c r="E9234" t="s">
        <v>152</v>
      </c>
      <c r="F9234" s="11">
        <v>1</v>
      </c>
      <c r="G9234" s="11">
        <v>84033.61</v>
      </c>
    </row>
    <row r="9235" spans="2:7" x14ac:dyDescent="0.2">
      <c r="B9235" s="32">
        <v>46078</v>
      </c>
      <c r="C9235" t="s">
        <v>109</v>
      </c>
      <c r="D9235" s="13" t="s">
        <v>633</v>
      </c>
      <c r="E9235" t="s">
        <v>249</v>
      </c>
      <c r="F9235" s="11">
        <v>1</v>
      </c>
      <c r="G9235" s="11">
        <v>84033.61</v>
      </c>
    </row>
    <row r="9236" spans="2:7" x14ac:dyDescent="0.2">
      <c r="B9236" s="32">
        <v>46078</v>
      </c>
      <c r="C9236" t="s">
        <v>109</v>
      </c>
      <c r="D9236" s="13" t="s">
        <v>633</v>
      </c>
      <c r="E9236" t="s">
        <v>340</v>
      </c>
      <c r="F9236" s="11">
        <v>1</v>
      </c>
      <c r="G9236" s="11">
        <v>84033.61</v>
      </c>
    </row>
    <row r="9237" spans="2:7" x14ac:dyDescent="0.2">
      <c r="B9237" s="32">
        <v>46078</v>
      </c>
      <c r="C9237" t="s">
        <v>109</v>
      </c>
      <c r="D9237" s="13" t="s">
        <v>633</v>
      </c>
      <c r="E9237" t="s">
        <v>362</v>
      </c>
      <c r="F9237" s="11">
        <v>1</v>
      </c>
      <c r="G9237" s="11">
        <v>58823.53</v>
      </c>
    </row>
    <row r="9238" spans="2:7" x14ac:dyDescent="0.2">
      <c r="B9238" s="32">
        <v>46078</v>
      </c>
      <c r="C9238" t="s">
        <v>109</v>
      </c>
      <c r="D9238" s="13" t="s">
        <v>633</v>
      </c>
      <c r="E9238" t="s">
        <v>212</v>
      </c>
      <c r="F9238" s="11">
        <v>0</v>
      </c>
      <c r="G9238" s="11">
        <v>58823.53</v>
      </c>
    </row>
    <row r="9239" spans="2:7" x14ac:dyDescent="0.2">
      <c r="B9239" s="32">
        <v>46078</v>
      </c>
      <c r="C9239" t="s">
        <v>109</v>
      </c>
      <c r="D9239" s="13" t="s">
        <v>633</v>
      </c>
      <c r="E9239" t="s">
        <v>426</v>
      </c>
      <c r="F9239" s="11">
        <v>1</v>
      </c>
      <c r="G9239" s="11">
        <v>54621.85</v>
      </c>
    </row>
    <row r="9240" spans="2:7" x14ac:dyDescent="0.2">
      <c r="B9240" s="32">
        <v>46078</v>
      </c>
      <c r="C9240" t="s">
        <v>109</v>
      </c>
      <c r="D9240" s="13" t="s">
        <v>633</v>
      </c>
      <c r="E9240" t="s">
        <v>491</v>
      </c>
      <c r="F9240" s="11">
        <v>1</v>
      </c>
      <c r="G9240" s="11">
        <v>54621.85</v>
      </c>
    </row>
    <row r="9241" spans="2:7" x14ac:dyDescent="0.2">
      <c r="B9241" s="32">
        <v>46078</v>
      </c>
      <c r="C9241" t="s">
        <v>109</v>
      </c>
      <c r="D9241" s="13" t="s">
        <v>633</v>
      </c>
      <c r="E9241" t="s">
        <v>350</v>
      </c>
      <c r="F9241" s="11">
        <v>1</v>
      </c>
      <c r="G9241" s="11">
        <v>50420.17</v>
      </c>
    </row>
    <row r="9242" spans="2:7" x14ac:dyDescent="0.2">
      <c r="B9242" s="32">
        <v>46078</v>
      </c>
      <c r="C9242" t="s">
        <v>109</v>
      </c>
      <c r="D9242" s="13" t="s">
        <v>633</v>
      </c>
      <c r="E9242" t="s">
        <v>153</v>
      </c>
      <c r="F9242" s="11">
        <v>1</v>
      </c>
      <c r="G9242" s="11">
        <v>46218.49</v>
      </c>
    </row>
    <row r="9243" spans="2:7" x14ac:dyDescent="0.2">
      <c r="B9243" s="32">
        <v>46078</v>
      </c>
      <c r="C9243" t="s">
        <v>109</v>
      </c>
      <c r="D9243" s="13" t="s">
        <v>633</v>
      </c>
      <c r="E9243" t="s">
        <v>241</v>
      </c>
      <c r="F9243" s="11">
        <v>1</v>
      </c>
      <c r="G9243" s="11">
        <v>46218.49</v>
      </c>
    </row>
    <row r="9244" spans="2:7" x14ac:dyDescent="0.2">
      <c r="B9244" s="32">
        <v>46078</v>
      </c>
      <c r="C9244" t="s">
        <v>109</v>
      </c>
      <c r="D9244" s="13" t="s">
        <v>633</v>
      </c>
      <c r="E9244" t="s">
        <v>333</v>
      </c>
      <c r="F9244" s="11">
        <v>1</v>
      </c>
      <c r="G9244" s="11">
        <v>16806.72</v>
      </c>
    </row>
    <row r="9245" spans="2:7" x14ac:dyDescent="0.2">
      <c r="B9245" s="32">
        <v>46078</v>
      </c>
      <c r="C9245" t="s">
        <v>109</v>
      </c>
      <c r="D9245" s="13" t="s">
        <v>633</v>
      </c>
      <c r="F9245" s="11">
        <v>0</v>
      </c>
      <c r="G9245" s="11">
        <v>0</v>
      </c>
    </row>
    <row r="9246" spans="2:7" x14ac:dyDescent="0.2">
      <c r="B9246" s="32">
        <v>46079</v>
      </c>
      <c r="C9246" t="s">
        <v>108</v>
      </c>
      <c r="D9246" s="13" t="s">
        <v>634</v>
      </c>
      <c r="E9246" t="s">
        <v>361</v>
      </c>
      <c r="F9246" s="11">
        <v>1</v>
      </c>
      <c r="G9246" s="11">
        <v>75630.259999999995</v>
      </c>
    </row>
    <row r="9247" spans="2:7" x14ac:dyDescent="0.2">
      <c r="B9247" s="32">
        <v>46079</v>
      </c>
      <c r="C9247" t="s">
        <v>108</v>
      </c>
      <c r="D9247" s="13" t="s">
        <v>634</v>
      </c>
      <c r="E9247" t="s">
        <v>413</v>
      </c>
      <c r="F9247" s="11">
        <v>1</v>
      </c>
      <c r="G9247" s="11">
        <v>75630.259999999995</v>
      </c>
    </row>
    <row r="9248" spans="2:7" x14ac:dyDescent="0.2">
      <c r="B9248" s="32">
        <v>46079</v>
      </c>
      <c r="C9248" t="s">
        <v>108</v>
      </c>
      <c r="D9248" s="13" t="s">
        <v>634</v>
      </c>
      <c r="E9248" t="s">
        <v>393</v>
      </c>
      <c r="F9248" s="11">
        <v>1</v>
      </c>
      <c r="G9248" s="11">
        <v>75630.25</v>
      </c>
    </row>
    <row r="9249" spans="2:7" x14ac:dyDescent="0.2">
      <c r="B9249" s="32">
        <v>46079</v>
      </c>
      <c r="C9249" t="s">
        <v>108</v>
      </c>
      <c r="D9249" s="13" t="s">
        <v>634</v>
      </c>
      <c r="E9249" t="s">
        <v>410</v>
      </c>
      <c r="F9249" s="11">
        <v>1</v>
      </c>
      <c r="G9249" s="11">
        <v>75630.25</v>
      </c>
    </row>
    <row r="9250" spans="2:7" x14ac:dyDescent="0.2">
      <c r="B9250" s="32">
        <v>46079</v>
      </c>
      <c r="C9250" t="s">
        <v>108</v>
      </c>
      <c r="D9250" s="13" t="s">
        <v>634</v>
      </c>
      <c r="E9250" t="s">
        <v>370</v>
      </c>
      <c r="F9250" s="11">
        <v>1</v>
      </c>
      <c r="G9250" s="11">
        <v>75630.25</v>
      </c>
    </row>
    <row r="9251" spans="2:7" x14ac:dyDescent="0.2">
      <c r="B9251" s="32">
        <v>46079</v>
      </c>
      <c r="C9251" t="s">
        <v>108</v>
      </c>
      <c r="D9251" s="13" t="s">
        <v>634</v>
      </c>
      <c r="E9251" t="s">
        <v>457</v>
      </c>
      <c r="F9251" s="11">
        <v>1</v>
      </c>
      <c r="G9251" s="11">
        <v>75630.25</v>
      </c>
    </row>
    <row r="9252" spans="2:7" x14ac:dyDescent="0.2">
      <c r="B9252" s="32">
        <v>46079</v>
      </c>
      <c r="C9252" t="s">
        <v>108</v>
      </c>
      <c r="D9252" s="13" t="s">
        <v>634</v>
      </c>
      <c r="E9252" t="s">
        <v>380</v>
      </c>
      <c r="F9252" s="11">
        <v>1</v>
      </c>
      <c r="G9252" s="11">
        <v>75630.25</v>
      </c>
    </row>
    <row r="9253" spans="2:7" x14ac:dyDescent="0.2">
      <c r="B9253" s="32">
        <v>46079</v>
      </c>
      <c r="C9253" t="s">
        <v>108</v>
      </c>
      <c r="D9253" s="13" t="s">
        <v>634</v>
      </c>
      <c r="E9253" t="s">
        <v>363</v>
      </c>
      <c r="F9253" s="11">
        <v>1</v>
      </c>
      <c r="G9253" s="11">
        <v>75630.25</v>
      </c>
    </row>
    <row r="9254" spans="2:7" x14ac:dyDescent="0.2">
      <c r="B9254" s="32">
        <v>46079</v>
      </c>
      <c r="C9254" t="s">
        <v>108</v>
      </c>
      <c r="D9254" s="13" t="s">
        <v>634</v>
      </c>
      <c r="E9254" t="s">
        <v>394</v>
      </c>
      <c r="F9254" s="11">
        <v>1</v>
      </c>
      <c r="G9254" s="11">
        <v>75630.25</v>
      </c>
    </row>
    <row r="9255" spans="2:7" x14ac:dyDescent="0.2">
      <c r="B9255" s="32">
        <v>46079</v>
      </c>
      <c r="C9255" t="s">
        <v>108</v>
      </c>
      <c r="D9255" s="13" t="s">
        <v>634</v>
      </c>
      <c r="E9255" t="s">
        <v>405</v>
      </c>
      <c r="F9255" s="11">
        <v>1</v>
      </c>
      <c r="G9255" s="11">
        <v>75630.25</v>
      </c>
    </row>
    <row r="9256" spans="2:7" x14ac:dyDescent="0.2">
      <c r="B9256" s="32">
        <v>46079</v>
      </c>
      <c r="C9256" t="s">
        <v>108</v>
      </c>
      <c r="D9256" s="13" t="s">
        <v>634</v>
      </c>
      <c r="F9256" s="11">
        <v>0</v>
      </c>
      <c r="G9256" s="11">
        <v>0</v>
      </c>
    </row>
    <row r="9257" spans="2:7" x14ac:dyDescent="0.2">
      <c r="B9257" s="32">
        <v>46079</v>
      </c>
      <c r="C9257" t="s">
        <v>142</v>
      </c>
      <c r="D9257" s="13" t="s">
        <v>634</v>
      </c>
      <c r="E9257" t="s">
        <v>152</v>
      </c>
      <c r="F9257" s="11">
        <v>1</v>
      </c>
      <c r="G9257" s="11">
        <v>84033.61</v>
      </c>
    </row>
    <row r="9258" spans="2:7" x14ac:dyDescent="0.2">
      <c r="B9258" s="32">
        <v>46079</v>
      </c>
      <c r="C9258" t="s">
        <v>142</v>
      </c>
      <c r="D9258" s="13" t="s">
        <v>634</v>
      </c>
      <c r="E9258" t="s">
        <v>164</v>
      </c>
      <c r="F9258" s="11">
        <v>1</v>
      </c>
      <c r="G9258" s="11">
        <v>75630.25</v>
      </c>
    </row>
    <row r="9259" spans="2:7" x14ac:dyDescent="0.2">
      <c r="B9259" s="32">
        <v>46079</v>
      </c>
      <c r="C9259" t="s">
        <v>142</v>
      </c>
      <c r="D9259" s="13" t="s">
        <v>634</v>
      </c>
      <c r="E9259" t="s">
        <v>233</v>
      </c>
      <c r="F9259" s="11">
        <v>1</v>
      </c>
      <c r="G9259" s="11">
        <v>63025.21</v>
      </c>
    </row>
    <row r="9260" spans="2:7" x14ac:dyDescent="0.2">
      <c r="B9260" s="32">
        <v>46079</v>
      </c>
      <c r="C9260" t="s">
        <v>142</v>
      </c>
      <c r="D9260" s="13" t="s">
        <v>634</v>
      </c>
      <c r="F9260" s="11">
        <v>0</v>
      </c>
      <c r="G9260" s="11">
        <v>0</v>
      </c>
    </row>
    <row r="9261" spans="2:7" x14ac:dyDescent="0.2">
      <c r="B9261" s="32">
        <v>46079</v>
      </c>
      <c r="C9261" t="s">
        <v>142</v>
      </c>
      <c r="D9261" s="13" t="s">
        <v>633</v>
      </c>
      <c r="E9261" t="s">
        <v>551</v>
      </c>
      <c r="F9261" s="11">
        <v>1</v>
      </c>
      <c r="G9261" s="11">
        <v>113445.38</v>
      </c>
    </row>
    <row r="9262" spans="2:7" x14ac:dyDescent="0.2">
      <c r="B9262" s="32">
        <v>46079</v>
      </c>
      <c r="C9262" t="s">
        <v>142</v>
      </c>
      <c r="D9262" s="13" t="s">
        <v>633</v>
      </c>
      <c r="F9262" s="11">
        <v>0</v>
      </c>
      <c r="G9262" s="11">
        <v>0</v>
      </c>
    </row>
    <row r="9263" spans="2:7" x14ac:dyDescent="0.2">
      <c r="B9263" s="32">
        <v>46079</v>
      </c>
      <c r="C9263" t="s">
        <v>142</v>
      </c>
      <c r="D9263" s="13" t="s">
        <v>633</v>
      </c>
      <c r="E9263" t="s">
        <v>670</v>
      </c>
      <c r="F9263" s="11">
        <v>1</v>
      </c>
      <c r="G9263" s="11">
        <v>0</v>
      </c>
    </row>
    <row r="9264" spans="2:7" x14ac:dyDescent="0.2">
      <c r="B9264" s="32">
        <v>46079</v>
      </c>
      <c r="C9264" t="s">
        <v>109</v>
      </c>
      <c r="D9264" s="13"/>
      <c r="E9264" t="s">
        <v>427</v>
      </c>
      <c r="F9264" s="11">
        <v>1</v>
      </c>
      <c r="G9264" s="11">
        <v>58823.53</v>
      </c>
    </row>
    <row r="9265" spans="2:7" x14ac:dyDescent="0.2">
      <c r="B9265" s="32">
        <v>46079</v>
      </c>
      <c r="C9265" t="s">
        <v>109</v>
      </c>
      <c r="D9265" s="13"/>
      <c r="E9265" t="s">
        <v>362</v>
      </c>
      <c r="F9265" s="11">
        <v>1</v>
      </c>
      <c r="G9265" s="11">
        <v>58823.53</v>
      </c>
    </row>
    <row r="9266" spans="2:7" x14ac:dyDescent="0.2">
      <c r="B9266" s="32">
        <v>46079</v>
      </c>
      <c r="C9266" t="s">
        <v>109</v>
      </c>
      <c r="D9266" s="13" t="s">
        <v>634</v>
      </c>
      <c r="E9266" t="s">
        <v>402</v>
      </c>
      <c r="F9266" s="11">
        <v>1</v>
      </c>
      <c r="G9266" s="11">
        <v>210084.03</v>
      </c>
    </row>
    <row r="9267" spans="2:7" x14ac:dyDescent="0.2">
      <c r="B9267" s="32">
        <v>46079</v>
      </c>
      <c r="C9267" t="s">
        <v>109</v>
      </c>
      <c r="D9267" s="13" t="s">
        <v>634</v>
      </c>
      <c r="E9267" t="s">
        <v>241</v>
      </c>
      <c r="F9267" s="11">
        <v>4</v>
      </c>
      <c r="G9267" s="11">
        <v>184873.95</v>
      </c>
    </row>
    <row r="9268" spans="2:7" x14ac:dyDescent="0.2">
      <c r="B9268" s="32">
        <v>46079</v>
      </c>
      <c r="C9268" t="s">
        <v>109</v>
      </c>
      <c r="D9268" s="13" t="s">
        <v>634</v>
      </c>
      <c r="E9268" t="s">
        <v>195</v>
      </c>
      <c r="F9268" s="11">
        <v>3</v>
      </c>
      <c r="G9268" s="11">
        <v>151260.5</v>
      </c>
    </row>
    <row r="9269" spans="2:7" x14ac:dyDescent="0.2">
      <c r="B9269" s="32">
        <v>46079</v>
      </c>
      <c r="C9269" t="s">
        <v>109</v>
      </c>
      <c r="D9269" s="13" t="s">
        <v>634</v>
      </c>
      <c r="E9269" t="s">
        <v>146</v>
      </c>
      <c r="F9269" s="11">
        <v>3</v>
      </c>
      <c r="G9269" s="11">
        <v>151260.5</v>
      </c>
    </row>
    <row r="9270" spans="2:7" x14ac:dyDescent="0.2">
      <c r="B9270" s="32">
        <v>46079</v>
      </c>
      <c r="C9270" t="s">
        <v>109</v>
      </c>
      <c r="D9270" s="13" t="s">
        <v>634</v>
      </c>
      <c r="E9270" t="s">
        <v>387</v>
      </c>
      <c r="F9270" s="11">
        <v>1</v>
      </c>
      <c r="G9270" s="11">
        <v>109243.7</v>
      </c>
    </row>
    <row r="9271" spans="2:7" x14ac:dyDescent="0.2">
      <c r="B9271" s="32">
        <v>46079</v>
      </c>
      <c r="C9271" t="s">
        <v>109</v>
      </c>
      <c r="D9271" s="13" t="s">
        <v>634</v>
      </c>
      <c r="E9271" t="s">
        <v>151</v>
      </c>
      <c r="F9271" s="11">
        <v>2</v>
      </c>
      <c r="G9271" s="11">
        <v>100840.34</v>
      </c>
    </row>
    <row r="9272" spans="2:7" x14ac:dyDescent="0.2">
      <c r="B9272" s="32">
        <v>46079</v>
      </c>
      <c r="C9272" t="s">
        <v>109</v>
      </c>
      <c r="D9272" s="13" t="s">
        <v>634</v>
      </c>
      <c r="E9272" t="s">
        <v>164</v>
      </c>
      <c r="F9272" s="11">
        <v>1</v>
      </c>
      <c r="G9272" s="11">
        <v>75630.25</v>
      </c>
    </row>
    <row r="9273" spans="2:7" x14ac:dyDescent="0.2">
      <c r="B9273" s="32">
        <v>46079</v>
      </c>
      <c r="C9273" t="s">
        <v>109</v>
      </c>
      <c r="D9273" s="13" t="s">
        <v>634</v>
      </c>
      <c r="E9273" t="s">
        <v>145</v>
      </c>
      <c r="F9273" s="11">
        <v>2</v>
      </c>
      <c r="G9273" s="11">
        <v>58823.53</v>
      </c>
    </row>
    <row r="9274" spans="2:7" x14ac:dyDescent="0.2">
      <c r="B9274" s="32">
        <v>46079</v>
      </c>
      <c r="C9274" t="s">
        <v>109</v>
      </c>
      <c r="D9274" s="13" t="s">
        <v>634</v>
      </c>
      <c r="E9274" t="s">
        <v>179</v>
      </c>
      <c r="F9274" s="11">
        <v>1</v>
      </c>
      <c r="G9274" s="11">
        <v>50420.17</v>
      </c>
    </row>
    <row r="9275" spans="2:7" x14ac:dyDescent="0.2">
      <c r="B9275" s="32">
        <v>46079</v>
      </c>
      <c r="C9275" t="s">
        <v>109</v>
      </c>
      <c r="D9275" s="13" t="s">
        <v>634</v>
      </c>
      <c r="E9275" t="s">
        <v>337</v>
      </c>
      <c r="F9275" s="11">
        <v>1</v>
      </c>
      <c r="G9275" s="11">
        <v>50420.17</v>
      </c>
    </row>
    <row r="9276" spans="2:7" x14ac:dyDescent="0.2">
      <c r="B9276" s="32">
        <v>46079</v>
      </c>
      <c r="C9276" t="s">
        <v>109</v>
      </c>
      <c r="D9276" s="13" t="s">
        <v>634</v>
      </c>
      <c r="E9276" t="s">
        <v>198</v>
      </c>
      <c r="F9276" s="11">
        <v>1</v>
      </c>
      <c r="G9276" s="11">
        <v>50420.17</v>
      </c>
    </row>
    <row r="9277" spans="2:7" x14ac:dyDescent="0.2">
      <c r="B9277" s="32">
        <v>46079</v>
      </c>
      <c r="C9277" t="s">
        <v>109</v>
      </c>
      <c r="D9277" s="13" t="s">
        <v>633</v>
      </c>
      <c r="E9277" t="s">
        <v>145</v>
      </c>
      <c r="F9277" s="11">
        <v>3</v>
      </c>
      <c r="G9277" s="11">
        <v>88235.29</v>
      </c>
    </row>
    <row r="9278" spans="2:7" x14ac:dyDescent="0.2">
      <c r="B9278" s="32">
        <v>46079</v>
      </c>
      <c r="C9278" t="s">
        <v>109</v>
      </c>
      <c r="D9278" s="13" t="s">
        <v>633</v>
      </c>
      <c r="E9278" t="s">
        <v>336</v>
      </c>
      <c r="F9278" s="11">
        <v>1</v>
      </c>
      <c r="G9278" s="11">
        <v>75630.259999999995</v>
      </c>
    </row>
    <row r="9279" spans="2:7" x14ac:dyDescent="0.2">
      <c r="B9279" s="32">
        <v>46079</v>
      </c>
      <c r="C9279" t="s">
        <v>109</v>
      </c>
      <c r="D9279" s="13" t="s">
        <v>633</v>
      </c>
      <c r="E9279" t="s">
        <v>149</v>
      </c>
      <c r="F9279" s="11">
        <v>1</v>
      </c>
      <c r="G9279" s="11">
        <v>75630.25</v>
      </c>
    </row>
    <row r="9280" spans="2:7" x14ac:dyDescent="0.2">
      <c r="B9280" s="32">
        <v>46079</v>
      </c>
      <c r="C9280" t="s">
        <v>109</v>
      </c>
      <c r="D9280" s="13" t="s">
        <v>633</v>
      </c>
      <c r="E9280" t="s">
        <v>164</v>
      </c>
      <c r="F9280" s="11">
        <v>1</v>
      </c>
      <c r="G9280" s="11">
        <v>75630.25</v>
      </c>
    </row>
    <row r="9281" spans="2:7" x14ac:dyDescent="0.2">
      <c r="B9281" s="32">
        <v>46079</v>
      </c>
      <c r="C9281" t="s">
        <v>109</v>
      </c>
      <c r="D9281" s="13" t="s">
        <v>633</v>
      </c>
      <c r="E9281" t="s">
        <v>362</v>
      </c>
      <c r="F9281" s="11">
        <v>1</v>
      </c>
      <c r="G9281" s="11">
        <v>58823.53</v>
      </c>
    </row>
    <row r="9282" spans="2:7" x14ac:dyDescent="0.2">
      <c r="B9282" s="32">
        <v>46079</v>
      </c>
      <c r="C9282" t="s">
        <v>109</v>
      </c>
      <c r="D9282" s="13" t="s">
        <v>633</v>
      </c>
      <c r="E9282" t="s">
        <v>407</v>
      </c>
      <c r="F9282" s="11">
        <v>1</v>
      </c>
      <c r="G9282" s="11">
        <v>54621.85</v>
      </c>
    </row>
    <row r="9283" spans="2:7" x14ac:dyDescent="0.2">
      <c r="B9283" s="32">
        <v>46079</v>
      </c>
      <c r="C9283" t="s">
        <v>109</v>
      </c>
      <c r="D9283" s="13" t="s">
        <v>633</v>
      </c>
      <c r="E9283" t="s">
        <v>707</v>
      </c>
      <c r="F9283" s="11">
        <v>1</v>
      </c>
      <c r="G9283" s="11">
        <v>50420.17</v>
      </c>
    </row>
    <row r="9284" spans="2:7" x14ac:dyDescent="0.2">
      <c r="B9284" s="32">
        <v>46079</v>
      </c>
      <c r="C9284" t="s">
        <v>109</v>
      </c>
      <c r="D9284" s="13" t="s">
        <v>633</v>
      </c>
      <c r="E9284" t="s">
        <v>238</v>
      </c>
      <c r="F9284" s="11">
        <v>1</v>
      </c>
      <c r="G9284" s="11">
        <v>46218.49</v>
      </c>
    </row>
    <row r="9285" spans="2:7" x14ac:dyDescent="0.2">
      <c r="B9285" s="32">
        <v>46079</v>
      </c>
      <c r="C9285" t="s">
        <v>109</v>
      </c>
      <c r="D9285" s="13" t="s">
        <v>633</v>
      </c>
      <c r="E9285" t="s">
        <v>416</v>
      </c>
      <c r="F9285" s="11">
        <v>1</v>
      </c>
      <c r="G9285" s="11">
        <v>45378.16</v>
      </c>
    </row>
    <row r="9286" spans="2:7" x14ac:dyDescent="0.2">
      <c r="B9286" s="32">
        <v>46079</v>
      </c>
      <c r="C9286" t="s">
        <v>109</v>
      </c>
      <c r="D9286" s="13" t="s">
        <v>633</v>
      </c>
      <c r="E9286" t="s">
        <v>338</v>
      </c>
      <c r="F9286" s="11">
        <v>1</v>
      </c>
      <c r="G9286" s="11">
        <v>45378.15</v>
      </c>
    </row>
    <row r="9287" spans="2:7" x14ac:dyDescent="0.2">
      <c r="B9287" s="32">
        <v>46079</v>
      </c>
      <c r="C9287" t="s">
        <v>109</v>
      </c>
      <c r="D9287" s="13" t="s">
        <v>633</v>
      </c>
      <c r="E9287" t="s">
        <v>706</v>
      </c>
      <c r="F9287" s="11">
        <v>1</v>
      </c>
      <c r="G9287" s="11">
        <v>45378.15</v>
      </c>
    </row>
    <row r="9288" spans="2:7" x14ac:dyDescent="0.2">
      <c r="B9288" s="32">
        <v>46079</v>
      </c>
      <c r="C9288" t="s">
        <v>109</v>
      </c>
      <c r="D9288" s="13" t="s">
        <v>633</v>
      </c>
      <c r="E9288" t="s">
        <v>291</v>
      </c>
      <c r="F9288" s="11">
        <v>1</v>
      </c>
      <c r="G9288" s="11">
        <v>45378.15</v>
      </c>
    </row>
    <row r="9289" spans="2:7" x14ac:dyDescent="0.2">
      <c r="B9289" s="32">
        <v>46079</v>
      </c>
      <c r="C9289" t="s">
        <v>109</v>
      </c>
      <c r="D9289" s="13" t="s">
        <v>633</v>
      </c>
      <c r="E9289" t="s">
        <v>729</v>
      </c>
      <c r="F9289" s="11">
        <v>1</v>
      </c>
      <c r="G9289" s="11">
        <v>45378.15</v>
      </c>
    </row>
    <row r="9290" spans="2:7" x14ac:dyDescent="0.2">
      <c r="B9290" s="32">
        <v>46079</v>
      </c>
      <c r="C9290" t="s">
        <v>109</v>
      </c>
      <c r="D9290" s="13" t="s">
        <v>633</v>
      </c>
      <c r="E9290" t="s">
        <v>296</v>
      </c>
      <c r="F9290" s="11">
        <v>1</v>
      </c>
      <c r="G9290" s="11">
        <v>45378.15</v>
      </c>
    </row>
    <row r="9291" spans="2:7" x14ac:dyDescent="0.2">
      <c r="B9291" s="32">
        <v>46079</v>
      </c>
      <c r="C9291" t="s">
        <v>109</v>
      </c>
      <c r="D9291" s="13" t="s">
        <v>633</v>
      </c>
      <c r="E9291" t="s">
        <v>246</v>
      </c>
      <c r="F9291" s="11">
        <v>1</v>
      </c>
      <c r="G9291" s="11">
        <v>42016.81</v>
      </c>
    </row>
    <row r="9292" spans="2:7" x14ac:dyDescent="0.2">
      <c r="B9292" s="32">
        <v>46079</v>
      </c>
      <c r="C9292" t="s">
        <v>109</v>
      </c>
      <c r="D9292" s="13" t="s">
        <v>633</v>
      </c>
      <c r="E9292" t="s">
        <v>293</v>
      </c>
      <c r="F9292" s="11">
        <v>1</v>
      </c>
      <c r="G9292" s="11">
        <v>37815.129999999997</v>
      </c>
    </row>
    <row r="9293" spans="2:7" x14ac:dyDescent="0.2">
      <c r="B9293" s="32">
        <v>46079</v>
      </c>
      <c r="C9293" t="s">
        <v>109</v>
      </c>
      <c r="D9293" s="13" t="s">
        <v>633</v>
      </c>
      <c r="E9293" t="s">
        <v>327</v>
      </c>
      <c r="F9293" s="11">
        <v>1</v>
      </c>
      <c r="G9293" s="11">
        <v>35000</v>
      </c>
    </row>
    <row r="9294" spans="2:7" x14ac:dyDescent="0.2">
      <c r="B9294" s="32">
        <v>46080</v>
      </c>
      <c r="C9294" t="s">
        <v>142</v>
      </c>
      <c r="D9294" s="13" t="s">
        <v>634</v>
      </c>
      <c r="E9294" t="s">
        <v>344</v>
      </c>
      <c r="F9294" s="11">
        <v>2</v>
      </c>
      <c r="G9294" s="11">
        <v>218487.39</v>
      </c>
    </row>
    <row r="9295" spans="2:7" x14ac:dyDescent="0.2">
      <c r="B9295" s="32">
        <v>46080</v>
      </c>
      <c r="C9295" t="s">
        <v>142</v>
      </c>
      <c r="D9295" s="13" t="s">
        <v>634</v>
      </c>
      <c r="E9295" t="s">
        <v>167</v>
      </c>
      <c r="F9295" s="11">
        <v>1</v>
      </c>
      <c r="G9295" s="11">
        <v>113445.38</v>
      </c>
    </row>
    <row r="9296" spans="2:7" x14ac:dyDescent="0.2">
      <c r="B9296" s="32">
        <v>46080</v>
      </c>
      <c r="C9296" t="s">
        <v>142</v>
      </c>
      <c r="D9296" s="13" t="s">
        <v>634</v>
      </c>
      <c r="E9296" t="s">
        <v>430</v>
      </c>
      <c r="F9296" s="11">
        <v>1</v>
      </c>
      <c r="G9296" s="11">
        <v>63025.21</v>
      </c>
    </row>
    <row r="9297" spans="2:7" x14ac:dyDescent="0.2">
      <c r="B9297" s="32">
        <v>46080</v>
      </c>
      <c r="C9297" t="s">
        <v>142</v>
      </c>
      <c r="D9297" s="13" t="s">
        <v>634</v>
      </c>
      <c r="E9297" t="s">
        <v>335</v>
      </c>
      <c r="F9297" s="11">
        <v>1</v>
      </c>
      <c r="G9297" s="11">
        <v>63025.21</v>
      </c>
    </row>
    <row r="9298" spans="2:7" x14ac:dyDescent="0.2">
      <c r="B9298" s="32">
        <v>46080</v>
      </c>
      <c r="C9298" t="s">
        <v>142</v>
      </c>
      <c r="D9298" s="13" t="s">
        <v>634</v>
      </c>
      <c r="E9298" t="s">
        <v>454</v>
      </c>
      <c r="F9298" s="11">
        <v>1</v>
      </c>
      <c r="G9298" s="11">
        <v>63025.21</v>
      </c>
    </row>
    <row r="9299" spans="2:7" x14ac:dyDescent="0.2">
      <c r="B9299" s="32">
        <v>46080</v>
      </c>
      <c r="C9299" t="s">
        <v>142</v>
      </c>
      <c r="D9299" s="13" t="s">
        <v>634</v>
      </c>
      <c r="F9299" s="11">
        <v>0</v>
      </c>
      <c r="G9299" s="11">
        <v>0</v>
      </c>
    </row>
    <row r="9300" spans="2:7" x14ac:dyDescent="0.2">
      <c r="B9300" s="32">
        <v>46080</v>
      </c>
      <c r="C9300" t="s">
        <v>142</v>
      </c>
      <c r="D9300" s="13" t="s">
        <v>633</v>
      </c>
      <c r="E9300" t="s">
        <v>159</v>
      </c>
      <c r="F9300" s="11">
        <v>1</v>
      </c>
      <c r="G9300" s="11">
        <v>239495.8</v>
      </c>
    </row>
    <row r="9301" spans="2:7" x14ac:dyDescent="0.2">
      <c r="B9301" s="32">
        <v>46080</v>
      </c>
      <c r="C9301" t="s">
        <v>142</v>
      </c>
      <c r="D9301" s="13" t="s">
        <v>633</v>
      </c>
      <c r="E9301" t="s">
        <v>533</v>
      </c>
      <c r="F9301" s="11">
        <v>2</v>
      </c>
      <c r="G9301" s="11">
        <v>126050.42</v>
      </c>
    </row>
    <row r="9302" spans="2:7" x14ac:dyDescent="0.2">
      <c r="B9302" s="32">
        <v>46080</v>
      </c>
      <c r="C9302" t="s">
        <v>142</v>
      </c>
      <c r="D9302" s="13" t="s">
        <v>633</v>
      </c>
      <c r="E9302" t="s">
        <v>651</v>
      </c>
      <c r="F9302" s="11">
        <v>1</v>
      </c>
      <c r="G9302" s="11">
        <v>58823.53</v>
      </c>
    </row>
    <row r="9303" spans="2:7" x14ac:dyDescent="0.2">
      <c r="B9303" s="32">
        <v>46080</v>
      </c>
      <c r="C9303" t="s">
        <v>142</v>
      </c>
      <c r="D9303" s="13" t="s">
        <v>633</v>
      </c>
      <c r="E9303" t="s">
        <v>292</v>
      </c>
      <c r="F9303" s="11">
        <v>1</v>
      </c>
      <c r="G9303" s="11">
        <v>54621.85</v>
      </c>
    </row>
    <row r="9304" spans="2:7" x14ac:dyDescent="0.2">
      <c r="B9304" s="32">
        <v>46080</v>
      </c>
      <c r="C9304" t="s">
        <v>142</v>
      </c>
      <c r="D9304" s="13" t="s">
        <v>633</v>
      </c>
      <c r="F9304" s="11">
        <v>0</v>
      </c>
      <c r="G9304" s="11">
        <v>0</v>
      </c>
    </row>
    <row r="9305" spans="2:7" x14ac:dyDescent="0.2">
      <c r="B9305" s="32">
        <v>46080</v>
      </c>
      <c r="C9305" t="s">
        <v>110</v>
      </c>
      <c r="D9305" s="13"/>
      <c r="E9305" t="s">
        <v>161</v>
      </c>
      <c r="F9305" s="11">
        <v>2</v>
      </c>
      <c r="G9305" s="11">
        <v>84033.61</v>
      </c>
    </row>
    <row r="9306" spans="2:7" x14ac:dyDescent="0.2">
      <c r="B9306" s="32">
        <v>46080</v>
      </c>
      <c r="C9306" t="s">
        <v>110</v>
      </c>
      <c r="D9306" s="13"/>
      <c r="E9306" t="s">
        <v>427</v>
      </c>
      <c r="F9306" s="11">
        <v>1</v>
      </c>
      <c r="G9306" s="11">
        <v>58823.53</v>
      </c>
    </row>
    <row r="9307" spans="2:7" x14ac:dyDescent="0.2">
      <c r="B9307" s="32">
        <v>46080</v>
      </c>
      <c r="C9307" t="s">
        <v>110</v>
      </c>
      <c r="D9307" s="13"/>
      <c r="E9307" t="s">
        <v>348</v>
      </c>
      <c r="F9307" s="11">
        <v>1</v>
      </c>
      <c r="G9307" s="11">
        <v>58823.53</v>
      </c>
    </row>
    <row r="9308" spans="2:7" x14ac:dyDescent="0.2">
      <c r="B9308" s="32">
        <v>46080</v>
      </c>
      <c r="C9308" t="s">
        <v>110</v>
      </c>
      <c r="D9308" s="13"/>
      <c r="E9308" t="s">
        <v>153</v>
      </c>
      <c r="F9308" s="11">
        <v>1</v>
      </c>
      <c r="G9308" s="11">
        <v>46218.49</v>
      </c>
    </row>
    <row r="9309" spans="2:7" x14ac:dyDescent="0.2">
      <c r="B9309" s="32">
        <v>46080</v>
      </c>
      <c r="C9309" t="s">
        <v>110</v>
      </c>
      <c r="D9309" s="13"/>
      <c r="E9309" t="s">
        <v>168</v>
      </c>
      <c r="F9309" s="11">
        <v>1</v>
      </c>
      <c r="G9309" s="11">
        <v>42016.81</v>
      </c>
    </row>
    <row r="9310" spans="2:7" x14ac:dyDescent="0.2">
      <c r="B9310" s="32">
        <v>46080</v>
      </c>
      <c r="C9310" t="s">
        <v>110</v>
      </c>
      <c r="D9310" s="13"/>
      <c r="E9310" t="s">
        <v>342</v>
      </c>
      <c r="F9310" s="11">
        <v>1</v>
      </c>
      <c r="G9310" s="11">
        <v>37815.129999999997</v>
      </c>
    </row>
    <row r="9311" spans="2:7" x14ac:dyDescent="0.2">
      <c r="B9311" s="32">
        <v>46080</v>
      </c>
      <c r="C9311" t="s">
        <v>110</v>
      </c>
      <c r="D9311" s="13" t="s">
        <v>633</v>
      </c>
      <c r="E9311" t="s">
        <v>258</v>
      </c>
      <c r="F9311" s="11">
        <v>1</v>
      </c>
      <c r="G9311" s="11">
        <v>58823.53</v>
      </c>
    </row>
    <row r="9312" spans="2:7" x14ac:dyDescent="0.2">
      <c r="B9312" s="32">
        <v>46080</v>
      </c>
      <c r="C9312" t="s">
        <v>110</v>
      </c>
      <c r="D9312" s="13" t="s">
        <v>633</v>
      </c>
      <c r="E9312" t="s">
        <v>195</v>
      </c>
      <c r="F9312" s="11">
        <v>1</v>
      </c>
      <c r="G9312" s="11">
        <v>50420.17</v>
      </c>
    </row>
    <row r="9313" spans="2:7" x14ac:dyDescent="0.2">
      <c r="B9313" s="32">
        <v>46080</v>
      </c>
      <c r="C9313" t="s">
        <v>110</v>
      </c>
      <c r="D9313" s="13" t="s">
        <v>633</v>
      </c>
      <c r="E9313" t="s">
        <v>466</v>
      </c>
      <c r="F9313" s="11">
        <v>1</v>
      </c>
      <c r="G9313" s="11">
        <v>37815.129999999997</v>
      </c>
    </row>
    <row r="9314" spans="2:7" x14ac:dyDescent="0.2">
      <c r="B9314" s="32">
        <v>46080</v>
      </c>
      <c r="C9314" t="s">
        <v>110</v>
      </c>
      <c r="D9314" s="13" t="s">
        <v>633</v>
      </c>
      <c r="E9314" t="s">
        <v>456</v>
      </c>
      <c r="F9314" s="11">
        <v>1</v>
      </c>
      <c r="G9314" s="11">
        <v>16806.72</v>
      </c>
    </row>
    <row r="9315" spans="2:7" x14ac:dyDescent="0.2">
      <c r="B9315" s="32">
        <v>46080</v>
      </c>
      <c r="C9315" t="s">
        <v>109</v>
      </c>
      <c r="D9315" s="13"/>
      <c r="E9315" t="s">
        <v>195</v>
      </c>
      <c r="F9315" s="11">
        <v>1</v>
      </c>
      <c r="G9315" s="11">
        <v>50420.17</v>
      </c>
    </row>
    <row r="9316" spans="2:7" x14ac:dyDescent="0.2">
      <c r="B9316" s="32">
        <v>46080</v>
      </c>
      <c r="C9316" t="s">
        <v>109</v>
      </c>
      <c r="D9316" s="13" t="s">
        <v>634</v>
      </c>
      <c r="E9316" t="s">
        <v>422</v>
      </c>
      <c r="F9316" s="11">
        <v>1</v>
      </c>
      <c r="G9316" s="11">
        <v>109243.69</v>
      </c>
    </row>
    <row r="9317" spans="2:7" x14ac:dyDescent="0.2">
      <c r="B9317" s="32">
        <v>46080</v>
      </c>
      <c r="C9317" t="s">
        <v>109</v>
      </c>
      <c r="D9317" s="13" t="s">
        <v>634</v>
      </c>
      <c r="E9317" t="s">
        <v>203</v>
      </c>
      <c r="F9317" s="11">
        <v>2</v>
      </c>
      <c r="G9317" s="11">
        <v>84033.62</v>
      </c>
    </row>
    <row r="9318" spans="2:7" x14ac:dyDescent="0.2">
      <c r="B9318" s="32">
        <v>46080</v>
      </c>
      <c r="C9318" t="s">
        <v>109</v>
      </c>
      <c r="D9318" s="13" t="s">
        <v>634</v>
      </c>
      <c r="E9318" t="s">
        <v>152</v>
      </c>
      <c r="F9318" s="11">
        <v>1</v>
      </c>
      <c r="G9318" s="11">
        <v>84033.61</v>
      </c>
    </row>
    <row r="9319" spans="2:7" x14ac:dyDescent="0.2">
      <c r="B9319" s="32">
        <v>46080</v>
      </c>
      <c r="C9319" t="s">
        <v>109</v>
      </c>
      <c r="D9319" s="13" t="s">
        <v>634</v>
      </c>
      <c r="E9319" t="s">
        <v>330</v>
      </c>
      <c r="F9319" s="11">
        <v>2</v>
      </c>
      <c r="G9319" s="11">
        <v>75630.25</v>
      </c>
    </row>
    <row r="9320" spans="2:7" x14ac:dyDescent="0.2">
      <c r="B9320" s="32">
        <v>46080</v>
      </c>
      <c r="C9320" t="s">
        <v>109</v>
      </c>
      <c r="D9320" s="13" t="s">
        <v>634</v>
      </c>
      <c r="E9320" t="s">
        <v>148</v>
      </c>
      <c r="F9320" s="11">
        <v>2</v>
      </c>
      <c r="G9320" s="11">
        <v>75630.25</v>
      </c>
    </row>
    <row r="9321" spans="2:7" x14ac:dyDescent="0.2">
      <c r="B9321" s="32">
        <v>46080</v>
      </c>
      <c r="C9321" t="s">
        <v>109</v>
      </c>
      <c r="D9321" s="13" t="s">
        <v>634</v>
      </c>
      <c r="E9321" t="s">
        <v>346</v>
      </c>
      <c r="F9321" s="11">
        <v>1</v>
      </c>
      <c r="G9321" s="11">
        <v>63025.21</v>
      </c>
    </row>
    <row r="9322" spans="2:7" x14ac:dyDescent="0.2">
      <c r="B9322" s="32">
        <v>46080</v>
      </c>
      <c r="C9322" t="s">
        <v>109</v>
      </c>
      <c r="D9322" s="13" t="s">
        <v>634</v>
      </c>
      <c r="E9322" t="s">
        <v>233</v>
      </c>
      <c r="F9322" s="11">
        <v>1</v>
      </c>
      <c r="G9322" s="11">
        <v>63025.21</v>
      </c>
    </row>
    <row r="9323" spans="2:7" x14ac:dyDescent="0.2">
      <c r="B9323" s="32">
        <v>46080</v>
      </c>
      <c r="C9323" t="s">
        <v>109</v>
      </c>
      <c r="D9323" s="13" t="s">
        <v>634</v>
      </c>
      <c r="E9323" t="s">
        <v>455</v>
      </c>
      <c r="F9323" s="11">
        <v>1</v>
      </c>
      <c r="G9323" s="11">
        <v>54621.85</v>
      </c>
    </row>
    <row r="9324" spans="2:7" x14ac:dyDescent="0.2">
      <c r="B9324" s="32">
        <v>46080</v>
      </c>
      <c r="C9324" t="s">
        <v>109</v>
      </c>
      <c r="D9324" s="13" t="s">
        <v>634</v>
      </c>
      <c r="E9324" t="s">
        <v>166</v>
      </c>
      <c r="F9324" s="11">
        <v>1</v>
      </c>
      <c r="G9324" s="11">
        <v>42016.81</v>
      </c>
    </row>
    <row r="9325" spans="2:7" x14ac:dyDescent="0.2">
      <c r="B9325" s="32">
        <v>46080</v>
      </c>
      <c r="C9325" t="s">
        <v>109</v>
      </c>
      <c r="D9325" s="13" t="s">
        <v>634</v>
      </c>
      <c r="E9325" t="s">
        <v>382</v>
      </c>
      <c r="F9325" s="11">
        <v>1</v>
      </c>
      <c r="G9325" s="11">
        <v>42016.81</v>
      </c>
    </row>
    <row r="9326" spans="2:7" x14ac:dyDescent="0.2">
      <c r="B9326" s="32">
        <v>46080</v>
      </c>
      <c r="C9326" t="s">
        <v>109</v>
      </c>
      <c r="D9326" s="13" t="s">
        <v>634</v>
      </c>
      <c r="E9326" t="s">
        <v>218</v>
      </c>
      <c r="F9326" s="11">
        <v>1</v>
      </c>
      <c r="G9326" s="11">
        <v>42016.81</v>
      </c>
    </row>
    <row r="9327" spans="2:7" x14ac:dyDescent="0.2">
      <c r="B9327" s="32">
        <v>46080</v>
      </c>
      <c r="C9327" t="s">
        <v>109</v>
      </c>
      <c r="D9327" s="13" t="s">
        <v>634</v>
      </c>
      <c r="E9327" t="s">
        <v>206</v>
      </c>
      <c r="F9327" s="11">
        <v>1</v>
      </c>
      <c r="G9327" s="11">
        <v>37815.129999999997</v>
      </c>
    </row>
    <row r="9328" spans="2:7" x14ac:dyDescent="0.2">
      <c r="B9328" s="32">
        <v>46080</v>
      </c>
      <c r="C9328" t="s">
        <v>109</v>
      </c>
      <c r="D9328" s="13" t="s">
        <v>634</v>
      </c>
      <c r="E9328" t="s">
        <v>173</v>
      </c>
      <c r="F9328" s="11">
        <v>1</v>
      </c>
      <c r="G9328" s="11">
        <v>37815.129999999997</v>
      </c>
    </row>
    <row r="9329" spans="2:7" x14ac:dyDescent="0.2">
      <c r="B9329" s="32">
        <v>46080</v>
      </c>
      <c r="C9329" t="s">
        <v>109</v>
      </c>
      <c r="D9329" s="13" t="s">
        <v>634</v>
      </c>
      <c r="E9329" t="s">
        <v>356</v>
      </c>
      <c r="F9329" s="11">
        <v>1</v>
      </c>
      <c r="G9329" s="11">
        <v>37815.129999999997</v>
      </c>
    </row>
    <row r="9330" spans="2:7" x14ac:dyDescent="0.2">
      <c r="B9330" s="32">
        <v>46080</v>
      </c>
      <c r="C9330" t="s">
        <v>109</v>
      </c>
      <c r="D9330" s="13" t="s">
        <v>634</v>
      </c>
      <c r="E9330" t="s">
        <v>328</v>
      </c>
      <c r="F9330" s="11">
        <v>1</v>
      </c>
      <c r="G9330" s="11">
        <v>37815.120000000003</v>
      </c>
    </row>
    <row r="9331" spans="2:7" x14ac:dyDescent="0.2">
      <c r="B9331" s="32">
        <v>46080</v>
      </c>
      <c r="C9331" t="s">
        <v>109</v>
      </c>
      <c r="D9331" s="13" t="s">
        <v>634</v>
      </c>
      <c r="F9331" s="11">
        <v>0</v>
      </c>
      <c r="G9331" s="11">
        <v>0</v>
      </c>
    </row>
    <row r="9332" spans="2:7" x14ac:dyDescent="0.2">
      <c r="B9332" s="32">
        <v>46080</v>
      </c>
      <c r="C9332" t="s">
        <v>109</v>
      </c>
      <c r="D9332" s="13" t="s">
        <v>633</v>
      </c>
      <c r="E9332" t="s">
        <v>329</v>
      </c>
      <c r="F9332" s="11">
        <v>1</v>
      </c>
      <c r="G9332" s="11">
        <v>235294.12</v>
      </c>
    </row>
    <row r="9333" spans="2:7" x14ac:dyDescent="0.2">
      <c r="B9333" s="32">
        <v>46080</v>
      </c>
      <c r="C9333" t="s">
        <v>109</v>
      </c>
      <c r="D9333" s="13" t="s">
        <v>633</v>
      </c>
      <c r="E9333" t="s">
        <v>156</v>
      </c>
      <c r="F9333" s="11">
        <v>2</v>
      </c>
      <c r="G9333" s="11">
        <v>92436.97</v>
      </c>
    </row>
    <row r="9334" spans="2:7" x14ac:dyDescent="0.2">
      <c r="B9334" s="32">
        <v>46080</v>
      </c>
      <c r="C9334" t="s">
        <v>109</v>
      </c>
      <c r="D9334" s="13" t="s">
        <v>633</v>
      </c>
      <c r="E9334" t="s">
        <v>357</v>
      </c>
      <c r="F9334" s="11">
        <v>1</v>
      </c>
      <c r="G9334" s="11">
        <v>75630.259999999995</v>
      </c>
    </row>
    <row r="9335" spans="2:7" x14ac:dyDescent="0.2">
      <c r="B9335" s="32">
        <v>46080</v>
      </c>
      <c r="C9335" t="s">
        <v>109</v>
      </c>
      <c r="D9335" s="13" t="s">
        <v>633</v>
      </c>
      <c r="E9335" t="s">
        <v>446</v>
      </c>
      <c r="F9335" s="11">
        <v>1</v>
      </c>
      <c r="G9335" s="11">
        <v>75630.25</v>
      </c>
    </row>
    <row r="9336" spans="2:7" x14ac:dyDescent="0.2">
      <c r="B9336" s="32">
        <v>46080</v>
      </c>
      <c r="C9336" t="s">
        <v>109</v>
      </c>
      <c r="D9336" s="13" t="s">
        <v>633</v>
      </c>
      <c r="E9336" t="s">
        <v>149</v>
      </c>
      <c r="F9336" s="11">
        <v>1</v>
      </c>
      <c r="G9336" s="11">
        <v>75630.25</v>
      </c>
    </row>
    <row r="9337" spans="2:7" x14ac:dyDescent="0.2">
      <c r="B9337" s="32">
        <v>46080</v>
      </c>
      <c r="C9337" t="s">
        <v>109</v>
      </c>
      <c r="D9337" s="13" t="s">
        <v>633</v>
      </c>
      <c r="E9337" t="s">
        <v>334</v>
      </c>
      <c r="F9337" s="11">
        <v>1</v>
      </c>
      <c r="G9337" s="11">
        <v>75630.25</v>
      </c>
    </row>
    <row r="9338" spans="2:7" x14ac:dyDescent="0.2">
      <c r="B9338" s="32">
        <v>46080</v>
      </c>
      <c r="C9338" t="s">
        <v>109</v>
      </c>
      <c r="D9338" s="13" t="s">
        <v>633</v>
      </c>
      <c r="E9338" t="s">
        <v>504</v>
      </c>
      <c r="F9338" s="11">
        <v>1</v>
      </c>
      <c r="G9338" s="11">
        <v>54621.85</v>
      </c>
    </row>
    <row r="9339" spans="2:7" x14ac:dyDescent="0.2">
      <c r="B9339" s="32">
        <v>46080</v>
      </c>
      <c r="C9339" t="s">
        <v>109</v>
      </c>
      <c r="D9339" s="13" t="s">
        <v>633</v>
      </c>
      <c r="E9339" t="s">
        <v>144</v>
      </c>
      <c r="F9339" s="11">
        <v>2</v>
      </c>
      <c r="G9339" s="11">
        <v>50000</v>
      </c>
    </row>
    <row r="9340" spans="2:7" x14ac:dyDescent="0.2">
      <c r="B9340" s="32">
        <v>46080</v>
      </c>
      <c r="C9340" t="s">
        <v>109</v>
      </c>
      <c r="D9340" s="13" t="s">
        <v>633</v>
      </c>
      <c r="E9340" t="s">
        <v>218</v>
      </c>
      <c r="F9340" s="11">
        <v>1</v>
      </c>
      <c r="G9340" s="11">
        <v>42016.81</v>
      </c>
    </row>
    <row r="9341" spans="2:7" x14ac:dyDescent="0.2">
      <c r="B9341" s="32">
        <v>46080</v>
      </c>
      <c r="C9341" t="s">
        <v>109</v>
      </c>
      <c r="D9341" s="13" t="s">
        <v>633</v>
      </c>
      <c r="E9341" t="s">
        <v>166</v>
      </c>
      <c r="F9341" s="11">
        <v>1</v>
      </c>
      <c r="G9341" s="11">
        <v>42016.81</v>
      </c>
    </row>
    <row r="9342" spans="2:7" x14ac:dyDescent="0.2">
      <c r="B9342" s="32">
        <v>46080</v>
      </c>
      <c r="C9342" t="s">
        <v>109</v>
      </c>
      <c r="D9342" s="13" t="s">
        <v>633</v>
      </c>
      <c r="E9342" t="s">
        <v>206</v>
      </c>
      <c r="F9342" s="11">
        <v>1</v>
      </c>
      <c r="G9342" s="11">
        <v>37815.129999999997</v>
      </c>
    </row>
    <row r="9343" spans="2:7" x14ac:dyDescent="0.2">
      <c r="B9343" s="32">
        <v>46080</v>
      </c>
      <c r="C9343" t="s">
        <v>109</v>
      </c>
      <c r="D9343" s="13" t="s">
        <v>633</v>
      </c>
      <c r="E9343" t="s">
        <v>234</v>
      </c>
      <c r="F9343" s="11">
        <v>1</v>
      </c>
      <c r="G9343" s="11">
        <v>37815.129999999997</v>
      </c>
    </row>
    <row r="9344" spans="2:7" x14ac:dyDescent="0.2">
      <c r="B9344" s="32">
        <v>46080</v>
      </c>
      <c r="C9344" t="s">
        <v>109</v>
      </c>
      <c r="D9344" s="13" t="s">
        <v>633</v>
      </c>
      <c r="E9344" t="s">
        <v>328</v>
      </c>
      <c r="F9344" s="11">
        <v>1</v>
      </c>
      <c r="G9344" s="11">
        <v>37815.129999999997</v>
      </c>
    </row>
    <row r="9345" spans="2:7" x14ac:dyDescent="0.2">
      <c r="B9345" s="32">
        <v>46080</v>
      </c>
      <c r="C9345" t="s">
        <v>109</v>
      </c>
      <c r="D9345" s="13" t="s">
        <v>633</v>
      </c>
      <c r="E9345" t="s">
        <v>342</v>
      </c>
      <c r="F9345" s="11">
        <v>1</v>
      </c>
      <c r="G9345" s="11">
        <v>37815.129999999997</v>
      </c>
    </row>
    <row r="9346" spans="2:7" x14ac:dyDescent="0.2">
      <c r="B9346" s="32">
        <v>46080</v>
      </c>
      <c r="C9346" t="s">
        <v>109</v>
      </c>
      <c r="D9346" s="13" t="s">
        <v>633</v>
      </c>
      <c r="E9346" t="s">
        <v>180</v>
      </c>
      <c r="F9346" s="11">
        <v>1</v>
      </c>
      <c r="G9346" s="11">
        <v>16806.72</v>
      </c>
    </row>
    <row r="9347" spans="2:7" x14ac:dyDescent="0.2">
      <c r="B9347" s="32">
        <v>46080</v>
      </c>
      <c r="C9347" t="s">
        <v>109</v>
      </c>
      <c r="D9347" s="13" t="s">
        <v>633</v>
      </c>
      <c r="E9347" t="s">
        <v>456</v>
      </c>
      <c r="F9347" s="11">
        <v>1</v>
      </c>
      <c r="G9347" s="11">
        <v>16806.71</v>
      </c>
    </row>
    <row r="9348" spans="2:7" x14ac:dyDescent="0.2">
      <c r="B9348" s="32">
        <v>46080</v>
      </c>
      <c r="C9348" t="s">
        <v>109</v>
      </c>
      <c r="D9348" s="13" t="s">
        <v>633</v>
      </c>
      <c r="F9348" s="11">
        <v>0</v>
      </c>
      <c r="G9348" s="11">
        <v>0</v>
      </c>
    </row>
    <row r="9349" spans="2:7" x14ac:dyDescent="0.2">
      <c r="B9349" s="32">
        <v>46081</v>
      </c>
      <c r="C9349" t="s">
        <v>108</v>
      </c>
      <c r="D9349" s="13" t="s">
        <v>634</v>
      </c>
      <c r="E9349" t="s">
        <v>169</v>
      </c>
      <c r="F9349" s="11">
        <v>15</v>
      </c>
      <c r="G9349" s="11">
        <v>1446428.57</v>
      </c>
    </row>
    <row r="9350" spans="2:7" x14ac:dyDescent="0.2">
      <c r="B9350" s="32">
        <v>46081</v>
      </c>
      <c r="C9350" t="s">
        <v>108</v>
      </c>
      <c r="D9350" s="13" t="s">
        <v>633</v>
      </c>
      <c r="E9350" t="s">
        <v>145</v>
      </c>
      <c r="F9350" s="11">
        <v>241</v>
      </c>
      <c r="G9350" s="11">
        <v>4424371.3899999997</v>
      </c>
    </row>
    <row r="9351" spans="2:7" x14ac:dyDescent="0.2">
      <c r="B9351" s="32">
        <v>46081</v>
      </c>
      <c r="C9351" t="s">
        <v>108</v>
      </c>
      <c r="D9351" s="13" t="s">
        <v>633</v>
      </c>
      <c r="E9351" t="s">
        <v>461</v>
      </c>
      <c r="F9351" s="11">
        <v>41</v>
      </c>
      <c r="G9351" s="11">
        <v>2301324.7599999998</v>
      </c>
    </row>
    <row r="9352" spans="2:7" x14ac:dyDescent="0.2">
      <c r="B9352" s="32">
        <v>46081</v>
      </c>
      <c r="C9352" t="s">
        <v>108</v>
      </c>
      <c r="D9352" s="13" t="s">
        <v>633</v>
      </c>
      <c r="E9352" t="s">
        <v>696</v>
      </c>
      <c r="F9352" s="11">
        <v>40</v>
      </c>
      <c r="G9352" s="11">
        <v>1870995.75</v>
      </c>
    </row>
    <row r="9353" spans="2:7" x14ac:dyDescent="0.2">
      <c r="B9353" s="32">
        <v>46081</v>
      </c>
      <c r="C9353" t="s">
        <v>108</v>
      </c>
      <c r="D9353" s="13" t="s">
        <v>633</v>
      </c>
      <c r="E9353" t="s">
        <v>695</v>
      </c>
      <c r="F9353" s="11">
        <v>41</v>
      </c>
      <c r="G9353" s="11">
        <v>994683.7</v>
      </c>
    </row>
    <row r="9354" spans="2:7" x14ac:dyDescent="0.2">
      <c r="B9354" s="32">
        <v>46081</v>
      </c>
      <c r="C9354" t="s">
        <v>108</v>
      </c>
      <c r="D9354" s="13" t="s">
        <v>633</v>
      </c>
      <c r="E9354" t="s">
        <v>352</v>
      </c>
      <c r="F9354" s="11">
        <v>11</v>
      </c>
      <c r="G9354" s="11">
        <v>617428.61</v>
      </c>
    </row>
    <row r="9355" spans="2:7" x14ac:dyDescent="0.2">
      <c r="B9355" s="32">
        <v>46081</v>
      </c>
      <c r="C9355" t="s">
        <v>108</v>
      </c>
      <c r="D9355" s="13" t="s">
        <v>633</v>
      </c>
      <c r="E9355" t="s">
        <v>147</v>
      </c>
      <c r="F9355" s="11">
        <v>11</v>
      </c>
      <c r="G9355" s="11">
        <v>617428.61</v>
      </c>
    </row>
    <row r="9356" spans="2:7" x14ac:dyDescent="0.2">
      <c r="B9356" s="32">
        <v>46081</v>
      </c>
      <c r="C9356" t="s">
        <v>108</v>
      </c>
      <c r="D9356" s="13" t="s">
        <v>633</v>
      </c>
      <c r="E9356" t="s">
        <v>164</v>
      </c>
      <c r="F9356" s="11">
        <v>10</v>
      </c>
      <c r="G9356" s="11">
        <v>561298.72</v>
      </c>
    </row>
    <row r="9357" spans="2:7" x14ac:dyDescent="0.2">
      <c r="B9357" s="32">
        <v>46081</v>
      </c>
      <c r="C9357" t="s">
        <v>108</v>
      </c>
      <c r="D9357" s="13" t="s">
        <v>633</v>
      </c>
      <c r="E9357" t="s">
        <v>336</v>
      </c>
      <c r="F9357" s="11">
        <v>9</v>
      </c>
      <c r="G9357" s="11">
        <v>505168.85</v>
      </c>
    </row>
    <row r="9358" spans="2:7" x14ac:dyDescent="0.2">
      <c r="B9358" s="32">
        <v>46081</v>
      </c>
      <c r="C9358" t="s">
        <v>108</v>
      </c>
      <c r="D9358" s="13" t="s">
        <v>633</v>
      </c>
      <c r="E9358" t="s">
        <v>478</v>
      </c>
      <c r="F9358" s="11">
        <v>1</v>
      </c>
      <c r="G9358" s="11">
        <v>121614.73</v>
      </c>
    </row>
    <row r="9359" spans="2:7" x14ac:dyDescent="0.2">
      <c r="B9359" s="32">
        <v>46081</v>
      </c>
      <c r="C9359" t="s">
        <v>142</v>
      </c>
      <c r="D9359" s="13" t="s">
        <v>634</v>
      </c>
      <c r="E9359" t="s">
        <v>313</v>
      </c>
      <c r="F9359" s="11">
        <v>1</v>
      </c>
      <c r="G9359" s="11">
        <v>113445.38</v>
      </c>
    </row>
    <row r="9360" spans="2:7" x14ac:dyDescent="0.2">
      <c r="B9360" s="32">
        <v>46081</v>
      </c>
      <c r="C9360" t="s">
        <v>142</v>
      </c>
      <c r="D9360" s="13" t="s">
        <v>634</v>
      </c>
      <c r="E9360" t="s">
        <v>435</v>
      </c>
      <c r="F9360" s="11">
        <v>1</v>
      </c>
      <c r="G9360" s="11">
        <v>58823.53</v>
      </c>
    </row>
    <row r="9361" spans="2:7" x14ac:dyDescent="0.2">
      <c r="B9361" s="32">
        <v>46081</v>
      </c>
      <c r="C9361" t="s">
        <v>142</v>
      </c>
      <c r="D9361" s="13" t="s">
        <v>634</v>
      </c>
      <c r="F9361" s="11">
        <v>0</v>
      </c>
      <c r="G9361" s="11">
        <v>0</v>
      </c>
    </row>
    <row r="9362" spans="2:7" x14ac:dyDescent="0.2">
      <c r="B9362" s="32">
        <v>46081</v>
      </c>
      <c r="C9362" t="s">
        <v>110</v>
      </c>
      <c r="D9362" s="13" t="s">
        <v>633</v>
      </c>
      <c r="E9362" t="s">
        <v>351</v>
      </c>
      <c r="F9362" s="11">
        <v>2</v>
      </c>
      <c r="G9362" s="11">
        <v>33613.449999999997</v>
      </c>
    </row>
    <row r="9363" spans="2:7" x14ac:dyDescent="0.2">
      <c r="B9363" s="32">
        <v>46081</v>
      </c>
      <c r="C9363" t="s">
        <v>109</v>
      </c>
      <c r="D9363" s="13"/>
      <c r="E9363" t="s">
        <v>327</v>
      </c>
      <c r="F9363" s="11">
        <v>1</v>
      </c>
      <c r="G9363" s="11">
        <v>35000</v>
      </c>
    </row>
    <row r="9364" spans="2:7" x14ac:dyDescent="0.2">
      <c r="B9364" s="32">
        <v>46081</v>
      </c>
      <c r="C9364" t="s">
        <v>109</v>
      </c>
      <c r="D9364" s="13" t="s">
        <v>634</v>
      </c>
      <c r="E9364" t="s">
        <v>343</v>
      </c>
      <c r="F9364" s="11">
        <v>2</v>
      </c>
      <c r="G9364" s="11">
        <v>218487.39</v>
      </c>
    </row>
    <row r="9365" spans="2:7" x14ac:dyDescent="0.2">
      <c r="B9365" s="32">
        <v>46081</v>
      </c>
      <c r="C9365" t="s">
        <v>109</v>
      </c>
      <c r="D9365" s="13" t="s">
        <v>634</v>
      </c>
      <c r="E9365" t="s">
        <v>389</v>
      </c>
      <c r="F9365" s="11">
        <v>1</v>
      </c>
      <c r="G9365" s="11">
        <v>151260.51</v>
      </c>
    </row>
    <row r="9366" spans="2:7" x14ac:dyDescent="0.2">
      <c r="B9366" s="32">
        <v>46081</v>
      </c>
      <c r="C9366" t="s">
        <v>109</v>
      </c>
      <c r="D9366" s="13" t="s">
        <v>634</v>
      </c>
      <c r="E9366" t="s">
        <v>353</v>
      </c>
      <c r="F9366" s="11">
        <v>1</v>
      </c>
      <c r="G9366" s="11">
        <v>142857.14000000001</v>
      </c>
    </row>
    <row r="9367" spans="2:7" x14ac:dyDescent="0.2">
      <c r="B9367" s="32">
        <v>46081</v>
      </c>
      <c r="C9367" t="s">
        <v>109</v>
      </c>
      <c r="D9367" s="13" t="s">
        <v>634</v>
      </c>
      <c r="E9367" t="s">
        <v>334</v>
      </c>
      <c r="F9367" s="11">
        <v>1</v>
      </c>
      <c r="G9367" s="11">
        <v>75630.25</v>
      </c>
    </row>
    <row r="9368" spans="2:7" x14ac:dyDescent="0.2">
      <c r="B9368" s="32">
        <v>46081</v>
      </c>
      <c r="C9368" t="s">
        <v>109</v>
      </c>
      <c r="D9368" s="13" t="s">
        <v>634</v>
      </c>
      <c r="E9368" t="s">
        <v>352</v>
      </c>
      <c r="F9368" s="11">
        <v>1</v>
      </c>
      <c r="G9368" s="11">
        <v>75630.25</v>
      </c>
    </row>
    <row r="9369" spans="2:7" x14ac:dyDescent="0.2">
      <c r="B9369" s="32">
        <v>46081</v>
      </c>
      <c r="C9369" t="s">
        <v>109</v>
      </c>
      <c r="D9369" s="13" t="s">
        <v>634</v>
      </c>
      <c r="E9369" t="s">
        <v>287</v>
      </c>
      <c r="F9369" s="11">
        <v>1</v>
      </c>
      <c r="G9369" s="11">
        <v>63025.22</v>
      </c>
    </row>
    <row r="9370" spans="2:7" x14ac:dyDescent="0.2">
      <c r="B9370" s="32">
        <v>46081</v>
      </c>
      <c r="C9370" t="s">
        <v>109</v>
      </c>
      <c r="D9370" s="13" t="s">
        <v>634</v>
      </c>
      <c r="E9370" t="s">
        <v>203</v>
      </c>
      <c r="F9370" s="11">
        <v>1</v>
      </c>
      <c r="G9370" s="11">
        <v>42016.81</v>
      </c>
    </row>
    <row r="9371" spans="2:7" x14ac:dyDescent="0.2">
      <c r="B9371" s="32">
        <v>46081</v>
      </c>
      <c r="C9371" t="s">
        <v>109</v>
      </c>
      <c r="D9371" s="13" t="s">
        <v>634</v>
      </c>
      <c r="E9371" t="s">
        <v>234</v>
      </c>
      <c r="F9371" s="11">
        <v>1</v>
      </c>
      <c r="G9371" s="11">
        <v>37815.129999999997</v>
      </c>
    </row>
    <row r="9372" spans="2:7" x14ac:dyDescent="0.2">
      <c r="B9372" s="32">
        <v>46081</v>
      </c>
      <c r="C9372" t="s">
        <v>109</v>
      </c>
      <c r="D9372" s="13" t="s">
        <v>634</v>
      </c>
      <c r="E9372" t="s">
        <v>330</v>
      </c>
      <c r="F9372" s="11">
        <v>1</v>
      </c>
      <c r="G9372" s="11">
        <v>37815.129999999997</v>
      </c>
    </row>
    <row r="9373" spans="2:7" x14ac:dyDescent="0.2">
      <c r="B9373" s="32">
        <v>46081</v>
      </c>
      <c r="C9373" t="s">
        <v>109</v>
      </c>
      <c r="D9373" s="13" t="s">
        <v>633</v>
      </c>
      <c r="F9373" s="11">
        <v>2</v>
      </c>
      <c r="G9373" s="11">
        <v>260504.2</v>
      </c>
    </row>
    <row r="9374" spans="2:7" x14ac:dyDescent="0.2">
      <c r="B9374" s="32">
        <v>46081</v>
      </c>
      <c r="C9374" t="s">
        <v>109</v>
      </c>
      <c r="D9374" s="13" t="s">
        <v>633</v>
      </c>
      <c r="E9374" t="s">
        <v>713</v>
      </c>
      <c r="F9374" s="11">
        <v>1</v>
      </c>
      <c r="G9374" s="11">
        <v>239495.8</v>
      </c>
    </row>
    <row r="9375" spans="2:7" x14ac:dyDescent="0.2">
      <c r="B9375" s="32">
        <v>46081</v>
      </c>
      <c r="C9375" t="s">
        <v>109</v>
      </c>
      <c r="D9375" s="13" t="s">
        <v>633</v>
      </c>
      <c r="E9375" t="s">
        <v>144</v>
      </c>
      <c r="F9375" s="11">
        <v>15</v>
      </c>
      <c r="G9375" s="11">
        <v>198739.5</v>
      </c>
    </row>
    <row r="9376" spans="2:7" x14ac:dyDescent="0.2">
      <c r="B9376" s="32">
        <v>46081</v>
      </c>
      <c r="C9376" t="s">
        <v>109</v>
      </c>
      <c r="D9376" s="13" t="s">
        <v>633</v>
      </c>
      <c r="E9376" t="s">
        <v>699</v>
      </c>
      <c r="F9376" s="11">
        <v>1</v>
      </c>
      <c r="G9376" s="11">
        <v>159663.87</v>
      </c>
    </row>
    <row r="9377" spans="2:7" x14ac:dyDescent="0.2">
      <c r="B9377" s="32">
        <v>46081</v>
      </c>
      <c r="C9377" t="s">
        <v>109</v>
      </c>
      <c r="D9377" s="13" t="s">
        <v>633</v>
      </c>
      <c r="E9377" t="s">
        <v>715</v>
      </c>
      <c r="F9377" s="11">
        <v>1</v>
      </c>
      <c r="G9377" s="11">
        <v>159663.87</v>
      </c>
    </row>
    <row r="9378" spans="2:7" x14ac:dyDescent="0.2">
      <c r="B9378" s="32">
        <v>46081</v>
      </c>
      <c r="C9378" t="s">
        <v>109</v>
      </c>
      <c r="D9378" s="13" t="s">
        <v>633</v>
      </c>
      <c r="E9378" t="s">
        <v>353</v>
      </c>
      <c r="F9378" s="11">
        <v>1</v>
      </c>
      <c r="G9378" s="11">
        <v>142857.14000000001</v>
      </c>
    </row>
    <row r="9379" spans="2:7" x14ac:dyDescent="0.2">
      <c r="B9379" s="32">
        <v>46081</v>
      </c>
      <c r="C9379" t="s">
        <v>109</v>
      </c>
      <c r="D9379" s="13" t="s">
        <v>633</v>
      </c>
      <c r="E9379" t="s">
        <v>152</v>
      </c>
      <c r="F9379" s="11">
        <v>1</v>
      </c>
      <c r="G9379" s="11">
        <v>84033.61</v>
      </c>
    </row>
    <row r="9380" spans="2:7" x14ac:dyDescent="0.2">
      <c r="B9380" s="32">
        <v>46081</v>
      </c>
      <c r="C9380" t="s">
        <v>109</v>
      </c>
      <c r="D9380" s="13" t="s">
        <v>633</v>
      </c>
      <c r="E9380" t="s">
        <v>147</v>
      </c>
      <c r="F9380" s="11">
        <v>1</v>
      </c>
      <c r="G9380" s="11">
        <v>75630.25</v>
      </c>
    </row>
    <row r="9381" spans="2:7" x14ac:dyDescent="0.2">
      <c r="B9381" s="32">
        <v>46081</v>
      </c>
      <c r="C9381" t="s">
        <v>109</v>
      </c>
      <c r="D9381" s="13" t="s">
        <v>633</v>
      </c>
      <c r="E9381" t="s">
        <v>352</v>
      </c>
      <c r="F9381" s="11">
        <v>1</v>
      </c>
      <c r="G9381" s="11">
        <v>75630.25</v>
      </c>
    </row>
    <row r="9382" spans="2:7" x14ac:dyDescent="0.2">
      <c r="B9382" s="32">
        <v>46081</v>
      </c>
      <c r="C9382" t="s">
        <v>109</v>
      </c>
      <c r="D9382" s="13" t="s">
        <v>633</v>
      </c>
      <c r="E9382" t="s">
        <v>247</v>
      </c>
      <c r="F9382" s="11">
        <v>1</v>
      </c>
      <c r="G9382" s="11">
        <v>63025.21</v>
      </c>
    </row>
    <row r="9383" spans="2:7" x14ac:dyDescent="0.2">
      <c r="B9383" s="32">
        <v>46081</v>
      </c>
      <c r="C9383" t="s">
        <v>109</v>
      </c>
      <c r="D9383" s="13" t="s">
        <v>633</v>
      </c>
      <c r="E9383" t="s">
        <v>348</v>
      </c>
      <c r="F9383" s="11">
        <v>1</v>
      </c>
      <c r="G9383" s="11">
        <v>58823.53</v>
      </c>
    </row>
    <row r="9384" spans="2:7" x14ac:dyDescent="0.2">
      <c r="B9384" s="32">
        <v>46081</v>
      </c>
      <c r="C9384" t="s">
        <v>109</v>
      </c>
      <c r="D9384" s="13" t="s">
        <v>633</v>
      </c>
      <c r="E9384" t="s">
        <v>182</v>
      </c>
      <c r="F9384" s="11">
        <v>2</v>
      </c>
      <c r="G9384" s="11">
        <v>58823.53</v>
      </c>
    </row>
    <row r="9385" spans="2:7" x14ac:dyDescent="0.2">
      <c r="B9385" s="32">
        <v>46081</v>
      </c>
      <c r="C9385" t="s">
        <v>109</v>
      </c>
      <c r="D9385" s="13" t="s">
        <v>633</v>
      </c>
      <c r="E9385" t="s">
        <v>212</v>
      </c>
      <c r="F9385" s="11">
        <v>1</v>
      </c>
      <c r="G9385" s="11">
        <v>58823.519999999997</v>
      </c>
    </row>
    <row r="9386" spans="2:7" x14ac:dyDescent="0.2">
      <c r="B9386" s="32">
        <v>46081</v>
      </c>
      <c r="C9386" t="s">
        <v>109</v>
      </c>
      <c r="D9386" s="13" t="s">
        <v>633</v>
      </c>
      <c r="E9386" t="s">
        <v>337</v>
      </c>
      <c r="F9386" s="11">
        <v>1</v>
      </c>
      <c r="G9386" s="11">
        <v>50420.17</v>
      </c>
    </row>
    <row r="9387" spans="2:7" x14ac:dyDescent="0.2">
      <c r="B9387" s="32">
        <v>46081</v>
      </c>
      <c r="C9387" t="s">
        <v>109</v>
      </c>
      <c r="D9387" s="13" t="s">
        <v>633</v>
      </c>
      <c r="E9387" t="s">
        <v>642</v>
      </c>
      <c r="F9387" s="11">
        <v>1</v>
      </c>
      <c r="G9387" s="11">
        <v>49000</v>
      </c>
    </row>
    <row r="9388" spans="2:7" x14ac:dyDescent="0.2">
      <c r="B9388" s="32">
        <v>46081</v>
      </c>
      <c r="C9388" t="s">
        <v>109</v>
      </c>
      <c r="D9388" s="13" t="s">
        <v>633</v>
      </c>
      <c r="E9388" t="s">
        <v>158</v>
      </c>
      <c r="F9388" s="11">
        <v>1</v>
      </c>
      <c r="G9388" s="11">
        <v>46218.49</v>
      </c>
    </row>
    <row r="9389" spans="2:7" x14ac:dyDescent="0.2">
      <c r="B9389" s="32">
        <v>46081</v>
      </c>
      <c r="C9389" t="s">
        <v>109</v>
      </c>
      <c r="D9389" s="13" t="s">
        <v>633</v>
      </c>
      <c r="E9389" t="s">
        <v>238</v>
      </c>
      <c r="F9389" s="11">
        <v>1</v>
      </c>
      <c r="G9389" s="11">
        <v>46218.49</v>
      </c>
    </row>
    <row r="9390" spans="2:7" x14ac:dyDescent="0.2">
      <c r="B9390" s="32">
        <v>46081</v>
      </c>
      <c r="C9390" t="s">
        <v>109</v>
      </c>
      <c r="D9390" s="13" t="s">
        <v>633</v>
      </c>
      <c r="E9390" t="s">
        <v>354</v>
      </c>
      <c r="F9390" s="11">
        <v>1</v>
      </c>
      <c r="G9390" s="11">
        <v>42016.81</v>
      </c>
    </row>
    <row r="9391" spans="2:7" x14ac:dyDescent="0.2">
      <c r="B9391" s="32">
        <v>46081</v>
      </c>
      <c r="C9391" t="s">
        <v>109</v>
      </c>
      <c r="D9391" s="13" t="s">
        <v>633</v>
      </c>
      <c r="E9391" t="s">
        <v>246</v>
      </c>
      <c r="F9391" s="11">
        <v>1</v>
      </c>
      <c r="G9391" s="11">
        <v>42016.81</v>
      </c>
    </row>
    <row r="9392" spans="2:7" x14ac:dyDescent="0.2">
      <c r="B9392" s="32">
        <v>46081</v>
      </c>
      <c r="C9392" t="s">
        <v>109</v>
      </c>
      <c r="D9392" s="13" t="s">
        <v>633</v>
      </c>
      <c r="E9392" t="s">
        <v>700</v>
      </c>
      <c r="F9392" s="11">
        <v>1</v>
      </c>
      <c r="G9392" s="11">
        <v>42016.800000000003</v>
      </c>
    </row>
    <row r="9393" spans="2:7" x14ac:dyDescent="0.2">
      <c r="B9393" s="32">
        <v>46081</v>
      </c>
      <c r="C9393" t="s">
        <v>109</v>
      </c>
      <c r="D9393" s="13" t="s">
        <v>633</v>
      </c>
      <c r="E9393" t="s">
        <v>248</v>
      </c>
      <c r="F9393" s="11">
        <v>1</v>
      </c>
      <c r="G9393" s="11">
        <v>37815.129999999997</v>
      </c>
    </row>
    <row r="9394" spans="2:7" x14ac:dyDescent="0.2">
      <c r="B9394" s="32">
        <v>46081</v>
      </c>
      <c r="C9394" t="s">
        <v>109</v>
      </c>
      <c r="D9394" s="13" t="s">
        <v>633</v>
      </c>
      <c r="E9394" t="s">
        <v>330</v>
      </c>
      <c r="F9394" s="11">
        <v>1</v>
      </c>
      <c r="G9394" s="11">
        <v>37815.129999999997</v>
      </c>
    </row>
    <row r="9395" spans="2:7" x14ac:dyDescent="0.2">
      <c r="B9395" s="32">
        <v>46081</v>
      </c>
      <c r="C9395" t="s">
        <v>109</v>
      </c>
      <c r="D9395" s="13" t="s">
        <v>633</v>
      </c>
      <c r="E9395" t="s">
        <v>342</v>
      </c>
      <c r="F9395" s="11">
        <v>1</v>
      </c>
      <c r="G9395" s="11">
        <v>37815.120000000003</v>
      </c>
    </row>
    <row r="9396" spans="2:7" x14ac:dyDescent="0.2">
      <c r="B9396" s="32">
        <v>46081</v>
      </c>
      <c r="C9396" t="s">
        <v>109</v>
      </c>
      <c r="D9396" s="13" t="s">
        <v>633</v>
      </c>
      <c r="E9396" t="s">
        <v>552</v>
      </c>
      <c r="F9396" s="11">
        <v>1</v>
      </c>
      <c r="G9396" s="11">
        <v>16806.72</v>
      </c>
    </row>
    <row r="9397" spans="2:7" x14ac:dyDescent="0.2">
      <c r="B9397" s="32">
        <v>46082</v>
      </c>
      <c r="C9397" t="s">
        <v>109</v>
      </c>
      <c r="D9397" s="13" t="s">
        <v>634</v>
      </c>
      <c r="E9397" t="s">
        <v>336</v>
      </c>
      <c r="F9397" s="11">
        <v>1</v>
      </c>
      <c r="G9397" s="11">
        <v>75630.25</v>
      </c>
    </row>
    <row r="9398" spans="2:7" x14ac:dyDescent="0.2">
      <c r="B9398" s="32">
        <v>46082</v>
      </c>
      <c r="C9398" t="s">
        <v>109</v>
      </c>
      <c r="D9398" s="13" t="s">
        <v>634</v>
      </c>
      <c r="E9398" t="s">
        <v>440</v>
      </c>
      <c r="F9398" s="11">
        <v>1</v>
      </c>
      <c r="G9398" s="11">
        <v>63025.21</v>
      </c>
    </row>
    <row r="9399" spans="2:7" x14ac:dyDescent="0.2">
      <c r="B9399" s="32">
        <v>46082</v>
      </c>
      <c r="C9399" t="s">
        <v>109</v>
      </c>
      <c r="D9399" s="13" t="s">
        <v>634</v>
      </c>
      <c r="E9399" t="s">
        <v>482</v>
      </c>
      <c r="F9399" s="11">
        <v>1</v>
      </c>
      <c r="G9399" s="11">
        <v>63025.21</v>
      </c>
    </row>
    <row r="9400" spans="2:7" x14ac:dyDescent="0.2">
      <c r="B9400" s="32">
        <v>46082</v>
      </c>
      <c r="C9400" t="s">
        <v>109</v>
      </c>
      <c r="D9400" s="13" t="s">
        <v>634</v>
      </c>
      <c r="E9400" t="s">
        <v>287</v>
      </c>
      <c r="F9400" s="11">
        <v>1</v>
      </c>
      <c r="G9400" s="11">
        <v>63025.21</v>
      </c>
    </row>
    <row r="9401" spans="2:7" x14ac:dyDescent="0.2">
      <c r="B9401" s="32">
        <v>46082</v>
      </c>
      <c r="C9401" t="s">
        <v>109</v>
      </c>
      <c r="D9401" s="13" t="s">
        <v>634</v>
      </c>
      <c r="E9401" t="s">
        <v>156</v>
      </c>
      <c r="F9401" s="11">
        <v>1</v>
      </c>
      <c r="G9401" s="11">
        <v>46218.49</v>
      </c>
    </row>
    <row r="9402" spans="2:7" x14ac:dyDescent="0.2">
      <c r="B9402" s="32">
        <v>46082</v>
      </c>
      <c r="C9402" t="s">
        <v>109</v>
      </c>
      <c r="D9402" s="13" t="s">
        <v>634</v>
      </c>
      <c r="E9402" t="s">
        <v>238</v>
      </c>
      <c r="F9402" s="11">
        <v>1</v>
      </c>
      <c r="G9402" s="11">
        <v>46218.48</v>
      </c>
    </row>
    <row r="9403" spans="2:7" x14ac:dyDescent="0.2">
      <c r="B9403" s="32">
        <v>46082</v>
      </c>
      <c r="C9403" t="s">
        <v>109</v>
      </c>
      <c r="D9403" s="13" t="s">
        <v>634</v>
      </c>
      <c r="E9403" t="s">
        <v>310</v>
      </c>
      <c r="F9403" s="11">
        <v>1</v>
      </c>
      <c r="G9403" s="11">
        <v>16806.72</v>
      </c>
    </row>
    <row r="9404" spans="2:7" x14ac:dyDescent="0.2">
      <c r="B9404" s="32">
        <v>46082</v>
      </c>
      <c r="C9404" t="s">
        <v>109</v>
      </c>
      <c r="D9404" s="13" t="s">
        <v>633</v>
      </c>
      <c r="E9404" t="s">
        <v>144</v>
      </c>
      <c r="F9404" s="11">
        <v>7</v>
      </c>
      <c r="G9404" s="11">
        <v>113445.37</v>
      </c>
    </row>
    <row r="9405" spans="2:7" x14ac:dyDescent="0.2">
      <c r="B9405" s="32">
        <v>46082</v>
      </c>
      <c r="C9405" t="s">
        <v>109</v>
      </c>
      <c r="D9405" s="13" t="s">
        <v>633</v>
      </c>
      <c r="E9405" t="s">
        <v>352</v>
      </c>
      <c r="F9405" s="11">
        <v>1</v>
      </c>
      <c r="G9405" s="11">
        <v>75630.25</v>
      </c>
    </row>
    <row r="9406" spans="2:7" x14ac:dyDescent="0.2">
      <c r="B9406" s="32">
        <v>46082</v>
      </c>
      <c r="C9406" t="s">
        <v>109</v>
      </c>
      <c r="D9406" s="13" t="s">
        <v>633</v>
      </c>
      <c r="E9406" t="s">
        <v>534</v>
      </c>
      <c r="F9406" s="11">
        <v>1</v>
      </c>
      <c r="G9406" s="11">
        <v>75630.25</v>
      </c>
    </row>
    <row r="9407" spans="2:7" x14ac:dyDescent="0.2">
      <c r="B9407" s="32">
        <v>46082</v>
      </c>
      <c r="C9407" t="s">
        <v>109</v>
      </c>
      <c r="D9407" s="13" t="s">
        <v>633</v>
      </c>
      <c r="E9407" t="s">
        <v>475</v>
      </c>
      <c r="F9407" s="11">
        <v>1</v>
      </c>
      <c r="G9407" s="11">
        <v>75630.25</v>
      </c>
    </row>
    <row r="9408" spans="2:7" x14ac:dyDescent="0.2">
      <c r="B9408" s="32">
        <v>46082</v>
      </c>
      <c r="C9408" t="s">
        <v>109</v>
      </c>
      <c r="D9408" s="13" t="s">
        <v>633</v>
      </c>
      <c r="E9408" t="s">
        <v>164</v>
      </c>
      <c r="F9408" s="11">
        <v>1</v>
      </c>
      <c r="G9408" s="11">
        <v>75630.25</v>
      </c>
    </row>
    <row r="9409" spans="2:7" x14ac:dyDescent="0.2">
      <c r="B9409" s="32">
        <v>46082</v>
      </c>
      <c r="C9409" t="s">
        <v>109</v>
      </c>
      <c r="D9409" s="13" t="s">
        <v>633</v>
      </c>
      <c r="E9409" t="s">
        <v>616</v>
      </c>
      <c r="F9409" s="11">
        <v>1</v>
      </c>
      <c r="G9409" s="11">
        <v>58823.53</v>
      </c>
    </row>
    <row r="9410" spans="2:7" x14ac:dyDescent="0.2">
      <c r="B9410" s="32">
        <v>46082</v>
      </c>
      <c r="C9410" t="s">
        <v>109</v>
      </c>
      <c r="D9410" s="13" t="s">
        <v>633</v>
      </c>
      <c r="E9410" t="s">
        <v>473</v>
      </c>
      <c r="F9410" s="11">
        <v>1</v>
      </c>
      <c r="G9410" s="11">
        <v>54621.85</v>
      </c>
    </row>
    <row r="9411" spans="2:7" x14ac:dyDescent="0.2">
      <c r="B9411" s="32">
        <v>46082</v>
      </c>
      <c r="C9411" t="s">
        <v>109</v>
      </c>
      <c r="D9411" s="13" t="s">
        <v>633</v>
      </c>
      <c r="E9411" t="s">
        <v>153</v>
      </c>
      <c r="F9411" s="11">
        <v>1</v>
      </c>
      <c r="G9411" s="11">
        <v>46218.49</v>
      </c>
    </row>
    <row r="9412" spans="2:7" x14ac:dyDescent="0.2">
      <c r="B9412" s="32">
        <v>46082</v>
      </c>
      <c r="C9412" t="s">
        <v>109</v>
      </c>
      <c r="D9412" s="13" t="s">
        <v>633</v>
      </c>
      <c r="E9412" t="s">
        <v>171</v>
      </c>
      <c r="F9412" s="11">
        <v>1</v>
      </c>
      <c r="G9412" s="11">
        <v>29411.759999999998</v>
      </c>
    </row>
    <row r="9413" spans="2:7" x14ac:dyDescent="0.2">
      <c r="B9413" s="32">
        <v>46082</v>
      </c>
      <c r="C9413" t="s">
        <v>109</v>
      </c>
      <c r="D9413" s="13" t="s">
        <v>633</v>
      </c>
      <c r="E9413" t="s">
        <v>333</v>
      </c>
      <c r="F9413" s="11">
        <v>1</v>
      </c>
      <c r="G9413" s="11">
        <v>16806.72</v>
      </c>
    </row>
    <row r="9414" spans="2:7" x14ac:dyDescent="0.2">
      <c r="B9414" s="32">
        <v>46083</v>
      </c>
      <c r="C9414" t="s">
        <v>142</v>
      </c>
      <c r="D9414" s="13" t="s">
        <v>634</v>
      </c>
      <c r="E9414" t="s">
        <v>365</v>
      </c>
      <c r="F9414" s="11">
        <v>1</v>
      </c>
      <c r="G9414" s="11">
        <v>109243.7</v>
      </c>
    </row>
    <row r="9415" spans="2:7" x14ac:dyDescent="0.2">
      <c r="B9415" s="32">
        <v>46083</v>
      </c>
      <c r="C9415" t="s">
        <v>142</v>
      </c>
      <c r="D9415" s="13" t="s">
        <v>634</v>
      </c>
      <c r="E9415" t="s">
        <v>361</v>
      </c>
      <c r="F9415" s="11">
        <v>1</v>
      </c>
      <c r="G9415" s="11">
        <v>100840.34</v>
      </c>
    </row>
    <row r="9416" spans="2:7" x14ac:dyDescent="0.2">
      <c r="B9416" s="32">
        <v>46083</v>
      </c>
      <c r="C9416" t="s">
        <v>142</v>
      </c>
      <c r="D9416" s="13" t="s">
        <v>634</v>
      </c>
      <c r="E9416" t="s">
        <v>341</v>
      </c>
      <c r="F9416" s="11">
        <v>1</v>
      </c>
      <c r="G9416" s="11">
        <v>92436.97</v>
      </c>
    </row>
    <row r="9417" spans="2:7" x14ac:dyDescent="0.2">
      <c r="B9417" s="32">
        <v>46083</v>
      </c>
      <c r="C9417" t="s">
        <v>142</v>
      </c>
      <c r="D9417" s="13" t="s">
        <v>634</v>
      </c>
      <c r="E9417" t="s">
        <v>192</v>
      </c>
      <c r="F9417" s="11">
        <v>1</v>
      </c>
      <c r="G9417" s="11">
        <v>75630.25</v>
      </c>
    </row>
    <row r="9418" spans="2:7" x14ac:dyDescent="0.2">
      <c r="B9418" s="32">
        <v>46083</v>
      </c>
      <c r="C9418" t="s">
        <v>142</v>
      </c>
      <c r="D9418" s="13" t="s">
        <v>634</v>
      </c>
      <c r="E9418" t="s">
        <v>507</v>
      </c>
      <c r="F9418" s="11">
        <v>1</v>
      </c>
      <c r="G9418" s="11">
        <v>58823.53</v>
      </c>
    </row>
    <row r="9419" spans="2:7" x14ac:dyDescent="0.2">
      <c r="B9419" s="32">
        <v>46083</v>
      </c>
      <c r="C9419" t="s">
        <v>142</v>
      </c>
      <c r="D9419" s="13" t="s">
        <v>634</v>
      </c>
      <c r="E9419" t="s">
        <v>291</v>
      </c>
      <c r="F9419" s="11">
        <v>1</v>
      </c>
      <c r="G9419" s="11">
        <v>50420.18</v>
      </c>
    </row>
    <row r="9420" spans="2:7" x14ac:dyDescent="0.2">
      <c r="B9420" s="32">
        <v>46083</v>
      </c>
      <c r="C9420" t="s">
        <v>142</v>
      </c>
      <c r="D9420" s="13" t="s">
        <v>634</v>
      </c>
      <c r="E9420" t="s">
        <v>179</v>
      </c>
      <c r="F9420" s="11">
        <v>1</v>
      </c>
      <c r="G9420" s="11">
        <v>50420.17</v>
      </c>
    </row>
    <row r="9421" spans="2:7" x14ac:dyDescent="0.2">
      <c r="B9421" s="32">
        <v>46083</v>
      </c>
      <c r="C9421" t="s">
        <v>142</v>
      </c>
      <c r="D9421" s="13" t="s">
        <v>634</v>
      </c>
      <c r="E9421" t="s">
        <v>519</v>
      </c>
      <c r="F9421" s="11">
        <v>1</v>
      </c>
      <c r="G9421" s="11">
        <v>50420.17</v>
      </c>
    </row>
    <row r="9422" spans="2:7" x14ac:dyDescent="0.2">
      <c r="B9422" s="32">
        <v>46083</v>
      </c>
      <c r="C9422" t="s">
        <v>142</v>
      </c>
      <c r="D9422" s="13" t="s">
        <v>634</v>
      </c>
      <c r="E9422" t="s">
        <v>330</v>
      </c>
      <c r="F9422" s="11">
        <v>1</v>
      </c>
      <c r="G9422" s="11">
        <v>37815.129999999997</v>
      </c>
    </row>
    <row r="9423" spans="2:7" x14ac:dyDescent="0.2">
      <c r="B9423" s="32">
        <v>46083</v>
      </c>
      <c r="C9423" t="s">
        <v>142</v>
      </c>
      <c r="D9423" s="13" t="s">
        <v>634</v>
      </c>
      <c r="E9423" t="s">
        <v>145</v>
      </c>
      <c r="F9423" s="11">
        <v>1</v>
      </c>
      <c r="G9423" s="11">
        <v>29411.759999999998</v>
      </c>
    </row>
    <row r="9424" spans="2:7" x14ac:dyDescent="0.2">
      <c r="B9424" s="32">
        <v>46083</v>
      </c>
      <c r="C9424" t="s">
        <v>142</v>
      </c>
      <c r="D9424" s="13" t="s">
        <v>633</v>
      </c>
      <c r="E9424" t="s">
        <v>320</v>
      </c>
      <c r="F9424" s="11">
        <v>1</v>
      </c>
      <c r="G9424" s="11">
        <v>63025.21</v>
      </c>
    </row>
    <row r="9425" spans="2:7" x14ac:dyDescent="0.2">
      <c r="B9425" s="32">
        <v>46083</v>
      </c>
      <c r="C9425" t="s">
        <v>142</v>
      </c>
      <c r="D9425" s="13" t="s">
        <v>633</v>
      </c>
      <c r="E9425" t="s">
        <v>492</v>
      </c>
      <c r="F9425" s="11">
        <v>1</v>
      </c>
      <c r="G9425" s="11">
        <v>63025.21</v>
      </c>
    </row>
    <row r="9426" spans="2:7" x14ac:dyDescent="0.2">
      <c r="B9426" s="32">
        <v>46083</v>
      </c>
      <c r="C9426" t="s">
        <v>110</v>
      </c>
      <c r="D9426" s="13" t="s">
        <v>633</v>
      </c>
      <c r="E9426" t="s">
        <v>348</v>
      </c>
      <c r="F9426" s="11">
        <v>1</v>
      </c>
      <c r="G9426" s="11">
        <v>58823.53</v>
      </c>
    </row>
    <row r="9427" spans="2:7" x14ac:dyDescent="0.2">
      <c r="B9427" s="32">
        <v>46083</v>
      </c>
      <c r="C9427" t="s">
        <v>109</v>
      </c>
      <c r="D9427" s="13"/>
      <c r="E9427" t="s">
        <v>327</v>
      </c>
      <c r="F9427" s="11">
        <v>2</v>
      </c>
      <c r="G9427" s="11">
        <v>70000</v>
      </c>
    </row>
    <row r="9428" spans="2:7" x14ac:dyDescent="0.2">
      <c r="B9428" s="32">
        <v>46083</v>
      </c>
      <c r="C9428" t="s">
        <v>109</v>
      </c>
      <c r="D9428" s="13" t="s">
        <v>634</v>
      </c>
      <c r="E9428" t="s">
        <v>439</v>
      </c>
      <c r="F9428" s="11">
        <v>1</v>
      </c>
      <c r="G9428" s="11">
        <v>63025.21</v>
      </c>
    </row>
    <row r="9429" spans="2:7" x14ac:dyDescent="0.2">
      <c r="B9429" s="32">
        <v>46083</v>
      </c>
      <c r="C9429" t="s">
        <v>109</v>
      </c>
      <c r="D9429" s="13" t="s">
        <v>634</v>
      </c>
      <c r="E9429" t="s">
        <v>495</v>
      </c>
      <c r="F9429" s="11">
        <v>1</v>
      </c>
      <c r="G9429" s="11">
        <v>58823.53</v>
      </c>
    </row>
    <row r="9430" spans="2:7" x14ac:dyDescent="0.2">
      <c r="B9430" s="32">
        <v>46083</v>
      </c>
      <c r="C9430" t="s">
        <v>109</v>
      </c>
      <c r="D9430" s="13" t="s">
        <v>634</v>
      </c>
      <c r="E9430" t="s">
        <v>228</v>
      </c>
      <c r="F9430" s="11">
        <v>1</v>
      </c>
      <c r="G9430" s="11">
        <v>54621.85</v>
      </c>
    </row>
    <row r="9431" spans="2:7" x14ac:dyDescent="0.2">
      <c r="B9431" s="32">
        <v>46083</v>
      </c>
      <c r="C9431" t="s">
        <v>109</v>
      </c>
      <c r="D9431" s="13" t="s">
        <v>634</v>
      </c>
      <c r="E9431" t="s">
        <v>491</v>
      </c>
      <c r="F9431" s="11">
        <v>1</v>
      </c>
      <c r="G9431" s="11">
        <v>54621.85</v>
      </c>
    </row>
    <row r="9432" spans="2:7" x14ac:dyDescent="0.2">
      <c r="B9432" s="32">
        <v>46083</v>
      </c>
      <c r="C9432" t="s">
        <v>109</v>
      </c>
      <c r="D9432" s="13" t="s">
        <v>634</v>
      </c>
      <c r="E9432" t="s">
        <v>146</v>
      </c>
      <c r="F9432" s="11">
        <v>1</v>
      </c>
      <c r="G9432" s="11">
        <v>50420.17</v>
      </c>
    </row>
    <row r="9433" spans="2:7" x14ac:dyDescent="0.2">
      <c r="B9433" s="32">
        <v>46083</v>
      </c>
      <c r="C9433" t="s">
        <v>109</v>
      </c>
      <c r="D9433" s="13" t="s">
        <v>634</v>
      </c>
      <c r="E9433" t="s">
        <v>179</v>
      </c>
      <c r="F9433" s="11">
        <v>1</v>
      </c>
      <c r="G9433" s="11">
        <v>50420.17</v>
      </c>
    </row>
    <row r="9434" spans="2:7" x14ac:dyDescent="0.2">
      <c r="B9434" s="32">
        <v>46083</v>
      </c>
      <c r="C9434" t="s">
        <v>109</v>
      </c>
      <c r="D9434" s="13" t="s">
        <v>634</v>
      </c>
      <c r="E9434" t="s">
        <v>443</v>
      </c>
      <c r="F9434" s="11">
        <v>1</v>
      </c>
      <c r="G9434" s="11">
        <v>50420.17</v>
      </c>
    </row>
    <row r="9435" spans="2:7" x14ac:dyDescent="0.2">
      <c r="B9435" s="32">
        <v>46083</v>
      </c>
      <c r="C9435" t="s">
        <v>109</v>
      </c>
      <c r="D9435" s="13" t="s">
        <v>634</v>
      </c>
      <c r="E9435" t="s">
        <v>145</v>
      </c>
      <c r="F9435" s="11">
        <v>1</v>
      </c>
      <c r="G9435" s="11">
        <v>29411.759999999998</v>
      </c>
    </row>
    <row r="9436" spans="2:7" x14ac:dyDescent="0.2">
      <c r="B9436" s="32">
        <v>46083</v>
      </c>
      <c r="C9436" t="s">
        <v>109</v>
      </c>
      <c r="D9436" s="13" t="s">
        <v>633</v>
      </c>
      <c r="F9436" s="11">
        <v>3</v>
      </c>
      <c r="G9436" s="11">
        <v>378151.26</v>
      </c>
    </row>
    <row r="9437" spans="2:7" x14ac:dyDescent="0.2">
      <c r="B9437" s="32">
        <v>46083</v>
      </c>
      <c r="C9437" t="s">
        <v>109</v>
      </c>
      <c r="D9437" s="13" t="s">
        <v>633</v>
      </c>
      <c r="E9437" t="s">
        <v>144</v>
      </c>
      <c r="F9437" s="11">
        <v>21</v>
      </c>
      <c r="G9437" s="11">
        <v>371428.56</v>
      </c>
    </row>
    <row r="9438" spans="2:7" x14ac:dyDescent="0.2">
      <c r="B9438" s="32">
        <v>46083</v>
      </c>
      <c r="C9438" t="s">
        <v>109</v>
      </c>
      <c r="D9438" s="13" t="s">
        <v>633</v>
      </c>
      <c r="E9438" t="s">
        <v>645</v>
      </c>
      <c r="F9438" s="11">
        <v>1</v>
      </c>
      <c r="G9438" s="11">
        <v>159663.87</v>
      </c>
    </row>
    <row r="9439" spans="2:7" x14ac:dyDescent="0.2">
      <c r="B9439" s="32">
        <v>46083</v>
      </c>
      <c r="C9439" t="s">
        <v>109</v>
      </c>
      <c r="D9439" s="13" t="s">
        <v>633</v>
      </c>
      <c r="E9439" t="s">
        <v>642</v>
      </c>
      <c r="F9439" s="11">
        <v>3</v>
      </c>
      <c r="G9439" s="11">
        <v>147000</v>
      </c>
    </row>
    <row r="9440" spans="2:7" x14ac:dyDescent="0.2">
      <c r="B9440" s="32">
        <v>46083</v>
      </c>
      <c r="C9440" t="s">
        <v>109</v>
      </c>
      <c r="D9440" s="13" t="s">
        <v>633</v>
      </c>
      <c r="E9440" t="s">
        <v>778</v>
      </c>
      <c r="F9440" s="11">
        <v>1</v>
      </c>
      <c r="G9440" s="11">
        <v>119000</v>
      </c>
    </row>
    <row r="9441" spans="2:7" x14ac:dyDescent="0.2">
      <c r="B9441" s="32">
        <v>46083</v>
      </c>
      <c r="C9441" t="s">
        <v>109</v>
      </c>
      <c r="D9441" s="13" t="s">
        <v>633</v>
      </c>
      <c r="E9441" t="s">
        <v>157</v>
      </c>
      <c r="F9441" s="11">
        <v>1</v>
      </c>
      <c r="G9441" s="11">
        <v>84033.61</v>
      </c>
    </row>
    <row r="9442" spans="2:7" x14ac:dyDescent="0.2">
      <c r="B9442" s="32">
        <v>46083</v>
      </c>
      <c r="C9442" t="s">
        <v>109</v>
      </c>
      <c r="D9442" s="13" t="s">
        <v>633</v>
      </c>
      <c r="E9442" t="s">
        <v>544</v>
      </c>
      <c r="F9442" s="11">
        <v>1</v>
      </c>
      <c r="G9442" s="11">
        <v>78000</v>
      </c>
    </row>
    <row r="9443" spans="2:7" x14ac:dyDescent="0.2">
      <c r="B9443" s="32">
        <v>46083</v>
      </c>
      <c r="C9443" t="s">
        <v>109</v>
      </c>
      <c r="D9443" s="13" t="s">
        <v>633</v>
      </c>
      <c r="E9443" t="s">
        <v>189</v>
      </c>
      <c r="F9443" s="11">
        <v>1</v>
      </c>
      <c r="G9443" s="11">
        <v>75630.25</v>
      </c>
    </row>
    <row r="9444" spans="2:7" x14ac:dyDescent="0.2">
      <c r="B9444" s="32">
        <v>46083</v>
      </c>
      <c r="C9444" t="s">
        <v>109</v>
      </c>
      <c r="D9444" s="13" t="s">
        <v>633</v>
      </c>
      <c r="E9444" t="s">
        <v>212</v>
      </c>
      <c r="F9444" s="11">
        <v>1</v>
      </c>
      <c r="G9444" s="11">
        <v>58823.53</v>
      </c>
    </row>
    <row r="9445" spans="2:7" x14ac:dyDescent="0.2">
      <c r="B9445" s="32">
        <v>46083</v>
      </c>
      <c r="C9445" t="s">
        <v>109</v>
      </c>
      <c r="D9445" s="13" t="s">
        <v>633</v>
      </c>
      <c r="E9445" t="s">
        <v>614</v>
      </c>
      <c r="F9445" s="11">
        <v>1</v>
      </c>
      <c r="G9445" s="11">
        <v>54621.85</v>
      </c>
    </row>
    <row r="9446" spans="2:7" x14ac:dyDescent="0.2">
      <c r="B9446" s="32">
        <v>46083</v>
      </c>
      <c r="C9446" t="s">
        <v>109</v>
      </c>
      <c r="D9446" s="13" t="s">
        <v>633</v>
      </c>
      <c r="E9446" t="s">
        <v>317</v>
      </c>
      <c r="F9446" s="11">
        <v>1</v>
      </c>
      <c r="G9446" s="11">
        <v>54621.85</v>
      </c>
    </row>
    <row r="9447" spans="2:7" x14ac:dyDescent="0.2">
      <c r="B9447" s="32">
        <v>46083</v>
      </c>
      <c r="C9447" t="s">
        <v>109</v>
      </c>
      <c r="D9447" s="13" t="s">
        <v>633</v>
      </c>
      <c r="E9447" t="s">
        <v>445</v>
      </c>
      <c r="F9447" s="11">
        <v>1</v>
      </c>
      <c r="G9447" s="11">
        <v>54621.85</v>
      </c>
    </row>
    <row r="9448" spans="2:7" x14ac:dyDescent="0.2">
      <c r="B9448" s="32">
        <v>46083</v>
      </c>
      <c r="C9448" t="s">
        <v>109</v>
      </c>
      <c r="D9448" s="13" t="s">
        <v>633</v>
      </c>
      <c r="E9448" t="s">
        <v>672</v>
      </c>
      <c r="F9448" s="11">
        <v>1</v>
      </c>
      <c r="G9448" s="11">
        <v>54621.85</v>
      </c>
    </row>
    <row r="9449" spans="2:7" x14ac:dyDescent="0.2">
      <c r="B9449" s="32">
        <v>46083</v>
      </c>
      <c r="C9449" t="s">
        <v>109</v>
      </c>
      <c r="D9449" s="13" t="s">
        <v>633</v>
      </c>
      <c r="E9449" t="s">
        <v>706</v>
      </c>
      <c r="F9449" s="11">
        <v>1</v>
      </c>
      <c r="G9449" s="11">
        <v>50420.17</v>
      </c>
    </row>
    <row r="9450" spans="2:7" x14ac:dyDescent="0.2">
      <c r="B9450" s="32">
        <v>46083</v>
      </c>
      <c r="C9450" t="s">
        <v>109</v>
      </c>
      <c r="D9450" s="13" t="s">
        <v>633</v>
      </c>
      <c r="E9450" t="s">
        <v>397</v>
      </c>
      <c r="F9450" s="11">
        <v>1</v>
      </c>
      <c r="G9450" s="11">
        <v>50420.17</v>
      </c>
    </row>
    <row r="9451" spans="2:7" x14ac:dyDescent="0.2">
      <c r="B9451" s="32">
        <v>46083</v>
      </c>
      <c r="C9451" t="s">
        <v>109</v>
      </c>
      <c r="D9451" s="13" t="s">
        <v>633</v>
      </c>
      <c r="E9451" t="s">
        <v>729</v>
      </c>
      <c r="F9451" s="11">
        <v>1</v>
      </c>
      <c r="G9451" s="11">
        <v>50420.17</v>
      </c>
    </row>
    <row r="9452" spans="2:7" x14ac:dyDescent="0.2">
      <c r="B9452" s="32">
        <v>46083</v>
      </c>
      <c r="C9452" t="s">
        <v>109</v>
      </c>
      <c r="D9452" s="13" t="s">
        <v>633</v>
      </c>
      <c r="E9452" t="s">
        <v>256</v>
      </c>
      <c r="F9452" s="11">
        <v>1</v>
      </c>
      <c r="G9452" s="11">
        <v>50420.17</v>
      </c>
    </row>
    <row r="9453" spans="2:7" x14ac:dyDescent="0.2">
      <c r="B9453" s="32">
        <v>46083</v>
      </c>
      <c r="C9453" t="s">
        <v>109</v>
      </c>
      <c r="D9453" s="13" t="s">
        <v>633</v>
      </c>
      <c r="E9453" t="s">
        <v>296</v>
      </c>
      <c r="F9453" s="11">
        <v>1</v>
      </c>
      <c r="G9453" s="11">
        <v>50420.17</v>
      </c>
    </row>
    <row r="9454" spans="2:7" x14ac:dyDescent="0.2">
      <c r="B9454" s="32">
        <v>46083</v>
      </c>
      <c r="C9454" t="s">
        <v>109</v>
      </c>
      <c r="D9454" s="13" t="s">
        <v>633</v>
      </c>
      <c r="E9454" t="s">
        <v>769</v>
      </c>
      <c r="F9454" s="11">
        <v>1</v>
      </c>
      <c r="G9454" s="11">
        <v>50420.17</v>
      </c>
    </row>
    <row r="9455" spans="2:7" x14ac:dyDescent="0.2">
      <c r="B9455" s="32">
        <v>46083</v>
      </c>
      <c r="C9455" t="s">
        <v>109</v>
      </c>
      <c r="D9455" s="13" t="s">
        <v>633</v>
      </c>
      <c r="E9455" t="s">
        <v>443</v>
      </c>
      <c r="F9455" s="11">
        <v>1</v>
      </c>
      <c r="G9455" s="11">
        <v>50420.17</v>
      </c>
    </row>
    <row r="9456" spans="2:7" x14ac:dyDescent="0.2">
      <c r="B9456" s="32">
        <v>46083</v>
      </c>
      <c r="C9456" t="s">
        <v>109</v>
      </c>
      <c r="D9456" s="13" t="s">
        <v>633</v>
      </c>
      <c r="E9456" t="s">
        <v>151</v>
      </c>
      <c r="F9456" s="11">
        <v>1</v>
      </c>
      <c r="G9456" s="11">
        <v>50420.160000000003</v>
      </c>
    </row>
    <row r="9457" spans="2:7" x14ac:dyDescent="0.2">
      <c r="B9457" s="32">
        <v>46083</v>
      </c>
      <c r="C9457" t="s">
        <v>109</v>
      </c>
      <c r="D9457" s="13" t="s">
        <v>633</v>
      </c>
      <c r="E9457" t="s">
        <v>158</v>
      </c>
      <c r="F9457" s="11">
        <v>1</v>
      </c>
      <c r="G9457" s="11">
        <v>46218.49</v>
      </c>
    </row>
    <row r="9458" spans="2:7" x14ac:dyDescent="0.2">
      <c r="B9458" s="32">
        <v>46083</v>
      </c>
      <c r="C9458" t="s">
        <v>109</v>
      </c>
      <c r="D9458" s="13" t="s">
        <v>633</v>
      </c>
      <c r="E9458" t="s">
        <v>203</v>
      </c>
      <c r="F9458" s="11">
        <v>1</v>
      </c>
      <c r="G9458" s="11">
        <v>42016.81</v>
      </c>
    </row>
    <row r="9459" spans="2:7" x14ac:dyDescent="0.2">
      <c r="B9459" s="32">
        <v>46083</v>
      </c>
      <c r="C9459" t="s">
        <v>109</v>
      </c>
      <c r="D9459" s="13" t="s">
        <v>633</v>
      </c>
      <c r="E9459" t="s">
        <v>148</v>
      </c>
      <c r="F9459" s="11">
        <v>1</v>
      </c>
      <c r="G9459" s="11">
        <v>37815.129999999997</v>
      </c>
    </row>
    <row r="9460" spans="2:7" x14ac:dyDescent="0.2">
      <c r="B9460" s="32">
        <v>46083</v>
      </c>
      <c r="C9460" t="s">
        <v>109</v>
      </c>
      <c r="D9460" s="13" t="s">
        <v>633</v>
      </c>
      <c r="E9460" t="s">
        <v>293</v>
      </c>
      <c r="F9460" s="11">
        <v>1</v>
      </c>
      <c r="G9460" s="11">
        <v>37815.129999999997</v>
      </c>
    </row>
    <row r="9461" spans="2:7" x14ac:dyDescent="0.2">
      <c r="B9461" s="32">
        <v>46083</v>
      </c>
      <c r="C9461" t="s">
        <v>109</v>
      </c>
      <c r="D9461" s="13" t="s">
        <v>633</v>
      </c>
      <c r="E9461" t="s">
        <v>310</v>
      </c>
      <c r="F9461" s="11">
        <v>1</v>
      </c>
      <c r="G9461" s="11">
        <v>16806.72</v>
      </c>
    </row>
    <row r="9462" spans="2:7" x14ac:dyDescent="0.2">
      <c r="B9462" s="32">
        <v>46083</v>
      </c>
      <c r="C9462" t="s">
        <v>109</v>
      </c>
      <c r="D9462" s="13" t="s">
        <v>633</v>
      </c>
      <c r="E9462" t="s">
        <v>333</v>
      </c>
      <c r="F9462" s="11">
        <v>1</v>
      </c>
      <c r="G9462" s="11">
        <v>16806.72</v>
      </c>
    </row>
    <row r="9463" spans="2:7" x14ac:dyDescent="0.2">
      <c r="B9463" s="32">
        <v>46084</v>
      </c>
      <c r="C9463" t="s">
        <v>142</v>
      </c>
      <c r="D9463" s="13"/>
      <c r="E9463" t="s">
        <v>609</v>
      </c>
      <c r="F9463" s="11">
        <v>1</v>
      </c>
      <c r="G9463" s="11">
        <v>239495.8</v>
      </c>
    </row>
    <row r="9464" spans="2:7" x14ac:dyDescent="0.2">
      <c r="B9464" s="32">
        <v>46084</v>
      </c>
      <c r="C9464" t="s">
        <v>142</v>
      </c>
      <c r="D9464" s="13"/>
      <c r="E9464" t="s">
        <v>750</v>
      </c>
      <c r="F9464" s="11">
        <v>1</v>
      </c>
      <c r="G9464" s="11">
        <v>92436.97</v>
      </c>
    </row>
    <row r="9465" spans="2:7" x14ac:dyDescent="0.2">
      <c r="B9465" s="32">
        <v>46084</v>
      </c>
      <c r="C9465" t="s">
        <v>142</v>
      </c>
      <c r="D9465" s="13"/>
      <c r="E9465" t="s">
        <v>777</v>
      </c>
      <c r="F9465" s="11">
        <v>1</v>
      </c>
      <c r="G9465" s="11">
        <v>63025.21</v>
      </c>
    </row>
    <row r="9466" spans="2:7" x14ac:dyDescent="0.2">
      <c r="B9466" s="32">
        <v>46084</v>
      </c>
      <c r="C9466" t="s">
        <v>142</v>
      </c>
      <c r="D9466" s="13"/>
      <c r="E9466" t="s">
        <v>677</v>
      </c>
      <c r="F9466" s="11">
        <v>1</v>
      </c>
      <c r="G9466" s="11">
        <v>58823.53</v>
      </c>
    </row>
    <row r="9467" spans="2:7" x14ac:dyDescent="0.2">
      <c r="B9467" s="32">
        <v>46084</v>
      </c>
      <c r="C9467" t="s">
        <v>142</v>
      </c>
      <c r="D9467" s="13" t="s">
        <v>634</v>
      </c>
      <c r="E9467" t="s">
        <v>181</v>
      </c>
      <c r="F9467" s="11">
        <v>1</v>
      </c>
      <c r="G9467" s="11">
        <v>92436.97</v>
      </c>
    </row>
    <row r="9468" spans="2:7" x14ac:dyDescent="0.2">
      <c r="B9468" s="32">
        <v>46084</v>
      </c>
      <c r="C9468" t="s">
        <v>142</v>
      </c>
      <c r="D9468" s="13" t="s">
        <v>633</v>
      </c>
      <c r="E9468" t="s">
        <v>233</v>
      </c>
      <c r="F9468" s="11">
        <v>1</v>
      </c>
      <c r="G9468" s="11">
        <v>63025.21</v>
      </c>
    </row>
    <row r="9469" spans="2:7" x14ac:dyDescent="0.2">
      <c r="B9469" s="32">
        <v>46084</v>
      </c>
      <c r="C9469" t="s">
        <v>142</v>
      </c>
      <c r="D9469" s="13" t="s">
        <v>633</v>
      </c>
      <c r="E9469" t="s">
        <v>757</v>
      </c>
      <c r="F9469" s="11">
        <v>1</v>
      </c>
      <c r="G9469" s="11">
        <v>63025.21</v>
      </c>
    </row>
    <row r="9470" spans="2:7" x14ac:dyDescent="0.2">
      <c r="B9470" s="32">
        <v>46084</v>
      </c>
      <c r="C9470" t="s">
        <v>142</v>
      </c>
      <c r="D9470" s="13" t="s">
        <v>633</v>
      </c>
      <c r="E9470" t="s">
        <v>537</v>
      </c>
      <c r="F9470" s="11">
        <v>1</v>
      </c>
      <c r="G9470" s="11">
        <v>63025.21</v>
      </c>
    </row>
    <row r="9471" spans="2:7" x14ac:dyDescent="0.2">
      <c r="B9471" s="32">
        <v>46084</v>
      </c>
      <c r="C9471" t="s">
        <v>142</v>
      </c>
      <c r="D9471" s="13" t="s">
        <v>633</v>
      </c>
      <c r="E9471" t="s">
        <v>175</v>
      </c>
      <c r="F9471" s="11">
        <v>1</v>
      </c>
      <c r="G9471" s="11">
        <v>63025.2</v>
      </c>
    </row>
    <row r="9472" spans="2:7" x14ac:dyDescent="0.2">
      <c r="B9472" s="32">
        <v>46084</v>
      </c>
      <c r="C9472" t="s">
        <v>142</v>
      </c>
      <c r="D9472" s="13" t="s">
        <v>633</v>
      </c>
      <c r="E9472" t="s">
        <v>228</v>
      </c>
      <c r="F9472" s="11">
        <v>1</v>
      </c>
      <c r="G9472" s="11">
        <v>54621.85</v>
      </c>
    </row>
    <row r="9473" spans="2:7" x14ac:dyDescent="0.2">
      <c r="B9473" s="32">
        <v>46084</v>
      </c>
      <c r="C9473" t="s">
        <v>142</v>
      </c>
      <c r="D9473" s="13" t="s">
        <v>633</v>
      </c>
      <c r="E9473" t="s">
        <v>764</v>
      </c>
      <c r="F9473" s="11">
        <v>1</v>
      </c>
      <c r="G9473" s="11">
        <v>54621.85</v>
      </c>
    </row>
    <row r="9474" spans="2:7" x14ac:dyDescent="0.2">
      <c r="B9474" s="32">
        <v>46084</v>
      </c>
      <c r="C9474" t="s">
        <v>142</v>
      </c>
      <c r="D9474" s="13" t="s">
        <v>633</v>
      </c>
      <c r="E9474" t="s">
        <v>254</v>
      </c>
      <c r="F9474" s="11">
        <v>1</v>
      </c>
      <c r="G9474" s="11">
        <v>54621.85</v>
      </c>
    </row>
    <row r="9475" spans="2:7" x14ac:dyDescent="0.2">
      <c r="B9475" s="32">
        <v>46084</v>
      </c>
      <c r="C9475" t="s">
        <v>142</v>
      </c>
      <c r="D9475" s="13" t="s">
        <v>633</v>
      </c>
      <c r="E9475" t="s">
        <v>619</v>
      </c>
      <c r="F9475" s="11">
        <v>1</v>
      </c>
      <c r="G9475" s="11">
        <v>54621.85</v>
      </c>
    </row>
    <row r="9476" spans="2:7" x14ac:dyDescent="0.2">
      <c r="B9476" s="32">
        <v>46084</v>
      </c>
      <c r="C9476" t="s">
        <v>142</v>
      </c>
      <c r="D9476" s="13" t="s">
        <v>633</v>
      </c>
      <c r="E9476" t="s">
        <v>172</v>
      </c>
      <c r="F9476" s="11">
        <v>1</v>
      </c>
      <c r="G9476" s="11">
        <v>46218.49</v>
      </c>
    </row>
    <row r="9477" spans="2:7" x14ac:dyDescent="0.2">
      <c r="B9477" s="32">
        <v>46084</v>
      </c>
      <c r="C9477" t="s">
        <v>142</v>
      </c>
      <c r="D9477" s="13" t="s">
        <v>633</v>
      </c>
      <c r="E9477" t="s">
        <v>309</v>
      </c>
      <c r="F9477" s="11">
        <v>1</v>
      </c>
      <c r="G9477" s="11">
        <v>42016.81</v>
      </c>
    </row>
    <row r="9478" spans="2:7" x14ac:dyDescent="0.2">
      <c r="B9478" s="32">
        <v>46084</v>
      </c>
      <c r="C9478" t="s">
        <v>142</v>
      </c>
      <c r="D9478" s="13" t="s">
        <v>633</v>
      </c>
      <c r="E9478" t="s">
        <v>234</v>
      </c>
      <c r="F9478" s="11">
        <v>1</v>
      </c>
      <c r="G9478" s="11">
        <v>37815.129999999997</v>
      </c>
    </row>
    <row r="9479" spans="2:7" x14ac:dyDescent="0.2">
      <c r="B9479" s="32">
        <v>46084</v>
      </c>
      <c r="C9479" t="s">
        <v>109</v>
      </c>
      <c r="D9479" s="13" t="s">
        <v>634</v>
      </c>
      <c r="E9479" t="s">
        <v>554</v>
      </c>
      <c r="F9479" s="11">
        <v>1</v>
      </c>
      <c r="G9479" s="11">
        <v>288093.53999999998</v>
      </c>
    </row>
    <row r="9480" spans="2:7" x14ac:dyDescent="0.2">
      <c r="B9480" s="32">
        <v>46084</v>
      </c>
      <c r="C9480" t="s">
        <v>109</v>
      </c>
      <c r="D9480" s="13" t="s">
        <v>634</v>
      </c>
      <c r="E9480" t="s">
        <v>493</v>
      </c>
      <c r="F9480" s="11">
        <v>1</v>
      </c>
      <c r="G9480" s="11">
        <v>97278.34</v>
      </c>
    </row>
    <row r="9481" spans="2:7" x14ac:dyDescent="0.2">
      <c r="B9481" s="32">
        <v>46084</v>
      </c>
      <c r="C9481" t="s">
        <v>109</v>
      </c>
      <c r="D9481" s="13" t="s">
        <v>634</v>
      </c>
      <c r="E9481" t="s">
        <v>475</v>
      </c>
      <c r="F9481" s="11">
        <v>1</v>
      </c>
      <c r="G9481" s="11">
        <v>75630.25</v>
      </c>
    </row>
    <row r="9482" spans="2:7" x14ac:dyDescent="0.2">
      <c r="B9482" s="32">
        <v>46084</v>
      </c>
      <c r="C9482" t="s">
        <v>109</v>
      </c>
      <c r="D9482" s="13" t="s">
        <v>634</v>
      </c>
      <c r="E9482" t="s">
        <v>547</v>
      </c>
      <c r="F9482" s="11">
        <v>1</v>
      </c>
      <c r="G9482" s="11">
        <v>74081.2</v>
      </c>
    </row>
    <row r="9483" spans="2:7" x14ac:dyDescent="0.2">
      <c r="B9483" s="32">
        <v>46084</v>
      </c>
      <c r="C9483" t="s">
        <v>109</v>
      </c>
      <c r="D9483" s="13" t="s">
        <v>634</v>
      </c>
      <c r="E9483" t="s">
        <v>489</v>
      </c>
      <c r="F9483" s="11">
        <v>1</v>
      </c>
      <c r="G9483" s="11">
        <v>74081.2</v>
      </c>
    </row>
    <row r="9484" spans="2:7" x14ac:dyDescent="0.2">
      <c r="B9484" s="32">
        <v>46084</v>
      </c>
      <c r="C9484" t="s">
        <v>109</v>
      </c>
      <c r="D9484" s="13" t="s">
        <v>634</v>
      </c>
      <c r="E9484" t="s">
        <v>487</v>
      </c>
      <c r="F9484" s="11">
        <v>1</v>
      </c>
      <c r="G9484" s="11">
        <v>71428.570000000007</v>
      </c>
    </row>
    <row r="9485" spans="2:7" x14ac:dyDescent="0.2">
      <c r="B9485" s="32">
        <v>46084</v>
      </c>
      <c r="C9485" t="s">
        <v>109</v>
      </c>
      <c r="D9485" s="13" t="s">
        <v>634</v>
      </c>
      <c r="E9485" t="s">
        <v>406</v>
      </c>
      <c r="F9485" s="11">
        <v>1</v>
      </c>
      <c r="G9485" s="11">
        <v>52380.639999999999</v>
      </c>
    </row>
    <row r="9486" spans="2:7" x14ac:dyDescent="0.2">
      <c r="B9486" s="32">
        <v>46084</v>
      </c>
      <c r="C9486" t="s">
        <v>109</v>
      </c>
      <c r="D9486" s="13" t="s">
        <v>634</v>
      </c>
      <c r="E9486" t="s">
        <v>197</v>
      </c>
      <c r="F9486" s="11">
        <v>1</v>
      </c>
      <c r="G9486" s="11">
        <v>48639.18</v>
      </c>
    </row>
    <row r="9487" spans="2:7" x14ac:dyDescent="0.2">
      <c r="B9487" s="32">
        <v>46084</v>
      </c>
      <c r="C9487" t="s">
        <v>109</v>
      </c>
      <c r="D9487" s="13" t="s">
        <v>634</v>
      </c>
      <c r="E9487" t="s">
        <v>456</v>
      </c>
      <c r="F9487" s="11">
        <v>1</v>
      </c>
      <c r="G9487" s="11">
        <v>16806.72</v>
      </c>
    </row>
    <row r="9488" spans="2:7" x14ac:dyDescent="0.2">
      <c r="B9488" s="32">
        <v>46084</v>
      </c>
      <c r="C9488" t="s">
        <v>109</v>
      </c>
      <c r="D9488" s="13" t="s">
        <v>634</v>
      </c>
      <c r="E9488" t="s">
        <v>144</v>
      </c>
      <c r="F9488" s="11">
        <v>1</v>
      </c>
      <c r="G9488" s="11">
        <v>15126.05</v>
      </c>
    </row>
    <row r="9489" spans="2:7" x14ac:dyDescent="0.2">
      <c r="B9489" s="32">
        <v>46084</v>
      </c>
      <c r="C9489" t="s">
        <v>109</v>
      </c>
      <c r="D9489" s="13" t="s">
        <v>633</v>
      </c>
      <c r="E9489" t="s">
        <v>144</v>
      </c>
      <c r="F9489" s="11">
        <v>7</v>
      </c>
      <c r="G9489" s="11">
        <v>117647.06</v>
      </c>
    </row>
    <row r="9490" spans="2:7" x14ac:dyDescent="0.2">
      <c r="B9490" s="32">
        <v>46084</v>
      </c>
      <c r="C9490" t="s">
        <v>109</v>
      </c>
      <c r="D9490" s="13" t="s">
        <v>633</v>
      </c>
      <c r="E9490" t="s">
        <v>606</v>
      </c>
      <c r="F9490" s="11">
        <v>1</v>
      </c>
      <c r="G9490" s="11">
        <v>109243.7</v>
      </c>
    </row>
    <row r="9491" spans="2:7" x14ac:dyDescent="0.2">
      <c r="B9491" s="32">
        <v>46084</v>
      </c>
      <c r="C9491" t="s">
        <v>109</v>
      </c>
      <c r="D9491" s="13" t="s">
        <v>633</v>
      </c>
      <c r="E9491" t="s">
        <v>149</v>
      </c>
      <c r="F9491" s="11">
        <v>1</v>
      </c>
      <c r="G9491" s="11">
        <v>75630.25</v>
      </c>
    </row>
    <row r="9492" spans="2:7" x14ac:dyDescent="0.2">
      <c r="B9492" s="32">
        <v>46084</v>
      </c>
      <c r="C9492" t="s">
        <v>109</v>
      </c>
      <c r="D9492" s="13" t="s">
        <v>633</v>
      </c>
      <c r="E9492" t="s">
        <v>533</v>
      </c>
      <c r="F9492" s="11">
        <v>1</v>
      </c>
      <c r="G9492" s="11">
        <v>63025.21</v>
      </c>
    </row>
    <row r="9493" spans="2:7" x14ac:dyDescent="0.2">
      <c r="B9493" s="32">
        <v>46084</v>
      </c>
      <c r="C9493" t="s">
        <v>109</v>
      </c>
      <c r="D9493" s="13" t="s">
        <v>633</v>
      </c>
      <c r="E9493" t="s">
        <v>195</v>
      </c>
      <c r="F9493" s="11">
        <v>1</v>
      </c>
      <c r="G9493" s="11">
        <v>50420.17</v>
      </c>
    </row>
    <row r="9494" spans="2:7" x14ac:dyDescent="0.2">
      <c r="B9494" s="32">
        <v>46084</v>
      </c>
      <c r="C9494" t="s">
        <v>109</v>
      </c>
      <c r="D9494" s="13" t="s">
        <v>633</v>
      </c>
      <c r="E9494" t="s">
        <v>161</v>
      </c>
      <c r="F9494" s="11">
        <v>1</v>
      </c>
      <c r="G9494" s="11">
        <v>42016.81</v>
      </c>
    </row>
    <row r="9495" spans="2:7" x14ac:dyDescent="0.2">
      <c r="B9495" s="32">
        <v>46084</v>
      </c>
      <c r="C9495" t="s">
        <v>109</v>
      </c>
      <c r="D9495" s="13" t="s">
        <v>633</v>
      </c>
      <c r="E9495" t="s">
        <v>309</v>
      </c>
      <c r="F9495" s="11">
        <v>1</v>
      </c>
      <c r="G9495" s="11">
        <v>42016.800000000003</v>
      </c>
    </row>
    <row r="9496" spans="2:7" x14ac:dyDescent="0.2">
      <c r="B9496" s="32">
        <v>46084</v>
      </c>
      <c r="C9496" t="s">
        <v>109</v>
      </c>
      <c r="D9496" s="13" t="s">
        <v>633</v>
      </c>
      <c r="E9496" t="s">
        <v>327</v>
      </c>
      <c r="F9496" s="11">
        <v>1</v>
      </c>
      <c r="G9496" s="11">
        <v>35000</v>
      </c>
    </row>
    <row r="9497" spans="2:7" x14ac:dyDescent="0.2">
      <c r="B9497" s="32">
        <v>46085</v>
      </c>
      <c r="C9497" t="s">
        <v>142</v>
      </c>
      <c r="D9497" s="13" t="s">
        <v>634</v>
      </c>
      <c r="E9497" t="s">
        <v>551</v>
      </c>
      <c r="F9497" s="11">
        <v>1</v>
      </c>
      <c r="G9497" s="11">
        <v>113445.38</v>
      </c>
    </row>
    <row r="9498" spans="2:7" x14ac:dyDescent="0.2">
      <c r="B9498" s="32">
        <v>46085</v>
      </c>
      <c r="C9498" t="s">
        <v>142</v>
      </c>
      <c r="D9498" s="13" t="s">
        <v>633</v>
      </c>
      <c r="E9498" t="s">
        <v>523</v>
      </c>
      <c r="F9498" s="11">
        <v>2</v>
      </c>
      <c r="G9498" s="11">
        <v>432773.11</v>
      </c>
    </row>
    <row r="9499" spans="2:7" x14ac:dyDescent="0.2">
      <c r="B9499" s="32">
        <v>46085</v>
      </c>
      <c r="C9499" t="s">
        <v>142</v>
      </c>
      <c r="D9499" s="13" t="s">
        <v>633</v>
      </c>
      <c r="E9499" t="s">
        <v>573</v>
      </c>
      <c r="F9499" s="11">
        <v>1</v>
      </c>
      <c r="G9499" s="11">
        <v>138655.46</v>
      </c>
    </row>
    <row r="9500" spans="2:7" x14ac:dyDescent="0.2">
      <c r="B9500" s="32">
        <v>46085</v>
      </c>
      <c r="C9500" t="s">
        <v>142</v>
      </c>
      <c r="D9500" s="13" t="s">
        <v>633</v>
      </c>
      <c r="F9500" s="11">
        <v>1</v>
      </c>
      <c r="G9500" s="11">
        <v>126050.42</v>
      </c>
    </row>
    <row r="9501" spans="2:7" x14ac:dyDescent="0.2">
      <c r="B9501" s="32">
        <v>46085</v>
      </c>
      <c r="C9501" t="s">
        <v>142</v>
      </c>
      <c r="D9501" s="13" t="s">
        <v>633</v>
      </c>
      <c r="E9501" t="s">
        <v>145</v>
      </c>
      <c r="F9501" s="11">
        <v>4</v>
      </c>
      <c r="G9501" s="11">
        <v>117647.06</v>
      </c>
    </row>
    <row r="9502" spans="2:7" x14ac:dyDescent="0.2">
      <c r="B9502" s="32">
        <v>46085</v>
      </c>
      <c r="C9502" t="s">
        <v>142</v>
      </c>
      <c r="D9502" s="13" t="s">
        <v>633</v>
      </c>
      <c r="E9502" t="s">
        <v>413</v>
      </c>
      <c r="F9502" s="11">
        <v>1</v>
      </c>
      <c r="G9502" s="11">
        <v>100840.34</v>
      </c>
    </row>
    <row r="9503" spans="2:7" x14ac:dyDescent="0.2">
      <c r="B9503" s="32">
        <v>46085</v>
      </c>
      <c r="C9503" t="s">
        <v>142</v>
      </c>
      <c r="D9503" s="13" t="s">
        <v>633</v>
      </c>
      <c r="E9503" t="s">
        <v>239</v>
      </c>
      <c r="F9503" s="11">
        <v>2</v>
      </c>
      <c r="G9503" s="11">
        <v>99226.89</v>
      </c>
    </row>
    <row r="9504" spans="2:7" x14ac:dyDescent="0.2">
      <c r="B9504" s="32">
        <v>46085</v>
      </c>
      <c r="C9504" t="s">
        <v>142</v>
      </c>
      <c r="D9504" s="13" t="s">
        <v>633</v>
      </c>
      <c r="E9504" t="s">
        <v>749</v>
      </c>
      <c r="F9504" s="11">
        <v>1</v>
      </c>
      <c r="G9504" s="11">
        <v>67226.89</v>
      </c>
    </row>
    <row r="9505" spans="2:7" x14ac:dyDescent="0.2">
      <c r="B9505" s="32">
        <v>46085</v>
      </c>
      <c r="C9505" t="s">
        <v>142</v>
      </c>
      <c r="D9505" s="13" t="s">
        <v>633</v>
      </c>
      <c r="E9505" t="s">
        <v>283</v>
      </c>
      <c r="F9505" s="11">
        <v>1</v>
      </c>
      <c r="G9505" s="11">
        <v>52873.96</v>
      </c>
    </row>
    <row r="9506" spans="2:7" x14ac:dyDescent="0.2">
      <c r="B9506" s="32">
        <v>46085</v>
      </c>
      <c r="C9506" t="s">
        <v>142</v>
      </c>
      <c r="D9506" s="13" t="s">
        <v>633</v>
      </c>
      <c r="E9506" t="s">
        <v>243</v>
      </c>
      <c r="F9506" s="11">
        <v>1</v>
      </c>
      <c r="G9506" s="11">
        <v>52873.95</v>
      </c>
    </row>
    <row r="9507" spans="2:7" x14ac:dyDescent="0.2">
      <c r="B9507" s="32">
        <v>46085</v>
      </c>
      <c r="C9507" t="s">
        <v>142</v>
      </c>
      <c r="D9507" s="13" t="s">
        <v>633</v>
      </c>
      <c r="E9507" t="s">
        <v>280</v>
      </c>
      <c r="F9507" s="11">
        <v>1</v>
      </c>
      <c r="G9507" s="11">
        <v>52873.95</v>
      </c>
    </row>
    <row r="9508" spans="2:7" x14ac:dyDescent="0.2">
      <c r="B9508" s="32">
        <v>46085</v>
      </c>
      <c r="C9508" t="s">
        <v>142</v>
      </c>
      <c r="D9508" s="13" t="s">
        <v>633</v>
      </c>
      <c r="E9508" t="s">
        <v>222</v>
      </c>
      <c r="F9508" s="11">
        <v>1</v>
      </c>
      <c r="G9508" s="11">
        <v>52873.95</v>
      </c>
    </row>
    <row r="9509" spans="2:7" x14ac:dyDescent="0.2">
      <c r="B9509" s="32">
        <v>46085</v>
      </c>
      <c r="C9509" t="s">
        <v>142</v>
      </c>
      <c r="D9509" s="13" t="s">
        <v>633</v>
      </c>
      <c r="E9509" t="s">
        <v>210</v>
      </c>
      <c r="F9509" s="11">
        <v>1</v>
      </c>
      <c r="G9509" s="11">
        <v>48806.720000000001</v>
      </c>
    </row>
    <row r="9510" spans="2:7" x14ac:dyDescent="0.2">
      <c r="B9510" s="32">
        <v>46085</v>
      </c>
      <c r="C9510" t="s">
        <v>142</v>
      </c>
      <c r="D9510" s="13" t="s">
        <v>633</v>
      </c>
      <c r="E9510" t="s">
        <v>768</v>
      </c>
      <c r="F9510" s="11">
        <v>1</v>
      </c>
      <c r="G9510" s="11">
        <v>48806.720000000001</v>
      </c>
    </row>
    <row r="9511" spans="2:7" x14ac:dyDescent="0.2">
      <c r="B9511" s="32">
        <v>46085</v>
      </c>
      <c r="C9511" t="s">
        <v>142</v>
      </c>
      <c r="D9511" s="13" t="s">
        <v>633</v>
      </c>
      <c r="E9511" t="s">
        <v>215</v>
      </c>
      <c r="F9511" s="11">
        <v>1</v>
      </c>
      <c r="G9511" s="11">
        <v>48806.720000000001</v>
      </c>
    </row>
    <row r="9512" spans="2:7" x14ac:dyDescent="0.2">
      <c r="B9512" s="32">
        <v>46085</v>
      </c>
      <c r="C9512" t="s">
        <v>142</v>
      </c>
      <c r="D9512" s="13" t="s">
        <v>633</v>
      </c>
      <c r="E9512" t="s">
        <v>153</v>
      </c>
      <c r="F9512" s="11">
        <v>1</v>
      </c>
      <c r="G9512" s="11">
        <v>46218.49</v>
      </c>
    </row>
    <row r="9513" spans="2:7" x14ac:dyDescent="0.2">
      <c r="B9513" s="32">
        <v>46085</v>
      </c>
      <c r="C9513" t="s">
        <v>142</v>
      </c>
      <c r="D9513" s="13" t="s">
        <v>633</v>
      </c>
      <c r="E9513" t="s">
        <v>704</v>
      </c>
      <c r="F9513" s="11">
        <v>1</v>
      </c>
      <c r="G9513" s="11">
        <v>46218.49</v>
      </c>
    </row>
    <row r="9514" spans="2:7" x14ac:dyDescent="0.2">
      <c r="B9514" s="32">
        <v>46085</v>
      </c>
      <c r="C9514" t="s">
        <v>142</v>
      </c>
      <c r="D9514" s="13" t="s">
        <v>633</v>
      </c>
      <c r="E9514" t="s">
        <v>148</v>
      </c>
      <c r="F9514" s="11">
        <v>1</v>
      </c>
      <c r="G9514" s="11">
        <v>37815.120000000003</v>
      </c>
    </row>
    <row r="9515" spans="2:7" x14ac:dyDescent="0.2">
      <c r="B9515" s="32">
        <v>46085</v>
      </c>
      <c r="C9515" t="s">
        <v>109</v>
      </c>
      <c r="D9515" s="13"/>
      <c r="E9515" t="s">
        <v>144</v>
      </c>
      <c r="F9515" s="11">
        <v>2</v>
      </c>
      <c r="G9515" s="11">
        <v>33613.449999999997</v>
      </c>
    </row>
    <row r="9516" spans="2:7" x14ac:dyDescent="0.2">
      <c r="B9516" s="32">
        <v>46085</v>
      </c>
      <c r="C9516" t="s">
        <v>109</v>
      </c>
      <c r="D9516" s="13" t="s">
        <v>634</v>
      </c>
      <c r="E9516" t="s">
        <v>502</v>
      </c>
      <c r="F9516" s="11">
        <v>1</v>
      </c>
      <c r="G9516" s="11">
        <v>277310.92</v>
      </c>
    </row>
    <row r="9517" spans="2:7" x14ac:dyDescent="0.2">
      <c r="B9517" s="32">
        <v>46085</v>
      </c>
      <c r="C9517" t="s">
        <v>109</v>
      </c>
      <c r="D9517" s="13" t="s">
        <v>634</v>
      </c>
      <c r="E9517" t="s">
        <v>484</v>
      </c>
      <c r="F9517" s="11">
        <v>1</v>
      </c>
      <c r="G9517" s="11">
        <v>116000</v>
      </c>
    </row>
    <row r="9518" spans="2:7" x14ac:dyDescent="0.2">
      <c r="B9518" s="32">
        <v>46085</v>
      </c>
      <c r="C9518" t="s">
        <v>109</v>
      </c>
      <c r="D9518" s="13" t="s">
        <v>634</v>
      </c>
      <c r="E9518" t="s">
        <v>144</v>
      </c>
      <c r="F9518" s="11">
        <v>4</v>
      </c>
      <c r="G9518" s="11">
        <v>75630.25</v>
      </c>
    </row>
    <row r="9519" spans="2:7" x14ac:dyDescent="0.2">
      <c r="B9519" s="32">
        <v>46085</v>
      </c>
      <c r="C9519" t="s">
        <v>109</v>
      </c>
      <c r="D9519" s="13" t="s">
        <v>634</v>
      </c>
      <c r="E9519" t="s">
        <v>175</v>
      </c>
      <c r="F9519" s="11">
        <v>1</v>
      </c>
      <c r="G9519" s="11">
        <v>63025.21</v>
      </c>
    </row>
    <row r="9520" spans="2:7" x14ac:dyDescent="0.2">
      <c r="B9520" s="32">
        <v>46085</v>
      </c>
      <c r="C9520" t="s">
        <v>109</v>
      </c>
      <c r="D9520" s="13" t="s">
        <v>634</v>
      </c>
      <c r="E9520" t="s">
        <v>294</v>
      </c>
      <c r="F9520" s="11">
        <v>1</v>
      </c>
      <c r="G9520" s="11">
        <v>63025.21</v>
      </c>
    </row>
    <row r="9521" spans="2:7" x14ac:dyDescent="0.2">
      <c r="B9521" s="32">
        <v>46085</v>
      </c>
      <c r="C9521" t="s">
        <v>109</v>
      </c>
      <c r="D9521" s="13" t="s">
        <v>634</v>
      </c>
      <c r="E9521" t="s">
        <v>494</v>
      </c>
      <c r="F9521" s="11">
        <v>1</v>
      </c>
      <c r="G9521" s="11">
        <v>63025.21</v>
      </c>
    </row>
    <row r="9522" spans="2:7" x14ac:dyDescent="0.2">
      <c r="B9522" s="32">
        <v>46085</v>
      </c>
      <c r="C9522" t="s">
        <v>109</v>
      </c>
      <c r="D9522" s="13" t="s">
        <v>634</v>
      </c>
      <c r="E9522" t="s">
        <v>427</v>
      </c>
      <c r="F9522" s="11">
        <v>1</v>
      </c>
      <c r="G9522" s="11">
        <v>58823.53</v>
      </c>
    </row>
    <row r="9523" spans="2:7" x14ac:dyDescent="0.2">
      <c r="B9523" s="32">
        <v>46085</v>
      </c>
      <c r="C9523" t="s">
        <v>109</v>
      </c>
      <c r="D9523" s="13" t="s">
        <v>634</v>
      </c>
      <c r="E9523" t="s">
        <v>248</v>
      </c>
      <c r="F9523" s="11">
        <v>1</v>
      </c>
      <c r="G9523" s="11">
        <v>37815.129999999997</v>
      </c>
    </row>
    <row r="9524" spans="2:7" x14ac:dyDescent="0.2">
      <c r="B9524" s="32">
        <v>46085</v>
      </c>
      <c r="C9524" t="s">
        <v>109</v>
      </c>
      <c r="D9524" s="13" t="s">
        <v>634</v>
      </c>
      <c r="E9524" t="s">
        <v>522</v>
      </c>
      <c r="F9524" s="11">
        <v>1</v>
      </c>
      <c r="G9524" s="11">
        <v>35000</v>
      </c>
    </row>
    <row r="9525" spans="2:7" x14ac:dyDescent="0.2">
      <c r="B9525" s="32">
        <v>46085</v>
      </c>
      <c r="C9525" t="s">
        <v>109</v>
      </c>
      <c r="D9525" s="13" t="s">
        <v>633</v>
      </c>
      <c r="E9525" t="s">
        <v>738</v>
      </c>
      <c r="F9525" s="11">
        <v>1</v>
      </c>
      <c r="G9525" s="11">
        <v>159663.87</v>
      </c>
    </row>
    <row r="9526" spans="2:7" x14ac:dyDescent="0.2">
      <c r="B9526" s="32">
        <v>46085</v>
      </c>
      <c r="C9526" t="s">
        <v>109</v>
      </c>
      <c r="D9526" s="13" t="s">
        <v>633</v>
      </c>
      <c r="F9526" s="11">
        <v>1</v>
      </c>
      <c r="G9526" s="11">
        <v>126050.42</v>
      </c>
    </row>
    <row r="9527" spans="2:7" x14ac:dyDescent="0.2">
      <c r="B9527" s="32">
        <v>46085</v>
      </c>
      <c r="C9527" t="s">
        <v>109</v>
      </c>
      <c r="D9527" s="13" t="s">
        <v>633</v>
      </c>
      <c r="E9527" t="s">
        <v>551</v>
      </c>
      <c r="F9527" s="11">
        <v>1</v>
      </c>
      <c r="G9527" s="11">
        <v>113445.38</v>
      </c>
    </row>
    <row r="9528" spans="2:7" x14ac:dyDescent="0.2">
      <c r="B9528" s="32">
        <v>46085</v>
      </c>
      <c r="C9528" t="s">
        <v>109</v>
      </c>
      <c r="D9528" s="13" t="s">
        <v>633</v>
      </c>
      <c r="E9528" t="s">
        <v>250</v>
      </c>
      <c r="F9528" s="11">
        <v>1</v>
      </c>
      <c r="G9528" s="11">
        <v>113445.38</v>
      </c>
    </row>
    <row r="9529" spans="2:7" x14ac:dyDescent="0.2">
      <c r="B9529" s="32">
        <v>46085</v>
      </c>
      <c r="C9529" t="s">
        <v>109</v>
      </c>
      <c r="D9529" s="13" t="s">
        <v>633</v>
      </c>
      <c r="E9529" t="s">
        <v>148</v>
      </c>
      <c r="F9529" s="11">
        <v>3</v>
      </c>
      <c r="G9529" s="11">
        <v>113445.38</v>
      </c>
    </row>
    <row r="9530" spans="2:7" x14ac:dyDescent="0.2">
      <c r="B9530" s="32">
        <v>46085</v>
      </c>
      <c r="C9530" t="s">
        <v>109</v>
      </c>
      <c r="D9530" s="13" t="s">
        <v>633</v>
      </c>
      <c r="E9530" t="s">
        <v>328</v>
      </c>
      <c r="F9530" s="11">
        <v>3</v>
      </c>
      <c r="G9530" s="11">
        <v>113445.37</v>
      </c>
    </row>
    <row r="9531" spans="2:7" x14ac:dyDescent="0.2">
      <c r="B9531" s="32">
        <v>46085</v>
      </c>
      <c r="C9531" t="s">
        <v>109</v>
      </c>
      <c r="D9531" s="13" t="s">
        <v>633</v>
      </c>
      <c r="E9531" t="s">
        <v>184</v>
      </c>
      <c r="F9531" s="11">
        <v>1</v>
      </c>
      <c r="G9531" s="11">
        <v>100840.34</v>
      </c>
    </row>
    <row r="9532" spans="2:7" x14ac:dyDescent="0.2">
      <c r="B9532" s="32">
        <v>46085</v>
      </c>
      <c r="C9532" t="s">
        <v>109</v>
      </c>
      <c r="D9532" s="13" t="s">
        <v>633</v>
      </c>
      <c r="E9532" t="s">
        <v>467</v>
      </c>
      <c r="F9532" s="11">
        <v>1</v>
      </c>
      <c r="G9532" s="11">
        <v>84033.61</v>
      </c>
    </row>
    <row r="9533" spans="2:7" x14ac:dyDescent="0.2">
      <c r="B9533" s="32">
        <v>46085</v>
      </c>
      <c r="C9533" t="s">
        <v>109</v>
      </c>
      <c r="D9533" s="13" t="s">
        <v>633</v>
      </c>
      <c r="E9533" t="s">
        <v>164</v>
      </c>
      <c r="F9533" s="11">
        <v>1</v>
      </c>
      <c r="G9533" s="11">
        <v>75630.25</v>
      </c>
    </row>
    <row r="9534" spans="2:7" x14ac:dyDescent="0.2">
      <c r="B9534" s="32">
        <v>46085</v>
      </c>
      <c r="C9534" t="s">
        <v>109</v>
      </c>
      <c r="D9534" s="13" t="s">
        <v>633</v>
      </c>
      <c r="E9534" t="s">
        <v>534</v>
      </c>
      <c r="F9534" s="11">
        <v>1</v>
      </c>
      <c r="G9534" s="11">
        <v>75630.25</v>
      </c>
    </row>
    <row r="9535" spans="2:7" x14ac:dyDescent="0.2">
      <c r="B9535" s="32">
        <v>46085</v>
      </c>
      <c r="C9535" t="s">
        <v>109</v>
      </c>
      <c r="D9535" s="13" t="s">
        <v>633</v>
      </c>
      <c r="E9535" t="s">
        <v>192</v>
      </c>
      <c r="F9535" s="11">
        <v>1</v>
      </c>
      <c r="G9535" s="11">
        <v>75630.25</v>
      </c>
    </row>
    <row r="9536" spans="2:7" x14ac:dyDescent="0.2">
      <c r="B9536" s="32">
        <v>46085</v>
      </c>
      <c r="C9536" t="s">
        <v>109</v>
      </c>
      <c r="D9536" s="13" t="s">
        <v>633</v>
      </c>
      <c r="E9536" t="s">
        <v>144</v>
      </c>
      <c r="F9536" s="11">
        <v>4</v>
      </c>
      <c r="G9536" s="11">
        <v>67226.89</v>
      </c>
    </row>
    <row r="9537" spans="2:7" x14ac:dyDescent="0.2">
      <c r="B9537" s="32">
        <v>46085</v>
      </c>
      <c r="C9537" t="s">
        <v>109</v>
      </c>
      <c r="D9537" s="13" t="s">
        <v>633</v>
      </c>
      <c r="E9537" t="s">
        <v>258</v>
      </c>
      <c r="F9537" s="11">
        <v>1</v>
      </c>
      <c r="G9537" s="11">
        <v>58823.53</v>
      </c>
    </row>
    <row r="9538" spans="2:7" x14ac:dyDescent="0.2">
      <c r="B9538" s="32">
        <v>46085</v>
      </c>
      <c r="C9538" t="s">
        <v>109</v>
      </c>
      <c r="D9538" s="13" t="s">
        <v>633</v>
      </c>
      <c r="E9538" t="s">
        <v>337</v>
      </c>
      <c r="F9538" s="11">
        <v>1</v>
      </c>
      <c r="G9538" s="11">
        <v>50420.17</v>
      </c>
    </row>
    <row r="9539" spans="2:7" x14ac:dyDescent="0.2">
      <c r="B9539" s="32">
        <v>46085</v>
      </c>
      <c r="C9539" t="s">
        <v>109</v>
      </c>
      <c r="D9539" s="13" t="s">
        <v>633</v>
      </c>
      <c r="E9539" t="s">
        <v>172</v>
      </c>
      <c r="F9539" s="11">
        <v>1</v>
      </c>
      <c r="G9539" s="11">
        <v>46218.49</v>
      </c>
    </row>
    <row r="9540" spans="2:7" x14ac:dyDescent="0.2">
      <c r="B9540" s="32">
        <v>46085</v>
      </c>
      <c r="C9540" t="s">
        <v>109</v>
      </c>
      <c r="D9540" s="13" t="s">
        <v>633</v>
      </c>
      <c r="E9540" t="s">
        <v>203</v>
      </c>
      <c r="F9540" s="11">
        <v>1</v>
      </c>
      <c r="G9540" s="11">
        <v>42016.81</v>
      </c>
    </row>
    <row r="9541" spans="2:7" x14ac:dyDescent="0.2">
      <c r="B9541" s="32">
        <v>46085</v>
      </c>
      <c r="C9541" t="s">
        <v>109</v>
      </c>
      <c r="D9541" s="13" t="s">
        <v>633</v>
      </c>
      <c r="E9541" t="s">
        <v>173</v>
      </c>
      <c r="F9541" s="11">
        <v>1</v>
      </c>
      <c r="G9541" s="11">
        <v>37815.129999999997</v>
      </c>
    </row>
    <row r="9542" spans="2:7" x14ac:dyDescent="0.2">
      <c r="B9542" s="32">
        <v>46085</v>
      </c>
      <c r="C9542" t="s">
        <v>109</v>
      </c>
      <c r="D9542" s="13" t="s">
        <v>633</v>
      </c>
      <c r="E9542" t="s">
        <v>327</v>
      </c>
      <c r="F9542" s="11">
        <v>1</v>
      </c>
      <c r="G9542" s="11">
        <v>35000</v>
      </c>
    </row>
    <row r="9543" spans="2:7" x14ac:dyDescent="0.2">
      <c r="B9543" s="32">
        <v>46085</v>
      </c>
      <c r="C9543" t="s">
        <v>109</v>
      </c>
      <c r="D9543" s="13" t="s">
        <v>633</v>
      </c>
      <c r="E9543" t="s">
        <v>171</v>
      </c>
      <c r="F9543" s="11">
        <v>1</v>
      </c>
      <c r="G9543" s="11">
        <v>29411.759999999998</v>
      </c>
    </row>
    <row r="9544" spans="2:7" x14ac:dyDescent="0.2">
      <c r="B9544" s="32">
        <v>46085</v>
      </c>
      <c r="C9544" t="s">
        <v>109</v>
      </c>
      <c r="D9544" s="13" t="s">
        <v>633</v>
      </c>
      <c r="E9544" t="s">
        <v>145</v>
      </c>
      <c r="F9544" s="11">
        <v>1</v>
      </c>
      <c r="G9544" s="11">
        <v>29411.759999999998</v>
      </c>
    </row>
    <row r="9545" spans="2:7" x14ac:dyDescent="0.2">
      <c r="B9545" s="32">
        <v>46086</v>
      </c>
      <c r="C9545" t="s">
        <v>108</v>
      </c>
      <c r="D9545" s="13" t="s">
        <v>634</v>
      </c>
      <c r="E9545" t="s">
        <v>459</v>
      </c>
      <c r="F9545" s="11">
        <v>2500</v>
      </c>
      <c r="G9545" s="11">
        <v>3812500</v>
      </c>
    </row>
    <row r="9546" spans="2:7" x14ac:dyDescent="0.2">
      <c r="B9546" s="32">
        <v>46086</v>
      </c>
      <c r="C9546" t="s">
        <v>108</v>
      </c>
      <c r="D9546" s="13" t="s">
        <v>633</v>
      </c>
      <c r="E9546" t="s">
        <v>733</v>
      </c>
      <c r="F9546" s="11">
        <v>14</v>
      </c>
      <c r="G9546" s="11">
        <v>1253000</v>
      </c>
    </row>
    <row r="9547" spans="2:7" x14ac:dyDescent="0.2">
      <c r="B9547" s="32">
        <v>46086</v>
      </c>
      <c r="C9547" t="s">
        <v>108</v>
      </c>
      <c r="D9547" s="13" t="s">
        <v>633</v>
      </c>
      <c r="E9547" t="s">
        <v>736</v>
      </c>
      <c r="F9547" s="11">
        <v>4</v>
      </c>
      <c r="G9547" s="11">
        <v>302521.01</v>
      </c>
    </row>
    <row r="9548" spans="2:7" x14ac:dyDescent="0.2">
      <c r="B9548" s="32">
        <v>46086</v>
      </c>
      <c r="C9548" t="s">
        <v>108</v>
      </c>
      <c r="D9548" s="13" t="s">
        <v>633</v>
      </c>
      <c r="E9548" t="s">
        <v>635</v>
      </c>
      <c r="F9548" s="11">
        <v>60</v>
      </c>
      <c r="G9548" s="11">
        <v>226890.76</v>
      </c>
    </row>
    <row r="9549" spans="2:7" x14ac:dyDescent="0.2">
      <c r="B9549" s="32">
        <v>46086</v>
      </c>
      <c r="C9549" t="s">
        <v>108</v>
      </c>
      <c r="D9549" s="13" t="s">
        <v>633</v>
      </c>
      <c r="E9549" t="s">
        <v>734</v>
      </c>
      <c r="F9549" s="11">
        <v>6</v>
      </c>
      <c r="G9549" s="11">
        <v>201680.67</v>
      </c>
    </row>
    <row r="9550" spans="2:7" x14ac:dyDescent="0.2">
      <c r="B9550" s="32">
        <v>46086</v>
      </c>
      <c r="C9550" t="s">
        <v>108</v>
      </c>
      <c r="D9550" s="13" t="s">
        <v>633</v>
      </c>
      <c r="E9550" t="s">
        <v>732</v>
      </c>
      <c r="F9550" s="11">
        <v>58</v>
      </c>
      <c r="G9550" s="11">
        <v>141344.54</v>
      </c>
    </row>
    <row r="9551" spans="2:7" x14ac:dyDescent="0.2">
      <c r="B9551" s="32">
        <v>46086</v>
      </c>
      <c r="C9551" t="s">
        <v>108</v>
      </c>
      <c r="D9551" s="13" t="s">
        <v>633</v>
      </c>
      <c r="E9551" t="s">
        <v>735</v>
      </c>
      <c r="F9551" s="11">
        <v>6</v>
      </c>
      <c r="G9551" s="11">
        <v>121008.4</v>
      </c>
    </row>
    <row r="9552" spans="2:7" x14ac:dyDescent="0.2">
      <c r="B9552" s="32">
        <v>46086</v>
      </c>
      <c r="C9552" t="s">
        <v>108</v>
      </c>
      <c r="D9552" s="13" t="s">
        <v>633</v>
      </c>
      <c r="E9552" t="s">
        <v>169</v>
      </c>
      <c r="F9552" s="11">
        <v>1</v>
      </c>
      <c r="G9552" s="11">
        <v>96428.57</v>
      </c>
    </row>
    <row r="9553" spans="2:7" x14ac:dyDescent="0.2">
      <c r="B9553" s="32">
        <v>46086</v>
      </c>
      <c r="C9553" t="s">
        <v>108</v>
      </c>
      <c r="D9553" s="13" t="s">
        <v>633</v>
      </c>
      <c r="E9553" t="s">
        <v>743</v>
      </c>
      <c r="F9553" s="11">
        <v>2</v>
      </c>
      <c r="G9553" s="11">
        <v>53243.7</v>
      </c>
    </row>
    <row r="9554" spans="2:7" x14ac:dyDescent="0.2">
      <c r="B9554" s="32">
        <v>46086</v>
      </c>
      <c r="C9554" t="s">
        <v>142</v>
      </c>
      <c r="D9554" s="13" t="s">
        <v>634</v>
      </c>
      <c r="E9554" t="s">
        <v>465</v>
      </c>
      <c r="F9554" s="11">
        <v>1</v>
      </c>
      <c r="G9554" s="11">
        <v>210084.03</v>
      </c>
    </row>
    <row r="9555" spans="2:7" x14ac:dyDescent="0.2">
      <c r="B9555" s="32">
        <v>46086</v>
      </c>
      <c r="C9555" t="s">
        <v>142</v>
      </c>
      <c r="D9555" s="13" t="s">
        <v>633</v>
      </c>
      <c r="E9555" t="s">
        <v>517</v>
      </c>
      <c r="F9555" s="11">
        <v>1</v>
      </c>
      <c r="G9555" s="11">
        <v>109243.7</v>
      </c>
    </row>
    <row r="9556" spans="2:7" x14ac:dyDescent="0.2">
      <c r="B9556" s="32">
        <v>46086</v>
      </c>
      <c r="C9556" t="s">
        <v>142</v>
      </c>
      <c r="D9556" s="13" t="s">
        <v>633</v>
      </c>
      <c r="E9556" t="s">
        <v>763</v>
      </c>
      <c r="F9556" s="11">
        <v>1</v>
      </c>
      <c r="G9556" s="11">
        <v>109243.7</v>
      </c>
    </row>
    <row r="9557" spans="2:7" x14ac:dyDescent="0.2">
      <c r="B9557" s="32">
        <v>46086</v>
      </c>
      <c r="C9557" t="s">
        <v>142</v>
      </c>
      <c r="D9557" s="13" t="s">
        <v>633</v>
      </c>
      <c r="E9557" t="s">
        <v>761</v>
      </c>
      <c r="F9557" s="11">
        <v>1</v>
      </c>
      <c r="G9557" s="11">
        <v>109243.69</v>
      </c>
    </row>
    <row r="9558" spans="2:7" x14ac:dyDescent="0.2">
      <c r="B9558" s="32">
        <v>46086</v>
      </c>
      <c r="C9558" t="s">
        <v>142</v>
      </c>
      <c r="D9558" s="13" t="s">
        <v>633</v>
      </c>
      <c r="E9558" t="s">
        <v>405</v>
      </c>
      <c r="F9558" s="11">
        <v>1</v>
      </c>
      <c r="G9558" s="11">
        <v>100840.34</v>
      </c>
    </row>
    <row r="9559" spans="2:7" x14ac:dyDescent="0.2">
      <c r="B9559" s="32">
        <v>46086</v>
      </c>
      <c r="C9559" t="s">
        <v>142</v>
      </c>
      <c r="D9559" s="13" t="s">
        <v>633</v>
      </c>
      <c r="E9559" t="s">
        <v>771</v>
      </c>
      <c r="F9559" s="11">
        <v>1</v>
      </c>
      <c r="G9559" s="11">
        <v>67226.89</v>
      </c>
    </row>
    <row r="9560" spans="2:7" x14ac:dyDescent="0.2">
      <c r="B9560" s="32">
        <v>46086</v>
      </c>
      <c r="C9560" t="s">
        <v>110</v>
      </c>
      <c r="D9560" s="13" t="s">
        <v>633</v>
      </c>
      <c r="E9560" t="s">
        <v>193</v>
      </c>
      <c r="F9560" s="11">
        <v>1</v>
      </c>
      <c r="G9560" s="11">
        <v>37815.129999999997</v>
      </c>
    </row>
    <row r="9561" spans="2:7" x14ac:dyDescent="0.2">
      <c r="B9561" s="32">
        <v>46086</v>
      </c>
      <c r="C9561" t="s">
        <v>109</v>
      </c>
      <c r="D9561" s="13"/>
      <c r="E9561" t="s">
        <v>347</v>
      </c>
      <c r="F9561" s="11">
        <v>1</v>
      </c>
      <c r="G9561" s="11">
        <v>84033.61</v>
      </c>
    </row>
    <row r="9562" spans="2:7" x14ac:dyDescent="0.2">
      <c r="B9562" s="32">
        <v>46086</v>
      </c>
      <c r="C9562" t="s">
        <v>109</v>
      </c>
      <c r="D9562" s="13"/>
      <c r="E9562" t="s">
        <v>328</v>
      </c>
      <c r="F9562" s="11">
        <v>1</v>
      </c>
      <c r="G9562" s="11">
        <v>37815.129999999997</v>
      </c>
    </row>
    <row r="9563" spans="2:7" x14ac:dyDescent="0.2">
      <c r="B9563" s="32">
        <v>46086</v>
      </c>
      <c r="C9563" t="s">
        <v>109</v>
      </c>
      <c r="D9563" s="13"/>
      <c r="E9563" t="s">
        <v>248</v>
      </c>
      <c r="F9563" s="11">
        <v>1</v>
      </c>
      <c r="G9563" s="11">
        <v>37815.129999999997</v>
      </c>
    </row>
    <row r="9564" spans="2:7" x14ac:dyDescent="0.2">
      <c r="B9564" s="32">
        <v>46086</v>
      </c>
      <c r="C9564" t="s">
        <v>109</v>
      </c>
      <c r="D9564" s="13" t="s">
        <v>634</v>
      </c>
      <c r="E9564" t="s">
        <v>477</v>
      </c>
      <c r="F9564" s="11">
        <v>2</v>
      </c>
      <c r="G9564" s="11">
        <v>180672.27</v>
      </c>
    </row>
    <row r="9565" spans="2:7" x14ac:dyDescent="0.2">
      <c r="B9565" s="32">
        <v>46086</v>
      </c>
      <c r="C9565" t="s">
        <v>109</v>
      </c>
      <c r="D9565" s="13" t="s">
        <v>634</v>
      </c>
      <c r="F9565" s="11">
        <v>1</v>
      </c>
      <c r="G9565" s="11">
        <v>126050.42</v>
      </c>
    </row>
    <row r="9566" spans="2:7" x14ac:dyDescent="0.2">
      <c r="B9566" s="32">
        <v>46086</v>
      </c>
      <c r="C9566" t="s">
        <v>109</v>
      </c>
      <c r="D9566" s="13" t="s">
        <v>634</v>
      </c>
      <c r="E9566" t="s">
        <v>312</v>
      </c>
      <c r="F9566" s="11">
        <v>1</v>
      </c>
      <c r="G9566" s="11">
        <v>109243.7</v>
      </c>
    </row>
    <row r="9567" spans="2:7" x14ac:dyDescent="0.2">
      <c r="B9567" s="32">
        <v>46086</v>
      </c>
      <c r="C9567" t="s">
        <v>109</v>
      </c>
      <c r="D9567" s="13" t="s">
        <v>634</v>
      </c>
      <c r="E9567" t="s">
        <v>264</v>
      </c>
      <c r="F9567" s="11">
        <v>1</v>
      </c>
      <c r="G9567" s="11">
        <v>84033.61</v>
      </c>
    </row>
    <row r="9568" spans="2:7" x14ac:dyDescent="0.2">
      <c r="B9568" s="32">
        <v>46086</v>
      </c>
      <c r="C9568" t="s">
        <v>109</v>
      </c>
      <c r="D9568" s="13" t="s">
        <v>634</v>
      </c>
      <c r="E9568" t="s">
        <v>446</v>
      </c>
      <c r="F9568" s="11">
        <v>1</v>
      </c>
      <c r="G9568" s="11">
        <v>75630.25</v>
      </c>
    </row>
    <row r="9569" spans="2:7" x14ac:dyDescent="0.2">
      <c r="B9569" s="32">
        <v>46086</v>
      </c>
      <c r="C9569" t="s">
        <v>109</v>
      </c>
      <c r="D9569" s="13" t="s">
        <v>634</v>
      </c>
      <c r="E9569" t="s">
        <v>230</v>
      </c>
      <c r="F9569" s="11">
        <v>1</v>
      </c>
      <c r="G9569" s="11">
        <v>63025.21</v>
      </c>
    </row>
    <row r="9570" spans="2:7" x14ac:dyDescent="0.2">
      <c r="B9570" s="32">
        <v>46086</v>
      </c>
      <c r="C9570" t="s">
        <v>109</v>
      </c>
      <c r="D9570" s="13" t="s">
        <v>634</v>
      </c>
      <c r="E9570" t="s">
        <v>533</v>
      </c>
      <c r="F9570" s="11">
        <v>1</v>
      </c>
      <c r="G9570" s="11">
        <v>63025.21</v>
      </c>
    </row>
    <row r="9571" spans="2:7" x14ac:dyDescent="0.2">
      <c r="B9571" s="32">
        <v>46086</v>
      </c>
      <c r="C9571" t="s">
        <v>109</v>
      </c>
      <c r="D9571" s="13" t="s">
        <v>634</v>
      </c>
      <c r="E9571" t="s">
        <v>318</v>
      </c>
      <c r="F9571" s="11">
        <v>1</v>
      </c>
      <c r="G9571" s="11">
        <v>63025.21</v>
      </c>
    </row>
    <row r="9572" spans="2:7" x14ac:dyDescent="0.2">
      <c r="B9572" s="32">
        <v>46086</v>
      </c>
      <c r="C9572" t="s">
        <v>109</v>
      </c>
      <c r="D9572" s="13" t="s">
        <v>634</v>
      </c>
      <c r="E9572" t="s">
        <v>258</v>
      </c>
      <c r="F9572" s="11">
        <v>1</v>
      </c>
      <c r="G9572" s="11">
        <v>58823.53</v>
      </c>
    </row>
    <row r="9573" spans="2:7" x14ac:dyDescent="0.2">
      <c r="B9573" s="32">
        <v>46086</v>
      </c>
      <c r="C9573" t="s">
        <v>109</v>
      </c>
      <c r="D9573" s="13" t="s">
        <v>634</v>
      </c>
      <c r="E9573" t="s">
        <v>455</v>
      </c>
      <c r="F9573" s="11">
        <v>1</v>
      </c>
      <c r="G9573" s="11">
        <v>54621.85</v>
      </c>
    </row>
    <row r="9574" spans="2:7" x14ac:dyDescent="0.2">
      <c r="B9574" s="32">
        <v>46086</v>
      </c>
      <c r="C9574" t="s">
        <v>109</v>
      </c>
      <c r="D9574" s="13" t="s">
        <v>634</v>
      </c>
      <c r="E9574" t="s">
        <v>513</v>
      </c>
      <c r="F9574" s="11">
        <v>1</v>
      </c>
      <c r="G9574" s="11">
        <v>54621.85</v>
      </c>
    </row>
    <row r="9575" spans="2:7" x14ac:dyDescent="0.2">
      <c r="B9575" s="32">
        <v>46086</v>
      </c>
      <c r="C9575" t="s">
        <v>109</v>
      </c>
      <c r="D9575" s="13" t="s">
        <v>634</v>
      </c>
      <c r="E9575" t="s">
        <v>504</v>
      </c>
      <c r="F9575" s="11">
        <v>1</v>
      </c>
      <c r="G9575" s="11">
        <v>54621.85</v>
      </c>
    </row>
    <row r="9576" spans="2:7" x14ac:dyDescent="0.2">
      <c r="B9576" s="32">
        <v>46086</v>
      </c>
      <c r="C9576" t="s">
        <v>109</v>
      </c>
      <c r="D9576" s="13" t="s">
        <v>634</v>
      </c>
      <c r="E9576" t="s">
        <v>473</v>
      </c>
      <c r="F9576" s="11">
        <v>1</v>
      </c>
      <c r="G9576" s="11">
        <v>54621.84</v>
      </c>
    </row>
    <row r="9577" spans="2:7" x14ac:dyDescent="0.2">
      <c r="B9577" s="32">
        <v>46086</v>
      </c>
      <c r="C9577" t="s">
        <v>109</v>
      </c>
      <c r="D9577" s="13" t="s">
        <v>633</v>
      </c>
      <c r="E9577" t="s">
        <v>741</v>
      </c>
      <c r="F9577" s="11">
        <v>2</v>
      </c>
      <c r="G9577" s="11">
        <v>319327.74</v>
      </c>
    </row>
    <row r="9578" spans="2:7" x14ac:dyDescent="0.2">
      <c r="B9578" s="32">
        <v>46086</v>
      </c>
      <c r="C9578" t="s">
        <v>109</v>
      </c>
      <c r="D9578" s="13" t="s">
        <v>633</v>
      </c>
      <c r="E9578" t="s">
        <v>375</v>
      </c>
      <c r="F9578" s="11">
        <v>2</v>
      </c>
      <c r="G9578" s="11">
        <v>218487.39</v>
      </c>
    </row>
    <row r="9579" spans="2:7" x14ac:dyDescent="0.2">
      <c r="B9579" s="32">
        <v>46086</v>
      </c>
      <c r="C9579" t="s">
        <v>109</v>
      </c>
      <c r="D9579" s="13" t="s">
        <v>633</v>
      </c>
      <c r="E9579" t="s">
        <v>234</v>
      </c>
      <c r="F9579" s="11">
        <v>4</v>
      </c>
      <c r="G9579" s="11">
        <v>151260.51</v>
      </c>
    </row>
    <row r="9580" spans="2:7" x14ac:dyDescent="0.2">
      <c r="B9580" s="32">
        <v>46086</v>
      </c>
      <c r="C9580" t="s">
        <v>109</v>
      </c>
      <c r="D9580" s="13" t="s">
        <v>633</v>
      </c>
      <c r="F9580" s="11">
        <v>1</v>
      </c>
      <c r="G9580" s="11">
        <v>126050.42</v>
      </c>
    </row>
    <row r="9581" spans="2:7" x14ac:dyDescent="0.2">
      <c r="B9581" s="32">
        <v>46086</v>
      </c>
      <c r="C9581" t="s">
        <v>109</v>
      </c>
      <c r="D9581" s="13" t="s">
        <v>633</v>
      </c>
      <c r="E9581" t="s">
        <v>145</v>
      </c>
      <c r="F9581" s="11">
        <v>4</v>
      </c>
      <c r="G9581" s="11">
        <v>117647.06</v>
      </c>
    </row>
    <row r="9582" spans="2:7" x14ac:dyDescent="0.2">
      <c r="B9582" s="32">
        <v>46086</v>
      </c>
      <c r="C9582" t="s">
        <v>109</v>
      </c>
      <c r="D9582" s="13" t="s">
        <v>633</v>
      </c>
      <c r="E9582" t="s">
        <v>698</v>
      </c>
      <c r="F9582" s="11">
        <v>1</v>
      </c>
      <c r="G9582" s="11">
        <v>84033.61</v>
      </c>
    </row>
    <row r="9583" spans="2:7" x14ac:dyDescent="0.2">
      <c r="B9583" s="32">
        <v>46086</v>
      </c>
      <c r="C9583" t="s">
        <v>109</v>
      </c>
      <c r="D9583" s="13" t="s">
        <v>633</v>
      </c>
      <c r="E9583" t="s">
        <v>164</v>
      </c>
      <c r="F9583" s="11">
        <v>1</v>
      </c>
      <c r="G9583" s="11">
        <v>75630.25</v>
      </c>
    </row>
    <row r="9584" spans="2:7" x14ac:dyDescent="0.2">
      <c r="B9584" s="32">
        <v>46086</v>
      </c>
      <c r="C9584" t="s">
        <v>109</v>
      </c>
      <c r="D9584" s="13" t="s">
        <v>633</v>
      </c>
      <c r="E9584" t="s">
        <v>148</v>
      </c>
      <c r="F9584" s="11">
        <v>2</v>
      </c>
      <c r="G9584" s="11">
        <v>75630.25</v>
      </c>
    </row>
    <row r="9585" spans="2:7" x14ac:dyDescent="0.2">
      <c r="B9585" s="32">
        <v>46086</v>
      </c>
      <c r="C9585" t="s">
        <v>109</v>
      </c>
      <c r="D9585" s="13" t="s">
        <v>633</v>
      </c>
      <c r="E9585" t="s">
        <v>212</v>
      </c>
      <c r="F9585" s="11">
        <v>1</v>
      </c>
      <c r="G9585" s="11">
        <v>58823.53</v>
      </c>
    </row>
    <row r="9586" spans="2:7" x14ac:dyDescent="0.2">
      <c r="B9586" s="32">
        <v>46086</v>
      </c>
      <c r="C9586" t="s">
        <v>109</v>
      </c>
      <c r="D9586" s="13" t="s">
        <v>633</v>
      </c>
      <c r="E9586" t="s">
        <v>144</v>
      </c>
      <c r="F9586" s="11">
        <v>3</v>
      </c>
      <c r="G9586" s="11">
        <v>50420.17</v>
      </c>
    </row>
    <row r="9587" spans="2:7" x14ac:dyDescent="0.2">
      <c r="B9587" s="32">
        <v>46086</v>
      </c>
      <c r="C9587" t="s">
        <v>109</v>
      </c>
      <c r="D9587" s="13" t="s">
        <v>633</v>
      </c>
      <c r="E9587" t="s">
        <v>156</v>
      </c>
      <c r="F9587" s="11">
        <v>1</v>
      </c>
      <c r="G9587" s="11">
        <v>46218.49</v>
      </c>
    </row>
    <row r="9588" spans="2:7" x14ac:dyDescent="0.2">
      <c r="B9588" s="32">
        <v>46086</v>
      </c>
      <c r="C9588" t="s">
        <v>109</v>
      </c>
      <c r="D9588" s="13" t="s">
        <v>633</v>
      </c>
      <c r="E9588" t="s">
        <v>158</v>
      </c>
      <c r="F9588" s="11">
        <v>1</v>
      </c>
      <c r="G9588" s="11">
        <v>46218.48</v>
      </c>
    </row>
    <row r="9589" spans="2:7" x14ac:dyDescent="0.2">
      <c r="B9589" s="32">
        <v>46086</v>
      </c>
      <c r="C9589" t="s">
        <v>109</v>
      </c>
      <c r="D9589" s="13" t="s">
        <v>633</v>
      </c>
      <c r="E9589" t="s">
        <v>166</v>
      </c>
      <c r="F9589" s="11">
        <v>1</v>
      </c>
      <c r="G9589" s="11">
        <v>42016.81</v>
      </c>
    </row>
    <row r="9590" spans="2:7" x14ac:dyDescent="0.2">
      <c r="B9590" s="32">
        <v>46086</v>
      </c>
      <c r="C9590" t="s">
        <v>109</v>
      </c>
      <c r="D9590" s="13" t="s">
        <v>633</v>
      </c>
      <c r="E9590" t="s">
        <v>328</v>
      </c>
      <c r="F9590" s="11">
        <v>1</v>
      </c>
      <c r="G9590" s="11">
        <v>37815.120000000003</v>
      </c>
    </row>
    <row r="9591" spans="2:7" x14ac:dyDescent="0.2">
      <c r="B9591" s="32">
        <v>46086</v>
      </c>
      <c r="C9591" t="s">
        <v>109</v>
      </c>
      <c r="D9591" s="13" t="s">
        <v>633</v>
      </c>
      <c r="E9591" t="s">
        <v>182</v>
      </c>
      <c r="F9591" s="11">
        <v>1</v>
      </c>
      <c r="G9591" s="11">
        <v>29411.759999999998</v>
      </c>
    </row>
    <row r="9592" spans="2:7" x14ac:dyDescent="0.2">
      <c r="B9592" s="32">
        <v>46086</v>
      </c>
      <c r="C9592" t="s">
        <v>109</v>
      </c>
      <c r="D9592" s="13" t="s">
        <v>633</v>
      </c>
      <c r="E9592" t="s">
        <v>180</v>
      </c>
      <c r="F9592" s="11">
        <v>1</v>
      </c>
      <c r="G9592" s="11">
        <v>16806.72</v>
      </c>
    </row>
    <row r="9593" spans="2:7" x14ac:dyDescent="0.2">
      <c r="B9593" s="32">
        <v>46086</v>
      </c>
      <c r="C9593" t="s">
        <v>109</v>
      </c>
      <c r="D9593" s="13" t="s">
        <v>633</v>
      </c>
      <c r="E9593" t="s">
        <v>209</v>
      </c>
      <c r="F9593" s="11">
        <v>1</v>
      </c>
      <c r="G9593" s="11">
        <v>16806.72</v>
      </c>
    </row>
    <row r="9594" spans="2:7" x14ac:dyDescent="0.2">
      <c r="B9594" s="32">
        <v>46087</v>
      </c>
      <c r="C9594" t="s">
        <v>142</v>
      </c>
      <c r="D9594" s="13" t="s">
        <v>634</v>
      </c>
      <c r="E9594" t="s">
        <v>531</v>
      </c>
      <c r="F9594" s="11">
        <v>1</v>
      </c>
      <c r="G9594" s="11">
        <v>323529.40999999997</v>
      </c>
    </row>
    <row r="9595" spans="2:7" x14ac:dyDescent="0.2">
      <c r="B9595" s="32">
        <v>46087</v>
      </c>
      <c r="C9595" t="s">
        <v>142</v>
      </c>
      <c r="D9595" s="13" t="s">
        <v>634</v>
      </c>
      <c r="E9595" t="s">
        <v>233</v>
      </c>
      <c r="F9595" s="11">
        <v>1</v>
      </c>
      <c r="G9595" s="11">
        <v>63025.21</v>
      </c>
    </row>
    <row r="9596" spans="2:7" x14ac:dyDescent="0.2">
      <c r="B9596" s="32">
        <v>46087</v>
      </c>
      <c r="C9596" t="s">
        <v>142</v>
      </c>
      <c r="D9596" s="13" t="s">
        <v>634</v>
      </c>
      <c r="E9596" t="s">
        <v>165</v>
      </c>
      <c r="F9596" s="11">
        <v>1</v>
      </c>
      <c r="G9596" s="11">
        <v>63025.21</v>
      </c>
    </row>
    <row r="9597" spans="2:7" x14ac:dyDescent="0.2">
      <c r="B9597" s="32">
        <v>46087</v>
      </c>
      <c r="C9597" t="s">
        <v>142</v>
      </c>
      <c r="D9597" s="13" t="s">
        <v>633</v>
      </c>
      <c r="E9597" t="s">
        <v>776</v>
      </c>
      <c r="F9597" s="11">
        <v>1</v>
      </c>
      <c r="G9597" s="11">
        <v>58823.53</v>
      </c>
    </row>
    <row r="9598" spans="2:7" x14ac:dyDescent="0.2">
      <c r="B9598" s="32">
        <v>46087</v>
      </c>
      <c r="C9598" t="s">
        <v>109</v>
      </c>
      <c r="D9598" s="13" t="s">
        <v>634</v>
      </c>
      <c r="E9598" t="s">
        <v>159</v>
      </c>
      <c r="F9598" s="11">
        <v>1</v>
      </c>
      <c r="G9598" s="11">
        <v>239495.8</v>
      </c>
    </row>
    <row r="9599" spans="2:7" x14ac:dyDescent="0.2">
      <c r="B9599" s="32">
        <v>46087</v>
      </c>
      <c r="C9599" t="s">
        <v>109</v>
      </c>
      <c r="D9599" s="13" t="s">
        <v>634</v>
      </c>
      <c r="E9599" t="s">
        <v>480</v>
      </c>
      <c r="F9599" s="11">
        <v>1</v>
      </c>
      <c r="G9599" s="11">
        <v>168067.23</v>
      </c>
    </row>
    <row r="9600" spans="2:7" x14ac:dyDescent="0.2">
      <c r="B9600" s="32">
        <v>46087</v>
      </c>
      <c r="C9600" t="s">
        <v>109</v>
      </c>
      <c r="D9600" s="13" t="s">
        <v>634</v>
      </c>
      <c r="E9600" t="s">
        <v>327</v>
      </c>
      <c r="F9600" s="11">
        <v>4</v>
      </c>
      <c r="G9600" s="11">
        <v>140000</v>
      </c>
    </row>
    <row r="9601" spans="2:7" x14ac:dyDescent="0.2">
      <c r="B9601" s="32">
        <v>46087</v>
      </c>
      <c r="C9601" t="s">
        <v>109</v>
      </c>
      <c r="D9601" s="13" t="s">
        <v>634</v>
      </c>
      <c r="E9601" t="s">
        <v>467</v>
      </c>
      <c r="F9601" s="11">
        <v>1</v>
      </c>
      <c r="G9601" s="11">
        <v>84033.61</v>
      </c>
    </row>
    <row r="9602" spans="2:7" x14ac:dyDescent="0.2">
      <c r="B9602" s="32">
        <v>46087</v>
      </c>
      <c r="C9602" t="s">
        <v>109</v>
      </c>
      <c r="D9602" s="13" t="s">
        <v>634</v>
      </c>
      <c r="E9602" t="s">
        <v>486</v>
      </c>
      <c r="F9602" s="11">
        <v>1</v>
      </c>
      <c r="G9602" s="11">
        <v>84033.61</v>
      </c>
    </row>
    <row r="9603" spans="2:7" x14ac:dyDescent="0.2">
      <c r="B9603" s="32">
        <v>46087</v>
      </c>
      <c r="C9603" t="s">
        <v>109</v>
      </c>
      <c r="D9603" s="13" t="s">
        <v>634</v>
      </c>
      <c r="E9603" t="s">
        <v>352</v>
      </c>
      <c r="F9603" s="11">
        <v>1</v>
      </c>
      <c r="G9603" s="11">
        <v>75630.259999999995</v>
      </c>
    </row>
    <row r="9604" spans="2:7" x14ac:dyDescent="0.2">
      <c r="B9604" s="32">
        <v>46087</v>
      </c>
      <c r="C9604" t="s">
        <v>109</v>
      </c>
      <c r="D9604" s="13" t="s">
        <v>634</v>
      </c>
      <c r="E9604" t="s">
        <v>342</v>
      </c>
      <c r="F9604" s="11">
        <v>2</v>
      </c>
      <c r="G9604" s="11">
        <v>75630.259999999995</v>
      </c>
    </row>
    <row r="9605" spans="2:7" x14ac:dyDescent="0.2">
      <c r="B9605" s="32">
        <v>46087</v>
      </c>
      <c r="C9605" t="s">
        <v>109</v>
      </c>
      <c r="D9605" s="13" t="s">
        <v>634</v>
      </c>
      <c r="E9605" t="s">
        <v>336</v>
      </c>
      <c r="F9605" s="11">
        <v>1</v>
      </c>
      <c r="G9605" s="11">
        <v>75630.25</v>
      </c>
    </row>
    <row r="9606" spans="2:7" x14ac:dyDescent="0.2">
      <c r="B9606" s="32">
        <v>46087</v>
      </c>
      <c r="C9606" t="s">
        <v>109</v>
      </c>
      <c r="D9606" s="13" t="s">
        <v>634</v>
      </c>
      <c r="E9606" t="s">
        <v>479</v>
      </c>
      <c r="F9606" s="11">
        <v>1</v>
      </c>
      <c r="G9606" s="11">
        <v>63025.21</v>
      </c>
    </row>
    <row r="9607" spans="2:7" x14ac:dyDescent="0.2">
      <c r="B9607" s="32">
        <v>46087</v>
      </c>
      <c r="C9607" t="s">
        <v>109</v>
      </c>
      <c r="D9607" s="13" t="s">
        <v>634</v>
      </c>
      <c r="E9607" t="s">
        <v>296</v>
      </c>
      <c r="F9607" s="11">
        <v>1</v>
      </c>
      <c r="G9607" s="11">
        <v>50420.17</v>
      </c>
    </row>
    <row r="9608" spans="2:7" x14ac:dyDescent="0.2">
      <c r="B9608" s="32">
        <v>46087</v>
      </c>
      <c r="C9608" t="s">
        <v>109</v>
      </c>
      <c r="D9608" s="13" t="s">
        <v>634</v>
      </c>
      <c r="E9608" t="s">
        <v>555</v>
      </c>
      <c r="F9608" s="11">
        <v>1</v>
      </c>
      <c r="G9608" s="11">
        <v>50420.17</v>
      </c>
    </row>
    <row r="9609" spans="2:7" x14ac:dyDescent="0.2">
      <c r="B9609" s="32">
        <v>46087</v>
      </c>
      <c r="C9609" t="s">
        <v>109</v>
      </c>
      <c r="D9609" s="13" t="s">
        <v>634</v>
      </c>
      <c r="E9609" t="s">
        <v>309</v>
      </c>
      <c r="F9609" s="11">
        <v>1</v>
      </c>
      <c r="G9609" s="11">
        <v>42016.81</v>
      </c>
    </row>
    <row r="9610" spans="2:7" x14ac:dyDescent="0.2">
      <c r="B9610" s="32">
        <v>46087</v>
      </c>
      <c r="C9610" t="s">
        <v>109</v>
      </c>
      <c r="D9610" s="13" t="s">
        <v>634</v>
      </c>
      <c r="E9610" t="s">
        <v>328</v>
      </c>
      <c r="F9610" s="11">
        <v>1</v>
      </c>
      <c r="G9610" s="11">
        <v>37815.129999999997</v>
      </c>
    </row>
    <row r="9611" spans="2:7" x14ac:dyDescent="0.2">
      <c r="B9611" s="32">
        <v>46087</v>
      </c>
      <c r="C9611" t="s">
        <v>109</v>
      </c>
      <c r="D9611" s="13" t="s">
        <v>634</v>
      </c>
      <c r="E9611" t="s">
        <v>234</v>
      </c>
      <c r="F9611" s="11">
        <v>1</v>
      </c>
      <c r="G9611" s="11">
        <v>37815.120000000003</v>
      </c>
    </row>
    <row r="9612" spans="2:7" x14ac:dyDescent="0.2">
      <c r="B9612" s="32">
        <v>46087</v>
      </c>
      <c r="C9612" t="s">
        <v>109</v>
      </c>
      <c r="D9612" s="13" t="s">
        <v>634</v>
      </c>
      <c r="E9612" t="s">
        <v>144</v>
      </c>
      <c r="F9612" s="11">
        <v>2</v>
      </c>
      <c r="G9612" s="11">
        <v>37815.120000000003</v>
      </c>
    </row>
    <row r="9613" spans="2:7" x14ac:dyDescent="0.2">
      <c r="B9613" s="32">
        <v>46087</v>
      </c>
      <c r="C9613" t="s">
        <v>109</v>
      </c>
      <c r="D9613" s="13" t="s">
        <v>634</v>
      </c>
      <c r="E9613" t="s">
        <v>509</v>
      </c>
      <c r="F9613" s="11">
        <v>1</v>
      </c>
      <c r="G9613" s="11">
        <v>16806.72</v>
      </c>
    </row>
    <row r="9614" spans="2:7" x14ac:dyDescent="0.2">
      <c r="B9614" s="32">
        <v>46087</v>
      </c>
      <c r="C9614" t="s">
        <v>109</v>
      </c>
      <c r="D9614" s="13" t="s">
        <v>634</v>
      </c>
      <c r="E9614" t="s">
        <v>209</v>
      </c>
      <c r="F9614" s="11">
        <v>1</v>
      </c>
      <c r="G9614" s="11">
        <v>16806.72</v>
      </c>
    </row>
    <row r="9615" spans="2:7" x14ac:dyDescent="0.2">
      <c r="B9615" s="32">
        <v>46087</v>
      </c>
      <c r="C9615" t="s">
        <v>109</v>
      </c>
      <c r="D9615" s="13" t="s">
        <v>633</v>
      </c>
      <c r="E9615" t="s">
        <v>759</v>
      </c>
      <c r="F9615" s="11">
        <v>1</v>
      </c>
      <c r="G9615" s="11">
        <v>210084.03</v>
      </c>
    </row>
    <row r="9616" spans="2:7" x14ac:dyDescent="0.2">
      <c r="B9616" s="32">
        <v>46087</v>
      </c>
      <c r="C9616" t="s">
        <v>109</v>
      </c>
      <c r="D9616" s="13" t="s">
        <v>633</v>
      </c>
      <c r="E9616" t="s">
        <v>694</v>
      </c>
      <c r="F9616" s="11">
        <v>1</v>
      </c>
      <c r="G9616" s="11">
        <v>163865.54999999999</v>
      </c>
    </row>
    <row r="9617" spans="2:7" x14ac:dyDescent="0.2">
      <c r="B9617" s="32">
        <v>46087</v>
      </c>
      <c r="C9617" t="s">
        <v>109</v>
      </c>
      <c r="D9617" s="13" t="s">
        <v>633</v>
      </c>
      <c r="E9617" t="s">
        <v>156</v>
      </c>
      <c r="F9617" s="11">
        <v>3</v>
      </c>
      <c r="G9617" s="11">
        <v>138655.46</v>
      </c>
    </row>
    <row r="9618" spans="2:7" x14ac:dyDescent="0.2">
      <c r="B9618" s="32">
        <v>46087</v>
      </c>
      <c r="C9618" t="s">
        <v>109</v>
      </c>
      <c r="D9618" s="13" t="s">
        <v>633</v>
      </c>
      <c r="E9618" t="s">
        <v>681</v>
      </c>
      <c r="F9618" s="11">
        <v>1</v>
      </c>
      <c r="G9618" s="11">
        <v>84033.61</v>
      </c>
    </row>
    <row r="9619" spans="2:7" x14ac:dyDescent="0.2">
      <c r="B9619" s="32">
        <v>46087</v>
      </c>
      <c r="C9619" t="s">
        <v>109</v>
      </c>
      <c r="D9619" s="13" t="s">
        <v>633</v>
      </c>
      <c r="E9619" t="s">
        <v>144</v>
      </c>
      <c r="F9619" s="11">
        <v>3</v>
      </c>
      <c r="G9619" s="11">
        <v>67226.89</v>
      </c>
    </row>
    <row r="9620" spans="2:7" x14ac:dyDescent="0.2">
      <c r="B9620" s="32">
        <v>46087</v>
      </c>
      <c r="C9620" t="s">
        <v>109</v>
      </c>
      <c r="D9620" s="13" t="s">
        <v>633</v>
      </c>
      <c r="E9620" t="s">
        <v>286</v>
      </c>
      <c r="F9620" s="11">
        <v>1</v>
      </c>
      <c r="G9620" s="11">
        <v>58823.53</v>
      </c>
    </row>
    <row r="9621" spans="2:7" x14ac:dyDescent="0.2">
      <c r="B9621" s="32">
        <v>46087</v>
      </c>
      <c r="C9621" t="s">
        <v>109</v>
      </c>
      <c r="D9621" s="13" t="s">
        <v>633</v>
      </c>
      <c r="E9621" t="s">
        <v>195</v>
      </c>
      <c r="F9621" s="11">
        <v>1</v>
      </c>
      <c r="G9621" s="11">
        <v>50420.17</v>
      </c>
    </row>
    <row r="9622" spans="2:7" x14ac:dyDescent="0.2">
      <c r="B9622" s="32">
        <v>46087</v>
      </c>
      <c r="C9622" t="s">
        <v>109</v>
      </c>
      <c r="D9622" s="13" t="s">
        <v>633</v>
      </c>
      <c r="E9622" t="s">
        <v>234</v>
      </c>
      <c r="F9622" s="11">
        <v>1</v>
      </c>
      <c r="G9622" s="11">
        <v>37815.129999999997</v>
      </c>
    </row>
    <row r="9623" spans="2:7" x14ac:dyDescent="0.2">
      <c r="B9623" s="32">
        <v>46087</v>
      </c>
      <c r="C9623" t="s">
        <v>109</v>
      </c>
      <c r="D9623" s="13" t="s">
        <v>633</v>
      </c>
      <c r="E9623" t="s">
        <v>173</v>
      </c>
      <c r="F9623" s="11">
        <v>1</v>
      </c>
      <c r="G9623" s="11">
        <v>37815.129999999997</v>
      </c>
    </row>
    <row r="9624" spans="2:7" x14ac:dyDescent="0.2">
      <c r="B9624" s="32">
        <v>46088</v>
      </c>
      <c r="C9624" t="s">
        <v>142</v>
      </c>
      <c r="D9624" s="13" t="s">
        <v>634</v>
      </c>
      <c r="E9624" t="s">
        <v>521</v>
      </c>
      <c r="F9624" s="11">
        <v>1</v>
      </c>
      <c r="G9624" s="11">
        <v>100840.34</v>
      </c>
    </row>
    <row r="9625" spans="2:7" x14ac:dyDescent="0.2">
      <c r="B9625" s="32">
        <v>46088</v>
      </c>
      <c r="C9625" t="s">
        <v>142</v>
      </c>
      <c r="D9625" s="13" t="s">
        <v>633</v>
      </c>
      <c r="E9625" t="s">
        <v>304</v>
      </c>
      <c r="F9625" s="11">
        <v>1</v>
      </c>
      <c r="G9625" s="11">
        <v>113445.38</v>
      </c>
    </row>
    <row r="9626" spans="2:7" x14ac:dyDescent="0.2">
      <c r="B9626" s="32">
        <v>46088</v>
      </c>
      <c r="C9626" t="s">
        <v>142</v>
      </c>
      <c r="D9626" s="13" t="s">
        <v>633</v>
      </c>
      <c r="E9626" t="s">
        <v>439</v>
      </c>
      <c r="F9626" s="11">
        <v>1</v>
      </c>
      <c r="G9626" s="11">
        <v>63025.21</v>
      </c>
    </row>
    <row r="9627" spans="2:7" x14ac:dyDescent="0.2">
      <c r="B9627" s="32">
        <v>46088</v>
      </c>
      <c r="C9627" t="s">
        <v>110</v>
      </c>
      <c r="D9627" s="13" t="s">
        <v>633</v>
      </c>
      <c r="E9627" t="s">
        <v>151</v>
      </c>
      <c r="F9627" s="11">
        <v>1</v>
      </c>
      <c r="G9627" s="11">
        <v>50420.17</v>
      </c>
    </row>
    <row r="9628" spans="2:7" x14ac:dyDescent="0.2">
      <c r="B9628" s="32">
        <v>46088</v>
      </c>
      <c r="C9628" t="s">
        <v>110</v>
      </c>
      <c r="D9628" s="13" t="s">
        <v>633</v>
      </c>
      <c r="E9628" t="s">
        <v>161</v>
      </c>
      <c r="F9628" s="11">
        <v>1</v>
      </c>
      <c r="G9628" s="11">
        <v>42016.81</v>
      </c>
    </row>
    <row r="9629" spans="2:7" x14ac:dyDescent="0.2">
      <c r="B9629" s="32">
        <v>46088</v>
      </c>
      <c r="C9629" t="s">
        <v>110</v>
      </c>
      <c r="D9629" s="13" t="s">
        <v>633</v>
      </c>
      <c r="E9629" t="s">
        <v>509</v>
      </c>
      <c r="F9629" s="11">
        <v>1</v>
      </c>
      <c r="G9629" s="11">
        <v>16806.72</v>
      </c>
    </row>
    <row r="9630" spans="2:7" x14ac:dyDescent="0.2">
      <c r="B9630" s="32">
        <v>46088</v>
      </c>
      <c r="C9630" t="s">
        <v>109</v>
      </c>
      <c r="D9630" s="13" t="s">
        <v>634</v>
      </c>
      <c r="E9630" t="s">
        <v>523</v>
      </c>
      <c r="F9630" s="11">
        <v>1</v>
      </c>
      <c r="G9630" s="11">
        <v>361344.54</v>
      </c>
    </row>
    <row r="9631" spans="2:7" x14ac:dyDescent="0.2">
      <c r="B9631" s="32">
        <v>46088</v>
      </c>
      <c r="C9631" t="s">
        <v>109</v>
      </c>
      <c r="D9631" s="13" t="s">
        <v>634</v>
      </c>
      <c r="E9631" t="s">
        <v>301</v>
      </c>
      <c r="F9631" s="11">
        <v>1</v>
      </c>
      <c r="G9631" s="11">
        <v>169000</v>
      </c>
    </row>
    <row r="9632" spans="2:7" x14ac:dyDescent="0.2">
      <c r="B9632" s="32">
        <v>46088</v>
      </c>
      <c r="C9632" t="s">
        <v>109</v>
      </c>
      <c r="D9632" s="13" t="s">
        <v>634</v>
      </c>
      <c r="E9632" t="s">
        <v>199</v>
      </c>
      <c r="F9632" s="11">
        <v>1</v>
      </c>
      <c r="G9632" s="11">
        <v>84033.61</v>
      </c>
    </row>
    <row r="9633" spans="2:7" x14ac:dyDescent="0.2">
      <c r="B9633" s="32">
        <v>46088</v>
      </c>
      <c r="C9633" t="s">
        <v>109</v>
      </c>
      <c r="D9633" s="13" t="s">
        <v>634</v>
      </c>
      <c r="E9633" t="s">
        <v>446</v>
      </c>
      <c r="F9633" s="11">
        <v>1</v>
      </c>
      <c r="G9633" s="11">
        <v>75630.25</v>
      </c>
    </row>
    <row r="9634" spans="2:7" x14ac:dyDescent="0.2">
      <c r="B9634" s="32">
        <v>46088</v>
      </c>
      <c r="C9634" t="s">
        <v>109</v>
      </c>
      <c r="D9634" s="13" t="s">
        <v>634</v>
      </c>
      <c r="E9634" t="s">
        <v>488</v>
      </c>
      <c r="F9634" s="11">
        <v>1</v>
      </c>
      <c r="G9634" s="11">
        <v>74789.919999999998</v>
      </c>
    </row>
    <row r="9635" spans="2:7" x14ac:dyDescent="0.2">
      <c r="B9635" s="32">
        <v>46088</v>
      </c>
      <c r="C9635" t="s">
        <v>109</v>
      </c>
      <c r="D9635" s="13" t="s">
        <v>634</v>
      </c>
      <c r="E9635" t="s">
        <v>386</v>
      </c>
      <c r="F9635" s="11">
        <v>1</v>
      </c>
      <c r="G9635" s="11">
        <v>67226.89</v>
      </c>
    </row>
    <row r="9636" spans="2:7" x14ac:dyDescent="0.2">
      <c r="B9636" s="32">
        <v>46088</v>
      </c>
      <c r="C9636" t="s">
        <v>109</v>
      </c>
      <c r="D9636" s="13" t="s">
        <v>634</v>
      </c>
      <c r="E9636" t="s">
        <v>469</v>
      </c>
      <c r="F9636" s="11">
        <v>1</v>
      </c>
      <c r="G9636" s="11">
        <v>63025.21</v>
      </c>
    </row>
    <row r="9637" spans="2:7" x14ac:dyDescent="0.2">
      <c r="B9637" s="32">
        <v>46088</v>
      </c>
      <c r="C9637" t="s">
        <v>109</v>
      </c>
      <c r="D9637" s="13" t="s">
        <v>634</v>
      </c>
      <c r="E9637" t="s">
        <v>269</v>
      </c>
      <c r="F9637" s="11">
        <v>1</v>
      </c>
      <c r="G9637" s="11">
        <v>54621.85</v>
      </c>
    </row>
    <row r="9638" spans="2:7" x14ac:dyDescent="0.2">
      <c r="B9638" s="32">
        <v>46088</v>
      </c>
      <c r="C9638" t="s">
        <v>109</v>
      </c>
      <c r="D9638" s="13" t="s">
        <v>634</v>
      </c>
      <c r="E9638" t="s">
        <v>498</v>
      </c>
      <c r="F9638" s="11">
        <v>1</v>
      </c>
      <c r="G9638" s="11">
        <v>50420.17</v>
      </c>
    </row>
    <row r="9639" spans="2:7" x14ac:dyDescent="0.2">
      <c r="B9639" s="32">
        <v>46088</v>
      </c>
      <c r="C9639" t="s">
        <v>109</v>
      </c>
      <c r="D9639" s="13" t="s">
        <v>634</v>
      </c>
      <c r="E9639" t="s">
        <v>309</v>
      </c>
      <c r="F9639" s="11">
        <v>1</v>
      </c>
      <c r="G9639" s="11">
        <v>42016.81</v>
      </c>
    </row>
    <row r="9640" spans="2:7" x14ac:dyDescent="0.2">
      <c r="B9640" s="32">
        <v>46088</v>
      </c>
      <c r="C9640" t="s">
        <v>109</v>
      </c>
      <c r="D9640" s="13" t="s">
        <v>634</v>
      </c>
      <c r="E9640" t="s">
        <v>144</v>
      </c>
      <c r="F9640" s="11">
        <v>1</v>
      </c>
      <c r="G9640" s="11">
        <v>16806.72</v>
      </c>
    </row>
    <row r="9641" spans="2:7" x14ac:dyDescent="0.2">
      <c r="B9641" s="32">
        <v>46088</v>
      </c>
      <c r="C9641" t="s">
        <v>109</v>
      </c>
      <c r="D9641" s="13" t="s">
        <v>634</v>
      </c>
      <c r="E9641" t="s">
        <v>552</v>
      </c>
      <c r="F9641" s="11">
        <v>1</v>
      </c>
      <c r="G9641" s="11">
        <v>16806.72</v>
      </c>
    </row>
    <row r="9642" spans="2:7" x14ac:dyDescent="0.2">
      <c r="B9642" s="32">
        <v>46088</v>
      </c>
      <c r="C9642" t="s">
        <v>109</v>
      </c>
      <c r="D9642" s="13" t="s">
        <v>633</v>
      </c>
      <c r="E9642" t="s">
        <v>329</v>
      </c>
      <c r="F9642" s="11">
        <v>1</v>
      </c>
      <c r="G9642" s="11">
        <v>235294.12</v>
      </c>
    </row>
    <row r="9643" spans="2:7" x14ac:dyDescent="0.2">
      <c r="B9643" s="32">
        <v>46088</v>
      </c>
      <c r="C9643" t="s">
        <v>109</v>
      </c>
      <c r="D9643" s="13" t="s">
        <v>633</v>
      </c>
      <c r="E9643" t="s">
        <v>144</v>
      </c>
      <c r="F9643" s="11">
        <v>12</v>
      </c>
      <c r="G9643" s="11">
        <v>172268.89</v>
      </c>
    </row>
    <row r="9644" spans="2:7" x14ac:dyDescent="0.2">
      <c r="B9644" s="32">
        <v>46088</v>
      </c>
      <c r="C9644" t="s">
        <v>109</v>
      </c>
      <c r="D9644" s="13" t="s">
        <v>633</v>
      </c>
      <c r="E9644" t="s">
        <v>715</v>
      </c>
      <c r="F9644" s="11">
        <v>1</v>
      </c>
      <c r="G9644" s="11">
        <v>159663.87</v>
      </c>
    </row>
    <row r="9645" spans="2:7" x14ac:dyDescent="0.2">
      <c r="B9645" s="32">
        <v>46088</v>
      </c>
      <c r="C9645" t="s">
        <v>109</v>
      </c>
      <c r="D9645" s="13" t="s">
        <v>633</v>
      </c>
      <c r="F9645" s="11">
        <v>1</v>
      </c>
      <c r="G9645" s="11">
        <v>126050.42</v>
      </c>
    </row>
    <row r="9646" spans="2:7" x14ac:dyDescent="0.2">
      <c r="B9646" s="32">
        <v>46088</v>
      </c>
      <c r="C9646" t="s">
        <v>109</v>
      </c>
      <c r="D9646" s="13" t="s">
        <v>633</v>
      </c>
      <c r="E9646" t="s">
        <v>169</v>
      </c>
      <c r="F9646" s="11">
        <v>1</v>
      </c>
      <c r="G9646" s="11">
        <v>113445.38</v>
      </c>
    </row>
    <row r="9647" spans="2:7" x14ac:dyDescent="0.2">
      <c r="B9647" s="32">
        <v>46088</v>
      </c>
      <c r="C9647" t="s">
        <v>109</v>
      </c>
      <c r="D9647" s="13" t="s">
        <v>633</v>
      </c>
      <c r="E9647" t="s">
        <v>308</v>
      </c>
      <c r="F9647" s="11">
        <v>1</v>
      </c>
      <c r="G9647" s="11">
        <v>113445.38</v>
      </c>
    </row>
    <row r="9648" spans="2:7" x14ac:dyDescent="0.2">
      <c r="B9648" s="32">
        <v>46088</v>
      </c>
      <c r="C9648" t="s">
        <v>109</v>
      </c>
      <c r="D9648" s="13" t="s">
        <v>633</v>
      </c>
      <c r="E9648" t="s">
        <v>328</v>
      </c>
      <c r="F9648" s="11">
        <v>2</v>
      </c>
      <c r="G9648" s="11">
        <v>75630.259999999995</v>
      </c>
    </row>
    <row r="9649" spans="2:7" x14ac:dyDescent="0.2">
      <c r="B9649" s="32">
        <v>46088</v>
      </c>
      <c r="C9649" t="s">
        <v>109</v>
      </c>
      <c r="D9649" s="13" t="s">
        <v>633</v>
      </c>
      <c r="E9649" t="s">
        <v>149</v>
      </c>
      <c r="F9649" s="11">
        <v>1</v>
      </c>
      <c r="G9649" s="11">
        <v>75630.25</v>
      </c>
    </row>
    <row r="9650" spans="2:7" x14ac:dyDescent="0.2">
      <c r="B9650" s="32">
        <v>46088</v>
      </c>
      <c r="C9650" t="s">
        <v>109</v>
      </c>
      <c r="D9650" s="13" t="s">
        <v>633</v>
      </c>
      <c r="E9650" t="s">
        <v>446</v>
      </c>
      <c r="F9650" s="11">
        <v>1</v>
      </c>
      <c r="G9650" s="11">
        <v>75630.25</v>
      </c>
    </row>
    <row r="9651" spans="2:7" x14ac:dyDescent="0.2">
      <c r="B9651" s="32">
        <v>46088</v>
      </c>
      <c r="C9651" t="s">
        <v>109</v>
      </c>
      <c r="D9651" s="13" t="s">
        <v>633</v>
      </c>
      <c r="E9651" t="s">
        <v>372</v>
      </c>
      <c r="F9651" s="11">
        <v>1</v>
      </c>
      <c r="G9651" s="11">
        <v>63025.21</v>
      </c>
    </row>
    <row r="9652" spans="2:7" x14ac:dyDescent="0.2">
      <c r="B9652" s="32">
        <v>46088</v>
      </c>
      <c r="C9652" t="s">
        <v>109</v>
      </c>
      <c r="D9652" s="13" t="s">
        <v>633</v>
      </c>
      <c r="E9652" t="s">
        <v>746</v>
      </c>
      <c r="F9652" s="11">
        <v>1</v>
      </c>
      <c r="G9652" s="11">
        <v>58823.53</v>
      </c>
    </row>
    <row r="9653" spans="2:7" x14ac:dyDescent="0.2">
      <c r="B9653" s="32">
        <v>46088</v>
      </c>
      <c r="C9653" t="s">
        <v>109</v>
      </c>
      <c r="D9653" s="13" t="s">
        <v>633</v>
      </c>
      <c r="E9653" t="s">
        <v>259</v>
      </c>
      <c r="F9653" s="11">
        <v>1</v>
      </c>
      <c r="G9653" s="11">
        <v>58823.53</v>
      </c>
    </row>
    <row r="9654" spans="2:7" x14ac:dyDescent="0.2">
      <c r="B9654" s="32">
        <v>46088</v>
      </c>
      <c r="C9654" t="s">
        <v>109</v>
      </c>
      <c r="D9654" s="13" t="s">
        <v>633</v>
      </c>
      <c r="E9654" t="s">
        <v>322</v>
      </c>
      <c r="F9654" s="11">
        <v>2</v>
      </c>
      <c r="G9654" s="11">
        <v>58000</v>
      </c>
    </row>
    <row r="9655" spans="2:7" x14ac:dyDescent="0.2">
      <c r="B9655" s="32">
        <v>46088</v>
      </c>
      <c r="C9655" t="s">
        <v>109</v>
      </c>
      <c r="D9655" s="13" t="s">
        <v>633</v>
      </c>
      <c r="E9655" t="s">
        <v>303</v>
      </c>
      <c r="F9655" s="11">
        <v>1</v>
      </c>
      <c r="G9655" s="11">
        <v>54621.85</v>
      </c>
    </row>
    <row r="9656" spans="2:7" x14ac:dyDescent="0.2">
      <c r="B9656" s="32">
        <v>46088</v>
      </c>
      <c r="C9656" t="s">
        <v>109</v>
      </c>
      <c r="D9656" s="13" t="s">
        <v>633</v>
      </c>
      <c r="E9656" t="s">
        <v>179</v>
      </c>
      <c r="F9656" s="11">
        <v>1</v>
      </c>
      <c r="G9656" s="11">
        <v>50420.17</v>
      </c>
    </row>
    <row r="9657" spans="2:7" x14ac:dyDescent="0.2">
      <c r="B9657" s="32">
        <v>46088</v>
      </c>
      <c r="C9657" t="s">
        <v>109</v>
      </c>
      <c r="D9657" s="13" t="s">
        <v>633</v>
      </c>
      <c r="E9657" t="s">
        <v>265</v>
      </c>
      <c r="F9657" s="11">
        <v>1</v>
      </c>
      <c r="G9657" s="11">
        <v>50420.17</v>
      </c>
    </row>
    <row r="9658" spans="2:7" x14ac:dyDescent="0.2">
      <c r="B9658" s="32">
        <v>46088</v>
      </c>
      <c r="C9658" t="s">
        <v>109</v>
      </c>
      <c r="D9658" s="13" t="s">
        <v>633</v>
      </c>
      <c r="E9658" t="s">
        <v>151</v>
      </c>
      <c r="F9658" s="11">
        <v>1</v>
      </c>
      <c r="G9658" s="11">
        <v>50420.17</v>
      </c>
    </row>
    <row r="9659" spans="2:7" x14ac:dyDescent="0.2">
      <c r="B9659" s="32">
        <v>46088</v>
      </c>
      <c r="C9659" t="s">
        <v>109</v>
      </c>
      <c r="D9659" s="13" t="s">
        <v>633</v>
      </c>
      <c r="E9659" t="s">
        <v>156</v>
      </c>
      <c r="F9659" s="11">
        <v>1</v>
      </c>
      <c r="G9659" s="11">
        <v>46218.48</v>
      </c>
    </row>
    <row r="9660" spans="2:7" x14ac:dyDescent="0.2">
      <c r="B9660" s="32">
        <v>46088</v>
      </c>
      <c r="C9660" t="s">
        <v>109</v>
      </c>
      <c r="D9660" s="13" t="s">
        <v>633</v>
      </c>
      <c r="E9660" t="s">
        <v>291</v>
      </c>
      <c r="F9660" s="11">
        <v>1</v>
      </c>
      <c r="G9660" s="11">
        <v>45378.15</v>
      </c>
    </row>
    <row r="9661" spans="2:7" x14ac:dyDescent="0.2">
      <c r="B9661" s="32">
        <v>46088</v>
      </c>
      <c r="C9661" t="s">
        <v>109</v>
      </c>
      <c r="D9661" s="13" t="s">
        <v>633</v>
      </c>
      <c r="E9661" t="s">
        <v>330</v>
      </c>
      <c r="F9661" s="11">
        <v>1</v>
      </c>
      <c r="G9661" s="11">
        <v>37815.129999999997</v>
      </c>
    </row>
    <row r="9662" spans="2:7" x14ac:dyDescent="0.2">
      <c r="B9662" s="32">
        <v>46088</v>
      </c>
      <c r="C9662" t="s">
        <v>109</v>
      </c>
      <c r="D9662" s="13" t="s">
        <v>633</v>
      </c>
      <c r="E9662" t="s">
        <v>293</v>
      </c>
      <c r="F9662" s="11">
        <v>1</v>
      </c>
      <c r="G9662" s="11">
        <v>37815.129999999997</v>
      </c>
    </row>
    <row r="9663" spans="2:7" x14ac:dyDescent="0.2">
      <c r="B9663" s="32">
        <v>46088</v>
      </c>
      <c r="C9663" t="s">
        <v>109</v>
      </c>
      <c r="D9663" s="13" t="s">
        <v>633</v>
      </c>
      <c r="E9663" t="s">
        <v>367</v>
      </c>
      <c r="F9663" s="11">
        <v>1</v>
      </c>
      <c r="G9663" s="11">
        <v>16806.72</v>
      </c>
    </row>
    <row r="9664" spans="2:7" x14ac:dyDescent="0.2">
      <c r="B9664" s="32">
        <v>46089</v>
      </c>
      <c r="C9664" t="s">
        <v>142</v>
      </c>
      <c r="D9664" s="13" t="s">
        <v>634</v>
      </c>
      <c r="E9664" t="s">
        <v>428</v>
      </c>
      <c r="F9664" s="11">
        <v>1</v>
      </c>
      <c r="G9664" s="11">
        <v>109243.7</v>
      </c>
    </row>
    <row r="9665" spans="2:7" x14ac:dyDescent="0.2">
      <c r="B9665" s="32">
        <v>46089</v>
      </c>
      <c r="C9665" t="s">
        <v>142</v>
      </c>
      <c r="D9665" s="13" t="s">
        <v>633</v>
      </c>
      <c r="E9665" t="s">
        <v>740</v>
      </c>
      <c r="F9665" s="11">
        <v>2</v>
      </c>
      <c r="G9665" s="11">
        <v>242857.14</v>
      </c>
    </row>
    <row r="9666" spans="2:7" x14ac:dyDescent="0.2">
      <c r="B9666" s="32">
        <v>46089</v>
      </c>
      <c r="C9666" t="s">
        <v>142</v>
      </c>
      <c r="D9666" s="13" t="s">
        <v>633</v>
      </c>
      <c r="E9666" t="s">
        <v>534</v>
      </c>
      <c r="F9666" s="11">
        <v>1</v>
      </c>
      <c r="G9666" s="11">
        <v>75630.25</v>
      </c>
    </row>
    <row r="9667" spans="2:7" x14ac:dyDescent="0.2">
      <c r="B9667" s="32">
        <v>46089</v>
      </c>
      <c r="C9667" t="s">
        <v>142</v>
      </c>
      <c r="D9667" s="13" t="s">
        <v>633</v>
      </c>
      <c r="E9667" t="s">
        <v>149</v>
      </c>
      <c r="F9667" s="11">
        <v>1</v>
      </c>
      <c r="G9667" s="11">
        <v>75630.25</v>
      </c>
    </row>
    <row r="9668" spans="2:7" x14ac:dyDescent="0.2">
      <c r="B9668" s="32">
        <v>46089</v>
      </c>
      <c r="C9668" t="s">
        <v>142</v>
      </c>
      <c r="D9668" s="13" t="s">
        <v>633</v>
      </c>
      <c r="E9668" t="s">
        <v>153</v>
      </c>
      <c r="F9668" s="11">
        <v>1</v>
      </c>
      <c r="G9668" s="11">
        <v>46218.49</v>
      </c>
    </row>
    <row r="9669" spans="2:7" x14ac:dyDescent="0.2">
      <c r="B9669" s="32">
        <v>46089</v>
      </c>
      <c r="C9669" t="s">
        <v>109</v>
      </c>
      <c r="D9669" s="13" t="s">
        <v>634</v>
      </c>
      <c r="F9669" s="11">
        <v>2</v>
      </c>
      <c r="G9669" s="11">
        <v>252100.84</v>
      </c>
    </row>
    <row r="9670" spans="2:7" x14ac:dyDescent="0.2">
      <c r="B9670" s="32">
        <v>46089</v>
      </c>
      <c r="C9670" t="s">
        <v>109</v>
      </c>
      <c r="D9670" s="13" t="s">
        <v>633</v>
      </c>
      <c r="E9670" t="s">
        <v>145</v>
      </c>
      <c r="F9670" s="11">
        <v>11</v>
      </c>
      <c r="G9670" s="11">
        <v>323529.40999999997</v>
      </c>
    </row>
    <row r="9671" spans="2:7" x14ac:dyDescent="0.2">
      <c r="B9671" s="32">
        <v>46089</v>
      </c>
      <c r="C9671" t="s">
        <v>109</v>
      </c>
      <c r="D9671" s="13" t="s">
        <v>633</v>
      </c>
      <c r="F9671" s="11">
        <v>2</v>
      </c>
      <c r="G9671" s="11">
        <v>252100.84</v>
      </c>
    </row>
    <row r="9672" spans="2:7" x14ac:dyDescent="0.2">
      <c r="B9672" s="32">
        <v>46089</v>
      </c>
      <c r="C9672" t="s">
        <v>109</v>
      </c>
      <c r="D9672" s="13" t="s">
        <v>633</v>
      </c>
      <c r="E9672" t="s">
        <v>330</v>
      </c>
      <c r="F9672" s="11">
        <v>3</v>
      </c>
      <c r="G9672" s="11">
        <v>113445.38</v>
      </c>
    </row>
    <row r="9673" spans="2:7" x14ac:dyDescent="0.2">
      <c r="B9673" s="32">
        <v>46089</v>
      </c>
      <c r="C9673" t="s">
        <v>109</v>
      </c>
      <c r="D9673" s="13" t="s">
        <v>633</v>
      </c>
      <c r="E9673" t="s">
        <v>675</v>
      </c>
      <c r="F9673" s="11">
        <v>1</v>
      </c>
      <c r="G9673" s="11">
        <v>98000</v>
      </c>
    </row>
    <row r="9674" spans="2:7" x14ac:dyDescent="0.2">
      <c r="B9674" s="32">
        <v>46089</v>
      </c>
      <c r="C9674" t="s">
        <v>109</v>
      </c>
      <c r="D9674" s="13" t="s">
        <v>633</v>
      </c>
      <c r="E9674" t="s">
        <v>148</v>
      </c>
      <c r="F9674" s="11">
        <v>2</v>
      </c>
      <c r="G9674" s="11">
        <v>75630.259999999995</v>
      </c>
    </row>
    <row r="9675" spans="2:7" x14ac:dyDescent="0.2">
      <c r="B9675" s="32">
        <v>46089</v>
      </c>
      <c r="C9675" t="s">
        <v>109</v>
      </c>
      <c r="D9675" s="13" t="s">
        <v>633</v>
      </c>
      <c r="E9675" t="s">
        <v>258</v>
      </c>
      <c r="F9675" s="11">
        <v>1</v>
      </c>
      <c r="G9675" s="11">
        <v>58823.53</v>
      </c>
    </row>
    <row r="9676" spans="2:7" x14ac:dyDescent="0.2">
      <c r="B9676" s="32">
        <v>46089</v>
      </c>
      <c r="C9676" t="s">
        <v>109</v>
      </c>
      <c r="D9676" s="13" t="s">
        <v>633</v>
      </c>
      <c r="E9676" t="s">
        <v>144</v>
      </c>
      <c r="F9676" s="11">
        <v>3</v>
      </c>
      <c r="G9676" s="11">
        <v>47058.82</v>
      </c>
    </row>
    <row r="9677" spans="2:7" x14ac:dyDescent="0.2">
      <c r="B9677" s="32">
        <v>46089</v>
      </c>
      <c r="C9677" t="s">
        <v>109</v>
      </c>
      <c r="D9677" s="13" t="s">
        <v>633</v>
      </c>
      <c r="E9677" t="s">
        <v>234</v>
      </c>
      <c r="F9677" s="11">
        <v>1</v>
      </c>
      <c r="G9677" s="11">
        <v>37815.120000000003</v>
      </c>
    </row>
    <row r="9678" spans="2:7" x14ac:dyDescent="0.2">
      <c r="B9678" s="32">
        <v>46089</v>
      </c>
      <c r="C9678" t="s">
        <v>109</v>
      </c>
      <c r="D9678" s="13" t="s">
        <v>633</v>
      </c>
      <c r="E9678" t="s">
        <v>328</v>
      </c>
      <c r="F9678" s="11">
        <v>1</v>
      </c>
      <c r="G9678" s="11">
        <v>37815.120000000003</v>
      </c>
    </row>
    <row r="9679" spans="2:7" x14ac:dyDescent="0.2">
      <c r="B9679" s="32">
        <v>46089</v>
      </c>
      <c r="C9679" t="s">
        <v>109</v>
      </c>
      <c r="D9679" s="13" t="s">
        <v>633</v>
      </c>
      <c r="E9679" t="s">
        <v>327</v>
      </c>
      <c r="F9679" s="11">
        <v>1</v>
      </c>
      <c r="G9679" s="11">
        <v>35000</v>
      </c>
    </row>
    <row r="9680" spans="2:7" x14ac:dyDescent="0.2">
      <c r="B9680" s="32">
        <v>46090</v>
      </c>
      <c r="C9680" t="s">
        <v>142</v>
      </c>
      <c r="D9680" s="13" t="s">
        <v>634</v>
      </c>
      <c r="E9680" t="s">
        <v>234</v>
      </c>
      <c r="F9680" s="11">
        <v>2</v>
      </c>
      <c r="G9680" s="11">
        <v>75630.25</v>
      </c>
    </row>
    <row r="9681" spans="2:7" x14ac:dyDescent="0.2">
      <c r="B9681" s="32">
        <v>46090</v>
      </c>
      <c r="C9681" t="s">
        <v>142</v>
      </c>
      <c r="D9681" s="13" t="s">
        <v>634</v>
      </c>
      <c r="E9681" t="s">
        <v>267</v>
      </c>
      <c r="F9681" s="11">
        <v>1</v>
      </c>
      <c r="G9681" s="11">
        <v>58823.53</v>
      </c>
    </row>
    <row r="9682" spans="2:7" x14ac:dyDescent="0.2">
      <c r="B9682" s="32">
        <v>46090</v>
      </c>
      <c r="C9682" t="s">
        <v>142</v>
      </c>
      <c r="D9682" s="13" t="s">
        <v>634</v>
      </c>
      <c r="E9682" t="s">
        <v>497</v>
      </c>
      <c r="F9682" s="11">
        <v>1</v>
      </c>
      <c r="G9682" s="11">
        <v>58823.53</v>
      </c>
    </row>
    <row r="9683" spans="2:7" x14ac:dyDescent="0.2">
      <c r="B9683" s="32">
        <v>46090</v>
      </c>
      <c r="C9683" t="s">
        <v>142</v>
      </c>
      <c r="D9683" s="13" t="s">
        <v>633</v>
      </c>
      <c r="E9683" t="s">
        <v>747</v>
      </c>
      <c r="F9683" s="11">
        <v>2</v>
      </c>
      <c r="G9683" s="11">
        <v>554621.85</v>
      </c>
    </row>
    <row r="9684" spans="2:7" x14ac:dyDescent="0.2">
      <c r="B9684" s="32">
        <v>46090</v>
      </c>
      <c r="C9684" t="s">
        <v>142</v>
      </c>
      <c r="D9684" s="13" t="s">
        <v>633</v>
      </c>
      <c r="E9684" t="s">
        <v>435</v>
      </c>
      <c r="F9684" s="11">
        <v>1</v>
      </c>
      <c r="G9684" s="11">
        <v>109243.7</v>
      </c>
    </row>
    <row r="9685" spans="2:7" x14ac:dyDescent="0.2">
      <c r="B9685" s="32">
        <v>46090</v>
      </c>
      <c r="C9685" t="s">
        <v>110</v>
      </c>
      <c r="D9685" s="13" t="s">
        <v>633</v>
      </c>
      <c r="E9685" t="s">
        <v>166</v>
      </c>
      <c r="F9685" s="11">
        <v>2</v>
      </c>
      <c r="G9685" s="11">
        <v>75187.960000000006</v>
      </c>
    </row>
    <row r="9686" spans="2:7" x14ac:dyDescent="0.2">
      <c r="B9686" s="32">
        <v>46090</v>
      </c>
      <c r="C9686" t="s">
        <v>110</v>
      </c>
      <c r="D9686" s="13" t="s">
        <v>633</v>
      </c>
      <c r="E9686" t="s">
        <v>357</v>
      </c>
      <c r="F9686" s="11">
        <v>1</v>
      </c>
      <c r="G9686" s="11">
        <v>67669.179999999993</v>
      </c>
    </row>
    <row r="9687" spans="2:7" x14ac:dyDescent="0.2">
      <c r="B9687" s="32">
        <v>46090</v>
      </c>
      <c r="C9687" t="s">
        <v>110</v>
      </c>
      <c r="D9687" s="13" t="s">
        <v>633</v>
      </c>
      <c r="E9687" t="s">
        <v>466</v>
      </c>
      <c r="F9687" s="11">
        <v>1</v>
      </c>
      <c r="G9687" s="11">
        <v>37815.129999999997</v>
      </c>
    </row>
    <row r="9688" spans="2:7" x14ac:dyDescent="0.2">
      <c r="B9688" s="32">
        <v>46090</v>
      </c>
      <c r="C9688" t="s">
        <v>110</v>
      </c>
      <c r="D9688" s="13" t="s">
        <v>633</v>
      </c>
      <c r="E9688" t="s">
        <v>456</v>
      </c>
      <c r="F9688" s="11">
        <v>1</v>
      </c>
      <c r="G9688" s="11">
        <v>16806.72</v>
      </c>
    </row>
    <row r="9689" spans="2:7" x14ac:dyDescent="0.2">
      <c r="B9689" s="32">
        <v>46090</v>
      </c>
      <c r="C9689" t="s">
        <v>109</v>
      </c>
      <c r="D9689" s="13" t="s">
        <v>634</v>
      </c>
      <c r="E9689" t="s">
        <v>151</v>
      </c>
      <c r="F9689" s="11">
        <v>1</v>
      </c>
      <c r="G9689" s="11">
        <v>50420.17</v>
      </c>
    </row>
    <row r="9690" spans="2:7" x14ac:dyDescent="0.2">
      <c r="B9690" s="32">
        <v>46090</v>
      </c>
      <c r="C9690" t="s">
        <v>109</v>
      </c>
      <c r="D9690" s="13" t="s">
        <v>634</v>
      </c>
      <c r="E9690" t="s">
        <v>196</v>
      </c>
      <c r="F9690" s="11">
        <v>1</v>
      </c>
      <c r="G9690" s="11">
        <v>46218.49</v>
      </c>
    </row>
    <row r="9691" spans="2:7" x14ac:dyDescent="0.2">
      <c r="B9691" s="32">
        <v>46090</v>
      </c>
      <c r="C9691" t="s">
        <v>109</v>
      </c>
      <c r="D9691" s="13" t="s">
        <v>634</v>
      </c>
      <c r="E9691" t="s">
        <v>145</v>
      </c>
      <c r="F9691" s="11">
        <v>1</v>
      </c>
      <c r="G9691" s="11">
        <v>29411.759999999998</v>
      </c>
    </row>
    <row r="9692" spans="2:7" x14ac:dyDescent="0.2">
      <c r="B9692" s="32">
        <v>46090</v>
      </c>
      <c r="C9692" t="s">
        <v>109</v>
      </c>
      <c r="D9692" s="13" t="s">
        <v>634</v>
      </c>
      <c r="E9692" t="s">
        <v>144</v>
      </c>
      <c r="F9692" s="11">
        <v>1</v>
      </c>
      <c r="G9692" s="11">
        <v>16806.72</v>
      </c>
    </row>
    <row r="9693" spans="2:7" x14ac:dyDescent="0.2">
      <c r="B9693" s="32">
        <v>46090</v>
      </c>
      <c r="C9693" t="s">
        <v>109</v>
      </c>
      <c r="D9693" s="13" t="s">
        <v>633</v>
      </c>
      <c r="E9693" t="s">
        <v>255</v>
      </c>
      <c r="F9693" s="11">
        <v>2</v>
      </c>
      <c r="G9693" s="11">
        <v>277310.93</v>
      </c>
    </row>
    <row r="9694" spans="2:7" x14ac:dyDescent="0.2">
      <c r="B9694" s="32">
        <v>46090</v>
      </c>
      <c r="C9694" t="s">
        <v>109</v>
      </c>
      <c r="D9694" s="13" t="s">
        <v>633</v>
      </c>
      <c r="E9694" t="s">
        <v>713</v>
      </c>
      <c r="F9694" s="11">
        <v>1</v>
      </c>
      <c r="G9694" s="11">
        <v>239495.8</v>
      </c>
    </row>
    <row r="9695" spans="2:7" x14ac:dyDescent="0.2">
      <c r="B9695" s="32">
        <v>46090</v>
      </c>
      <c r="C9695" t="s">
        <v>109</v>
      </c>
      <c r="D9695" s="13" t="s">
        <v>633</v>
      </c>
      <c r="E9695" t="s">
        <v>152</v>
      </c>
      <c r="F9695" s="11">
        <v>1</v>
      </c>
      <c r="G9695" s="11">
        <v>84033.61</v>
      </c>
    </row>
    <row r="9696" spans="2:7" x14ac:dyDescent="0.2">
      <c r="B9696" s="32">
        <v>46090</v>
      </c>
      <c r="C9696" t="s">
        <v>109</v>
      </c>
      <c r="D9696" s="13" t="s">
        <v>633</v>
      </c>
      <c r="E9696" t="s">
        <v>148</v>
      </c>
      <c r="F9696" s="11">
        <v>2</v>
      </c>
      <c r="G9696" s="11">
        <v>75630.259999999995</v>
      </c>
    </row>
    <row r="9697" spans="2:7" x14ac:dyDescent="0.2">
      <c r="B9697" s="32">
        <v>46090</v>
      </c>
      <c r="C9697" t="s">
        <v>109</v>
      </c>
      <c r="D9697" s="13" t="s">
        <v>633</v>
      </c>
      <c r="E9697" t="s">
        <v>156</v>
      </c>
      <c r="F9697" s="11">
        <v>1</v>
      </c>
      <c r="G9697" s="11">
        <v>46218.49</v>
      </c>
    </row>
    <row r="9698" spans="2:7" x14ac:dyDescent="0.2">
      <c r="B9698" s="32">
        <v>46090</v>
      </c>
      <c r="C9698" t="s">
        <v>109</v>
      </c>
      <c r="D9698" s="13" t="s">
        <v>633</v>
      </c>
      <c r="E9698" t="s">
        <v>456</v>
      </c>
      <c r="F9698" s="11">
        <v>1</v>
      </c>
      <c r="G9698" s="11">
        <v>16806.72</v>
      </c>
    </row>
    <row r="9699" spans="2:7" x14ac:dyDescent="0.2">
      <c r="B9699" s="32">
        <v>46090</v>
      </c>
      <c r="C9699" t="s">
        <v>109</v>
      </c>
      <c r="D9699" s="13" t="s">
        <v>633</v>
      </c>
      <c r="E9699" t="s">
        <v>333</v>
      </c>
      <c r="F9699" s="11">
        <v>1</v>
      </c>
      <c r="G9699" s="11">
        <v>16806.72</v>
      </c>
    </row>
    <row r="9700" spans="2:7" x14ac:dyDescent="0.2">
      <c r="B9700" s="32">
        <v>46091</v>
      </c>
      <c r="C9700" t="s">
        <v>142</v>
      </c>
      <c r="D9700" s="13" t="s">
        <v>634</v>
      </c>
      <c r="E9700" t="s">
        <v>476</v>
      </c>
      <c r="F9700" s="11">
        <v>2</v>
      </c>
      <c r="G9700" s="11">
        <v>226890.76</v>
      </c>
    </row>
    <row r="9701" spans="2:7" x14ac:dyDescent="0.2">
      <c r="B9701" s="32">
        <v>46091</v>
      </c>
      <c r="C9701" t="s">
        <v>142</v>
      </c>
      <c r="D9701" s="13" t="s">
        <v>634</v>
      </c>
      <c r="E9701" t="s">
        <v>233</v>
      </c>
      <c r="F9701" s="11">
        <v>1</v>
      </c>
      <c r="G9701" s="11">
        <v>63025.21</v>
      </c>
    </row>
    <row r="9702" spans="2:7" x14ac:dyDescent="0.2">
      <c r="B9702" s="32">
        <v>46091</v>
      </c>
      <c r="C9702" t="s">
        <v>142</v>
      </c>
      <c r="D9702" s="13" t="s">
        <v>633</v>
      </c>
      <c r="E9702" t="s">
        <v>779</v>
      </c>
      <c r="F9702" s="11">
        <v>1</v>
      </c>
      <c r="G9702" s="11">
        <v>277310.92</v>
      </c>
    </row>
    <row r="9703" spans="2:7" x14ac:dyDescent="0.2">
      <c r="B9703" s="32">
        <v>46091</v>
      </c>
      <c r="C9703" t="s">
        <v>142</v>
      </c>
      <c r="D9703" s="13" t="s">
        <v>633</v>
      </c>
      <c r="E9703" t="s">
        <v>154</v>
      </c>
      <c r="F9703" s="11">
        <v>1</v>
      </c>
      <c r="G9703" s="11">
        <v>113445.38</v>
      </c>
    </row>
    <row r="9704" spans="2:7" x14ac:dyDescent="0.2">
      <c r="B9704" s="32">
        <v>46091</v>
      </c>
      <c r="C9704" t="s">
        <v>142</v>
      </c>
      <c r="D9704" s="13" t="s">
        <v>633</v>
      </c>
      <c r="E9704" t="s">
        <v>410</v>
      </c>
      <c r="F9704" s="11">
        <v>1</v>
      </c>
      <c r="G9704" s="11">
        <v>100840.34</v>
      </c>
    </row>
    <row r="9705" spans="2:7" x14ac:dyDescent="0.2">
      <c r="B9705" s="32">
        <v>46091</v>
      </c>
      <c r="C9705" t="s">
        <v>142</v>
      </c>
      <c r="D9705" s="13" t="s">
        <v>633</v>
      </c>
      <c r="E9705" t="s">
        <v>251</v>
      </c>
      <c r="F9705" s="11">
        <v>1</v>
      </c>
      <c r="G9705" s="11">
        <v>92436.97</v>
      </c>
    </row>
    <row r="9706" spans="2:7" x14ac:dyDescent="0.2">
      <c r="B9706" s="32">
        <v>46091</v>
      </c>
      <c r="C9706" t="s">
        <v>142</v>
      </c>
      <c r="D9706" s="13" t="s">
        <v>633</v>
      </c>
      <c r="E9706" t="s">
        <v>533</v>
      </c>
      <c r="F9706" s="11">
        <v>1</v>
      </c>
      <c r="G9706" s="11">
        <v>63025.21</v>
      </c>
    </row>
    <row r="9707" spans="2:7" x14ac:dyDescent="0.2">
      <c r="B9707" s="32">
        <v>46091</v>
      </c>
      <c r="C9707" t="s">
        <v>142</v>
      </c>
      <c r="D9707" s="13" t="s">
        <v>633</v>
      </c>
      <c r="E9707" t="s">
        <v>281</v>
      </c>
      <c r="F9707" s="11">
        <v>1</v>
      </c>
      <c r="G9707" s="11">
        <v>63025.21</v>
      </c>
    </row>
    <row r="9708" spans="2:7" x14ac:dyDescent="0.2">
      <c r="B9708" s="32">
        <v>46091</v>
      </c>
      <c r="C9708" t="s">
        <v>142</v>
      </c>
      <c r="D9708" s="13" t="s">
        <v>633</v>
      </c>
      <c r="E9708" t="s">
        <v>213</v>
      </c>
      <c r="F9708" s="11">
        <v>1</v>
      </c>
      <c r="G9708" s="11">
        <v>63025.21</v>
      </c>
    </row>
    <row r="9709" spans="2:7" x14ac:dyDescent="0.2">
      <c r="B9709" s="32">
        <v>46091</v>
      </c>
      <c r="C9709" t="s">
        <v>142</v>
      </c>
      <c r="D9709" s="13" t="s">
        <v>633</v>
      </c>
      <c r="E9709" t="s">
        <v>494</v>
      </c>
      <c r="F9709" s="11">
        <v>1</v>
      </c>
      <c r="G9709" s="11">
        <v>63025.21</v>
      </c>
    </row>
    <row r="9710" spans="2:7" x14ac:dyDescent="0.2">
      <c r="B9710" s="32">
        <v>46091</v>
      </c>
      <c r="C9710" t="s">
        <v>110</v>
      </c>
      <c r="D9710" s="13"/>
      <c r="E9710" t="s">
        <v>166</v>
      </c>
      <c r="F9710" s="11">
        <v>1</v>
      </c>
      <c r="G9710" s="11">
        <v>42016.81</v>
      </c>
    </row>
    <row r="9711" spans="2:7" x14ac:dyDescent="0.2">
      <c r="B9711" s="32">
        <v>46091</v>
      </c>
      <c r="C9711" t="s">
        <v>109</v>
      </c>
      <c r="D9711" s="13"/>
      <c r="E9711" t="s">
        <v>694</v>
      </c>
      <c r="F9711" s="11">
        <v>1</v>
      </c>
      <c r="G9711" s="11">
        <v>142857.14000000001</v>
      </c>
    </row>
    <row r="9712" spans="2:7" x14ac:dyDescent="0.2">
      <c r="B9712" s="32">
        <v>46091</v>
      </c>
      <c r="C9712" t="s">
        <v>109</v>
      </c>
      <c r="D9712" s="13"/>
      <c r="E9712" t="s">
        <v>670</v>
      </c>
      <c r="F9712" s="11">
        <v>1</v>
      </c>
      <c r="G9712" s="11">
        <v>0</v>
      </c>
    </row>
    <row r="9713" spans="2:7" x14ac:dyDescent="0.2">
      <c r="B9713" s="32">
        <v>46091</v>
      </c>
      <c r="C9713" t="s">
        <v>109</v>
      </c>
      <c r="D9713" s="13" t="s">
        <v>634</v>
      </c>
      <c r="E9713" t="s">
        <v>558</v>
      </c>
      <c r="F9713" s="11">
        <v>1</v>
      </c>
      <c r="G9713" s="11">
        <v>84033.61</v>
      </c>
    </row>
    <row r="9714" spans="2:7" x14ac:dyDescent="0.2">
      <c r="B9714" s="32">
        <v>46091</v>
      </c>
      <c r="C9714" t="s">
        <v>109</v>
      </c>
      <c r="D9714" s="13" t="s">
        <v>633</v>
      </c>
      <c r="E9714" t="s">
        <v>226</v>
      </c>
      <c r="F9714" s="11">
        <v>1</v>
      </c>
      <c r="G9714" s="11">
        <v>121848.74</v>
      </c>
    </row>
    <row r="9715" spans="2:7" x14ac:dyDescent="0.2">
      <c r="B9715" s="32">
        <v>46091</v>
      </c>
      <c r="C9715" t="s">
        <v>109</v>
      </c>
      <c r="D9715" s="13" t="s">
        <v>633</v>
      </c>
      <c r="E9715" t="s">
        <v>679</v>
      </c>
      <c r="F9715" s="11">
        <v>1</v>
      </c>
      <c r="G9715" s="11">
        <v>54621.85</v>
      </c>
    </row>
    <row r="9716" spans="2:7" x14ac:dyDescent="0.2">
      <c r="B9716" s="32">
        <v>46091</v>
      </c>
      <c r="C9716" t="s">
        <v>109</v>
      </c>
      <c r="D9716" s="13" t="s">
        <v>633</v>
      </c>
      <c r="E9716" t="s">
        <v>327</v>
      </c>
      <c r="F9716" s="11">
        <v>1</v>
      </c>
      <c r="G9716" s="11">
        <v>35000</v>
      </c>
    </row>
    <row r="9717" spans="2:7" x14ac:dyDescent="0.2">
      <c r="B9717" s="32">
        <v>46092</v>
      </c>
      <c r="C9717" t="s">
        <v>108</v>
      </c>
      <c r="D9717" s="13" t="s">
        <v>634</v>
      </c>
      <c r="E9717" t="s">
        <v>460</v>
      </c>
      <c r="F9717" s="11">
        <v>200</v>
      </c>
      <c r="G9717" s="11">
        <v>11344537.82</v>
      </c>
    </row>
    <row r="9718" spans="2:7" x14ac:dyDescent="0.2">
      <c r="B9718" s="32">
        <v>46092</v>
      </c>
      <c r="C9718" t="s">
        <v>108</v>
      </c>
      <c r="D9718" s="13" t="s">
        <v>634</v>
      </c>
      <c r="E9718" t="s">
        <v>461</v>
      </c>
      <c r="F9718" s="11">
        <v>200</v>
      </c>
      <c r="G9718" s="11">
        <v>11344537.810000001</v>
      </c>
    </row>
    <row r="9719" spans="2:7" x14ac:dyDescent="0.2">
      <c r="B9719" s="32">
        <v>46092</v>
      </c>
      <c r="C9719" t="s">
        <v>108</v>
      </c>
      <c r="D9719" s="13" t="s">
        <v>634</v>
      </c>
      <c r="E9719" t="s">
        <v>201</v>
      </c>
      <c r="F9719" s="11">
        <v>200</v>
      </c>
      <c r="G9719" s="11">
        <v>630252.1</v>
      </c>
    </row>
    <row r="9720" spans="2:7" x14ac:dyDescent="0.2">
      <c r="B9720" s="32">
        <v>46092</v>
      </c>
      <c r="C9720" t="s">
        <v>142</v>
      </c>
      <c r="D9720" s="13" t="s">
        <v>634</v>
      </c>
      <c r="E9720" t="s">
        <v>440</v>
      </c>
      <c r="F9720" s="11">
        <v>1</v>
      </c>
      <c r="G9720" s="11">
        <v>63025.21</v>
      </c>
    </row>
    <row r="9721" spans="2:7" x14ac:dyDescent="0.2">
      <c r="B9721" s="32">
        <v>46092</v>
      </c>
      <c r="C9721" t="s">
        <v>142</v>
      </c>
      <c r="D9721" s="13" t="s">
        <v>634</v>
      </c>
      <c r="E9721" t="s">
        <v>233</v>
      </c>
      <c r="F9721" s="11">
        <v>1</v>
      </c>
      <c r="G9721" s="11">
        <v>0</v>
      </c>
    </row>
    <row r="9722" spans="2:7" x14ac:dyDescent="0.2">
      <c r="B9722" s="32">
        <v>46092</v>
      </c>
      <c r="C9722" t="s">
        <v>142</v>
      </c>
      <c r="D9722" s="13" t="s">
        <v>633</v>
      </c>
      <c r="E9722" t="s">
        <v>766</v>
      </c>
      <c r="F9722" s="11">
        <v>1</v>
      </c>
      <c r="G9722" s="11">
        <v>268907.56</v>
      </c>
    </row>
    <row r="9723" spans="2:7" x14ac:dyDescent="0.2">
      <c r="B9723" s="32">
        <v>46092</v>
      </c>
      <c r="C9723" t="s">
        <v>142</v>
      </c>
      <c r="D9723" s="13" t="s">
        <v>633</v>
      </c>
      <c r="E9723" t="s">
        <v>660</v>
      </c>
      <c r="F9723" s="11">
        <v>1</v>
      </c>
      <c r="G9723" s="11">
        <v>252100.85</v>
      </c>
    </row>
    <row r="9724" spans="2:7" x14ac:dyDescent="0.2">
      <c r="B9724" s="32">
        <v>46092</v>
      </c>
      <c r="C9724" t="s">
        <v>142</v>
      </c>
      <c r="D9724" s="13" t="s">
        <v>633</v>
      </c>
      <c r="E9724" t="s">
        <v>754</v>
      </c>
      <c r="F9724" s="11">
        <v>1</v>
      </c>
      <c r="G9724" s="11">
        <v>109243.7</v>
      </c>
    </row>
    <row r="9725" spans="2:7" x14ac:dyDescent="0.2">
      <c r="B9725" s="32">
        <v>46092</v>
      </c>
      <c r="C9725" t="s">
        <v>142</v>
      </c>
      <c r="D9725" s="13" t="s">
        <v>633</v>
      </c>
      <c r="E9725" t="s">
        <v>285</v>
      </c>
      <c r="F9725" s="11">
        <v>1</v>
      </c>
      <c r="G9725" s="11">
        <v>92436.97</v>
      </c>
    </row>
    <row r="9726" spans="2:7" x14ac:dyDescent="0.2">
      <c r="B9726" s="32">
        <v>46092</v>
      </c>
      <c r="C9726" t="s">
        <v>142</v>
      </c>
      <c r="D9726" s="13" t="s">
        <v>633</v>
      </c>
      <c r="E9726" t="s">
        <v>336</v>
      </c>
      <c r="F9726" s="11">
        <v>1</v>
      </c>
      <c r="G9726" s="11">
        <v>75630.25</v>
      </c>
    </row>
    <row r="9727" spans="2:7" x14ac:dyDescent="0.2">
      <c r="B9727" s="32">
        <v>46092</v>
      </c>
      <c r="C9727" t="s">
        <v>142</v>
      </c>
      <c r="D9727" s="13" t="s">
        <v>633</v>
      </c>
      <c r="E9727" t="s">
        <v>283</v>
      </c>
      <c r="F9727" s="11">
        <v>1</v>
      </c>
      <c r="G9727" s="11">
        <v>54621.85</v>
      </c>
    </row>
    <row r="9728" spans="2:7" x14ac:dyDescent="0.2">
      <c r="B9728" s="32">
        <v>46092</v>
      </c>
      <c r="C9728" t="s">
        <v>142</v>
      </c>
      <c r="D9728" s="13" t="s">
        <v>633</v>
      </c>
      <c r="E9728" t="s">
        <v>292</v>
      </c>
      <c r="F9728" s="11">
        <v>1</v>
      </c>
      <c r="G9728" s="11">
        <v>54621.85</v>
      </c>
    </row>
    <row r="9729" spans="2:7" x14ac:dyDescent="0.2">
      <c r="B9729" s="32">
        <v>46092</v>
      </c>
      <c r="C9729" t="s">
        <v>142</v>
      </c>
      <c r="D9729" s="13" t="s">
        <v>633</v>
      </c>
      <c r="E9729" t="s">
        <v>540</v>
      </c>
      <c r="F9729" s="11">
        <v>1</v>
      </c>
      <c r="G9729" s="11">
        <v>50420.17</v>
      </c>
    </row>
    <row r="9730" spans="2:7" x14ac:dyDescent="0.2">
      <c r="B9730" s="32">
        <v>46092</v>
      </c>
      <c r="C9730" t="s">
        <v>142</v>
      </c>
      <c r="D9730" s="13" t="s">
        <v>633</v>
      </c>
      <c r="E9730" t="s">
        <v>753</v>
      </c>
      <c r="F9730" s="11">
        <v>1</v>
      </c>
      <c r="G9730" s="11">
        <v>50420.17</v>
      </c>
    </row>
    <row r="9731" spans="2:7" x14ac:dyDescent="0.2">
      <c r="B9731" s="32">
        <v>46092</v>
      </c>
      <c r="C9731" t="s">
        <v>109</v>
      </c>
      <c r="D9731" s="13" t="s">
        <v>634</v>
      </c>
      <c r="F9731" s="11">
        <v>1</v>
      </c>
      <c r="G9731" s="11">
        <v>126050.42</v>
      </c>
    </row>
    <row r="9732" spans="2:7" x14ac:dyDescent="0.2">
      <c r="B9732" s="32">
        <v>46092</v>
      </c>
      <c r="C9732" t="s">
        <v>109</v>
      </c>
      <c r="D9732" s="13" t="s">
        <v>634</v>
      </c>
      <c r="E9732" t="s">
        <v>420</v>
      </c>
      <c r="F9732" s="11">
        <v>1</v>
      </c>
      <c r="G9732" s="11">
        <v>113445.38</v>
      </c>
    </row>
    <row r="9733" spans="2:7" x14ac:dyDescent="0.2">
      <c r="B9733" s="32">
        <v>46092</v>
      </c>
      <c r="C9733" t="s">
        <v>109</v>
      </c>
      <c r="D9733" s="13" t="s">
        <v>634</v>
      </c>
      <c r="E9733" t="s">
        <v>227</v>
      </c>
      <c r="F9733" s="11">
        <v>1</v>
      </c>
      <c r="G9733" s="11">
        <v>113445.38</v>
      </c>
    </row>
    <row r="9734" spans="2:7" x14ac:dyDescent="0.2">
      <c r="B9734" s="32">
        <v>46092</v>
      </c>
      <c r="C9734" t="s">
        <v>109</v>
      </c>
      <c r="D9734" s="13" t="s">
        <v>634</v>
      </c>
      <c r="E9734" t="s">
        <v>167</v>
      </c>
      <c r="F9734" s="11">
        <v>1</v>
      </c>
      <c r="G9734" s="11">
        <v>113445.38</v>
      </c>
    </row>
    <row r="9735" spans="2:7" x14ac:dyDescent="0.2">
      <c r="B9735" s="32">
        <v>46092</v>
      </c>
      <c r="C9735" t="s">
        <v>109</v>
      </c>
      <c r="D9735" s="13" t="s">
        <v>634</v>
      </c>
      <c r="E9735" t="s">
        <v>144</v>
      </c>
      <c r="F9735" s="11">
        <v>5</v>
      </c>
      <c r="G9735" s="11">
        <v>109243.71</v>
      </c>
    </row>
    <row r="9736" spans="2:7" x14ac:dyDescent="0.2">
      <c r="B9736" s="32">
        <v>46092</v>
      </c>
      <c r="C9736" t="s">
        <v>109</v>
      </c>
      <c r="D9736" s="13" t="s">
        <v>634</v>
      </c>
      <c r="E9736" t="s">
        <v>501</v>
      </c>
      <c r="F9736" s="11">
        <v>1</v>
      </c>
      <c r="G9736" s="11">
        <v>100000</v>
      </c>
    </row>
    <row r="9737" spans="2:7" x14ac:dyDescent="0.2">
      <c r="B9737" s="32">
        <v>46092</v>
      </c>
      <c r="C9737" t="s">
        <v>109</v>
      </c>
      <c r="D9737" s="13" t="s">
        <v>634</v>
      </c>
      <c r="E9737" t="s">
        <v>249</v>
      </c>
      <c r="F9737" s="11">
        <v>1</v>
      </c>
      <c r="G9737" s="11">
        <v>84033.61</v>
      </c>
    </row>
    <row r="9738" spans="2:7" x14ac:dyDescent="0.2">
      <c r="B9738" s="32">
        <v>46092</v>
      </c>
      <c r="C9738" t="s">
        <v>109</v>
      </c>
      <c r="D9738" s="13" t="s">
        <v>634</v>
      </c>
      <c r="E9738" t="s">
        <v>467</v>
      </c>
      <c r="F9738" s="11">
        <v>1</v>
      </c>
      <c r="G9738" s="11">
        <v>84033.61</v>
      </c>
    </row>
    <row r="9739" spans="2:7" x14ac:dyDescent="0.2">
      <c r="B9739" s="32">
        <v>46092</v>
      </c>
      <c r="C9739" t="s">
        <v>109</v>
      </c>
      <c r="D9739" s="13" t="s">
        <v>634</v>
      </c>
      <c r="E9739" t="s">
        <v>340</v>
      </c>
      <c r="F9739" s="11">
        <v>1</v>
      </c>
      <c r="G9739" s="11">
        <v>84033.61</v>
      </c>
    </row>
    <row r="9740" spans="2:7" x14ac:dyDescent="0.2">
      <c r="B9740" s="32">
        <v>46092</v>
      </c>
      <c r="C9740" t="s">
        <v>109</v>
      </c>
      <c r="D9740" s="13" t="s">
        <v>634</v>
      </c>
      <c r="E9740" t="s">
        <v>149</v>
      </c>
      <c r="F9740" s="11">
        <v>1</v>
      </c>
      <c r="G9740" s="11">
        <v>75630.25</v>
      </c>
    </row>
    <row r="9741" spans="2:7" x14ac:dyDescent="0.2">
      <c r="B9741" s="32">
        <v>46092</v>
      </c>
      <c r="C9741" t="s">
        <v>109</v>
      </c>
      <c r="D9741" s="13" t="s">
        <v>634</v>
      </c>
      <c r="E9741" t="s">
        <v>559</v>
      </c>
      <c r="F9741" s="11">
        <v>1</v>
      </c>
      <c r="G9741" s="11">
        <v>63025.21</v>
      </c>
    </row>
    <row r="9742" spans="2:7" x14ac:dyDescent="0.2">
      <c r="B9742" s="32">
        <v>46092</v>
      </c>
      <c r="C9742" t="s">
        <v>109</v>
      </c>
      <c r="D9742" s="13" t="s">
        <v>634</v>
      </c>
      <c r="E9742" t="s">
        <v>511</v>
      </c>
      <c r="F9742" s="11">
        <v>1</v>
      </c>
      <c r="G9742" s="11">
        <v>54621.85</v>
      </c>
    </row>
    <row r="9743" spans="2:7" x14ac:dyDescent="0.2">
      <c r="B9743" s="32">
        <v>46092</v>
      </c>
      <c r="C9743" t="s">
        <v>109</v>
      </c>
      <c r="D9743" s="13" t="s">
        <v>634</v>
      </c>
      <c r="E9743" t="s">
        <v>307</v>
      </c>
      <c r="F9743" s="11">
        <v>1</v>
      </c>
      <c r="G9743" s="11">
        <v>54621.85</v>
      </c>
    </row>
    <row r="9744" spans="2:7" x14ac:dyDescent="0.2">
      <c r="B9744" s="32">
        <v>46092</v>
      </c>
      <c r="C9744" t="s">
        <v>109</v>
      </c>
      <c r="D9744" s="13" t="s">
        <v>634</v>
      </c>
      <c r="E9744" t="s">
        <v>179</v>
      </c>
      <c r="F9744" s="11">
        <v>1</v>
      </c>
      <c r="G9744" s="11">
        <v>50420.17</v>
      </c>
    </row>
    <row r="9745" spans="2:7" x14ac:dyDescent="0.2">
      <c r="B9745" s="32">
        <v>46092</v>
      </c>
      <c r="C9745" t="s">
        <v>109</v>
      </c>
      <c r="D9745" s="13" t="s">
        <v>634</v>
      </c>
      <c r="E9745" t="s">
        <v>153</v>
      </c>
      <c r="F9745" s="11">
        <v>1</v>
      </c>
      <c r="G9745" s="11">
        <v>46218.49</v>
      </c>
    </row>
    <row r="9746" spans="2:7" x14ac:dyDescent="0.2">
      <c r="B9746" s="32">
        <v>46092</v>
      </c>
      <c r="C9746" t="s">
        <v>109</v>
      </c>
      <c r="D9746" s="13" t="s">
        <v>634</v>
      </c>
      <c r="E9746" t="s">
        <v>240</v>
      </c>
      <c r="F9746" s="11">
        <v>1</v>
      </c>
      <c r="G9746" s="11">
        <v>46218.48</v>
      </c>
    </row>
    <row r="9747" spans="2:7" x14ac:dyDescent="0.2">
      <c r="B9747" s="32">
        <v>46092</v>
      </c>
      <c r="C9747" t="s">
        <v>109</v>
      </c>
      <c r="D9747" s="13" t="s">
        <v>634</v>
      </c>
      <c r="E9747" t="s">
        <v>166</v>
      </c>
      <c r="F9747" s="11">
        <v>1</v>
      </c>
      <c r="G9747" s="11">
        <v>42016.81</v>
      </c>
    </row>
    <row r="9748" spans="2:7" x14ac:dyDescent="0.2">
      <c r="B9748" s="32">
        <v>46092</v>
      </c>
      <c r="C9748" t="s">
        <v>109</v>
      </c>
      <c r="D9748" s="13" t="s">
        <v>634</v>
      </c>
      <c r="E9748" t="s">
        <v>328</v>
      </c>
      <c r="F9748" s="11">
        <v>1</v>
      </c>
      <c r="G9748" s="11">
        <v>37815.129999999997</v>
      </c>
    </row>
    <row r="9749" spans="2:7" x14ac:dyDescent="0.2">
      <c r="B9749" s="32">
        <v>46092</v>
      </c>
      <c r="C9749" t="s">
        <v>109</v>
      </c>
      <c r="D9749" s="13" t="s">
        <v>634</v>
      </c>
      <c r="E9749" t="s">
        <v>342</v>
      </c>
      <c r="F9749" s="11">
        <v>1</v>
      </c>
      <c r="G9749" s="11">
        <v>37815.129999999997</v>
      </c>
    </row>
    <row r="9750" spans="2:7" x14ac:dyDescent="0.2">
      <c r="B9750" s="32">
        <v>46092</v>
      </c>
      <c r="C9750" t="s">
        <v>109</v>
      </c>
      <c r="D9750" s="13" t="s">
        <v>634</v>
      </c>
      <c r="E9750" t="s">
        <v>182</v>
      </c>
      <c r="F9750" s="11">
        <v>1</v>
      </c>
      <c r="G9750" s="11">
        <v>29411.759999999998</v>
      </c>
    </row>
    <row r="9751" spans="2:7" x14ac:dyDescent="0.2">
      <c r="B9751" s="32">
        <v>46092</v>
      </c>
      <c r="C9751" t="s">
        <v>109</v>
      </c>
      <c r="D9751" s="13" t="s">
        <v>634</v>
      </c>
      <c r="E9751" t="s">
        <v>351</v>
      </c>
      <c r="F9751" s="11">
        <v>1</v>
      </c>
      <c r="G9751" s="11">
        <v>16806.72</v>
      </c>
    </row>
    <row r="9752" spans="2:7" x14ac:dyDescent="0.2">
      <c r="B9752" s="32">
        <v>46092</v>
      </c>
      <c r="C9752" t="s">
        <v>109</v>
      </c>
      <c r="D9752" s="13" t="s">
        <v>633</v>
      </c>
      <c r="F9752" s="11">
        <v>1</v>
      </c>
      <c r="G9752" s="11">
        <v>126050.42</v>
      </c>
    </row>
    <row r="9753" spans="2:7" x14ac:dyDescent="0.2">
      <c r="B9753" s="32">
        <v>46092</v>
      </c>
      <c r="C9753" t="s">
        <v>109</v>
      </c>
      <c r="D9753" s="13" t="s">
        <v>633</v>
      </c>
      <c r="E9753" t="s">
        <v>154</v>
      </c>
      <c r="F9753" s="11">
        <v>1</v>
      </c>
      <c r="G9753" s="11">
        <v>113445.38</v>
      </c>
    </row>
    <row r="9754" spans="2:7" x14ac:dyDescent="0.2">
      <c r="B9754" s="32">
        <v>46092</v>
      </c>
      <c r="C9754" t="s">
        <v>109</v>
      </c>
      <c r="D9754" s="13" t="s">
        <v>633</v>
      </c>
      <c r="E9754" t="s">
        <v>168</v>
      </c>
      <c r="F9754" s="11">
        <v>2</v>
      </c>
      <c r="G9754" s="11">
        <v>92436.98</v>
      </c>
    </row>
    <row r="9755" spans="2:7" x14ac:dyDescent="0.2">
      <c r="B9755" s="32">
        <v>46092</v>
      </c>
      <c r="C9755" t="s">
        <v>109</v>
      </c>
      <c r="D9755" s="13" t="s">
        <v>633</v>
      </c>
      <c r="E9755" t="s">
        <v>145</v>
      </c>
      <c r="F9755" s="11">
        <v>3</v>
      </c>
      <c r="G9755" s="11">
        <v>88235.28</v>
      </c>
    </row>
    <row r="9756" spans="2:7" x14ac:dyDescent="0.2">
      <c r="B9756" s="32">
        <v>46092</v>
      </c>
      <c r="C9756" t="s">
        <v>109</v>
      </c>
      <c r="D9756" s="13" t="s">
        <v>633</v>
      </c>
      <c r="E9756" t="s">
        <v>698</v>
      </c>
      <c r="F9756" s="11">
        <v>1</v>
      </c>
      <c r="G9756" s="11">
        <v>84033.61</v>
      </c>
    </row>
    <row r="9757" spans="2:7" x14ac:dyDescent="0.2">
      <c r="B9757" s="32">
        <v>46092</v>
      </c>
      <c r="C9757" t="s">
        <v>109</v>
      </c>
      <c r="D9757" s="13" t="s">
        <v>633</v>
      </c>
      <c r="E9757" t="s">
        <v>264</v>
      </c>
      <c r="F9757" s="11">
        <v>1</v>
      </c>
      <c r="G9757" s="11">
        <v>84033.61</v>
      </c>
    </row>
    <row r="9758" spans="2:7" x14ac:dyDescent="0.2">
      <c r="B9758" s="32">
        <v>46092</v>
      </c>
      <c r="C9758" t="s">
        <v>109</v>
      </c>
      <c r="D9758" s="13" t="s">
        <v>633</v>
      </c>
      <c r="E9758" t="s">
        <v>533</v>
      </c>
      <c r="F9758" s="11">
        <v>1</v>
      </c>
      <c r="G9758" s="11">
        <v>63025.21</v>
      </c>
    </row>
    <row r="9759" spans="2:7" x14ac:dyDescent="0.2">
      <c r="B9759" s="32">
        <v>46092</v>
      </c>
      <c r="C9759" t="s">
        <v>109</v>
      </c>
      <c r="D9759" s="13" t="s">
        <v>633</v>
      </c>
      <c r="E9759" t="s">
        <v>337</v>
      </c>
      <c r="F9759" s="11">
        <v>1</v>
      </c>
      <c r="G9759" s="11">
        <v>50420.17</v>
      </c>
    </row>
    <row r="9760" spans="2:7" x14ac:dyDescent="0.2">
      <c r="B9760" s="32">
        <v>46092</v>
      </c>
      <c r="C9760" t="s">
        <v>109</v>
      </c>
      <c r="D9760" s="13" t="s">
        <v>633</v>
      </c>
      <c r="E9760" t="s">
        <v>240</v>
      </c>
      <c r="F9760" s="11">
        <v>1</v>
      </c>
      <c r="G9760" s="11">
        <v>46218.49</v>
      </c>
    </row>
    <row r="9761" spans="2:7" x14ac:dyDescent="0.2">
      <c r="B9761" s="32">
        <v>46092</v>
      </c>
      <c r="C9761" t="s">
        <v>109</v>
      </c>
      <c r="D9761" s="13" t="s">
        <v>633</v>
      </c>
      <c r="E9761" t="s">
        <v>156</v>
      </c>
      <c r="F9761" s="11">
        <v>1</v>
      </c>
      <c r="G9761" s="11">
        <v>46218.49</v>
      </c>
    </row>
    <row r="9762" spans="2:7" x14ac:dyDescent="0.2">
      <c r="B9762" s="32">
        <v>46092</v>
      </c>
      <c r="C9762" t="s">
        <v>109</v>
      </c>
      <c r="D9762" s="13" t="s">
        <v>633</v>
      </c>
      <c r="E9762" t="s">
        <v>153</v>
      </c>
      <c r="F9762" s="11">
        <v>1</v>
      </c>
      <c r="G9762" s="11">
        <v>46218.49</v>
      </c>
    </row>
    <row r="9763" spans="2:7" x14ac:dyDescent="0.2">
      <c r="B9763" s="32">
        <v>46092</v>
      </c>
      <c r="C9763" t="s">
        <v>109</v>
      </c>
      <c r="D9763" s="13" t="s">
        <v>633</v>
      </c>
      <c r="E9763" t="s">
        <v>241</v>
      </c>
      <c r="F9763" s="11">
        <v>1</v>
      </c>
      <c r="G9763" s="11">
        <v>46218.49</v>
      </c>
    </row>
    <row r="9764" spans="2:7" x14ac:dyDescent="0.2">
      <c r="B9764" s="32">
        <v>46092</v>
      </c>
      <c r="C9764" t="s">
        <v>109</v>
      </c>
      <c r="D9764" s="13" t="s">
        <v>633</v>
      </c>
      <c r="E9764" t="s">
        <v>166</v>
      </c>
      <c r="F9764" s="11">
        <v>1</v>
      </c>
      <c r="G9764" s="11">
        <v>42016.81</v>
      </c>
    </row>
    <row r="9765" spans="2:7" x14ac:dyDescent="0.2">
      <c r="B9765" s="32">
        <v>46092</v>
      </c>
      <c r="C9765" t="s">
        <v>109</v>
      </c>
      <c r="D9765" s="13" t="s">
        <v>633</v>
      </c>
      <c r="E9765" t="s">
        <v>148</v>
      </c>
      <c r="F9765" s="11">
        <v>1</v>
      </c>
      <c r="G9765" s="11">
        <v>37815.129999999997</v>
      </c>
    </row>
    <row r="9766" spans="2:7" x14ac:dyDescent="0.2">
      <c r="B9766" s="32">
        <v>46092</v>
      </c>
      <c r="C9766" t="s">
        <v>109</v>
      </c>
      <c r="D9766" s="13" t="s">
        <v>633</v>
      </c>
      <c r="E9766" t="s">
        <v>173</v>
      </c>
      <c r="F9766" s="11">
        <v>1</v>
      </c>
      <c r="G9766" s="11">
        <v>37815.129999999997</v>
      </c>
    </row>
    <row r="9767" spans="2:7" x14ac:dyDescent="0.2">
      <c r="B9767" s="32">
        <v>46092</v>
      </c>
      <c r="C9767" t="s">
        <v>109</v>
      </c>
      <c r="D9767" s="13" t="s">
        <v>633</v>
      </c>
      <c r="E9767" t="s">
        <v>234</v>
      </c>
      <c r="F9767" s="11">
        <v>1</v>
      </c>
      <c r="G9767" s="11">
        <v>37815.129999999997</v>
      </c>
    </row>
    <row r="9768" spans="2:7" x14ac:dyDescent="0.2">
      <c r="B9768" s="32">
        <v>46092</v>
      </c>
      <c r="C9768" t="s">
        <v>109</v>
      </c>
      <c r="D9768" s="13" t="s">
        <v>633</v>
      </c>
      <c r="E9768" t="s">
        <v>330</v>
      </c>
      <c r="F9768" s="11">
        <v>1</v>
      </c>
      <c r="G9768" s="11">
        <v>37815.129999999997</v>
      </c>
    </row>
    <row r="9769" spans="2:7" x14ac:dyDescent="0.2">
      <c r="B9769" s="32">
        <v>46092</v>
      </c>
      <c r="C9769" t="s">
        <v>109</v>
      </c>
      <c r="D9769" s="13" t="s">
        <v>633</v>
      </c>
      <c r="E9769" t="s">
        <v>327</v>
      </c>
      <c r="F9769" s="11">
        <v>1</v>
      </c>
      <c r="G9769" s="11">
        <v>35000</v>
      </c>
    </row>
    <row r="9770" spans="2:7" x14ac:dyDescent="0.2">
      <c r="B9770" s="32">
        <v>46092</v>
      </c>
      <c r="C9770" t="s">
        <v>109</v>
      </c>
      <c r="D9770" s="13" t="s">
        <v>633</v>
      </c>
      <c r="E9770" t="s">
        <v>144</v>
      </c>
      <c r="F9770" s="11">
        <v>2</v>
      </c>
      <c r="G9770" s="11">
        <v>21008.400000000001</v>
      </c>
    </row>
    <row r="9771" spans="2:7" x14ac:dyDescent="0.2">
      <c r="B9771" s="32">
        <v>46092</v>
      </c>
      <c r="C9771" t="s">
        <v>109</v>
      </c>
      <c r="D9771" s="13" t="s">
        <v>633</v>
      </c>
      <c r="E9771" t="s">
        <v>367</v>
      </c>
      <c r="F9771" s="11">
        <v>1</v>
      </c>
      <c r="G9771" s="11">
        <v>16806.72</v>
      </c>
    </row>
    <row r="9772" spans="2:7" x14ac:dyDescent="0.2">
      <c r="B9772" s="32">
        <v>46093</v>
      </c>
      <c r="C9772" t="s">
        <v>108</v>
      </c>
      <c r="D9772" s="13" t="s">
        <v>633</v>
      </c>
      <c r="E9772" t="s">
        <v>736</v>
      </c>
      <c r="F9772" s="11">
        <v>5</v>
      </c>
      <c r="G9772" s="11">
        <v>378151.26</v>
      </c>
    </row>
    <row r="9773" spans="2:7" x14ac:dyDescent="0.2">
      <c r="B9773" s="32">
        <v>46093</v>
      </c>
      <c r="C9773" t="s">
        <v>108</v>
      </c>
      <c r="D9773" s="13" t="s">
        <v>633</v>
      </c>
      <c r="E9773" t="s">
        <v>635</v>
      </c>
      <c r="F9773" s="11">
        <v>60</v>
      </c>
      <c r="G9773" s="11">
        <v>226890.76</v>
      </c>
    </row>
    <row r="9774" spans="2:7" x14ac:dyDescent="0.2">
      <c r="B9774" s="32">
        <v>46093</v>
      </c>
      <c r="C9774" t="s">
        <v>108</v>
      </c>
      <c r="D9774" s="13" t="s">
        <v>633</v>
      </c>
      <c r="E9774" t="s">
        <v>734</v>
      </c>
      <c r="F9774" s="11">
        <v>6</v>
      </c>
      <c r="G9774" s="11">
        <v>201680.67</v>
      </c>
    </row>
    <row r="9775" spans="2:7" x14ac:dyDescent="0.2">
      <c r="B9775" s="32">
        <v>46093</v>
      </c>
      <c r="C9775" t="s">
        <v>108</v>
      </c>
      <c r="D9775" s="13" t="s">
        <v>633</v>
      </c>
      <c r="E9775" t="s">
        <v>735</v>
      </c>
      <c r="F9775" s="11">
        <v>5</v>
      </c>
      <c r="G9775" s="11">
        <v>110924.37</v>
      </c>
    </row>
    <row r="9776" spans="2:7" x14ac:dyDescent="0.2">
      <c r="B9776" s="32">
        <v>46093</v>
      </c>
      <c r="C9776" t="s">
        <v>108</v>
      </c>
      <c r="D9776" s="13" t="s">
        <v>633</v>
      </c>
      <c r="E9776" t="s">
        <v>184</v>
      </c>
      <c r="F9776" s="11">
        <v>1</v>
      </c>
      <c r="G9776" s="11">
        <v>90756.3</v>
      </c>
    </row>
    <row r="9777" spans="2:7" x14ac:dyDescent="0.2">
      <c r="B9777" s="32">
        <v>46093</v>
      </c>
      <c r="C9777" t="s">
        <v>142</v>
      </c>
      <c r="D9777" s="13" t="s">
        <v>634</v>
      </c>
      <c r="E9777" t="s">
        <v>308</v>
      </c>
      <c r="F9777" s="11">
        <v>1</v>
      </c>
      <c r="G9777" s="11">
        <v>113445.38</v>
      </c>
    </row>
    <row r="9778" spans="2:7" x14ac:dyDescent="0.2">
      <c r="B9778" s="32">
        <v>46093</v>
      </c>
      <c r="C9778" t="s">
        <v>142</v>
      </c>
      <c r="D9778" s="13" t="s">
        <v>634</v>
      </c>
      <c r="E9778" t="s">
        <v>147</v>
      </c>
      <c r="F9778" s="11">
        <v>1</v>
      </c>
      <c r="G9778" s="11">
        <v>75630.25</v>
      </c>
    </row>
    <row r="9779" spans="2:7" x14ac:dyDescent="0.2">
      <c r="B9779" s="32">
        <v>46093</v>
      </c>
      <c r="C9779" t="s">
        <v>142</v>
      </c>
      <c r="D9779" s="13" t="s">
        <v>634</v>
      </c>
      <c r="E9779" t="s">
        <v>175</v>
      </c>
      <c r="F9779" s="11">
        <v>1</v>
      </c>
      <c r="G9779" s="11">
        <v>63025.21</v>
      </c>
    </row>
    <row r="9780" spans="2:7" x14ac:dyDescent="0.2">
      <c r="B9780" s="32">
        <v>46093</v>
      </c>
      <c r="C9780" t="s">
        <v>142</v>
      </c>
      <c r="D9780" s="13" t="s">
        <v>634</v>
      </c>
      <c r="E9780" t="s">
        <v>496</v>
      </c>
      <c r="F9780" s="11">
        <v>1</v>
      </c>
      <c r="G9780" s="11">
        <v>63025.21</v>
      </c>
    </row>
    <row r="9781" spans="2:7" x14ac:dyDescent="0.2">
      <c r="B9781" s="32">
        <v>46093</v>
      </c>
      <c r="C9781" t="s">
        <v>142</v>
      </c>
      <c r="D9781" s="13" t="s">
        <v>634</v>
      </c>
      <c r="E9781" t="s">
        <v>527</v>
      </c>
      <c r="F9781" s="11">
        <v>1</v>
      </c>
      <c r="G9781" s="11">
        <v>63025.21</v>
      </c>
    </row>
    <row r="9782" spans="2:7" x14ac:dyDescent="0.2">
      <c r="B9782" s="32">
        <v>46093</v>
      </c>
      <c r="C9782" t="s">
        <v>142</v>
      </c>
      <c r="D9782" s="13" t="s">
        <v>634</v>
      </c>
      <c r="E9782" t="s">
        <v>287</v>
      </c>
      <c r="F9782" s="11">
        <v>1</v>
      </c>
      <c r="G9782" s="11">
        <v>63025.21</v>
      </c>
    </row>
    <row r="9783" spans="2:7" x14ac:dyDescent="0.2">
      <c r="B9783" s="32">
        <v>46093</v>
      </c>
      <c r="C9783" t="s">
        <v>142</v>
      </c>
      <c r="D9783" s="13" t="s">
        <v>634</v>
      </c>
      <c r="E9783" t="s">
        <v>236</v>
      </c>
      <c r="F9783" s="11">
        <v>1</v>
      </c>
      <c r="G9783" s="11">
        <v>63025.21</v>
      </c>
    </row>
    <row r="9784" spans="2:7" x14ac:dyDescent="0.2">
      <c r="B9784" s="32">
        <v>46093</v>
      </c>
      <c r="C9784" t="s">
        <v>142</v>
      </c>
      <c r="D9784" s="13" t="s">
        <v>634</v>
      </c>
      <c r="E9784" t="s">
        <v>378</v>
      </c>
      <c r="F9784" s="11">
        <v>1</v>
      </c>
      <c r="G9784" s="11">
        <v>63025.21</v>
      </c>
    </row>
    <row r="9785" spans="2:7" x14ac:dyDescent="0.2">
      <c r="B9785" s="32">
        <v>46093</v>
      </c>
      <c r="C9785" t="s">
        <v>142</v>
      </c>
      <c r="D9785" s="13" t="s">
        <v>634</v>
      </c>
      <c r="E9785" t="s">
        <v>151</v>
      </c>
      <c r="F9785" s="11">
        <v>1</v>
      </c>
      <c r="G9785" s="11">
        <v>50420.17</v>
      </c>
    </row>
    <row r="9786" spans="2:7" x14ac:dyDescent="0.2">
      <c r="B9786" s="32">
        <v>46093</v>
      </c>
      <c r="C9786" t="s">
        <v>142</v>
      </c>
      <c r="D9786" s="13" t="s">
        <v>634</v>
      </c>
      <c r="E9786" t="s">
        <v>203</v>
      </c>
      <c r="F9786" s="11">
        <v>1</v>
      </c>
      <c r="G9786" s="11">
        <v>42016.81</v>
      </c>
    </row>
    <row r="9787" spans="2:7" x14ac:dyDescent="0.2">
      <c r="B9787" s="32">
        <v>46093</v>
      </c>
      <c r="C9787" t="s">
        <v>142</v>
      </c>
      <c r="D9787" s="13" t="s">
        <v>634</v>
      </c>
      <c r="E9787" t="s">
        <v>180</v>
      </c>
      <c r="F9787" s="11">
        <v>1</v>
      </c>
      <c r="G9787" s="11">
        <v>16806.72</v>
      </c>
    </row>
    <row r="9788" spans="2:7" x14ac:dyDescent="0.2">
      <c r="B9788" s="32">
        <v>46093</v>
      </c>
      <c r="C9788" t="s">
        <v>142</v>
      </c>
      <c r="D9788" s="13" t="s">
        <v>633</v>
      </c>
      <c r="E9788" t="s">
        <v>175</v>
      </c>
      <c r="F9788" s="11">
        <v>1</v>
      </c>
      <c r="G9788" s="11">
        <v>92436.97</v>
      </c>
    </row>
    <row r="9789" spans="2:7" x14ac:dyDescent="0.2">
      <c r="B9789" s="32">
        <v>46093</v>
      </c>
      <c r="C9789" t="s">
        <v>142</v>
      </c>
      <c r="D9789" s="13" t="s">
        <v>633</v>
      </c>
      <c r="E9789" t="s">
        <v>240</v>
      </c>
      <c r="F9789" s="11">
        <v>1</v>
      </c>
      <c r="G9789" s="11">
        <v>46218.49</v>
      </c>
    </row>
    <row r="9790" spans="2:7" x14ac:dyDescent="0.2">
      <c r="B9790" s="32">
        <v>46093</v>
      </c>
      <c r="C9790" t="s">
        <v>142</v>
      </c>
      <c r="D9790" s="13" t="s">
        <v>633</v>
      </c>
      <c r="E9790" t="s">
        <v>166</v>
      </c>
      <c r="F9790" s="11">
        <v>1</v>
      </c>
      <c r="G9790" s="11">
        <v>42016.81</v>
      </c>
    </row>
    <row r="9791" spans="2:7" x14ac:dyDescent="0.2">
      <c r="B9791" s="32">
        <v>46093</v>
      </c>
      <c r="C9791" t="s">
        <v>142</v>
      </c>
      <c r="D9791" s="13" t="s">
        <v>633</v>
      </c>
      <c r="E9791" t="s">
        <v>161</v>
      </c>
      <c r="F9791" s="11">
        <v>1</v>
      </c>
      <c r="G9791" s="11">
        <v>42016.800000000003</v>
      </c>
    </row>
    <row r="9792" spans="2:7" x14ac:dyDescent="0.2">
      <c r="B9792" s="32">
        <v>46093</v>
      </c>
      <c r="C9792" t="s">
        <v>110</v>
      </c>
      <c r="D9792" s="13" t="s">
        <v>634</v>
      </c>
      <c r="E9792" t="s">
        <v>212</v>
      </c>
      <c r="F9792" s="11">
        <v>1</v>
      </c>
      <c r="G9792" s="11">
        <v>58823.53</v>
      </c>
    </row>
    <row r="9793" spans="2:7" x14ac:dyDescent="0.2">
      <c r="B9793" s="32">
        <v>46093</v>
      </c>
      <c r="C9793" t="s">
        <v>110</v>
      </c>
      <c r="D9793" s="13" t="s">
        <v>633</v>
      </c>
      <c r="E9793" t="s">
        <v>309</v>
      </c>
      <c r="F9793" s="11">
        <v>1</v>
      </c>
      <c r="G9793" s="11">
        <v>42016.81</v>
      </c>
    </row>
    <row r="9794" spans="2:7" x14ac:dyDescent="0.2">
      <c r="B9794" s="32">
        <v>46093</v>
      </c>
      <c r="C9794" t="s">
        <v>110</v>
      </c>
      <c r="D9794" s="13" t="s">
        <v>633</v>
      </c>
      <c r="E9794" t="s">
        <v>166</v>
      </c>
      <c r="F9794" s="11">
        <v>1</v>
      </c>
      <c r="G9794" s="11">
        <v>42016.800000000003</v>
      </c>
    </row>
    <row r="9795" spans="2:7" x14ac:dyDescent="0.2">
      <c r="B9795" s="32">
        <v>46093</v>
      </c>
      <c r="C9795" t="s">
        <v>109</v>
      </c>
      <c r="D9795" s="13" t="s">
        <v>634</v>
      </c>
      <c r="E9795" t="s">
        <v>156</v>
      </c>
      <c r="F9795" s="11">
        <v>4</v>
      </c>
      <c r="G9795" s="11">
        <v>184873.95</v>
      </c>
    </row>
    <row r="9796" spans="2:7" x14ac:dyDescent="0.2">
      <c r="B9796" s="32">
        <v>46093</v>
      </c>
      <c r="C9796" t="s">
        <v>109</v>
      </c>
      <c r="D9796" s="13" t="s">
        <v>634</v>
      </c>
      <c r="E9796" t="s">
        <v>453</v>
      </c>
      <c r="F9796" s="11">
        <v>1</v>
      </c>
      <c r="G9796" s="11">
        <v>184873.95</v>
      </c>
    </row>
    <row r="9797" spans="2:7" x14ac:dyDescent="0.2">
      <c r="B9797" s="32">
        <v>46093</v>
      </c>
      <c r="C9797" t="s">
        <v>109</v>
      </c>
      <c r="D9797" s="13" t="s">
        <v>634</v>
      </c>
      <c r="E9797" t="s">
        <v>301</v>
      </c>
      <c r="F9797" s="11">
        <v>1</v>
      </c>
      <c r="G9797" s="11">
        <v>169000</v>
      </c>
    </row>
    <row r="9798" spans="2:7" x14ac:dyDescent="0.2">
      <c r="B9798" s="32">
        <v>46093</v>
      </c>
      <c r="C9798" t="s">
        <v>109</v>
      </c>
      <c r="D9798" s="13" t="s">
        <v>634</v>
      </c>
      <c r="E9798" t="s">
        <v>157</v>
      </c>
      <c r="F9798" s="11">
        <v>2</v>
      </c>
      <c r="G9798" s="11">
        <v>168067.23</v>
      </c>
    </row>
    <row r="9799" spans="2:7" x14ac:dyDescent="0.2">
      <c r="B9799" s="32">
        <v>46093</v>
      </c>
      <c r="C9799" t="s">
        <v>109</v>
      </c>
      <c r="D9799" s="13" t="s">
        <v>634</v>
      </c>
      <c r="E9799" t="s">
        <v>542</v>
      </c>
      <c r="F9799" s="11">
        <v>1</v>
      </c>
      <c r="G9799" s="11">
        <v>159663.87</v>
      </c>
    </row>
    <row r="9800" spans="2:7" x14ac:dyDescent="0.2">
      <c r="B9800" s="32">
        <v>46093</v>
      </c>
      <c r="C9800" t="s">
        <v>109</v>
      </c>
      <c r="D9800" s="13" t="s">
        <v>634</v>
      </c>
      <c r="E9800" t="s">
        <v>464</v>
      </c>
      <c r="F9800" s="11">
        <v>1</v>
      </c>
      <c r="G9800" s="11">
        <v>142857.14000000001</v>
      </c>
    </row>
    <row r="9801" spans="2:7" x14ac:dyDescent="0.2">
      <c r="B9801" s="32">
        <v>46093</v>
      </c>
      <c r="C9801" t="s">
        <v>109</v>
      </c>
      <c r="D9801" s="13" t="s">
        <v>634</v>
      </c>
      <c r="E9801" t="s">
        <v>530</v>
      </c>
      <c r="F9801" s="11">
        <v>1</v>
      </c>
      <c r="G9801" s="11">
        <v>138655.46</v>
      </c>
    </row>
    <row r="9802" spans="2:7" x14ac:dyDescent="0.2">
      <c r="B9802" s="32">
        <v>46093</v>
      </c>
      <c r="C9802" t="s">
        <v>109</v>
      </c>
      <c r="D9802" s="13" t="s">
        <v>634</v>
      </c>
      <c r="E9802" t="s">
        <v>475</v>
      </c>
      <c r="F9802" s="11">
        <v>1</v>
      </c>
      <c r="G9802" s="11">
        <v>75630.25</v>
      </c>
    </row>
    <row r="9803" spans="2:7" x14ac:dyDescent="0.2">
      <c r="B9803" s="32">
        <v>46093</v>
      </c>
      <c r="C9803" t="s">
        <v>109</v>
      </c>
      <c r="D9803" s="13" t="s">
        <v>634</v>
      </c>
      <c r="E9803" t="s">
        <v>334</v>
      </c>
      <c r="F9803" s="11">
        <v>1</v>
      </c>
      <c r="G9803" s="11">
        <v>75630.25</v>
      </c>
    </row>
    <row r="9804" spans="2:7" x14ac:dyDescent="0.2">
      <c r="B9804" s="32">
        <v>46093</v>
      </c>
      <c r="C9804" t="s">
        <v>109</v>
      </c>
      <c r="D9804" s="13" t="s">
        <v>634</v>
      </c>
      <c r="E9804" t="s">
        <v>273</v>
      </c>
      <c r="F9804" s="11">
        <v>1</v>
      </c>
      <c r="G9804" s="11">
        <v>58823.519999999997</v>
      </c>
    </row>
    <row r="9805" spans="2:7" x14ac:dyDescent="0.2">
      <c r="B9805" s="32">
        <v>46093</v>
      </c>
      <c r="C9805" t="s">
        <v>109</v>
      </c>
      <c r="D9805" s="13" t="s">
        <v>634</v>
      </c>
      <c r="E9805" t="s">
        <v>254</v>
      </c>
      <c r="F9805" s="11">
        <v>1</v>
      </c>
      <c r="G9805" s="11">
        <v>54621.85</v>
      </c>
    </row>
    <row r="9806" spans="2:7" x14ac:dyDescent="0.2">
      <c r="B9806" s="32">
        <v>46093</v>
      </c>
      <c r="C9806" t="s">
        <v>109</v>
      </c>
      <c r="D9806" s="13" t="s">
        <v>634</v>
      </c>
      <c r="E9806" t="s">
        <v>470</v>
      </c>
      <c r="F9806" s="11">
        <v>1</v>
      </c>
      <c r="G9806" s="11">
        <v>54621.84</v>
      </c>
    </row>
    <row r="9807" spans="2:7" x14ac:dyDescent="0.2">
      <c r="B9807" s="32">
        <v>46093</v>
      </c>
      <c r="C9807" t="s">
        <v>109</v>
      </c>
      <c r="D9807" s="13" t="s">
        <v>634</v>
      </c>
      <c r="E9807" t="s">
        <v>241</v>
      </c>
      <c r="F9807" s="11">
        <v>1</v>
      </c>
      <c r="G9807" s="11">
        <v>46218.49</v>
      </c>
    </row>
    <row r="9808" spans="2:7" x14ac:dyDescent="0.2">
      <c r="B9808" s="32">
        <v>46093</v>
      </c>
      <c r="C9808" t="s">
        <v>109</v>
      </c>
      <c r="D9808" s="13" t="s">
        <v>634</v>
      </c>
      <c r="E9808" t="s">
        <v>166</v>
      </c>
      <c r="F9808" s="11">
        <v>1</v>
      </c>
      <c r="G9808" s="11">
        <v>42016.81</v>
      </c>
    </row>
    <row r="9809" spans="2:7" x14ac:dyDescent="0.2">
      <c r="B9809" s="32">
        <v>46093</v>
      </c>
      <c r="C9809" t="s">
        <v>109</v>
      </c>
      <c r="D9809" s="13" t="s">
        <v>634</v>
      </c>
      <c r="E9809" t="s">
        <v>466</v>
      </c>
      <c r="F9809" s="11">
        <v>1</v>
      </c>
      <c r="G9809" s="11">
        <v>37815.129999999997</v>
      </c>
    </row>
    <row r="9810" spans="2:7" x14ac:dyDescent="0.2">
      <c r="B9810" s="32">
        <v>46093</v>
      </c>
      <c r="C9810" t="s">
        <v>109</v>
      </c>
      <c r="D9810" s="13" t="s">
        <v>634</v>
      </c>
      <c r="E9810" t="s">
        <v>234</v>
      </c>
      <c r="F9810" s="11">
        <v>1</v>
      </c>
      <c r="G9810" s="11">
        <v>37815.129999999997</v>
      </c>
    </row>
    <row r="9811" spans="2:7" x14ac:dyDescent="0.2">
      <c r="B9811" s="32">
        <v>46093</v>
      </c>
      <c r="C9811" t="s">
        <v>109</v>
      </c>
      <c r="D9811" s="13" t="s">
        <v>634</v>
      </c>
      <c r="E9811" t="s">
        <v>356</v>
      </c>
      <c r="F9811" s="11">
        <v>1</v>
      </c>
      <c r="G9811" s="11">
        <v>37815.129999999997</v>
      </c>
    </row>
    <row r="9812" spans="2:7" x14ac:dyDescent="0.2">
      <c r="B9812" s="32">
        <v>46093</v>
      </c>
      <c r="C9812" t="s">
        <v>109</v>
      </c>
      <c r="D9812" s="13" t="s">
        <v>634</v>
      </c>
      <c r="E9812" t="s">
        <v>144</v>
      </c>
      <c r="F9812" s="11">
        <v>2</v>
      </c>
      <c r="G9812" s="11">
        <v>29411.759999999998</v>
      </c>
    </row>
    <row r="9813" spans="2:7" x14ac:dyDescent="0.2">
      <c r="B9813" s="32">
        <v>46093</v>
      </c>
      <c r="C9813" t="s">
        <v>109</v>
      </c>
      <c r="D9813" s="13" t="s">
        <v>633</v>
      </c>
      <c r="E9813" t="s">
        <v>153</v>
      </c>
      <c r="F9813" s="11">
        <v>5</v>
      </c>
      <c r="G9813" s="11">
        <v>231092.43</v>
      </c>
    </row>
    <row r="9814" spans="2:7" x14ac:dyDescent="0.2">
      <c r="B9814" s="32">
        <v>46093</v>
      </c>
      <c r="C9814" t="s">
        <v>109</v>
      </c>
      <c r="D9814" s="13" t="s">
        <v>633</v>
      </c>
      <c r="E9814" t="s">
        <v>623</v>
      </c>
      <c r="F9814" s="11">
        <v>1</v>
      </c>
      <c r="G9814" s="11">
        <v>193277.31</v>
      </c>
    </row>
    <row r="9815" spans="2:7" x14ac:dyDescent="0.2">
      <c r="B9815" s="32">
        <v>46093</v>
      </c>
      <c r="C9815" t="s">
        <v>109</v>
      </c>
      <c r="D9815" s="13" t="s">
        <v>633</v>
      </c>
      <c r="E9815" t="s">
        <v>313</v>
      </c>
      <c r="F9815" s="11">
        <v>1</v>
      </c>
      <c r="G9815" s="11">
        <v>113445.38</v>
      </c>
    </row>
    <row r="9816" spans="2:7" x14ac:dyDescent="0.2">
      <c r="B9816" s="32">
        <v>46093</v>
      </c>
      <c r="C9816" t="s">
        <v>109</v>
      </c>
      <c r="D9816" s="13" t="s">
        <v>633</v>
      </c>
      <c r="E9816" t="s">
        <v>602</v>
      </c>
      <c r="F9816" s="11">
        <v>1</v>
      </c>
      <c r="G9816" s="11">
        <v>109243.7</v>
      </c>
    </row>
    <row r="9817" spans="2:7" x14ac:dyDescent="0.2">
      <c r="B9817" s="32">
        <v>46093</v>
      </c>
      <c r="C9817" t="s">
        <v>109</v>
      </c>
      <c r="D9817" s="13" t="s">
        <v>633</v>
      </c>
      <c r="E9817" t="s">
        <v>416</v>
      </c>
      <c r="F9817" s="11">
        <v>2</v>
      </c>
      <c r="G9817" s="11">
        <v>100840.34</v>
      </c>
    </row>
    <row r="9818" spans="2:7" x14ac:dyDescent="0.2">
      <c r="B9818" s="32">
        <v>46093</v>
      </c>
      <c r="C9818" t="s">
        <v>109</v>
      </c>
      <c r="D9818" s="13" t="s">
        <v>633</v>
      </c>
      <c r="E9818" t="s">
        <v>240</v>
      </c>
      <c r="F9818" s="11">
        <v>2</v>
      </c>
      <c r="G9818" s="11">
        <v>92436.98</v>
      </c>
    </row>
    <row r="9819" spans="2:7" x14ac:dyDescent="0.2">
      <c r="B9819" s="32">
        <v>46093</v>
      </c>
      <c r="C9819" t="s">
        <v>109</v>
      </c>
      <c r="D9819" s="13" t="s">
        <v>633</v>
      </c>
      <c r="E9819" t="s">
        <v>667</v>
      </c>
      <c r="F9819" s="11">
        <v>1</v>
      </c>
      <c r="G9819" s="11">
        <v>78000</v>
      </c>
    </row>
    <row r="9820" spans="2:7" x14ac:dyDescent="0.2">
      <c r="B9820" s="32">
        <v>46093</v>
      </c>
      <c r="C9820" t="s">
        <v>109</v>
      </c>
      <c r="D9820" s="13" t="s">
        <v>633</v>
      </c>
      <c r="E9820" t="s">
        <v>147</v>
      </c>
      <c r="F9820" s="11">
        <v>1</v>
      </c>
      <c r="G9820" s="11">
        <v>75630.25</v>
      </c>
    </row>
    <row r="9821" spans="2:7" x14ac:dyDescent="0.2">
      <c r="B9821" s="32">
        <v>46093</v>
      </c>
      <c r="C9821" t="s">
        <v>109</v>
      </c>
      <c r="D9821" s="13" t="s">
        <v>633</v>
      </c>
      <c r="E9821" t="s">
        <v>352</v>
      </c>
      <c r="F9821" s="11">
        <v>1</v>
      </c>
      <c r="G9821" s="11">
        <v>75630.25</v>
      </c>
    </row>
    <row r="9822" spans="2:7" x14ac:dyDescent="0.2">
      <c r="B9822" s="32">
        <v>46093</v>
      </c>
      <c r="C9822" t="s">
        <v>109</v>
      </c>
      <c r="D9822" s="13" t="s">
        <v>633</v>
      </c>
      <c r="E9822" t="s">
        <v>328</v>
      </c>
      <c r="F9822" s="11">
        <v>2</v>
      </c>
      <c r="G9822" s="11">
        <v>75630.240000000005</v>
      </c>
    </row>
    <row r="9823" spans="2:7" x14ac:dyDescent="0.2">
      <c r="B9823" s="32">
        <v>46093</v>
      </c>
      <c r="C9823" t="s">
        <v>109</v>
      </c>
      <c r="D9823" s="13" t="s">
        <v>633</v>
      </c>
      <c r="E9823" t="s">
        <v>258</v>
      </c>
      <c r="F9823" s="11">
        <v>1</v>
      </c>
      <c r="G9823" s="11">
        <v>58823.53</v>
      </c>
    </row>
    <row r="9824" spans="2:7" x14ac:dyDescent="0.2">
      <c r="B9824" s="32">
        <v>46093</v>
      </c>
      <c r="C9824" t="s">
        <v>109</v>
      </c>
      <c r="D9824" s="13" t="s">
        <v>633</v>
      </c>
      <c r="E9824" t="s">
        <v>296</v>
      </c>
      <c r="F9824" s="11">
        <v>1</v>
      </c>
      <c r="G9824" s="11">
        <v>50420.17</v>
      </c>
    </row>
    <row r="9825" spans="2:7" x14ac:dyDescent="0.2">
      <c r="B9825" s="32">
        <v>46093</v>
      </c>
      <c r="C9825" t="s">
        <v>109</v>
      </c>
      <c r="D9825" s="13" t="s">
        <v>633</v>
      </c>
      <c r="E9825" t="s">
        <v>742</v>
      </c>
      <c r="F9825" s="11">
        <v>1</v>
      </c>
      <c r="G9825" s="11">
        <v>50420.17</v>
      </c>
    </row>
    <row r="9826" spans="2:7" x14ac:dyDescent="0.2">
      <c r="B9826" s="32">
        <v>46093</v>
      </c>
      <c r="C9826" t="s">
        <v>109</v>
      </c>
      <c r="D9826" s="13" t="s">
        <v>633</v>
      </c>
      <c r="E9826" t="s">
        <v>241</v>
      </c>
      <c r="F9826" s="11">
        <v>1</v>
      </c>
      <c r="G9826" s="11">
        <v>46218.49</v>
      </c>
    </row>
    <row r="9827" spans="2:7" x14ac:dyDescent="0.2">
      <c r="B9827" s="32">
        <v>46093</v>
      </c>
      <c r="C9827" t="s">
        <v>109</v>
      </c>
      <c r="D9827" s="13" t="s">
        <v>633</v>
      </c>
      <c r="E9827" t="s">
        <v>156</v>
      </c>
      <c r="F9827" s="11">
        <v>1</v>
      </c>
      <c r="G9827" s="11">
        <v>46218.49</v>
      </c>
    </row>
    <row r="9828" spans="2:7" x14ac:dyDescent="0.2">
      <c r="B9828" s="32">
        <v>46093</v>
      </c>
      <c r="C9828" t="s">
        <v>109</v>
      </c>
      <c r="D9828" s="13" t="s">
        <v>633</v>
      </c>
      <c r="E9828" t="s">
        <v>172</v>
      </c>
      <c r="F9828" s="11">
        <v>1</v>
      </c>
      <c r="G9828" s="11">
        <v>46218.49</v>
      </c>
    </row>
    <row r="9829" spans="2:7" x14ac:dyDescent="0.2">
      <c r="B9829" s="32">
        <v>46093</v>
      </c>
      <c r="C9829" t="s">
        <v>109</v>
      </c>
      <c r="D9829" s="13" t="s">
        <v>633</v>
      </c>
      <c r="E9829" t="s">
        <v>173</v>
      </c>
      <c r="F9829" s="11">
        <v>1</v>
      </c>
      <c r="G9829" s="11">
        <v>37815.129999999997</v>
      </c>
    </row>
    <row r="9830" spans="2:7" x14ac:dyDescent="0.2">
      <c r="B9830" s="32">
        <v>46093</v>
      </c>
      <c r="C9830" t="s">
        <v>109</v>
      </c>
      <c r="D9830" s="13" t="s">
        <v>633</v>
      </c>
      <c r="E9830" t="s">
        <v>148</v>
      </c>
      <c r="F9830" s="11">
        <v>1</v>
      </c>
      <c r="G9830" s="11">
        <v>37815.129999999997</v>
      </c>
    </row>
    <row r="9831" spans="2:7" x14ac:dyDescent="0.2">
      <c r="B9831" s="32">
        <v>46093</v>
      </c>
      <c r="C9831" t="s">
        <v>109</v>
      </c>
      <c r="D9831" s="13" t="s">
        <v>633</v>
      </c>
      <c r="E9831" t="s">
        <v>330</v>
      </c>
      <c r="F9831" s="11">
        <v>1</v>
      </c>
      <c r="G9831" s="11">
        <v>37815.120000000003</v>
      </c>
    </row>
    <row r="9832" spans="2:7" x14ac:dyDescent="0.2">
      <c r="B9832" s="32">
        <v>46093</v>
      </c>
      <c r="C9832" t="s">
        <v>109</v>
      </c>
      <c r="D9832" s="13" t="s">
        <v>633</v>
      </c>
      <c r="E9832" t="s">
        <v>356</v>
      </c>
      <c r="F9832" s="11">
        <v>1</v>
      </c>
      <c r="G9832" s="11">
        <v>37815.120000000003</v>
      </c>
    </row>
    <row r="9833" spans="2:7" x14ac:dyDescent="0.2">
      <c r="B9833" s="32">
        <v>46093</v>
      </c>
      <c r="C9833" t="s">
        <v>109</v>
      </c>
      <c r="D9833" s="13" t="s">
        <v>633</v>
      </c>
      <c r="E9833" t="s">
        <v>145</v>
      </c>
      <c r="F9833" s="11">
        <v>1</v>
      </c>
      <c r="G9833" s="11">
        <v>29411.759999999998</v>
      </c>
    </row>
    <row r="9834" spans="2:7" x14ac:dyDescent="0.2">
      <c r="B9834" s="32">
        <v>46094</v>
      </c>
      <c r="C9834" t="s">
        <v>142</v>
      </c>
      <c r="D9834" s="13" t="s">
        <v>634</v>
      </c>
      <c r="E9834" t="s">
        <v>485</v>
      </c>
      <c r="F9834" s="11">
        <v>1</v>
      </c>
      <c r="G9834" s="11">
        <v>277310.92</v>
      </c>
    </row>
    <row r="9835" spans="2:7" x14ac:dyDescent="0.2">
      <c r="B9835" s="32">
        <v>46094</v>
      </c>
      <c r="C9835" t="s">
        <v>142</v>
      </c>
      <c r="D9835" s="13" t="s">
        <v>634</v>
      </c>
      <c r="E9835" t="s">
        <v>543</v>
      </c>
      <c r="F9835" s="11">
        <v>1</v>
      </c>
      <c r="G9835" s="11">
        <v>71428.570000000007</v>
      </c>
    </row>
    <row r="9836" spans="2:7" x14ac:dyDescent="0.2">
      <c r="B9836" s="32">
        <v>46094</v>
      </c>
      <c r="C9836" t="s">
        <v>142</v>
      </c>
      <c r="D9836" s="13" t="s">
        <v>633</v>
      </c>
      <c r="E9836" t="s">
        <v>487</v>
      </c>
      <c r="F9836" s="11">
        <v>1</v>
      </c>
      <c r="G9836" s="11">
        <v>138655.46</v>
      </c>
    </row>
    <row r="9837" spans="2:7" x14ac:dyDescent="0.2">
      <c r="B9837" s="32">
        <v>46094</v>
      </c>
      <c r="C9837" t="s">
        <v>110</v>
      </c>
      <c r="D9837" s="13" t="s">
        <v>633</v>
      </c>
      <c r="E9837" t="s">
        <v>166</v>
      </c>
      <c r="F9837" s="11">
        <v>1</v>
      </c>
      <c r="G9837" s="11">
        <v>42016.81</v>
      </c>
    </row>
    <row r="9838" spans="2:7" x14ac:dyDescent="0.2">
      <c r="B9838" s="32">
        <v>46094</v>
      </c>
      <c r="C9838" t="s">
        <v>109</v>
      </c>
      <c r="D9838" s="13" t="s">
        <v>634</v>
      </c>
      <c r="E9838" t="s">
        <v>445</v>
      </c>
      <c r="F9838" s="11">
        <v>1</v>
      </c>
      <c r="G9838" s="11">
        <v>54621.85</v>
      </c>
    </row>
    <row r="9839" spans="2:7" x14ac:dyDescent="0.2">
      <c r="B9839" s="32">
        <v>46094</v>
      </c>
      <c r="C9839" t="s">
        <v>109</v>
      </c>
      <c r="D9839" s="13" t="s">
        <v>634</v>
      </c>
      <c r="E9839" t="s">
        <v>151</v>
      </c>
      <c r="F9839" s="11">
        <v>1</v>
      </c>
      <c r="G9839" s="11">
        <v>50420.17</v>
      </c>
    </row>
    <row r="9840" spans="2:7" x14ac:dyDescent="0.2">
      <c r="B9840" s="32">
        <v>46094</v>
      </c>
      <c r="C9840" t="s">
        <v>109</v>
      </c>
      <c r="D9840" s="13" t="s">
        <v>633</v>
      </c>
      <c r="E9840" t="s">
        <v>389</v>
      </c>
      <c r="F9840" s="11">
        <v>1</v>
      </c>
      <c r="G9840" s="11">
        <v>151260.5</v>
      </c>
    </row>
    <row r="9841" spans="2:7" x14ac:dyDescent="0.2">
      <c r="B9841" s="32">
        <v>46094</v>
      </c>
      <c r="C9841" t="s">
        <v>109</v>
      </c>
      <c r="D9841" s="13" t="s">
        <v>633</v>
      </c>
      <c r="E9841" t="s">
        <v>144</v>
      </c>
      <c r="F9841" s="11">
        <v>3</v>
      </c>
      <c r="G9841" s="11">
        <v>142857.15</v>
      </c>
    </row>
    <row r="9842" spans="2:7" x14ac:dyDescent="0.2">
      <c r="B9842" s="32">
        <v>46094</v>
      </c>
      <c r="C9842" t="s">
        <v>109</v>
      </c>
      <c r="D9842" s="13" t="s">
        <v>633</v>
      </c>
      <c r="E9842" t="s">
        <v>376</v>
      </c>
      <c r="F9842" s="11">
        <v>1</v>
      </c>
      <c r="G9842" s="11">
        <v>117647.06</v>
      </c>
    </row>
    <row r="9843" spans="2:7" x14ac:dyDescent="0.2">
      <c r="B9843" s="32">
        <v>46094</v>
      </c>
      <c r="C9843" t="s">
        <v>109</v>
      </c>
      <c r="D9843" s="13" t="s">
        <v>633</v>
      </c>
      <c r="E9843" t="s">
        <v>212</v>
      </c>
      <c r="F9843" s="11">
        <v>2</v>
      </c>
      <c r="G9843" s="11">
        <v>117647.06</v>
      </c>
    </row>
    <row r="9844" spans="2:7" x14ac:dyDescent="0.2">
      <c r="B9844" s="32">
        <v>46094</v>
      </c>
      <c r="C9844" t="s">
        <v>109</v>
      </c>
      <c r="D9844" s="13" t="s">
        <v>633</v>
      </c>
      <c r="E9844" t="s">
        <v>152</v>
      </c>
      <c r="F9844" s="11">
        <v>1</v>
      </c>
      <c r="G9844" s="11">
        <v>84033.61</v>
      </c>
    </row>
    <row r="9845" spans="2:7" x14ac:dyDescent="0.2">
      <c r="B9845" s="32">
        <v>46094</v>
      </c>
      <c r="C9845" t="s">
        <v>109</v>
      </c>
      <c r="D9845" s="13" t="s">
        <v>633</v>
      </c>
      <c r="E9845" t="s">
        <v>395</v>
      </c>
      <c r="F9845" s="11">
        <v>1</v>
      </c>
      <c r="G9845" s="11">
        <v>84033.61</v>
      </c>
    </row>
    <row r="9846" spans="2:7" x14ac:dyDescent="0.2">
      <c r="B9846" s="32">
        <v>46094</v>
      </c>
      <c r="C9846" t="s">
        <v>109</v>
      </c>
      <c r="D9846" s="13" t="s">
        <v>633</v>
      </c>
      <c r="E9846" t="s">
        <v>193</v>
      </c>
      <c r="F9846" s="11">
        <v>2</v>
      </c>
      <c r="G9846" s="11">
        <v>75630.259999999995</v>
      </c>
    </row>
    <row r="9847" spans="2:7" x14ac:dyDescent="0.2">
      <c r="B9847" s="32">
        <v>46094</v>
      </c>
      <c r="C9847" t="s">
        <v>109</v>
      </c>
      <c r="D9847" s="13" t="s">
        <v>633</v>
      </c>
      <c r="E9847" t="s">
        <v>348</v>
      </c>
      <c r="F9847" s="11">
        <v>1</v>
      </c>
      <c r="G9847" s="11">
        <v>58823.54</v>
      </c>
    </row>
    <row r="9848" spans="2:7" x14ac:dyDescent="0.2">
      <c r="B9848" s="32">
        <v>46094</v>
      </c>
      <c r="C9848" t="s">
        <v>109</v>
      </c>
      <c r="D9848" s="13" t="s">
        <v>633</v>
      </c>
      <c r="E9848" t="s">
        <v>146</v>
      </c>
      <c r="F9848" s="11">
        <v>1</v>
      </c>
      <c r="G9848" s="11">
        <v>50420.17</v>
      </c>
    </row>
    <row r="9849" spans="2:7" x14ac:dyDescent="0.2">
      <c r="B9849" s="32">
        <v>46094</v>
      </c>
      <c r="C9849" t="s">
        <v>109</v>
      </c>
      <c r="D9849" s="13" t="s">
        <v>633</v>
      </c>
      <c r="E9849" t="s">
        <v>642</v>
      </c>
      <c r="F9849" s="11">
        <v>1</v>
      </c>
      <c r="G9849" s="11">
        <v>49000</v>
      </c>
    </row>
    <row r="9850" spans="2:7" x14ac:dyDescent="0.2">
      <c r="B9850" s="32">
        <v>46094</v>
      </c>
      <c r="C9850" t="s">
        <v>109</v>
      </c>
      <c r="D9850" s="13" t="s">
        <v>633</v>
      </c>
      <c r="E9850" t="s">
        <v>367</v>
      </c>
      <c r="F9850" s="11">
        <v>1</v>
      </c>
      <c r="G9850" s="11">
        <v>16806.72</v>
      </c>
    </row>
    <row r="9851" spans="2:7" x14ac:dyDescent="0.2">
      <c r="B9851" s="32">
        <v>46095</v>
      </c>
      <c r="C9851" t="s">
        <v>142</v>
      </c>
      <c r="D9851" s="13" t="s">
        <v>634</v>
      </c>
      <c r="E9851" t="s">
        <v>528</v>
      </c>
      <c r="F9851" s="11">
        <v>1</v>
      </c>
      <c r="G9851" s="11">
        <v>277310.92</v>
      </c>
    </row>
    <row r="9852" spans="2:7" x14ac:dyDescent="0.2">
      <c r="B9852" s="32">
        <v>46095</v>
      </c>
      <c r="C9852" t="s">
        <v>142</v>
      </c>
      <c r="D9852" s="13" t="s">
        <v>634</v>
      </c>
      <c r="E9852" t="s">
        <v>545</v>
      </c>
      <c r="F9852" s="11">
        <v>1</v>
      </c>
      <c r="G9852" s="11">
        <v>58823.53</v>
      </c>
    </row>
    <row r="9853" spans="2:7" x14ac:dyDescent="0.2">
      <c r="B9853" s="32">
        <v>46095</v>
      </c>
      <c r="C9853" t="s">
        <v>142</v>
      </c>
      <c r="D9853" s="13" t="s">
        <v>633</v>
      </c>
      <c r="E9853" t="s">
        <v>449</v>
      </c>
      <c r="F9853" s="11">
        <v>1</v>
      </c>
      <c r="G9853" s="11">
        <v>411764.71</v>
      </c>
    </row>
    <row r="9854" spans="2:7" x14ac:dyDescent="0.2">
      <c r="B9854" s="32">
        <v>46095</v>
      </c>
      <c r="C9854" t="s">
        <v>142</v>
      </c>
      <c r="D9854" s="13" t="s">
        <v>633</v>
      </c>
      <c r="E9854" t="s">
        <v>442</v>
      </c>
      <c r="F9854" s="11">
        <v>1</v>
      </c>
      <c r="G9854" s="11">
        <v>63025.21</v>
      </c>
    </row>
    <row r="9855" spans="2:7" x14ac:dyDescent="0.2">
      <c r="B9855" s="32">
        <v>46095</v>
      </c>
      <c r="C9855" t="s">
        <v>142</v>
      </c>
      <c r="D9855" s="13" t="s">
        <v>633</v>
      </c>
      <c r="E9855" t="s">
        <v>267</v>
      </c>
      <c r="F9855" s="11">
        <v>1</v>
      </c>
      <c r="G9855" s="11">
        <v>58823.53</v>
      </c>
    </row>
    <row r="9856" spans="2:7" x14ac:dyDescent="0.2">
      <c r="B9856" s="32">
        <v>46095</v>
      </c>
      <c r="C9856" t="s">
        <v>142</v>
      </c>
      <c r="D9856" s="13" t="s">
        <v>633</v>
      </c>
      <c r="E9856" t="s">
        <v>158</v>
      </c>
      <c r="F9856" s="11">
        <v>1</v>
      </c>
      <c r="G9856" s="11">
        <v>46218.49</v>
      </c>
    </row>
    <row r="9857" spans="2:7" x14ac:dyDescent="0.2">
      <c r="B9857" s="32">
        <v>46095</v>
      </c>
      <c r="C9857" t="s">
        <v>110</v>
      </c>
      <c r="D9857" s="13" t="s">
        <v>633</v>
      </c>
      <c r="E9857" t="s">
        <v>164</v>
      </c>
      <c r="F9857" s="11">
        <v>1</v>
      </c>
      <c r="G9857" s="11">
        <v>75630.25</v>
      </c>
    </row>
    <row r="9858" spans="2:7" x14ac:dyDescent="0.2">
      <c r="B9858" s="32">
        <v>46095</v>
      </c>
      <c r="C9858" t="s">
        <v>110</v>
      </c>
      <c r="D9858" s="13" t="s">
        <v>633</v>
      </c>
      <c r="E9858" t="s">
        <v>238</v>
      </c>
      <c r="F9858" s="11">
        <v>1</v>
      </c>
      <c r="G9858" s="11">
        <v>46218.49</v>
      </c>
    </row>
    <row r="9859" spans="2:7" x14ac:dyDescent="0.2">
      <c r="B9859" s="32">
        <v>46095</v>
      </c>
      <c r="C9859" t="s">
        <v>109</v>
      </c>
      <c r="D9859" s="13"/>
      <c r="E9859" t="s">
        <v>357</v>
      </c>
      <c r="F9859" s="11">
        <v>1</v>
      </c>
      <c r="G9859" s="11">
        <v>75630.25</v>
      </c>
    </row>
    <row r="9860" spans="2:7" x14ac:dyDescent="0.2">
      <c r="B9860" s="32">
        <v>46095</v>
      </c>
      <c r="C9860" t="s">
        <v>109</v>
      </c>
      <c r="D9860" s="13" t="s">
        <v>634</v>
      </c>
      <c r="E9860" t="s">
        <v>143</v>
      </c>
      <c r="F9860" s="11">
        <v>1</v>
      </c>
      <c r="G9860" s="11">
        <v>277310.92</v>
      </c>
    </row>
    <row r="9861" spans="2:7" x14ac:dyDescent="0.2">
      <c r="B9861" s="32">
        <v>46095</v>
      </c>
      <c r="C9861" t="s">
        <v>109</v>
      </c>
      <c r="D9861" s="13" t="s">
        <v>634</v>
      </c>
      <c r="E9861" t="s">
        <v>144</v>
      </c>
      <c r="F9861" s="11">
        <v>12</v>
      </c>
      <c r="G9861" s="11">
        <v>180672.28</v>
      </c>
    </row>
    <row r="9862" spans="2:7" x14ac:dyDescent="0.2">
      <c r="B9862" s="32">
        <v>46095</v>
      </c>
      <c r="C9862" t="s">
        <v>109</v>
      </c>
      <c r="D9862" s="13" t="s">
        <v>634</v>
      </c>
      <c r="F9862" s="11">
        <v>1</v>
      </c>
      <c r="G9862" s="11">
        <v>126050.42</v>
      </c>
    </row>
    <row r="9863" spans="2:7" x14ac:dyDescent="0.2">
      <c r="B9863" s="32">
        <v>46095</v>
      </c>
      <c r="C9863" t="s">
        <v>109</v>
      </c>
      <c r="D9863" s="13" t="s">
        <v>634</v>
      </c>
      <c r="E9863" t="s">
        <v>218</v>
      </c>
      <c r="F9863" s="11">
        <v>3</v>
      </c>
      <c r="G9863" s="11">
        <v>126050.42</v>
      </c>
    </row>
    <row r="9864" spans="2:7" x14ac:dyDescent="0.2">
      <c r="B9864" s="32">
        <v>46095</v>
      </c>
      <c r="C9864" t="s">
        <v>109</v>
      </c>
      <c r="D9864" s="13" t="s">
        <v>634</v>
      </c>
      <c r="E9864" t="s">
        <v>149</v>
      </c>
      <c r="F9864" s="11">
        <v>1</v>
      </c>
      <c r="G9864" s="11">
        <v>75630.259999999995</v>
      </c>
    </row>
    <row r="9865" spans="2:7" x14ac:dyDescent="0.2">
      <c r="B9865" s="32">
        <v>46095</v>
      </c>
      <c r="C9865" t="s">
        <v>109</v>
      </c>
      <c r="D9865" s="13" t="s">
        <v>634</v>
      </c>
      <c r="E9865" t="s">
        <v>336</v>
      </c>
      <c r="F9865" s="11">
        <v>1</v>
      </c>
      <c r="G9865" s="11">
        <v>75630.25</v>
      </c>
    </row>
    <row r="9866" spans="2:7" x14ac:dyDescent="0.2">
      <c r="B9866" s="32">
        <v>46095</v>
      </c>
      <c r="C9866" t="s">
        <v>109</v>
      </c>
      <c r="D9866" s="13" t="s">
        <v>634</v>
      </c>
      <c r="E9866" t="s">
        <v>147</v>
      </c>
      <c r="F9866" s="11">
        <v>1</v>
      </c>
      <c r="G9866" s="11">
        <v>75630.25</v>
      </c>
    </row>
    <row r="9867" spans="2:7" x14ac:dyDescent="0.2">
      <c r="B9867" s="32">
        <v>46095</v>
      </c>
      <c r="C9867" t="s">
        <v>109</v>
      </c>
      <c r="D9867" s="13" t="s">
        <v>634</v>
      </c>
      <c r="E9867" t="s">
        <v>145</v>
      </c>
      <c r="F9867" s="11">
        <v>2</v>
      </c>
      <c r="G9867" s="11">
        <v>58823.519999999997</v>
      </c>
    </row>
    <row r="9868" spans="2:7" x14ac:dyDescent="0.2">
      <c r="B9868" s="32">
        <v>46095</v>
      </c>
      <c r="C9868" t="s">
        <v>109</v>
      </c>
      <c r="D9868" s="13" t="s">
        <v>634</v>
      </c>
      <c r="E9868" t="s">
        <v>560</v>
      </c>
      <c r="F9868" s="11">
        <v>1</v>
      </c>
      <c r="G9868" s="11">
        <v>50420.17</v>
      </c>
    </row>
    <row r="9869" spans="2:7" x14ac:dyDescent="0.2">
      <c r="B9869" s="32">
        <v>46095</v>
      </c>
      <c r="C9869" t="s">
        <v>109</v>
      </c>
      <c r="D9869" s="13" t="s">
        <v>634</v>
      </c>
      <c r="E9869" t="s">
        <v>150</v>
      </c>
      <c r="F9869" s="11">
        <v>1</v>
      </c>
      <c r="G9869" s="11">
        <v>46218.49</v>
      </c>
    </row>
    <row r="9870" spans="2:7" x14ac:dyDescent="0.2">
      <c r="B9870" s="32">
        <v>46095</v>
      </c>
      <c r="C9870" t="s">
        <v>109</v>
      </c>
      <c r="D9870" s="13" t="s">
        <v>634</v>
      </c>
      <c r="E9870" t="s">
        <v>549</v>
      </c>
      <c r="F9870" s="11">
        <v>1</v>
      </c>
      <c r="G9870" s="11">
        <v>46218.49</v>
      </c>
    </row>
    <row r="9871" spans="2:7" x14ac:dyDescent="0.2">
      <c r="B9871" s="32">
        <v>46095</v>
      </c>
      <c r="C9871" t="s">
        <v>109</v>
      </c>
      <c r="D9871" s="13" t="s">
        <v>634</v>
      </c>
      <c r="E9871" t="s">
        <v>171</v>
      </c>
      <c r="F9871" s="11">
        <v>1</v>
      </c>
      <c r="G9871" s="11">
        <v>29411.759999999998</v>
      </c>
    </row>
    <row r="9872" spans="2:7" x14ac:dyDescent="0.2">
      <c r="B9872" s="32">
        <v>46095</v>
      </c>
      <c r="C9872" t="s">
        <v>109</v>
      </c>
      <c r="D9872" s="13" t="s">
        <v>633</v>
      </c>
      <c r="E9872" t="s">
        <v>144</v>
      </c>
      <c r="F9872" s="11">
        <v>11</v>
      </c>
      <c r="G9872" s="11">
        <v>191596.63</v>
      </c>
    </row>
    <row r="9873" spans="2:7" x14ac:dyDescent="0.2">
      <c r="B9873" s="32">
        <v>46095</v>
      </c>
      <c r="C9873" t="s">
        <v>109</v>
      </c>
      <c r="D9873" s="13" t="s">
        <v>633</v>
      </c>
      <c r="E9873" t="s">
        <v>738</v>
      </c>
      <c r="F9873" s="11">
        <v>1</v>
      </c>
      <c r="G9873" s="11">
        <v>159663.87</v>
      </c>
    </row>
    <row r="9874" spans="2:7" x14ac:dyDescent="0.2">
      <c r="B9874" s="32">
        <v>46095</v>
      </c>
      <c r="C9874" t="s">
        <v>109</v>
      </c>
      <c r="D9874" s="13" t="s">
        <v>633</v>
      </c>
      <c r="E9874" t="s">
        <v>166</v>
      </c>
      <c r="F9874" s="11">
        <v>3</v>
      </c>
      <c r="G9874" s="11">
        <v>126050.43</v>
      </c>
    </row>
    <row r="9875" spans="2:7" x14ac:dyDescent="0.2">
      <c r="B9875" s="32">
        <v>46095</v>
      </c>
      <c r="C9875" t="s">
        <v>109</v>
      </c>
      <c r="D9875" s="13" t="s">
        <v>633</v>
      </c>
      <c r="F9875" s="11">
        <v>1</v>
      </c>
      <c r="G9875" s="11">
        <v>117647.06</v>
      </c>
    </row>
    <row r="9876" spans="2:7" x14ac:dyDescent="0.2">
      <c r="B9876" s="32">
        <v>46095</v>
      </c>
      <c r="C9876" t="s">
        <v>109</v>
      </c>
      <c r="D9876" s="13" t="s">
        <v>633</v>
      </c>
      <c r="E9876" t="s">
        <v>417</v>
      </c>
      <c r="F9876" s="11">
        <v>1</v>
      </c>
      <c r="G9876" s="11">
        <v>90756.3</v>
      </c>
    </row>
    <row r="9877" spans="2:7" x14ac:dyDescent="0.2">
      <c r="B9877" s="32">
        <v>46095</v>
      </c>
      <c r="C9877" t="s">
        <v>109</v>
      </c>
      <c r="D9877" s="13" t="s">
        <v>633</v>
      </c>
      <c r="E9877" t="s">
        <v>698</v>
      </c>
      <c r="F9877" s="11">
        <v>1</v>
      </c>
      <c r="G9877" s="11">
        <v>84033.61</v>
      </c>
    </row>
    <row r="9878" spans="2:7" x14ac:dyDescent="0.2">
      <c r="B9878" s="32">
        <v>46095</v>
      </c>
      <c r="C9878" t="s">
        <v>109</v>
      </c>
      <c r="D9878" s="13" t="s">
        <v>633</v>
      </c>
      <c r="E9878" t="s">
        <v>192</v>
      </c>
      <c r="F9878" s="11">
        <v>1</v>
      </c>
      <c r="G9878" s="11">
        <v>75630.25</v>
      </c>
    </row>
    <row r="9879" spans="2:7" x14ac:dyDescent="0.2">
      <c r="B9879" s="32">
        <v>46095</v>
      </c>
      <c r="C9879" t="s">
        <v>109</v>
      </c>
      <c r="D9879" s="13" t="s">
        <v>633</v>
      </c>
      <c r="E9879" t="s">
        <v>352</v>
      </c>
      <c r="F9879" s="11">
        <v>1</v>
      </c>
      <c r="G9879" s="11">
        <v>75630.25</v>
      </c>
    </row>
    <row r="9880" spans="2:7" x14ac:dyDescent="0.2">
      <c r="B9880" s="32">
        <v>46095</v>
      </c>
      <c r="C9880" t="s">
        <v>109</v>
      </c>
      <c r="D9880" s="13" t="s">
        <v>633</v>
      </c>
      <c r="E9880" t="s">
        <v>147</v>
      </c>
      <c r="F9880" s="11">
        <v>1</v>
      </c>
      <c r="G9880" s="11">
        <v>75630.25</v>
      </c>
    </row>
    <row r="9881" spans="2:7" x14ac:dyDescent="0.2">
      <c r="B9881" s="32">
        <v>46095</v>
      </c>
      <c r="C9881" t="s">
        <v>109</v>
      </c>
      <c r="D9881" s="13" t="s">
        <v>633</v>
      </c>
      <c r="E9881" t="s">
        <v>336</v>
      </c>
      <c r="F9881" s="11">
        <v>1</v>
      </c>
      <c r="G9881" s="11">
        <v>75630.25</v>
      </c>
    </row>
    <row r="9882" spans="2:7" x14ac:dyDescent="0.2">
      <c r="B9882" s="32">
        <v>46095</v>
      </c>
      <c r="C9882" t="s">
        <v>109</v>
      </c>
      <c r="D9882" s="13" t="s">
        <v>633</v>
      </c>
      <c r="E9882" t="s">
        <v>149</v>
      </c>
      <c r="F9882" s="11">
        <v>1</v>
      </c>
      <c r="G9882" s="11">
        <v>75630.25</v>
      </c>
    </row>
    <row r="9883" spans="2:7" x14ac:dyDescent="0.2">
      <c r="B9883" s="32">
        <v>46095</v>
      </c>
      <c r="C9883" t="s">
        <v>109</v>
      </c>
      <c r="D9883" s="13" t="s">
        <v>633</v>
      </c>
      <c r="E9883" t="s">
        <v>781</v>
      </c>
      <c r="F9883" s="11">
        <v>1</v>
      </c>
      <c r="G9883" s="11">
        <v>71428.570000000007</v>
      </c>
    </row>
    <row r="9884" spans="2:7" x14ac:dyDescent="0.2">
      <c r="B9884" s="32">
        <v>46095</v>
      </c>
      <c r="C9884" t="s">
        <v>109</v>
      </c>
      <c r="D9884" s="13" t="s">
        <v>633</v>
      </c>
      <c r="E9884" t="s">
        <v>285</v>
      </c>
      <c r="F9884" s="11">
        <v>1</v>
      </c>
      <c r="G9884" s="11">
        <v>63025.21</v>
      </c>
    </row>
    <row r="9885" spans="2:7" x14ac:dyDescent="0.2">
      <c r="B9885" s="32">
        <v>46095</v>
      </c>
      <c r="C9885" t="s">
        <v>109</v>
      </c>
      <c r="D9885" s="13" t="s">
        <v>633</v>
      </c>
      <c r="E9885" t="s">
        <v>306</v>
      </c>
      <c r="F9885" s="11">
        <v>1</v>
      </c>
      <c r="G9885" s="11">
        <v>63025.21</v>
      </c>
    </row>
    <row r="9886" spans="2:7" x14ac:dyDescent="0.2">
      <c r="B9886" s="32">
        <v>46095</v>
      </c>
      <c r="C9886" t="s">
        <v>109</v>
      </c>
      <c r="D9886" s="13" t="s">
        <v>633</v>
      </c>
      <c r="E9886" t="s">
        <v>238</v>
      </c>
      <c r="F9886" s="11">
        <v>1</v>
      </c>
      <c r="G9886" s="11">
        <v>46218.49</v>
      </c>
    </row>
    <row r="9887" spans="2:7" x14ac:dyDescent="0.2">
      <c r="B9887" s="32">
        <v>46095</v>
      </c>
      <c r="C9887" t="s">
        <v>109</v>
      </c>
      <c r="D9887" s="13" t="s">
        <v>633</v>
      </c>
      <c r="E9887" t="s">
        <v>168</v>
      </c>
      <c r="F9887" s="11">
        <v>1</v>
      </c>
      <c r="G9887" s="11">
        <v>46218.49</v>
      </c>
    </row>
    <row r="9888" spans="2:7" x14ac:dyDescent="0.2">
      <c r="B9888" s="32">
        <v>46095</v>
      </c>
      <c r="C9888" t="s">
        <v>109</v>
      </c>
      <c r="D9888" s="13" t="s">
        <v>633</v>
      </c>
      <c r="E9888" t="s">
        <v>150</v>
      </c>
      <c r="F9888" s="11">
        <v>1</v>
      </c>
      <c r="G9888" s="11">
        <v>46218.49</v>
      </c>
    </row>
    <row r="9889" spans="2:7" x14ac:dyDescent="0.2">
      <c r="B9889" s="32">
        <v>46095</v>
      </c>
      <c r="C9889" t="s">
        <v>109</v>
      </c>
      <c r="D9889" s="13" t="s">
        <v>633</v>
      </c>
      <c r="E9889" t="s">
        <v>240</v>
      </c>
      <c r="F9889" s="11">
        <v>1</v>
      </c>
      <c r="G9889" s="11">
        <v>46218.49</v>
      </c>
    </row>
    <row r="9890" spans="2:7" x14ac:dyDescent="0.2">
      <c r="B9890" s="32">
        <v>46095</v>
      </c>
      <c r="C9890" t="s">
        <v>109</v>
      </c>
      <c r="D9890" s="13" t="s">
        <v>633</v>
      </c>
      <c r="E9890" t="s">
        <v>203</v>
      </c>
      <c r="F9890" s="11">
        <v>1</v>
      </c>
      <c r="G9890" s="11">
        <v>42016.81</v>
      </c>
    </row>
    <row r="9891" spans="2:7" x14ac:dyDescent="0.2">
      <c r="B9891" s="32">
        <v>46095</v>
      </c>
      <c r="C9891" t="s">
        <v>109</v>
      </c>
      <c r="D9891" s="13" t="s">
        <v>633</v>
      </c>
      <c r="E9891" t="s">
        <v>234</v>
      </c>
      <c r="F9891" s="11">
        <v>1</v>
      </c>
      <c r="G9891" s="11">
        <v>37815.14</v>
      </c>
    </row>
    <row r="9892" spans="2:7" x14ac:dyDescent="0.2">
      <c r="B9892" s="32">
        <v>46095</v>
      </c>
      <c r="C9892" t="s">
        <v>109</v>
      </c>
      <c r="D9892" s="13" t="s">
        <v>633</v>
      </c>
      <c r="E9892" t="s">
        <v>293</v>
      </c>
      <c r="F9892" s="11">
        <v>1</v>
      </c>
      <c r="G9892" s="11">
        <v>37815.129999999997</v>
      </c>
    </row>
    <row r="9893" spans="2:7" x14ac:dyDescent="0.2">
      <c r="B9893" s="32">
        <v>46095</v>
      </c>
      <c r="C9893" t="s">
        <v>109</v>
      </c>
      <c r="D9893" s="13" t="s">
        <v>633</v>
      </c>
      <c r="E9893" t="s">
        <v>466</v>
      </c>
      <c r="F9893" s="11">
        <v>1</v>
      </c>
      <c r="G9893" s="11">
        <v>37815.120000000003</v>
      </c>
    </row>
    <row r="9894" spans="2:7" x14ac:dyDescent="0.2">
      <c r="B9894" s="32">
        <v>46095</v>
      </c>
      <c r="C9894" t="s">
        <v>109</v>
      </c>
      <c r="D9894" s="13" t="s">
        <v>633</v>
      </c>
      <c r="E9894" t="s">
        <v>342</v>
      </c>
      <c r="F9894" s="11">
        <v>1</v>
      </c>
      <c r="G9894" s="11">
        <v>37815.120000000003</v>
      </c>
    </row>
    <row r="9895" spans="2:7" x14ac:dyDescent="0.2">
      <c r="B9895" s="32">
        <v>46095</v>
      </c>
      <c r="C9895" t="s">
        <v>109</v>
      </c>
      <c r="D9895" s="13" t="s">
        <v>633</v>
      </c>
      <c r="E9895" t="s">
        <v>522</v>
      </c>
      <c r="F9895" s="11">
        <v>1</v>
      </c>
      <c r="G9895" s="11">
        <v>35000</v>
      </c>
    </row>
    <row r="9896" spans="2:7" x14ac:dyDescent="0.2">
      <c r="B9896" s="32">
        <v>46095</v>
      </c>
      <c r="C9896" t="s">
        <v>109</v>
      </c>
      <c r="D9896" s="13" t="s">
        <v>633</v>
      </c>
      <c r="E9896" t="s">
        <v>145</v>
      </c>
      <c r="F9896" s="11">
        <v>1</v>
      </c>
      <c r="G9896" s="11">
        <v>29411.759999999998</v>
      </c>
    </row>
    <row r="9897" spans="2:7" x14ac:dyDescent="0.2">
      <c r="B9897" s="32">
        <v>46096</v>
      </c>
      <c r="C9897" t="s">
        <v>142</v>
      </c>
      <c r="D9897" s="13" t="s">
        <v>633</v>
      </c>
      <c r="E9897" t="s">
        <v>739</v>
      </c>
      <c r="F9897" s="11">
        <v>3</v>
      </c>
      <c r="G9897" s="11">
        <v>151260.5</v>
      </c>
    </row>
    <row r="9898" spans="2:7" x14ac:dyDescent="0.2">
      <c r="B9898" s="32">
        <v>46096</v>
      </c>
      <c r="C9898" t="s">
        <v>142</v>
      </c>
      <c r="D9898" s="13" t="s">
        <v>633</v>
      </c>
      <c r="E9898" t="s">
        <v>238</v>
      </c>
      <c r="F9898" s="11">
        <v>1</v>
      </c>
      <c r="G9898" s="11">
        <v>46218.49</v>
      </c>
    </row>
    <row r="9899" spans="2:7" x14ac:dyDescent="0.2">
      <c r="B9899" s="32">
        <v>46096</v>
      </c>
      <c r="C9899" t="s">
        <v>142</v>
      </c>
      <c r="D9899" s="13" t="s">
        <v>633</v>
      </c>
      <c r="E9899" t="s">
        <v>240</v>
      </c>
      <c r="F9899" s="11">
        <v>1</v>
      </c>
      <c r="G9899" s="11">
        <v>46218.49</v>
      </c>
    </row>
    <row r="9900" spans="2:7" x14ac:dyDescent="0.2">
      <c r="B9900" s="32">
        <v>46096</v>
      </c>
      <c r="C9900" t="s">
        <v>142</v>
      </c>
      <c r="D9900" s="13" t="s">
        <v>633</v>
      </c>
      <c r="E9900" t="s">
        <v>148</v>
      </c>
      <c r="F9900" s="11">
        <v>1</v>
      </c>
      <c r="G9900" s="11">
        <v>37815.129999999997</v>
      </c>
    </row>
    <row r="9901" spans="2:7" x14ac:dyDescent="0.2">
      <c r="B9901" s="32">
        <v>46096</v>
      </c>
      <c r="C9901" t="s">
        <v>109</v>
      </c>
      <c r="D9901" s="13" t="s">
        <v>634</v>
      </c>
      <c r="E9901" t="s">
        <v>423</v>
      </c>
      <c r="F9901" s="11">
        <v>1</v>
      </c>
      <c r="G9901" s="11">
        <v>159663.87</v>
      </c>
    </row>
    <row r="9902" spans="2:7" x14ac:dyDescent="0.2">
      <c r="B9902" s="32">
        <v>46096</v>
      </c>
      <c r="C9902" t="s">
        <v>109</v>
      </c>
      <c r="D9902" s="13" t="s">
        <v>634</v>
      </c>
      <c r="E9902" t="s">
        <v>562</v>
      </c>
      <c r="F9902" s="11">
        <v>1</v>
      </c>
      <c r="G9902" s="11">
        <v>142857.14000000001</v>
      </c>
    </row>
    <row r="9903" spans="2:7" x14ac:dyDescent="0.2">
      <c r="B9903" s="32">
        <v>46096</v>
      </c>
      <c r="C9903" t="s">
        <v>109</v>
      </c>
      <c r="D9903" s="13" t="s">
        <v>633</v>
      </c>
      <c r="E9903" t="s">
        <v>218</v>
      </c>
      <c r="F9903" s="11">
        <v>6</v>
      </c>
      <c r="G9903" s="11">
        <v>252100.84</v>
      </c>
    </row>
    <row r="9904" spans="2:7" x14ac:dyDescent="0.2">
      <c r="B9904" s="32">
        <v>46096</v>
      </c>
      <c r="C9904" t="s">
        <v>109</v>
      </c>
      <c r="D9904" s="13" t="s">
        <v>633</v>
      </c>
      <c r="F9904" s="11">
        <v>1</v>
      </c>
      <c r="G9904" s="11">
        <v>126050.42</v>
      </c>
    </row>
    <row r="9905" spans="2:7" x14ac:dyDescent="0.2">
      <c r="B9905" s="32">
        <v>46096</v>
      </c>
      <c r="C9905" t="s">
        <v>109</v>
      </c>
      <c r="D9905" s="13" t="s">
        <v>633</v>
      </c>
      <c r="E9905" t="s">
        <v>144</v>
      </c>
      <c r="F9905" s="11">
        <v>11</v>
      </c>
      <c r="G9905" s="11">
        <v>117647.05</v>
      </c>
    </row>
    <row r="9906" spans="2:7" x14ac:dyDescent="0.2">
      <c r="B9906" s="32">
        <v>46096</v>
      </c>
      <c r="C9906" t="s">
        <v>109</v>
      </c>
      <c r="D9906" s="13" t="s">
        <v>633</v>
      </c>
      <c r="E9906" t="s">
        <v>264</v>
      </c>
      <c r="F9906" s="11">
        <v>1</v>
      </c>
      <c r="G9906" s="11">
        <v>84033.62</v>
      </c>
    </row>
    <row r="9907" spans="2:7" x14ac:dyDescent="0.2">
      <c r="B9907" s="32">
        <v>46096</v>
      </c>
      <c r="C9907" t="s">
        <v>109</v>
      </c>
      <c r="D9907" s="13" t="s">
        <v>633</v>
      </c>
      <c r="E9907" t="s">
        <v>475</v>
      </c>
      <c r="F9907" s="11">
        <v>1</v>
      </c>
      <c r="G9907" s="11">
        <v>75630.25</v>
      </c>
    </row>
    <row r="9908" spans="2:7" x14ac:dyDescent="0.2">
      <c r="B9908" s="32">
        <v>46096</v>
      </c>
      <c r="C9908" t="s">
        <v>109</v>
      </c>
      <c r="D9908" s="13" t="s">
        <v>633</v>
      </c>
      <c r="E9908" t="s">
        <v>189</v>
      </c>
      <c r="F9908" s="11">
        <v>1</v>
      </c>
      <c r="G9908" s="11">
        <v>75630.25</v>
      </c>
    </row>
    <row r="9909" spans="2:7" x14ac:dyDescent="0.2">
      <c r="B9909" s="32">
        <v>46096</v>
      </c>
      <c r="C9909" t="s">
        <v>109</v>
      </c>
      <c r="D9909" s="13" t="s">
        <v>633</v>
      </c>
      <c r="E9909" t="s">
        <v>258</v>
      </c>
      <c r="F9909" s="11">
        <v>1</v>
      </c>
      <c r="G9909" s="11">
        <v>58823.53</v>
      </c>
    </row>
    <row r="9910" spans="2:7" x14ac:dyDescent="0.2">
      <c r="B9910" s="32">
        <v>46096</v>
      </c>
      <c r="C9910" t="s">
        <v>109</v>
      </c>
      <c r="D9910" s="13" t="s">
        <v>633</v>
      </c>
      <c r="E9910" t="s">
        <v>704</v>
      </c>
      <c r="F9910" s="11">
        <v>1</v>
      </c>
      <c r="G9910" s="11">
        <v>46218.49</v>
      </c>
    </row>
    <row r="9911" spans="2:7" x14ac:dyDescent="0.2">
      <c r="B9911" s="32">
        <v>46096</v>
      </c>
      <c r="C9911" t="s">
        <v>109</v>
      </c>
      <c r="D9911" s="13" t="s">
        <v>633</v>
      </c>
      <c r="E9911" t="s">
        <v>150</v>
      </c>
      <c r="F9911" s="11">
        <v>1</v>
      </c>
      <c r="G9911" s="11">
        <v>46218.49</v>
      </c>
    </row>
    <row r="9912" spans="2:7" x14ac:dyDescent="0.2">
      <c r="B9912" s="32">
        <v>46096</v>
      </c>
      <c r="C9912" t="s">
        <v>109</v>
      </c>
      <c r="D9912" s="13" t="s">
        <v>633</v>
      </c>
      <c r="E9912" t="s">
        <v>309</v>
      </c>
      <c r="F9912" s="11">
        <v>1</v>
      </c>
      <c r="G9912" s="11">
        <v>42016.81</v>
      </c>
    </row>
    <row r="9913" spans="2:7" x14ac:dyDescent="0.2">
      <c r="B9913" s="32">
        <v>46096</v>
      </c>
      <c r="C9913" t="s">
        <v>109</v>
      </c>
      <c r="D9913" s="13" t="s">
        <v>633</v>
      </c>
      <c r="E9913" t="s">
        <v>328</v>
      </c>
      <c r="F9913" s="11">
        <v>1</v>
      </c>
      <c r="G9913" s="11">
        <v>37815.129999999997</v>
      </c>
    </row>
    <row r="9914" spans="2:7" x14ac:dyDescent="0.2">
      <c r="B9914" s="32">
        <v>46096</v>
      </c>
      <c r="C9914" t="s">
        <v>109</v>
      </c>
      <c r="D9914" s="13" t="s">
        <v>633</v>
      </c>
      <c r="E9914" t="s">
        <v>173</v>
      </c>
      <c r="F9914" s="11">
        <v>1</v>
      </c>
      <c r="G9914" s="11">
        <v>37815.129999999997</v>
      </c>
    </row>
    <row r="9915" spans="2:7" x14ac:dyDescent="0.2">
      <c r="B9915" s="32">
        <v>46096</v>
      </c>
      <c r="C9915" t="s">
        <v>109</v>
      </c>
      <c r="D9915" s="13" t="s">
        <v>633</v>
      </c>
      <c r="E9915" t="s">
        <v>293</v>
      </c>
      <c r="F9915" s="11">
        <v>1</v>
      </c>
      <c r="G9915" s="11">
        <v>37815.120000000003</v>
      </c>
    </row>
    <row r="9916" spans="2:7" x14ac:dyDescent="0.2">
      <c r="B9916" s="32">
        <v>46096</v>
      </c>
      <c r="C9916" t="s">
        <v>109</v>
      </c>
      <c r="D9916" s="13" t="s">
        <v>633</v>
      </c>
      <c r="E9916" t="s">
        <v>552</v>
      </c>
      <c r="F9916" s="11">
        <v>1</v>
      </c>
      <c r="G9916" s="11">
        <v>16806.72</v>
      </c>
    </row>
    <row r="9917" spans="2:7" x14ac:dyDescent="0.2">
      <c r="B9917" s="32">
        <v>46096</v>
      </c>
      <c r="C9917" t="s">
        <v>109</v>
      </c>
      <c r="D9917" s="13" t="s">
        <v>633</v>
      </c>
      <c r="E9917" t="s">
        <v>333</v>
      </c>
      <c r="F9917" s="11">
        <v>1</v>
      </c>
      <c r="G9917" s="11">
        <v>16806.72</v>
      </c>
    </row>
    <row r="9918" spans="2:7" x14ac:dyDescent="0.2">
      <c r="B9918" s="32">
        <v>46097</v>
      </c>
      <c r="C9918" t="s">
        <v>142</v>
      </c>
      <c r="D9918" s="13" t="s">
        <v>634</v>
      </c>
      <c r="E9918" t="s">
        <v>165</v>
      </c>
      <c r="F9918" s="11">
        <v>1</v>
      </c>
      <c r="G9918" s="11">
        <v>63025.21</v>
      </c>
    </row>
    <row r="9919" spans="2:7" x14ac:dyDescent="0.2">
      <c r="B9919" s="32">
        <v>46097</v>
      </c>
      <c r="C9919" t="s">
        <v>142</v>
      </c>
      <c r="D9919" s="13" t="s">
        <v>634</v>
      </c>
      <c r="E9919" t="s">
        <v>500</v>
      </c>
      <c r="F9919" s="11">
        <v>1</v>
      </c>
      <c r="G9919" s="11">
        <v>63025.21</v>
      </c>
    </row>
    <row r="9920" spans="2:7" x14ac:dyDescent="0.2">
      <c r="B9920" s="32">
        <v>46097</v>
      </c>
      <c r="C9920" t="s">
        <v>142</v>
      </c>
      <c r="D9920" s="13" t="s">
        <v>634</v>
      </c>
      <c r="E9920" t="s">
        <v>439</v>
      </c>
      <c r="F9920" s="11">
        <v>1</v>
      </c>
      <c r="G9920" s="11">
        <v>63025.21</v>
      </c>
    </row>
    <row r="9921" spans="2:7" x14ac:dyDescent="0.2">
      <c r="B9921" s="32">
        <v>46097</v>
      </c>
      <c r="C9921" t="s">
        <v>142</v>
      </c>
      <c r="D9921" s="13" t="s">
        <v>633</v>
      </c>
      <c r="E9921" t="s">
        <v>167</v>
      </c>
      <c r="F9921" s="11">
        <v>1</v>
      </c>
      <c r="G9921" s="11">
        <v>113445.38</v>
      </c>
    </row>
    <row r="9922" spans="2:7" x14ac:dyDescent="0.2">
      <c r="B9922" s="32">
        <v>46097</v>
      </c>
      <c r="C9922" t="s">
        <v>142</v>
      </c>
      <c r="D9922" s="13" t="s">
        <v>633</v>
      </c>
      <c r="E9922" t="s">
        <v>783</v>
      </c>
      <c r="F9922" s="11">
        <v>1</v>
      </c>
      <c r="G9922" s="11">
        <v>109243.7</v>
      </c>
    </row>
    <row r="9923" spans="2:7" x14ac:dyDescent="0.2">
      <c r="B9923" s="32">
        <v>46097</v>
      </c>
      <c r="C9923" t="s">
        <v>142</v>
      </c>
      <c r="D9923" s="13" t="s">
        <v>633</v>
      </c>
      <c r="E9923" t="s">
        <v>585</v>
      </c>
      <c r="F9923" s="11">
        <v>1</v>
      </c>
      <c r="G9923" s="11">
        <v>84033.61</v>
      </c>
    </row>
    <row r="9924" spans="2:7" x14ac:dyDescent="0.2">
      <c r="B9924" s="32">
        <v>46097</v>
      </c>
      <c r="C9924" t="s">
        <v>142</v>
      </c>
      <c r="D9924" s="13" t="s">
        <v>633</v>
      </c>
      <c r="E9924" t="s">
        <v>379</v>
      </c>
      <c r="F9924" s="11">
        <v>1</v>
      </c>
      <c r="G9924" s="11">
        <v>67226.89</v>
      </c>
    </row>
    <row r="9925" spans="2:7" x14ac:dyDescent="0.2">
      <c r="B9925" s="32">
        <v>46097</v>
      </c>
      <c r="C9925" t="s">
        <v>142</v>
      </c>
      <c r="D9925" s="13" t="s">
        <v>633</v>
      </c>
      <c r="E9925" t="s">
        <v>770</v>
      </c>
      <c r="F9925" s="11">
        <v>1</v>
      </c>
      <c r="G9925" s="11">
        <v>50420.17</v>
      </c>
    </row>
    <row r="9926" spans="2:7" x14ac:dyDescent="0.2">
      <c r="B9926" s="32">
        <v>46097</v>
      </c>
      <c r="C9926" t="s">
        <v>109</v>
      </c>
      <c r="D9926" s="13" t="s">
        <v>634</v>
      </c>
      <c r="E9926" t="s">
        <v>553</v>
      </c>
      <c r="F9926" s="11">
        <v>1</v>
      </c>
      <c r="G9926" s="11">
        <v>117647.06</v>
      </c>
    </row>
    <row r="9927" spans="2:7" x14ac:dyDescent="0.2">
      <c r="B9927" s="32">
        <v>46097</v>
      </c>
      <c r="C9927" t="s">
        <v>109</v>
      </c>
      <c r="D9927" s="13" t="s">
        <v>634</v>
      </c>
      <c r="E9927" t="s">
        <v>155</v>
      </c>
      <c r="F9927" s="11">
        <v>1</v>
      </c>
      <c r="G9927" s="11">
        <v>113445.38</v>
      </c>
    </row>
    <row r="9928" spans="2:7" x14ac:dyDescent="0.2">
      <c r="B9928" s="32">
        <v>46097</v>
      </c>
      <c r="C9928" t="s">
        <v>109</v>
      </c>
      <c r="D9928" s="13" t="s">
        <v>634</v>
      </c>
      <c r="E9928" t="s">
        <v>418</v>
      </c>
      <c r="F9928" s="11">
        <v>1</v>
      </c>
      <c r="G9928" s="11">
        <v>109243.7</v>
      </c>
    </row>
    <row r="9929" spans="2:7" x14ac:dyDescent="0.2">
      <c r="B9929" s="32">
        <v>46097</v>
      </c>
      <c r="C9929" t="s">
        <v>109</v>
      </c>
      <c r="D9929" s="13" t="s">
        <v>634</v>
      </c>
      <c r="E9929" t="s">
        <v>544</v>
      </c>
      <c r="F9929" s="11">
        <v>1</v>
      </c>
      <c r="G9929" s="11">
        <v>78000</v>
      </c>
    </row>
    <row r="9930" spans="2:7" x14ac:dyDescent="0.2">
      <c r="B9930" s="32">
        <v>46097</v>
      </c>
      <c r="C9930" t="s">
        <v>109</v>
      </c>
      <c r="D9930" s="13" t="s">
        <v>634</v>
      </c>
      <c r="E9930" t="s">
        <v>149</v>
      </c>
      <c r="F9930" s="11">
        <v>1</v>
      </c>
      <c r="G9930" s="11">
        <v>75630.25</v>
      </c>
    </row>
    <row r="9931" spans="2:7" x14ac:dyDescent="0.2">
      <c r="B9931" s="32">
        <v>46097</v>
      </c>
      <c r="C9931" t="s">
        <v>109</v>
      </c>
      <c r="D9931" s="13" t="s">
        <v>634</v>
      </c>
      <c r="E9931" t="s">
        <v>341</v>
      </c>
      <c r="F9931" s="11">
        <v>1</v>
      </c>
      <c r="G9931" s="11">
        <v>63025.21</v>
      </c>
    </row>
    <row r="9932" spans="2:7" x14ac:dyDescent="0.2">
      <c r="B9932" s="32">
        <v>46097</v>
      </c>
      <c r="C9932" t="s">
        <v>109</v>
      </c>
      <c r="D9932" s="13" t="s">
        <v>634</v>
      </c>
      <c r="E9932" t="s">
        <v>144</v>
      </c>
      <c r="F9932" s="11">
        <v>4</v>
      </c>
      <c r="G9932" s="11">
        <v>58823.53</v>
      </c>
    </row>
    <row r="9933" spans="2:7" x14ac:dyDescent="0.2">
      <c r="B9933" s="32">
        <v>46097</v>
      </c>
      <c r="C9933" t="s">
        <v>109</v>
      </c>
      <c r="D9933" s="13" t="s">
        <v>634</v>
      </c>
      <c r="E9933" t="s">
        <v>396</v>
      </c>
      <c r="F9933" s="11">
        <v>1</v>
      </c>
      <c r="G9933" s="11">
        <v>46218.49</v>
      </c>
    </row>
    <row r="9934" spans="2:7" x14ac:dyDescent="0.2">
      <c r="B9934" s="32">
        <v>46097</v>
      </c>
      <c r="C9934" t="s">
        <v>109</v>
      </c>
      <c r="D9934" s="13" t="s">
        <v>634</v>
      </c>
      <c r="E9934" t="s">
        <v>327</v>
      </c>
      <c r="F9934" s="11">
        <v>1</v>
      </c>
      <c r="G9934" s="11">
        <v>35000</v>
      </c>
    </row>
    <row r="9935" spans="2:7" x14ac:dyDescent="0.2">
      <c r="B9935" s="32">
        <v>46097</v>
      </c>
      <c r="C9935" t="s">
        <v>109</v>
      </c>
      <c r="D9935" s="13" t="s">
        <v>634</v>
      </c>
      <c r="E9935" t="s">
        <v>145</v>
      </c>
      <c r="F9935" s="11">
        <v>1</v>
      </c>
      <c r="G9935" s="11">
        <v>29411.759999999998</v>
      </c>
    </row>
    <row r="9936" spans="2:7" x14ac:dyDescent="0.2">
      <c r="B9936" s="32">
        <v>46097</v>
      </c>
      <c r="C9936" t="s">
        <v>109</v>
      </c>
      <c r="D9936" s="13" t="s">
        <v>633</v>
      </c>
      <c r="E9936" t="s">
        <v>152</v>
      </c>
      <c r="F9936" s="11">
        <v>1</v>
      </c>
      <c r="G9936" s="11">
        <v>84033.61</v>
      </c>
    </row>
    <row r="9937" spans="2:7" x14ac:dyDescent="0.2">
      <c r="B9937" s="32">
        <v>46097</v>
      </c>
      <c r="C9937" t="s">
        <v>109</v>
      </c>
      <c r="D9937" s="13" t="s">
        <v>633</v>
      </c>
      <c r="E9937" t="s">
        <v>336</v>
      </c>
      <c r="F9937" s="11">
        <v>1</v>
      </c>
      <c r="G9937" s="11">
        <v>75630.25</v>
      </c>
    </row>
    <row r="9938" spans="2:7" x14ac:dyDescent="0.2">
      <c r="B9938" s="32">
        <v>46097</v>
      </c>
      <c r="C9938" t="s">
        <v>109</v>
      </c>
      <c r="D9938" s="13" t="s">
        <v>633</v>
      </c>
      <c r="E9938" t="s">
        <v>357</v>
      </c>
      <c r="F9938" s="11">
        <v>1</v>
      </c>
      <c r="G9938" s="11">
        <v>75630.25</v>
      </c>
    </row>
    <row r="9939" spans="2:7" x14ac:dyDescent="0.2">
      <c r="B9939" s="32">
        <v>46097</v>
      </c>
      <c r="C9939" t="s">
        <v>109</v>
      </c>
      <c r="D9939" s="13" t="s">
        <v>633</v>
      </c>
      <c r="E9939" t="s">
        <v>520</v>
      </c>
      <c r="F9939" s="11">
        <v>1</v>
      </c>
      <c r="G9939" s="11">
        <v>54621.85</v>
      </c>
    </row>
    <row r="9940" spans="2:7" x14ac:dyDescent="0.2">
      <c r="B9940" s="32">
        <v>46097</v>
      </c>
      <c r="C9940" t="s">
        <v>109</v>
      </c>
      <c r="D9940" s="13" t="s">
        <v>633</v>
      </c>
      <c r="E9940" t="s">
        <v>426</v>
      </c>
      <c r="F9940" s="11">
        <v>1</v>
      </c>
      <c r="G9940" s="11">
        <v>54621.85</v>
      </c>
    </row>
    <row r="9941" spans="2:7" x14ac:dyDescent="0.2">
      <c r="B9941" s="32">
        <v>46097</v>
      </c>
      <c r="C9941" t="s">
        <v>109</v>
      </c>
      <c r="D9941" s="13" t="s">
        <v>633</v>
      </c>
      <c r="E9941" t="s">
        <v>151</v>
      </c>
      <c r="F9941" s="11">
        <v>1</v>
      </c>
      <c r="G9941" s="11">
        <v>50420.17</v>
      </c>
    </row>
    <row r="9942" spans="2:7" x14ac:dyDescent="0.2">
      <c r="B9942" s="32">
        <v>46097</v>
      </c>
      <c r="C9942" t="s">
        <v>109</v>
      </c>
      <c r="D9942" s="13" t="s">
        <v>633</v>
      </c>
      <c r="E9942" t="s">
        <v>156</v>
      </c>
      <c r="F9942" s="11">
        <v>1</v>
      </c>
      <c r="G9942" s="11">
        <v>46218.48</v>
      </c>
    </row>
    <row r="9943" spans="2:7" x14ac:dyDescent="0.2">
      <c r="B9943" s="32">
        <v>46097</v>
      </c>
      <c r="C9943" t="s">
        <v>109</v>
      </c>
      <c r="D9943" s="13" t="s">
        <v>633</v>
      </c>
      <c r="E9943" t="s">
        <v>161</v>
      </c>
      <c r="F9943" s="11">
        <v>1</v>
      </c>
      <c r="G9943" s="11">
        <v>42016.81</v>
      </c>
    </row>
    <row r="9944" spans="2:7" x14ac:dyDescent="0.2">
      <c r="B9944" s="32">
        <v>46097</v>
      </c>
      <c r="C9944" t="s">
        <v>109</v>
      </c>
      <c r="D9944" s="13" t="s">
        <v>633</v>
      </c>
      <c r="E9944" t="s">
        <v>309</v>
      </c>
      <c r="F9944" s="11">
        <v>1</v>
      </c>
      <c r="G9944" s="11">
        <v>42016.81</v>
      </c>
    </row>
    <row r="9945" spans="2:7" x14ac:dyDescent="0.2">
      <c r="B9945" s="32">
        <v>46097</v>
      </c>
      <c r="C9945" t="s">
        <v>109</v>
      </c>
      <c r="D9945" s="13" t="s">
        <v>633</v>
      </c>
      <c r="E9945" t="s">
        <v>173</v>
      </c>
      <c r="F9945" s="11">
        <v>1</v>
      </c>
      <c r="G9945" s="11">
        <v>37815.129999999997</v>
      </c>
    </row>
    <row r="9946" spans="2:7" x14ac:dyDescent="0.2">
      <c r="B9946" s="32">
        <v>46097</v>
      </c>
      <c r="C9946" t="s">
        <v>109</v>
      </c>
      <c r="D9946" s="13" t="s">
        <v>633</v>
      </c>
      <c r="E9946" t="s">
        <v>342</v>
      </c>
      <c r="F9946" s="11">
        <v>1</v>
      </c>
      <c r="G9946" s="11">
        <v>37815.129999999997</v>
      </c>
    </row>
    <row r="9947" spans="2:7" x14ac:dyDescent="0.2">
      <c r="B9947" s="32">
        <v>46097</v>
      </c>
      <c r="C9947" t="s">
        <v>109</v>
      </c>
      <c r="D9947" s="13" t="s">
        <v>633</v>
      </c>
      <c r="E9947" t="s">
        <v>144</v>
      </c>
      <c r="F9947" s="11">
        <v>1</v>
      </c>
      <c r="G9947" s="11">
        <v>21008.400000000001</v>
      </c>
    </row>
    <row r="9948" spans="2:7" x14ac:dyDescent="0.2">
      <c r="B9948" s="32">
        <v>46098</v>
      </c>
      <c r="C9948" t="s">
        <v>142</v>
      </c>
      <c r="D9948" s="13" t="s">
        <v>634</v>
      </c>
      <c r="E9948" t="s">
        <v>252</v>
      </c>
      <c r="F9948" s="11">
        <v>1</v>
      </c>
      <c r="G9948" s="11">
        <v>239495.8</v>
      </c>
    </row>
    <row r="9949" spans="2:7" x14ac:dyDescent="0.2">
      <c r="B9949" s="32">
        <v>46098</v>
      </c>
      <c r="C9949" t="s">
        <v>142</v>
      </c>
      <c r="D9949" s="13" t="s">
        <v>634</v>
      </c>
      <c r="E9949" t="s">
        <v>402</v>
      </c>
      <c r="F9949" s="11">
        <v>1</v>
      </c>
      <c r="G9949" s="11">
        <v>210084.03</v>
      </c>
    </row>
    <row r="9950" spans="2:7" x14ac:dyDescent="0.2">
      <c r="B9950" s="32">
        <v>46098</v>
      </c>
      <c r="C9950" t="s">
        <v>142</v>
      </c>
      <c r="D9950" s="13" t="s">
        <v>634</v>
      </c>
      <c r="E9950" t="s">
        <v>529</v>
      </c>
      <c r="F9950" s="11">
        <v>1</v>
      </c>
      <c r="G9950" s="11">
        <v>84033.61</v>
      </c>
    </row>
    <row r="9951" spans="2:7" x14ac:dyDescent="0.2">
      <c r="B9951" s="32">
        <v>46098</v>
      </c>
      <c r="C9951" t="s">
        <v>142</v>
      </c>
      <c r="D9951" s="13" t="s">
        <v>634</v>
      </c>
      <c r="E9951" t="s">
        <v>163</v>
      </c>
      <c r="F9951" s="11">
        <v>1</v>
      </c>
      <c r="G9951" s="11">
        <v>63025.21</v>
      </c>
    </row>
    <row r="9952" spans="2:7" x14ac:dyDescent="0.2">
      <c r="B9952" s="32">
        <v>46098</v>
      </c>
      <c r="C9952" t="s">
        <v>142</v>
      </c>
      <c r="D9952" s="13" t="s">
        <v>634</v>
      </c>
      <c r="E9952" t="s">
        <v>233</v>
      </c>
      <c r="F9952" s="11">
        <v>1</v>
      </c>
      <c r="G9952" s="11">
        <v>63025.21</v>
      </c>
    </row>
    <row r="9953" spans="2:7" x14ac:dyDescent="0.2">
      <c r="B9953" s="32">
        <v>46098</v>
      </c>
      <c r="C9953" t="s">
        <v>142</v>
      </c>
      <c r="D9953" s="13" t="s">
        <v>634</v>
      </c>
      <c r="E9953" t="s">
        <v>374</v>
      </c>
      <c r="F9953" s="11">
        <v>1</v>
      </c>
      <c r="G9953" s="11">
        <v>58823.53</v>
      </c>
    </row>
    <row r="9954" spans="2:7" x14ac:dyDescent="0.2">
      <c r="B9954" s="32">
        <v>46098</v>
      </c>
      <c r="C9954" t="s">
        <v>142</v>
      </c>
      <c r="D9954" s="13" t="s">
        <v>634</v>
      </c>
      <c r="E9954" t="s">
        <v>538</v>
      </c>
      <c r="F9954" s="11">
        <v>1</v>
      </c>
      <c r="G9954" s="11">
        <v>33613.449999999997</v>
      </c>
    </row>
    <row r="9955" spans="2:7" x14ac:dyDescent="0.2">
      <c r="B9955" s="32">
        <v>46098</v>
      </c>
      <c r="C9955" t="s">
        <v>142</v>
      </c>
      <c r="D9955" s="13" t="s">
        <v>633</v>
      </c>
      <c r="E9955" t="s">
        <v>159</v>
      </c>
      <c r="F9955" s="11">
        <v>1</v>
      </c>
      <c r="G9955" s="11">
        <v>239495.8</v>
      </c>
    </row>
    <row r="9956" spans="2:7" x14ac:dyDescent="0.2">
      <c r="B9956" s="32">
        <v>46098</v>
      </c>
      <c r="C9956" t="s">
        <v>142</v>
      </c>
      <c r="D9956" s="13" t="s">
        <v>633</v>
      </c>
      <c r="E9956" t="s">
        <v>713</v>
      </c>
      <c r="F9956" s="11">
        <v>1</v>
      </c>
      <c r="G9956" s="11">
        <v>239495.8</v>
      </c>
    </row>
    <row r="9957" spans="2:7" x14ac:dyDescent="0.2">
      <c r="B9957" s="32">
        <v>46098</v>
      </c>
      <c r="C9957" t="s">
        <v>142</v>
      </c>
      <c r="D9957" s="13" t="s">
        <v>633</v>
      </c>
      <c r="E9957" t="s">
        <v>233</v>
      </c>
      <c r="F9957" s="11">
        <v>1</v>
      </c>
      <c r="G9957" s="11">
        <v>63025.21</v>
      </c>
    </row>
    <row r="9958" spans="2:7" x14ac:dyDescent="0.2">
      <c r="B9958" s="32">
        <v>46098</v>
      </c>
      <c r="C9958" t="s">
        <v>142</v>
      </c>
      <c r="D9958" s="13" t="s">
        <v>633</v>
      </c>
      <c r="E9958" t="s">
        <v>772</v>
      </c>
      <c r="F9958" s="11">
        <v>1</v>
      </c>
      <c r="G9958" s="11">
        <v>58823.53</v>
      </c>
    </row>
    <row r="9959" spans="2:7" x14ac:dyDescent="0.2">
      <c r="B9959" s="32">
        <v>46098</v>
      </c>
      <c r="C9959" t="s">
        <v>142</v>
      </c>
      <c r="D9959" s="13" t="s">
        <v>633</v>
      </c>
      <c r="E9959" t="s">
        <v>755</v>
      </c>
      <c r="F9959" s="11">
        <v>1</v>
      </c>
      <c r="G9959" s="11">
        <v>58823.53</v>
      </c>
    </row>
    <row r="9960" spans="2:7" x14ac:dyDescent="0.2">
      <c r="B9960" s="32">
        <v>46098</v>
      </c>
      <c r="C9960" t="s">
        <v>142</v>
      </c>
      <c r="D9960" s="13" t="s">
        <v>633</v>
      </c>
      <c r="E9960" t="s">
        <v>244</v>
      </c>
      <c r="F9960" s="11">
        <v>1</v>
      </c>
      <c r="G9960" s="11">
        <v>58823.53</v>
      </c>
    </row>
    <row r="9961" spans="2:7" x14ac:dyDescent="0.2">
      <c r="B9961" s="32">
        <v>46098</v>
      </c>
      <c r="C9961" t="s">
        <v>142</v>
      </c>
      <c r="D9961" s="13" t="s">
        <v>633</v>
      </c>
      <c r="E9961" t="s">
        <v>775</v>
      </c>
      <c r="F9961" s="11">
        <v>1</v>
      </c>
      <c r="G9961" s="11">
        <v>58823.53</v>
      </c>
    </row>
    <row r="9962" spans="2:7" x14ac:dyDescent="0.2">
      <c r="B9962" s="32">
        <v>46098</v>
      </c>
      <c r="C9962" t="s">
        <v>142</v>
      </c>
      <c r="D9962" s="13" t="s">
        <v>633</v>
      </c>
      <c r="E9962" t="s">
        <v>509</v>
      </c>
      <c r="F9962" s="11">
        <v>1</v>
      </c>
      <c r="G9962" s="11">
        <v>16806.73</v>
      </c>
    </row>
    <row r="9963" spans="2:7" x14ac:dyDescent="0.2">
      <c r="B9963" s="32">
        <v>46098</v>
      </c>
      <c r="C9963" t="s">
        <v>142</v>
      </c>
      <c r="D9963" s="13" t="s">
        <v>633</v>
      </c>
      <c r="E9963" t="s">
        <v>367</v>
      </c>
      <c r="F9963" s="11">
        <v>1</v>
      </c>
      <c r="G9963" s="11">
        <v>16806.72</v>
      </c>
    </row>
    <row r="9964" spans="2:7" x14ac:dyDescent="0.2">
      <c r="B9964" s="32">
        <v>46098</v>
      </c>
      <c r="C9964" t="s">
        <v>142</v>
      </c>
      <c r="D9964" s="13" t="s">
        <v>633</v>
      </c>
      <c r="E9964" t="s">
        <v>456</v>
      </c>
      <c r="F9964" s="11">
        <v>1</v>
      </c>
      <c r="G9964" s="11">
        <v>16806.72</v>
      </c>
    </row>
    <row r="9965" spans="2:7" x14ac:dyDescent="0.2">
      <c r="B9965" s="32">
        <v>46098</v>
      </c>
      <c r="C9965" t="s">
        <v>142</v>
      </c>
      <c r="D9965" s="13" t="s">
        <v>633</v>
      </c>
      <c r="E9965" t="s">
        <v>351</v>
      </c>
      <c r="F9965" s="11">
        <v>1</v>
      </c>
      <c r="G9965" s="11">
        <v>16806.72</v>
      </c>
    </row>
    <row r="9966" spans="2:7" x14ac:dyDescent="0.2">
      <c r="B9966" s="32">
        <v>46098</v>
      </c>
      <c r="C9966" t="s">
        <v>109</v>
      </c>
      <c r="D9966" s="13"/>
      <c r="E9966" t="s">
        <v>352</v>
      </c>
      <c r="F9966" s="11">
        <v>1</v>
      </c>
      <c r="G9966" s="11">
        <v>75630.25</v>
      </c>
    </row>
    <row r="9967" spans="2:7" x14ac:dyDescent="0.2">
      <c r="B9967" s="32">
        <v>46098</v>
      </c>
      <c r="C9967" t="s">
        <v>109</v>
      </c>
      <c r="D9967" s="13"/>
      <c r="E9967" t="s">
        <v>327</v>
      </c>
      <c r="F9967" s="11">
        <v>1</v>
      </c>
      <c r="G9967" s="11">
        <v>35000</v>
      </c>
    </row>
    <row r="9968" spans="2:7" x14ac:dyDescent="0.2">
      <c r="B9968" s="32">
        <v>46098</v>
      </c>
      <c r="C9968" t="s">
        <v>109</v>
      </c>
      <c r="D9968" s="13" t="s">
        <v>634</v>
      </c>
      <c r="E9968" t="s">
        <v>490</v>
      </c>
      <c r="F9968" s="11">
        <v>1</v>
      </c>
      <c r="G9968" s="11">
        <v>168067.22</v>
      </c>
    </row>
    <row r="9969" spans="2:7" x14ac:dyDescent="0.2">
      <c r="B9969" s="32">
        <v>46098</v>
      </c>
      <c r="C9969" t="s">
        <v>109</v>
      </c>
      <c r="D9969" s="13" t="s">
        <v>634</v>
      </c>
      <c r="E9969" t="s">
        <v>174</v>
      </c>
      <c r="F9969" s="11">
        <v>1</v>
      </c>
      <c r="G9969" s="11">
        <v>84033.61</v>
      </c>
    </row>
    <row r="9970" spans="2:7" x14ac:dyDescent="0.2">
      <c r="B9970" s="32">
        <v>46098</v>
      </c>
      <c r="C9970" t="s">
        <v>109</v>
      </c>
      <c r="D9970" s="13" t="s">
        <v>634</v>
      </c>
      <c r="E9970" t="s">
        <v>149</v>
      </c>
      <c r="F9970" s="11">
        <v>1</v>
      </c>
      <c r="G9970" s="11">
        <v>75630.25</v>
      </c>
    </row>
    <row r="9971" spans="2:7" x14ac:dyDescent="0.2">
      <c r="B9971" s="32">
        <v>46098</v>
      </c>
      <c r="C9971" t="s">
        <v>109</v>
      </c>
      <c r="D9971" s="13" t="s">
        <v>634</v>
      </c>
      <c r="E9971" t="s">
        <v>466</v>
      </c>
      <c r="F9971" s="11">
        <v>2</v>
      </c>
      <c r="G9971" s="11">
        <v>75630.25</v>
      </c>
    </row>
    <row r="9972" spans="2:7" x14ac:dyDescent="0.2">
      <c r="B9972" s="32">
        <v>46098</v>
      </c>
      <c r="C9972" t="s">
        <v>109</v>
      </c>
      <c r="D9972" s="13" t="s">
        <v>634</v>
      </c>
      <c r="E9972" t="s">
        <v>336</v>
      </c>
      <c r="F9972" s="11">
        <v>1</v>
      </c>
      <c r="G9972" s="11">
        <v>75630.25</v>
      </c>
    </row>
    <row r="9973" spans="2:7" x14ac:dyDescent="0.2">
      <c r="B9973" s="32">
        <v>46098</v>
      </c>
      <c r="C9973" t="s">
        <v>109</v>
      </c>
      <c r="D9973" s="13" t="s">
        <v>634</v>
      </c>
      <c r="E9973" t="s">
        <v>483</v>
      </c>
      <c r="F9973" s="11">
        <v>1</v>
      </c>
      <c r="G9973" s="11">
        <v>63025.21</v>
      </c>
    </row>
    <row r="9974" spans="2:7" x14ac:dyDescent="0.2">
      <c r="B9974" s="32">
        <v>46098</v>
      </c>
      <c r="C9974" t="s">
        <v>109</v>
      </c>
      <c r="D9974" s="13" t="s">
        <v>634</v>
      </c>
      <c r="E9974" t="s">
        <v>362</v>
      </c>
      <c r="F9974" s="11">
        <v>1</v>
      </c>
      <c r="G9974" s="11">
        <v>58823.53</v>
      </c>
    </row>
    <row r="9975" spans="2:7" x14ac:dyDescent="0.2">
      <c r="B9975" s="32">
        <v>46098</v>
      </c>
      <c r="C9975" t="s">
        <v>109</v>
      </c>
      <c r="D9975" s="13" t="s">
        <v>634</v>
      </c>
      <c r="E9975" t="s">
        <v>158</v>
      </c>
      <c r="F9975" s="11">
        <v>1</v>
      </c>
      <c r="G9975" s="11">
        <v>46218.49</v>
      </c>
    </row>
    <row r="9976" spans="2:7" x14ac:dyDescent="0.2">
      <c r="B9976" s="32">
        <v>46098</v>
      </c>
      <c r="C9976" t="s">
        <v>109</v>
      </c>
      <c r="D9976" s="13" t="s">
        <v>634</v>
      </c>
      <c r="E9976" t="s">
        <v>166</v>
      </c>
      <c r="F9976" s="11">
        <v>1</v>
      </c>
      <c r="G9976" s="11">
        <v>42016.81</v>
      </c>
    </row>
    <row r="9977" spans="2:7" x14ac:dyDescent="0.2">
      <c r="B9977" s="32">
        <v>46098</v>
      </c>
      <c r="C9977" t="s">
        <v>109</v>
      </c>
      <c r="D9977" s="13" t="s">
        <v>634</v>
      </c>
      <c r="E9977" t="s">
        <v>203</v>
      </c>
      <c r="F9977" s="11">
        <v>1</v>
      </c>
      <c r="G9977" s="11">
        <v>42016.81</v>
      </c>
    </row>
    <row r="9978" spans="2:7" x14ac:dyDescent="0.2">
      <c r="B9978" s="32">
        <v>46098</v>
      </c>
      <c r="C9978" t="s">
        <v>109</v>
      </c>
      <c r="D9978" s="13" t="s">
        <v>634</v>
      </c>
      <c r="E9978" t="s">
        <v>173</v>
      </c>
      <c r="F9978" s="11">
        <v>1</v>
      </c>
      <c r="G9978" s="11">
        <v>37815.129999999997</v>
      </c>
    </row>
    <row r="9979" spans="2:7" x14ac:dyDescent="0.2">
      <c r="B9979" s="32">
        <v>46098</v>
      </c>
      <c r="C9979" t="s">
        <v>109</v>
      </c>
      <c r="D9979" s="13" t="s">
        <v>634</v>
      </c>
      <c r="E9979" t="s">
        <v>148</v>
      </c>
      <c r="F9979" s="11">
        <v>1</v>
      </c>
      <c r="G9979" s="11">
        <v>37815.129999999997</v>
      </c>
    </row>
    <row r="9980" spans="2:7" x14ac:dyDescent="0.2">
      <c r="B9980" s="32">
        <v>46098</v>
      </c>
      <c r="C9980" t="s">
        <v>109</v>
      </c>
      <c r="D9980" s="13" t="s">
        <v>634</v>
      </c>
      <c r="E9980" t="s">
        <v>193</v>
      </c>
      <c r="F9980" s="11">
        <v>1</v>
      </c>
      <c r="G9980" s="11">
        <v>37815.129999999997</v>
      </c>
    </row>
    <row r="9981" spans="2:7" x14ac:dyDescent="0.2">
      <c r="B9981" s="32">
        <v>46098</v>
      </c>
      <c r="C9981" t="s">
        <v>109</v>
      </c>
      <c r="D9981" s="13" t="s">
        <v>634</v>
      </c>
      <c r="E9981" t="s">
        <v>145</v>
      </c>
      <c r="F9981" s="11">
        <v>1</v>
      </c>
      <c r="G9981" s="11">
        <v>29411.759999999998</v>
      </c>
    </row>
    <row r="9982" spans="2:7" x14ac:dyDescent="0.2">
      <c r="B9982" s="32">
        <v>46098</v>
      </c>
      <c r="C9982" t="s">
        <v>109</v>
      </c>
      <c r="D9982" s="13" t="s">
        <v>634</v>
      </c>
      <c r="E9982" t="s">
        <v>144</v>
      </c>
      <c r="F9982" s="11">
        <v>1</v>
      </c>
      <c r="G9982" s="11">
        <v>16806.72</v>
      </c>
    </row>
    <row r="9983" spans="2:7" x14ac:dyDescent="0.2">
      <c r="B9983" s="32">
        <v>46098</v>
      </c>
      <c r="C9983" t="s">
        <v>109</v>
      </c>
      <c r="D9983" s="13" t="s">
        <v>633</v>
      </c>
      <c r="E9983" t="s">
        <v>518</v>
      </c>
      <c r="F9983" s="11">
        <v>1</v>
      </c>
      <c r="G9983" s="11">
        <v>193277.31</v>
      </c>
    </row>
    <row r="9984" spans="2:7" x14ac:dyDescent="0.2">
      <c r="B9984" s="32">
        <v>46098</v>
      </c>
      <c r="C9984" t="s">
        <v>109</v>
      </c>
      <c r="D9984" s="13" t="s">
        <v>633</v>
      </c>
      <c r="F9984" s="11">
        <v>1</v>
      </c>
      <c r="G9984" s="11">
        <v>126050.42</v>
      </c>
    </row>
    <row r="9985" spans="2:7" x14ac:dyDescent="0.2">
      <c r="B9985" s="32">
        <v>46098</v>
      </c>
      <c r="C9985" t="s">
        <v>109</v>
      </c>
      <c r="D9985" s="13" t="s">
        <v>633</v>
      </c>
      <c r="E9985" t="s">
        <v>145</v>
      </c>
      <c r="F9985" s="11">
        <v>4</v>
      </c>
      <c r="G9985" s="11">
        <v>117647.06</v>
      </c>
    </row>
    <row r="9986" spans="2:7" x14ac:dyDescent="0.2">
      <c r="B9986" s="32">
        <v>46098</v>
      </c>
      <c r="C9986" t="s">
        <v>109</v>
      </c>
      <c r="D9986" s="13" t="s">
        <v>633</v>
      </c>
      <c r="E9986" t="s">
        <v>444</v>
      </c>
      <c r="F9986" s="11">
        <v>1</v>
      </c>
      <c r="G9986" s="11">
        <v>84033.61</v>
      </c>
    </row>
    <row r="9987" spans="2:7" x14ac:dyDescent="0.2">
      <c r="B9987" s="32">
        <v>46098</v>
      </c>
      <c r="C9987" t="s">
        <v>109</v>
      </c>
      <c r="D9987" s="13" t="s">
        <v>633</v>
      </c>
      <c r="E9987" t="s">
        <v>352</v>
      </c>
      <c r="F9987" s="11">
        <v>1</v>
      </c>
      <c r="G9987" s="11">
        <v>75630.25</v>
      </c>
    </row>
    <row r="9988" spans="2:7" x14ac:dyDescent="0.2">
      <c r="B9988" s="32">
        <v>46098</v>
      </c>
      <c r="C9988" t="s">
        <v>109</v>
      </c>
      <c r="D9988" s="13" t="s">
        <v>633</v>
      </c>
      <c r="E9988" t="s">
        <v>234</v>
      </c>
      <c r="F9988" s="11">
        <v>2</v>
      </c>
      <c r="G9988" s="11">
        <v>75630.25</v>
      </c>
    </row>
    <row r="9989" spans="2:7" x14ac:dyDescent="0.2">
      <c r="B9989" s="32">
        <v>46098</v>
      </c>
      <c r="C9989" t="s">
        <v>109</v>
      </c>
      <c r="D9989" s="13" t="s">
        <v>633</v>
      </c>
      <c r="E9989" t="s">
        <v>320</v>
      </c>
      <c r="F9989" s="11">
        <v>1</v>
      </c>
      <c r="G9989" s="11">
        <v>63025.21</v>
      </c>
    </row>
    <row r="9990" spans="2:7" x14ac:dyDescent="0.2">
      <c r="B9990" s="32">
        <v>46098</v>
      </c>
      <c r="C9990" t="s">
        <v>109</v>
      </c>
      <c r="D9990" s="13" t="s">
        <v>633</v>
      </c>
      <c r="E9990" t="s">
        <v>287</v>
      </c>
      <c r="F9990" s="11">
        <v>1</v>
      </c>
      <c r="G9990" s="11">
        <v>63025.21</v>
      </c>
    </row>
    <row r="9991" spans="2:7" x14ac:dyDescent="0.2">
      <c r="B9991" s="32">
        <v>46098</v>
      </c>
      <c r="C9991" t="s">
        <v>109</v>
      </c>
      <c r="D9991" s="13" t="s">
        <v>633</v>
      </c>
      <c r="E9991" t="s">
        <v>423</v>
      </c>
      <c r="F9991" s="11">
        <v>1</v>
      </c>
      <c r="G9991" s="11">
        <v>63025.21</v>
      </c>
    </row>
    <row r="9992" spans="2:7" x14ac:dyDescent="0.2">
      <c r="B9992" s="32">
        <v>46098</v>
      </c>
      <c r="C9992" t="s">
        <v>109</v>
      </c>
      <c r="D9992" s="13" t="s">
        <v>633</v>
      </c>
      <c r="E9992" t="s">
        <v>427</v>
      </c>
      <c r="F9992" s="11">
        <v>1</v>
      </c>
      <c r="G9992" s="11">
        <v>58823.53</v>
      </c>
    </row>
    <row r="9993" spans="2:7" x14ac:dyDescent="0.2">
      <c r="B9993" s="32">
        <v>46098</v>
      </c>
      <c r="C9993" t="s">
        <v>109</v>
      </c>
      <c r="D9993" s="13" t="s">
        <v>633</v>
      </c>
      <c r="E9993" t="s">
        <v>782</v>
      </c>
      <c r="F9993" s="11">
        <v>1</v>
      </c>
      <c r="G9993" s="11">
        <v>58823.53</v>
      </c>
    </row>
    <row r="9994" spans="2:7" x14ac:dyDescent="0.2">
      <c r="B9994" s="32">
        <v>46098</v>
      </c>
      <c r="C9994" t="s">
        <v>109</v>
      </c>
      <c r="D9994" s="13" t="s">
        <v>633</v>
      </c>
      <c r="E9994" t="s">
        <v>240</v>
      </c>
      <c r="F9994" s="11">
        <v>1</v>
      </c>
      <c r="G9994" s="11">
        <v>46218.49</v>
      </c>
    </row>
    <row r="9995" spans="2:7" x14ac:dyDescent="0.2">
      <c r="B9995" s="32">
        <v>46098</v>
      </c>
      <c r="C9995" t="s">
        <v>109</v>
      </c>
      <c r="D9995" s="13" t="s">
        <v>633</v>
      </c>
      <c r="E9995" t="s">
        <v>241</v>
      </c>
      <c r="F9995" s="11">
        <v>1</v>
      </c>
      <c r="G9995" s="11">
        <v>46218.49</v>
      </c>
    </row>
    <row r="9996" spans="2:7" x14ac:dyDescent="0.2">
      <c r="B9996" s="32">
        <v>46098</v>
      </c>
      <c r="C9996" t="s">
        <v>109</v>
      </c>
      <c r="D9996" s="13" t="s">
        <v>633</v>
      </c>
      <c r="E9996" t="s">
        <v>150</v>
      </c>
      <c r="F9996" s="11">
        <v>1</v>
      </c>
      <c r="G9996" s="11">
        <v>46218.49</v>
      </c>
    </row>
    <row r="9997" spans="2:7" x14ac:dyDescent="0.2">
      <c r="B9997" s="32">
        <v>46098</v>
      </c>
      <c r="C9997" t="s">
        <v>109</v>
      </c>
      <c r="D9997" s="13" t="s">
        <v>633</v>
      </c>
      <c r="E9997" t="s">
        <v>327</v>
      </c>
      <c r="F9997" s="11">
        <v>1</v>
      </c>
      <c r="G9997" s="11">
        <v>35000</v>
      </c>
    </row>
    <row r="9998" spans="2:7" x14ac:dyDescent="0.2">
      <c r="B9998" s="32">
        <v>46098</v>
      </c>
      <c r="C9998" t="s">
        <v>109</v>
      </c>
      <c r="D9998" s="13" t="s">
        <v>633</v>
      </c>
      <c r="E9998" t="s">
        <v>144</v>
      </c>
      <c r="F9998" s="11">
        <v>2</v>
      </c>
      <c r="G9998" s="11">
        <v>22268.91</v>
      </c>
    </row>
    <row r="9999" spans="2:7" x14ac:dyDescent="0.2">
      <c r="B9999" s="32">
        <v>46099</v>
      </c>
      <c r="C9999" t="s">
        <v>142</v>
      </c>
      <c r="D9999" s="13" t="s">
        <v>634</v>
      </c>
      <c r="E9999" t="s">
        <v>416</v>
      </c>
      <c r="F9999" s="11">
        <v>1</v>
      </c>
      <c r="G9999" s="11">
        <v>50420.17</v>
      </c>
    </row>
    <row r="10000" spans="2:7" x14ac:dyDescent="0.2">
      <c r="B10000" s="32">
        <v>46099</v>
      </c>
      <c r="C10000" t="s">
        <v>142</v>
      </c>
      <c r="D10000" s="13" t="s">
        <v>634</v>
      </c>
      <c r="E10000" t="s">
        <v>384</v>
      </c>
      <c r="F10000" s="11">
        <v>1</v>
      </c>
      <c r="G10000" s="11">
        <v>50420.17</v>
      </c>
    </row>
    <row r="10001" spans="2:7" x14ac:dyDescent="0.2">
      <c r="B10001" s="32">
        <v>46099</v>
      </c>
      <c r="C10001" t="s">
        <v>142</v>
      </c>
      <c r="D10001" s="13" t="s">
        <v>634</v>
      </c>
      <c r="E10001" t="s">
        <v>338</v>
      </c>
      <c r="F10001" s="11">
        <v>1</v>
      </c>
      <c r="G10001" s="11">
        <v>50420.160000000003</v>
      </c>
    </row>
    <row r="10002" spans="2:7" x14ac:dyDescent="0.2">
      <c r="B10002" s="32">
        <v>46099</v>
      </c>
      <c r="C10002" t="s">
        <v>110</v>
      </c>
      <c r="D10002" s="13" t="s">
        <v>633</v>
      </c>
      <c r="E10002" t="s">
        <v>166</v>
      </c>
      <c r="F10002" s="11">
        <v>1</v>
      </c>
      <c r="G10002" s="11">
        <v>42016.800000000003</v>
      </c>
    </row>
    <row r="10003" spans="2:7" x14ac:dyDescent="0.2">
      <c r="B10003" s="32">
        <v>46099</v>
      </c>
      <c r="C10003" t="s">
        <v>109</v>
      </c>
      <c r="D10003" s="13"/>
      <c r="E10003" t="s">
        <v>357</v>
      </c>
      <c r="F10003" s="11">
        <v>1</v>
      </c>
      <c r="G10003" s="11">
        <v>75630.25</v>
      </c>
    </row>
    <row r="10004" spans="2:7" x14ac:dyDescent="0.2">
      <c r="B10004" s="32">
        <v>46099</v>
      </c>
      <c r="C10004" t="s">
        <v>109</v>
      </c>
      <c r="D10004" s="13" t="s">
        <v>634</v>
      </c>
      <c r="E10004" t="s">
        <v>465</v>
      </c>
      <c r="F10004" s="11">
        <v>1</v>
      </c>
      <c r="G10004" s="11">
        <v>210084.03</v>
      </c>
    </row>
    <row r="10005" spans="2:7" x14ac:dyDescent="0.2">
      <c r="B10005" s="32">
        <v>46099</v>
      </c>
      <c r="C10005" t="s">
        <v>109</v>
      </c>
      <c r="D10005" s="13" t="s">
        <v>634</v>
      </c>
      <c r="E10005" t="s">
        <v>510</v>
      </c>
      <c r="F10005" s="11">
        <v>1</v>
      </c>
      <c r="G10005" s="11">
        <v>159663.87</v>
      </c>
    </row>
    <row r="10006" spans="2:7" x14ac:dyDescent="0.2">
      <c r="B10006" s="32">
        <v>46099</v>
      </c>
      <c r="C10006" t="s">
        <v>109</v>
      </c>
      <c r="D10006" s="13" t="s">
        <v>634</v>
      </c>
      <c r="E10006" t="s">
        <v>516</v>
      </c>
      <c r="F10006" s="11">
        <v>1</v>
      </c>
      <c r="G10006" s="11">
        <v>142857.14000000001</v>
      </c>
    </row>
    <row r="10007" spans="2:7" x14ac:dyDescent="0.2">
      <c r="B10007" s="32">
        <v>46099</v>
      </c>
      <c r="C10007" t="s">
        <v>109</v>
      </c>
      <c r="D10007" s="13" t="s">
        <v>634</v>
      </c>
      <c r="E10007" t="s">
        <v>218</v>
      </c>
      <c r="F10007" s="11">
        <v>1</v>
      </c>
      <c r="G10007" s="11">
        <v>42016.81</v>
      </c>
    </row>
    <row r="10008" spans="2:7" x14ac:dyDescent="0.2">
      <c r="B10008" s="32">
        <v>46099</v>
      </c>
      <c r="C10008" t="s">
        <v>109</v>
      </c>
      <c r="D10008" s="13" t="s">
        <v>634</v>
      </c>
      <c r="E10008" t="s">
        <v>144</v>
      </c>
      <c r="F10008" s="11">
        <v>1</v>
      </c>
      <c r="G10008" s="11">
        <v>16806.72</v>
      </c>
    </row>
    <row r="10009" spans="2:7" x14ac:dyDescent="0.2">
      <c r="B10009" s="32">
        <v>46099</v>
      </c>
      <c r="C10009" t="s">
        <v>109</v>
      </c>
      <c r="D10009" s="13" t="s">
        <v>634</v>
      </c>
      <c r="E10009" t="s">
        <v>209</v>
      </c>
      <c r="F10009" s="11">
        <v>1</v>
      </c>
      <c r="G10009" s="11">
        <v>16806.72</v>
      </c>
    </row>
    <row r="10010" spans="2:7" x14ac:dyDescent="0.2">
      <c r="B10010" s="32">
        <v>46099</v>
      </c>
      <c r="C10010" t="s">
        <v>109</v>
      </c>
      <c r="D10010" s="13" t="s">
        <v>633</v>
      </c>
      <c r="E10010" t="s">
        <v>420</v>
      </c>
      <c r="F10010" s="11">
        <v>1</v>
      </c>
      <c r="G10010" s="11">
        <v>113445.38</v>
      </c>
    </row>
    <row r="10011" spans="2:7" x14ac:dyDescent="0.2">
      <c r="B10011" s="32">
        <v>46099</v>
      </c>
      <c r="C10011" t="s">
        <v>109</v>
      </c>
      <c r="D10011" s="13" t="s">
        <v>633</v>
      </c>
      <c r="E10011" t="s">
        <v>679</v>
      </c>
      <c r="F10011" s="11">
        <v>1</v>
      </c>
      <c r="G10011" s="11">
        <v>109243.7</v>
      </c>
    </row>
    <row r="10012" spans="2:7" x14ac:dyDescent="0.2">
      <c r="B10012" s="32">
        <v>46099</v>
      </c>
      <c r="C10012" t="s">
        <v>109</v>
      </c>
      <c r="D10012" s="13" t="s">
        <v>633</v>
      </c>
      <c r="E10012" t="s">
        <v>484</v>
      </c>
      <c r="F10012" s="11">
        <v>1</v>
      </c>
      <c r="G10012" s="11">
        <v>97478.99</v>
      </c>
    </row>
    <row r="10013" spans="2:7" x14ac:dyDescent="0.2">
      <c r="B10013" s="32">
        <v>46099</v>
      </c>
      <c r="C10013" t="s">
        <v>109</v>
      </c>
      <c r="D10013" s="13" t="s">
        <v>633</v>
      </c>
      <c r="E10013" t="s">
        <v>534</v>
      </c>
      <c r="F10013" s="11">
        <v>1</v>
      </c>
      <c r="G10013" s="11">
        <v>75630.25</v>
      </c>
    </row>
    <row r="10014" spans="2:7" x14ac:dyDescent="0.2">
      <c r="B10014" s="32">
        <v>46099</v>
      </c>
      <c r="C10014" t="s">
        <v>109</v>
      </c>
      <c r="D10014" s="13" t="s">
        <v>633</v>
      </c>
      <c r="E10014" t="s">
        <v>337</v>
      </c>
      <c r="F10014" s="11">
        <v>1</v>
      </c>
      <c r="G10014" s="11">
        <v>50420.17</v>
      </c>
    </row>
    <row r="10015" spans="2:7" x14ac:dyDescent="0.2">
      <c r="B10015" s="32">
        <v>46099</v>
      </c>
      <c r="C10015" t="s">
        <v>109</v>
      </c>
      <c r="D10015" s="13" t="s">
        <v>633</v>
      </c>
      <c r="E10015" t="s">
        <v>246</v>
      </c>
      <c r="F10015" s="11">
        <v>1</v>
      </c>
      <c r="G10015" s="11">
        <v>42016.81</v>
      </c>
    </row>
    <row r="10016" spans="2:7" x14ac:dyDescent="0.2">
      <c r="B10016" s="32">
        <v>46099</v>
      </c>
      <c r="C10016" t="s">
        <v>109</v>
      </c>
      <c r="D10016" s="13" t="s">
        <v>633</v>
      </c>
      <c r="E10016" t="s">
        <v>144</v>
      </c>
      <c r="F10016" s="11">
        <v>1</v>
      </c>
      <c r="G10016" s="11">
        <v>42016.81</v>
      </c>
    </row>
    <row r="10017" spans="2:7" x14ac:dyDescent="0.2">
      <c r="B10017" s="32">
        <v>46099</v>
      </c>
      <c r="C10017" t="s">
        <v>109</v>
      </c>
      <c r="D10017" s="13" t="s">
        <v>633</v>
      </c>
      <c r="E10017" t="s">
        <v>193</v>
      </c>
      <c r="F10017" s="11">
        <v>1</v>
      </c>
      <c r="G10017" s="11">
        <v>37815.129999999997</v>
      </c>
    </row>
    <row r="10018" spans="2:7" x14ac:dyDescent="0.2">
      <c r="B10018" s="32">
        <v>46099</v>
      </c>
      <c r="C10018" t="s">
        <v>109</v>
      </c>
      <c r="D10018" s="13" t="s">
        <v>633</v>
      </c>
      <c r="E10018" t="s">
        <v>148</v>
      </c>
      <c r="F10018" s="11">
        <v>1</v>
      </c>
      <c r="G10018" s="11">
        <v>37815.129999999997</v>
      </c>
    </row>
    <row r="10019" spans="2:7" x14ac:dyDescent="0.2">
      <c r="B10019" s="32">
        <v>46099</v>
      </c>
      <c r="C10019" t="s">
        <v>109</v>
      </c>
      <c r="D10019" s="13" t="s">
        <v>633</v>
      </c>
      <c r="E10019" t="s">
        <v>466</v>
      </c>
      <c r="F10019" s="11">
        <v>1</v>
      </c>
      <c r="G10019" s="11">
        <v>37815.120000000003</v>
      </c>
    </row>
    <row r="10020" spans="2:7" x14ac:dyDescent="0.2">
      <c r="B10020" s="32">
        <v>46099</v>
      </c>
      <c r="C10020" t="s">
        <v>109</v>
      </c>
      <c r="D10020" s="13" t="s">
        <v>633</v>
      </c>
      <c r="E10020" t="s">
        <v>509</v>
      </c>
      <c r="F10020" s="11">
        <v>2</v>
      </c>
      <c r="G10020" s="11">
        <v>33613.449999999997</v>
      </c>
    </row>
    <row r="10021" spans="2:7" x14ac:dyDescent="0.2">
      <c r="B10021" s="32">
        <v>46099</v>
      </c>
      <c r="C10021" t="s">
        <v>109</v>
      </c>
      <c r="D10021" s="13" t="s">
        <v>633</v>
      </c>
      <c r="E10021" t="s">
        <v>145</v>
      </c>
      <c r="F10021" s="11">
        <v>1</v>
      </c>
      <c r="G10021" s="11">
        <v>29411.759999999998</v>
      </c>
    </row>
    <row r="10022" spans="2:7" x14ac:dyDescent="0.2">
      <c r="B10022" s="32">
        <v>46099</v>
      </c>
      <c r="C10022" t="s">
        <v>109</v>
      </c>
      <c r="D10022" s="13" t="s">
        <v>633</v>
      </c>
      <c r="E10022" t="s">
        <v>351</v>
      </c>
      <c r="F10022" s="11">
        <v>1</v>
      </c>
      <c r="G10022" s="11">
        <v>16806.72</v>
      </c>
    </row>
    <row r="10023" spans="2:7" x14ac:dyDescent="0.2">
      <c r="B10023" s="32">
        <v>46099</v>
      </c>
      <c r="C10023" t="s">
        <v>109</v>
      </c>
      <c r="D10023" s="13" t="s">
        <v>633</v>
      </c>
      <c r="E10023" t="s">
        <v>456</v>
      </c>
      <c r="F10023" s="11">
        <v>1</v>
      </c>
      <c r="G10023" s="11">
        <v>16806.72</v>
      </c>
    </row>
    <row r="10024" spans="2:7" x14ac:dyDescent="0.2">
      <c r="B10024" s="32">
        <v>46099</v>
      </c>
      <c r="C10024" t="s">
        <v>109</v>
      </c>
      <c r="D10024" s="13" t="s">
        <v>633</v>
      </c>
      <c r="E10024" t="s">
        <v>180</v>
      </c>
      <c r="F10024" s="11">
        <v>1</v>
      </c>
      <c r="G10024" s="11">
        <v>16806.72</v>
      </c>
    </row>
    <row r="10025" spans="2:7" x14ac:dyDescent="0.2">
      <c r="B10025" s="32">
        <v>46100</v>
      </c>
      <c r="C10025" t="s">
        <v>142</v>
      </c>
      <c r="D10025" s="13" t="s">
        <v>634</v>
      </c>
      <c r="E10025" t="s">
        <v>556</v>
      </c>
      <c r="F10025" s="11">
        <v>1</v>
      </c>
      <c r="G10025" s="11">
        <v>71428.570000000007</v>
      </c>
    </row>
    <row r="10026" spans="2:7" x14ac:dyDescent="0.2">
      <c r="B10026" s="32">
        <v>46100</v>
      </c>
      <c r="C10026" t="s">
        <v>142</v>
      </c>
      <c r="D10026" s="13" t="s">
        <v>634</v>
      </c>
      <c r="E10026" t="s">
        <v>224</v>
      </c>
      <c r="F10026" s="11">
        <v>1</v>
      </c>
      <c r="G10026" s="11">
        <v>58823.53</v>
      </c>
    </row>
    <row r="10027" spans="2:7" x14ac:dyDescent="0.2">
      <c r="B10027" s="32">
        <v>46100</v>
      </c>
      <c r="C10027" t="s">
        <v>142</v>
      </c>
      <c r="D10027" s="13" t="s">
        <v>634</v>
      </c>
      <c r="E10027" t="s">
        <v>374</v>
      </c>
      <c r="F10027" s="11">
        <v>1</v>
      </c>
      <c r="G10027" s="11">
        <v>58823.53</v>
      </c>
    </row>
    <row r="10028" spans="2:7" x14ac:dyDescent="0.2">
      <c r="B10028" s="32">
        <v>46100</v>
      </c>
      <c r="C10028" t="s">
        <v>142</v>
      </c>
      <c r="D10028" s="13" t="s">
        <v>634</v>
      </c>
      <c r="E10028" t="s">
        <v>238</v>
      </c>
      <c r="F10028" s="11">
        <v>1</v>
      </c>
      <c r="G10028" s="11">
        <v>46218.49</v>
      </c>
    </row>
    <row r="10029" spans="2:7" x14ac:dyDescent="0.2">
      <c r="B10029" s="32">
        <v>46100</v>
      </c>
      <c r="C10029" t="s">
        <v>142</v>
      </c>
      <c r="D10029" s="13" t="s">
        <v>633</v>
      </c>
      <c r="E10029" t="s">
        <v>744</v>
      </c>
      <c r="F10029" s="11">
        <v>2</v>
      </c>
      <c r="G10029" s="11">
        <v>126050.42</v>
      </c>
    </row>
    <row r="10030" spans="2:7" x14ac:dyDescent="0.2">
      <c r="B10030" s="32">
        <v>46100</v>
      </c>
      <c r="C10030" t="s">
        <v>110</v>
      </c>
      <c r="D10030" s="13"/>
      <c r="E10030" t="s">
        <v>456</v>
      </c>
      <c r="F10030" s="11">
        <v>1</v>
      </c>
      <c r="G10030" s="11">
        <v>16806.73</v>
      </c>
    </row>
    <row r="10031" spans="2:7" x14ac:dyDescent="0.2">
      <c r="B10031" s="32">
        <v>46100</v>
      </c>
      <c r="C10031" t="s">
        <v>110</v>
      </c>
      <c r="D10031" s="13"/>
      <c r="E10031" t="s">
        <v>351</v>
      </c>
      <c r="F10031" s="11">
        <v>1</v>
      </c>
      <c r="G10031" s="11">
        <v>16806.72</v>
      </c>
    </row>
    <row r="10032" spans="2:7" x14ac:dyDescent="0.2">
      <c r="B10032" s="32">
        <v>46100</v>
      </c>
      <c r="C10032" t="s">
        <v>109</v>
      </c>
      <c r="D10032" s="13" t="s">
        <v>634</v>
      </c>
      <c r="E10032" t="s">
        <v>463</v>
      </c>
      <c r="F10032" s="11">
        <v>3</v>
      </c>
      <c r="G10032" s="11">
        <v>1285714.29</v>
      </c>
    </row>
    <row r="10033" spans="2:7" x14ac:dyDescent="0.2">
      <c r="B10033" s="32">
        <v>46100</v>
      </c>
      <c r="C10033" t="s">
        <v>109</v>
      </c>
      <c r="D10033" s="13" t="s">
        <v>634</v>
      </c>
      <c r="F10033" s="11">
        <v>47</v>
      </c>
      <c r="G10033" s="11">
        <v>364285.7</v>
      </c>
    </row>
    <row r="10034" spans="2:7" x14ac:dyDescent="0.2">
      <c r="B10034" s="32">
        <v>46100</v>
      </c>
      <c r="C10034" t="s">
        <v>109</v>
      </c>
      <c r="D10034" s="13" t="s">
        <v>634</v>
      </c>
      <c r="E10034" t="s">
        <v>478</v>
      </c>
      <c r="F10034" s="11">
        <v>2</v>
      </c>
      <c r="G10034" s="11">
        <v>278571.43</v>
      </c>
    </row>
    <row r="10035" spans="2:7" x14ac:dyDescent="0.2">
      <c r="B10035" s="32">
        <v>46100</v>
      </c>
      <c r="C10035" t="s">
        <v>109</v>
      </c>
      <c r="D10035" s="13" t="s">
        <v>634</v>
      </c>
      <c r="E10035" t="s">
        <v>499</v>
      </c>
      <c r="F10035" s="11">
        <v>1</v>
      </c>
      <c r="G10035" s="11">
        <v>228571.43</v>
      </c>
    </row>
    <row r="10036" spans="2:7" x14ac:dyDescent="0.2">
      <c r="B10036" s="32">
        <v>46100</v>
      </c>
      <c r="C10036" t="s">
        <v>109</v>
      </c>
      <c r="D10036" s="13" t="s">
        <v>634</v>
      </c>
      <c r="E10036" t="s">
        <v>518</v>
      </c>
      <c r="F10036" s="11">
        <v>1</v>
      </c>
      <c r="G10036" s="11">
        <v>205882.35</v>
      </c>
    </row>
    <row r="10037" spans="2:7" x14ac:dyDescent="0.2">
      <c r="B10037" s="32">
        <v>46100</v>
      </c>
      <c r="C10037" t="s">
        <v>109</v>
      </c>
      <c r="D10037" s="13" t="s">
        <v>634</v>
      </c>
      <c r="E10037" t="s">
        <v>539</v>
      </c>
      <c r="F10037" s="11">
        <v>1</v>
      </c>
      <c r="G10037" s="11">
        <v>157142.85999999999</v>
      </c>
    </row>
    <row r="10038" spans="2:7" x14ac:dyDescent="0.2">
      <c r="B10038" s="32">
        <v>46100</v>
      </c>
      <c r="C10038" t="s">
        <v>109</v>
      </c>
      <c r="D10038" s="13" t="s">
        <v>634</v>
      </c>
      <c r="E10038" t="s">
        <v>541</v>
      </c>
      <c r="F10038" s="11">
        <v>1</v>
      </c>
      <c r="G10038" s="11">
        <v>142857.15</v>
      </c>
    </row>
    <row r="10039" spans="2:7" x14ac:dyDescent="0.2">
      <c r="B10039" s="32">
        <v>46100</v>
      </c>
      <c r="C10039" t="s">
        <v>109</v>
      </c>
      <c r="D10039" s="13" t="s">
        <v>634</v>
      </c>
      <c r="E10039" t="s">
        <v>158</v>
      </c>
      <c r="F10039" s="11">
        <v>2</v>
      </c>
      <c r="G10039" s="11">
        <v>92436.97</v>
      </c>
    </row>
    <row r="10040" spans="2:7" x14ac:dyDescent="0.2">
      <c r="B10040" s="32">
        <v>46100</v>
      </c>
      <c r="C10040" t="s">
        <v>109</v>
      </c>
      <c r="D10040" s="13" t="s">
        <v>634</v>
      </c>
      <c r="E10040" t="s">
        <v>336</v>
      </c>
      <c r="F10040" s="11">
        <v>1</v>
      </c>
      <c r="G10040" s="11">
        <v>75630.25</v>
      </c>
    </row>
    <row r="10041" spans="2:7" x14ac:dyDescent="0.2">
      <c r="B10041" s="32">
        <v>46100</v>
      </c>
      <c r="C10041" t="s">
        <v>109</v>
      </c>
      <c r="D10041" s="13" t="s">
        <v>634</v>
      </c>
      <c r="E10041" t="s">
        <v>147</v>
      </c>
      <c r="F10041" s="11">
        <v>1</v>
      </c>
      <c r="G10041" s="11">
        <v>75630.25</v>
      </c>
    </row>
    <row r="10042" spans="2:7" x14ac:dyDescent="0.2">
      <c r="B10042" s="32">
        <v>46100</v>
      </c>
      <c r="C10042" t="s">
        <v>109</v>
      </c>
      <c r="D10042" s="13" t="s">
        <v>634</v>
      </c>
      <c r="E10042" t="s">
        <v>462</v>
      </c>
      <c r="F10042" s="11">
        <v>3</v>
      </c>
      <c r="G10042" s="11">
        <v>66428.570000000007</v>
      </c>
    </row>
    <row r="10043" spans="2:7" x14ac:dyDescent="0.2">
      <c r="B10043" s="32">
        <v>46100</v>
      </c>
      <c r="C10043" t="s">
        <v>109</v>
      </c>
      <c r="D10043" s="13" t="s">
        <v>634</v>
      </c>
      <c r="E10043" t="s">
        <v>290</v>
      </c>
      <c r="F10043" s="11">
        <v>1</v>
      </c>
      <c r="G10043" s="11">
        <v>63025.21</v>
      </c>
    </row>
    <row r="10044" spans="2:7" x14ac:dyDescent="0.2">
      <c r="B10044" s="32">
        <v>46100</v>
      </c>
      <c r="C10044" t="s">
        <v>109</v>
      </c>
      <c r="D10044" s="13" t="s">
        <v>634</v>
      </c>
      <c r="E10044" t="s">
        <v>235</v>
      </c>
      <c r="F10044" s="11">
        <v>1</v>
      </c>
      <c r="G10044" s="11">
        <v>53571.43</v>
      </c>
    </row>
    <row r="10045" spans="2:7" x14ac:dyDescent="0.2">
      <c r="B10045" s="32">
        <v>46100</v>
      </c>
      <c r="C10045" t="s">
        <v>109</v>
      </c>
      <c r="D10045" s="13" t="s">
        <v>634</v>
      </c>
      <c r="E10045" t="s">
        <v>260</v>
      </c>
      <c r="F10045" s="11">
        <v>1</v>
      </c>
      <c r="G10045" s="11">
        <v>46218.49</v>
      </c>
    </row>
    <row r="10046" spans="2:7" x14ac:dyDescent="0.2">
      <c r="B10046" s="32">
        <v>46100</v>
      </c>
      <c r="C10046" t="s">
        <v>109</v>
      </c>
      <c r="D10046" s="13" t="s">
        <v>634</v>
      </c>
      <c r="E10046" t="s">
        <v>327</v>
      </c>
      <c r="F10046" s="11">
        <v>1</v>
      </c>
      <c r="G10046" s="11">
        <v>35000</v>
      </c>
    </row>
    <row r="10047" spans="2:7" x14ac:dyDescent="0.2">
      <c r="B10047" s="32">
        <v>46100</v>
      </c>
      <c r="C10047" t="s">
        <v>109</v>
      </c>
      <c r="D10047" s="13" t="s">
        <v>633</v>
      </c>
      <c r="E10047" t="s">
        <v>609</v>
      </c>
      <c r="F10047" s="11">
        <v>1</v>
      </c>
      <c r="G10047" s="11">
        <v>239495.8</v>
      </c>
    </row>
    <row r="10048" spans="2:7" x14ac:dyDescent="0.2">
      <c r="B10048" s="32">
        <v>46100</v>
      </c>
      <c r="C10048" t="s">
        <v>109</v>
      </c>
      <c r="D10048" s="13" t="s">
        <v>633</v>
      </c>
      <c r="E10048" t="s">
        <v>728</v>
      </c>
      <c r="F10048" s="11">
        <v>1</v>
      </c>
      <c r="G10048" s="11">
        <v>193277.31</v>
      </c>
    </row>
    <row r="10049" spans="2:7" x14ac:dyDescent="0.2">
      <c r="B10049" s="32">
        <v>46100</v>
      </c>
      <c r="C10049" t="s">
        <v>109</v>
      </c>
      <c r="D10049" s="13" t="s">
        <v>633</v>
      </c>
      <c r="E10049" t="s">
        <v>156</v>
      </c>
      <c r="F10049" s="11">
        <v>2</v>
      </c>
      <c r="G10049" s="11">
        <v>92436.97</v>
      </c>
    </row>
    <row r="10050" spans="2:7" x14ac:dyDescent="0.2">
      <c r="B10050" s="32">
        <v>46100</v>
      </c>
      <c r="C10050" t="s">
        <v>109</v>
      </c>
      <c r="D10050" s="13" t="s">
        <v>633</v>
      </c>
      <c r="E10050" t="s">
        <v>395</v>
      </c>
      <c r="F10050" s="11">
        <v>1</v>
      </c>
      <c r="G10050" s="11">
        <v>84033.61</v>
      </c>
    </row>
    <row r="10051" spans="2:7" x14ac:dyDescent="0.2">
      <c r="B10051" s="32">
        <v>46100</v>
      </c>
      <c r="C10051" t="s">
        <v>109</v>
      </c>
      <c r="D10051" s="13" t="s">
        <v>633</v>
      </c>
      <c r="E10051" t="s">
        <v>183</v>
      </c>
      <c r="F10051" s="11">
        <v>1</v>
      </c>
      <c r="G10051" s="11">
        <v>84033.61</v>
      </c>
    </row>
    <row r="10052" spans="2:7" x14ac:dyDescent="0.2">
      <c r="B10052" s="32">
        <v>46100</v>
      </c>
      <c r="C10052" t="s">
        <v>109</v>
      </c>
      <c r="D10052" s="13" t="s">
        <v>633</v>
      </c>
      <c r="E10052" t="s">
        <v>347</v>
      </c>
      <c r="F10052" s="11">
        <v>1</v>
      </c>
      <c r="G10052" s="11">
        <v>84033.61</v>
      </c>
    </row>
    <row r="10053" spans="2:7" x14ac:dyDescent="0.2">
      <c r="B10053" s="32">
        <v>46100</v>
      </c>
      <c r="C10053" t="s">
        <v>109</v>
      </c>
      <c r="D10053" s="13" t="s">
        <v>633</v>
      </c>
      <c r="E10053" t="s">
        <v>189</v>
      </c>
      <c r="F10053" s="11">
        <v>1</v>
      </c>
      <c r="G10053" s="11">
        <v>75630.25</v>
      </c>
    </row>
    <row r="10054" spans="2:7" x14ac:dyDescent="0.2">
      <c r="B10054" s="32">
        <v>46100</v>
      </c>
      <c r="C10054" t="s">
        <v>109</v>
      </c>
      <c r="D10054" s="13" t="s">
        <v>633</v>
      </c>
      <c r="E10054" t="s">
        <v>534</v>
      </c>
      <c r="F10054" s="11">
        <v>1</v>
      </c>
      <c r="G10054" s="11">
        <v>75630.25</v>
      </c>
    </row>
    <row r="10055" spans="2:7" x14ac:dyDescent="0.2">
      <c r="B10055" s="32">
        <v>46100</v>
      </c>
      <c r="C10055" t="s">
        <v>109</v>
      </c>
      <c r="D10055" s="13" t="s">
        <v>633</v>
      </c>
      <c r="E10055" t="s">
        <v>357</v>
      </c>
      <c r="F10055" s="11">
        <v>1</v>
      </c>
      <c r="G10055" s="11">
        <v>75630.25</v>
      </c>
    </row>
    <row r="10056" spans="2:7" x14ac:dyDescent="0.2">
      <c r="B10056" s="32">
        <v>46100</v>
      </c>
      <c r="C10056" t="s">
        <v>109</v>
      </c>
      <c r="D10056" s="13" t="s">
        <v>633</v>
      </c>
      <c r="E10056" t="s">
        <v>352</v>
      </c>
      <c r="F10056" s="11">
        <v>1</v>
      </c>
      <c r="G10056" s="11">
        <v>75630.25</v>
      </c>
    </row>
    <row r="10057" spans="2:7" x14ac:dyDescent="0.2">
      <c r="B10057" s="32">
        <v>46100</v>
      </c>
      <c r="C10057" t="s">
        <v>109</v>
      </c>
      <c r="D10057" s="13" t="s">
        <v>633</v>
      </c>
      <c r="E10057" t="s">
        <v>149</v>
      </c>
      <c r="F10057" s="11">
        <v>1</v>
      </c>
      <c r="G10057" s="11">
        <v>75630.25</v>
      </c>
    </row>
    <row r="10058" spans="2:7" x14ac:dyDescent="0.2">
      <c r="B10058" s="32">
        <v>46100</v>
      </c>
      <c r="C10058" t="s">
        <v>109</v>
      </c>
      <c r="D10058" s="13" t="s">
        <v>633</v>
      </c>
      <c r="E10058" t="s">
        <v>147</v>
      </c>
      <c r="F10058" s="11">
        <v>1</v>
      </c>
      <c r="G10058" s="11">
        <v>75630.25</v>
      </c>
    </row>
    <row r="10059" spans="2:7" x14ac:dyDescent="0.2">
      <c r="B10059" s="32">
        <v>46100</v>
      </c>
      <c r="C10059" t="s">
        <v>109</v>
      </c>
      <c r="D10059" s="13" t="s">
        <v>633</v>
      </c>
      <c r="E10059" t="s">
        <v>144</v>
      </c>
      <c r="F10059" s="11">
        <v>4</v>
      </c>
      <c r="G10059" s="11">
        <v>65546.22</v>
      </c>
    </row>
    <row r="10060" spans="2:7" x14ac:dyDescent="0.2">
      <c r="B10060" s="32">
        <v>46100</v>
      </c>
      <c r="C10060" t="s">
        <v>109</v>
      </c>
      <c r="D10060" s="13" t="s">
        <v>633</v>
      </c>
      <c r="E10060" t="s">
        <v>489</v>
      </c>
      <c r="F10060" s="11">
        <v>1</v>
      </c>
      <c r="G10060" s="11">
        <v>63025.21</v>
      </c>
    </row>
    <row r="10061" spans="2:7" x14ac:dyDescent="0.2">
      <c r="B10061" s="32">
        <v>46100</v>
      </c>
      <c r="C10061" t="s">
        <v>109</v>
      </c>
      <c r="D10061" s="13" t="s">
        <v>633</v>
      </c>
      <c r="E10061" t="s">
        <v>508</v>
      </c>
      <c r="F10061" s="11">
        <v>1</v>
      </c>
      <c r="G10061" s="11">
        <v>63025.21</v>
      </c>
    </row>
    <row r="10062" spans="2:7" x14ac:dyDescent="0.2">
      <c r="B10062" s="32">
        <v>46100</v>
      </c>
      <c r="C10062" t="s">
        <v>109</v>
      </c>
      <c r="D10062" s="13" t="s">
        <v>633</v>
      </c>
      <c r="E10062" t="s">
        <v>479</v>
      </c>
      <c r="F10062" s="11">
        <v>1</v>
      </c>
      <c r="G10062" s="11">
        <v>63025.21</v>
      </c>
    </row>
    <row r="10063" spans="2:7" x14ac:dyDescent="0.2">
      <c r="B10063" s="32">
        <v>46100</v>
      </c>
      <c r="C10063" t="s">
        <v>109</v>
      </c>
      <c r="D10063" s="13" t="s">
        <v>633</v>
      </c>
      <c r="E10063" t="s">
        <v>205</v>
      </c>
      <c r="F10063" s="11">
        <v>1</v>
      </c>
      <c r="G10063" s="11">
        <v>63025.21</v>
      </c>
    </row>
    <row r="10064" spans="2:7" x14ac:dyDescent="0.2">
      <c r="B10064" s="32">
        <v>46100</v>
      </c>
      <c r="C10064" t="s">
        <v>109</v>
      </c>
      <c r="D10064" s="13" t="s">
        <v>633</v>
      </c>
      <c r="E10064" t="s">
        <v>244</v>
      </c>
      <c r="F10064" s="11">
        <v>1</v>
      </c>
      <c r="G10064" s="11">
        <v>58823.53</v>
      </c>
    </row>
    <row r="10065" spans="2:7" x14ac:dyDescent="0.2">
      <c r="B10065" s="32">
        <v>46100</v>
      </c>
      <c r="C10065" t="s">
        <v>109</v>
      </c>
      <c r="D10065" s="13" t="s">
        <v>633</v>
      </c>
      <c r="E10065" t="s">
        <v>374</v>
      </c>
      <c r="F10065" s="11">
        <v>1</v>
      </c>
      <c r="G10065" s="11">
        <v>58823.53</v>
      </c>
    </row>
    <row r="10066" spans="2:7" x14ac:dyDescent="0.2">
      <c r="B10066" s="32">
        <v>46100</v>
      </c>
      <c r="C10066" t="s">
        <v>109</v>
      </c>
      <c r="D10066" s="13" t="s">
        <v>633</v>
      </c>
      <c r="E10066" t="s">
        <v>619</v>
      </c>
      <c r="F10066" s="11">
        <v>1</v>
      </c>
      <c r="G10066" s="11">
        <v>54621.85</v>
      </c>
    </row>
    <row r="10067" spans="2:7" x14ac:dyDescent="0.2">
      <c r="B10067" s="32">
        <v>46100</v>
      </c>
      <c r="C10067" t="s">
        <v>109</v>
      </c>
      <c r="D10067" s="13" t="s">
        <v>633</v>
      </c>
      <c r="E10067" t="s">
        <v>269</v>
      </c>
      <c r="F10067" s="11">
        <v>1</v>
      </c>
      <c r="G10067" s="11">
        <v>54621.85</v>
      </c>
    </row>
    <row r="10068" spans="2:7" x14ac:dyDescent="0.2">
      <c r="B10068" s="32">
        <v>46100</v>
      </c>
      <c r="C10068" t="s">
        <v>109</v>
      </c>
      <c r="D10068" s="13" t="s">
        <v>633</v>
      </c>
      <c r="E10068" t="s">
        <v>678</v>
      </c>
      <c r="F10068" s="11">
        <v>1</v>
      </c>
      <c r="G10068" s="11">
        <v>54621.85</v>
      </c>
    </row>
    <row r="10069" spans="2:7" x14ac:dyDescent="0.2">
      <c r="B10069" s="32">
        <v>46100</v>
      </c>
      <c r="C10069" t="s">
        <v>109</v>
      </c>
      <c r="D10069" s="13" t="s">
        <v>633</v>
      </c>
      <c r="E10069" t="s">
        <v>473</v>
      </c>
      <c r="F10069" s="11">
        <v>1</v>
      </c>
      <c r="G10069" s="11">
        <v>54621.85</v>
      </c>
    </row>
    <row r="10070" spans="2:7" x14ac:dyDescent="0.2">
      <c r="B10070" s="32">
        <v>46100</v>
      </c>
      <c r="C10070" t="s">
        <v>109</v>
      </c>
      <c r="D10070" s="13" t="s">
        <v>633</v>
      </c>
      <c r="E10070" t="s">
        <v>519</v>
      </c>
      <c r="F10070" s="11">
        <v>1</v>
      </c>
      <c r="G10070" s="11">
        <v>50420.17</v>
      </c>
    </row>
    <row r="10071" spans="2:7" x14ac:dyDescent="0.2">
      <c r="B10071" s="32">
        <v>46100</v>
      </c>
      <c r="C10071" t="s">
        <v>109</v>
      </c>
      <c r="D10071" s="13" t="s">
        <v>633</v>
      </c>
      <c r="E10071" t="s">
        <v>238</v>
      </c>
      <c r="F10071" s="11">
        <v>1</v>
      </c>
      <c r="G10071" s="11">
        <v>46218.49</v>
      </c>
    </row>
    <row r="10072" spans="2:7" x14ac:dyDescent="0.2">
      <c r="B10072" s="32">
        <v>46100</v>
      </c>
      <c r="C10072" t="s">
        <v>109</v>
      </c>
      <c r="D10072" s="13" t="s">
        <v>633</v>
      </c>
      <c r="E10072" t="s">
        <v>153</v>
      </c>
      <c r="F10072" s="11">
        <v>1</v>
      </c>
      <c r="G10072" s="11">
        <v>46218.49</v>
      </c>
    </row>
    <row r="10073" spans="2:7" x14ac:dyDescent="0.2">
      <c r="B10073" s="32">
        <v>46100</v>
      </c>
      <c r="C10073" t="s">
        <v>109</v>
      </c>
      <c r="D10073" s="13" t="s">
        <v>633</v>
      </c>
      <c r="E10073" t="s">
        <v>160</v>
      </c>
      <c r="F10073" s="11">
        <v>1</v>
      </c>
      <c r="G10073" s="11">
        <v>46218.48</v>
      </c>
    </row>
    <row r="10074" spans="2:7" x14ac:dyDescent="0.2">
      <c r="B10074" s="32">
        <v>46100</v>
      </c>
      <c r="C10074" t="s">
        <v>109</v>
      </c>
      <c r="D10074" s="13" t="s">
        <v>633</v>
      </c>
      <c r="E10074" t="s">
        <v>468</v>
      </c>
      <c r="F10074" s="11">
        <v>1</v>
      </c>
      <c r="G10074" s="11">
        <v>42016.81</v>
      </c>
    </row>
    <row r="10075" spans="2:7" x14ac:dyDescent="0.2">
      <c r="B10075" s="32">
        <v>46100</v>
      </c>
      <c r="C10075" t="s">
        <v>109</v>
      </c>
      <c r="D10075" s="13" t="s">
        <v>633</v>
      </c>
      <c r="E10075" t="s">
        <v>452</v>
      </c>
      <c r="F10075" s="11">
        <v>1</v>
      </c>
      <c r="G10075" s="11">
        <v>42016.800000000003</v>
      </c>
    </row>
    <row r="10076" spans="2:7" x14ac:dyDescent="0.2">
      <c r="B10076" s="32">
        <v>46100</v>
      </c>
      <c r="C10076" t="s">
        <v>109</v>
      </c>
      <c r="D10076" s="13" t="s">
        <v>633</v>
      </c>
      <c r="E10076" t="s">
        <v>173</v>
      </c>
      <c r="F10076" s="11">
        <v>1</v>
      </c>
      <c r="G10076" s="11">
        <v>37815.129999999997</v>
      </c>
    </row>
    <row r="10077" spans="2:7" x14ac:dyDescent="0.2">
      <c r="B10077" s="32">
        <v>46100</v>
      </c>
      <c r="C10077" t="s">
        <v>109</v>
      </c>
      <c r="D10077" s="13" t="s">
        <v>633</v>
      </c>
      <c r="E10077" t="s">
        <v>234</v>
      </c>
      <c r="F10077" s="11">
        <v>1</v>
      </c>
      <c r="G10077" s="11">
        <v>37815.129999999997</v>
      </c>
    </row>
    <row r="10078" spans="2:7" x14ac:dyDescent="0.2">
      <c r="B10078" s="32">
        <v>46100</v>
      </c>
      <c r="C10078" t="s">
        <v>109</v>
      </c>
      <c r="D10078" s="13" t="s">
        <v>633</v>
      </c>
      <c r="E10078" t="s">
        <v>148</v>
      </c>
      <c r="F10078" s="11">
        <v>1</v>
      </c>
      <c r="G10078" s="11">
        <v>37815.120000000003</v>
      </c>
    </row>
    <row r="10079" spans="2:7" x14ac:dyDescent="0.2">
      <c r="B10079" s="32">
        <v>46100</v>
      </c>
      <c r="C10079" t="s">
        <v>109</v>
      </c>
      <c r="D10079" s="13" t="s">
        <v>633</v>
      </c>
      <c r="E10079" t="s">
        <v>180</v>
      </c>
      <c r="F10079" s="11">
        <v>1</v>
      </c>
      <c r="G10079" s="11">
        <v>16806.73</v>
      </c>
    </row>
    <row r="10080" spans="2:7" x14ac:dyDescent="0.2">
      <c r="B10080" s="32">
        <v>46100</v>
      </c>
      <c r="C10080" t="s">
        <v>109</v>
      </c>
      <c r="D10080" s="13" t="s">
        <v>633</v>
      </c>
      <c r="E10080" t="s">
        <v>456</v>
      </c>
      <c r="F10080" s="11">
        <v>1</v>
      </c>
      <c r="G10080" s="11">
        <v>16806.72</v>
      </c>
    </row>
    <row r="10081" spans="2:7" x14ac:dyDescent="0.2">
      <c r="B10081" s="32">
        <v>46101</v>
      </c>
      <c r="C10081" t="s">
        <v>142</v>
      </c>
      <c r="D10081" s="13" t="s">
        <v>634</v>
      </c>
      <c r="E10081" t="s">
        <v>561</v>
      </c>
      <c r="F10081" s="11">
        <v>1</v>
      </c>
      <c r="G10081" s="11">
        <v>138655.46</v>
      </c>
    </row>
    <row r="10082" spans="2:7" x14ac:dyDescent="0.2">
      <c r="B10082" s="32">
        <v>46101</v>
      </c>
      <c r="C10082" t="s">
        <v>142</v>
      </c>
      <c r="D10082" s="13" t="s">
        <v>634</v>
      </c>
      <c r="E10082" t="s">
        <v>517</v>
      </c>
      <c r="F10082" s="11">
        <v>1</v>
      </c>
      <c r="G10082" s="11">
        <v>109243.7</v>
      </c>
    </row>
    <row r="10083" spans="2:7" x14ac:dyDescent="0.2">
      <c r="B10083" s="32">
        <v>46101</v>
      </c>
      <c r="C10083" t="s">
        <v>142</v>
      </c>
      <c r="D10083" s="13" t="s">
        <v>634</v>
      </c>
      <c r="E10083" t="s">
        <v>233</v>
      </c>
      <c r="F10083" s="11">
        <v>1</v>
      </c>
      <c r="G10083" s="11">
        <v>63025.21</v>
      </c>
    </row>
    <row r="10084" spans="2:7" x14ac:dyDescent="0.2">
      <c r="B10084" s="32">
        <v>46101</v>
      </c>
      <c r="C10084" t="s">
        <v>142</v>
      </c>
      <c r="D10084" s="13" t="s">
        <v>634</v>
      </c>
      <c r="E10084" t="s">
        <v>271</v>
      </c>
      <c r="F10084" s="11">
        <v>1</v>
      </c>
      <c r="G10084" s="11">
        <v>63025.21</v>
      </c>
    </row>
    <row r="10085" spans="2:7" x14ac:dyDescent="0.2">
      <c r="B10085" s="32">
        <v>46101</v>
      </c>
      <c r="C10085" t="s">
        <v>142</v>
      </c>
      <c r="D10085" s="13" t="s">
        <v>634</v>
      </c>
      <c r="E10085" t="s">
        <v>557</v>
      </c>
      <c r="F10085" s="11">
        <v>1</v>
      </c>
      <c r="G10085" s="11">
        <v>50420.160000000003</v>
      </c>
    </row>
    <row r="10086" spans="2:7" x14ac:dyDescent="0.2">
      <c r="B10086" s="32">
        <v>46101</v>
      </c>
      <c r="C10086" t="s">
        <v>142</v>
      </c>
      <c r="D10086" s="13" t="s">
        <v>634</v>
      </c>
      <c r="E10086" t="s">
        <v>229</v>
      </c>
      <c r="F10086" s="11">
        <v>1</v>
      </c>
      <c r="G10086" s="11">
        <v>42016.81</v>
      </c>
    </row>
    <row r="10087" spans="2:7" x14ac:dyDescent="0.2">
      <c r="B10087" s="32">
        <v>46101</v>
      </c>
      <c r="C10087" t="s">
        <v>142</v>
      </c>
      <c r="D10087" s="13" t="s">
        <v>634</v>
      </c>
      <c r="E10087" t="s">
        <v>218</v>
      </c>
      <c r="F10087" s="11">
        <v>1</v>
      </c>
      <c r="G10087" s="11">
        <v>42016.81</v>
      </c>
    </row>
    <row r="10088" spans="2:7" x14ac:dyDescent="0.2">
      <c r="B10088" s="32">
        <v>46101</v>
      </c>
      <c r="C10088" t="s">
        <v>142</v>
      </c>
      <c r="D10088" s="13" t="s">
        <v>633</v>
      </c>
      <c r="E10088" t="s">
        <v>745</v>
      </c>
      <c r="F10088" s="11">
        <v>2</v>
      </c>
      <c r="G10088" s="11">
        <v>184873.95</v>
      </c>
    </row>
    <row r="10089" spans="2:7" x14ac:dyDescent="0.2">
      <c r="B10089" s="32">
        <v>46101</v>
      </c>
      <c r="C10089" t="s">
        <v>109</v>
      </c>
      <c r="D10089" s="13" t="s">
        <v>634</v>
      </c>
      <c r="E10089" t="s">
        <v>472</v>
      </c>
      <c r="F10089" s="11">
        <v>2</v>
      </c>
      <c r="G10089" s="11">
        <v>252100.84</v>
      </c>
    </row>
    <row r="10090" spans="2:7" x14ac:dyDescent="0.2">
      <c r="B10090" s="32">
        <v>46101</v>
      </c>
      <c r="C10090" t="s">
        <v>109</v>
      </c>
      <c r="D10090" s="13" t="s">
        <v>634</v>
      </c>
      <c r="E10090" t="s">
        <v>191</v>
      </c>
      <c r="F10090" s="11">
        <v>1</v>
      </c>
      <c r="G10090" s="11">
        <v>142857.14000000001</v>
      </c>
    </row>
    <row r="10091" spans="2:7" x14ac:dyDescent="0.2">
      <c r="B10091" s="32">
        <v>46101</v>
      </c>
      <c r="C10091" t="s">
        <v>109</v>
      </c>
      <c r="D10091" s="13" t="s">
        <v>634</v>
      </c>
      <c r="E10091" t="s">
        <v>464</v>
      </c>
      <c r="F10091" s="11">
        <v>1</v>
      </c>
      <c r="G10091" s="11">
        <v>142857.14000000001</v>
      </c>
    </row>
    <row r="10092" spans="2:7" x14ac:dyDescent="0.2">
      <c r="B10092" s="32">
        <v>46101</v>
      </c>
      <c r="C10092" t="s">
        <v>109</v>
      </c>
      <c r="D10092" s="13" t="s">
        <v>634</v>
      </c>
      <c r="E10092" t="s">
        <v>145</v>
      </c>
      <c r="F10092" s="11">
        <v>3</v>
      </c>
      <c r="G10092" s="11">
        <v>88235.29</v>
      </c>
    </row>
    <row r="10093" spans="2:7" x14ac:dyDescent="0.2">
      <c r="B10093" s="32">
        <v>46101</v>
      </c>
      <c r="C10093" t="s">
        <v>109</v>
      </c>
      <c r="D10093" s="13" t="s">
        <v>634</v>
      </c>
      <c r="E10093" t="s">
        <v>336</v>
      </c>
      <c r="F10093" s="11">
        <v>1</v>
      </c>
      <c r="G10093" s="11">
        <v>75630.25</v>
      </c>
    </row>
    <row r="10094" spans="2:7" x14ac:dyDescent="0.2">
      <c r="B10094" s="32">
        <v>46101</v>
      </c>
      <c r="C10094" t="s">
        <v>109</v>
      </c>
      <c r="D10094" s="13" t="s">
        <v>634</v>
      </c>
      <c r="E10094" t="s">
        <v>508</v>
      </c>
      <c r="F10094" s="11">
        <v>1</v>
      </c>
      <c r="G10094" s="11">
        <v>63025.21</v>
      </c>
    </row>
    <row r="10095" spans="2:7" x14ac:dyDescent="0.2">
      <c r="B10095" s="32">
        <v>46101</v>
      </c>
      <c r="C10095" t="s">
        <v>109</v>
      </c>
      <c r="D10095" s="13" t="s">
        <v>634</v>
      </c>
      <c r="E10095" t="s">
        <v>151</v>
      </c>
      <c r="F10095" s="11">
        <v>1</v>
      </c>
      <c r="G10095" s="11">
        <v>50420.17</v>
      </c>
    </row>
    <row r="10096" spans="2:7" x14ac:dyDescent="0.2">
      <c r="B10096" s="32">
        <v>46101</v>
      </c>
      <c r="C10096" t="s">
        <v>109</v>
      </c>
      <c r="D10096" s="13" t="s">
        <v>634</v>
      </c>
      <c r="E10096" t="s">
        <v>144</v>
      </c>
      <c r="F10096" s="11">
        <v>2</v>
      </c>
      <c r="G10096" s="11">
        <v>46218.49</v>
      </c>
    </row>
    <row r="10097" spans="2:7" x14ac:dyDescent="0.2">
      <c r="B10097" s="32">
        <v>46101</v>
      </c>
      <c r="C10097" t="s">
        <v>109</v>
      </c>
      <c r="D10097" s="13" t="s">
        <v>634</v>
      </c>
      <c r="E10097" t="s">
        <v>156</v>
      </c>
      <c r="F10097" s="11">
        <v>1</v>
      </c>
      <c r="G10097" s="11">
        <v>46218.48</v>
      </c>
    </row>
    <row r="10098" spans="2:7" x14ac:dyDescent="0.2">
      <c r="B10098" s="32">
        <v>46101</v>
      </c>
      <c r="C10098" t="s">
        <v>109</v>
      </c>
      <c r="D10098" s="13" t="s">
        <v>634</v>
      </c>
      <c r="E10098" t="s">
        <v>246</v>
      </c>
      <c r="F10098" s="11">
        <v>1</v>
      </c>
      <c r="G10098" s="11">
        <v>42016.81</v>
      </c>
    </row>
    <row r="10099" spans="2:7" x14ac:dyDescent="0.2">
      <c r="B10099" s="32">
        <v>46101</v>
      </c>
      <c r="C10099" t="s">
        <v>109</v>
      </c>
      <c r="D10099" s="13" t="s">
        <v>634</v>
      </c>
      <c r="E10099" t="s">
        <v>204</v>
      </c>
      <c r="F10099" s="11">
        <v>1</v>
      </c>
      <c r="G10099" s="11">
        <v>42016.81</v>
      </c>
    </row>
    <row r="10100" spans="2:7" x14ac:dyDescent="0.2">
      <c r="B10100" s="32">
        <v>46101</v>
      </c>
      <c r="C10100" t="s">
        <v>109</v>
      </c>
      <c r="D10100" s="13" t="s">
        <v>633</v>
      </c>
      <c r="E10100" t="s">
        <v>420</v>
      </c>
      <c r="F10100" s="11">
        <v>1</v>
      </c>
      <c r="G10100" s="11">
        <v>113445.38</v>
      </c>
    </row>
    <row r="10101" spans="2:7" x14ac:dyDescent="0.2">
      <c r="B10101" s="32">
        <v>46101</v>
      </c>
      <c r="C10101" t="s">
        <v>109</v>
      </c>
      <c r="D10101" s="13" t="s">
        <v>633</v>
      </c>
      <c r="E10101" t="s">
        <v>158</v>
      </c>
      <c r="F10101" s="11">
        <v>2</v>
      </c>
      <c r="G10101" s="11">
        <v>92436.97</v>
      </c>
    </row>
    <row r="10102" spans="2:7" x14ac:dyDescent="0.2">
      <c r="B10102" s="32">
        <v>46101</v>
      </c>
      <c r="C10102" t="s">
        <v>109</v>
      </c>
      <c r="D10102" s="13" t="s">
        <v>633</v>
      </c>
      <c r="E10102" t="s">
        <v>647</v>
      </c>
      <c r="F10102" s="11">
        <v>1</v>
      </c>
      <c r="G10102" s="11">
        <v>84033.61</v>
      </c>
    </row>
    <row r="10103" spans="2:7" x14ac:dyDescent="0.2">
      <c r="B10103" s="32">
        <v>46101</v>
      </c>
      <c r="C10103" t="s">
        <v>109</v>
      </c>
      <c r="D10103" s="13" t="s">
        <v>633</v>
      </c>
      <c r="E10103" t="s">
        <v>147</v>
      </c>
      <c r="F10103" s="11">
        <v>1</v>
      </c>
      <c r="G10103" s="11">
        <v>75630.25</v>
      </c>
    </row>
    <row r="10104" spans="2:7" x14ac:dyDescent="0.2">
      <c r="B10104" s="32">
        <v>46101</v>
      </c>
      <c r="C10104" t="s">
        <v>109</v>
      </c>
      <c r="D10104" s="13" t="s">
        <v>633</v>
      </c>
      <c r="E10104" t="s">
        <v>443</v>
      </c>
      <c r="F10104" s="11">
        <v>1</v>
      </c>
      <c r="G10104" s="11">
        <v>54621.85</v>
      </c>
    </row>
    <row r="10105" spans="2:7" x14ac:dyDescent="0.2">
      <c r="B10105" s="32">
        <v>46101</v>
      </c>
      <c r="C10105" t="s">
        <v>109</v>
      </c>
      <c r="D10105" s="13" t="s">
        <v>633</v>
      </c>
      <c r="E10105" t="s">
        <v>566</v>
      </c>
      <c r="F10105" s="11">
        <v>3</v>
      </c>
      <c r="G10105" s="11">
        <v>50420.160000000003</v>
      </c>
    </row>
    <row r="10106" spans="2:7" x14ac:dyDescent="0.2">
      <c r="B10106" s="32">
        <v>46101</v>
      </c>
      <c r="C10106" t="s">
        <v>109</v>
      </c>
      <c r="D10106" s="13" t="s">
        <v>633</v>
      </c>
      <c r="E10106" t="s">
        <v>144</v>
      </c>
      <c r="F10106" s="11">
        <v>1</v>
      </c>
      <c r="G10106" s="11">
        <v>42016.81</v>
      </c>
    </row>
    <row r="10107" spans="2:7" x14ac:dyDescent="0.2">
      <c r="B10107" s="32">
        <v>46101</v>
      </c>
      <c r="C10107" t="s">
        <v>109</v>
      </c>
      <c r="D10107" s="13" t="s">
        <v>633</v>
      </c>
      <c r="E10107" t="s">
        <v>206</v>
      </c>
      <c r="F10107" s="11">
        <v>1</v>
      </c>
      <c r="G10107" s="11">
        <v>37815.129999999997</v>
      </c>
    </row>
    <row r="10108" spans="2:7" x14ac:dyDescent="0.2">
      <c r="B10108" s="32">
        <v>46102</v>
      </c>
      <c r="C10108" t="s">
        <v>142</v>
      </c>
      <c r="D10108" s="13" t="s">
        <v>634</v>
      </c>
      <c r="E10108" t="s">
        <v>454</v>
      </c>
      <c r="F10108" s="11">
        <v>1</v>
      </c>
      <c r="G10108" s="11">
        <v>63025.21</v>
      </c>
    </row>
    <row r="10109" spans="2:7" x14ac:dyDescent="0.2">
      <c r="B10109" s="32">
        <v>46102</v>
      </c>
      <c r="C10109" t="s">
        <v>142</v>
      </c>
      <c r="D10109" s="13" t="s">
        <v>634</v>
      </c>
      <c r="E10109" t="s">
        <v>398</v>
      </c>
      <c r="F10109" s="11">
        <v>1</v>
      </c>
      <c r="G10109" s="11">
        <v>63025.21</v>
      </c>
    </row>
    <row r="10110" spans="2:7" x14ac:dyDescent="0.2">
      <c r="B10110" s="32">
        <v>46102</v>
      </c>
      <c r="C10110" t="s">
        <v>109</v>
      </c>
      <c r="D10110" s="13"/>
      <c r="E10110" t="s">
        <v>153</v>
      </c>
      <c r="F10110" s="11">
        <v>1</v>
      </c>
      <c r="G10110" s="11">
        <v>46218.49</v>
      </c>
    </row>
    <row r="10111" spans="2:7" x14ac:dyDescent="0.2">
      <c r="B10111" s="32">
        <v>46102</v>
      </c>
      <c r="C10111" t="s">
        <v>109</v>
      </c>
      <c r="D10111" s="13"/>
      <c r="E10111" t="s">
        <v>166</v>
      </c>
      <c r="F10111" s="11">
        <v>1</v>
      </c>
      <c r="G10111" s="11">
        <v>42016.81</v>
      </c>
    </row>
    <row r="10112" spans="2:7" x14ac:dyDescent="0.2">
      <c r="B10112" s="32">
        <v>46102</v>
      </c>
      <c r="C10112" t="s">
        <v>109</v>
      </c>
      <c r="D10112" s="13" t="s">
        <v>634</v>
      </c>
      <c r="E10112" t="s">
        <v>159</v>
      </c>
      <c r="F10112" s="11">
        <v>2</v>
      </c>
      <c r="G10112" s="11">
        <v>478991.6</v>
      </c>
    </row>
    <row r="10113" spans="2:7" x14ac:dyDescent="0.2">
      <c r="B10113" s="32">
        <v>46102</v>
      </c>
      <c r="C10113" t="s">
        <v>109</v>
      </c>
      <c r="D10113" s="13" t="s">
        <v>634</v>
      </c>
      <c r="E10113" t="s">
        <v>464</v>
      </c>
      <c r="F10113" s="11">
        <v>1</v>
      </c>
      <c r="G10113" s="11">
        <v>142857.14000000001</v>
      </c>
    </row>
    <row r="10114" spans="2:7" x14ac:dyDescent="0.2">
      <c r="B10114" s="32">
        <v>46102</v>
      </c>
      <c r="C10114" t="s">
        <v>109</v>
      </c>
      <c r="D10114" s="13" t="s">
        <v>634</v>
      </c>
      <c r="E10114" t="s">
        <v>365</v>
      </c>
      <c r="F10114" s="11">
        <v>1</v>
      </c>
      <c r="G10114" s="11">
        <v>109243.7</v>
      </c>
    </row>
    <row r="10115" spans="2:7" x14ac:dyDescent="0.2">
      <c r="B10115" s="32">
        <v>46102</v>
      </c>
      <c r="C10115" t="s">
        <v>109</v>
      </c>
      <c r="D10115" s="13" t="s">
        <v>634</v>
      </c>
      <c r="E10115" t="s">
        <v>532</v>
      </c>
      <c r="F10115" s="11">
        <v>1</v>
      </c>
      <c r="G10115" s="11">
        <v>109243.7</v>
      </c>
    </row>
    <row r="10116" spans="2:7" x14ac:dyDescent="0.2">
      <c r="B10116" s="32">
        <v>46102</v>
      </c>
      <c r="C10116" t="s">
        <v>109</v>
      </c>
      <c r="D10116" s="13" t="s">
        <v>634</v>
      </c>
      <c r="E10116" t="s">
        <v>162</v>
      </c>
      <c r="F10116" s="11">
        <v>1</v>
      </c>
      <c r="G10116" s="11">
        <v>63025.21</v>
      </c>
    </row>
    <row r="10117" spans="2:7" x14ac:dyDescent="0.2">
      <c r="B10117" s="32">
        <v>46102</v>
      </c>
      <c r="C10117" t="s">
        <v>109</v>
      </c>
      <c r="D10117" s="13" t="s">
        <v>634</v>
      </c>
      <c r="E10117" t="s">
        <v>281</v>
      </c>
      <c r="F10117" s="11">
        <v>1</v>
      </c>
      <c r="G10117" s="11">
        <v>63025.21</v>
      </c>
    </row>
    <row r="10118" spans="2:7" x14ac:dyDescent="0.2">
      <c r="B10118" s="32">
        <v>46102</v>
      </c>
      <c r="C10118" t="s">
        <v>109</v>
      </c>
      <c r="D10118" s="13" t="s">
        <v>634</v>
      </c>
      <c r="E10118" t="s">
        <v>564</v>
      </c>
      <c r="F10118" s="11">
        <v>1</v>
      </c>
      <c r="G10118" s="11">
        <v>63025.21</v>
      </c>
    </row>
    <row r="10119" spans="2:7" x14ac:dyDescent="0.2">
      <c r="B10119" s="32">
        <v>46102</v>
      </c>
      <c r="C10119" t="s">
        <v>109</v>
      </c>
      <c r="D10119" s="13" t="s">
        <v>634</v>
      </c>
      <c r="E10119" t="s">
        <v>439</v>
      </c>
      <c r="F10119" s="11">
        <v>1</v>
      </c>
      <c r="G10119" s="11">
        <v>63025.21</v>
      </c>
    </row>
    <row r="10120" spans="2:7" x14ac:dyDescent="0.2">
      <c r="B10120" s="32">
        <v>46102</v>
      </c>
      <c r="C10120" t="s">
        <v>109</v>
      </c>
      <c r="D10120" s="13" t="s">
        <v>634</v>
      </c>
      <c r="E10120" t="s">
        <v>315</v>
      </c>
      <c r="F10120" s="11">
        <v>1</v>
      </c>
      <c r="G10120" s="11">
        <v>63025.21</v>
      </c>
    </row>
    <row r="10121" spans="2:7" x14ac:dyDescent="0.2">
      <c r="B10121" s="32">
        <v>46102</v>
      </c>
      <c r="C10121" t="s">
        <v>109</v>
      </c>
      <c r="D10121" s="13" t="s">
        <v>634</v>
      </c>
      <c r="E10121" t="s">
        <v>243</v>
      </c>
      <c r="F10121" s="11">
        <v>1</v>
      </c>
      <c r="G10121" s="11">
        <v>54621.85</v>
      </c>
    </row>
    <row r="10122" spans="2:7" x14ac:dyDescent="0.2">
      <c r="B10122" s="32">
        <v>46102</v>
      </c>
      <c r="C10122" t="s">
        <v>109</v>
      </c>
      <c r="D10122" s="13" t="s">
        <v>634</v>
      </c>
      <c r="E10122" t="s">
        <v>514</v>
      </c>
      <c r="F10122" s="11">
        <v>1</v>
      </c>
      <c r="G10122" s="11">
        <v>50420.17</v>
      </c>
    </row>
    <row r="10123" spans="2:7" x14ac:dyDescent="0.2">
      <c r="B10123" s="32">
        <v>46102</v>
      </c>
      <c r="C10123" t="s">
        <v>109</v>
      </c>
      <c r="D10123" s="13" t="s">
        <v>634</v>
      </c>
      <c r="E10123" t="s">
        <v>234</v>
      </c>
      <c r="F10123" s="11">
        <v>1</v>
      </c>
      <c r="G10123" s="11">
        <v>37815.129999999997</v>
      </c>
    </row>
    <row r="10124" spans="2:7" x14ac:dyDescent="0.2">
      <c r="B10124" s="32">
        <v>46102</v>
      </c>
      <c r="C10124" t="s">
        <v>109</v>
      </c>
      <c r="D10124" s="13" t="s">
        <v>634</v>
      </c>
      <c r="E10124" t="s">
        <v>293</v>
      </c>
      <c r="F10124" s="11">
        <v>1</v>
      </c>
      <c r="G10124" s="11">
        <v>37815.129999999997</v>
      </c>
    </row>
    <row r="10125" spans="2:7" x14ac:dyDescent="0.2">
      <c r="B10125" s="32">
        <v>46102</v>
      </c>
      <c r="C10125" t="s">
        <v>109</v>
      </c>
      <c r="D10125" s="13" t="s">
        <v>634</v>
      </c>
      <c r="E10125" t="s">
        <v>327</v>
      </c>
      <c r="F10125" s="11">
        <v>1</v>
      </c>
      <c r="G10125" s="11">
        <v>35000</v>
      </c>
    </row>
    <row r="10126" spans="2:7" x14ac:dyDescent="0.2">
      <c r="B10126" s="32">
        <v>46102</v>
      </c>
      <c r="C10126" t="s">
        <v>109</v>
      </c>
      <c r="D10126" s="13" t="s">
        <v>634</v>
      </c>
      <c r="E10126" t="s">
        <v>144</v>
      </c>
      <c r="F10126" s="11">
        <v>2</v>
      </c>
      <c r="G10126" s="11">
        <v>33613.440000000002</v>
      </c>
    </row>
    <row r="10127" spans="2:7" x14ac:dyDescent="0.2">
      <c r="B10127" s="32">
        <v>46102</v>
      </c>
      <c r="C10127" t="s">
        <v>109</v>
      </c>
      <c r="D10127" s="13" t="s">
        <v>633</v>
      </c>
      <c r="E10127" t="s">
        <v>144</v>
      </c>
      <c r="F10127" s="11">
        <v>17</v>
      </c>
      <c r="G10127" s="11">
        <v>189915.96</v>
      </c>
    </row>
    <row r="10128" spans="2:7" x14ac:dyDescent="0.2">
      <c r="B10128" s="32">
        <v>46102</v>
      </c>
      <c r="C10128" t="s">
        <v>109</v>
      </c>
      <c r="D10128" s="13" t="s">
        <v>633</v>
      </c>
      <c r="E10128" t="s">
        <v>145</v>
      </c>
      <c r="F10128" s="11">
        <v>4</v>
      </c>
      <c r="G10128" s="11">
        <v>117647.06</v>
      </c>
    </row>
    <row r="10129" spans="2:7" x14ac:dyDescent="0.2">
      <c r="B10129" s="32">
        <v>46102</v>
      </c>
      <c r="C10129" t="s">
        <v>109</v>
      </c>
      <c r="D10129" s="13" t="s">
        <v>633</v>
      </c>
      <c r="E10129" t="s">
        <v>669</v>
      </c>
      <c r="F10129" s="11">
        <v>1</v>
      </c>
      <c r="G10129" s="11">
        <v>102000</v>
      </c>
    </row>
    <row r="10130" spans="2:7" x14ac:dyDescent="0.2">
      <c r="B10130" s="32">
        <v>46102</v>
      </c>
      <c r="C10130" t="s">
        <v>109</v>
      </c>
      <c r="D10130" s="13" t="s">
        <v>633</v>
      </c>
      <c r="E10130" t="s">
        <v>150</v>
      </c>
      <c r="F10130" s="11">
        <v>2</v>
      </c>
      <c r="G10130" s="11">
        <v>92436.98</v>
      </c>
    </row>
    <row r="10131" spans="2:7" x14ac:dyDescent="0.2">
      <c r="B10131" s="32">
        <v>46102</v>
      </c>
      <c r="C10131" t="s">
        <v>109</v>
      </c>
      <c r="D10131" s="13" t="s">
        <v>633</v>
      </c>
      <c r="E10131" t="s">
        <v>220</v>
      </c>
      <c r="F10131" s="11">
        <v>1</v>
      </c>
      <c r="G10131" s="11">
        <v>84033.62</v>
      </c>
    </row>
    <row r="10132" spans="2:7" x14ac:dyDescent="0.2">
      <c r="B10132" s="32">
        <v>46102</v>
      </c>
      <c r="C10132" t="s">
        <v>109</v>
      </c>
      <c r="D10132" s="13" t="s">
        <v>633</v>
      </c>
      <c r="E10132" t="s">
        <v>157</v>
      </c>
      <c r="F10132" s="11">
        <v>1</v>
      </c>
      <c r="G10132" s="11">
        <v>84033.61</v>
      </c>
    </row>
    <row r="10133" spans="2:7" x14ac:dyDescent="0.2">
      <c r="B10133" s="32">
        <v>46102</v>
      </c>
      <c r="C10133" t="s">
        <v>109</v>
      </c>
      <c r="D10133" s="13" t="s">
        <v>633</v>
      </c>
      <c r="E10133" t="s">
        <v>336</v>
      </c>
      <c r="F10133" s="11">
        <v>1</v>
      </c>
      <c r="G10133" s="11">
        <v>75630.25</v>
      </c>
    </row>
    <row r="10134" spans="2:7" x14ac:dyDescent="0.2">
      <c r="B10134" s="32">
        <v>46102</v>
      </c>
      <c r="C10134" t="s">
        <v>109</v>
      </c>
      <c r="D10134" s="13" t="s">
        <v>633</v>
      </c>
      <c r="E10134" t="s">
        <v>475</v>
      </c>
      <c r="F10134" s="11">
        <v>1</v>
      </c>
      <c r="G10134" s="11">
        <v>75630.25</v>
      </c>
    </row>
    <row r="10135" spans="2:7" x14ac:dyDescent="0.2">
      <c r="B10135" s="32">
        <v>46102</v>
      </c>
      <c r="C10135" t="s">
        <v>109</v>
      </c>
      <c r="D10135" s="13" t="s">
        <v>633</v>
      </c>
      <c r="E10135" t="s">
        <v>427</v>
      </c>
      <c r="F10135" s="11">
        <v>1</v>
      </c>
      <c r="G10135" s="11">
        <v>58823.53</v>
      </c>
    </row>
    <row r="10136" spans="2:7" x14ac:dyDescent="0.2">
      <c r="B10136" s="32">
        <v>46102</v>
      </c>
      <c r="C10136" t="s">
        <v>109</v>
      </c>
      <c r="D10136" s="13" t="s">
        <v>633</v>
      </c>
      <c r="E10136" t="s">
        <v>746</v>
      </c>
      <c r="F10136" s="11">
        <v>1</v>
      </c>
      <c r="G10136" s="11">
        <v>58823.53</v>
      </c>
    </row>
    <row r="10137" spans="2:7" x14ac:dyDescent="0.2">
      <c r="B10137" s="32">
        <v>46102</v>
      </c>
      <c r="C10137" t="s">
        <v>109</v>
      </c>
      <c r="D10137" s="13" t="s">
        <v>633</v>
      </c>
      <c r="E10137" t="s">
        <v>678</v>
      </c>
      <c r="F10137" s="11">
        <v>1</v>
      </c>
      <c r="G10137" s="11">
        <v>54621.85</v>
      </c>
    </row>
    <row r="10138" spans="2:7" x14ac:dyDescent="0.2">
      <c r="B10138" s="32">
        <v>46102</v>
      </c>
      <c r="C10138" t="s">
        <v>109</v>
      </c>
      <c r="D10138" s="13" t="s">
        <v>633</v>
      </c>
      <c r="E10138" t="s">
        <v>587</v>
      </c>
      <c r="F10138" s="11">
        <v>1</v>
      </c>
      <c r="G10138" s="11">
        <v>54621.85</v>
      </c>
    </row>
    <row r="10139" spans="2:7" x14ac:dyDescent="0.2">
      <c r="B10139" s="32">
        <v>46102</v>
      </c>
      <c r="C10139" t="s">
        <v>109</v>
      </c>
      <c r="D10139" s="13" t="s">
        <v>633</v>
      </c>
      <c r="E10139" t="s">
        <v>513</v>
      </c>
      <c r="F10139" s="11">
        <v>1</v>
      </c>
      <c r="G10139" s="11">
        <v>54621.85</v>
      </c>
    </row>
    <row r="10140" spans="2:7" x14ac:dyDescent="0.2">
      <c r="B10140" s="32">
        <v>46102</v>
      </c>
      <c r="C10140" t="s">
        <v>109</v>
      </c>
      <c r="D10140" s="13" t="s">
        <v>633</v>
      </c>
      <c r="E10140" t="s">
        <v>168</v>
      </c>
      <c r="F10140" s="11">
        <v>1</v>
      </c>
      <c r="G10140" s="11">
        <v>46218.49</v>
      </c>
    </row>
    <row r="10141" spans="2:7" x14ac:dyDescent="0.2">
      <c r="B10141" s="32">
        <v>46102</v>
      </c>
      <c r="C10141" t="s">
        <v>109</v>
      </c>
      <c r="D10141" s="13" t="s">
        <v>633</v>
      </c>
      <c r="E10141" t="s">
        <v>328</v>
      </c>
      <c r="F10141" s="11">
        <v>1</v>
      </c>
      <c r="G10141" s="11">
        <v>37815.129999999997</v>
      </c>
    </row>
    <row r="10142" spans="2:7" x14ac:dyDescent="0.2">
      <c r="B10142" s="32">
        <v>46103</v>
      </c>
      <c r="C10142" t="s">
        <v>142</v>
      </c>
      <c r="D10142" s="13" t="s">
        <v>634</v>
      </c>
      <c r="E10142" t="s">
        <v>228</v>
      </c>
      <c r="F10142" s="11">
        <v>1</v>
      </c>
      <c r="G10142" s="11">
        <v>54621.85</v>
      </c>
    </row>
    <row r="10143" spans="2:7" x14ac:dyDescent="0.2">
      <c r="B10143" s="32">
        <v>46103</v>
      </c>
      <c r="C10143" t="s">
        <v>109</v>
      </c>
      <c r="D10143" s="13" t="s">
        <v>634</v>
      </c>
      <c r="E10143" t="s">
        <v>296</v>
      </c>
      <c r="F10143" s="11">
        <v>1</v>
      </c>
      <c r="G10143" s="11">
        <v>50420.17</v>
      </c>
    </row>
    <row r="10144" spans="2:7" x14ac:dyDescent="0.2">
      <c r="B10144" s="32">
        <v>46103</v>
      </c>
      <c r="C10144" t="s">
        <v>109</v>
      </c>
      <c r="D10144" s="13" t="s">
        <v>634</v>
      </c>
      <c r="E10144" t="s">
        <v>145</v>
      </c>
      <c r="F10144" s="11">
        <v>1</v>
      </c>
      <c r="G10144" s="11">
        <v>29411.759999999998</v>
      </c>
    </row>
    <row r="10145" spans="2:7" x14ac:dyDescent="0.2">
      <c r="B10145" s="32">
        <v>46103</v>
      </c>
      <c r="C10145" t="s">
        <v>109</v>
      </c>
      <c r="D10145" s="13" t="s">
        <v>633</v>
      </c>
      <c r="E10145" t="s">
        <v>190</v>
      </c>
      <c r="F10145" s="11">
        <v>1</v>
      </c>
      <c r="G10145" s="11">
        <v>100840.34</v>
      </c>
    </row>
    <row r="10146" spans="2:7" x14ac:dyDescent="0.2">
      <c r="B10146" s="32">
        <v>46103</v>
      </c>
      <c r="C10146" t="s">
        <v>109</v>
      </c>
      <c r="D10146" s="13" t="s">
        <v>633</v>
      </c>
      <c r="E10146" t="s">
        <v>519</v>
      </c>
      <c r="F10146" s="11">
        <v>1</v>
      </c>
      <c r="G10146" s="11">
        <v>50420.17</v>
      </c>
    </row>
    <row r="10147" spans="2:7" x14ac:dyDescent="0.2">
      <c r="B10147" s="32">
        <v>46103</v>
      </c>
      <c r="C10147" t="s">
        <v>109</v>
      </c>
      <c r="D10147" s="13" t="s">
        <v>633</v>
      </c>
      <c r="E10147" t="s">
        <v>742</v>
      </c>
      <c r="F10147" s="11">
        <v>1</v>
      </c>
      <c r="G10147" s="11">
        <v>50420.17</v>
      </c>
    </row>
    <row r="10148" spans="2:7" x14ac:dyDescent="0.2">
      <c r="B10148" s="32">
        <v>46103</v>
      </c>
      <c r="C10148" t="s">
        <v>109</v>
      </c>
      <c r="D10148" s="13" t="s">
        <v>633</v>
      </c>
      <c r="E10148" t="s">
        <v>468</v>
      </c>
      <c r="F10148" s="11">
        <v>1</v>
      </c>
      <c r="G10148" s="11">
        <v>42016.81</v>
      </c>
    </row>
    <row r="10149" spans="2:7" x14ac:dyDescent="0.2">
      <c r="B10149" s="32">
        <v>46103</v>
      </c>
      <c r="C10149" t="s">
        <v>109</v>
      </c>
      <c r="D10149" s="13" t="s">
        <v>633</v>
      </c>
      <c r="E10149" t="s">
        <v>248</v>
      </c>
      <c r="F10149" s="11">
        <v>1</v>
      </c>
      <c r="G10149" s="11">
        <v>37815.129999999997</v>
      </c>
    </row>
    <row r="10150" spans="2:7" x14ac:dyDescent="0.2">
      <c r="B10150" s="32">
        <v>46103</v>
      </c>
      <c r="C10150" t="s">
        <v>109</v>
      </c>
      <c r="D10150" s="13" t="s">
        <v>633</v>
      </c>
      <c r="E10150" t="s">
        <v>187</v>
      </c>
      <c r="F10150" s="11">
        <v>1</v>
      </c>
      <c r="G10150" s="11">
        <v>30000</v>
      </c>
    </row>
    <row r="10151" spans="2:7" x14ac:dyDescent="0.2">
      <c r="B10151" s="32">
        <v>46103</v>
      </c>
      <c r="C10151" t="s">
        <v>109</v>
      </c>
      <c r="D10151" s="13" t="s">
        <v>633</v>
      </c>
      <c r="E10151" t="s">
        <v>145</v>
      </c>
      <c r="F10151" s="11">
        <v>1</v>
      </c>
      <c r="G10151" s="11">
        <v>29411.759999999998</v>
      </c>
    </row>
    <row r="10152" spans="2:7" x14ac:dyDescent="0.2">
      <c r="B10152" s="32">
        <v>46103</v>
      </c>
      <c r="C10152" t="s">
        <v>109</v>
      </c>
      <c r="D10152" s="13" t="s">
        <v>633</v>
      </c>
      <c r="E10152" t="s">
        <v>351</v>
      </c>
      <c r="F10152" s="11">
        <v>1</v>
      </c>
      <c r="G10152" s="11">
        <v>16806.72</v>
      </c>
    </row>
    <row r="10153" spans="2:7" x14ac:dyDescent="0.2">
      <c r="B10153" s="32">
        <v>46104</v>
      </c>
      <c r="C10153" t="s">
        <v>142</v>
      </c>
      <c r="D10153" s="13" t="s">
        <v>633</v>
      </c>
      <c r="E10153" t="s">
        <v>607</v>
      </c>
      <c r="F10153" s="11">
        <v>2</v>
      </c>
      <c r="G10153" s="11">
        <v>319327.73</v>
      </c>
    </row>
    <row r="10154" spans="2:7" x14ac:dyDescent="0.2">
      <c r="B10154" s="32">
        <v>46104</v>
      </c>
      <c r="C10154" t="s">
        <v>142</v>
      </c>
      <c r="D10154" s="13" t="s">
        <v>633</v>
      </c>
      <c r="E10154" t="s">
        <v>215</v>
      </c>
      <c r="F10154" s="11">
        <v>2</v>
      </c>
      <c r="G10154" s="11">
        <v>100840.33</v>
      </c>
    </row>
    <row r="10155" spans="2:7" x14ac:dyDescent="0.2">
      <c r="B10155" s="32">
        <v>46104</v>
      </c>
      <c r="C10155" t="s">
        <v>142</v>
      </c>
      <c r="D10155" s="13" t="s">
        <v>633</v>
      </c>
      <c r="E10155" t="s">
        <v>727</v>
      </c>
      <c r="F10155" s="11">
        <v>1</v>
      </c>
      <c r="G10155" s="11">
        <v>63025.21</v>
      </c>
    </row>
    <row r="10156" spans="2:7" x14ac:dyDescent="0.2">
      <c r="B10156" s="32">
        <v>46104</v>
      </c>
      <c r="C10156" t="s">
        <v>142</v>
      </c>
      <c r="D10156" s="13" t="s">
        <v>633</v>
      </c>
      <c r="E10156" t="s">
        <v>144</v>
      </c>
      <c r="F10156" s="11">
        <v>3</v>
      </c>
      <c r="G10156" s="11">
        <v>50420.17</v>
      </c>
    </row>
    <row r="10157" spans="2:7" x14ac:dyDescent="0.2">
      <c r="B10157" s="32">
        <v>46104</v>
      </c>
      <c r="C10157" t="s">
        <v>142</v>
      </c>
      <c r="D10157" s="13" t="s">
        <v>633</v>
      </c>
      <c r="E10157" t="s">
        <v>229</v>
      </c>
      <c r="F10157" s="11">
        <v>1</v>
      </c>
      <c r="G10157" s="11">
        <v>42016.81</v>
      </c>
    </row>
    <row r="10158" spans="2:7" x14ac:dyDescent="0.2">
      <c r="B10158" s="32">
        <v>46104</v>
      </c>
      <c r="C10158" t="s">
        <v>109</v>
      </c>
      <c r="D10158" s="13" t="s">
        <v>634</v>
      </c>
      <c r="E10158" t="s">
        <v>147</v>
      </c>
      <c r="F10158" s="11">
        <v>1</v>
      </c>
      <c r="G10158" s="11">
        <v>75630.25</v>
      </c>
    </row>
    <row r="10159" spans="2:7" x14ac:dyDescent="0.2">
      <c r="B10159" s="32">
        <v>46104</v>
      </c>
      <c r="C10159" t="s">
        <v>109</v>
      </c>
      <c r="D10159" s="13" t="s">
        <v>634</v>
      </c>
      <c r="E10159" t="s">
        <v>473</v>
      </c>
      <c r="F10159" s="11">
        <v>1</v>
      </c>
      <c r="G10159" s="11">
        <v>54621.85</v>
      </c>
    </row>
    <row r="10160" spans="2:7" x14ac:dyDescent="0.2">
      <c r="B10160" s="32">
        <v>46104</v>
      </c>
      <c r="C10160" t="s">
        <v>109</v>
      </c>
      <c r="D10160" s="13" t="s">
        <v>634</v>
      </c>
      <c r="E10160" t="s">
        <v>269</v>
      </c>
      <c r="F10160" s="11">
        <v>1</v>
      </c>
      <c r="G10160" s="11">
        <v>54621.85</v>
      </c>
    </row>
    <row r="10161" spans="2:7" x14ac:dyDescent="0.2">
      <c r="B10161" s="32">
        <v>46104</v>
      </c>
      <c r="C10161" t="s">
        <v>109</v>
      </c>
      <c r="D10161" s="13" t="s">
        <v>634</v>
      </c>
      <c r="E10161" t="s">
        <v>144</v>
      </c>
      <c r="F10161" s="11">
        <v>2</v>
      </c>
      <c r="G10161" s="11">
        <v>33613.440000000002</v>
      </c>
    </row>
    <row r="10162" spans="2:7" x14ac:dyDescent="0.2">
      <c r="B10162" s="32">
        <v>46104</v>
      </c>
      <c r="C10162" t="s">
        <v>109</v>
      </c>
      <c r="D10162" s="13" t="s">
        <v>633</v>
      </c>
      <c r="E10162" t="s">
        <v>774</v>
      </c>
      <c r="F10162" s="11">
        <v>1</v>
      </c>
      <c r="G10162" s="11">
        <v>163865.54999999999</v>
      </c>
    </row>
    <row r="10163" spans="2:7" x14ac:dyDescent="0.2">
      <c r="B10163" s="32">
        <v>46104</v>
      </c>
      <c r="C10163" t="s">
        <v>109</v>
      </c>
      <c r="D10163" s="13" t="s">
        <v>633</v>
      </c>
      <c r="E10163" t="s">
        <v>336</v>
      </c>
      <c r="F10163" s="11">
        <v>1</v>
      </c>
      <c r="G10163" s="11">
        <v>75630.25</v>
      </c>
    </row>
    <row r="10164" spans="2:7" x14ac:dyDescent="0.2">
      <c r="B10164" s="32">
        <v>46104</v>
      </c>
      <c r="C10164" t="s">
        <v>109</v>
      </c>
      <c r="D10164" s="13" t="s">
        <v>633</v>
      </c>
      <c r="E10164" t="s">
        <v>303</v>
      </c>
      <c r="F10164" s="11">
        <v>1</v>
      </c>
      <c r="G10164" s="11">
        <v>54621.85</v>
      </c>
    </row>
    <row r="10165" spans="2:7" x14ac:dyDescent="0.2">
      <c r="B10165" s="32">
        <v>46104</v>
      </c>
      <c r="C10165" t="s">
        <v>109</v>
      </c>
      <c r="D10165" s="13" t="s">
        <v>633</v>
      </c>
      <c r="E10165" t="s">
        <v>704</v>
      </c>
      <c r="F10165" s="11">
        <v>1</v>
      </c>
      <c r="G10165" s="11">
        <v>46218.49</v>
      </c>
    </row>
    <row r="10166" spans="2:7" x14ac:dyDescent="0.2">
      <c r="B10166" s="32">
        <v>46104</v>
      </c>
      <c r="C10166" t="s">
        <v>109</v>
      </c>
      <c r="D10166" s="13" t="s">
        <v>633</v>
      </c>
      <c r="E10166" t="s">
        <v>441</v>
      </c>
      <c r="F10166" s="11">
        <v>1</v>
      </c>
      <c r="G10166" s="11">
        <v>21008.400000000001</v>
      </c>
    </row>
    <row r="10167" spans="2:7" x14ac:dyDescent="0.2">
      <c r="B10167" s="32">
        <v>46105</v>
      </c>
      <c r="C10167" t="s">
        <v>142</v>
      </c>
      <c r="D10167" s="13" t="s">
        <v>634</v>
      </c>
      <c r="E10167" t="s">
        <v>503</v>
      </c>
      <c r="F10167" s="11">
        <v>1</v>
      </c>
      <c r="G10167" s="11">
        <v>252100.84</v>
      </c>
    </row>
    <row r="10168" spans="2:7" x14ac:dyDescent="0.2">
      <c r="B10168" s="32">
        <v>46105</v>
      </c>
      <c r="C10168" t="s">
        <v>142</v>
      </c>
      <c r="D10168" s="13" t="s">
        <v>634</v>
      </c>
      <c r="E10168" t="s">
        <v>550</v>
      </c>
      <c r="F10168" s="11">
        <v>1</v>
      </c>
      <c r="G10168" s="11">
        <v>63025.21</v>
      </c>
    </row>
    <row r="10169" spans="2:7" x14ac:dyDescent="0.2">
      <c r="B10169" s="32">
        <v>46105</v>
      </c>
      <c r="C10169" t="s">
        <v>142</v>
      </c>
      <c r="D10169" s="13" t="s">
        <v>634</v>
      </c>
      <c r="E10169" t="s">
        <v>236</v>
      </c>
      <c r="F10169" s="11">
        <v>1</v>
      </c>
      <c r="G10169" s="11">
        <v>63025.21</v>
      </c>
    </row>
    <row r="10170" spans="2:7" x14ac:dyDescent="0.2">
      <c r="B10170" s="32">
        <v>46105</v>
      </c>
      <c r="C10170" t="s">
        <v>142</v>
      </c>
      <c r="D10170" s="13" t="s">
        <v>634</v>
      </c>
      <c r="E10170" t="s">
        <v>162</v>
      </c>
      <c r="F10170" s="11">
        <v>1</v>
      </c>
      <c r="G10170" s="11">
        <v>63025.21</v>
      </c>
    </row>
    <row r="10171" spans="2:7" x14ac:dyDescent="0.2">
      <c r="B10171" s="32">
        <v>46105</v>
      </c>
      <c r="C10171" t="s">
        <v>142</v>
      </c>
      <c r="D10171" s="13" t="s">
        <v>634</v>
      </c>
      <c r="E10171" t="s">
        <v>505</v>
      </c>
      <c r="F10171" s="11">
        <v>1</v>
      </c>
      <c r="G10171" s="11">
        <v>58823.53</v>
      </c>
    </row>
    <row r="10172" spans="2:7" x14ac:dyDescent="0.2">
      <c r="B10172" s="32">
        <v>46105</v>
      </c>
      <c r="C10172" t="s">
        <v>142</v>
      </c>
      <c r="D10172" s="13" t="s">
        <v>634</v>
      </c>
      <c r="E10172" t="s">
        <v>210</v>
      </c>
      <c r="F10172" s="11">
        <v>1</v>
      </c>
      <c r="G10172" s="11">
        <v>50420.17</v>
      </c>
    </row>
    <row r="10173" spans="2:7" x14ac:dyDescent="0.2">
      <c r="B10173" s="32">
        <v>46105</v>
      </c>
      <c r="C10173" t="s">
        <v>142</v>
      </c>
      <c r="D10173" s="13" t="s">
        <v>634</v>
      </c>
      <c r="E10173" t="s">
        <v>546</v>
      </c>
      <c r="F10173" s="11">
        <v>1</v>
      </c>
      <c r="G10173" s="11">
        <v>50420.17</v>
      </c>
    </row>
    <row r="10174" spans="2:7" x14ac:dyDescent="0.2">
      <c r="B10174" s="32">
        <v>46105</v>
      </c>
      <c r="C10174" t="s">
        <v>109</v>
      </c>
      <c r="D10174" s="13" t="s">
        <v>633</v>
      </c>
      <c r="E10174" t="s">
        <v>144</v>
      </c>
      <c r="F10174" s="11">
        <v>5</v>
      </c>
      <c r="G10174" s="11">
        <v>216806.72</v>
      </c>
    </row>
    <row r="10175" spans="2:7" x14ac:dyDescent="0.2">
      <c r="B10175" s="32">
        <v>46105</v>
      </c>
      <c r="C10175" t="s">
        <v>109</v>
      </c>
      <c r="D10175" s="13" t="s">
        <v>633</v>
      </c>
      <c r="E10175" t="s">
        <v>748</v>
      </c>
      <c r="F10175" s="11">
        <v>1</v>
      </c>
      <c r="G10175" s="11">
        <v>180672.27</v>
      </c>
    </row>
    <row r="10176" spans="2:7" x14ac:dyDescent="0.2">
      <c r="B10176" s="32">
        <v>46105</v>
      </c>
      <c r="C10176" t="s">
        <v>109</v>
      </c>
      <c r="D10176" s="13" t="s">
        <v>633</v>
      </c>
      <c r="E10176" t="s">
        <v>417</v>
      </c>
      <c r="F10176" s="11">
        <v>1</v>
      </c>
      <c r="G10176" s="11">
        <v>160619.94</v>
      </c>
    </row>
    <row r="10177" spans="2:7" x14ac:dyDescent="0.2">
      <c r="B10177" s="32">
        <v>46105</v>
      </c>
      <c r="C10177" t="s">
        <v>109</v>
      </c>
      <c r="D10177" s="13" t="s">
        <v>633</v>
      </c>
      <c r="E10177" t="s">
        <v>701</v>
      </c>
      <c r="F10177" s="11">
        <v>1</v>
      </c>
      <c r="G10177" s="11">
        <v>78875.86</v>
      </c>
    </row>
    <row r="10178" spans="2:7" x14ac:dyDescent="0.2">
      <c r="B10178" s="32">
        <v>46105</v>
      </c>
      <c r="C10178" t="s">
        <v>109</v>
      </c>
      <c r="D10178" s="13" t="s">
        <v>633</v>
      </c>
      <c r="E10178" t="s">
        <v>234</v>
      </c>
      <c r="F10178" s="11">
        <v>2</v>
      </c>
      <c r="G10178" s="11">
        <v>75630.259999999995</v>
      </c>
    </row>
    <row r="10179" spans="2:7" x14ac:dyDescent="0.2">
      <c r="B10179" s="32">
        <v>46105</v>
      </c>
      <c r="C10179" t="s">
        <v>109</v>
      </c>
      <c r="D10179" s="13" t="s">
        <v>633</v>
      </c>
      <c r="E10179" t="s">
        <v>148</v>
      </c>
      <c r="F10179" s="11">
        <v>2</v>
      </c>
      <c r="G10179" s="11">
        <v>75630.25</v>
      </c>
    </row>
    <row r="10180" spans="2:7" x14ac:dyDescent="0.2">
      <c r="B10180" s="32">
        <v>46105</v>
      </c>
      <c r="C10180" t="s">
        <v>109</v>
      </c>
      <c r="D10180" s="13" t="s">
        <v>633</v>
      </c>
      <c r="E10180" t="s">
        <v>475</v>
      </c>
      <c r="F10180" s="11">
        <v>1</v>
      </c>
      <c r="G10180" s="11">
        <v>75630.25</v>
      </c>
    </row>
    <row r="10181" spans="2:7" x14ac:dyDescent="0.2">
      <c r="B10181" s="32">
        <v>46105</v>
      </c>
      <c r="C10181" t="s">
        <v>109</v>
      </c>
      <c r="D10181" s="13" t="s">
        <v>633</v>
      </c>
      <c r="E10181" t="s">
        <v>617</v>
      </c>
      <c r="F10181" s="11">
        <v>1</v>
      </c>
      <c r="G10181" s="11">
        <v>71428.570000000007</v>
      </c>
    </row>
    <row r="10182" spans="2:7" x14ac:dyDescent="0.2">
      <c r="B10182" s="32">
        <v>46105</v>
      </c>
      <c r="C10182" t="s">
        <v>109</v>
      </c>
      <c r="D10182" s="13" t="s">
        <v>633</v>
      </c>
      <c r="E10182" t="s">
        <v>762</v>
      </c>
      <c r="F10182" s="11">
        <v>1</v>
      </c>
      <c r="G10182" s="11">
        <v>67226.89</v>
      </c>
    </row>
    <row r="10183" spans="2:7" x14ac:dyDescent="0.2">
      <c r="B10183" s="32">
        <v>46105</v>
      </c>
      <c r="C10183" t="s">
        <v>109</v>
      </c>
      <c r="D10183" s="13" t="s">
        <v>633</v>
      </c>
      <c r="E10183" t="s">
        <v>397</v>
      </c>
      <c r="F10183" s="11">
        <v>1</v>
      </c>
      <c r="G10183" s="11">
        <v>54621.85</v>
      </c>
    </row>
    <row r="10184" spans="2:7" x14ac:dyDescent="0.2">
      <c r="B10184" s="32">
        <v>46105</v>
      </c>
      <c r="C10184" t="s">
        <v>109</v>
      </c>
      <c r="D10184" s="13" t="s">
        <v>633</v>
      </c>
      <c r="E10184" t="s">
        <v>238</v>
      </c>
      <c r="F10184" s="11">
        <v>1</v>
      </c>
      <c r="G10184" s="11">
        <v>46218.49</v>
      </c>
    </row>
    <row r="10185" spans="2:7" x14ac:dyDescent="0.2">
      <c r="B10185" s="32">
        <v>46105</v>
      </c>
      <c r="C10185" t="s">
        <v>109</v>
      </c>
      <c r="D10185" s="13" t="s">
        <v>633</v>
      </c>
      <c r="E10185" t="s">
        <v>225</v>
      </c>
      <c r="F10185" s="11">
        <v>1</v>
      </c>
      <c r="G10185" s="11">
        <v>46218.49</v>
      </c>
    </row>
    <row r="10186" spans="2:7" x14ac:dyDescent="0.2">
      <c r="B10186" s="32">
        <v>46105</v>
      </c>
      <c r="C10186" t="s">
        <v>109</v>
      </c>
      <c r="D10186" s="13" t="s">
        <v>633</v>
      </c>
      <c r="E10186" t="s">
        <v>229</v>
      </c>
      <c r="F10186" s="11">
        <v>1</v>
      </c>
      <c r="G10186" s="11">
        <v>42016.81</v>
      </c>
    </row>
    <row r="10187" spans="2:7" x14ac:dyDescent="0.2">
      <c r="B10187" s="32">
        <v>46105</v>
      </c>
      <c r="C10187" t="s">
        <v>109</v>
      </c>
      <c r="D10187" s="13" t="s">
        <v>633</v>
      </c>
      <c r="E10187" t="s">
        <v>145</v>
      </c>
      <c r="F10187" s="11">
        <v>1</v>
      </c>
      <c r="G10187" s="11">
        <v>29411.759999999998</v>
      </c>
    </row>
    <row r="10188" spans="2:7" x14ac:dyDescent="0.2">
      <c r="B10188" s="32">
        <v>46105</v>
      </c>
      <c r="C10188" t="s">
        <v>109</v>
      </c>
      <c r="D10188" s="13" t="s">
        <v>633</v>
      </c>
      <c r="E10188" t="s">
        <v>456</v>
      </c>
      <c r="F10188" s="11">
        <v>1</v>
      </c>
      <c r="G10188" s="11">
        <v>16806.72</v>
      </c>
    </row>
    <row r="10189" spans="2:7" x14ac:dyDescent="0.2">
      <c r="B10189" s="32">
        <v>46106</v>
      </c>
      <c r="C10189" t="s">
        <v>142</v>
      </c>
      <c r="D10189" s="13" t="s">
        <v>634</v>
      </c>
      <c r="E10189" t="s">
        <v>308</v>
      </c>
      <c r="F10189" s="11">
        <v>1</v>
      </c>
      <c r="G10189" s="11">
        <v>113445.38</v>
      </c>
    </row>
    <row r="10190" spans="2:7" x14ac:dyDescent="0.2">
      <c r="B10190" s="32">
        <v>46106</v>
      </c>
      <c r="C10190" t="s">
        <v>142</v>
      </c>
      <c r="D10190" s="13" t="s">
        <v>634</v>
      </c>
      <c r="E10190" t="s">
        <v>313</v>
      </c>
      <c r="F10190" s="11">
        <v>1</v>
      </c>
      <c r="G10190" s="11">
        <v>113445.37</v>
      </c>
    </row>
    <row r="10191" spans="2:7" x14ac:dyDescent="0.2">
      <c r="B10191" s="32">
        <v>46106</v>
      </c>
      <c r="C10191" t="s">
        <v>142</v>
      </c>
      <c r="D10191" s="13" t="s">
        <v>634</v>
      </c>
      <c r="E10191" t="s">
        <v>197</v>
      </c>
      <c r="F10191" s="11">
        <v>1</v>
      </c>
      <c r="G10191" s="11">
        <v>109243.7</v>
      </c>
    </row>
    <row r="10192" spans="2:7" x14ac:dyDescent="0.2">
      <c r="B10192" s="32">
        <v>46106</v>
      </c>
      <c r="C10192" t="s">
        <v>142</v>
      </c>
      <c r="D10192" s="13" t="s">
        <v>634</v>
      </c>
      <c r="E10192" t="s">
        <v>512</v>
      </c>
      <c r="F10192" s="11">
        <v>1</v>
      </c>
      <c r="G10192" s="11">
        <v>58823.53</v>
      </c>
    </row>
    <row r="10193" spans="2:7" x14ac:dyDescent="0.2">
      <c r="B10193" s="32">
        <v>46106</v>
      </c>
      <c r="C10193" t="s">
        <v>142</v>
      </c>
      <c r="D10193" s="13" t="s">
        <v>634</v>
      </c>
      <c r="E10193" t="s">
        <v>312</v>
      </c>
      <c r="F10193" s="11">
        <v>1</v>
      </c>
      <c r="G10193" s="11">
        <v>58823.53</v>
      </c>
    </row>
    <row r="10194" spans="2:7" x14ac:dyDescent="0.2">
      <c r="B10194" s="32">
        <v>46106</v>
      </c>
      <c r="C10194" t="s">
        <v>142</v>
      </c>
      <c r="D10194" s="13" t="s">
        <v>634</v>
      </c>
      <c r="E10194" t="s">
        <v>229</v>
      </c>
      <c r="F10194" s="11">
        <v>1</v>
      </c>
      <c r="G10194" s="11">
        <v>42016.81</v>
      </c>
    </row>
    <row r="10195" spans="2:7" x14ac:dyDescent="0.2">
      <c r="B10195" s="32">
        <v>46106</v>
      </c>
      <c r="C10195" t="s">
        <v>142</v>
      </c>
      <c r="D10195" s="13" t="s">
        <v>633</v>
      </c>
      <c r="E10195" t="s">
        <v>263</v>
      </c>
      <c r="F10195" s="11">
        <v>4</v>
      </c>
      <c r="G10195" s="11">
        <v>151260.5</v>
      </c>
    </row>
    <row r="10196" spans="2:7" x14ac:dyDescent="0.2">
      <c r="B10196" s="32">
        <v>46106</v>
      </c>
      <c r="C10196" t="s">
        <v>142</v>
      </c>
      <c r="D10196" s="13" t="s">
        <v>633</v>
      </c>
      <c r="E10196" t="s">
        <v>670</v>
      </c>
      <c r="F10196" s="11">
        <v>1</v>
      </c>
      <c r="G10196" s="11">
        <v>0</v>
      </c>
    </row>
    <row r="10197" spans="2:7" x14ac:dyDescent="0.2">
      <c r="B10197" s="32">
        <v>46106</v>
      </c>
      <c r="C10197" t="s">
        <v>109</v>
      </c>
      <c r="D10197" s="13" t="s">
        <v>634</v>
      </c>
      <c r="E10197" t="s">
        <v>247</v>
      </c>
      <c r="F10197" s="11">
        <v>2</v>
      </c>
      <c r="G10197" s="11">
        <v>126050.42</v>
      </c>
    </row>
    <row r="10198" spans="2:7" x14ac:dyDescent="0.2">
      <c r="B10198" s="32">
        <v>46106</v>
      </c>
      <c r="C10198" t="s">
        <v>109</v>
      </c>
      <c r="D10198" s="13" t="s">
        <v>634</v>
      </c>
      <c r="E10198" t="s">
        <v>468</v>
      </c>
      <c r="F10198" s="11">
        <v>2</v>
      </c>
      <c r="G10198" s="11">
        <v>84033.61</v>
      </c>
    </row>
    <row r="10199" spans="2:7" x14ac:dyDescent="0.2">
      <c r="B10199" s="32">
        <v>46106</v>
      </c>
      <c r="C10199" t="s">
        <v>109</v>
      </c>
      <c r="D10199" s="13" t="s">
        <v>634</v>
      </c>
      <c r="E10199" t="s">
        <v>563</v>
      </c>
      <c r="F10199" s="11">
        <v>1</v>
      </c>
      <c r="G10199" s="11">
        <v>84033.61</v>
      </c>
    </row>
    <row r="10200" spans="2:7" x14ac:dyDescent="0.2">
      <c r="B10200" s="32">
        <v>46106</v>
      </c>
      <c r="C10200" t="s">
        <v>109</v>
      </c>
      <c r="D10200" s="13" t="s">
        <v>634</v>
      </c>
      <c r="E10200" t="s">
        <v>492</v>
      </c>
      <c r="F10200" s="11">
        <v>1</v>
      </c>
      <c r="G10200" s="11">
        <v>63025.21</v>
      </c>
    </row>
    <row r="10201" spans="2:7" x14ac:dyDescent="0.2">
      <c r="B10201" s="32">
        <v>46106</v>
      </c>
      <c r="C10201" t="s">
        <v>109</v>
      </c>
      <c r="D10201" s="13" t="s">
        <v>634</v>
      </c>
      <c r="E10201" t="s">
        <v>145</v>
      </c>
      <c r="F10201" s="11">
        <v>1</v>
      </c>
      <c r="G10201" s="11">
        <v>29411.759999999998</v>
      </c>
    </row>
    <row r="10202" spans="2:7" x14ac:dyDescent="0.2">
      <c r="B10202" s="32">
        <v>46106</v>
      </c>
      <c r="C10202" t="s">
        <v>109</v>
      </c>
      <c r="D10202" s="13" t="s">
        <v>633</v>
      </c>
      <c r="E10202" t="s">
        <v>649</v>
      </c>
      <c r="F10202" s="11">
        <v>1</v>
      </c>
      <c r="G10202" s="11">
        <v>184873.95</v>
      </c>
    </row>
    <row r="10203" spans="2:7" x14ac:dyDescent="0.2">
      <c r="B10203" s="32">
        <v>46106</v>
      </c>
      <c r="C10203" t="s">
        <v>109</v>
      </c>
      <c r="D10203" s="13" t="s">
        <v>633</v>
      </c>
      <c r="E10203" t="s">
        <v>538</v>
      </c>
      <c r="F10203" s="11">
        <v>2</v>
      </c>
      <c r="G10203" s="11">
        <v>168067.23</v>
      </c>
    </row>
    <row r="10204" spans="2:7" x14ac:dyDescent="0.2">
      <c r="B10204" s="32">
        <v>46106</v>
      </c>
      <c r="C10204" t="s">
        <v>109</v>
      </c>
      <c r="D10204" s="13" t="s">
        <v>633</v>
      </c>
      <c r="E10204" t="s">
        <v>738</v>
      </c>
      <c r="F10204" s="11">
        <v>1</v>
      </c>
      <c r="G10204" s="11">
        <v>159663.87</v>
      </c>
    </row>
    <row r="10205" spans="2:7" x14ac:dyDescent="0.2">
      <c r="B10205" s="32">
        <v>46106</v>
      </c>
      <c r="C10205" t="s">
        <v>109</v>
      </c>
      <c r="D10205" s="13" t="s">
        <v>633</v>
      </c>
      <c r="E10205" t="s">
        <v>394</v>
      </c>
      <c r="F10205" s="11">
        <v>1</v>
      </c>
      <c r="G10205" s="11">
        <v>84033.61</v>
      </c>
    </row>
    <row r="10206" spans="2:7" x14ac:dyDescent="0.2">
      <c r="B10206" s="32">
        <v>46106</v>
      </c>
      <c r="C10206" t="s">
        <v>109</v>
      </c>
      <c r="D10206" s="13" t="s">
        <v>633</v>
      </c>
      <c r="E10206" t="s">
        <v>395</v>
      </c>
      <c r="F10206" s="11">
        <v>1</v>
      </c>
      <c r="G10206" s="11">
        <v>84033.61</v>
      </c>
    </row>
    <row r="10207" spans="2:7" x14ac:dyDescent="0.2">
      <c r="B10207" s="32">
        <v>46106</v>
      </c>
      <c r="C10207" t="s">
        <v>109</v>
      </c>
      <c r="D10207" s="13" t="s">
        <v>633</v>
      </c>
      <c r="E10207" t="s">
        <v>361</v>
      </c>
      <c r="F10207" s="11">
        <v>1</v>
      </c>
      <c r="G10207" s="11">
        <v>84033.61</v>
      </c>
    </row>
    <row r="10208" spans="2:7" x14ac:dyDescent="0.2">
      <c r="B10208" s="32">
        <v>46106</v>
      </c>
      <c r="C10208" t="s">
        <v>109</v>
      </c>
      <c r="D10208" s="13" t="s">
        <v>633</v>
      </c>
      <c r="E10208" t="s">
        <v>681</v>
      </c>
      <c r="F10208" s="11">
        <v>1</v>
      </c>
      <c r="G10208" s="11">
        <v>84033.61</v>
      </c>
    </row>
    <row r="10209" spans="2:7" x14ac:dyDescent="0.2">
      <c r="B10209" s="32">
        <v>46106</v>
      </c>
      <c r="C10209" t="s">
        <v>109</v>
      </c>
      <c r="D10209" s="13" t="s">
        <v>633</v>
      </c>
      <c r="E10209" t="s">
        <v>667</v>
      </c>
      <c r="F10209" s="11">
        <v>1</v>
      </c>
      <c r="G10209" s="11">
        <v>78000</v>
      </c>
    </row>
    <row r="10210" spans="2:7" x14ac:dyDescent="0.2">
      <c r="B10210" s="32">
        <v>46106</v>
      </c>
      <c r="C10210" t="s">
        <v>109</v>
      </c>
      <c r="D10210" s="13" t="s">
        <v>633</v>
      </c>
      <c r="E10210" t="s">
        <v>234</v>
      </c>
      <c r="F10210" s="11">
        <v>2</v>
      </c>
      <c r="G10210" s="11">
        <v>75630.259999999995</v>
      </c>
    </row>
    <row r="10211" spans="2:7" x14ac:dyDescent="0.2">
      <c r="B10211" s="32">
        <v>46106</v>
      </c>
      <c r="C10211" t="s">
        <v>109</v>
      </c>
      <c r="D10211" s="13" t="s">
        <v>633</v>
      </c>
      <c r="E10211" t="s">
        <v>173</v>
      </c>
      <c r="F10211" s="11">
        <v>2</v>
      </c>
      <c r="G10211" s="11">
        <v>75630.25</v>
      </c>
    </row>
    <row r="10212" spans="2:7" x14ac:dyDescent="0.2">
      <c r="B10212" s="32">
        <v>46106</v>
      </c>
      <c r="C10212" t="s">
        <v>109</v>
      </c>
      <c r="D10212" s="13" t="s">
        <v>633</v>
      </c>
      <c r="E10212" t="s">
        <v>352</v>
      </c>
      <c r="F10212" s="11">
        <v>1</v>
      </c>
      <c r="G10212" s="11">
        <v>75630.25</v>
      </c>
    </row>
    <row r="10213" spans="2:7" x14ac:dyDescent="0.2">
      <c r="B10213" s="32">
        <v>46106</v>
      </c>
      <c r="C10213" t="s">
        <v>109</v>
      </c>
      <c r="D10213" s="13" t="s">
        <v>633</v>
      </c>
      <c r="E10213" t="s">
        <v>330</v>
      </c>
      <c r="F10213" s="11">
        <v>2</v>
      </c>
      <c r="G10213" s="11">
        <v>75630.25</v>
      </c>
    </row>
    <row r="10214" spans="2:7" x14ac:dyDescent="0.2">
      <c r="B10214" s="32">
        <v>46106</v>
      </c>
      <c r="C10214" t="s">
        <v>109</v>
      </c>
      <c r="D10214" s="13" t="s">
        <v>633</v>
      </c>
      <c r="E10214" t="s">
        <v>164</v>
      </c>
      <c r="F10214" s="11">
        <v>1</v>
      </c>
      <c r="G10214" s="11">
        <v>75630.25</v>
      </c>
    </row>
    <row r="10215" spans="2:7" x14ac:dyDescent="0.2">
      <c r="B10215" s="32">
        <v>46106</v>
      </c>
      <c r="C10215" t="s">
        <v>109</v>
      </c>
      <c r="D10215" s="13" t="s">
        <v>633</v>
      </c>
      <c r="E10215" t="s">
        <v>287</v>
      </c>
      <c r="F10215" s="11">
        <v>1</v>
      </c>
      <c r="G10215" s="11">
        <v>63025.21</v>
      </c>
    </row>
    <row r="10216" spans="2:7" x14ac:dyDescent="0.2">
      <c r="B10216" s="32">
        <v>46106</v>
      </c>
      <c r="C10216" t="s">
        <v>109</v>
      </c>
      <c r="D10216" s="13" t="s">
        <v>633</v>
      </c>
      <c r="E10216" t="s">
        <v>144</v>
      </c>
      <c r="F10216" s="11">
        <v>3</v>
      </c>
      <c r="G10216" s="11">
        <v>47058.83</v>
      </c>
    </row>
    <row r="10217" spans="2:7" x14ac:dyDescent="0.2">
      <c r="B10217" s="32">
        <v>46106</v>
      </c>
      <c r="C10217" t="s">
        <v>109</v>
      </c>
      <c r="D10217" s="13" t="s">
        <v>633</v>
      </c>
      <c r="E10217" t="s">
        <v>168</v>
      </c>
      <c r="F10217" s="11">
        <v>1</v>
      </c>
      <c r="G10217" s="11">
        <v>46218.49</v>
      </c>
    </row>
    <row r="10218" spans="2:7" x14ac:dyDescent="0.2">
      <c r="B10218" s="32">
        <v>46106</v>
      </c>
      <c r="C10218" t="s">
        <v>109</v>
      </c>
      <c r="D10218" s="13" t="s">
        <v>633</v>
      </c>
      <c r="E10218" t="s">
        <v>156</v>
      </c>
      <c r="F10218" s="11">
        <v>1</v>
      </c>
      <c r="G10218" s="11">
        <v>46218.49</v>
      </c>
    </row>
    <row r="10219" spans="2:7" x14ac:dyDescent="0.2">
      <c r="B10219" s="32">
        <v>46106</v>
      </c>
      <c r="C10219" t="s">
        <v>109</v>
      </c>
      <c r="D10219" s="13" t="s">
        <v>633</v>
      </c>
      <c r="E10219" t="s">
        <v>202</v>
      </c>
      <c r="F10219" s="11">
        <v>1</v>
      </c>
      <c r="G10219" s="11">
        <v>46218.49</v>
      </c>
    </row>
    <row r="10220" spans="2:7" x14ac:dyDescent="0.2">
      <c r="B10220" s="32">
        <v>46106</v>
      </c>
      <c r="C10220" t="s">
        <v>109</v>
      </c>
      <c r="D10220" s="13" t="s">
        <v>633</v>
      </c>
      <c r="E10220" t="s">
        <v>166</v>
      </c>
      <c r="F10220" s="11">
        <v>1</v>
      </c>
      <c r="G10220" s="11">
        <v>42016.81</v>
      </c>
    </row>
    <row r="10221" spans="2:7" x14ac:dyDescent="0.2">
      <c r="B10221" s="32">
        <v>46106</v>
      </c>
      <c r="C10221" t="s">
        <v>109</v>
      </c>
      <c r="D10221" s="13" t="s">
        <v>633</v>
      </c>
      <c r="E10221" t="s">
        <v>145</v>
      </c>
      <c r="F10221" s="11">
        <v>1</v>
      </c>
      <c r="G10221" s="11">
        <v>29411.759999999998</v>
      </c>
    </row>
    <row r="10222" spans="2:7" x14ac:dyDescent="0.2">
      <c r="B10222" s="32">
        <v>46107</v>
      </c>
      <c r="C10222" t="s">
        <v>142</v>
      </c>
      <c r="D10222" s="13" t="s">
        <v>633</v>
      </c>
      <c r="E10222" t="s">
        <v>489</v>
      </c>
      <c r="F10222" s="11">
        <v>2</v>
      </c>
      <c r="G10222" s="11">
        <v>235294.12</v>
      </c>
    </row>
    <row r="10223" spans="2:7" x14ac:dyDescent="0.2">
      <c r="B10223" s="32">
        <v>46107</v>
      </c>
      <c r="C10223" t="s">
        <v>142</v>
      </c>
      <c r="D10223" s="13" t="s">
        <v>633</v>
      </c>
      <c r="E10223" t="s">
        <v>435</v>
      </c>
      <c r="F10223" s="11">
        <v>1</v>
      </c>
      <c r="G10223" s="11">
        <v>109243.7</v>
      </c>
    </row>
    <row r="10224" spans="2:7" x14ac:dyDescent="0.2">
      <c r="B10224" s="32">
        <v>46107</v>
      </c>
      <c r="C10224" t="s">
        <v>142</v>
      </c>
      <c r="D10224" s="13" t="s">
        <v>633</v>
      </c>
      <c r="E10224" t="s">
        <v>312</v>
      </c>
      <c r="F10224" s="11">
        <v>1</v>
      </c>
      <c r="G10224" s="11">
        <v>109243.69</v>
      </c>
    </row>
    <row r="10225" spans="2:7" x14ac:dyDescent="0.2">
      <c r="B10225" s="32">
        <v>46107</v>
      </c>
      <c r="C10225" t="s">
        <v>110</v>
      </c>
      <c r="D10225" s="13" t="s">
        <v>634</v>
      </c>
      <c r="E10225" t="s">
        <v>260</v>
      </c>
      <c r="F10225" s="11">
        <v>1</v>
      </c>
      <c r="G10225" s="11">
        <v>46218.49</v>
      </c>
    </row>
    <row r="10226" spans="2:7" x14ac:dyDescent="0.2">
      <c r="B10226" s="32">
        <v>46107</v>
      </c>
      <c r="C10226" t="s">
        <v>110</v>
      </c>
      <c r="D10226" s="13" t="s">
        <v>634</v>
      </c>
      <c r="E10226" t="s">
        <v>193</v>
      </c>
      <c r="F10226" s="11">
        <v>1</v>
      </c>
      <c r="G10226" s="11">
        <v>37815.129999999997</v>
      </c>
    </row>
    <row r="10227" spans="2:7" x14ac:dyDescent="0.2">
      <c r="B10227" s="32">
        <v>46107</v>
      </c>
      <c r="C10227" t="s">
        <v>109</v>
      </c>
      <c r="D10227" s="13" t="s">
        <v>634</v>
      </c>
      <c r="E10227" t="s">
        <v>149</v>
      </c>
      <c r="F10227" s="11">
        <v>1</v>
      </c>
      <c r="G10227" s="11">
        <v>75630.25</v>
      </c>
    </row>
    <row r="10228" spans="2:7" x14ac:dyDescent="0.2">
      <c r="B10228" s="32">
        <v>46107</v>
      </c>
      <c r="C10228" t="s">
        <v>109</v>
      </c>
      <c r="D10228" s="13" t="s">
        <v>634</v>
      </c>
      <c r="E10228" t="s">
        <v>233</v>
      </c>
      <c r="F10228" s="11">
        <v>1</v>
      </c>
      <c r="G10228" s="11">
        <v>63025.21</v>
      </c>
    </row>
    <row r="10229" spans="2:7" x14ac:dyDescent="0.2">
      <c r="B10229" s="32">
        <v>46107</v>
      </c>
      <c r="C10229" t="s">
        <v>109</v>
      </c>
      <c r="D10229" s="13" t="s">
        <v>634</v>
      </c>
      <c r="E10229" t="s">
        <v>212</v>
      </c>
      <c r="F10229" s="11">
        <v>1</v>
      </c>
      <c r="G10229" s="11">
        <v>58823.53</v>
      </c>
    </row>
    <row r="10230" spans="2:7" x14ac:dyDescent="0.2">
      <c r="B10230" s="32">
        <v>46107</v>
      </c>
      <c r="C10230" t="s">
        <v>109</v>
      </c>
      <c r="D10230" s="13" t="s">
        <v>634</v>
      </c>
      <c r="E10230" t="s">
        <v>260</v>
      </c>
      <c r="F10230" s="11">
        <v>1</v>
      </c>
      <c r="G10230" s="11">
        <v>46218.49</v>
      </c>
    </row>
    <row r="10231" spans="2:7" x14ac:dyDescent="0.2">
      <c r="B10231" s="32">
        <v>46107</v>
      </c>
      <c r="C10231" t="s">
        <v>109</v>
      </c>
      <c r="D10231" s="13" t="s">
        <v>634</v>
      </c>
      <c r="E10231" t="s">
        <v>148</v>
      </c>
      <c r="F10231" s="11">
        <v>1</v>
      </c>
      <c r="G10231" s="11">
        <v>37815.129999999997</v>
      </c>
    </row>
    <row r="10232" spans="2:7" x14ac:dyDescent="0.2">
      <c r="B10232" s="32">
        <v>46107</v>
      </c>
      <c r="C10232" t="s">
        <v>109</v>
      </c>
      <c r="D10232" s="13" t="s">
        <v>634</v>
      </c>
      <c r="E10232" t="s">
        <v>327</v>
      </c>
      <c r="F10232" s="11">
        <v>1</v>
      </c>
      <c r="G10232" s="11">
        <v>35000</v>
      </c>
    </row>
    <row r="10233" spans="2:7" x14ac:dyDescent="0.2">
      <c r="B10233" s="32">
        <v>46107</v>
      </c>
      <c r="C10233" t="s">
        <v>109</v>
      </c>
      <c r="D10233" s="13" t="s">
        <v>634</v>
      </c>
      <c r="E10233" t="s">
        <v>145</v>
      </c>
      <c r="F10233" s="11">
        <v>1</v>
      </c>
      <c r="G10233" s="11">
        <v>29411.759999999998</v>
      </c>
    </row>
    <row r="10234" spans="2:7" x14ac:dyDescent="0.2">
      <c r="B10234" s="32">
        <v>46107</v>
      </c>
      <c r="C10234" t="s">
        <v>109</v>
      </c>
      <c r="D10234" s="13" t="s">
        <v>633</v>
      </c>
      <c r="E10234" t="s">
        <v>329</v>
      </c>
      <c r="F10234" s="11">
        <v>1</v>
      </c>
      <c r="G10234" s="11">
        <v>235294.12</v>
      </c>
    </row>
    <row r="10235" spans="2:7" x14ac:dyDescent="0.2">
      <c r="B10235" s="32">
        <v>46107</v>
      </c>
      <c r="C10235" t="s">
        <v>109</v>
      </c>
      <c r="D10235" s="13" t="s">
        <v>633</v>
      </c>
      <c r="E10235" t="s">
        <v>606</v>
      </c>
      <c r="F10235" s="11">
        <v>1</v>
      </c>
      <c r="G10235" s="11">
        <v>109243.7</v>
      </c>
    </row>
    <row r="10236" spans="2:7" x14ac:dyDescent="0.2">
      <c r="B10236" s="32">
        <v>46107</v>
      </c>
      <c r="C10236" t="s">
        <v>109</v>
      </c>
      <c r="D10236" s="13" t="s">
        <v>633</v>
      </c>
      <c r="E10236" t="s">
        <v>199</v>
      </c>
      <c r="F10236" s="11">
        <v>1</v>
      </c>
      <c r="G10236" s="11">
        <v>84033.61</v>
      </c>
    </row>
    <row r="10237" spans="2:7" x14ac:dyDescent="0.2">
      <c r="B10237" s="32">
        <v>46107</v>
      </c>
      <c r="C10237" t="s">
        <v>109</v>
      </c>
      <c r="D10237" s="13" t="s">
        <v>633</v>
      </c>
      <c r="E10237" t="s">
        <v>784</v>
      </c>
      <c r="F10237" s="11">
        <v>1</v>
      </c>
      <c r="G10237" s="11">
        <v>79831.929999999993</v>
      </c>
    </row>
    <row r="10238" spans="2:7" x14ac:dyDescent="0.2">
      <c r="B10238" s="32">
        <v>46107</v>
      </c>
      <c r="C10238" t="s">
        <v>109</v>
      </c>
      <c r="D10238" s="13" t="s">
        <v>633</v>
      </c>
      <c r="E10238" t="s">
        <v>148</v>
      </c>
      <c r="F10238" s="11">
        <v>2</v>
      </c>
      <c r="G10238" s="11">
        <v>75630.259999999995</v>
      </c>
    </row>
    <row r="10239" spans="2:7" x14ac:dyDescent="0.2">
      <c r="B10239" s="32">
        <v>46107</v>
      </c>
      <c r="C10239" t="s">
        <v>109</v>
      </c>
      <c r="D10239" s="13" t="s">
        <v>633</v>
      </c>
      <c r="E10239" t="s">
        <v>248</v>
      </c>
      <c r="F10239" s="11">
        <v>2</v>
      </c>
      <c r="G10239" s="11">
        <v>75630.25</v>
      </c>
    </row>
    <row r="10240" spans="2:7" x14ac:dyDescent="0.2">
      <c r="B10240" s="32">
        <v>46107</v>
      </c>
      <c r="C10240" t="s">
        <v>109</v>
      </c>
      <c r="D10240" s="13" t="s">
        <v>633</v>
      </c>
      <c r="E10240" t="s">
        <v>616</v>
      </c>
      <c r="F10240" s="11">
        <v>1</v>
      </c>
      <c r="G10240" s="11">
        <v>58823.54</v>
      </c>
    </row>
    <row r="10241" spans="2:7" x14ac:dyDescent="0.2">
      <c r="B10241" s="32">
        <v>46107</v>
      </c>
      <c r="C10241" t="s">
        <v>109</v>
      </c>
      <c r="D10241" s="13" t="s">
        <v>633</v>
      </c>
      <c r="E10241" t="s">
        <v>168</v>
      </c>
      <c r="F10241" s="11">
        <v>1</v>
      </c>
      <c r="G10241" s="11">
        <v>46218.49</v>
      </c>
    </row>
    <row r="10242" spans="2:7" x14ac:dyDescent="0.2">
      <c r="B10242" s="32">
        <v>46107</v>
      </c>
      <c r="C10242" t="s">
        <v>109</v>
      </c>
      <c r="D10242" s="13" t="s">
        <v>633</v>
      </c>
      <c r="E10242" t="s">
        <v>166</v>
      </c>
      <c r="F10242" s="11">
        <v>1</v>
      </c>
      <c r="G10242" s="11">
        <v>42016.81</v>
      </c>
    </row>
    <row r="10243" spans="2:7" x14ac:dyDescent="0.2">
      <c r="B10243" s="32">
        <v>46107</v>
      </c>
      <c r="C10243" t="s">
        <v>109</v>
      </c>
      <c r="D10243" s="13" t="s">
        <v>633</v>
      </c>
      <c r="E10243" t="s">
        <v>309</v>
      </c>
      <c r="F10243" s="11">
        <v>1</v>
      </c>
      <c r="G10243" s="11">
        <v>42016.81</v>
      </c>
    </row>
    <row r="10244" spans="2:7" x14ac:dyDescent="0.2">
      <c r="B10244" s="32">
        <v>46107</v>
      </c>
      <c r="C10244" t="s">
        <v>109</v>
      </c>
      <c r="D10244" s="13" t="s">
        <v>633</v>
      </c>
      <c r="E10244" t="s">
        <v>193</v>
      </c>
      <c r="F10244" s="11">
        <v>1</v>
      </c>
      <c r="G10244" s="11">
        <v>37815.129999999997</v>
      </c>
    </row>
    <row r="10245" spans="2:7" x14ac:dyDescent="0.2">
      <c r="B10245" s="32">
        <v>46107</v>
      </c>
      <c r="C10245" t="s">
        <v>109</v>
      </c>
      <c r="D10245" s="13" t="s">
        <v>633</v>
      </c>
      <c r="E10245" t="s">
        <v>466</v>
      </c>
      <c r="F10245" s="11">
        <v>1</v>
      </c>
      <c r="G10245" s="11">
        <v>37815.129999999997</v>
      </c>
    </row>
    <row r="10246" spans="2:7" x14ac:dyDescent="0.2">
      <c r="B10246" s="32">
        <v>46107</v>
      </c>
      <c r="C10246" t="s">
        <v>109</v>
      </c>
      <c r="D10246" s="13" t="s">
        <v>633</v>
      </c>
      <c r="E10246" t="s">
        <v>173</v>
      </c>
      <c r="F10246" s="11">
        <v>1</v>
      </c>
      <c r="G10246" s="11">
        <v>37815.129999999997</v>
      </c>
    </row>
    <row r="10247" spans="2:7" x14ac:dyDescent="0.2">
      <c r="B10247" s="32">
        <v>46107</v>
      </c>
      <c r="C10247" t="s">
        <v>109</v>
      </c>
      <c r="D10247" s="13" t="s">
        <v>633</v>
      </c>
      <c r="E10247" t="s">
        <v>342</v>
      </c>
      <c r="F10247" s="11">
        <v>1</v>
      </c>
      <c r="G10247" s="11">
        <v>37815.120000000003</v>
      </c>
    </row>
    <row r="10248" spans="2:7" x14ac:dyDescent="0.2">
      <c r="B10248" s="32">
        <v>46107</v>
      </c>
      <c r="C10248" t="s">
        <v>109</v>
      </c>
      <c r="D10248" s="13" t="s">
        <v>633</v>
      </c>
      <c r="E10248" t="s">
        <v>144</v>
      </c>
      <c r="F10248" s="11">
        <v>2</v>
      </c>
      <c r="G10248" s="11">
        <v>33613.440000000002</v>
      </c>
    </row>
    <row r="10249" spans="2:7" x14ac:dyDescent="0.2">
      <c r="B10249" s="32">
        <v>46107</v>
      </c>
      <c r="C10249" t="s">
        <v>109</v>
      </c>
      <c r="D10249" s="13" t="s">
        <v>633</v>
      </c>
      <c r="E10249" t="s">
        <v>566</v>
      </c>
      <c r="F10249" s="11">
        <v>1</v>
      </c>
      <c r="G10249" s="11">
        <v>16806.72</v>
      </c>
    </row>
    <row r="10250" spans="2:7" x14ac:dyDescent="0.2">
      <c r="B10250" s="32">
        <v>46107</v>
      </c>
      <c r="C10250" t="s">
        <v>109</v>
      </c>
      <c r="D10250" s="13" t="s">
        <v>633</v>
      </c>
      <c r="E10250" t="s">
        <v>509</v>
      </c>
      <c r="F10250" s="11">
        <v>1</v>
      </c>
      <c r="G10250" s="11">
        <v>16806.72</v>
      </c>
    </row>
    <row r="10251" spans="2:7" x14ac:dyDescent="0.2">
      <c r="B10251" s="32">
        <v>46108</v>
      </c>
      <c r="C10251" t="s">
        <v>142</v>
      </c>
      <c r="D10251" s="13" t="s">
        <v>634</v>
      </c>
      <c r="E10251" t="s">
        <v>433</v>
      </c>
      <c r="F10251" s="11">
        <v>1</v>
      </c>
      <c r="G10251" s="11">
        <v>226890.76</v>
      </c>
    </row>
    <row r="10252" spans="2:7" x14ac:dyDescent="0.2">
      <c r="B10252" s="32">
        <v>46108</v>
      </c>
      <c r="C10252" t="s">
        <v>142</v>
      </c>
      <c r="D10252" s="13" t="s">
        <v>634</v>
      </c>
      <c r="E10252" t="s">
        <v>437</v>
      </c>
      <c r="F10252" s="11">
        <v>1</v>
      </c>
      <c r="G10252" s="11">
        <v>138655.46</v>
      </c>
    </row>
    <row r="10253" spans="2:7" x14ac:dyDescent="0.2">
      <c r="B10253" s="32">
        <v>46108</v>
      </c>
      <c r="C10253" t="s">
        <v>142</v>
      </c>
      <c r="D10253" s="13" t="s">
        <v>634</v>
      </c>
      <c r="E10253" t="s">
        <v>469</v>
      </c>
      <c r="F10253" s="11">
        <v>2</v>
      </c>
      <c r="G10253" s="11">
        <v>126050.42</v>
      </c>
    </row>
    <row r="10254" spans="2:7" x14ac:dyDescent="0.2">
      <c r="B10254" s="32">
        <v>46108</v>
      </c>
      <c r="C10254" t="s">
        <v>142</v>
      </c>
      <c r="D10254" s="13" t="s">
        <v>634</v>
      </c>
      <c r="E10254" t="s">
        <v>313</v>
      </c>
      <c r="F10254" s="11">
        <v>1</v>
      </c>
      <c r="G10254" s="11">
        <v>113445.38</v>
      </c>
    </row>
    <row r="10255" spans="2:7" x14ac:dyDescent="0.2">
      <c r="B10255" s="32">
        <v>46108</v>
      </c>
      <c r="C10255" t="s">
        <v>142</v>
      </c>
      <c r="D10255" s="13" t="s">
        <v>634</v>
      </c>
      <c r="E10255" t="s">
        <v>228</v>
      </c>
      <c r="F10255" s="11">
        <v>1</v>
      </c>
      <c r="G10255" s="11">
        <v>109243.69</v>
      </c>
    </row>
    <row r="10256" spans="2:7" x14ac:dyDescent="0.2">
      <c r="B10256" s="32">
        <v>46108</v>
      </c>
      <c r="C10256" t="s">
        <v>142</v>
      </c>
      <c r="D10256" s="13" t="s">
        <v>634</v>
      </c>
      <c r="E10256" t="s">
        <v>515</v>
      </c>
      <c r="F10256" s="11">
        <v>1</v>
      </c>
      <c r="G10256" s="11">
        <v>63025.21</v>
      </c>
    </row>
    <row r="10257" spans="2:7" x14ac:dyDescent="0.2">
      <c r="B10257" s="32">
        <v>46108</v>
      </c>
      <c r="C10257" t="s">
        <v>142</v>
      </c>
      <c r="D10257" s="13" t="s">
        <v>634</v>
      </c>
      <c r="E10257" t="s">
        <v>237</v>
      </c>
      <c r="F10257" s="11">
        <v>1</v>
      </c>
      <c r="G10257" s="11">
        <v>54621.85</v>
      </c>
    </row>
    <row r="10258" spans="2:7" x14ac:dyDescent="0.2">
      <c r="B10258" s="32">
        <v>46108</v>
      </c>
      <c r="C10258" t="s">
        <v>142</v>
      </c>
      <c r="D10258" s="13" t="s">
        <v>634</v>
      </c>
      <c r="E10258" t="s">
        <v>548</v>
      </c>
      <c r="F10258" s="11">
        <v>1</v>
      </c>
      <c r="G10258" s="11">
        <v>50420.17</v>
      </c>
    </row>
    <row r="10259" spans="2:7" x14ac:dyDescent="0.2">
      <c r="B10259" s="32">
        <v>46108</v>
      </c>
      <c r="C10259" t="s">
        <v>142</v>
      </c>
      <c r="D10259" s="13" t="s">
        <v>634</v>
      </c>
      <c r="E10259" t="s">
        <v>526</v>
      </c>
      <c r="F10259" s="11">
        <v>1</v>
      </c>
      <c r="G10259" s="11">
        <v>16806.72</v>
      </c>
    </row>
    <row r="10260" spans="2:7" x14ac:dyDescent="0.2">
      <c r="B10260" s="32">
        <v>46108</v>
      </c>
      <c r="C10260" t="s">
        <v>109</v>
      </c>
      <c r="D10260" s="13" t="s">
        <v>634</v>
      </c>
      <c r="E10260" t="s">
        <v>327</v>
      </c>
      <c r="F10260" s="11">
        <v>1</v>
      </c>
      <c r="G10260" s="11">
        <v>35000</v>
      </c>
    </row>
    <row r="10261" spans="2:7" x14ac:dyDescent="0.2">
      <c r="B10261" s="32">
        <v>46108</v>
      </c>
      <c r="C10261" t="s">
        <v>109</v>
      </c>
      <c r="D10261" s="13" t="s">
        <v>633</v>
      </c>
      <c r="E10261" t="s">
        <v>780</v>
      </c>
      <c r="F10261" s="11">
        <v>1</v>
      </c>
      <c r="G10261" s="11">
        <v>277310.92</v>
      </c>
    </row>
    <row r="10262" spans="2:7" x14ac:dyDescent="0.2">
      <c r="B10262" s="32">
        <v>46108</v>
      </c>
      <c r="C10262" t="s">
        <v>109</v>
      </c>
      <c r="D10262" s="13" t="s">
        <v>633</v>
      </c>
      <c r="E10262" t="s">
        <v>144</v>
      </c>
      <c r="F10262" s="11">
        <v>13</v>
      </c>
      <c r="G10262" s="11">
        <v>273949.59000000003</v>
      </c>
    </row>
    <row r="10263" spans="2:7" x14ac:dyDescent="0.2">
      <c r="B10263" s="32">
        <v>46108</v>
      </c>
      <c r="C10263" t="s">
        <v>109</v>
      </c>
      <c r="D10263" s="13" t="s">
        <v>633</v>
      </c>
      <c r="E10263" t="s">
        <v>765</v>
      </c>
      <c r="F10263" s="11">
        <v>1</v>
      </c>
      <c r="G10263" s="11">
        <v>210084.03</v>
      </c>
    </row>
    <row r="10264" spans="2:7" x14ac:dyDescent="0.2">
      <c r="B10264" s="32">
        <v>46108</v>
      </c>
      <c r="C10264" t="s">
        <v>109</v>
      </c>
      <c r="D10264" s="13" t="s">
        <v>633</v>
      </c>
      <c r="E10264" t="s">
        <v>226</v>
      </c>
      <c r="F10264" s="11">
        <v>1</v>
      </c>
      <c r="G10264" s="11">
        <v>109243.7</v>
      </c>
    </row>
    <row r="10265" spans="2:7" x14ac:dyDescent="0.2">
      <c r="B10265" s="32">
        <v>46108</v>
      </c>
      <c r="C10265" t="s">
        <v>109</v>
      </c>
      <c r="D10265" s="13" t="s">
        <v>633</v>
      </c>
      <c r="E10265" t="s">
        <v>475</v>
      </c>
      <c r="F10265" s="11">
        <v>1</v>
      </c>
      <c r="G10265" s="11">
        <v>75630.25</v>
      </c>
    </row>
    <row r="10266" spans="2:7" x14ac:dyDescent="0.2">
      <c r="B10266" s="32">
        <v>46108</v>
      </c>
      <c r="C10266" t="s">
        <v>109</v>
      </c>
      <c r="D10266" s="13" t="s">
        <v>633</v>
      </c>
      <c r="E10266" t="s">
        <v>147</v>
      </c>
      <c r="F10266" s="11">
        <v>1</v>
      </c>
      <c r="G10266" s="11">
        <v>75630.25</v>
      </c>
    </row>
    <row r="10267" spans="2:7" x14ac:dyDescent="0.2">
      <c r="B10267" s="32">
        <v>46108</v>
      </c>
      <c r="C10267" t="s">
        <v>109</v>
      </c>
      <c r="D10267" s="13" t="s">
        <v>633</v>
      </c>
      <c r="E10267" t="s">
        <v>336</v>
      </c>
      <c r="F10267" s="11">
        <v>1</v>
      </c>
      <c r="G10267" s="11">
        <v>75630.25</v>
      </c>
    </row>
    <row r="10268" spans="2:7" x14ac:dyDescent="0.2">
      <c r="B10268" s="32">
        <v>46108</v>
      </c>
      <c r="C10268" t="s">
        <v>109</v>
      </c>
      <c r="D10268" s="13" t="s">
        <v>633</v>
      </c>
      <c r="E10268" t="s">
        <v>327</v>
      </c>
      <c r="F10268" s="11">
        <v>2</v>
      </c>
      <c r="G10268" s="11">
        <v>70000</v>
      </c>
    </row>
    <row r="10269" spans="2:7" x14ac:dyDescent="0.2">
      <c r="B10269" s="32">
        <v>46108</v>
      </c>
      <c r="C10269" t="s">
        <v>109</v>
      </c>
      <c r="D10269" s="13" t="s">
        <v>633</v>
      </c>
      <c r="E10269" t="s">
        <v>760</v>
      </c>
      <c r="F10269" s="11">
        <v>1</v>
      </c>
      <c r="G10269" s="11">
        <v>66386.55</v>
      </c>
    </row>
    <row r="10270" spans="2:7" x14ac:dyDescent="0.2">
      <c r="B10270" s="32">
        <v>46108</v>
      </c>
      <c r="C10270" t="s">
        <v>109</v>
      </c>
      <c r="D10270" s="13" t="s">
        <v>633</v>
      </c>
      <c r="E10270" t="s">
        <v>271</v>
      </c>
      <c r="F10270" s="11">
        <v>1</v>
      </c>
      <c r="G10270" s="11">
        <v>63025.21</v>
      </c>
    </row>
    <row r="10271" spans="2:7" x14ac:dyDescent="0.2">
      <c r="B10271" s="32">
        <v>46108</v>
      </c>
      <c r="C10271" t="s">
        <v>109</v>
      </c>
      <c r="D10271" s="13" t="s">
        <v>633</v>
      </c>
      <c r="E10271" t="s">
        <v>317</v>
      </c>
      <c r="F10271" s="11">
        <v>1</v>
      </c>
      <c r="G10271" s="11">
        <v>54621.85</v>
      </c>
    </row>
    <row r="10272" spans="2:7" x14ac:dyDescent="0.2">
      <c r="B10272" s="32">
        <v>46108</v>
      </c>
      <c r="C10272" t="s">
        <v>109</v>
      </c>
      <c r="D10272" s="13" t="s">
        <v>633</v>
      </c>
      <c r="E10272" t="s">
        <v>283</v>
      </c>
      <c r="F10272" s="11">
        <v>1</v>
      </c>
      <c r="G10272" s="11">
        <v>54621.85</v>
      </c>
    </row>
    <row r="10273" spans="2:7" x14ac:dyDescent="0.2">
      <c r="B10273" s="32">
        <v>46108</v>
      </c>
      <c r="C10273" t="s">
        <v>109</v>
      </c>
      <c r="D10273" s="13" t="s">
        <v>633</v>
      </c>
      <c r="E10273" t="s">
        <v>150</v>
      </c>
      <c r="F10273" s="11">
        <v>1</v>
      </c>
      <c r="G10273" s="11">
        <v>46218.5</v>
      </c>
    </row>
    <row r="10274" spans="2:7" x14ac:dyDescent="0.2">
      <c r="B10274" s="32">
        <v>46108</v>
      </c>
      <c r="C10274" t="s">
        <v>109</v>
      </c>
      <c r="D10274" s="13" t="s">
        <v>633</v>
      </c>
      <c r="E10274" t="s">
        <v>225</v>
      </c>
      <c r="F10274" s="11">
        <v>1</v>
      </c>
      <c r="G10274" s="11">
        <v>46218.49</v>
      </c>
    </row>
    <row r="10275" spans="2:7" x14ac:dyDescent="0.2">
      <c r="B10275" s="32">
        <v>46108</v>
      </c>
      <c r="C10275" t="s">
        <v>109</v>
      </c>
      <c r="D10275" s="13" t="s">
        <v>633</v>
      </c>
      <c r="E10275" t="s">
        <v>328</v>
      </c>
      <c r="F10275" s="11">
        <v>1</v>
      </c>
      <c r="G10275" s="11">
        <v>37815.129999999997</v>
      </c>
    </row>
    <row r="10276" spans="2:7" x14ac:dyDescent="0.2">
      <c r="B10276" s="32">
        <v>46108</v>
      </c>
      <c r="C10276" t="s">
        <v>109</v>
      </c>
      <c r="D10276" s="13" t="s">
        <v>633</v>
      </c>
      <c r="E10276" t="s">
        <v>145</v>
      </c>
      <c r="F10276" s="11">
        <v>1</v>
      </c>
      <c r="G10276" s="11">
        <v>29411.759999999998</v>
      </c>
    </row>
    <row r="10277" spans="2:7" x14ac:dyDescent="0.2">
      <c r="B10277" s="32">
        <v>46108</v>
      </c>
      <c r="C10277" t="s">
        <v>109</v>
      </c>
      <c r="D10277" s="13" t="s">
        <v>633</v>
      </c>
      <c r="E10277" t="s">
        <v>209</v>
      </c>
      <c r="F10277" s="11">
        <v>1</v>
      </c>
      <c r="G10277" s="11">
        <v>16806.72</v>
      </c>
    </row>
    <row r="10278" spans="2:7" x14ac:dyDescent="0.2">
      <c r="B10278" s="32">
        <v>46108</v>
      </c>
      <c r="C10278" t="s">
        <v>109</v>
      </c>
      <c r="D10278" s="13" t="s">
        <v>633</v>
      </c>
      <c r="E10278" t="s">
        <v>566</v>
      </c>
      <c r="F10278" s="11">
        <v>1</v>
      </c>
      <c r="G10278" s="11">
        <v>16806.72</v>
      </c>
    </row>
    <row r="10279" spans="2:7" x14ac:dyDescent="0.2">
      <c r="B10279" s="32">
        <v>46109</v>
      </c>
      <c r="C10279" t="s">
        <v>142</v>
      </c>
      <c r="D10279" s="13" t="s">
        <v>634</v>
      </c>
      <c r="E10279" t="s">
        <v>244</v>
      </c>
      <c r="F10279" s="11">
        <v>4</v>
      </c>
      <c r="G10279" s="11">
        <v>235294.12</v>
      </c>
    </row>
    <row r="10280" spans="2:7" x14ac:dyDescent="0.2">
      <c r="B10280" s="32">
        <v>46109</v>
      </c>
      <c r="C10280" t="s">
        <v>142</v>
      </c>
      <c r="D10280" s="13" t="s">
        <v>634</v>
      </c>
      <c r="E10280" t="s">
        <v>162</v>
      </c>
      <c r="F10280" s="11">
        <v>3</v>
      </c>
      <c r="G10280" s="11">
        <v>189075.63</v>
      </c>
    </row>
    <row r="10281" spans="2:7" x14ac:dyDescent="0.2">
      <c r="B10281" s="32">
        <v>46109</v>
      </c>
      <c r="C10281" t="s">
        <v>142</v>
      </c>
      <c r="D10281" s="13" t="s">
        <v>634</v>
      </c>
      <c r="E10281" t="s">
        <v>271</v>
      </c>
      <c r="F10281" s="11">
        <v>2</v>
      </c>
      <c r="G10281" s="11">
        <v>126050.42</v>
      </c>
    </row>
    <row r="10282" spans="2:7" x14ac:dyDescent="0.2">
      <c r="B10282" s="32">
        <v>46109</v>
      </c>
      <c r="C10282" t="s">
        <v>142</v>
      </c>
      <c r="D10282" s="13" t="s">
        <v>634</v>
      </c>
      <c r="E10282" t="s">
        <v>524</v>
      </c>
      <c r="F10282" s="11">
        <v>1</v>
      </c>
      <c r="G10282" s="11">
        <v>63025.21</v>
      </c>
    </row>
    <row r="10283" spans="2:7" x14ac:dyDescent="0.2">
      <c r="B10283" s="32">
        <v>46109</v>
      </c>
      <c r="C10283" t="s">
        <v>142</v>
      </c>
      <c r="D10283" s="13" t="s">
        <v>634</v>
      </c>
      <c r="E10283" t="s">
        <v>318</v>
      </c>
      <c r="F10283" s="11">
        <v>1</v>
      </c>
      <c r="G10283" s="11">
        <v>63025.21</v>
      </c>
    </row>
    <row r="10284" spans="2:7" x14ac:dyDescent="0.2">
      <c r="B10284" s="32">
        <v>46109</v>
      </c>
      <c r="C10284" t="s">
        <v>142</v>
      </c>
      <c r="D10284" s="13" t="s">
        <v>634</v>
      </c>
      <c r="E10284" t="s">
        <v>355</v>
      </c>
      <c r="F10284" s="11">
        <v>1</v>
      </c>
      <c r="G10284" s="11">
        <v>63025.21</v>
      </c>
    </row>
    <row r="10285" spans="2:7" x14ac:dyDescent="0.2">
      <c r="B10285" s="32">
        <v>46109</v>
      </c>
      <c r="C10285" t="s">
        <v>142</v>
      </c>
      <c r="D10285" s="13" t="s">
        <v>634</v>
      </c>
      <c r="E10285" t="s">
        <v>290</v>
      </c>
      <c r="F10285" s="11">
        <v>1</v>
      </c>
      <c r="G10285" s="11">
        <v>63025.21</v>
      </c>
    </row>
    <row r="10286" spans="2:7" x14ac:dyDescent="0.2">
      <c r="B10286" s="32">
        <v>46109</v>
      </c>
      <c r="C10286" t="s">
        <v>142</v>
      </c>
      <c r="D10286" s="13" t="s">
        <v>634</v>
      </c>
      <c r="E10286" t="s">
        <v>525</v>
      </c>
      <c r="F10286" s="11">
        <v>1</v>
      </c>
      <c r="G10286" s="11">
        <v>63025.21</v>
      </c>
    </row>
    <row r="10287" spans="2:7" x14ac:dyDescent="0.2">
      <c r="B10287" s="32">
        <v>46109</v>
      </c>
      <c r="C10287" t="s">
        <v>142</v>
      </c>
      <c r="D10287" s="13" t="s">
        <v>634</v>
      </c>
      <c r="E10287" t="s">
        <v>331</v>
      </c>
      <c r="F10287" s="11">
        <v>1</v>
      </c>
      <c r="G10287" s="11">
        <v>63025.21</v>
      </c>
    </row>
    <row r="10288" spans="2:7" x14ac:dyDescent="0.2">
      <c r="B10288" s="32">
        <v>46109</v>
      </c>
      <c r="C10288" t="s">
        <v>142</v>
      </c>
      <c r="D10288" s="13" t="s">
        <v>633</v>
      </c>
      <c r="E10288" t="s">
        <v>758</v>
      </c>
      <c r="F10288" s="11">
        <v>1</v>
      </c>
      <c r="G10288" s="11">
        <v>323529.40999999997</v>
      </c>
    </row>
    <row r="10289" spans="2:7" x14ac:dyDescent="0.2">
      <c r="B10289" s="32">
        <v>46109</v>
      </c>
      <c r="C10289" t="s">
        <v>142</v>
      </c>
      <c r="D10289" s="13" t="s">
        <v>633</v>
      </c>
      <c r="E10289" t="s">
        <v>218</v>
      </c>
      <c r="F10289" s="11">
        <v>1</v>
      </c>
      <c r="G10289" s="11">
        <v>42016.81</v>
      </c>
    </row>
    <row r="10290" spans="2:7" x14ac:dyDescent="0.2">
      <c r="B10290" s="32">
        <v>46109</v>
      </c>
      <c r="C10290" t="s">
        <v>109</v>
      </c>
      <c r="D10290" s="13" t="s">
        <v>634</v>
      </c>
      <c r="E10290" t="s">
        <v>205</v>
      </c>
      <c r="F10290" s="11">
        <v>3</v>
      </c>
      <c r="G10290" s="11">
        <v>189075.63</v>
      </c>
    </row>
    <row r="10291" spans="2:7" x14ac:dyDescent="0.2">
      <c r="B10291" s="32">
        <v>46109</v>
      </c>
      <c r="C10291" t="s">
        <v>109</v>
      </c>
      <c r="D10291" s="13" t="s">
        <v>634</v>
      </c>
      <c r="E10291" t="s">
        <v>220</v>
      </c>
      <c r="F10291" s="11">
        <v>2</v>
      </c>
      <c r="G10291" s="11">
        <v>168067.23</v>
      </c>
    </row>
    <row r="10292" spans="2:7" x14ac:dyDescent="0.2">
      <c r="B10292" s="32">
        <v>46109</v>
      </c>
      <c r="C10292" t="s">
        <v>109</v>
      </c>
      <c r="D10292" s="13" t="s">
        <v>634</v>
      </c>
      <c r="E10292" t="s">
        <v>481</v>
      </c>
      <c r="F10292" s="11">
        <v>1</v>
      </c>
      <c r="G10292" s="11">
        <v>122744.18</v>
      </c>
    </row>
    <row r="10293" spans="2:7" x14ac:dyDescent="0.2">
      <c r="B10293" s="32">
        <v>46109</v>
      </c>
      <c r="C10293" t="s">
        <v>109</v>
      </c>
      <c r="D10293" s="13" t="s">
        <v>634</v>
      </c>
      <c r="E10293" t="s">
        <v>365</v>
      </c>
      <c r="F10293" s="11">
        <v>1</v>
      </c>
      <c r="G10293" s="11">
        <v>109243.69</v>
      </c>
    </row>
    <row r="10294" spans="2:7" x14ac:dyDescent="0.2">
      <c r="B10294" s="32">
        <v>46109</v>
      </c>
      <c r="C10294" t="s">
        <v>109</v>
      </c>
      <c r="D10294" s="13" t="s">
        <v>634</v>
      </c>
      <c r="E10294" t="s">
        <v>471</v>
      </c>
      <c r="F10294" s="11">
        <v>2</v>
      </c>
      <c r="G10294" s="11">
        <v>104146.58</v>
      </c>
    </row>
    <row r="10295" spans="2:7" x14ac:dyDescent="0.2">
      <c r="B10295" s="32">
        <v>46109</v>
      </c>
      <c r="C10295" t="s">
        <v>109</v>
      </c>
      <c r="D10295" s="13" t="s">
        <v>634</v>
      </c>
      <c r="E10295" t="s">
        <v>218</v>
      </c>
      <c r="F10295" s="11">
        <v>1</v>
      </c>
      <c r="G10295" s="11">
        <v>42016.81</v>
      </c>
    </row>
    <row r="10296" spans="2:7" x14ac:dyDescent="0.2">
      <c r="B10296" s="32">
        <v>46109</v>
      </c>
      <c r="C10296" t="s">
        <v>109</v>
      </c>
      <c r="D10296" s="13" t="s">
        <v>633</v>
      </c>
      <c r="F10296" s="11">
        <v>3</v>
      </c>
      <c r="G10296" s="11">
        <v>380881.29</v>
      </c>
    </row>
    <row r="10297" spans="2:7" x14ac:dyDescent="0.2">
      <c r="B10297" s="32">
        <v>46109</v>
      </c>
      <c r="C10297" t="s">
        <v>109</v>
      </c>
      <c r="D10297" s="13" t="s">
        <v>633</v>
      </c>
      <c r="E10297" t="s">
        <v>417</v>
      </c>
      <c r="F10297" s="11">
        <v>2</v>
      </c>
      <c r="G10297" s="11">
        <v>234821.17</v>
      </c>
    </row>
    <row r="10298" spans="2:7" x14ac:dyDescent="0.2">
      <c r="B10298" s="32">
        <v>46109</v>
      </c>
      <c r="C10298" t="s">
        <v>109</v>
      </c>
      <c r="D10298" s="13" t="s">
        <v>633</v>
      </c>
      <c r="E10298" t="s">
        <v>233</v>
      </c>
      <c r="F10298" s="11">
        <v>3</v>
      </c>
      <c r="G10298" s="11">
        <v>189075.63</v>
      </c>
    </row>
    <row r="10299" spans="2:7" x14ac:dyDescent="0.2">
      <c r="B10299" s="32">
        <v>46109</v>
      </c>
      <c r="C10299" t="s">
        <v>109</v>
      </c>
      <c r="D10299" s="13" t="s">
        <v>633</v>
      </c>
      <c r="E10299" t="s">
        <v>631</v>
      </c>
      <c r="F10299" s="11">
        <v>1</v>
      </c>
      <c r="G10299" s="11">
        <v>184873.95</v>
      </c>
    </row>
    <row r="10300" spans="2:7" x14ac:dyDescent="0.2">
      <c r="B10300" s="32">
        <v>46109</v>
      </c>
      <c r="C10300" t="s">
        <v>109</v>
      </c>
      <c r="D10300" s="13" t="s">
        <v>633</v>
      </c>
      <c r="E10300" t="s">
        <v>400</v>
      </c>
      <c r="F10300" s="11">
        <v>1</v>
      </c>
      <c r="G10300" s="11">
        <v>174718.13</v>
      </c>
    </row>
    <row r="10301" spans="2:7" x14ac:dyDescent="0.2">
      <c r="B10301" s="32">
        <v>46109</v>
      </c>
      <c r="C10301" t="s">
        <v>109</v>
      </c>
      <c r="D10301" s="13" t="s">
        <v>633</v>
      </c>
      <c r="E10301" t="s">
        <v>174</v>
      </c>
      <c r="F10301" s="11">
        <v>2</v>
      </c>
      <c r="G10301" s="11">
        <v>168067.22</v>
      </c>
    </row>
    <row r="10302" spans="2:7" x14ac:dyDescent="0.2">
      <c r="B10302" s="32">
        <v>46109</v>
      </c>
      <c r="C10302" t="s">
        <v>109</v>
      </c>
      <c r="D10302" s="13" t="s">
        <v>633</v>
      </c>
      <c r="E10302" t="s">
        <v>389</v>
      </c>
      <c r="F10302" s="11">
        <v>1</v>
      </c>
      <c r="G10302" s="11">
        <v>151260.5</v>
      </c>
    </row>
    <row r="10303" spans="2:7" x14ac:dyDescent="0.2">
      <c r="B10303" s="32">
        <v>46109</v>
      </c>
      <c r="C10303" t="s">
        <v>109</v>
      </c>
      <c r="D10303" s="13" t="s">
        <v>633</v>
      </c>
      <c r="E10303" t="s">
        <v>562</v>
      </c>
      <c r="F10303" s="11">
        <v>1</v>
      </c>
      <c r="G10303" s="11">
        <v>142857.15</v>
      </c>
    </row>
    <row r="10304" spans="2:7" x14ac:dyDescent="0.2">
      <c r="B10304" s="32">
        <v>46109</v>
      </c>
      <c r="C10304" t="s">
        <v>109</v>
      </c>
      <c r="D10304" s="13" t="s">
        <v>633</v>
      </c>
      <c r="E10304" t="s">
        <v>145</v>
      </c>
      <c r="F10304" s="11">
        <v>4</v>
      </c>
      <c r="G10304" s="11">
        <v>140000</v>
      </c>
    </row>
    <row r="10305" spans="2:7" x14ac:dyDescent="0.2">
      <c r="B10305" s="32">
        <v>46109</v>
      </c>
      <c r="C10305" t="s">
        <v>109</v>
      </c>
      <c r="D10305" s="13" t="s">
        <v>633</v>
      </c>
      <c r="E10305" t="s">
        <v>234</v>
      </c>
      <c r="F10305" s="11">
        <v>3</v>
      </c>
      <c r="G10305" s="11">
        <v>120630.26</v>
      </c>
    </row>
    <row r="10306" spans="2:7" x14ac:dyDescent="0.2">
      <c r="B10306" s="32">
        <v>46109</v>
      </c>
      <c r="C10306" t="s">
        <v>109</v>
      </c>
      <c r="D10306" s="13" t="s">
        <v>633</v>
      </c>
      <c r="E10306" t="s">
        <v>567</v>
      </c>
      <c r="F10306" s="11">
        <v>1</v>
      </c>
      <c r="G10306" s="11">
        <v>117647.06</v>
      </c>
    </row>
    <row r="10307" spans="2:7" x14ac:dyDescent="0.2">
      <c r="B10307" s="32">
        <v>46109</v>
      </c>
      <c r="C10307" t="s">
        <v>109</v>
      </c>
      <c r="D10307" s="13" t="s">
        <v>633</v>
      </c>
      <c r="E10307" t="s">
        <v>639</v>
      </c>
      <c r="F10307" s="11">
        <v>1</v>
      </c>
      <c r="G10307" s="11">
        <v>99000</v>
      </c>
    </row>
    <row r="10308" spans="2:7" x14ac:dyDescent="0.2">
      <c r="B10308" s="32">
        <v>46109</v>
      </c>
      <c r="C10308" t="s">
        <v>109</v>
      </c>
      <c r="D10308" s="13" t="s">
        <v>633</v>
      </c>
      <c r="E10308" t="s">
        <v>642</v>
      </c>
      <c r="F10308" s="11">
        <v>2</v>
      </c>
      <c r="G10308" s="11">
        <v>98000</v>
      </c>
    </row>
    <row r="10309" spans="2:7" x14ac:dyDescent="0.2">
      <c r="B10309" s="32">
        <v>46109</v>
      </c>
      <c r="C10309" t="s">
        <v>109</v>
      </c>
      <c r="D10309" s="13" t="s">
        <v>633</v>
      </c>
      <c r="E10309" t="s">
        <v>756</v>
      </c>
      <c r="F10309" s="11">
        <v>1</v>
      </c>
      <c r="G10309" s="11">
        <v>84033.61</v>
      </c>
    </row>
    <row r="10310" spans="2:7" x14ac:dyDescent="0.2">
      <c r="B10310" s="32">
        <v>46109</v>
      </c>
      <c r="C10310" t="s">
        <v>109</v>
      </c>
      <c r="D10310" s="13" t="s">
        <v>633</v>
      </c>
      <c r="E10310" t="s">
        <v>446</v>
      </c>
      <c r="F10310" s="11">
        <v>1</v>
      </c>
      <c r="G10310" s="11">
        <v>75630.25</v>
      </c>
    </row>
    <row r="10311" spans="2:7" x14ac:dyDescent="0.2">
      <c r="B10311" s="32">
        <v>46109</v>
      </c>
      <c r="C10311" t="s">
        <v>109</v>
      </c>
      <c r="D10311" s="13" t="s">
        <v>633</v>
      </c>
      <c r="E10311" t="s">
        <v>147</v>
      </c>
      <c r="F10311" s="11">
        <v>1</v>
      </c>
      <c r="G10311" s="11">
        <v>75630.25</v>
      </c>
    </row>
    <row r="10312" spans="2:7" x14ac:dyDescent="0.2">
      <c r="B10312" s="32">
        <v>46109</v>
      </c>
      <c r="C10312" t="s">
        <v>109</v>
      </c>
      <c r="D10312" s="13" t="s">
        <v>633</v>
      </c>
      <c r="E10312" t="s">
        <v>617</v>
      </c>
      <c r="F10312" s="11">
        <v>1</v>
      </c>
      <c r="G10312" s="11">
        <v>71428.570000000007</v>
      </c>
    </row>
    <row r="10313" spans="2:7" x14ac:dyDescent="0.2">
      <c r="B10313" s="32">
        <v>46109</v>
      </c>
      <c r="C10313" t="s">
        <v>109</v>
      </c>
      <c r="D10313" s="13" t="s">
        <v>633</v>
      </c>
      <c r="E10313" t="s">
        <v>327</v>
      </c>
      <c r="F10313" s="11">
        <v>2</v>
      </c>
      <c r="G10313" s="11">
        <v>70000</v>
      </c>
    </row>
    <row r="10314" spans="2:7" x14ac:dyDescent="0.2">
      <c r="B10314" s="32">
        <v>46109</v>
      </c>
      <c r="C10314" t="s">
        <v>109</v>
      </c>
      <c r="D10314" s="13" t="s">
        <v>633</v>
      </c>
      <c r="E10314" t="s">
        <v>752</v>
      </c>
      <c r="F10314" s="11">
        <v>1</v>
      </c>
      <c r="G10314" s="11">
        <v>67226.89</v>
      </c>
    </row>
    <row r="10315" spans="2:7" x14ac:dyDescent="0.2">
      <c r="B10315" s="32">
        <v>46109</v>
      </c>
      <c r="C10315" t="s">
        <v>109</v>
      </c>
      <c r="D10315" s="13" t="s">
        <v>633</v>
      </c>
      <c r="E10315" t="s">
        <v>651</v>
      </c>
      <c r="F10315" s="11">
        <v>1</v>
      </c>
      <c r="G10315" s="11">
        <v>58823.53</v>
      </c>
    </row>
    <row r="10316" spans="2:7" x14ac:dyDescent="0.2">
      <c r="B10316" s="32">
        <v>46109</v>
      </c>
      <c r="C10316" t="s">
        <v>109</v>
      </c>
      <c r="D10316" s="13" t="s">
        <v>633</v>
      </c>
      <c r="E10316" t="s">
        <v>348</v>
      </c>
      <c r="F10316" s="11">
        <v>1</v>
      </c>
      <c r="G10316" s="11">
        <v>58823.53</v>
      </c>
    </row>
    <row r="10317" spans="2:7" x14ac:dyDescent="0.2">
      <c r="B10317" s="32">
        <v>46109</v>
      </c>
      <c r="C10317" t="s">
        <v>109</v>
      </c>
      <c r="D10317" s="13" t="s">
        <v>633</v>
      </c>
      <c r="E10317" t="s">
        <v>259</v>
      </c>
      <c r="F10317" s="11">
        <v>1</v>
      </c>
      <c r="G10317" s="11">
        <v>58823.53</v>
      </c>
    </row>
    <row r="10318" spans="2:7" x14ac:dyDescent="0.2">
      <c r="B10318" s="32">
        <v>46109</v>
      </c>
      <c r="C10318" t="s">
        <v>109</v>
      </c>
      <c r="D10318" s="13" t="s">
        <v>633</v>
      </c>
      <c r="E10318" t="s">
        <v>269</v>
      </c>
      <c r="F10318" s="11">
        <v>1</v>
      </c>
      <c r="G10318" s="11">
        <v>54621.85</v>
      </c>
    </row>
    <row r="10319" spans="2:7" x14ac:dyDescent="0.2">
      <c r="B10319" s="32">
        <v>46109</v>
      </c>
      <c r="C10319" t="s">
        <v>109</v>
      </c>
      <c r="D10319" s="13" t="s">
        <v>633</v>
      </c>
      <c r="E10319" t="s">
        <v>144</v>
      </c>
      <c r="F10319" s="11">
        <v>6</v>
      </c>
      <c r="G10319" s="11">
        <v>51680.67</v>
      </c>
    </row>
    <row r="10320" spans="2:7" x14ac:dyDescent="0.2">
      <c r="B10320" s="32">
        <v>46109</v>
      </c>
      <c r="C10320" t="s">
        <v>109</v>
      </c>
      <c r="D10320" s="13" t="s">
        <v>633</v>
      </c>
      <c r="E10320" t="s">
        <v>351</v>
      </c>
      <c r="F10320" s="11">
        <v>3</v>
      </c>
      <c r="G10320" s="11">
        <v>50420.160000000003</v>
      </c>
    </row>
    <row r="10321" spans="2:7" x14ac:dyDescent="0.2">
      <c r="B10321" s="32">
        <v>46109</v>
      </c>
      <c r="C10321" t="s">
        <v>109</v>
      </c>
      <c r="D10321" s="13" t="s">
        <v>633</v>
      </c>
      <c r="E10321" t="s">
        <v>218</v>
      </c>
      <c r="F10321" s="11">
        <v>1</v>
      </c>
      <c r="G10321" s="11">
        <v>50000</v>
      </c>
    </row>
    <row r="10322" spans="2:7" x14ac:dyDescent="0.2">
      <c r="B10322" s="32">
        <v>46109</v>
      </c>
      <c r="C10322" t="s">
        <v>109</v>
      </c>
      <c r="D10322" s="13" t="s">
        <v>633</v>
      </c>
      <c r="E10322" t="s">
        <v>328</v>
      </c>
      <c r="F10322" s="11">
        <v>1</v>
      </c>
      <c r="G10322" s="11">
        <v>45000</v>
      </c>
    </row>
    <row r="10323" spans="2:7" x14ac:dyDescent="0.2">
      <c r="B10323" s="32">
        <v>46109</v>
      </c>
      <c r="C10323" t="s">
        <v>109</v>
      </c>
      <c r="D10323" s="13" t="s">
        <v>633</v>
      </c>
      <c r="E10323" t="s">
        <v>148</v>
      </c>
      <c r="F10323" s="11">
        <v>1</v>
      </c>
      <c r="G10323" s="11">
        <v>45000</v>
      </c>
    </row>
    <row r="10324" spans="2:7" x14ac:dyDescent="0.2">
      <c r="B10324" s="32">
        <v>46109</v>
      </c>
      <c r="C10324" t="s">
        <v>109</v>
      </c>
      <c r="D10324" s="13" t="s">
        <v>633</v>
      </c>
      <c r="E10324" t="s">
        <v>206</v>
      </c>
      <c r="F10324" s="11">
        <v>1</v>
      </c>
      <c r="G10324" s="11">
        <v>45000</v>
      </c>
    </row>
    <row r="10325" spans="2:7" x14ac:dyDescent="0.2">
      <c r="B10325" s="32">
        <v>46109</v>
      </c>
      <c r="C10325" t="s">
        <v>109</v>
      </c>
      <c r="D10325" s="13" t="s">
        <v>633</v>
      </c>
      <c r="E10325" t="s">
        <v>203</v>
      </c>
      <c r="F10325" s="11">
        <v>1</v>
      </c>
      <c r="G10325" s="11">
        <v>42016.81</v>
      </c>
    </row>
    <row r="10326" spans="2:7" x14ac:dyDescent="0.2">
      <c r="B10326" s="32">
        <v>46109</v>
      </c>
      <c r="C10326" t="s">
        <v>109</v>
      </c>
      <c r="D10326" s="13" t="s">
        <v>633</v>
      </c>
      <c r="E10326" t="s">
        <v>773</v>
      </c>
      <c r="F10326" s="11">
        <v>1</v>
      </c>
      <c r="G10326" s="11">
        <v>41932.35</v>
      </c>
    </row>
    <row r="10327" spans="2:7" x14ac:dyDescent="0.2">
      <c r="B10327" s="32">
        <v>46109</v>
      </c>
      <c r="C10327" t="s">
        <v>109</v>
      </c>
      <c r="D10327" s="13" t="s">
        <v>633</v>
      </c>
      <c r="E10327" t="s">
        <v>456</v>
      </c>
      <c r="F10327" s="11">
        <v>1</v>
      </c>
      <c r="G10327" s="11">
        <v>16806.73</v>
      </c>
    </row>
    <row r="10328" spans="2:7" x14ac:dyDescent="0.2">
      <c r="B10328" s="32">
        <v>46110</v>
      </c>
      <c r="C10328" t="s">
        <v>142</v>
      </c>
      <c r="D10328" s="13" t="s">
        <v>633</v>
      </c>
      <c r="E10328" t="s">
        <v>144</v>
      </c>
      <c r="F10328" s="11">
        <v>1</v>
      </c>
      <c r="G10328" s="11">
        <v>15126.05</v>
      </c>
    </row>
    <row r="10329" spans="2:7" x14ac:dyDescent="0.2">
      <c r="B10329" s="32">
        <v>46110</v>
      </c>
      <c r="C10329" t="s">
        <v>109</v>
      </c>
      <c r="D10329" s="13" t="s">
        <v>634</v>
      </c>
      <c r="E10329" t="s">
        <v>474</v>
      </c>
      <c r="F10329" s="11">
        <v>2</v>
      </c>
      <c r="G10329" s="11">
        <v>386554.62</v>
      </c>
    </row>
    <row r="10330" spans="2:7" x14ac:dyDescent="0.2">
      <c r="B10330" s="32">
        <v>46110</v>
      </c>
      <c r="C10330" t="s">
        <v>109</v>
      </c>
      <c r="D10330" s="13" t="s">
        <v>634</v>
      </c>
      <c r="E10330" t="s">
        <v>537</v>
      </c>
      <c r="F10330" s="11">
        <v>1</v>
      </c>
      <c r="G10330" s="11">
        <v>63025.21</v>
      </c>
    </row>
    <row r="10331" spans="2:7" x14ac:dyDescent="0.2">
      <c r="B10331" s="32">
        <v>46110</v>
      </c>
      <c r="C10331" t="s">
        <v>109</v>
      </c>
      <c r="D10331" s="13" t="s">
        <v>633</v>
      </c>
      <c r="F10331" s="11">
        <v>3</v>
      </c>
      <c r="G10331" s="11">
        <v>378151.26</v>
      </c>
    </row>
    <row r="10332" spans="2:7" x14ac:dyDescent="0.2">
      <c r="B10332" s="32">
        <v>46110</v>
      </c>
      <c r="C10332" t="s">
        <v>109</v>
      </c>
      <c r="D10332" s="13" t="s">
        <v>633</v>
      </c>
      <c r="E10332" t="s">
        <v>464</v>
      </c>
      <c r="F10332" s="11">
        <v>1</v>
      </c>
      <c r="G10332" s="11">
        <v>142857.14000000001</v>
      </c>
    </row>
    <row r="10333" spans="2:7" x14ac:dyDescent="0.2">
      <c r="B10333" s="32">
        <v>46110</v>
      </c>
      <c r="C10333" t="s">
        <v>109</v>
      </c>
      <c r="D10333" s="13" t="s">
        <v>633</v>
      </c>
      <c r="E10333" t="s">
        <v>168</v>
      </c>
      <c r="F10333" s="11">
        <v>3</v>
      </c>
      <c r="G10333" s="11">
        <v>138655.47</v>
      </c>
    </row>
    <row r="10334" spans="2:7" x14ac:dyDescent="0.2">
      <c r="B10334" s="32">
        <v>46110</v>
      </c>
      <c r="C10334" t="s">
        <v>109</v>
      </c>
      <c r="D10334" s="13" t="s">
        <v>633</v>
      </c>
      <c r="E10334" t="s">
        <v>145</v>
      </c>
      <c r="F10334" s="11">
        <v>4</v>
      </c>
      <c r="G10334" s="11">
        <v>117647.03999999999</v>
      </c>
    </row>
    <row r="10335" spans="2:7" x14ac:dyDescent="0.2">
      <c r="B10335" s="32">
        <v>46110</v>
      </c>
      <c r="C10335" t="s">
        <v>109</v>
      </c>
      <c r="D10335" s="13" t="s">
        <v>633</v>
      </c>
      <c r="E10335" t="s">
        <v>174</v>
      </c>
      <c r="F10335" s="11">
        <v>1</v>
      </c>
      <c r="G10335" s="11">
        <v>84033.62</v>
      </c>
    </row>
    <row r="10336" spans="2:7" x14ac:dyDescent="0.2">
      <c r="B10336" s="32">
        <v>46110</v>
      </c>
      <c r="C10336" t="s">
        <v>109</v>
      </c>
      <c r="D10336" s="13" t="s">
        <v>633</v>
      </c>
      <c r="E10336" t="s">
        <v>266</v>
      </c>
      <c r="F10336" s="11">
        <v>1</v>
      </c>
      <c r="G10336" s="11">
        <v>84033.61</v>
      </c>
    </row>
    <row r="10337" spans="2:7" x14ac:dyDescent="0.2">
      <c r="B10337" s="32">
        <v>46110</v>
      </c>
      <c r="C10337" t="s">
        <v>109</v>
      </c>
      <c r="D10337" s="13" t="s">
        <v>633</v>
      </c>
      <c r="E10337" t="s">
        <v>336</v>
      </c>
      <c r="F10337" s="11">
        <v>1</v>
      </c>
      <c r="G10337" s="11">
        <v>75630.25</v>
      </c>
    </row>
    <row r="10338" spans="2:7" x14ac:dyDescent="0.2">
      <c r="B10338" s="32">
        <v>46110</v>
      </c>
      <c r="C10338" t="s">
        <v>109</v>
      </c>
      <c r="D10338" s="13" t="s">
        <v>633</v>
      </c>
      <c r="E10338" t="s">
        <v>534</v>
      </c>
      <c r="F10338" s="11">
        <v>1</v>
      </c>
      <c r="G10338" s="11">
        <v>75630.25</v>
      </c>
    </row>
    <row r="10339" spans="2:7" x14ac:dyDescent="0.2">
      <c r="B10339" s="32">
        <v>46110</v>
      </c>
      <c r="C10339" t="s">
        <v>109</v>
      </c>
      <c r="D10339" s="13" t="s">
        <v>633</v>
      </c>
      <c r="E10339" t="s">
        <v>147</v>
      </c>
      <c r="F10339" s="11">
        <v>1</v>
      </c>
      <c r="G10339" s="11">
        <v>75630.25</v>
      </c>
    </row>
    <row r="10340" spans="2:7" x14ac:dyDescent="0.2">
      <c r="B10340" s="32">
        <v>46110</v>
      </c>
      <c r="C10340" t="s">
        <v>109</v>
      </c>
      <c r="D10340" s="13" t="s">
        <v>633</v>
      </c>
      <c r="E10340" t="s">
        <v>354</v>
      </c>
      <c r="F10340" s="11">
        <v>1</v>
      </c>
      <c r="G10340" s="11">
        <v>63025.21</v>
      </c>
    </row>
    <row r="10341" spans="2:7" x14ac:dyDescent="0.2">
      <c r="B10341" s="32">
        <v>46110</v>
      </c>
      <c r="C10341" t="s">
        <v>109</v>
      </c>
      <c r="D10341" s="13" t="s">
        <v>633</v>
      </c>
      <c r="E10341" t="s">
        <v>212</v>
      </c>
      <c r="F10341" s="11">
        <v>1</v>
      </c>
      <c r="G10341" s="11">
        <v>58823.53</v>
      </c>
    </row>
    <row r="10342" spans="2:7" x14ac:dyDescent="0.2">
      <c r="B10342" s="32">
        <v>46110</v>
      </c>
      <c r="C10342" t="s">
        <v>109</v>
      </c>
      <c r="D10342" s="13" t="s">
        <v>633</v>
      </c>
      <c r="E10342" t="s">
        <v>144</v>
      </c>
      <c r="F10342" s="11">
        <v>4</v>
      </c>
      <c r="G10342" s="11">
        <v>54621.85</v>
      </c>
    </row>
    <row r="10343" spans="2:7" x14ac:dyDescent="0.2">
      <c r="B10343" s="32">
        <v>46110</v>
      </c>
      <c r="C10343" t="s">
        <v>109</v>
      </c>
      <c r="D10343" s="13" t="s">
        <v>633</v>
      </c>
      <c r="E10343" t="s">
        <v>150</v>
      </c>
      <c r="F10343" s="11">
        <v>1</v>
      </c>
      <c r="G10343" s="11">
        <v>46218.49</v>
      </c>
    </row>
    <row r="10344" spans="2:7" x14ac:dyDescent="0.2">
      <c r="B10344" s="32">
        <v>46110</v>
      </c>
      <c r="C10344" t="s">
        <v>109</v>
      </c>
      <c r="D10344" s="13" t="s">
        <v>633</v>
      </c>
      <c r="E10344" t="s">
        <v>240</v>
      </c>
      <c r="F10344" s="11">
        <v>1</v>
      </c>
      <c r="G10344" s="11">
        <v>46218.49</v>
      </c>
    </row>
    <row r="10345" spans="2:7" x14ac:dyDescent="0.2">
      <c r="B10345" s="32">
        <v>46110</v>
      </c>
      <c r="C10345" t="s">
        <v>109</v>
      </c>
      <c r="D10345" s="13" t="s">
        <v>633</v>
      </c>
      <c r="E10345" t="s">
        <v>172</v>
      </c>
      <c r="F10345" s="11">
        <v>1</v>
      </c>
      <c r="G10345" s="11">
        <v>46218.49</v>
      </c>
    </row>
    <row r="10346" spans="2:7" x14ac:dyDescent="0.2">
      <c r="B10346" s="32">
        <v>46110</v>
      </c>
      <c r="C10346" t="s">
        <v>109</v>
      </c>
      <c r="D10346" s="13" t="s">
        <v>633</v>
      </c>
      <c r="E10346" t="s">
        <v>202</v>
      </c>
      <c r="F10346" s="11">
        <v>1</v>
      </c>
      <c r="G10346" s="11">
        <v>46218.49</v>
      </c>
    </row>
    <row r="10347" spans="2:7" x14ac:dyDescent="0.2">
      <c r="B10347" s="32">
        <v>46110</v>
      </c>
      <c r="C10347" t="s">
        <v>109</v>
      </c>
      <c r="D10347" s="13" t="s">
        <v>633</v>
      </c>
      <c r="E10347" t="s">
        <v>241</v>
      </c>
      <c r="F10347" s="11">
        <v>1</v>
      </c>
      <c r="G10347" s="11">
        <v>46218.49</v>
      </c>
    </row>
    <row r="10348" spans="2:7" x14ac:dyDescent="0.2">
      <c r="B10348" s="32">
        <v>46110</v>
      </c>
      <c r="C10348" t="s">
        <v>109</v>
      </c>
      <c r="D10348" s="13" t="s">
        <v>633</v>
      </c>
      <c r="E10348" t="s">
        <v>148</v>
      </c>
      <c r="F10348" s="11">
        <v>1</v>
      </c>
      <c r="G10348" s="11">
        <v>37815.129999999997</v>
      </c>
    </row>
    <row r="10349" spans="2:7" x14ac:dyDescent="0.2">
      <c r="B10349" s="32">
        <v>46110</v>
      </c>
      <c r="C10349" t="s">
        <v>109</v>
      </c>
      <c r="D10349" s="13" t="s">
        <v>633</v>
      </c>
      <c r="E10349" t="s">
        <v>328</v>
      </c>
      <c r="F10349" s="11">
        <v>1</v>
      </c>
      <c r="G10349" s="11">
        <v>37815.129999999997</v>
      </c>
    </row>
    <row r="10350" spans="2:7" x14ac:dyDescent="0.2">
      <c r="B10350" s="32">
        <v>46110</v>
      </c>
      <c r="C10350" t="s">
        <v>109</v>
      </c>
      <c r="D10350" s="13" t="s">
        <v>633</v>
      </c>
      <c r="E10350" t="s">
        <v>171</v>
      </c>
      <c r="F10350" s="11">
        <v>1</v>
      </c>
      <c r="G10350" s="11">
        <v>29411.759999999998</v>
      </c>
    </row>
    <row r="10351" spans="2:7" x14ac:dyDescent="0.2">
      <c r="B10351" s="32">
        <v>46111</v>
      </c>
      <c r="C10351" t="s">
        <v>142</v>
      </c>
      <c r="D10351" s="13" t="s">
        <v>634</v>
      </c>
      <c r="E10351" t="s">
        <v>282</v>
      </c>
      <c r="F10351" s="11">
        <v>1</v>
      </c>
      <c r="G10351" s="11">
        <v>63025.21</v>
      </c>
    </row>
    <row r="10352" spans="2:7" x14ac:dyDescent="0.2">
      <c r="B10352" s="32">
        <v>46111</v>
      </c>
      <c r="C10352" t="s">
        <v>142</v>
      </c>
      <c r="D10352" s="13" t="s">
        <v>633</v>
      </c>
      <c r="E10352" t="s">
        <v>533</v>
      </c>
      <c r="F10352" s="11">
        <v>1</v>
      </c>
      <c r="G10352" s="11">
        <v>63025.21</v>
      </c>
    </row>
    <row r="10353" spans="2:7" x14ac:dyDescent="0.2">
      <c r="B10353" s="32">
        <v>46111</v>
      </c>
      <c r="C10353" t="s">
        <v>142</v>
      </c>
      <c r="D10353" s="13" t="s">
        <v>633</v>
      </c>
      <c r="E10353" t="s">
        <v>751</v>
      </c>
      <c r="F10353" s="11">
        <v>1</v>
      </c>
      <c r="G10353" s="11">
        <v>63025.21</v>
      </c>
    </row>
    <row r="10354" spans="2:7" x14ac:dyDescent="0.2">
      <c r="B10354" s="32">
        <v>46111</v>
      </c>
      <c r="C10354" t="s">
        <v>142</v>
      </c>
      <c r="D10354" s="13" t="s">
        <v>633</v>
      </c>
      <c r="E10354" t="s">
        <v>237</v>
      </c>
      <c r="F10354" s="11">
        <v>1</v>
      </c>
      <c r="G10354" s="11">
        <v>54621.85</v>
      </c>
    </row>
    <row r="10355" spans="2:7" x14ac:dyDescent="0.2">
      <c r="B10355" s="32">
        <v>46111</v>
      </c>
      <c r="C10355" t="s">
        <v>142</v>
      </c>
      <c r="D10355" s="13" t="s">
        <v>633</v>
      </c>
      <c r="E10355" t="s">
        <v>228</v>
      </c>
      <c r="F10355" s="11">
        <v>1</v>
      </c>
      <c r="G10355" s="11">
        <v>54621.85</v>
      </c>
    </row>
    <row r="10356" spans="2:7" x14ac:dyDescent="0.2">
      <c r="B10356" s="32">
        <v>46111</v>
      </c>
      <c r="C10356" t="s">
        <v>142</v>
      </c>
      <c r="D10356" s="13" t="s">
        <v>633</v>
      </c>
      <c r="E10356" t="s">
        <v>292</v>
      </c>
      <c r="F10356" s="11">
        <v>1</v>
      </c>
      <c r="G10356" s="11">
        <v>54621.85</v>
      </c>
    </row>
    <row r="10357" spans="2:7" x14ac:dyDescent="0.2">
      <c r="B10357" s="32">
        <v>46111</v>
      </c>
      <c r="C10357" t="s">
        <v>142</v>
      </c>
      <c r="D10357" s="13" t="s">
        <v>633</v>
      </c>
      <c r="E10357" t="s">
        <v>280</v>
      </c>
      <c r="F10357" s="11">
        <v>1</v>
      </c>
      <c r="G10357" s="11">
        <v>54621.85</v>
      </c>
    </row>
    <row r="10358" spans="2:7" x14ac:dyDescent="0.2">
      <c r="B10358" s="32">
        <v>46111</v>
      </c>
      <c r="C10358" t="s">
        <v>109</v>
      </c>
      <c r="D10358" s="13" t="s">
        <v>634</v>
      </c>
      <c r="E10358" t="s">
        <v>149</v>
      </c>
      <c r="F10358" s="11">
        <v>1</v>
      </c>
      <c r="G10358" s="11">
        <v>75630.25</v>
      </c>
    </row>
    <row r="10359" spans="2:7" x14ac:dyDescent="0.2">
      <c r="B10359" s="32">
        <v>46111</v>
      </c>
      <c r="C10359" t="s">
        <v>109</v>
      </c>
      <c r="D10359" s="13" t="s">
        <v>633</v>
      </c>
      <c r="E10359" t="s">
        <v>737</v>
      </c>
      <c r="F10359" s="11">
        <v>3</v>
      </c>
      <c r="G10359" s="11">
        <v>428571.43</v>
      </c>
    </row>
    <row r="10360" spans="2:7" x14ac:dyDescent="0.2">
      <c r="B10360" s="32">
        <v>46111</v>
      </c>
      <c r="C10360" t="s">
        <v>109</v>
      </c>
      <c r="D10360" s="13" t="s">
        <v>633</v>
      </c>
      <c r="E10360" t="s">
        <v>159</v>
      </c>
      <c r="F10360" s="11">
        <v>1</v>
      </c>
      <c r="G10360" s="11">
        <v>239495.8</v>
      </c>
    </row>
    <row r="10361" spans="2:7" x14ac:dyDescent="0.2">
      <c r="B10361" s="32">
        <v>46111</v>
      </c>
      <c r="C10361" t="s">
        <v>109</v>
      </c>
      <c r="D10361" s="13" t="s">
        <v>633</v>
      </c>
      <c r="E10361" t="s">
        <v>145</v>
      </c>
      <c r="F10361" s="11">
        <v>4</v>
      </c>
      <c r="G10361" s="11">
        <v>117647.05</v>
      </c>
    </row>
    <row r="10362" spans="2:7" x14ac:dyDescent="0.2">
      <c r="B10362" s="32">
        <v>46111</v>
      </c>
      <c r="C10362" t="s">
        <v>109</v>
      </c>
      <c r="D10362" s="13" t="s">
        <v>633</v>
      </c>
      <c r="E10362" t="s">
        <v>328</v>
      </c>
      <c r="F10362" s="11">
        <v>3</v>
      </c>
      <c r="G10362" s="11">
        <v>113445.38</v>
      </c>
    </row>
    <row r="10363" spans="2:7" x14ac:dyDescent="0.2">
      <c r="B10363" s="32">
        <v>46111</v>
      </c>
      <c r="C10363" t="s">
        <v>109</v>
      </c>
      <c r="D10363" s="13" t="s">
        <v>633</v>
      </c>
      <c r="E10363" t="s">
        <v>206</v>
      </c>
      <c r="F10363" s="11">
        <v>3</v>
      </c>
      <c r="G10363" s="11">
        <v>113445.38</v>
      </c>
    </row>
    <row r="10364" spans="2:7" x14ac:dyDescent="0.2">
      <c r="B10364" s="32">
        <v>46111</v>
      </c>
      <c r="C10364" t="s">
        <v>109</v>
      </c>
      <c r="D10364" s="13" t="s">
        <v>633</v>
      </c>
      <c r="E10364" t="s">
        <v>184</v>
      </c>
      <c r="F10364" s="11">
        <v>1</v>
      </c>
      <c r="G10364" s="11">
        <v>100840.34</v>
      </c>
    </row>
    <row r="10365" spans="2:7" x14ac:dyDescent="0.2">
      <c r="B10365" s="32">
        <v>46111</v>
      </c>
      <c r="C10365" t="s">
        <v>109</v>
      </c>
      <c r="D10365" s="13" t="s">
        <v>633</v>
      </c>
      <c r="E10365" t="s">
        <v>306</v>
      </c>
      <c r="F10365" s="11">
        <v>1</v>
      </c>
      <c r="G10365" s="11">
        <v>92436.98</v>
      </c>
    </row>
    <row r="10366" spans="2:7" x14ac:dyDescent="0.2">
      <c r="B10366" s="32">
        <v>46111</v>
      </c>
      <c r="C10366" t="s">
        <v>109</v>
      </c>
      <c r="D10366" s="13" t="s">
        <v>633</v>
      </c>
      <c r="E10366" t="s">
        <v>168</v>
      </c>
      <c r="F10366" s="11">
        <v>2</v>
      </c>
      <c r="G10366" s="11">
        <v>92436.98</v>
      </c>
    </row>
    <row r="10367" spans="2:7" x14ac:dyDescent="0.2">
      <c r="B10367" s="32">
        <v>46111</v>
      </c>
      <c r="C10367" t="s">
        <v>109</v>
      </c>
      <c r="D10367" s="13" t="s">
        <v>633</v>
      </c>
      <c r="E10367" t="s">
        <v>156</v>
      </c>
      <c r="F10367" s="11">
        <v>2</v>
      </c>
      <c r="G10367" s="11">
        <v>92436.97</v>
      </c>
    </row>
    <row r="10368" spans="2:7" x14ac:dyDescent="0.2">
      <c r="B10368" s="32">
        <v>46111</v>
      </c>
      <c r="C10368" t="s">
        <v>109</v>
      </c>
      <c r="D10368" s="13" t="s">
        <v>633</v>
      </c>
      <c r="E10368" t="s">
        <v>748</v>
      </c>
      <c r="F10368" s="11">
        <v>1</v>
      </c>
      <c r="G10368" s="11">
        <v>92436.97</v>
      </c>
    </row>
    <row r="10369" spans="2:7" x14ac:dyDescent="0.2">
      <c r="B10369" s="32">
        <v>46111</v>
      </c>
      <c r="C10369" t="s">
        <v>109</v>
      </c>
      <c r="D10369" s="13" t="s">
        <v>633</v>
      </c>
      <c r="E10369" t="s">
        <v>340</v>
      </c>
      <c r="F10369" s="11">
        <v>1</v>
      </c>
      <c r="G10369" s="11">
        <v>84033.61</v>
      </c>
    </row>
    <row r="10370" spans="2:7" x14ac:dyDescent="0.2">
      <c r="B10370" s="32">
        <v>46111</v>
      </c>
      <c r="C10370" t="s">
        <v>109</v>
      </c>
      <c r="D10370" s="13" t="s">
        <v>633</v>
      </c>
      <c r="E10370" t="s">
        <v>467</v>
      </c>
      <c r="F10370" s="11">
        <v>1</v>
      </c>
      <c r="G10370" s="11">
        <v>84033.61</v>
      </c>
    </row>
    <row r="10371" spans="2:7" x14ac:dyDescent="0.2">
      <c r="B10371" s="32">
        <v>46111</v>
      </c>
      <c r="C10371" t="s">
        <v>109</v>
      </c>
      <c r="D10371" s="13" t="s">
        <v>633</v>
      </c>
      <c r="E10371" t="s">
        <v>189</v>
      </c>
      <c r="F10371" s="11">
        <v>1</v>
      </c>
      <c r="G10371" s="11">
        <v>75630.25</v>
      </c>
    </row>
    <row r="10372" spans="2:7" x14ac:dyDescent="0.2">
      <c r="B10372" s="32">
        <v>46111</v>
      </c>
      <c r="C10372" t="s">
        <v>109</v>
      </c>
      <c r="D10372" s="13" t="s">
        <v>633</v>
      </c>
      <c r="E10372" t="s">
        <v>362</v>
      </c>
      <c r="F10372" s="11">
        <v>1</v>
      </c>
      <c r="G10372" s="11">
        <v>58823.53</v>
      </c>
    </row>
    <row r="10373" spans="2:7" x14ac:dyDescent="0.2">
      <c r="B10373" s="32">
        <v>46111</v>
      </c>
      <c r="C10373" t="s">
        <v>109</v>
      </c>
      <c r="D10373" s="13" t="s">
        <v>633</v>
      </c>
      <c r="E10373" t="s">
        <v>240</v>
      </c>
      <c r="F10373" s="11">
        <v>1</v>
      </c>
      <c r="G10373" s="11">
        <v>46218.49</v>
      </c>
    </row>
    <row r="10374" spans="2:7" x14ac:dyDescent="0.2">
      <c r="B10374" s="32">
        <v>46111</v>
      </c>
      <c r="C10374" t="s">
        <v>109</v>
      </c>
      <c r="D10374" s="13" t="s">
        <v>633</v>
      </c>
      <c r="E10374" t="s">
        <v>293</v>
      </c>
      <c r="F10374" s="11">
        <v>1</v>
      </c>
      <c r="G10374" s="11">
        <v>37815.129999999997</v>
      </c>
    </row>
    <row r="10375" spans="2:7" x14ac:dyDescent="0.2">
      <c r="B10375" s="32">
        <v>46111</v>
      </c>
      <c r="C10375" t="s">
        <v>109</v>
      </c>
      <c r="D10375" s="13" t="s">
        <v>633</v>
      </c>
      <c r="E10375" t="s">
        <v>171</v>
      </c>
      <c r="F10375" s="11">
        <v>1</v>
      </c>
      <c r="G10375" s="11">
        <v>29411.759999999998</v>
      </c>
    </row>
    <row r="10376" spans="2:7" x14ac:dyDescent="0.2">
      <c r="B10376" s="32">
        <v>46112</v>
      </c>
      <c r="C10376" t="s">
        <v>108</v>
      </c>
      <c r="D10376" s="13" t="s">
        <v>633</v>
      </c>
      <c r="E10376" t="s">
        <v>369</v>
      </c>
      <c r="F10376" s="11">
        <v>50</v>
      </c>
      <c r="G10376" s="11">
        <v>744663.87</v>
      </c>
    </row>
    <row r="10377" spans="2:7" x14ac:dyDescent="0.2">
      <c r="B10377" s="32">
        <v>46112</v>
      </c>
      <c r="C10377" t="s">
        <v>142</v>
      </c>
      <c r="D10377" s="13" t="s">
        <v>634</v>
      </c>
      <c r="E10377" t="s">
        <v>444</v>
      </c>
      <c r="F10377" s="11">
        <v>1</v>
      </c>
      <c r="G10377" s="11">
        <v>84033.61</v>
      </c>
    </row>
    <row r="10378" spans="2:7" x14ac:dyDescent="0.2">
      <c r="B10378" s="32">
        <v>46112</v>
      </c>
      <c r="C10378" t="s">
        <v>142</v>
      </c>
      <c r="D10378" s="13" t="s">
        <v>634</v>
      </c>
      <c r="E10378" t="s">
        <v>285</v>
      </c>
      <c r="F10378" s="11">
        <v>1</v>
      </c>
      <c r="G10378" s="11">
        <v>63025.21</v>
      </c>
    </row>
    <row r="10379" spans="2:7" x14ac:dyDescent="0.2">
      <c r="B10379" s="32">
        <v>46112</v>
      </c>
      <c r="C10379" t="s">
        <v>142</v>
      </c>
      <c r="D10379" s="13" t="s">
        <v>634</v>
      </c>
      <c r="E10379" t="s">
        <v>210</v>
      </c>
      <c r="F10379" s="11">
        <v>1</v>
      </c>
      <c r="G10379" s="11">
        <v>50420.17</v>
      </c>
    </row>
    <row r="10380" spans="2:7" x14ac:dyDescent="0.2">
      <c r="B10380" s="32">
        <v>46112</v>
      </c>
      <c r="C10380" t="s">
        <v>142</v>
      </c>
      <c r="D10380" s="13" t="s">
        <v>633</v>
      </c>
      <c r="E10380" t="s">
        <v>281</v>
      </c>
      <c r="F10380" s="11">
        <v>1</v>
      </c>
      <c r="G10380" s="11">
        <v>92436.98</v>
      </c>
    </row>
    <row r="10381" spans="2:7" x14ac:dyDescent="0.2">
      <c r="B10381" s="32">
        <v>46112</v>
      </c>
      <c r="C10381" t="s">
        <v>142</v>
      </c>
      <c r="D10381" s="13" t="s">
        <v>633</v>
      </c>
      <c r="E10381" t="s">
        <v>175</v>
      </c>
      <c r="F10381" s="11">
        <v>1</v>
      </c>
      <c r="G10381" s="11">
        <v>92436.97</v>
      </c>
    </row>
    <row r="10382" spans="2:7" x14ac:dyDescent="0.2">
      <c r="B10382" s="32">
        <v>46112</v>
      </c>
      <c r="C10382" t="s">
        <v>109</v>
      </c>
      <c r="D10382" s="13" t="s">
        <v>634</v>
      </c>
      <c r="E10382" t="s">
        <v>465</v>
      </c>
      <c r="F10382" s="11">
        <v>2</v>
      </c>
      <c r="G10382" s="11">
        <v>348739.5</v>
      </c>
    </row>
    <row r="10383" spans="2:7" x14ac:dyDescent="0.2">
      <c r="B10383" s="32">
        <v>46112</v>
      </c>
      <c r="C10383" t="s">
        <v>109</v>
      </c>
      <c r="D10383" s="13" t="s">
        <v>634</v>
      </c>
      <c r="E10383" t="s">
        <v>535</v>
      </c>
      <c r="F10383" s="11">
        <v>1</v>
      </c>
      <c r="G10383" s="11">
        <v>138655.46</v>
      </c>
    </row>
    <row r="10384" spans="2:7" x14ac:dyDescent="0.2">
      <c r="B10384" s="32">
        <v>46112</v>
      </c>
      <c r="C10384" t="s">
        <v>109</v>
      </c>
      <c r="D10384" s="13" t="s">
        <v>633</v>
      </c>
      <c r="E10384" t="s">
        <v>767</v>
      </c>
      <c r="F10384" s="11">
        <v>1</v>
      </c>
      <c r="G10384" s="11">
        <v>142857.14000000001</v>
      </c>
    </row>
    <row r="10385" spans="2:7" x14ac:dyDescent="0.2">
      <c r="B10385" s="32">
        <v>46112</v>
      </c>
      <c r="C10385" t="s">
        <v>109</v>
      </c>
      <c r="D10385" s="13" t="s">
        <v>633</v>
      </c>
      <c r="E10385" t="s">
        <v>484</v>
      </c>
      <c r="F10385" s="11">
        <v>1</v>
      </c>
      <c r="G10385" s="11">
        <v>116000</v>
      </c>
    </row>
    <row r="10386" spans="2:7" x14ac:dyDescent="0.2">
      <c r="B10386" s="32">
        <v>46112</v>
      </c>
      <c r="C10386" t="s">
        <v>109</v>
      </c>
      <c r="D10386" s="13" t="s">
        <v>633</v>
      </c>
      <c r="E10386" t="s">
        <v>158</v>
      </c>
      <c r="F10386" s="11">
        <v>2</v>
      </c>
      <c r="G10386" s="11">
        <v>92436.98</v>
      </c>
    </row>
    <row r="10387" spans="2:7" x14ac:dyDescent="0.2">
      <c r="B10387" s="32">
        <v>46112</v>
      </c>
      <c r="C10387" t="s">
        <v>109</v>
      </c>
      <c r="D10387" s="13" t="s">
        <v>633</v>
      </c>
      <c r="E10387" t="s">
        <v>300</v>
      </c>
      <c r="F10387" s="11">
        <v>2</v>
      </c>
      <c r="G10387" s="11">
        <v>84033.62</v>
      </c>
    </row>
    <row r="10388" spans="2:7" x14ac:dyDescent="0.2">
      <c r="B10388" s="32">
        <v>46112</v>
      </c>
      <c r="C10388" t="s">
        <v>109</v>
      </c>
      <c r="D10388" s="13" t="s">
        <v>633</v>
      </c>
      <c r="E10388" t="s">
        <v>336</v>
      </c>
      <c r="F10388" s="11">
        <v>1</v>
      </c>
      <c r="G10388" s="11">
        <v>75630.25</v>
      </c>
    </row>
    <row r="10389" spans="2:7" x14ac:dyDescent="0.2">
      <c r="B10389" s="32">
        <v>46112</v>
      </c>
      <c r="C10389" t="s">
        <v>109</v>
      </c>
      <c r="D10389" s="13" t="s">
        <v>633</v>
      </c>
      <c r="E10389" t="s">
        <v>146</v>
      </c>
      <c r="F10389" s="11">
        <v>1</v>
      </c>
      <c r="G10389" s="11">
        <v>50420.17</v>
      </c>
    </row>
    <row r="10390" spans="2:7" x14ac:dyDescent="0.2">
      <c r="B10390" s="32">
        <v>46112</v>
      </c>
      <c r="C10390" t="s">
        <v>109</v>
      </c>
      <c r="D10390" s="13" t="s">
        <v>633</v>
      </c>
      <c r="E10390" t="s">
        <v>241</v>
      </c>
      <c r="F10390" s="11">
        <v>1</v>
      </c>
      <c r="G10390" s="11">
        <v>46218.49</v>
      </c>
    </row>
    <row r="10391" spans="2:7" x14ac:dyDescent="0.2">
      <c r="B10391" s="32">
        <v>46112</v>
      </c>
      <c r="C10391" t="s">
        <v>109</v>
      </c>
      <c r="D10391" s="13" t="s">
        <v>633</v>
      </c>
      <c r="E10391" t="s">
        <v>166</v>
      </c>
      <c r="F10391" s="11">
        <v>1</v>
      </c>
      <c r="G10391" s="11">
        <v>42016.81</v>
      </c>
    </row>
    <row r="10392" spans="2:7" x14ac:dyDescent="0.2">
      <c r="B10392" s="32">
        <v>46112</v>
      </c>
      <c r="C10392" t="s">
        <v>109</v>
      </c>
      <c r="D10392" s="13" t="s">
        <v>633</v>
      </c>
      <c r="E10392" t="s">
        <v>662</v>
      </c>
      <c r="F10392" s="11">
        <v>1</v>
      </c>
      <c r="G10392" s="11">
        <v>42016.81</v>
      </c>
    </row>
    <row r="10393" spans="2:7" x14ac:dyDescent="0.2">
      <c r="B10393" s="32">
        <v>46112</v>
      </c>
      <c r="C10393" t="s">
        <v>109</v>
      </c>
      <c r="D10393" s="13" t="s">
        <v>633</v>
      </c>
      <c r="E10393" t="s">
        <v>204</v>
      </c>
      <c r="F10393" s="11">
        <v>1</v>
      </c>
      <c r="G10393" s="11">
        <v>42016.800000000003</v>
      </c>
    </row>
    <row r="10394" spans="2:7" x14ac:dyDescent="0.2">
      <c r="B10394" s="32">
        <v>46112</v>
      </c>
      <c r="C10394" t="s">
        <v>109</v>
      </c>
      <c r="D10394" s="13" t="s">
        <v>633</v>
      </c>
      <c r="E10394" t="s">
        <v>171</v>
      </c>
      <c r="F10394" s="11">
        <v>1</v>
      </c>
      <c r="G10394" s="11">
        <v>29411.759999999998</v>
      </c>
    </row>
    <row r="10395" spans="2:7" x14ac:dyDescent="0.2">
      <c r="B10395" s="32">
        <v>46112</v>
      </c>
      <c r="C10395" t="s">
        <v>109</v>
      </c>
      <c r="D10395" s="13" t="s">
        <v>633</v>
      </c>
      <c r="E10395" t="s">
        <v>145</v>
      </c>
      <c r="F10395" s="11">
        <v>1</v>
      </c>
      <c r="G10395" s="11">
        <v>29411.759999999998</v>
      </c>
    </row>
    <row r="10396" spans="2:7" x14ac:dyDescent="0.2">
      <c r="B10396" s="32">
        <v>46112</v>
      </c>
      <c r="C10396" t="s">
        <v>109</v>
      </c>
      <c r="D10396" s="13" t="s">
        <v>633</v>
      </c>
      <c r="E10396" t="s">
        <v>144</v>
      </c>
      <c r="F10396" s="11">
        <v>1</v>
      </c>
      <c r="G10396" s="11">
        <v>21008.400000000001</v>
      </c>
    </row>
    <row r="10397" spans="2:7" x14ac:dyDescent="0.2">
      <c r="B10397" s="32">
        <v>46113</v>
      </c>
      <c r="C10397" t="s">
        <v>142</v>
      </c>
      <c r="D10397" s="13" t="s">
        <v>633</v>
      </c>
      <c r="E10397" t="s">
        <v>485</v>
      </c>
      <c r="F10397" s="11">
        <v>1</v>
      </c>
      <c r="G10397" s="11">
        <v>210084.03</v>
      </c>
    </row>
    <row r="10398" spans="2:7" x14ac:dyDescent="0.2">
      <c r="B10398" s="32">
        <v>46113</v>
      </c>
      <c r="C10398" t="s">
        <v>109</v>
      </c>
      <c r="D10398" s="13"/>
      <c r="E10398" t="s">
        <v>328</v>
      </c>
      <c r="F10398" s="11">
        <v>1</v>
      </c>
      <c r="G10398" s="11">
        <v>37815.129999999997</v>
      </c>
    </row>
    <row r="10399" spans="2:7" x14ac:dyDescent="0.2">
      <c r="B10399" s="32">
        <v>46113</v>
      </c>
      <c r="C10399" t="s">
        <v>109</v>
      </c>
      <c r="D10399" s="13" t="s">
        <v>634</v>
      </c>
      <c r="E10399" t="s">
        <v>436</v>
      </c>
      <c r="F10399" s="11">
        <v>1</v>
      </c>
      <c r="G10399" s="11">
        <v>63025.21</v>
      </c>
    </row>
    <row r="10400" spans="2:7" x14ac:dyDescent="0.2">
      <c r="B10400" s="32">
        <v>46113</v>
      </c>
      <c r="C10400" t="s">
        <v>109</v>
      </c>
      <c r="D10400" s="13" t="s">
        <v>633</v>
      </c>
      <c r="E10400" t="s">
        <v>261</v>
      </c>
      <c r="F10400" s="11">
        <v>1</v>
      </c>
      <c r="G10400" s="11">
        <v>210084.03</v>
      </c>
    </row>
    <row r="10401" spans="2:7" x14ac:dyDescent="0.2">
      <c r="B10401" s="32">
        <v>46113</v>
      </c>
      <c r="C10401" t="s">
        <v>109</v>
      </c>
      <c r="D10401" s="13" t="s">
        <v>633</v>
      </c>
      <c r="E10401" t="s">
        <v>301</v>
      </c>
      <c r="F10401" s="11">
        <v>1</v>
      </c>
      <c r="G10401" s="11">
        <v>169000</v>
      </c>
    </row>
    <row r="10402" spans="2:7" x14ac:dyDescent="0.2">
      <c r="B10402" s="32">
        <v>46113</v>
      </c>
      <c r="C10402" t="s">
        <v>109</v>
      </c>
      <c r="D10402" s="13" t="s">
        <v>633</v>
      </c>
      <c r="E10402" t="s">
        <v>464</v>
      </c>
      <c r="F10402" s="11">
        <v>1</v>
      </c>
      <c r="G10402" s="11">
        <v>142857.15</v>
      </c>
    </row>
    <row r="10403" spans="2:7" x14ac:dyDescent="0.2">
      <c r="B10403" s="32">
        <v>46113</v>
      </c>
      <c r="C10403" t="s">
        <v>109</v>
      </c>
      <c r="D10403" s="13" t="s">
        <v>633</v>
      </c>
      <c r="E10403" t="s">
        <v>830</v>
      </c>
      <c r="F10403" s="11">
        <v>1</v>
      </c>
      <c r="G10403" s="11">
        <v>100840.34</v>
      </c>
    </row>
    <row r="10404" spans="2:7" x14ac:dyDescent="0.2">
      <c r="B10404" s="32">
        <v>46113</v>
      </c>
      <c r="C10404" t="s">
        <v>109</v>
      </c>
      <c r="D10404" s="13" t="s">
        <v>633</v>
      </c>
      <c r="E10404" t="s">
        <v>446</v>
      </c>
      <c r="F10404" s="11">
        <v>1</v>
      </c>
      <c r="G10404" s="11">
        <v>75630.25</v>
      </c>
    </row>
    <row r="10405" spans="2:7" x14ac:dyDescent="0.2">
      <c r="B10405" s="32">
        <v>46113</v>
      </c>
      <c r="C10405" t="s">
        <v>109</v>
      </c>
      <c r="D10405" s="13" t="s">
        <v>633</v>
      </c>
      <c r="E10405" t="s">
        <v>653</v>
      </c>
      <c r="F10405" s="11">
        <v>1</v>
      </c>
      <c r="G10405" s="11">
        <v>58823.54</v>
      </c>
    </row>
    <row r="10406" spans="2:7" x14ac:dyDescent="0.2">
      <c r="B10406" s="32">
        <v>46113</v>
      </c>
      <c r="C10406" t="s">
        <v>109</v>
      </c>
      <c r="D10406" s="13" t="s">
        <v>633</v>
      </c>
      <c r="E10406" t="s">
        <v>348</v>
      </c>
      <c r="F10406" s="11">
        <v>1</v>
      </c>
      <c r="G10406" s="11">
        <v>58823.53</v>
      </c>
    </row>
    <row r="10407" spans="2:7" x14ac:dyDescent="0.2">
      <c r="B10407" s="32">
        <v>46113</v>
      </c>
      <c r="C10407" t="s">
        <v>109</v>
      </c>
      <c r="D10407" s="13" t="s">
        <v>633</v>
      </c>
      <c r="E10407" t="s">
        <v>145</v>
      </c>
      <c r="F10407" s="11">
        <v>2</v>
      </c>
      <c r="G10407" s="11">
        <v>58823.53</v>
      </c>
    </row>
    <row r="10408" spans="2:7" x14ac:dyDescent="0.2">
      <c r="B10408" s="32">
        <v>46113</v>
      </c>
      <c r="C10408" t="s">
        <v>109</v>
      </c>
      <c r="D10408" s="13" t="s">
        <v>633</v>
      </c>
      <c r="E10408" t="s">
        <v>303</v>
      </c>
      <c r="F10408" s="11">
        <v>1</v>
      </c>
      <c r="G10408" s="11">
        <v>54621.85</v>
      </c>
    </row>
    <row r="10409" spans="2:7" x14ac:dyDescent="0.2">
      <c r="B10409" s="32">
        <v>46113</v>
      </c>
      <c r="C10409" t="s">
        <v>109</v>
      </c>
      <c r="D10409" s="13" t="s">
        <v>633</v>
      </c>
      <c r="E10409" t="s">
        <v>240</v>
      </c>
      <c r="F10409" s="11">
        <v>1</v>
      </c>
      <c r="G10409" s="11">
        <v>46218.49</v>
      </c>
    </row>
    <row r="10410" spans="2:7" x14ac:dyDescent="0.2">
      <c r="B10410" s="32">
        <v>46113</v>
      </c>
      <c r="C10410" t="s">
        <v>109</v>
      </c>
      <c r="D10410" s="13" t="s">
        <v>633</v>
      </c>
      <c r="E10410" t="s">
        <v>168</v>
      </c>
      <c r="F10410" s="11">
        <v>1</v>
      </c>
      <c r="G10410" s="11">
        <v>46218.49</v>
      </c>
    </row>
    <row r="10411" spans="2:7" x14ac:dyDescent="0.2">
      <c r="B10411" s="32">
        <v>46113</v>
      </c>
      <c r="C10411" t="s">
        <v>109</v>
      </c>
      <c r="D10411" s="13" t="s">
        <v>633</v>
      </c>
      <c r="E10411" t="s">
        <v>203</v>
      </c>
      <c r="F10411" s="11">
        <v>1</v>
      </c>
      <c r="G10411" s="11">
        <v>42016.81</v>
      </c>
    </row>
    <row r="10412" spans="2:7" x14ac:dyDescent="0.2">
      <c r="B10412" s="32">
        <v>46113</v>
      </c>
      <c r="C10412" t="s">
        <v>109</v>
      </c>
      <c r="D10412" s="13" t="s">
        <v>633</v>
      </c>
      <c r="E10412" t="s">
        <v>206</v>
      </c>
      <c r="F10412" s="11">
        <v>1</v>
      </c>
      <c r="G10412" s="11">
        <v>37815.129999999997</v>
      </c>
    </row>
    <row r="10413" spans="2:7" x14ac:dyDescent="0.2">
      <c r="B10413" s="32">
        <v>46113</v>
      </c>
      <c r="C10413" t="s">
        <v>109</v>
      </c>
      <c r="D10413" s="13" t="s">
        <v>633</v>
      </c>
      <c r="E10413" t="s">
        <v>234</v>
      </c>
      <c r="F10413" s="11">
        <v>1</v>
      </c>
      <c r="G10413" s="11">
        <v>37815.129999999997</v>
      </c>
    </row>
    <row r="10414" spans="2:7" x14ac:dyDescent="0.2">
      <c r="B10414" s="32">
        <v>46113</v>
      </c>
      <c r="C10414" t="s">
        <v>109</v>
      </c>
      <c r="D10414" s="13" t="s">
        <v>633</v>
      </c>
      <c r="E10414" t="s">
        <v>171</v>
      </c>
      <c r="F10414" s="11">
        <v>1</v>
      </c>
      <c r="G10414" s="11">
        <v>29411.759999999998</v>
      </c>
    </row>
    <row r="10415" spans="2:7" x14ac:dyDescent="0.2">
      <c r="B10415" s="32">
        <v>46113</v>
      </c>
      <c r="C10415" t="s">
        <v>109</v>
      </c>
      <c r="D10415" s="13" t="s">
        <v>633</v>
      </c>
      <c r="E10415" t="s">
        <v>566</v>
      </c>
      <c r="F10415" s="11">
        <v>1</v>
      </c>
      <c r="G10415" s="11">
        <v>16806.72</v>
      </c>
    </row>
    <row r="10416" spans="2:7" x14ac:dyDescent="0.2">
      <c r="B10416" s="32">
        <v>46113</v>
      </c>
      <c r="C10416" t="s">
        <v>109</v>
      </c>
      <c r="D10416" s="13" t="s">
        <v>633</v>
      </c>
      <c r="E10416" t="s">
        <v>144</v>
      </c>
      <c r="F10416" s="11">
        <v>2</v>
      </c>
      <c r="G10416" s="11">
        <v>16386.55</v>
      </c>
    </row>
    <row r="10417" spans="2:7" x14ac:dyDescent="0.2">
      <c r="B10417" s="32">
        <v>46114</v>
      </c>
      <c r="C10417" t="s">
        <v>142</v>
      </c>
      <c r="D10417" s="13" t="s">
        <v>634</v>
      </c>
      <c r="E10417" t="s">
        <v>228</v>
      </c>
      <c r="F10417" s="11">
        <v>1</v>
      </c>
      <c r="G10417" s="11">
        <v>54621.85</v>
      </c>
    </row>
    <row r="10418" spans="2:7" x14ac:dyDescent="0.2">
      <c r="B10418" s="32">
        <v>46114</v>
      </c>
      <c r="C10418" t="s">
        <v>142</v>
      </c>
      <c r="D10418" s="13" t="s">
        <v>633</v>
      </c>
      <c r="E10418" t="s">
        <v>529</v>
      </c>
      <c r="F10418" s="11">
        <v>1</v>
      </c>
      <c r="G10418" s="11">
        <v>84033.61</v>
      </c>
    </row>
    <row r="10419" spans="2:7" x14ac:dyDescent="0.2">
      <c r="B10419" s="32">
        <v>46114</v>
      </c>
      <c r="C10419" t="s">
        <v>142</v>
      </c>
      <c r="D10419" s="13" t="s">
        <v>633</v>
      </c>
      <c r="E10419" t="s">
        <v>271</v>
      </c>
      <c r="F10419" s="11">
        <v>1</v>
      </c>
      <c r="G10419" s="11">
        <v>63025.21</v>
      </c>
    </row>
    <row r="10420" spans="2:7" x14ac:dyDescent="0.2">
      <c r="B10420" s="32">
        <v>46114</v>
      </c>
      <c r="C10420" t="s">
        <v>142</v>
      </c>
      <c r="D10420" s="13" t="s">
        <v>633</v>
      </c>
      <c r="E10420" t="s">
        <v>469</v>
      </c>
      <c r="F10420" s="11">
        <v>1</v>
      </c>
      <c r="G10420" s="11">
        <v>63025.21</v>
      </c>
    </row>
    <row r="10421" spans="2:7" x14ac:dyDescent="0.2">
      <c r="B10421" s="32">
        <v>46114</v>
      </c>
      <c r="C10421" t="s">
        <v>109</v>
      </c>
      <c r="D10421" s="13" t="s">
        <v>634</v>
      </c>
      <c r="E10421" t="s">
        <v>593</v>
      </c>
      <c r="F10421" s="11">
        <v>1</v>
      </c>
      <c r="G10421" s="11">
        <v>138655.46</v>
      </c>
    </row>
    <row r="10422" spans="2:7" x14ac:dyDescent="0.2">
      <c r="B10422" s="32">
        <v>46114</v>
      </c>
      <c r="C10422" t="s">
        <v>109</v>
      </c>
      <c r="D10422" s="13" t="s">
        <v>634</v>
      </c>
      <c r="E10422" t="s">
        <v>618</v>
      </c>
      <c r="F10422" s="11">
        <v>1</v>
      </c>
      <c r="G10422" s="11">
        <v>113445.38</v>
      </c>
    </row>
    <row r="10423" spans="2:7" x14ac:dyDescent="0.2">
      <c r="B10423" s="32">
        <v>46114</v>
      </c>
      <c r="C10423" t="s">
        <v>109</v>
      </c>
      <c r="D10423" s="13" t="s">
        <v>634</v>
      </c>
      <c r="E10423" t="s">
        <v>250</v>
      </c>
      <c r="F10423" s="11">
        <v>1</v>
      </c>
      <c r="G10423" s="11">
        <v>113445.38</v>
      </c>
    </row>
    <row r="10424" spans="2:7" x14ac:dyDescent="0.2">
      <c r="B10424" s="32">
        <v>46114</v>
      </c>
      <c r="C10424" t="s">
        <v>109</v>
      </c>
      <c r="D10424" s="13" t="s">
        <v>633</v>
      </c>
      <c r="F10424" s="11">
        <v>1</v>
      </c>
      <c r="G10424" s="11">
        <v>126050.42</v>
      </c>
    </row>
    <row r="10425" spans="2:7" x14ac:dyDescent="0.2">
      <c r="B10425" s="32">
        <v>46114</v>
      </c>
      <c r="C10425" t="s">
        <v>109</v>
      </c>
      <c r="D10425" s="13" t="s">
        <v>633</v>
      </c>
      <c r="E10425" t="s">
        <v>475</v>
      </c>
      <c r="F10425" s="11">
        <v>1</v>
      </c>
      <c r="G10425" s="11">
        <v>75630.25</v>
      </c>
    </row>
    <row r="10426" spans="2:7" x14ac:dyDescent="0.2">
      <c r="B10426" s="32">
        <v>46114</v>
      </c>
      <c r="C10426" t="s">
        <v>109</v>
      </c>
      <c r="D10426" s="13" t="s">
        <v>633</v>
      </c>
      <c r="E10426" t="s">
        <v>327</v>
      </c>
      <c r="F10426" s="11">
        <v>2</v>
      </c>
      <c r="G10426" s="11">
        <v>70000</v>
      </c>
    </row>
    <row r="10427" spans="2:7" x14ac:dyDescent="0.2">
      <c r="B10427" s="32">
        <v>46114</v>
      </c>
      <c r="C10427" t="s">
        <v>109</v>
      </c>
      <c r="D10427" s="13" t="s">
        <v>633</v>
      </c>
      <c r="E10427" t="s">
        <v>397</v>
      </c>
      <c r="F10427" s="11">
        <v>1</v>
      </c>
      <c r="G10427" s="11">
        <v>54621.85</v>
      </c>
    </row>
    <row r="10428" spans="2:7" x14ac:dyDescent="0.2">
      <c r="B10428" s="32">
        <v>46114</v>
      </c>
      <c r="C10428" t="s">
        <v>109</v>
      </c>
      <c r="D10428" s="13" t="s">
        <v>633</v>
      </c>
      <c r="E10428" t="s">
        <v>642</v>
      </c>
      <c r="F10428" s="11">
        <v>1</v>
      </c>
      <c r="G10428" s="11">
        <v>49000</v>
      </c>
    </row>
    <row r="10429" spans="2:7" x14ac:dyDescent="0.2">
      <c r="B10429" s="32">
        <v>46114</v>
      </c>
      <c r="C10429" t="s">
        <v>109</v>
      </c>
      <c r="D10429" s="13" t="s">
        <v>633</v>
      </c>
      <c r="E10429" t="s">
        <v>206</v>
      </c>
      <c r="F10429" s="11">
        <v>1</v>
      </c>
      <c r="G10429" s="11">
        <v>37815.129999999997</v>
      </c>
    </row>
    <row r="10430" spans="2:7" x14ac:dyDescent="0.2">
      <c r="B10430" s="32">
        <v>46114</v>
      </c>
      <c r="C10430" t="s">
        <v>109</v>
      </c>
      <c r="D10430" s="13" t="s">
        <v>633</v>
      </c>
      <c r="E10430" t="s">
        <v>187</v>
      </c>
      <c r="F10430" s="11">
        <v>1</v>
      </c>
      <c r="G10430" s="11">
        <v>30000</v>
      </c>
    </row>
    <row r="10431" spans="2:7" x14ac:dyDescent="0.2">
      <c r="B10431" s="32">
        <v>46114</v>
      </c>
      <c r="C10431" t="s">
        <v>109</v>
      </c>
      <c r="D10431" s="13" t="s">
        <v>633</v>
      </c>
      <c r="E10431" t="s">
        <v>144</v>
      </c>
      <c r="F10431" s="11">
        <v>3</v>
      </c>
      <c r="G10431" s="11">
        <v>16806.72</v>
      </c>
    </row>
    <row r="10432" spans="2:7" x14ac:dyDescent="0.2">
      <c r="B10432" s="32">
        <v>46116</v>
      </c>
      <c r="C10432" t="s">
        <v>142</v>
      </c>
      <c r="D10432" s="13" t="s">
        <v>634</v>
      </c>
      <c r="E10432" t="s">
        <v>264</v>
      </c>
      <c r="F10432" s="11">
        <v>1</v>
      </c>
      <c r="G10432" s="11">
        <v>84033.61</v>
      </c>
    </row>
    <row r="10433" spans="2:7" x14ac:dyDescent="0.2">
      <c r="B10433" s="32">
        <v>46116</v>
      </c>
      <c r="C10433" t="s">
        <v>142</v>
      </c>
      <c r="D10433" s="13" t="s">
        <v>634</v>
      </c>
      <c r="E10433" t="s">
        <v>165</v>
      </c>
      <c r="F10433" s="11">
        <v>1</v>
      </c>
      <c r="G10433" s="11">
        <v>63025.21</v>
      </c>
    </row>
    <row r="10434" spans="2:7" x14ac:dyDescent="0.2">
      <c r="B10434" s="32">
        <v>46116</v>
      </c>
      <c r="C10434" t="s">
        <v>142</v>
      </c>
      <c r="D10434" s="13" t="s">
        <v>634</v>
      </c>
      <c r="E10434" t="s">
        <v>540</v>
      </c>
      <c r="F10434" s="11">
        <v>1</v>
      </c>
      <c r="G10434" s="11">
        <v>50420.17</v>
      </c>
    </row>
    <row r="10435" spans="2:7" x14ac:dyDescent="0.2">
      <c r="B10435" s="32">
        <v>46116</v>
      </c>
      <c r="C10435" t="s">
        <v>109</v>
      </c>
      <c r="D10435" s="13" t="s">
        <v>633</v>
      </c>
      <c r="E10435" t="s">
        <v>778</v>
      </c>
      <c r="F10435" s="11">
        <v>1</v>
      </c>
      <c r="G10435" s="11">
        <v>119000</v>
      </c>
    </row>
    <row r="10436" spans="2:7" x14ac:dyDescent="0.2">
      <c r="B10436" s="32">
        <v>46116</v>
      </c>
      <c r="C10436" t="s">
        <v>109</v>
      </c>
      <c r="D10436" s="13" t="s">
        <v>633</v>
      </c>
      <c r="E10436" t="s">
        <v>144</v>
      </c>
      <c r="F10436" s="11">
        <v>2</v>
      </c>
      <c r="G10436" s="11">
        <v>57142.86</v>
      </c>
    </row>
    <row r="10437" spans="2:7" x14ac:dyDescent="0.2">
      <c r="B10437" s="32">
        <v>46116</v>
      </c>
      <c r="C10437" t="s">
        <v>109</v>
      </c>
      <c r="D10437" s="13" t="s">
        <v>633</v>
      </c>
      <c r="E10437" t="s">
        <v>202</v>
      </c>
      <c r="F10437" s="11">
        <v>1</v>
      </c>
      <c r="G10437" s="11">
        <v>46218.49</v>
      </c>
    </row>
    <row r="10438" spans="2:7" x14ac:dyDescent="0.2">
      <c r="B10438" s="32">
        <v>46116</v>
      </c>
      <c r="C10438" t="s">
        <v>109</v>
      </c>
      <c r="D10438" s="13" t="s">
        <v>633</v>
      </c>
      <c r="E10438" t="s">
        <v>218</v>
      </c>
      <c r="F10438" s="11">
        <v>1</v>
      </c>
      <c r="G10438" s="11">
        <v>42016.81</v>
      </c>
    </row>
    <row r="10439" spans="2:7" x14ac:dyDescent="0.2">
      <c r="B10439" s="32">
        <v>46116</v>
      </c>
      <c r="C10439" t="s">
        <v>109</v>
      </c>
      <c r="D10439" s="13" t="s">
        <v>633</v>
      </c>
      <c r="E10439" t="s">
        <v>328</v>
      </c>
      <c r="F10439" s="11">
        <v>1</v>
      </c>
      <c r="G10439" s="11">
        <v>37815.120000000003</v>
      </c>
    </row>
    <row r="10440" spans="2:7" x14ac:dyDescent="0.2">
      <c r="B10440" s="32">
        <v>46116</v>
      </c>
      <c r="C10440" t="s">
        <v>109</v>
      </c>
      <c r="D10440" s="13" t="s">
        <v>633</v>
      </c>
      <c r="E10440" t="s">
        <v>388</v>
      </c>
      <c r="F10440" s="11">
        <v>1</v>
      </c>
      <c r="G10440" s="11">
        <v>12605.05</v>
      </c>
    </row>
    <row r="10441" spans="2:7" x14ac:dyDescent="0.2">
      <c r="B10441" s="32">
        <v>46116</v>
      </c>
      <c r="C10441" t="s">
        <v>109</v>
      </c>
      <c r="D10441" s="13" t="s">
        <v>633</v>
      </c>
      <c r="E10441" t="s">
        <v>784</v>
      </c>
      <c r="F10441" s="11">
        <v>1</v>
      </c>
      <c r="G10441" s="11">
        <v>0</v>
      </c>
    </row>
    <row r="10442" spans="2:7" x14ac:dyDescent="0.2">
      <c r="B10442" s="32">
        <v>46117</v>
      </c>
      <c r="C10442" t="s">
        <v>142</v>
      </c>
      <c r="D10442" s="13" t="s">
        <v>633</v>
      </c>
      <c r="E10442" t="s">
        <v>231</v>
      </c>
      <c r="F10442" s="11">
        <v>1</v>
      </c>
      <c r="G10442" s="11">
        <v>277310.92</v>
      </c>
    </row>
    <row r="10443" spans="2:7" x14ac:dyDescent="0.2">
      <c r="B10443" s="32">
        <v>46117</v>
      </c>
      <c r="C10443" t="s">
        <v>142</v>
      </c>
      <c r="D10443" s="13" t="s">
        <v>633</v>
      </c>
      <c r="E10443" t="s">
        <v>420</v>
      </c>
      <c r="F10443" s="11">
        <v>1</v>
      </c>
      <c r="G10443" s="11">
        <v>113445.38</v>
      </c>
    </row>
    <row r="10444" spans="2:7" x14ac:dyDescent="0.2">
      <c r="B10444" s="32">
        <v>46117</v>
      </c>
      <c r="C10444" t="s">
        <v>142</v>
      </c>
      <c r="D10444" s="13" t="s">
        <v>633</v>
      </c>
      <c r="E10444" t="s">
        <v>807</v>
      </c>
      <c r="F10444" s="11">
        <v>1</v>
      </c>
      <c r="G10444" s="11">
        <v>63025.21</v>
      </c>
    </row>
    <row r="10445" spans="2:7" x14ac:dyDescent="0.2">
      <c r="B10445" s="32">
        <v>46117</v>
      </c>
      <c r="C10445" t="s">
        <v>142</v>
      </c>
      <c r="D10445" s="13" t="s">
        <v>633</v>
      </c>
      <c r="E10445" t="s">
        <v>820</v>
      </c>
      <c r="F10445" s="11">
        <v>1</v>
      </c>
      <c r="G10445" s="11">
        <v>63025.2</v>
      </c>
    </row>
    <row r="10446" spans="2:7" x14ac:dyDescent="0.2">
      <c r="B10446" s="32">
        <v>46117</v>
      </c>
      <c r="C10446" t="s">
        <v>142</v>
      </c>
      <c r="D10446" s="13" t="s">
        <v>633</v>
      </c>
      <c r="E10446" t="s">
        <v>234</v>
      </c>
      <c r="F10446" s="11">
        <v>1</v>
      </c>
      <c r="G10446" s="11">
        <v>37815.129999999997</v>
      </c>
    </row>
    <row r="10447" spans="2:7" x14ac:dyDescent="0.2">
      <c r="B10447" s="32">
        <v>46117</v>
      </c>
      <c r="C10447" t="s">
        <v>142</v>
      </c>
      <c r="D10447" s="13" t="s">
        <v>633</v>
      </c>
      <c r="E10447" t="s">
        <v>148</v>
      </c>
      <c r="F10447" s="11">
        <v>1</v>
      </c>
      <c r="G10447" s="11">
        <v>37815.129999999997</v>
      </c>
    </row>
    <row r="10448" spans="2:7" x14ac:dyDescent="0.2">
      <c r="B10448" s="32">
        <v>46118</v>
      </c>
      <c r="C10448" t="s">
        <v>142</v>
      </c>
      <c r="D10448" s="13" t="s">
        <v>634</v>
      </c>
      <c r="E10448" t="s">
        <v>167</v>
      </c>
      <c r="F10448" s="11">
        <v>1</v>
      </c>
      <c r="G10448" s="11">
        <v>113445.38</v>
      </c>
    </row>
    <row r="10449" spans="2:7" x14ac:dyDescent="0.2">
      <c r="B10449" s="32">
        <v>46118</v>
      </c>
      <c r="C10449" t="s">
        <v>142</v>
      </c>
      <c r="D10449" s="13" t="s">
        <v>634</v>
      </c>
      <c r="E10449" t="s">
        <v>233</v>
      </c>
      <c r="F10449" s="11">
        <v>1</v>
      </c>
      <c r="G10449" s="11">
        <v>63025.21</v>
      </c>
    </row>
    <row r="10450" spans="2:7" x14ac:dyDescent="0.2">
      <c r="B10450" s="32">
        <v>46118</v>
      </c>
      <c r="C10450" t="s">
        <v>142</v>
      </c>
      <c r="D10450" s="13" t="s">
        <v>634</v>
      </c>
      <c r="E10450" t="s">
        <v>218</v>
      </c>
      <c r="F10450" s="11">
        <v>1</v>
      </c>
      <c r="G10450" s="11">
        <v>42016.81</v>
      </c>
    </row>
    <row r="10451" spans="2:7" x14ac:dyDescent="0.2">
      <c r="B10451" s="32">
        <v>46118</v>
      </c>
      <c r="C10451" t="s">
        <v>142</v>
      </c>
      <c r="D10451" s="13" t="s">
        <v>634</v>
      </c>
      <c r="E10451" t="s">
        <v>629</v>
      </c>
      <c r="F10451" s="11">
        <v>1</v>
      </c>
      <c r="G10451" s="11">
        <v>0</v>
      </c>
    </row>
    <row r="10452" spans="2:7" x14ac:dyDescent="0.2">
      <c r="B10452" s="32">
        <v>46118</v>
      </c>
      <c r="C10452" t="s">
        <v>142</v>
      </c>
      <c r="D10452" s="13" t="s">
        <v>633</v>
      </c>
      <c r="E10452" t="s">
        <v>239</v>
      </c>
      <c r="F10452" s="11">
        <v>1</v>
      </c>
      <c r="G10452" s="11">
        <v>50420.17</v>
      </c>
    </row>
    <row r="10453" spans="2:7" x14ac:dyDescent="0.2">
      <c r="B10453" s="32">
        <v>46118</v>
      </c>
      <c r="C10453" t="s">
        <v>142</v>
      </c>
      <c r="D10453" s="13" t="s">
        <v>633</v>
      </c>
      <c r="E10453" t="s">
        <v>604</v>
      </c>
      <c r="F10453" s="11">
        <v>1</v>
      </c>
      <c r="G10453" s="11">
        <v>50420.17</v>
      </c>
    </row>
    <row r="10454" spans="2:7" x14ac:dyDescent="0.2">
      <c r="B10454" s="32">
        <v>46118</v>
      </c>
      <c r="C10454" t="s">
        <v>109</v>
      </c>
      <c r="D10454" s="13" t="s">
        <v>634</v>
      </c>
      <c r="E10454" t="s">
        <v>144</v>
      </c>
      <c r="F10454" s="11">
        <v>2</v>
      </c>
      <c r="G10454" s="11">
        <v>8403.36</v>
      </c>
    </row>
    <row r="10455" spans="2:7" x14ac:dyDescent="0.2">
      <c r="B10455" s="32">
        <v>46118</v>
      </c>
      <c r="C10455" t="s">
        <v>109</v>
      </c>
      <c r="D10455" s="13" t="s">
        <v>633</v>
      </c>
      <c r="F10455" s="11">
        <v>3</v>
      </c>
      <c r="G10455" s="11">
        <v>252100.84</v>
      </c>
    </row>
    <row r="10456" spans="2:7" x14ac:dyDescent="0.2">
      <c r="B10456" s="32">
        <v>46118</v>
      </c>
      <c r="C10456" t="s">
        <v>109</v>
      </c>
      <c r="D10456" s="13" t="s">
        <v>633</v>
      </c>
      <c r="E10456" t="s">
        <v>591</v>
      </c>
      <c r="F10456" s="11">
        <v>1</v>
      </c>
      <c r="G10456" s="11">
        <v>239495.8</v>
      </c>
    </row>
    <row r="10457" spans="2:7" x14ac:dyDescent="0.2">
      <c r="B10457" s="32">
        <v>46118</v>
      </c>
      <c r="C10457" t="s">
        <v>109</v>
      </c>
      <c r="D10457" s="13" t="s">
        <v>633</v>
      </c>
      <c r="E10457" t="s">
        <v>790</v>
      </c>
      <c r="F10457" s="11">
        <v>2</v>
      </c>
      <c r="G10457" s="11">
        <v>100840.34</v>
      </c>
    </row>
    <row r="10458" spans="2:7" x14ac:dyDescent="0.2">
      <c r="B10458" s="32">
        <v>46118</v>
      </c>
      <c r="C10458" t="s">
        <v>109</v>
      </c>
      <c r="D10458" s="13" t="s">
        <v>633</v>
      </c>
      <c r="E10458" t="s">
        <v>647</v>
      </c>
      <c r="F10458" s="11">
        <v>1</v>
      </c>
      <c r="G10458" s="11">
        <v>84033.61</v>
      </c>
    </row>
    <row r="10459" spans="2:7" x14ac:dyDescent="0.2">
      <c r="B10459" s="32">
        <v>46118</v>
      </c>
      <c r="C10459" t="s">
        <v>109</v>
      </c>
      <c r="D10459" s="13" t="s">
        <v>633</v>
      </c>
      <c r="E10459" t="s">
        <v>234</v>
      </c>
      <c r="F10459" s="11">
        <v>2</v>
      </c>
      <c r="G10459" s="11">
        <v>75630.259999999995</v>
      </c>
    </row>
    <row r="10460" spans="2:7" x14ac:dyDescent="0.2">
      <c r="B10460" s="32">
        <v>46118</v>
      </c>
      <c r="C10460" t="s">
        <v>109</v>
      </c>
      <c r="D10460" s="13" t="s">
        <v>633</v>
      </c>
      <c r="E10460" t="s">
        <v>149</v>
      </c>
      <c r="F10460" s="11">
        <v>1</v>
      </c>
      <c r="G10460" s="11">
        <v>75630.25</v>
      </c>
    </row>
    <row r="10461" spans="2:7" x14ac:dyDescent="0.2">
      <c r="B10461" s="32">
        <v>46118</v>
      </c>
      <c r="C10461" t="s">
        <v>109</v>
      </c>
      <c r="D10461" s="13" t="s">
        <v>633</v>
      </c>
      <c r="E10461" t="s">
        <v>367</v>
      </c>
      <c r="F10461" s="11">
        <v>3</v>
      </c>
      <c r="G10461" s="11">
        <v>50420.18</v>
      </c>
    </row>
    <row r="10462" spans="2:7" x14ac:dyDescent="0.2">
      <c r="B10462" s="32">
        <v>46118</v>
      </c>
      <c r="C10462" t="s">
        <v>109</v>
      </c>
      <c r="D10462" s="13" t="s">
        <v>633</v>
      </c>
      <c r="E10462" t="s">
        <v>170</v>
      </c>
      <c r="F10462" s="11">
        <v>1</v>
      </c>
      <c r="G10462" s="11">
        <v>50420.17</v>
      </c>
    </row>
    <row r="10463" spans="2:7" x14ac:dyDescent="0.2">
      <c r="B10463" s="32">
        <v>46118</v>
      </c>
      <c r="C10463" t="s">
        <v>109</v>
      </c>
      <c r="D10463" s="13" t="s">
        <v>633</v>
      </c>
      <c r="E10463" t="s">
        <v>642</v>
      </c>
      <c r="F10463" s="11">
        <v>1</v>
      </c>
      <c r="G10463" s="11">
        <v>49000</v>
      </c>
    </row>
    <row r="10464" spans="2:7" x14ac:dyDescent="0.2">
      <c r="B10464" s="32">
        <v>46118</v>
      </c>
      <c r="C10464" t="s">
        <v>109</v>
      </c>
      <c r="D10464" s="13" t="s">
        <v>633</v>
      </c>
      <c r="E10464" t="s">
        <v>153</v>
      </c>
      <c r="F10464" s="11">
        <v>1</v>
      </c>
      <c r="G10464" s="11">
        <v>46218.49</v>
      </c>
    </row>
    <row r="10465" spans="2:7" x14ac:dyDescent="0.2">
      <c r="B10465" s="32">
        <v>46118</v>
      </c>
      <c r="C10465" t="s">
        <v>109</v>
      </c>
      <c r="D10465" s="13" t="s">
        <v>633</v>
      </c>
      <c r="E10465" t="s">
        <v>248</v>
      </c>
      <c r="F10465" s="11">
        <v>1</v>
      </c>
      <c r="G10465" s="11">
        <v>37815.129999999997</v>
      </c>
    </row>
    <row r="10466" spans="2:7" x14ac:dyDescent="0.2">
      <c r="B10466" s="32">
        <v>46118</v>
      </c>
      <c r="C10466" t="s">
        <v>109</v>
      </c>
      <c r="D10466" s="13" t="s">
        <v>633</v>
      </c>
      <c r="E10466" t="s">
        <v>148</v>
      </c>
      <c r="F10466" s="11">
        <v>1</v>
      </c>
      <c r="G10466" s="11">
        <v>37815.129999999997</v>
      </c>
    </row>
    <row r="10467" spans="2:7" x14ac:dyDescent="0.2">
      <c r="B10467" s="32">
        <v>46118</v>
      </c>
      <c r="C10467" t="s">
        <v>109</v>
      </c>
      <c r="D10467" s="13" t="s">
        <v>633</v>
      </c>
      <c r="E10467" t="s">
        <v>466</v>
      </c>
      <c r="F10467" s="11">
        <v>1</v>
      </c>
      <c r="G10467" s="11">
        <v>37815.120000000003</v>
      </c>
    </row>
    <row r="10468" spans="2:7" x14ac:dyDescent="0.2">
      <c r="B10468" s="32">
        <v>46118</v>
      </c>
      <c r="C10468" t="s">
        <v>109</v>
      </c>
      <c r="D10468" s="13" t="s">
        <v>633</v>
      </c>
      <c r="E10468" t="s">
        <v>145</v>
      </c>
      <c r="F10468" s="11">
        <v>1</v>
      </c>
      <c r="G10468" s="11">
        <v>29411.759999999998</v>
      </c>
    </row>
    <row r="10469" spans="2:7" x14ac:dyDescent="0.2">
      <c r="B10469" s="32">
        <v>46119</v>
      </c>
      <c r="C10469" t="s">
        <v>108</v>
      </c>
      <c r="D10469" s="13" t="s">
        <v>633</v>
      </c>
      <c r="E10469" t="s">
        <v>811</v>
      </c>
      <c r="F10469" s="11">
        <v>1</v>
      </c>
      <c r="G10469" s="11">
        <v>294117.65000000002</v>
      </c>
    </row>
    <row r="10470" spans="2:7" x14ac:dyDescent="0.2">
      <c r="B10470" s="32">
        <v>46119</v>
      </c>
      <c r="C10470" t="s">
        <v>142</v>
      </c>
      <c r="D10470" s="13" t="s">
        <v>634</v>
      </c>
      <c r="E10470" t="s">
        <v>149</v>
      </c>
      <c r="F10470" s="11">
        <v>1</v>
      </c>
      <c r="G10470" s="11">
        <v>75630.25</v>
      </c>
    </row>
    <row r="10471" spans="2:7" x14ac:dyDescent="0.2">
      <c r="B10471" s="32">
        <v>46119</v>
      </c>
      <c r="C10471" t="s">
        <v>142</v>
      </c>
      <c r="D10471" s="13" t="s">
        <v>634</v>
      </c>
      <c r="E10471" t="s">
        <v>475</v>
      </c>
      <c r="F10471" s="11">
        <v>1</v>
      </c>
      <c r="G10471" s="11">
        <v>75630.25</v>
      </c>
    </row>
    <row r="10472" spans="2:7" x14ac:dyDescent="0.2">
      <c r="B10472" s="32">
        <v>46119</v>
      </c>
      <c r="C10472" t="s">
        <v>142</v>
      </c>
      <c r="D10472" s="13" t="s">
        <v>634</v>
      </c>
      <c r="E10472" t="s">
        <v>205</v>
      </c>
      <c r="F10472" s="11">
        <v>1</v>
      </c>
      <c r="G10472" s="11">
        <v>63025.21</v>
      </c>
    </row>
    <row r="10473" spans="2:7" x14ac:dyDescent="0.2">
      <c r="B10473" s="32">
        <v>46119</v>
      </c>
      <c r="C10473" t="s">
        <v>142</v>
      </c>
      <c r="D10473" s="13" t="s">
        <v>634</v>
      </c>
      <c r="E10473" t="s">
        <v>145</v>
      </c>
      <c r="F10473" s="11">
        <v>1</v>
      </c>
      <c r="G10473" s="11">
        <v>29411.77</v>
      </c>
    </row>
    <row r="10474" spans="2:7" x14ac:dyDescent="0.2">
      <c r="B10474" s="32">
        <v>46119</v>
      </c>
      <c r="C10474" t="s">
        <v>142</v>
      </c>
      <c r="D10474" s="13" t="s">
        <v>633</v>
      </c>
      <c r="E10474" t="s">
        <v>365</v>
      </c>
      <c r="F10474" s="11">
        <v>1</v>
      </c>
      <c r="G10474" s="11">
        <v>226890.76</v>
      </c>
    </row>
    <row r="10475" spans="2:7" x14ac:dyDescent="0.2">
      <c r="B10475" s="32">
        <v>46119</v>
      </c>
      <c r="C10475" t="s">
        <v>142</v>
      </c>
      <c r="D10475" s="13" t="s">
        <v>633</v>
      </c>
      <c r="E10475" t="s">
        <v>701</v>
      </c>
      <c r="F10475" s="11">
        <v>1</v>
      </c>
      <c r="G10475" s="11">
        <v>138655.46</v>
      </c>
    </row>
    <row r="10476" spans="2:7" x14ac:dyDescent="0.2">
      <c r="B10476" s="32">
        <v>46119</v>
      </c>
      <c r="C10476" t="s">
        <v>142</v>
      </c>
      <c r="D10476" s="13" t="s">
        <v>633</v>
      </c>
      <c r="E10476" t="s">
        <v>827</v>
      </c>
      <c r="F10476" s="11">
        <v>1</v>
      </c>
      <c r="G10476" s="11">
        <v>67226.89</v>
      </c>
    </row>
    <row r="10477" spans="2:7" x14ac:dyDescent="0.2">
      <c r="B10477" s="32">
        <v>46119</v>
      </c>
      <c r="C10477" t="s">
        <v>142</v>
      </c>
      <c r="D10477" s="13" t="s">
        <v>633</v>
      </c>
      <c r="E10477" t="s">
        <v>835</v>
      </c>
      <c r="F10477" s="11">
        <v>1</v>
      </c>
      <c r="G10477" s="11">
        <v>63025.21</v>
      </c>
    </row>
    <row r="10478" spans="2:7" x14ac:dyDescent="0.2">
      <c r="B10478" s="32">
        <v>46119</v>
      </c>
      <c r="C10478" t="s">
        <v>109</v>
      </c>
      <c r="D10478" s="13" t="s">
        <v>634</v>
      </c>
      <c r="F10478" s="11">
        <v>1</v>
      </c>
      <c r="G10478" s="11">
        <v>126050.42</v>
      </c>
    </row>
    <row r="10479" spans="2:7" x14ac:dyDescent="0.2">
      <c r="B10479" s="32">
        <v>46119</v>
      </c>
      <c r="C10479" t="s">
        <v>109</v>
      </c>
      <c r="D10479" s="13" t="s">
        <v>634</v>
      </c>
      <c r="E10479" t="s">
        <v>212</v>
      </c>
      <c r="F10479" s="11">
        <v>2</v>
      </c>
      <c r="G10479" s="11">
        <v>117647.06</v>
      </c>
    </row>
    <row r="10480" spans="2:7" x14ac:dyDescent="0.2">
      <c r="B10480" s="32">
        <v>46119</v>
      </c>
      <c r="C10480" t="s">
        <v>109</v>
      </c>
      <c r="D10480" s="13" t="s">
        <v>634</v>
      </c>
      <c r="E10480" t="s">
        <v>145</v>
      </c>
      <c r="F10480" s="11">
        <v>4</v>
      </c>
      <c r="G10480" s="11">
        <v>117647.06</v>
      </c>
    </row>
    <row r="10481" spans="2:7" x14ac:dyDescent="0.2">
      <c r="B10481" s="32">
        <v>46119</v>
      </c>
      <c r="C10481" t="s">
        <v>109</v>
      </c>
      <c r="D10481" s="13" t="s">
        <v>634</v>
      </c>
      <c r="E10481" t="s">
        <v>578</v>
      </c>
      <c r="F10481" s="11">
        <v>1</v>
      </c>
      <c r="G10481" s="11">
        <v>117647.06</v>
      </c>
    </row>
    <row r="10482" spans="2:7" x14ac:dyDescent="0.2">
      <c r="B10482" s="32">
        <v>46119</v>
      </c>
      <c r="C10482" t="s">
        <v>109</v>
      </c>
      <c r="D10482" s="13" t="s">
        <v>634</v>
      </c>
      <c r="E10482" t="s">
        <v>574</v>
      </c>
      <c r="F10482" s="11">
        <v>1</v>
      </c>
      <c r="G10482" s="11">
        <v>92436.97</v>
      </c>
    </row>
    <row r="10483" spans="2:7" x14ac:dyDescent="0.2">
      <c r="B10483" s="32">
        <v>46119</v>
      </c>
      <c r="C10483" t="s">
        <v>109</v>
      </c>
      <c r="D10483" s="13" t="s">
        <v>634</v>
      </c>
      <c r="E10483" t="s">
        <v>218</v>
      </c>
      <c r="F10483" s="11">
        <v>2</v>
      </c>
      <c r="G10483" s="11">
        <v>84033.61</v>
      </c>
    </row>
    <row r="10484" spans="2:7" x14ac:dyDescent="0.2">
      <c r="B10484" s="32">
        <v>46119</v>
      </c>
      <c r="C10484" t="s">
        <v>109</v>
      </c>
      <c r="D10484" s="13" t="s">
        <v>634</v>
      </c>
      <c r="E10484" t="s">
        <v>323</v>
      </c>
      <c r="F10484" s="11">
        <v>1</v>
      </c>
      <c r="G10484" s="11">
        <v>83193.279999999999</v>
      </c>
    </row>
    <row r="10485" spans="2:7" x14ac:dyDescent="0.2">
      <c r="B10485" s="32">
        <v>46119</v>
      </c>
      <c r="C10485" t="s">
        <v>109</v>
      </c>
      <c r="D10485" s="13" t="s">
        <v>634</v>
      </c>
      <c r="E10485" t="s">
        <v>205</v>
      </c>
      <c r="F10485" s="11">
        <v>1</v>
      </c>
      <c r="G10485" s="11">
        <v>63025.21</v>
      </c>
    </row>
    <row r="10486" spans="2:7" x14ac:dyDescent="0.2">
      <c r="B10486" s="32">
        <v>46119</v>
      </c>
      <c r="C10486" t="s">
        <v>109</v>
      </c>
      <c r="D10486" s="13" t="s">
        <v>634</v>
      </c>
      <c r="E10486" t="s">
        <v>586</v>
      </c>
      <c r="F10486" s="11">
        <v>1</v>
      </c>
      <c r="G10486" s="11">
        <v>58823.53</v>
      </c>
    </row>
    <row r="10487" spans="2:7" x14ac:dyDescent="0.2">
      <c r="B10487" s="32">
        <v>46119</v>
      </c>
      <c r="C10487" t="s">
        <v>109</v>
      </c>
      <c r="D10487" s="13" t="s">
        <v>634</v>
      </c>
      <c r="E10487" t="s">
        <v>506</v>
      </c>
      <c r="F10487" s="11">
        <v>1</v>
      </c>
      <c r="G10487" s="11">
        <v>54621.85</v>
      </c>
    </row>
    <row r="10488" spans="2:7" x14ac:dyDescent="0.2">
      <c r="B10488" s="32">
        <v>46119</v>
      </c>
      <c r="C10488" t="s">
        <v>109</v>
      </c>
      <c r="D10488" s="13" t="s">
        <v>634</v>
      </c>
      <c r="E10488" t="s">
        <v>203</v>
      </c>
      <c r="F10488" s="11">
        <v>1</v>
      </c>
      <c r="G10488" s="11">
        <v>42016.81</v>
      </c>
    </row>
    <row r="10489" spans="2:7" x14ac:dyDescent="0.2">
      <c r="B10489" s="32">
        <v>46119</v>
      </c>
      <c r="C10489" t="s">
        <v>109</v>
      </c>
      <c r="D10489" s="13" t="s">
        <v>634</v>
      </c>
      <c r="E10489" t="s">
        <v>206</v>
      </c>
      <c r="F10489" s="11">
        <v>1</v>
      </c>
      <c r="G10489" s="11">
        <v>37815.129999999997</v>
      </c>
    </row>
    <row r="10490" spans="2:7" x14ac:dyDescent="0.2">
      <c r="B10490" s="32">
        <v>46119</v>
      </c>
      <c r="C10490" t="s">
        <v>109</v>
      </c>
      <c r="D10490" s="13" t="s">
        <v>633</v>
      </c>
      <c r="E10490" t="s">
        <v>832</v>
      </c>
      <c r="F10490" s="11">
        <v>1</v>
      </c>
      <c r="G10490" s="11">
        <v>277310.92</v>
      </c>
    </row>
    <row r="10491" spans="2:7" x14ac:dyDescent="0.2">
      <c r="B10491" s="32">
        <v>46119</v>
      </c>
      <c r="C10491" t="s">
        <v>109</v>
      </c>
      <c r="D10491" s="13" t="s">
        <v>633</v>
      </c>
      <c r="E10491" t="s">
        <v>164</v>
      </c>
      <c r="F10491" s="11">
        <v>1</v>
      </c>
      <c r="G10491" s="11">
        <v>75630.25</v>
      </c>
    </row>
    <row r="10492" spans="2:7" x14ac:dyDescent="0.2">
      <c r="B10492" s="32">
        <v>46119</v>
      </c>
      <c r="C10492" t="s">
        <v>109</v>
      </c>
      <c r="D10492" s="13" t="s">
        <v>633</v>
      </c>
      <c r="E10492" t="s">
        <v>144</v>
      </c>
      <c r="F10492" s="11">
        <v>4</v>
      </c>
      <c r="G10492" s="11">
        <v>40336.129999999997</v>
      </c>
    </row>
    <row r="10493" spans="2:7" x14ac:dyDescent="0.2">
      <c r="B10493" s="32">
        <v>46119</v>
      </c>
      <c r="C10493" t="s">
        <v>109</v>
      </c>
      <c r="D10493" s="13" t="s">
        <v>633</v>
      </c>
      <c r="E10493" t="s">
        <v>293</v>
      </c>
      <c r="F10493" s="11">
        <v>1</v>
      </c>
      <c r="G10493" s="11">
        <v>37815.120000000003</v>
      </c>
    </row>
    <row r="10494" spans="2:7" x14ac:dyDescent="0.2">
      <c r="B10494" s="32">
        <v>46119</v>
      </c>
      <c r="C10494" t="s">
        <v>109</v>
      </c>
      <c r="D10494" s="13" t="s">
        <v>633</v>
      </c>
      <c r="E10494" t="s">
        <v>566</v>
      </c>
      <c r="F10494" s="11">
        <v>2</v>
      </c>
      <c r="G10494" s="11">
        <v>33613.449999999997</v>
      </c>
    </row>
    <row r="10495" spans="2:7" x14ac:dyDescent="0.2">
      <c r="B10495" s="32">
        <v>46119</v>
      </c>
      <c r="C10495" t="s">
        <v>109</v>
      </c>
      <c r="D10495" s="13" t="s">
        <v>633</v>
      </c>
      <c r="E10495" t="s">
        <v>145</v>
      </c>
      <c r="F10495" s="11">
        <v>1</v>
      </c>
      <c r="G10495" s="11">
        <v>29411.77</v>
      </c>
    </row>
    <row r="10496" spans="2:7" x14ac:dyDescent="0.2">
      <c r="B10496" s="32">
        <v>46119</v>
      </c>
      <c r="C10496" t="s">
        <v>109</v>
      </c>
      <c r="D10496" s="13" t="s">
        <v>633</v>
      </c>
      <c r="E10496" t="s">
        <v>469</v>
      </c>
      <c r="F10496" s="11">
        <v>1</v>
      </c>
      <c r="G10496" s="11">
        <v>0</v>
      </c>
    </row>
    <row r="10497" spans="2:7" x14ac:dyDescent="0.2">
      <c r="B10497" s="32">
        <v>46120</v>
      </c>
      <c r="C10497" t="s">
        <v>110</v>
      </c>
      <c r="D10497" s="13" t="s">
        <v>634</v>
      </c>
      <c r="E10497" t="s">
        <v>166</v>
      </c>
      <c r="F10497" s="11">
        <v>1</v>
      </c>
      <c r="G10497" s="11">
        <v>42016.81</v>
      </c>
    </row>
    <row r="10498" spans="2:7" x14ac:dyDescent="0.2">
      <c r="B10498" s="32">
        <v>46120</v>
      </c>
      <c r="C10498" t="s">
        <v>110</v>
      </c>
      <c r="D10498" s="13" t="s">
        <v>633</v>
      </c>
      <c r="E10498" t="s">
        <v>172</v>
      </c>
      <c r="F10498" s="11">
        <v>1</v>
      </c>
      <c r="G10498" s="11">
        <v>46218.49</v>
      </c>
    </row>
    <row r="10499" spans="2:7" x14ac:dyDescent="0.2">
      <c r="B10499" s="32">
        <v>46120</v>
      </c>
      <c r="C10499" t="s">
        <v>109</v>
      </c>
      <c r="D10499" s="13" t="s">
        <v>634</v>
      </c>
      <c r="E10499" t="s">
        <v>585</v>
      </c>
      <c r="F10499" s="11">
        <v>1</v>
      </c>
      <c r="G10499" s="11">
        <v>163865.54999999999</v>
      </c>
    </row>
    <row r="10500" spans="2:7" x14ac:dyDescent="0.2">
      <c r="B10500" s="32">
        <v>46120</v>
      </c>
      <c r="C10500" t="s">
        <v>109</v>
      </c>
      <c r="D10500" s="13" t="s">
        <v>634</v>
      </c>
      <c r="E10500" t="s">
        <v>627</v>
      </c>
      <c r="F10500" s="11">
        <v>1</v>
      </c>
      <c r="G10500" s="11">
        <v>138655.46</v>
      </c>
    </row>
    <row r="10501" spans="2:7" x14ac:dyDescent="0.2">
      <c r="B10501" s="32">
        <v>46120</v>
      </c>
      <c r="C10501" t="s">
        <v>109</v>
      </c>
      <c r="D10501" s="13" t="s">
        <v>634</v>
      </c>
      <c r="E10501" t="s">
        <v>495</v>
      </c>
      <c r="F10501" s="11">
        <v>1</v>
      </c>
      <c r="G10501" s="11">
        <v>58823.53</v>
      </c>
    </row>
    <row r="10502" spans="2:7" x14ac:dyDescent="0.2">
      <c r="B10502" s="32">
        <v>46120</v>
      </c>
      <c r="C10502" t="s">
        <v>109</v>
      </c>
      <c r="D10502" s="13" t="s">
        <v>633</v>
      </c>
      <c r="E10502" t="s">
        <v>808</v>
      </c>
      <c r="F10502" s="11">
        <v>1</v>
      </c>
      <c r="G10502" s="11">
        <v>268907.56</v>
      </c>
    </row>
    <row r="10503" spans="2:7" x14ac:dyDescent="0.2">
      <c r="B10503" s="32">
        <v>46120</v>
      </c>
      <c r="C10503" t="s">
        <v>109</v>
      </c>
      <c r="D10503" s="13" t="s">
        <v>633</v>
      </c>
      <c r="E10503" t="s">
        <v>446</v>
      </c>
      <c r="F10503" s="11">
        <v>3</v>
      </c>
      <c r="G10503" s="11">
        <v>226890.75</v>
      </c>
    </row>
    <row r="10504" spans="2:7" x14ac:dyDescent="0.2">
      <c r="B10504" s="32">
        <v>46120</v>
      </c>
      <c r="C10504" t="s">
        <v>109</v>
      </c>
      <c r="D10504" s="13" t="s">
        <v>633</v>
      </c>
      <c r="E10504" t="s">
        <v>364</v>
      </c>
      <c r="F10504" s="11">
        <v>1</v>
      </c>
      <c r="G10504" s="11">
        <v>113445.38</v>
      </c>
    </row>
    <row r="10505" spans="2:7" x14ac:dyDescent="0.2">
      <c r="B10505" s="32">
        <v>46120</v>
      </c>
      <c r="C10505" t="s">
        <v>109</v>
      </c>
      <c r="D10505" s="13" t="s">
        <v>633</v>
      </c>
      <c r="E10505" t="s">
        <v>145</v>
      </c>
      <c r="F10505" s="11">
        <v>3</v>
      </c>
      <c r="G10505" s="11">
        <v>88235.28</v>
      </c>
    </row>
    <row r="10506" spans="2:7" x14ac:dyDescent="0.2">
      <c r="B10506" s="32">
        <v>46120</v>
      </c>
      <c r="C10506" t="s">
        <v>109</v>
      </c>
      <c r="D10506" s="13" t="s">
        <v>633</v>
      </c>
      <c r="E10506" t="s">
        <v>199</v>
      </c>
      <c r="F10506" s="11">
        <v>1</v>
      </c>
      <c r="G10506" s="11">
        <v>84033.61</v>
      </c>
    </row>
    <row r="10507" spans="2:7" x14ac:dyDescent="0.2">
      <c r="B10507" s="32">
        <v>46120</v>
      </c>
      <c r="C10507" t="s">
        <v>109</v>
      </c>
      <c r="D10507" s="13" t="s">
        <v>633</v>
      </c>
      <c r="E10507" t="s">
        <v>352</v>
      </c>
      <c r="F10507" s="11">
        <v>1</v>
      </c>
      <c r="G10507" s="11">
        <v>75630.25</v>
      </c>
    </row>
    <row r="10508" spans="2:7" x14ac:dyDescent="0.2">
      <c r="B10508" s="32">
        <v>46120</v>
      </c>
      <c r="C10508" t="s">
        <v>109</v>
      </c>
      <c r="D10508" s="13" t="s">
        <v>633</v>
      </c>
      <c r="E10508" t="s">
        <v>491</v>
      </c>
      <c r="F10508" s="11">
        <v>1</v>
      </c>
      <c r="G10508" s="11">
        <v>54621.85</v>
      </c>
    </row>
    <row r="10509" spans="2:7" x14ac:dyDescent="0.2">
      <c r="B10509" s="32">
        <v>46120</v>
      </c>
      <c r="C10509" t="s">
        <v>109</v>
      </c>
      <c r="D10509" s="13" t="s">
        <v>633</v>
      </c>
      <c r="E10509" t="s">
        <v>678</v>
      </c>
      <c r="F10509" s="11">
        <v>1</v>
      </c>
      <c r="G10509" s="11">
        <v>54621.85</v>
      </c>
    </row>
    <row r="10510" spans="2:7" x14ac:dyDescent="0.2">
      <c r="B10510" s="32">
        <v>46120</v>
      </c>
      <c r="C10510" t="s">
        <v>109</v>
      </c>
      <c r="D10510" s="13" t="s">
        <v>633</v>
      </c>
      <c r="E10510" t="s">
        <v>445</v>
      </c>
      <c r="F10510" s="11">
        <v>1</v>
      </c>
      <c r="G10510" s="11">
        <v>54621.85</v>
      </c>
    </row>
    <row r="10511" spans="2:7" x14ac:dyDescent="0.2">
      <c r="B10511" s="32">
        <v>46120</v>
      </c>
      <c r="C10511" t="s">
        <v>109</v>
      </c>
      <c r="D10511" s="13" t="s">
        <v>633</v>
      </c>
      <c r="E10511" t="s">
        <v>514</v>
      </c>
      <c r="F10511" s="11">
        <v>1</v>
      </c>
      <c r="G10511" s="11">
        <v>50420.17</v>
      </c>
    </row>
    <row r="10512" spans="2:7" x14ac:dyDescent="0.2">
      <c r="B10512" s="32">
        <v>46120</v>
      </c>
      <c r="C10512" t="s">
        <v>109</v>
      </c>
      <c r="D10512" s="13" t="s">
        <v>633</v>
      </c>
      <c r="E10512" t="s">
        <v>265</v>
      </c>
      <c r="F10512" s="11">
        <v>1</v>
      </c>
      <c r="G10512" s="11">
        <v>50420.17</v>
      </c>
    </row>
    <row r="10513" spans="2:7" x14ac:dyDescent="0.2">
      <c r="B10513" s="32">
        <v>46120</v>
      </c>
      <c r="C10513" t="s">
        <v>109</v>
      </c>
      <c r="D10513" s="13" t="s">
        <v>633</v>
      </c>
      <c r="E10513" t="s">
        <v>338</v>
      </c>
      <c r="F10513" s="11">
        <v>1</v>
      </c>
      <c r="G10513" s="11">
        <v>50420.160000000003</v>
      </c>
    </row>
    <row r="10514" spans="2:7" x14ac:dyDescent="0.2">
      <c r="B10514" s="32">
        <v>46120</v>
      </c>
      <c r="C10514" t="s">
        <v>109</v>
      </c>
      <c r="D10514" s="13" t="s">
        <v>633</v>
      </c>
      <c r="E10514" t="s">
        <v>150</v>
      </c>
      <c r="F10514" s="11">
        <v>1</v>
      </c>
      <c r="G10514" s="11">
        <v>46218.49</v>
      </c>
    </row>
    <row r="10515" spans="2:7" x14ac:dyDescent="0.2">
      <c r="B10515" s="32">
        <v>46120</v>
      </c>
      <c r="C10515" t="s">
        <v>109</v>
      </c>
      <c r="D10515" s="13" t="s">
        <v>633</v>
      </c>
      <c r="E10515" t="s">
        <v>246</v>
      </c>
      <c r="F10515" s="11">
        <v>1</v>
      </c>
      <c r="G10515" s="11">
        <v>42016.81</v>
      </c>
    </row>
    <row r="10516" spans="2:7" x14ac:dyDescent="0.2">
      <c r="B10516" s="32">
        <v>46120</v>
      </c>
      <c r="C10516" t="s">
        <v>109</v>
      </c>
      <c r="D10516" s="13" t="s">
        <v>633</v>
      </c>
      <c r="E10516" t="s">
        <v>309</v>
      </c>
      <c r="F10516" s="11">
        <v>1</v>
      </c>
      <c r="G10516" s="11">
        <v>42016.81</v>
      </c>
    </row>
    <row r="10517" spans="2:7" x14ac:dyDescent="0.2">
      <c r="B10517" s="32">
        <v>46120</v>
      </c>
      <c r="C10517" t="s">
        <v>109</v>
      </c>
      <c r="D10517" s="13" t="s">
        <v>633</v>
      </c>
      <c r="E10517" t="s">
        <v>156</v>
      </c>
      <c r="F10517" s="11">
        <v>1</v>
      </c>
      <c r="G10517" s="11">
        <v>42016.81</v>
      </c>
    </row>
    <row r="10518" spans="2:7" x14ac:dyDescent="0.2">
      <c r="B10518" s="32">
        <v>46120</v>
      </c>
      <c r="C10518" t="s">
        <v>109</v>
      </c>
      <c r="D10518" s="13" t="s">
        <v>633</v>
      </c>
      <c r="E10518" t="s">
        <v>234</v>
      </c>
      <c r="F10518" s="11">
        <v>1</v>
      </c>
      <c r="G10518" s="11">
        <v>37815.129999999997</v>
      </c>
    </row>
    <row r="10519" spans="2:7" x14ac:dyDescent="0.2">
      <c r="B10519" s="32">
        <v>46120</v>
      </c>
      <c r="C10519" t="s">
        <v>109</v>
      </c>
      <c r="D10519" s="13" t="s">
        <v>633</v>
      </c>
      <c r="E10519" t="s">
        <v>248</v>
      </c>
      <c r="F10519" s="11">
        <v>1</v>
      </c>
      <c r="G10519" s="11">
        <v>37815.129999999997</v>
      </c>
    </row>
    <row r="10520" spans="2:7" x14ac:dyDescent="0.2">
      <c r="B10520" s="32">
        <v>46120</v>
      </c>
      <c r="C10520" t="s">
        <v>109</v>
      </c>
      <c r="D10520" s="13" t="s">
        <v>633</v>
      </c>
      <c r="E10520" t="s">
        <v>456</v>
      </c>
      <c r="F10520" s="11">
        <v>1</v>
      </c>
      <c r="G10520" s="11">
        <v>16806.72</v>
      </c>
    </row>
    <row r="10521" spans="2:7" x14ac:dyDescent="0.2">
      <c r="B10521" s="32">
        <v>46120</v>
      </c>
      <c r="C10521" t="s">
        <v>109</v>
      </c>
      <c r="D10521" s="13" t="s">
        <v>633</v>
      </c>
      <c r="E10521" t="s">
        <v>509</v>
      </c>
      <c r="F10521" s="11">
        <v>1</v>
      </c>
      <c r="G10521" s="11">
        <v>16806.72</v>
      </c>
    </row>
    <row r="10522" spans="2:7" x14ac:dyDescent="0.2">
      <c r="B10522" s="32">
        <v>46120</v>
      </c>
      <c r="C10522" t="s">
        <v>109</v>
      </c>
      <c r="D10522" s="13" t="s">
        <v>633</v>
      </c>
      <c r="E10522" t="s">
        <v>144</v>
      </c>
      <c r="F10522" s="11">
        <v>2</v>
      </c>
      <c r="G10522" s="11">
        <v>16806.72</v>
      </c>
    </row>
    <row r="10523" spans="2:7" x14ac:dyDescent="0.2">
      <c r="B10523" s="32">
        <v>46121</v>
      </c>
      <c r="C10523" t="s">
        <v>142</v>
      </c>
      <c r="D10523" s="13" t="s">
        <v>634</v>
      </c>
      <c r="E10523" t="s">
        <v>375</v>
      </c>
      <c r="F10523" s="11">
        <v>1</v>
      </c>
      <c r="G10523" s="11">
        <v>54621.85</v>
      </c>
    </row>
    <row r="10524" spans="2:7" x14ac:dyDescent="0.2">
      <c r="B10524" s="32">
        <v>46121</v>
      </c>
      <c r="C10524" t="s">
        <v>142</v>
      </c>
      <c r="D10524" s="13" t="s">
        <v>634</v>
      </c>
      <c r="E10524" t="s">
        <v>238</v>
      </c>
      <c r="F10524" s="11">
        <v>1</v>
      </c>
      <c r="G10524" s="11">
        <v>46218.49</v>
      </c>
    </row>
    <row r="10525" spans="2:7" x14ac:dyDescent="0.2">
      <c r="B10525" s="32">
        <v>46121</v>
      </c>
      <c r="C10525" t="s">
        <v>142</v>
      </c>
      <c r="D10525" s="13" t="s">
        <v>633</v>
      </c>
      <c r="E10525" t="s">
        <v>800</v>
      </c>
      <c r="F10525" s="11">
        <v>1</v>
      </c>
      <c r="G10525" s="11">
        <v>411764.71</v>
      </c>
    </row>
    <row r="10526" spans="2:7" x14ac:dyDescent="0.2">
      <c r="B10526" s="32">
        <v>46121</v>
      </c>
      <c r="C10526" t="s">
        <v>142</v>
      </c>
      <c r="D10526" s="13" t="s">
        <v>633</v>
      </c>
      <c r="E10526" t="s">
        <v>313</v>
      </c>
      <c r="F10526" s="11">
        <v>1</v>
      </c>
      <c r="G10526" s="11">
        <v>113445.37</v>
      </c>
    </row>
    <row r="10527" spans="2:7" x14ac:dyDescent="0.2">
      <c r="B10527" s="32">
        <v>46121</v>
      </c>
      <c r="C10527" t="s">
        <v>142</v>
      </c>
      <c r="D10527" s="13" t="s">
        <v>633</v>
      </c>
      <c r="E10527" t="s">
        <v>172</v>
      </c>
      <c r="F10527" s="11">
        <v>2</v>
      </c>
      <c r="G10527" s="11">
        <v>92436.97</v>
      </c>
    </row>
    <row r="10528" spans="2:7" x14ac:dyDescent="0.2">
      <c r="B10528" s="32">
        <v>46121</v>
      </c>
      <c r="C10528" t="s">
        <v>142</v>
      </c>
      <c r="D10528" s="13" t="s">
        <v>633</v>
      </c>
      <c r="E10528" t="s">
        <v>233</v>
      </c>
      <c r="F10528" s="11">
        <v>1</v>
      </c>
      <c r="G10528" s="11">
        <v>63025.21</v>
      </c>
    </row>
    <row r="10529" spans="2:7" x14ac:dyDescent="0.2">
      <c r="B10529" s="32">
        <v>46121</v>
      </c>
      <c r="C10529" t="s">
        <v>142</v>
      </c>
      <c r="D10529" s="13" t="s">
        <v>633</v>
      </c>
      <c r="E10529" t="s">
        <v>812</v>
      </c>
      <c r="F10529" s="11">
        <v>1</v>
      </c>
      <c r="G10529" s="11">
        <v>42016.81</v>
      </c>
    </row>
    <row r="10530" spans="2:7" x14ac:dyDescent="0.2">
      <c r="B10530" s="32">
        <v>46121</v>
      </c>
      <c r="C10530" t="s">
        <v>142</v>
      </c>
      <c r="D10530" s="13" t="s">
        <v>633</v>
      </c>
      <c r="E10530" t="s">
        <v>229</v>
      </c>
      <c r="F10530" s="11">
        <v>1</v>
      </c>
      <c r="G10530" s="11">
        <v>42016.81</v>
      </c>
    </row>
    <row r="10531" spans="2:7" x14ac:dyDescent="0.2">
      <c r="B10531" s="32">
        <v>46121</v>
      </c>
      <c r="C10531" t="s">
        <v>142</v>
      </c>
      <c r="D10531" s="13" t="s">
        <v>633</v>
      </c>
      <c r="E10531" t="s">
        <v>173</v>
      </c>
      <c r="F10531" s="11">
        <v>2</v>
      </c>
      <c r="G10531" s="11">
        <v>0</v>
      </c>
    </row>
    <row r="10532" spans="2:7" x14ac:dyDescent="0.2">
      <c r="B10532" s="32">
        <v>46121</v>
      </c>
      <c r="C10532" t="s">
        <v>109</v>
      </c>
      <c r="D10532" s="13" t="s">
        <v>634</v>
      </c>
      <c r="E10532" t="s">
        <v>159</v>
      </c>
      <c r="F10532" s="11">
        <v>1</v>
      </c>
      <c r="G10532" s="11">
        <v>239495.8</v>
      </c>
    </row>
    <row r="10533" spans="2:7" x14ac:dyDescent="0.2">
      <c r="B10533" s="32">
        <v>46121</v>
      </c>
      <c r="C10533" t="s">
        <v>109</v>
      </c>
      <c r="D10533" s="13" t="s">
        <v>634</v>
      </c>
      <c r="E10533" t="s">
        <v>544</v>
      </c>
      <c r="F10533" s="11">
        <v>1</v>
      </c>
      <c r="G10533" s="11">
        <v>195000</v>
      </c>
    </row>
    <row r="10534" spans="2:7" x14ac:dyDescent="0.2">
      <c r="B10534" s="32">
        <v>46121</v>
      </c>
      <c r="C10534" t="s">
        <v>109</v>
      </c>
      <c r="D10534" s="13" t="s">
        <v>634</v>
      </c>
      <c r="F10534" s="11">
        <v>1</v>
      </c>
      <c r="G10534" s="11">
        <v>126050.42</v>
      </c>
    </row>
    <row r="10535" spans="2:7" x14ac:dyDescent="0.2">
      <c r="B10535" s="32">
        <v>46121</v>
      </c>
      <c r="C10535" t="s">
        <v>109</v>
      </c>
      <c r="D10535" s="13" t="s">
        <v>634</v>
      </c>
      <c r="E10535" t="s">
        <v>145</v>
      </c>
      <c r="F10535" s="11">
        <v>3</v>
      </c>
      <c r="G10535" s="11">
        <v>88235.29</v>
      </c>
    </row>
    <row r="10536" spans="2:7" x14ac:dyDescent="0.2">
      <c r="B10536" s="32">
        <v>46121</v>
      </c>
      <c r="C10536" t="s">
        <v>109</v>
      </c>
      <c r="D10536" s="13" t="s">
        <v>634</v>
      </c>
      <c r="E10536" t="s">
        <v>218</v>
      </c>
      <c r="F10536" s="11">
        <v>2</v>
      </c>
      <c r="G10536" s="11">
        <v>84033.62</v>
      </c>
    </row>
    <row r="10537" spans="2:7" x14ac:dyDescent="0.2">
      <c r="B10537" s="32">
        <v>46121</v>
      </c>
      <c r="C10537" t="s">
        <v>109</v>
      </c>
      <c r="D10537" s="13" t="s">
        <v>634</v>
      </c>
      <c r="E10537" t="s">
        <v>149</v>
      </c>
      <c r="F10537" s="11">
        <v>1</v>
      </c>
      <c r="G10537" s="11">
        <v>75630.25</v>
      </c>
    </row>
    <row r="10538" spans="2:7" x14ac:dyDescent="0.2">
      <c r="B10538" s="32">
        <v>46121</v>
      </c>
      <c r="C10538" t="s">
        <v>109</v>
      </c>
      <c r="D10538" s="13" t="s">
        <v>634</v>
      </c>
      <c r="E10538" t="s">
        <v>279</v>
      </c>
      <c r="F10538" s="11">
        <v>1</v>
      </c>
      <c r="G10538" s="11">
        <v>63025.2</v>
      </c>
    </row>
    <row r="10539" spans="2:7" x14ac:dyDescent="0.2">
      <c r="B10539" s="32">
        <v>46121</v>
      </c>
      <c r="C10539" t="s">
        <v>109</v>
      </c>
      <c r="D10539" s="13" t="s">
        <v>634</v>
      </c>
      <c r="E10539" t="s">
        <v>580</v>
      </c>
      <c r="F10539" s="11">
        <v>1</v>
      </c>
      <c r="G10539" s="11">
        <v>58823.53</v>
      </c>
    </row>
    <row r="10540" spans="2:7" x14ac:dyDescent="0.2">
      <c r="B10540" s="32">
        <v>46121</v>
      </c>
      <c r="C10540" t="s">
        <v>109</v>
      </c>
      <c r="D10540" s="13" t="s">
        <v>634</v>
      </c>
      <c r="E10540" t="s">
        <v>435</v>
      </c>
      <c r="F10540" s="11">
        <v>1</v>
      </c>
      <c r="G10540" s="11">
        <v>58823.53</v>
      </c>
    </row>
    <row r="10541" spans="2:7" x14ac:dyDescent="0.2">
      <c r="B10541" s="32">
        <v>46121</v>
      </c>
      <c r="C10541" t="s">
        <v>109</v>
      </c>
      <c r="D10541" s="13" t="s">
        <v>634</v>
      </c>
      <c r="E10541" t="s">
        <v>621</v>
      </c>
      <c r="F10541" s="11">
        <v>1</v>
      </c>
      <c r="G10541" s="11">
        <v>58823.53</v>
      </c>
    </row>
    <row r="10542" spans="2:7" x14ac:dyDescent="0.2">
      <c r="B10542" s="32">
        <v>46121</v>
      </c>
      <c r="C10542" t="s">
        <v>109</v>
      </c>
      <c r="D10542" s="13" t="s">
        <v>634</v>
      </c>
      <c r="E10542" t="s">
        <v>193</v>
      </c>
      <c r="F10542" s="11">
        <v>1</v>
      </c>
      <c r="G10542" s="11">
        <v>37815.129999999997</v>
      </c>
    </row>
    <row r="10543" spans="2:7" x14ac:dyDescent="0.2">
      <c r="B10543" s="32">
        <v>46121</v>
      </c>
      <c r="C10543" t="s">
        <v>109</v>
      </c>
      <c r="D10543" s="13" t="s">
        <v>634</v>
      </c>
      <c r="E10543" t="s">
        <v>327</v>
      </c>
      <c r="F10543" s="11">
        <v>1</v>
      </c>
      <c r="G10543" s="11">
        <v>35000</v>
      </c>
    </row>
    <row r="10544" spans="2:7" x14ac:dyDescent="0.2">
      <c r="B10544" s="32">
        <v>46121</v>
      </c>
      <c r="C10544" t="s">
        <v>109</v>
      </c>
      <c r="D10544" s="13" t="s">
        <v>634</v>
      </c>
      <c r="E10544" t="s">
        <v>509</v>
      </c>
      <c r="F10544" s="11">
        <v>1</v>
      </c>
      <c r="G10544" s="11">
        <v>16806.72</v>
      </c>
    </row>
    <row r="10545" spans="2:7" x14ac:dyDescent="0.2">
      <c r="B10545" s="32">
        <v>46121</v>
      </c>
      <c r="C10545" t="s">
        <v>109</v>
      </c>
      <c r="D10545" s="13" t="s">
        <v>634</v>
      </c>
      <c r="E10545" t="s">
        <v>626</v>
      </c>
      <c r="F10545" s="11">
        <v>1</v>
      </c>
      <c r="G10545" s="11">
        <v>0</v>
      </c>
    </row>
    <row r="10546" spans="2:7" x14ac:dyDescent="0.2">
      <c r="B10546" s="32">
        <v>46121</v>
      </c>
      <c r="C10546" t="s">
        <v>109</v>
      </c>
      <c r="D10546" s="13" t="s">
        <v>633</v>
      </c>
      <c r="E10546" t="s">
        <v>283</v>
      </c>
      <c r="F10546" s="11">
        <v>12</v>
      </c>
      <c r="G10546" s="11">
        <v>655462.18000000005</v>
      </c>
    </row>
    <row r="10547" spans="2:7" x14ac:dyDescent="0.2">
      <c r="B10547" s="32">
        <v>46121</v>
      </c>
      <c r="C10547" t="s">
        <v>109</v>
      </c>
      <c r="D10547" s="13" t="s">
        <v>633</v>
      </c>
      <c r="E10547" t="s">
        <v>609</v>
      </c>
      <c r="F10547" s="11">
        <v>1</v>
      </c>
      <c r="G10547" s="11">
        <v>239495.8</v>
      </c>
    </row>
    <row r="10548" spans="2:7" x14ac:dyDescent="0.2">
      <c r="B10548" s="32">
        <v>46121</v>
      </c>
      <c r="C10548" t="s">
        <v>109</v>
      </c>
      <c r="D10548" s="13" t="s">
        <v>633</v>
      </c>
      <c r="F10548" s="11">
        <v>1</v>
      </c>
      <c r="G10548" s="11">
        <v>126050.42</v>
      </c>
    </row>
    <row r="10549" spans="2:7" x14ac:dyDescent="0.2">
      <c r="B10549" s="32">
        <v>46121</v>
      </c>
      <c r="C10549" t="s">
        <v>109</v>
      </c>
      <c r="D10549" s="13" t="s">
        <v>633</v>
      </c>
      <c r="E10549" t="s">
        <v>212</v>
      </c>
      <c r="F10549" s="11">
        <v>2</v>
      </c>
      <c r="G10549" s="11">
        <v>117647.06</v>
      </c>
    </row>
    <row r="10550" spans="2:7" x14ac:dyDescent="0.2">
      <c r="B10550" s="32">
        <v>46121</v>
      </c>
      <c r="C10550" t="s">
        <v>109</v>
      </c>
      <c r="D10550" s="13" t="s">
        <v>633</v>
      </c>
      <c r="E10550" t="s">
        <v>681</v>
      </c>
      <c r="F10550" s="11">
        <v>1</v>
      </c>
      <c r="G10550" s="11">
        <v>84033.62</v>
      </c>
    </row>
    <row r="10551" spans="2:7" x14ac:dyDescent="0.2">
      <c r="B10551" s="32">
        <v>46121</v>
      </c>
      <c r="C10551" t="s">
        <v>109</v>
      </c>
      <c r="D10551" s="13" t="s">
        <v>633</v>
      </c>
      <c r="E10551" t="s">
        <v>467</v>
      </c>
      <c r="F10551" s="11">
        <v>1</v>
      </c>
      <c r="G10551" s="11">
        <v>84033.61</v>
      </c>
    </row>
    <row r="10552" spans="2:7" x14ac:dyDescent="0.2">
      <c r="B10552" s="32">
        <v>46121</v>
      </c>
      <c r="C10552" t="s">
        <v>109</v>
      </c>
      <c r="D10552" s="13" t="s">
        <v>633</v>
      </c>
      <c r="E10552" t="s">
        <v>147</v>
      </c>
      <c r="F10552" s="11">
        <v>1</v>
      </c>
      <c r="G10552" s="11">
        <v>75630.25</v>
      </c>
    </row>
    <row r="10553" spans="2:7" x14ac:dyDescent="0.2">
      <c r="B10553" s="32">
        <v>46121</v>
      </c>
      <c r="C10553" t="s">
        <v>109</v>
      </c>
      <c r="D10553" s="13" t="s">
        <v>633</v>
      </c>
      <c r="E10553" t="s">
        <v>522</v>
      </c>
      <c r="F10553" s="11">
        <v>2</v>
      </c>
      <c r="G10553" s="11">
        <v>70000</v>
      </c>
    </row>
    <row r="10554" spans="2:7" x14ac:dyDescent="0.2">
      <c r="B10554" s="32">
        <v>46121</v>
      </c>
      <c r="C10554" t="s">
        <v>109</v>
      </c>
      <c r="D10554" s="13" t="s">
        <v>633</v>
      </c>
      <c r="E10554" t="s">
        <v>495</v>
      </c>
      <c r="F10554" s="11">
        <v>1</v>
      </c>
      <c r="G10554" s="11">
        <v>58823.53</v>
      </c>
    </row>
    <row r="10555" spans="2:7" x14ac:dyDescent="0.2">
      <c r="B10555" s="32">
        <v>46121</v>
      </c>
      <c r="C10555" t="s">
        <v>109</v>
      </c>
      <c r="D10555" s="13" t="s">
        <v>633</v>
      </c>
      <c r="E10555" t="s">
        <v>145</v>
      </c>
      <c r="F10555" s="11">
        <v>2</v>
      </c>
      <c r="G10555" s="11">
        <v>58823.519999999997</v>
      </c>
    </row>
    <row r="10556" spans="2:7" x14ac:dyDescent="0.2">
      <c r="B10556" s="32">
        <v>46121</v>
      </c>
      <c r="C10556" t="s">
        <v>109</v>
      </c>
      <c r="D10556" s="13" t="s">
        <v>633</v>
      </c>
      <c r="E10556" t="s">
        <v>544</v>
      </c>
      <c r="F10556" s="11">
        <v>1</v>
      </c>
      <c r="G10556" s="11">
        <v>54000</v>
      </c>
    </row>
    <row r="10557" spans="2:7" x14ac:dyDescent="0.2">
      <c r="B10557" s="32">
        <v>46121</v>
      </c>
      <c r="C10557" t="s">
        <v>109</v>
      </c>
      <c r="D10557" s="13" t="s">
        <v>633</v>
      </c>
      <c r="E10557" t="s">
        <v>240</v>
      </c>
      <c r="F10557" s="11">
        <v>1</v>
      </c>
      <c r="G10557" s="11">
        <v>46218.49</v>
      </c>
    </row>
    <row r="10558" spans="2:7" x14ac:dyDescent="0.2">
      <c r="B10558" s="32">
        <v>46121</v>
      </c>
      <c r="C10558" t="s">
        <v>109</v>
      </c>
      <c r="D10558" s="13" t="s">
        <v>633</v>
      </c>
      <c r="E10558" t="s">
        <v>150</v>
      </c>
      <c r="F10558" s="11">
        <v>1</v>
      </c>
      <c r="G10558" s="11">
        <v>46218.49</v>
      </c>
    </row>
    <row r="10559" spans="2:7" x14ac:dyDescent="0.2">
      <c r="B10559" s="32">
        <v>46121</v>
      </c>
      <c r="C10559" t="s">
        <v>109</v>
      </c>
      <c r="D10559" s="13" t="s">
        <v>633</v>
      </c>
      <c r="E10559" t="s">
        <v>177</v>
      </c>
      <c r="F10559" s="11">
        <v>1</v>
      </c>
      <c r="G10559" s="11">
        <v>42016.81</v>
      </c>
    </row>
    <row r="10560" spans="2:7" x14ac:dyDescent="0.2">
      <c r="B10560" s="32">
        <v>46121</v>
      </c>
      <c r="C10560" t="s">
        <v>109</v>
      </c>
      <c r="D10560" s="13" t="s">
        <v>633</v>
      </c>
      <c r="E10560" t="s">
        <v>568</v>
      </c>
      <c r="F10560" s="11">
        <v>1</v>
      </c>
      <c r="G10560" s="11">
        <v>37815.129999999997</v>
      </c>
    </row>
    <row r="10561" spans="2:7" x14ac:dyDescent="0.2">
      <c r="B10561" s="32">
        <v>46121</v>
      </c>
      <c r="C10561" t="s">
        <v>109</v>
      </c>
      <c r="D10561" s="13" t="s">
        <v>633</v>
      </c>
      <c r="E10561" t="s">
        <v>328</v>
      </c>
      <c r="F10561" s="11">
        <v>1</v>
      </c>
      <c r="G10561" s="11">
        <v>37815.129999999997</v>
      </c>
    </row>
    <row r="10562" spans="2:7" x14ac:dyDescent="0.2">
      <c r="B10562" s="32">
        <v>46121</v>
      </c>
      <c r="C10562" t="s">
        <v>109</v>
      </c>
      <c r="D10562" s="13" t="s">
        <v>633</v>
      </c>
      <c r="E10562" t="s">
        <v>234</v>
      </c>
      <c r="F10562" s="11">
        <v>1</v>
      </c>
      <c r="G10562" s="11">
        <v>37815.120000000003</v>
      </c>
    </row>
    <row r="10563" spans="2:7" x14ac:dyDescent="0.2">
      <c r="B10563" s="32">
        <v>46121</v>
      </c>
      <c r="C10563" t="s">
        <v>109</v>
      </c>
      <c r="D10563" s="13" t="s">
        <v>633</v>
      </c>
      <c r="E10563" t="s">
        <v>144</v>
      </c>
      <c r="F10563" s="11">
        <v>2</v>
      </c>
      <c r="G10563" s="11">
        <v>33613.449999999997</v>
      </c>
    </row>
    <row r="10564" spans="2:7" x14ac:dyDescent="0.2">
      <c r="B10564" s="32">
        <v>46121</v>
      </c>
      <c r="C10564" t="s">
        <v>109</v>
      </c>
      <c r="D10564" s="13" t="s">
        <v>633</v>
      </c>
      <c r="E10564" t="s">
        <v>566</v>
      </c>
      <c r="F10564" s="11">
        <v>1</v>
      </c>
      <c r="G10564" s="11">
        <v>16806.72</v>
      </c>
    </row>
    <row r="10565" spans="2:7" x14ac:dyDescent="0.2">
      <c r="B10565" s="32">
        <v>46122</v>
      </c>
      <c r="C10565" t="s">
        <v>142</v>
      </c>
      <c r="D10565" s="13" t="s">
        <v>634</v>
      </c>
      <c r="E10565" t="s">
        <v>149</v>
      </c>
      <c r="F10565" s="11">
        <v>1</v>
      </c>
      <c r="G10565" s="11">
        <v>75630.25</v>
      </c>
    </row>
    <row r="10566" spans="2:7" x14ac:dyDescent="0.2">
      <c r="B10566" s="32">
        <v>46122</v>
      </c>
      <c r="C10566" t="s">
        <v>142</v>
      </c>
      <c r="D10566" s="13" t="s">
        <v>634</v>
      </c>
      <c r="E10566" t="s">
        <v>485</v>
      </c>
      <c r="F10566" s="11">
        <v>1</v>
      </c>
      <c r="G10566" s="11">
        <v>71428.570000000007</v>
      </c>
    </row>
    <row r="10567" spans="2:7" x14ac:dyDescent="0.2">
      <c r="B10567" s="32">
        <v>46122</v>
      </c>
      <c r="C10567" t="s">
        <v>142</v>
      </c>
      <c r="D10567" s="13" t="s">
        <v>634</v>
      </c>
      <c r="E10567" t="s">
        <v>582</v>
      </c>
      <c r="F10567" s="11">
        <v>1</v>
      </c>
      <c r="G10567" s="11">
        <v>67226.89</v>
      </c>
    </row>
    <row r="10568" spans="2:7" x14ac:dyDescent="0.2">
      <c r="B10568" s="32">
        <v>46122</v>
      </c>
      <c r="C10568" t="s">
        <v>142</v>
      </c>
      <c r="D10568" s="13" t="s">
        <v>634</v>
      </c>
      <c r="E10568" t="s">
        <v>605</v>
      </c>
      <c r="F10568" s="11">
        <v>1</v>
      </c>
      <c r="G10568" s="11">
        <v>50420.17</v>
      </c>
    </row>
    <row r="10569" spans="2:7" x14ac:dyDescent="0.2">
      <c r="B10569" s="32">
        <v>46122</v>
      </c>
      <c r="C10569" t="s">
        <v>142</v>
      </c>
      <c r="D10569" s="13" t="s">
        <v>634</v>
      </c>
      <c r="E10569" t="s">
        <v>498</v>
      </c>
      <c r="F10569" s="11">
        <v>1</v>
      </c>
      <c r="G10569" s="11">
        <v>50420.17</v>
      </c>
    </row>
    <row r="10570" spans="2:7" x14ac:dyDescent="0.2">
      <c r="B10570" s="32">
        <v>46122</v>
      </c>
      <c r="C10570" t="s">
        <v>142</v>
      </c>
      <c r="D10570" s="13" t="s">
        <v>633</v>
      </c>
      <c r="E10570" t="s">
        <v>799</v>
      </c>
      <c r="F10570" s="11">
        <v>1</v>
      </c>
      <c r="G10570" s="11">
        <v>84033.61</v>
      </c>
    </row>
    <row r="10571" spans="2:7" x14ac:dyDescent="0.2">
      <c r="B10571" s="32">
        <v>46122</v>
      </c>
      <c r="C10571" t="s">
        <v>142</v>
      </c>
      <c r="D10571" s="13" t="s">
        <v>633</v>
      </c>
      <c r="E10571" t="s">
        <v>796</v>
      </c>
      <c r="F10571" s="11">
        <v>1</v>
      </c>
      <c r="G10571" s="11">
        <v>84033.61</v>
      </c>
    </row>
    <row r="10572" spans="2:7" x14ac:dyDescent="0.2">
      <c r="B10572" s="32">
        <v>46122</v>
      </c>
      <c r="C10572" t="s">
        <v>142</v>
      </c>
      <c r="D10572" s="13" t="s">
        <v>633</v>
      </c>
      <c r="E10572" t="s">
        <v>797</v>
      </c>
      <c r="F10572" s="11">
        <v>1</v>
      </c>
      <c r="G10572" s="11">
        <v>84033.600000000006</v>
      </c>
    </row>
    <row r="10573" spans="2:7" x14ac:dyDescent="0.2">
      <c r="B10573" s="32">
        <v>46122</v>
      </c>
      <c r="C10573" t="s">
        <v>142</v>
      </c>
      <c r="D10573" s="13" t="s">
        <v>633</v>
      </c>
      <c r="E10573" t="s">
        <v>234</v>
      </c>
      <c r="F10573" s="11">
        <v>1</v>
      </c>
      <c r="G10573" s="11">
        <v>37815.129999999997</v>
      </c>
    </row>
    <row r="10574" spans="2:7" x14ac:dyDescent="0.2">
      <c r="B10574" s="32">
        <v>46122</v>
      </c>
      <c r="C10574" t="s">
        <v>142</v>
      </c>
      <c r="D10574" s="13" t="s">
        <v>633</v>
      </c>
      <c r="E10574" t="s">
        <v>148</v>
      </c>
      <c r="F10574" s="11">
        <v>1</v>
      </c>
      <c r="G10574" s="11">
        <v>37815.129999999997</v>
      </c>
    </row>
    <row r="10575" spans="2:7" x14ac:dyDescent="0.2">
      <c r="B10575" s="32">
        <v>46122</v>
      </c>
      <c r="C10575" t="s">
        <v>142</v>
      </c>
      <c r="D10575" s="13" t="s">
        <v>633</v>
      </c>
      <c r="E10575" t="s">
        <v>568</v>
      </c>
      <c r="F10575" s="11">
        <v>1</v>
      </c>
      <c r="G10575" s="11">
        <v>37815.129999999997</v>
      </c>
    </row>
    <row r="10576" spans="2:7" x14ac:dyDescent="0.2">
      <c r="B10576" s="32">
        <v>46122</v>
      </c>
      <c r="C10576" t="s">
        <v>110</v>
      </c>
      <c r="D10576" s="13" t="s">
        <v>633</v>
      </c>
      <c r="E10576" t="s">
        <v>170</v>
      </c>
      <c r="F10576" s="11">
        <v>1</v>
      </c>
      <c r="G10576" s="11">
        <v>50420.17</v>
      </c>
    </row>
    <row r="10577" spans="2:7" x14ac:dyDescent="0.2">
      <c r="B10577" s="32">
        <v>46122</v>
      </c>
      <c r="C10577" t="s">
        <v>109</v>
      </c>
      <c r="D10577" s="13" t="s">
        <v>634</v>
      </c>
      <c r="E10577" t="s">
        <v>168</v>
      </c>
      <c r="F10577" s="11">
        <v>3</v>
      </c>
      <c r="G10577" s="11">
        <v>138655.47</v>
      </c>
    </row>
    <row r="10578" spans="2:7" x14ac:dyDescent="0.2">
      <c r="B10578" s="32">
        <v>46122</v>
      </c>
      <c r="C10578" t="s">
        <v>109</v>
      </c>
      <c r="D10578" s="13" t="s">
        <v>634</v>
      </c>
      <c r="E10578" t="s">
        <v>602</v>
      </c>
      <c r="F10578" s="11">
        <v>1</v>
      </c>
      <c r="G10578" s="11">
        <v>109243.7</v>
      </c>
    </row>
    <row r="10579" spans="2:7" x14ac:dyDescent="0.2">
      <c r="B10579" s="32">
        <v>46122</v>
      </c>
      <c r="C10579" t="s">
        <v>109</v>
      </c>
      <c r="D10579" s="13" t="s">
        <v>634</v>
      </c>
      <c r="E10579" t="s">
        <v>574</v>
      </c>
      <c r="F10579" s="11">
        <v>1</v>
      </c>
      <c r="G10579" s="11">
        <v>92436.97</v>
      </c>
    </row>
    <row r="10580" spans="2:7" x14ac:dyDescent="0.2">
      <c r="B10580" s="32">
        <v>46122</v>
      </c>
      <c r="C10580" t="s">
        <v>109</v>
      </c>
      <c r="D10580" s="13" t="s">
        <v>634</v>
      </c>
      <c r="E10580" t="s">
        <v>336</v>
      </c>
      <c r="F10580" s="11">
        <v>1</v>
      </c>
      <c r="G10580" s="11">
        <v>75630.25</v>
      </c>
    </row>
    <row r="10581" spans="2:7" x14ac:dyDescent="0.2">
      <c r="B10581" s="32">
        <v>46122</v>
      </c>
      <c r="C10581" t="s">
        <v>109</v>
      </c>
      <c r="D10581" s="13" t="s">
        <v>634</v>
      </c>
      <c r="E10581" t="s">
        <v>147</v>
      </c>
      <c r="F10581" s="11">
        <v>1</v>
      </c>
      <c r="G10581" s="11">
        <v>75630.25</v>
      </c>
    </row>
    <row r="10582" spans="2:7" x14ac:dyDescent="0.2">
      <c r="B10582" s="32">
        <v>46122</v>
      </c>
      <c r="C10582" t="s">
        <v>109</v>
      </c>
      <c r="D10582" s="13" t="s">
        <v>634</v>
      </c>
      <c r="E10582" t="s">
        <v>434</v>
      </c>
      <c r="F10582" s="11">
        <v>1</v>
      </c>
      <c r="G10582" s="11">
        <v>63025.21</v>
      </c>
    </row>
    <row r="10583" spans="2:7" x14ac:dyDescent="0.2">
      <c r="B10583" s="32">
        <v>46122</v>
      </c>
      <c r="C10583" t="s">
        <v>109</v>
      </c>
      <c r="D10583" s="13" t="s">
        <v>634</v>
      </c>
      <c r="E10583" t="s">
        <v>223</v>
      </c>
      <c r="F10583" s="11">
        <v>1</v>
      </c>
      <c r="G10583" s="11">
        <v>63025.2</v>
      </c>
    </row>
    <row r="10584" spans="2:7" x14ac:dyDescent="0.2">
      <c r="B10584" s="32">
        <v>46122</v>
      </c>
      <c r="C10584" t="s">
        <v>109</v>
      </c>
      <c r="D10584" s="13" t="s">
        <v>634</v>
      </c>
      <c r="E10584" t="s">
        <v>151</v>
      </c>
      <c r="F10584" s="11">
        <v>1</v>
      </c>
      <c r="G10584" s="11">
        <v>50420.17</v>
      </c>
    </row>
    <row r="10585" spans="2:7" x14ac:dyDescent="0.2">
      <c r="B10585" s="32">
        <v>46122</v>
      </c>
      <c r="C10585" t="s">
        <v>109</v>
      </c>
      <c r="D10585" s="13" t="s">
        <v>634</v>
      </c>
      <c r="E10585" t="s">
        <v>144</v>
      </c>
      <c r="F10585" s="11">
        <v>4</v>
      </c>
      <c r="G10585" s="11">
        <v>50420.17</v>
      </c>
    </row>
    <row r="10586" spans="2:7" x14ac:dyDescent="0.2">
      <c r="B10586" s="32">
        <v>46122</v>
      </c>
      <c r="C10586" t="s">
        <v>109</v>
      </c>
      <c r="D10586" s="13" t="s">
        <v>634</v>
      </c>
      <c r="E10586" t="s">
        <v>150</v>
      </c>
      <c r="F10586" s="11">
        <v>1</v>
      </c>
      <c r="G10586" s="11">
        <v>46218.48</v>
      </c>
    </row>
    <row r="10587" spans="2:7" x14ac:dyDescent="0.2">
      <c r="B10587" s="32">
        <v>46122</v>
      </c>
      <c r="C10587" t="s">
        <v>109</v>
      </c>
      <c r="D10587" s="13" t="s">
        <v>634</v>
      </c>
      <c r="E10587" t="s">
        <v>441</v>
      </c>
      <c r="F10587" s="11">
        <v>1</v>
      </c>
      <c r="G10587" s="11">
        <v>21008.400000000001</v>
      </c>
    </row>
    <row r="10588" spans="2:7" x14ac:dyDescent="0.2">
      <c r="B10588" s="32">
        <v>46122</v>
      </c>
      <c r="C10588" t="s">
        <v>109</v>
      </c>
      <c r="D10588" s="13" t="s">
        <v>634</v>
      </c>
      <c r="E10588" t="s">
        <v>367</v>
      </c>
      <c r="F10588" s="11">
        <v>1</v>
      </c>
      <c r="G10588" s="11">
        <v>16806.73</v>
      </c>
    </row>
    <row r="10589" spans="2:7" x14ac:dyDescent="0.2">
      <c r="B10589" s="32">
        <v>46122</v>
      </c>
      <c r="C10589" t="s">
        <v>109</v>
      </c>
      <c r="D10589" s="13" t="s">
        <v>633</v>
      </c>
      <c r="E10589" t="s">
        <v>475</v>
      </c>
      <c r="F10589" s="11">
        <v>10</v>
      </c>
      <c r="G10589" s="11">
        <v>667801.31999999995</v>
      </c>
    </row>
    <row r="10590" spans="2:7" x14ac:dyDescent="0.2">
      <c r="B10590" s="32">
        <v>46122</v>
      </c>
      <c r="C10590" t="s">
        <v>109</v>
      </c>
      <c r="D10590" s="13" t="s">
        <v>633</v>
      </c>
      <c r="F10590" s="11">
        <v>4</v>
      </c>
      <c r="G10590" s="11">
        <v>504201.68</v>
      </c>
    </row>
    <row r="10591" spans="2:7" x14ac:dyDescent="0.2">
      <c r="B10591" s="32">
        <v>46122</v>
      </c>
      <c r="C10591" t="s">
        <v>109</v>
      </c>
      <c r="D10591" s="13" t="s">
        <v>633</v>
      </c>
      <c r="E10591" t="s">
        <v>189</v>
      </c>
      <c r="F10591" s="11">
        <v>6</v>
      </c>
      <c r="G10591" s="11">
        <v>394780.71</v>
      </c>
    </row>
    <row r="10592" spans="2:7" x14ac:dyDescent="0.2">
      <c r="B10592" s="32">
        <v>46122</v>
      </c>
      <c r="C10592" t="s">
        <v>109</v>
      </c>
      <c r="D10592" s="13" t="s">
        <v>633</v>
      </c>
      <c r="E10592" t="s">
        <v>150</v>
      </c>
      <c r="F10592" s="11">
        <v>9</v>
      </c>
      <c r="G10592" s="11">
        <v>361882.32</v>
      </c>
    </row>
    <row r="10593" spans="2:7" x14ac:dyDescent="0.2">
      <c r="B10593" s="32">
        <v>46122</v>
      </c>
      <c r="C10593" t="s">
        <v>109</v>
      </c>
      <c r="D10593" s="13" t="s">
        <v>633</v>
      </c>
      <c r="E10593" t="s">
        <v>168</v>
      </c>
      <c r="F10593" s="11">
        <v>8</v>
      </c>
      <c r="G10593" s="11">
        <v>333691.86</v>
      </c>
    </row>
    <row r="10594" spans="2:7" x14ac:dyDescent="0.2">
      <c r="B10594" s="32">
        <v>46122</v>
      </c>
      <c r="C10594" t="s">
        <v>109</v>
      </c>
      <c r="D10594" s="13" t="s">
        <v>633</v>
      </c>
      <c r="E10594" t="s">
        <v>701</v>
      </c>
      <c r="F10594" s="11">
        <v>1</v>
      </c>
      <c r="G10594" s="11">
        <v>210084.04</v>
      </c>
    </row>
    <row r="10595" spans="2:7" x14ac:dyDescent="0.2">
      <c r="B10595" s="32">
        <v>46122</v>
      </c>
      <c r="C10595" t="s">
        <v>109</v>
      </c>
      <c r="D10595" s="13" t="s">
        <v>633</v>
      </c>
      <c r="E10595" t="s">
        <v>821</v>
      </c>
      <c r="F10595" s="11">
        <v>1</v>
      </c>
      <c r="G10595" s="11">
        <v>210084.03</v>
      </c>
    </row>
    <row r="10596" spans="2:7" x14ac:dyDescent="0.2">
      <c r="B10596" s="32">
        <v>46122</v>
      </c>
      <c r="C10596" t="s">
        <v>109</v>
      </c>
      <c r="D10596" s="13" t="s">
        <v>633</v>
      </c>
      <c r="E10596" t="s">
        <v>145</v>
      </c>
      <c r="F10596" s="11">
        <v>7</v>
      </c>
      <c r="G10596" s="11">
        <v>205882.35</v>
      </c>
    </row>
    <row r="10597" spans="2:7" x14ac:dyDescent="0.2">
      <c r="B10597" s="32">
        <v>46122</v>
      </c>
      <c r="C10597" t="s">
        <v>109</v>
      </c>
      <c r="D10597" s="13" t="s">
        <v>633</v>
      </c>
      <c r="E10597" t="s">
        <v>575</v>
      </c>
      <c r="F10597" s="11">
        <v>2</v>
      </c>
      <c r="G10597" s="11">
        <v>164705.88</v>
      </c>
    </row>
    <row r="10598" spans="2:7" x14ac:dyDescent="0.2">
      <c r="B10598" s="32">
        <v>46122</v>
      </c>
      <c r="C10598" t="s">
        <v>109</v>
      </c>
      <c r="D10598" s="13" t="s">
        <v>633</v>
      </c>
      <c r="E10598" t="s">
        <v>336</v>
      </c>
      <c r="F10598" s="11">
        <v>2</v>
      </c>
      <c r="G10598" s="11">
        <v>151260.5</v>
      </c>
    </row>
    <row r="10599" spans="2:7" x14ac:dyDescent="0.2">
      <c r="B10599" s="32">
        <v>46122</v>
      </c>
      <c r="C10599" t="s">
        <v>109</v>
      </c>
      <c r="D10599" s="13" t="s">
        <v>633</v>
      </c>
      <c r="E10599" t="s">
        <v>569</v>
      </c>
      <c r="F10599" s="11">
        <v>1</v>
      </c>
      <c r="G10599" s="11">
        <v>109243.7</v>
      </c>
    </row>
    <row r="10600" spans="2:7" x14ac:dyDescent="0.2">
      <c r="B10600" s="32">
        <v>46122</v>
      </c>
      <c r="C10600" t="s">
        <v>109</v>
      </c>
      <c r="D10600" s="13" t="s">
        <v>633</v>
      </c>
      <c r="E10600" t="s">
        <v>238</v>
      </c>
      <c r="F10600" s="11">
        <v>2</v>
      </c>
      <c r="G10600" s="11">
        <v>92436.97</v>
      </c>
    </row>
    <row r="10601" spans="2:7" x14ac:dyDescent="0.2">
      <c r="B10601" s="32">
        <v>46122</v>
      </c>
      <c r="C10601" t="s">
        <v>109</v>
      </c>
      <c r="D10601" s="13" t="s">
        <v>633</v>
      </c>
      <c r="E10601" t="s">
        <v>574</v>
      </c>
      <c r="F10601" s="11">
        <v>1</v>
      </c>
      <c r="G10601" s="11">
        <v>92436.97</v>
      </c>
    </row>
    <row r="10602" spans="2:7" x14ac:dyDescent="0.2">
      <c r="B10602" s="32">
        <v>46122</v>
      </c>
      <c r="C10602" t="s">
        <v>109</v>
      </c>
      <c r="D10602" s="13" t="s">
        <v>633</v>
      </c>
      <c r="E10602" t="s">
        <v>202</v>
      </c>
      <c r="F10602" s="11">
        <v>2</v>
      </c>
      <c r="G10602" s="11">
        <v>92436.97</v>
      </c>
    </row>
    <row r="10603" spans="2:7" x14ac:dyDescent="0.2">
      <c r="B10603" s="32">
        <v>46122</v>
      </c>
      <c r="C10603" t="s">
        <v>109</v>
      </c>
      <c r="D10603" s="13" t="s">
        <v>633</v>
      </c>
      <c r="E10603" t="s">
        <v>347</v>
      </c>
      <c r="F10603" s="11">
        <v>1</v>
      </c>
      <c r="G10603" s="11">
        <v>84033.61</v>
      </c>
    </row>
    <row r="10604" spans="2:7" x14ac:dyDescent="0.2">
      <c r="B10604" s="32">
        <v>46122</v>
      </c>
      <c r="C10604" t="s">
        <v>109</v>
      </c>
      <c r="D10604" s="13" t="s">
        <v>633</v>
      </c>
      <c r="E10604" t="s">
        <v>647</v>
      </c>
      <c r="F10604" s="11">
        <v>1</v>
      </c>
      <c r="G10604" s="11">
        <v>84033.61</v>
      </c>
    </row>
    <row r="10605" spans="2:7" x14ac:dyDescent="0.2">
      <c r="B10605" s="32">
        <v>46122</v>
      </c>
      <c r="C10605" t="s">
        <v>109</v>
      </c>
      <c r="D10605" s="13" t="s">
        <v>633</v>
      </c>
      <c r="E10605" t="s">
        <v>467</v>
      </c>
      <c r="F10605" s="11">
        <v>1</v>
      </c>
      <c r="G10605" s="11">
        <v>84033.61</v>
      </c>
    </row>
    <row r="10606" spans="2:7" x14ac:dyDescent="0.2">
      <c r="B10606" s="32">
        <v>46122</v>
      </c>
      <c r="C10606" t="s">
        <v>109</v>
      </c>
      <c r="D10606" s="13" t="s">
        <v>633</v>
      </c>
      <c r="E10606" t="s">
        <v>192</v>
      </c>
      <c r="F10606" s="11">
        <v>1</v>
      </c>
      <c r="G10606" s="11">
        <v>65796.78</v>
      </c>
    </row>
    <row r="10607" spans="2:7" x14ac:dyDescent="0.2">
      <c r="B10607" s="32">
        <v>46122</v>
      </c>
      <c r="C10607" t="s">
        <v>109</v>
      </c>
      <c r="D10607" s="13" t="s">
        <v>633</v>
      </c>
      <c r="E10607" t="s">
        <v>334</v>
      </c>
      <c r="F10607" s="11">
        <v>1</v>
      </c>
      <c r="G10607" s="11">
        <v>65796.78</v>
      </c>
    </row>
    <row r="10608" spans="2:7" x14ac:dyDescent="0.2">
      <c r="B10608" s="32">
        <v>46122</v>
      </c>
      <c r="C10608" t="s">
        <v>109</v>
      </c>
      <c r="D10608" s="13" t="s">
        <v>633</v>
      </c>
      <c r="E10608" t="s">
        <v>212</v>
      </c>
      <c r="F10608" s="11">
        <v>1</v>
      </c>
      <c r="G10608" s="11">
        <v>58823.53</v>
      </c>
    </row>
    <row r="10609" spans="2:7" x14ac:dyDescent="0.2">
      <c r="B10609" s="32">
        <v>46122</v>
      </c>
      <c r="C10609" t="s">
        <v>109</v>
      </c>
      <c r="D10609" s="13" t="s">
        <v>633</v>
      </c>
      <c r="E10609" t="s">
        <v>391</v>
      </c>
      <c r="F10609" s="11">
        <v>1</v>
      </c>
      <c r="G10609" s="11">
        <v>50420.17</v>
      </c>
    </row>
    <row r="10610" spans="2:7" x14ac:dyDescent="0.2">
      <c r="B10610" s="32">
        <v>46122</v>
      </c>
      <c r="C10610" t="s">
        <v>109</v>
      </c>
      <c r="D10610" s="13" t="s">
        <v>633</v>
      </c>
      <c r="E10610" t="s">
        <v>265</v>
      </c>
      <c r="F10610" s="11">
        <v>1</v>
      </c>
      <c r="G10610" s="11">
        <v>50420.17</v>
      </c>
    </row>
    <row r="10611" spans="2:7" x14ac:dyDescent="0.2">
      <c r="B10611" s="32">
        <v>46122</v>
      </c>
      <c r="C10611" t="s">
        <v>109</v>
      </c>
      <c r="D10611" s="13" t="s">
        <v>633</v>
      </c>
      <c r="E10611" t="s">
        <v>158</v>
      </c>
      <c r="F10611" s="11">
        <v>1</v>
      </c>
      <c r="G10611" s="11">
        <v>46218.49</v>
      </c>
    </row>
    <row r="10612" spans="2:7" x14ac:dyDescent="0.2">
      <c r="B10612" s="32">
        <v>46122</v>
      </c>
      <c r="C10612" t="s">
        <v>109</v>
      </c>
      <c r="D10612" s="13" t="s">
        <v>633</v>
      </c>
      <c r="E10612" t="s">
        <v>795</v>
      </c>
      <c r="F10612" s="11">
        <v>1</v>
      </c>
      <c r="G10612" s="11">
        <v>42016.81</v>
      </c>
    </row>
    <row r="10613" spans="2:7" x14ac:dyDescent="0.2">
      <c r="B10613" s="32">
        <v>46122</v>
      </c>
      <c r="C10613" t="s">
        <v>109</v>
      </c>
      <c r="D10613" s="13" t="s">
        <v>633</v>
      </c>
      <c r="E10613" t="s">
        <v>166</v>
      </c>
      <c r="F10613" s="11">
        <v>1</v>
      </c>
      <c r="G10613" s="11">
        <v>42016.81</v>
      </c>
    </row>
    <row r="10614" spans="2:7" x14ac:dyDescent="0.2">
      <c r="B10614" s="32">
        <v>46122</v>
      </c>
      <c r="C10614" t="s">
        <v>109</v>
      </c>
      <c r="D10614" s="13" t="s">
        <v>633</v>
      </c>
      <c r="E10614" t="s">
        <v>241</v>
      </c>
      <c r="F10614" s="11">
        <v>1</v>
      </c>
      <c r="G10614" s="11">
        <v>40209.15</v>
      </c>
    </row>
    <row r="10615" spans="2:7" x14ac:dyDescent="0.2">
      <c r="B10615" s="32">
        <v>46122</v>
      </c>
      <c r="C10615" t="s">
        <v>109</v>
      </c>
      <c r="D10615" s="13" t="s">
        <v>633</v>
      </c>
      <c r="E10615" t="s">
        <v>240</v>
      </c>
      <c r="F10615" s="11">
        <v>1</v>
      </c>
      <c r="G10615" s="11">
        <v>40209.15</v>
      </c>
    </row>
    <row r="10616" spans="2:7" x14ac:dyDescent="0.2">
      <c r="B10616" s="32">
        <v>46122</v>
      </c>
      <c r="C10616" t="s">
        <v>109</v>
      </c>
      <c r="D10616" s="13" t="s">
        <v>633</v>
      </c>
      <c r="E10616" t="s">
        <v>148</v>
      </c>
      <c r="F10616" s="11">
        <v>1</v>
      </c>
      <c r="G10616" s="11">
        <v>37815.129999999997</v>
      </c>
    </row>
    <row r="10617" spans="2:7" x14ac:dyDescent="0.2">
      <c r="B10617" s="32">
        <v>46122</v>
      </c>
      <c r="C10617" t="s">
        <v>109</v>
      </c>
      <c r="D10617" s="13" t="s">
        <v>633</v>
      </c>
      <c r="E10617" t="s">
        <v>234</v>
      </c>
      <c r="F10617" s="11">
        <v>1</v>
      </c>
      <c r="G10617" s="11">
        <v>37815.129999999997</v>
      </c>
    </row>
    <row r="10618" spans="2:7" x14ac:dyDescent="0.2">
      <c r="B10618" s="32">
        <v>46122</v>
      </c>
      <c r="C10618" t="s">
        <v>109</v>
      </c>
      <c r="D10618" s="13" t="s">
        <v>633</v>
      </c>
      <c r="E10618" t="s">
        <v>263</v>
      </c>
      <c r="F10618" s="11">
        <v>1</v>
      </c>
      <c r="G10618" s="11">
        <v>37815.120000000003</v>
      </c>
    </row>
    <row r="10619" spans="2:7" x14ac:dyDescent="0.2">
      <c r="B10619" s="32">
        <v>46122</v>
      </c>
      <c r="C10619" t="s">
        <v>109</v>
      </c>
      <c r="D10619" s="13" t="s">
        <v>633</v>
      </c>
      <c r="E10619" t="s">
        <v>209</v>
      </c>
      <c r="F10619" s="11">
        <v>1</v>
      </c>
      <c r="G10619" s="11">
        <v>16806.72</v>
      </c>
    </row>
    <row r="10620" spans="2:7" x14ac:dyDescent="0.2">
      <c r="B10620" s="32">
        <v>46123</v>
      </c>
      <c r="C10620" t="s">
        <v>142</v>
      </c>
      <c r="D10620" s="13" t="s">
        <v>633</v>
      </c>
      <c r="E10620" t="s">
        <v>606</v>
      </c>
      <c r="F10620" s="11">
        <v>1</v>
      </c>
      <c r="G10620" s="11">
        <v>210084.03</v>
      </c>
    </row>
    <row r="10621" spans="2:7" x14ac:dyDescent="0.2">
      <c r="B10621" s="32">
        <v>46123</v>
      </c>
      <c r="C10621" t="s">
        <v>142</v>
      </c>
      <c r="D10621" s="13" t="s">
        <v>633</v>
      </c>
      <c r="E10621" t="s">
        <v>400</v>
      </c>
      <c r="F10621" s="11">
        <v>1</v>
      </c>
      <c r="G10621" s="11">
        <v>138655.46</v>
      </c>
    </row>
    <row r="10622" spans="2:7" x14ac:dyDescent="0.2">
      <c r="B10622" s="32">
        <v>46123</v>
      </c>
      <c r="C10622" t="s">
        <v>142</v>
      </c>
      <c r="D10622" s="13" t="s">
        <v>633</v>
      </c>
      <c r="E10622" t="s">
        <v>203</v>
      </c>
      <c r="F10622" s="11">
        <v>1</v>
      </c>
      <c r="G10622" s="11">
        <v>42016.81</v>
      </c>
    </row>
    <row r="10623" spans="2:7" x14ac:dyDescent="0.2">
      <c r="B10623" s="32">
        <v>46123</v>
      </c>
      <c r="C10623" t="s">
        <v>110</v>
      </c>
      <c r="D10623" s="13" t="s">
        <v>633</v>
      </c>
      <c r="E10623" t="s">
        <v>151</v>
      </c>
      <c r="F10623" s="11">
        <v>1</v>
      </c>
      <c r="G10623" s="11">
        <v>50420.17</v>
      </c>
    </row>
    <row r="10624" spans="2:7" x14ac:dyDescent="0.2">
      <c r="B10624" s="32">
        <v>46123</v>
      </c>
      <c r="C10624" t="s">
        <v>110</v>
      </c>
      <c r="D10624" s="13" t="s">
        <v>633</v>
      </c>
      <c r="E10624" t="s">
        <v>166</v>
      </c>
      <c r="F10624" s="11">
        <v>1</v>
      </c>
      <c r="G10624" s="11">
        <v>42016.81</v>
      </c>
    </row>
    <row r="10625" spans="2:7" x14ac:dyDescent="0.2">
      <c r="B10625" s="32">
        <v>46123</v>
      </c>
      <c r="C10625" t="s">
        <v>109</v>
      </c>
      <c r="D10625" s="13" t="s">
        <v>634</v>
      </c>
      <c r="E10625" t="s">
        <v>610</v>
      </c>
      <c r="F10625" s="11">
        <v>1</v>
      </c>
      <c r="G10625" s="11">
        <v>277310.92</v>
      </c>
    </row>
    <row r="10626" spans="2:7" x14ac:dyDescent="0.2">
      <c r="B10626" s="32">
        <v>46123</v>
      </c>
      <c r="C10626" t="s">
        <v>109</v>
      </c>
      <c r="D10626" s="13" t="s">
        <v>634</v>
      </c>
      <c r="F10626" s="11">
        <v>2</v>
      </c>
      <c r="G10626" s="11">
        <v>252100.85</v>
      </c>
    </row>
    <row r="10627" spans="2:7" x14ac:dyDescent="0.2">
      <c r="B10627" s="32">
        <v>46123</v>
      </c>
      <c r="C10627" t="s">
        <v>109</v>
      </c>
      <c r="D10627" s="13" t="s">
        <v>634</v>
      </c>
      <c r="E10627" t="s">
        <v>623</v>
      </c>
      <c r="F10627" s="11">
        <v>1</v>
      </c>
      <c r="G10627" s="11">
        <v>193277.31</v>
      </c>
    </row>
    <row r="10628" spans="2:7" x14ac:dyDescent="0.2">
      <c r="B10628" s="32">
        <v>46123</v>
      </c>
      <c r="C10628" t="s">
        <v>109</v>
      </c>
      <c r="D10628" s="13" t="s">
        <v>634</v>
      </c>
      <c r="E10628" t="s">
        <v>144</v>
      </c>
      <c r="F10628" s="11">
        <v>8</v>
      </c>
      <c r="G10628" s="11">
        <v>132773.10999999999</v>
      </c>
    </row>
    <row r="10629" spans="2:7" x14ac:dyDescent="0.2">
      <c r="B10629" s="32">
        <v>46123</v>
      </c>
      <c r="C10629" t="s">
        <v>109</v>
      </c>
      <c r="D10629" s="13" t="s">
        <v>634</v>
      </c>
      <c r="E10629" t="s">
        <v>567</v>
      </c>
      <c r="F10629" s="11">
        <v>1</v>
      </c>
      <c r="G10629" s="11">
        <v>117647.06</v>
      </c>
    </row>
    <row r="10630" spans="2:7" x14ac:dyDescent="0.2">
      <c r="B10630" s="32">
        <v>46123</v>
      </c>
      <c r="C10630" t="s">
        <v>109</v>
      </c>
      <c r="D10630" s="13" t="s">
        <v>634</v>
      </c>
      <c r="E10630" t="s">
        <v>420</v>
      </c>
      <c r="F10630" s="11">
        <v>1</v>
      </c>
      <c r="G10630" s="11">
        <v>113445.38</v>
      </c>
    </row>
    <row r="10631" spans="2:7" x14ac:dyDescent="0.2">
      <c r="B10631" s="32">
        <v>46123</v>
      </c>
      <c r="C10631" t="s">
        <v>109</v>
      </c>
      <c r="D10631" s="13" t="s">
        <v>634</v>
      </c>
      <c r="E10631" t="s">
        <v>571</v>
      </c>
      <c r="F10631" s="11">
        <v>1</v>
      </c>
      <c r="G10631" s="11">
        <v>109243.7</v>
      </c>
    </row>
    <row r="10632" spans="2:7" x14ac:dyDescent="0.2">
      <c r="B10632" s="32">
        <v>46123</v>
      </c>
      <c r="C10632" t="s">
        <v>109</v>
      </c>
      <c r="D10632" s="13" t="s">
        <v>634</v>
      </c>
      <c r="E10632" t="s">
        <v>156</v>
      </c>
      <c r="F10632" s="11">
        <v>2</v>
      </c>
      <c r="G10632" s="11">
        <v>92436.97</v>
      </c>
    </row>
    <row r="10633" spans="2:7" x14ac:dyDescent="0.2">
      <c r="B10633" s="32">
        <v>46123</v>
      </c>
      <c r="C10633" t="s">
        <v>109</v>
      </c>
      <c r="D10633" s="13" t="s">
        <v>634</v>
      </c>
      <c r="E10633" t="s">
        <v>575</v>
      </c>
      <c r="F10633" s="11">
        <v>1</v>
      </c>
      <c r="G10633" s="11">
        <v>82352.94</v>
      </c>
    </row>
    <row r="10634" spans="2:7" x14ac:dyDescent="0.2">
      <c r="B10634" s="32">
        <v>46123</v>
      </c>
      <c r="C10634" t="s">
        <v>109</v>
      </c>
      <c r="D10634" s="13" t="s">
        <v>634</v>
      </c>
      <c r="E10634" t="s">
        <v>149</v>
      </c>
      <c r="F10634" s="11">
        <v>1</v>
      </c>
      <c r="G10634" s="11">
        <v>75630.25</v>
      </c>
    </row>
    <row r="10635" spans="2:7" x14ac:dyDescent="0.2">
      <c r="B10635" s="32">
        <v>46123</v>
      </c>
      <c r="C10635" t="s">
        <v>109</v>
      </c>
      <c r="D10635" s="13" t="s">
        <v>634</v>
      </c>
      <c r="E10635" t="s">
        <v>537</v>
      </c>
      <c r="F10635" s="11">
        <v>1</v>
      </c>
      <c r="G10635" s="11">
        <v>63025.21</v>
      </c>
    </row>
    <row r="10636" spans="2:7" x14ac:dyDescent="0.2">
      <c r="B10636" s="32">
        <v>46123</v>
      </c>
      <c r="C10636" t="s">
        <v>109</v>
      </c>
      <c r="D10636" s="13" t="s">
        <v>634</v>
      </c>
      <c r="E10636" t="s">
        <v>153</v>
      </c>
      <c r="F10636" s="11">
        <v>1</v>
      </c>
      <c r="G10636" s="11">
        <v>46218.49</v>
      </c>
    </row>
    <row r="10637" spans="2:7" x14ac:dyDescent="0.2">
      <c r="B10637" s="32">
        <v>46123</v>
      </c>
      <c r="C10637" t="s">
        <v>109</v>
      </c>
      <c r="D10637" s="13" t="s">
        <v>633</v>
      </c>
      <c r="F10637" s="11">
        <v>2</v>
      </c>
      <c r="G10637" s="11">
        <v>252100.84</v>
      </c>
    </row>
    <row r="10638" spans="2:7" x14ac:dyDescent="0.2">
      <c r="B10638" s="32">
        <v>46123</v>
      </c>
      <c r="C10638" t="s">
        <v>109</v>
      </c>
      <c r="D10638" s="13" t="s">
        <v>633</v>
      </c>
      <c r="E10638" t="s">
        <v>159</v>
      </c>
      <c r="F10638" s="11">
        <v>1</v>
      </c>
      <c r="G10638" s="11">
        <v>239495.8</v>
      </c>
    </row>
    <row r="10639" spans="2:7" x14ac:dyDescent="0.2">
      <c r="B10639" s="32">
        <v>46123</v>
      </c>
      <c r="C10639" t="s">
        <v>109</v>
      </c>
      <c r="D10639" s="13" t="s">
        <v>633</v>
      </c>
      <c r="E10639" t="s">
        <v>620</v>
      </c>
      <c r="F10639" s="11">
        <v>1</v>
      </c>
      <c r="G10639" s="11">
        <v>142857.14000000001</v>
      </c>
    </row>
    <row r="10640" spans="2:7" x14ac:dyDescent="0.2">
      <c r="B10640" s="32">
        <v>46123</v>
      </c>
      <c r="C10640" t="s">
        <v>109</v>
      </c>
      <c r="D10640" s="13" t="s">
        <v>633</v>
      </c>
      <c r="E10640" t="s">
        <v>575</v>
      </c>
      <c r="F10640" s="11">
        <v>1</v>
      </c>
      <c r="G10640" s="11">
        <v>82352.94</v>
      </c>
    </row>
    <row r="10641" spans="2:7" x14ac:dyDescent="0.2">
      <c r="B10641" s="32">
        <v>46123</v>
      </c>
      <c r="C10641" t="s">
        <v>109</v>
      </c>
      <c r="D10641" s="13" t="s">
        <v>633</v>
      </c>
      <c r="E10641" t="s">
        <v>352</v>
      </c>
      <c r="F10641" s="11">
        <v>1</v>
      </c>
      <c r="G10641" s="11">
        <v>75630.25</v>
      </c>
    </row>
    <row r="10642" spans="2:7" x14ac:dyDescent="0.2">
      <c r="B10642" s="32">
        <v>46123</v>
      </c>
      <c r="C10642" t="s">
        <v>109</v>
      </c>
      <c r="D10642" s="13" t="s">
        <v>633</v>
      </c>
      <c r="E10642" t="s">
        <v>164</v>
      </c>
      <c r="F10642" s="11">
        <v>1</v>
      </c>
      <c r="G10642" s="11">
        <v>75630.25</v>
      </c>
    </row>
    <row r="10643" spans="2:7" x14ac:dyDescent="0.2">
      <c r="B10643" s="32">
        <v>46123</v>
      </c>
      <c r="C10643" t="s">
        <v>109</v>
      </c>
      <c r="D10643" s="13" t="s">
        <v>633</v>
      </c>
      <c r="E10643" t="s">
        <v>337</v>
      </c>
      <c r="F10643" s="11">
        <v>1</v>
      </c>
      <c r="G10643" s="11">
        <v>50420.17</v>
      </c>
    </row>
    <row r="10644" spans="2:7" x14ac:dyDescent="0.2">
      <c r="B10644" s="32">
        <v>46123</v>
      </c>
      <c r="C10644" t="s">
        <v>109</v>
      </c>
      <c r="D10644" s="13" t="s">
        <v>633</v>
      </c>
      <c r="E10644" t="s">
        <v>240</v>
      </c>
      <c r="F10644" s="11">
        <v>1</v>
      </c>
      <c r="G10644" s="11">
        <v>46218.49</v>
      </c>
    </row>
    <row r="10645" spans="2:7" x14ac:dyDescent="0.2">
      <c r="B10645" s="32">
        <v>46123</v>
      </c>
      <c r="C10645" t="s">
        <v>109</v>
      </c>
      <c r="D10645" s="13" t="s">
        <v>633</v>
      </c>
      <c r="E10645" t="s">
        <v>166</v>
      </c>
      <c r="F10645" s="11">
        <v>1</v>
      </c>
      <c r="G10645" s="11">
        <v>42016.81</v>
      </c>
    </row>
    <row r="10646" spans="2:7" x14ac:dyDescent="0.2">
      <c r="B10646" s="32">
        <v>46123</v>
      </c>
      <c r="C10646" t="s">
        <v>109</v>
      </c>
      <c r="D10646" s="13" t="s">
        <v>633</v>
      </c>
      <c r="E10646" t="s">
        <v>456</v>
      </c>
      <c r="F10646" s="11">
        <v>1</v>
      </c>
      <c r="G10646" s="11">
        <v>16806.72</v>
      </c>
    </row>
    <row r="10647" spans="2:7" x14ac:dyDescent="0.2">
      <c r="B10647" s="32">
        <v>46124</v>
      </c>
      <c r="C10647" t="s">
        <v>142</v>
      </c>
      <c r="D10647" s="13" t="s">
        <v>634</v>
      </c>
      <c r="E10647" t="s">
        <v>420</v>
      </c>
      <c r="F10647" s="11">
        <v>1</v>
      </c>
      <c r="G10647" s="11">
        <v>113445.38</v>
      </c>
    </row>
    <row r="10648" spans="2:7" x14ac:dyDescent="0.2">
      <c r="B10648" s="32">
        <v>46124</v>
      </c>
      <c r="C10648" t="s">
        <v>142</v>
      </c>
      <c r="D10648" s="13" t="s">
        <v>634</v>
      </c>
      <c r="E10648" t="s">
        <v>194</v>
      </c>
      <c r="F10648" s="11">
        <v>1</v>
      </c>
      <c r="G10648" s="11">
        <v>113445.38</v>
      </c>
    </row>
    <row r="10649" spans="2:7" x14ac:dyDescent="0.2">
      <c r="B10649" s="32">
        <v>46124</v>
      </c>
      <c r="C10649" t="s">
        <v>142</v>
      </c>
      <c r="D10649" s="13" t="s">
        <v>634</v>
      </c>
      <c r="E10649" t="s">
        <v>534</v>
      </c>
      <c r="F10649" s="11">
        <v>1</v>
      </c>
      <c r="G10649" s="11">
        <v>75630.25</v>
      </c>
    </row>
    <row r="10650" spans="2:7" x14ac:dyDescent="0.2">
      <c r="B10650" s="32">
        <v>46124</v>
      </c>
      <c r="C10650" t="s">
        <v>142</v>
      </c>
      <c r="D10650" s="13" t="s">
        <v>634</v>
      </c>
      <c r="E10650" t="s">
        <v>153</v>
      </c>
      <c r="F10650" s="11">
        <v>1</v>
      </c>
      <c r="G10650" s="11">
        <v>46218.49</v>
      </c>
    </row>
    <row r="10651" spans="2:7" x14ac:dyDescent="0.2">
      <c r="B10651" s="32">
        <v>46124</v>
      </c>
      <c r="C10651" t="s">
        <v>142</v>
      </c>
      <c r="D10651" s="13" t="s">
        <v>633</v>
      </c>
      <c r="E10651" t="s">
        <v>618</v>
      </c>
      <c r="F10651" s="11">
        <v>1</v>
      </c>
      <c r="G10651" s="11">
        <v>113445.38</v>
      </c>
    </row>
    <row r="10652" spans="2:7" x14ac:dyDescent="0.2">
      <c r="B10652" s="32">
        <v>46124</v>
      </c>
      <c r="C10652" t="s">
        <v>142</v>
      </c>
      <c r="D10652" s="13" t="s">
        <v>633</v>
      </c>
      <c r="E10652" t="s">
        <v>536</v>
      </c>
      <c r="F10652" s="11">
        <v>1</v>
      </c>
      <c r="G10652" s="11">
        <v>58823.53</v>
      </c>
    </row>
    <row r="10653" spans="2:7" x14ac:dyDescent="0.2">
      <c r="B10653" s="32">
        <v>46124</v>
      </c>
      <c r="C10653" t="s">
        <v>142</v>
      </c>
      <c r="D10653" s="13" t="s">
        <v>633</v>
      </c>
      <c r="E10653" t="s">
        <v>239</v>
      </c>
      <c r="F10653" s="11">
        <v>1</v>
      </c>
      <c r="G10653" s="11">
        <v>50420.17</v>
      </c>
    </row>
    <row r="10654" spans="2:7" x14ac:dyDescent="0.2">
      <c r="B10654" s="32">
        <v>46124</v>
      </c>
      <c r="C10654" t="s">
        <v>109</v>
      </c>
      <c r="D10654" s="13" t="s">
        <v>634</v>
      </c>
      <c r="F10654" s="11">
        <v>3</v>
      </c>
      <c r="G10654" s="11">
        <v>378151.26</v>
      </c>
    </row>
    <row r="10655" spans="2:7" x14ac:dyDescent="0.2">
      <c r="B10655" s="32">
        <v>46124</v>
      </c>
      <c r="C10655" t="s">
        <v>109</v>
      </c>
      <c r="D10655" s="13" t="s">
        <v>634</v>
      </c>
      <c r="E10655" t="s">
        <v>352</v>
      </c>
      <c r="F10655" s="11">
        <v>2</v>
      </c>
      <c r="G10655" s="11">
        <v>151260.5</v>
      </c>
    </row>
    <row r="10656" spans="2:7" x14ac:dyDescent="0.2">
      <c r="B10656" s="32">
        <v>46124</v>
      </c>
      <c r="C10656" t="s">
        <v>109</v>
      </c>
      <c r="D10656" s="13" t="s">
        <v>634</v>
      </c>
      <c r="E10656" t="s">
        <v>619</v>
      </c>
      <c r="F10656" s="11">
        <v>1</v>
      </c>
      <c r="G10656" s="11">
        <v>54621.85</v>
      </c>
    </row>
    <row r="10657" spans="2:7" x14ac:dyDescent="0.2">
      <c r="B10657" s="32">
        <v>46124</v>
      </c>
      <c r="C10657" t="s">
        <v>109</v>
      </c>
      <c r="D10657" s="13" t="s">
        <v>634</v>
      </c>
      <c r="E10657" t="s">
        <v>473</v>
      </c>
      <c r="F10657" s="11">
        <v>1</v>
      </c>
      <c r="G10657" s="11">
        <v>54621.85</v>
      </c>
    </row>
    <row r="10658" spans="2:7" x14ac:dyDescent="0.2">
      <c r="B10658" s="32">
        <v>46124</v>
      </c>
      <c r="C10658" t="s">
        <v>109</v>
      </c>
      <c r="D10658" s="13" t="s">
        <v>634</v>
      </c>
      <c r="E10658" t="s">
        <v>587</v>
      </c>
      <c r="F10658" s="11">
        <v>1</v>
      </c>
      <c r="G10658" s="11">
        <v>54621.85</v>
      </c>
    </row>
    <row r="10659" spans="2:7" x14ac:dyDescent="0.2">
      <c r="B10659" s="32">
        <v>46124</v>
      </c>
      <c r="C10659" t="s">
        <v>109</v>
      </c>
      <c r="D10659" s="13" t="s">
        <v>634</v>
      </c>
      <c r="E10659" t="s">
        <v>445</v>
      </c>
      <c r="F10659" s="11">
        <v>1</v>
      </c>
      <c r="G10659" s="11">
        <v>54621.85</v>
      </c>
    </row>
    <row r="10660" spans="2:7" x14ac:dyDescent="0.2">
      <c r="B10660" s="32">
        <v>46124</v>
      </c>
      <c r="C10660" t="s">
        <v>109</v>
      </c>
      <c r="D10660" s="13" t="s">
        <v>634</v>
      </c>
      <c r="E10660" t="s">
        <v>614</v>
      </c>
      <c r="F10660" s="11">
        <v>1</v>
      </c>
      <c r="G10660" s="11">
        <v>54621.85</v>
      </c>
    </row>
    <row r="10661" spans="2:7" x14ac:dyDescent="0.2">
      <c r="B10661" s="32">
        <v>46124</v>
      </c>
      <c r="C10661" t="s">
        <v>109</v>
      </c>
      <c r="D10661" s="13" t="s">
        <v>634</v>
      </c>
      <c r="E10661" t="s">
        <v>303</v>
      </c>
      <c r="F10661" s="11">
        <v>1</v>
      </c>
      <c r="G10661" s="11">
        <v>54621.85</v>
      </c>
    </row>
    <row r="10662" spans="2:7" x14ac:dyDescent="0.2">
      <c r="B10662" s="32">
        <v>46124</v>
      </c>
      <c r="C10662" t="s">
        <v>109</v>
      </c>
      <c r="D10662" s="13" t="s">
        <v>634</v>
      </c>
      <c r="E10662" t="s">
        <v>555</v>
      </c>
      <c r="F10662" s="11">
        <v>1</v>
      </c>
      <c r="G10662" s="11">
        <v>50420.17</v>
      </c>
    </row>
    <row r="10663" spans="2:7" x14ac:dyDescent="0.2">
      <c r="B10663" s="32">
        <v>46124</v>
      </c>
      <c r="C10663" t="s">
        <v>109</v>
      </c>
      <c r="D10663" s="13" t="s">
        <v>634</v>
      </c>
      <c r="E10663" t="s">
        <v>198</v>
      </c>
      <c r="F10663" s="11">
        <v>1</v>
      </c>
      <c r="G10663" s="11">
        <v>50420.17</v>
      </c>
    </row>
    <row r="10664" spans="2:7" x14ac:dyDescent="0.2">
      <c r="B10664" s="32">
        <v>46124</v>
      </c>
      <c r="C10664" t="s">
        <v>109</v>
      </c>
      <c r="D10664" s="13" t="s">
        <v>634</v>
      </c>
      <c r="E10664" t="s">
        <v>291</v>
      </c>
      <c r="F10664" s="11">
        <v>1</v>
      </c>
      <c r="G10664" s="11">
        <v>50420.160000000003</v>
      </c>
    </row>
    <row r="10665" spans="2:7" x14ac:dyDescent="0.2">
      <c r="B10665" s="32">
        <v>46124</v>
      </c>
      <c r="C10665" t="s">
        <v>109</v>
      </c>
      <c r="D10665" s="13" t="s">
        <v>634</v>
      </c>
      <c r="E10665" t="s">
        <v>153</v>
      </c>
      <c r="F10665" s="11">
        <v>1</v>
      </c>
      <c r="G10665" s="11">
        <v>46218.49</v>
      </c>
    </row>
    <row r="10666" spans="2:7" x14ac:dyDescent="0.2">
      <c r="B10666" s="32">
        <v>46124</v>
      </c>
      <c r="C10666" t="s">
        <v>109</v>
      </c>
      <c r="D10666" s="13" t="s">
        <v>634</v>
      </c>
      <c r="E10666" t="s">
        <v>173</v>
      </c>
      <c r="F10666" s="11">
        <v>1</v>
      </c>
      <c r="G10666" s="11">
        <v>37815.129999999997</v>
      </c>
    </row>
    <row r="10667" spans="2:7" x14ac:dyDescent="0.2">
      <c r="B10667" s="32">
        <v>46124</v>
      </c>
      <c r="C10667" t="s">
        <v>109</v>
      </c>
      <c r="D10667" s="13" t="s">
        <v>634</v>
      </c>
      <c r="E10667" t="s">
        <v>145</v>
      </c>
      <c r="F10667" s="11">
        <v>1</v>
      </c>
      <c r="G10667" s="11">
        <v>29411.759999999998</v>
      </c>
    </row>
    <row r="10668" spans="2:7" x14ac:dyDescent="0.2">
      <c r="B10668" s="32">
        <v>46124</v>
      </c>
      <c r="C10668" t="s">
        <v>109</v>
      </c>
      <c r="D10668" s="13" t="s">
        <v>633</v>
      </c>
      <c r="E10668" t="s">
        <v>679</v>
      </c>
      <c r="F10668" s="11">
        <v>6</v>
      </c>
      <c r="G10668" s="11">
        <v>327731.09000000003</v>
      </c>
    </row>
    <row r="10669" spans="2:7" x14ac:dyDescent="0.2">
      <c r="B10669" s="32">
        <v>46124</v>
      </c>
      <c r="C10669" t="s">
        <v>109</v>
      </c>
      <c r="D10669" s="13" t="s">
        <v>633</v>
      </c>
      <c r="E10669" t="s">
        <v>569</v>
      </c>
      <c r="F10669" s="11">
        <v>1</v>
      </c>
      <c r="G10669" s="11">
        <v>109243.7</v>
      </c>
    </row>
    <row r="10670" spans="2:7" x14ac:dyDescent="0.2">
      <c r="B10670" s="32">
        <v>46124</v>
      </c>
      <c r="C10670" t="s">
        <v>109</v>
      </c>
      <c r="D10670" s="13" t="s">
        <v>633</v>
      </c>
      <c r="E10670" t="s">
        <v>174</v>
      </c>
      <c r="F10670" s="11">
        <v>1</v>
      </c>
      <c r="G10670" s="11">
        <v>84033.61</v>
      </c>
    </row>
    <row r="10671" spans="2:7" x14ac:dyDescent="0.2">
      <c r="B10671" s="32">
        <v>46124</v>
      </c>
      <c r="C10671" t="s">
        <v>109</v>
      </c>
      <c r="D10671" s="13" t="s">
        <v>633</v>
      </c>
      <c r="E10671" t="s">
        <v>368</v>
      </c>
      <c r="F10671" s="11">
        <v>1</v>
      </c>
      <c r="G10671" s="11">
        <v>84033.61</v>
      </c>
    </row>
    <row r="10672" spans="2:7" x14ac:dyDescent="0.2">
      <c r="B10672" s="32">
        <v>46124</v>
      </c>
      <c r="C10672" t="s">
        <v>109</v>
      </c>
      <c r="D10672" s="13" t="s">
        <v>633</v>
      </c>
      <c r="E10672" t="s">
        <v>144</v>
      </c>
      <c r="F10672" s="11">
        <v>6</v>
      </c>
      <c r="G10672" s="11">
        <v>67226.880000000005</v>
      </c>
    </row>
    <row r="10673" spans="2:7" x14ac:dyDescent="0.2">
      <c r="B10673" s="32">
        <v>46124</v>
      </c>
      <c r="C10673" t="s">
        <v>109</v>
      </c>
      <c r="D10673" s="13" t="s">
        <v>633</v>
      </c>
      <c r="E10673" t="s">
        <v>145</v>
      </c>
      <c r="F10673" s="11">
        <v>2</v>
      </c>
      <c r="G10673" s="11">
        <v>58823.53</v>
      </c>
    </row>
    <row r="10674" spans="2:7" x14ac:dyDescent="0.2">
      <c r="B10674" s="32">
        <v>46124</v>
      </c>
      <c r="C10674" t="s">
        <v>109</v>
      </c>
      <c r="D10674" s="13" t="s">
        <v>633</v>
      </c>
      <c r="E10674" t="s">
        <v>642</v>
      </c>
      <c r="F10674" s="11">
        <v>1</v>
      </c>
      <c r="G10674" s="11">
        <v>49000</v>
      </c>
    </row>
    <row r="10675" spans="2:7" x14ac:dyDescent="0.2">
      <c r="B10675" s="32">
        <v>46124</v>
      </c>
      <c r="C10675" t="s">
        <v>109</v>
      </c>
      <c r="D10675" s="13" t="s">
        <v>633</v>
      </c>
      <c r="E10675" t="s">
        <v>150</v>
      </c>
      <c r="F10675" s="11">
        <v>1</v>
      </c>
      <c r="G10675" s="11">
        <v>46218.49</v>
      </c>
    </row>
    <row r="10676" spans="2:7" x14ac:dyDescent="0.2">
      <c r="B10676" s="32">
        <v>46124</v>
      </c>
      <c r="C10676" t="s">
        <v>109</v>
      </c>
      <c r="D10676" s="13" t="s">
        <v>633</v>
      </c>
      <c r="E10676" t="s">
        <v>148</v>
      </c>
      <c r="F10676" s="11">
        <v>1</v>
      </c>
      <c r="G10676" s="11">
        <v>37815.129999999997</v>
      </c>
    </row>
    <row r="10677" spans="2:7" x14ac:dyDescent="0.2">
      <c r="B10677" s="32">
        <v>46124</v>
      </c>
      <c r="C10677" t="s">
        <v>109</v>
      </c>
      <c r="D10677" s="13" t="s">
        <v>633</v>
      </c>
      <c r="E10677" t="s">
        <v>327</v>
      </c>
      <c r="F10677" s="11">
        <v>1</v>
      </c>
      <c r="G10677" s="11">
        <v>35000</v>
      </c>
    </row>
    <row r="10678" spans="2:7" x14ac:dyDescent="0.2">
      <c r="B10678" s="32">
        <v>46125</v>
      </c>
      <c r="C10678" t="s">
        <v>142</v>
      </c>
      <c r="D10678" s="13" t="s">
        <v>634</v>
      </c>
      <c r="E10678" t="s">
        <v>630</v>
      </c>
      <c r="F10678" s="11">
        <v>1</v>
      </c>
      <c r="G10678" s="11">
        <v>138655.46</v>
      </c>
    </row>
    <row r="10679" spans="2:7" x14ac:dyDescent="0.2">
      <c r="B10679" s="32">
        <v>46125</v>
      </c>
      <c r="C10679" t="s">
        <v>142</v>
      </c>
      <c r="D10679" s="13" t="s">
        <v>634</v>
      </c>
      <c r="E10679" t="s">
        <v>267</v>
      </c>
      <c r="F10679" s="11">
        <v>2</v>
      </c>
      <c r="G10679" s="11">
        <v>117647.06</v>
      </c>
    </row>
    <row r="10680" spans="2:7" x14ac:dyDescent="0.2">
      <c r="B10680" s="32">
        <v>46125</v>
      </c>
      <c r="C10680" t="s">
        <v>142</v>
      </c>
      <c r="D10680" s="13" t="s">
        <v>633</v>
      </c>
      <c r="E10680" t="s">
        <v>826</v>
      </c>
      <c r="F10680" s="11">
        <v>1</v>
      </c>
      <c r="G10680" s="11">
        <v>210084.03</v>
      </c>
    </row>
    <row r="10681" spans="2:7" x14ac:dyDescent="0.2">
      <c r="B10681" s="32">
        <v>46125</v>
      </c>
      <c r="C10681" t="s">
        <v>142</v>
      </c>
      <c r="D10681" s="13" t="s">
        <v>633</v>
      </c>
      <c r="E10681" t="s">
        <v>823</v>
      </c>
      <c r="F10681" s="11">
        <v>1</v>
      </c>
      <c r="G10681" s="11">
        <v>180672.27</v>
      </c>
    </row>
    <row r="10682" spans="2:7" x14ac:dyDescent="0.2">
      <c r="B10682" s="32">
        <v>46125</v>
      </c>
      <c r="C10682" t="s">
        <v>142</v>
      </c>
      <c r="D10682" s="13" t="s">
        <v>633</v>
      </c>
      <c r="E10682" t="s">
        <v>234</v>
      </c>
      <c r="F10682" s="11">
        <v>2</v>
      </c>
      <c r="G10682" s="11">
        <v>90000</v>
      </c>
    </row>
    <row r="10683" spans="2:7" x14ac:dyDescent="0.2">
      <c r="B10683" s="32">
        <v>46125</v>
      </c>
      <c r="C10683" t="s">
        <v>142</v>
      </c>
      <c r="D10683" s="13" t="s">
        <v>633</v>
      </c>
      <c r="E10683" t="s">
        <v>336</v>
      </c>
      <c r="F10683" s="11">
        <v>1</v>
      </c>
      <c r="G10683" s="11">
        <v>68067.23</v>
      </c>
    </row>
    <row r="10684" spans="2:7" x14ac:dyDescent="0.2">
      <c r="B10684" s="32">
        <v>46125</v>
      </c>
      <c r="C10684" t="s">
        <v>142</v>
      </c>
      <c r="D10684" s="13" t="s">
        <v>633</v>
      </c>
      <c r="E10684" t="s">
        <v>176</v>
      </c>
      <c r="F10684" s="11">
        <v>1</v>
      </c>
      <c r="G10684" s="11">
        <v>63025.21</v>
      </c>
    </row>
    <row r="10685" spans="2:7" x14ac:dyDescent="0.2">
      <c r="B10685" s="32">
        <v>46125</v>
      </c>
      <c r="C10685" t="s">
        <v>142</v>
      </c>
      <c r="D10685" s="13" t="s">
        <v>633</v>
      </c>
      <c r="E10685" t="s">
        <v>243</v>
      </c>
      <c r="F10685" s="11">
        <v>1</v>
      </c>
      <c r="G10685" s="11">
        <v>54621.85</v>
      </c>
    </row>
    <row r="10686" spans="2:7" x14ac:dyDescent="0.2">
      <c r="B10686" s="32">
        <v>46125</v>
      </c>
      <c r="C10686" t="s">
        <v>142</v>
      </c>
      <c r="D10686" s="13" t="s">
        <v>633</v>
      </c>
      <c r="E10686" t="s">
        <v>148</v>
      </c>
      <c r="F10686" s="11">
        <v>1</v>
      </c>
      <c r="G10686" s="11">
        <v>45000</v>
      </c>
    </row>
    <row r="10687" spans="2:7" x14ac:dyDescent="0.2">
      <c r="B10687" s="32">
        <v>46125</v>
      </c>
      <c r="C10687" t="s">
        <v>110</v>
      </c>
      <c r="D10687" s="13" t="s">
        <v>633</v>
      </c>
      <c r="E10687" t="s">
        <v>382</v>
      </c>
      <c r="F10687" s="11">
        <v>2</v>
      </c>
      <c r="G10687" s="11">
        <v>84033.61</v>
      </c>
    </row>
    <row r="10688" spans="2:7" x14ac:dyDescent="0.2">
      <c r="B10688" s="32">
        <v>46125</v>
      </c>
      <c r="C10688" t="s">
        <v>109</v>
      </c>
      <c r="D10688" s="13" t="s">
        <v>634</v>
      </c>
      <c r="E10688" t="s">
        <v>292</v>
      </c>
      <c r="F10688" s="11">
        <v>2</v>
      </c>
      <c r="G10688" s="11">
        <v>109243.7</v>
      </c>
    </row>
    <row r="10689" spans="2:7" x14ac:dyDescent="0.2">
      <c r="B10689" s="32">
        <v>46125</v>
      </c>
      <c r="C10689" t="s">
        <v>109</v>
      </c>
      <c r="D10689" s="13" t="s">
        <v>634</v>
      </c>
      <c r="E10689" t="s">
        <v>184</v>
      </c>
      <c r="F10689" s="11">
        <v>1</v>
      </c>
      <c r="G10689" s="11">
        <v>100840.34</v>
      </c>
    </row>
    <row r="10690" spans="2:7" x14ac:dyDescent="0.2">
      <c r="B10690" s="32">
        <v>46125</v>
      </c>
      <c r="C10690" t="s">
        <v>109</v>
      </c>
      <c r="D10690" s="13" t="s">
        <v>634</v>
      </c>
      <c r="E10690" t="s">
        <v>149</v>
      </c>
      <c r="F10690" s="11">
        <v>1</v>
      </c>
      <c r="G10690" s="11">
        <v>75630.25</v>
      </c>
    </row>
    <row r="10691" spans="2:7" x14ac:dyDescent="0.2">
      <c r="B10691" s="32">
        <v>46125</v>
      </c>
      <c r="C10691" t="s">
        <v>109</v>
      </c>
      <c r="D10691" s="13" t="s">
        <v>634</v>
      </c>
      <c r="E10691" t="s">
        <v>617</v>
      </c>
      <c r="F10691" s="11">
        <v>1</v>
      </c>
      <c r="G10691" s="11">
        <v>71428.58</v>
      </c>
    </row>
    <row r="10692" spans="2:7" x14ac:dyDescent="0.2">
      <c r="B10692" s="32">
        <v>46125</v>
      </c>
      <c r="C10692" t="s">
        <v>109</v>
      </c>
      <c r="D10692" s="13" t="s">
        <v>634</v>
      </c>
      <c r="E10692" t="s">
        <v>145</v>
      </c>
      <c r="F10692" s="11">
        <v>2</v>
      </c>
      <c r="G10692" s="11">
        <v>58823.53</v>
      </c>
    </row>
    <row r="10693" spans="2:7" x14ac:dyDescent="0.2">
      <c r="B10693" s="32">
        <v>46125</v>
      </c>
      <c r="C10693" t="s">
        <v>109</v>
      </c>
      <c r="D10693" s="13" t="s">
        <v>634</v>
      </c>
      <c r="E10693" t="s">
        <v>616</v>
      </c>
      <c r="F10693" s="11">
        <v>1</v>
      </c>
      <c r="G10693" s="11">
        <v>58823.53</v>
      </c>
    </row>
    <row r="10694" spans="2:7" x14ac:dyDescent="0.2">
      <c r="B10694" s="32">
        <v>46125</v>
      </c>
      <c r="C10694" t="s">
        <v>109</v>
      </c>
      <c r="D10694" s="13" t="s">
        <v>634</v>
      </c>
      <c r="E10694" t="s">
        <v>345</v>
      </c>
      <c r="F10694" s="11">
        <v>1</v>
      </c>
      <c r="G10694" s="11">
        <v>54621.85</v>
      </c>
    </row>
    <row r="10695" spans="2:7" x14ac:dyDescent="0.2">
      <c r="B10695" s="32">
        <v>46125</v>
      </c>
      <c r="C10695" t="s">
        <v>109</v>
      </c>
      <c r="D10695" s="13" t="s">
        <v>634</v>
      </c>
      <c r="E10695" t="s">
        <v>203</v>
      </c>
      <c r="F10695" s="11">
        <v>1</v>
      </c>
      <c r="G10695" s="11">
        <v>42016.81</v>
      </c>
    </row>
    <row r="10696" spans="2:7" x14ac:dyDescent="0.2">
      <c r="B10696" s="32">
        <v>46125</v>
      </c>
      <c r="C10696" t="s">
        <v>109</v>
      </c>
      <c r="D10696" s="13" t="s">
        <v>634</v>
      </c>
      <c r="E10696" t="s">
        <v>144</v>
      </c>
      <c r="F10696" s="11">
        <v>1</v>
      </c>
      <c r="G10696" s="11">
        <v>16806.72</v>
      </c>
    </row>
    <row r="10697" spans="2:7" x14ac:dyDescent="0.2">
      <c r="B10697" s="32">
        <v>46125</v>
      </c>
      <c r="C10697" t="s">
        <v>109</v>
      </c>
      <c r="D10697" s="13" t="s">
        <v>634</v>
      </c>
      <c r="E10697" t="s">
        <v>552</v>
      </c>
      <c r="F10697" s="11">
        <v>1</v>
      </c>
      <c r="G10697" s="11">
        <v>16806.72</v>
      </c>
    </row>
    <row r="10698" spans="2:7" x14ac:dyDescent="0.2">
      <c r="B10698" s="32">
        <v>46125</v>
      </c>
      <c r="C10698" t="s">
        <v>109</v>
      </c>
      <c r="D10698" s="13" t="s">
        <v>634</v>
      </c>
      <c r="E10698" t="s">
        <v>309</v>
      </c>
      <c r="F10698" s="11">
        <v>1</v>
      </c>
      <c r="G10698" s="11">
        <v>0</v>
      </c>
    </row>
    <row r="10699" spans="2:7" x14ac:dyDescent="0.2">
      <c r="B10699" s="32">
        <v>46125</v>
      </c>
      <c r="C10699" t="s">
        <v>109</v>
      </c>
      <c r="D10699" s="13" t="s">
        <v>633</v>
      </c>
      <c r="E10699" t="s">
        <v>164</v>
      </c>
      <c r="F10699" s="11">
        <v>3</v>
      </c>
      <c r="G10699" s="11">
        <v>219327.73</v>
      </c>
    </row>
    <row r="10700" spans="2:7" x14ac:dyDescent="0.2">
      <c r="B10700" s="32">
        <v>46125</v>
      </c>
      <c r="C10700" t="s">
        <v>109</v>
      </c>
      <c r="D10700" s="13" t="s">
        <v>633</v>
      </c>
      <c r="E10700" t="s">
        <v>475</v>
      </c>
      <c r="F10700" s="11">
        <v>2</v>
      </c>
      <c r="G10700" s="11">
        <v>136134.45000000001</v>
      </c>
    </row>
    <row r="10701" spans="2:7" x14ac:dyDescent="0.2">
      <c r="B10701" s="32">
        <v>46125</v>
      </c>
      <c r="C10701" t="s">
        <v>109</v>
      </c>
      <c r="D10701" s="13" t="s">
        <v>633</v>
      </c>
      <c r="E10701" t="s">
        <v>334</v>
      </c>
      <c r="F10701" s="11">
        <v>2</v>
      </c>
      <c r="G10701" s="11">
        <v>136134.45000000001</v>
      </c>
    </row>
    <row r="10702" spans="2:7" x14ac:dyDescent="0.2">
      <c r="B10702" s="32">
        <v>46125</v>
      </c>
      <c r="C10702" t="s">
        <v>109</v>
      </c>
      <c r="D10702" s="13" t="s">
        <v>633</v>
      </c>
      <c r="E10702" t="s">
        <v>147</v>
      </c>
      <c r="F10702" s="11">
        <v>2</v>
      </c>
      <c r="G10702" s="11">
        <v>136134.45000000001</v>
      </c>
    </row>
    <row r="10703" spans="2:7" x14ac:dyDescent="0.2">
      <c r="B10703" s="32">
        <v>46125</v>
      </c>
      <c r="C10703" t="s">
        <v>109</v>
      </c>
      <c r="D10703" s="13" t="s">
        <v>633</v>
      </c>
      <c r="F10703" s="11">
        <v>1</v>
      </c>
      <c r="G10703" s="11">
        <v>126050.42</v>
      </c>
    </row>
    <row r="10704" spans="2:7" x14ac:dyDescent="0.2">
      <c r="B10704" s="32">
        <v>46125</v>
      </c>
      <c r="C10704" t="s">
        <v>109</v>
      </c>
      <c r="D10704" s="13" t="s">
        <v>633</v>
      </c>
      <c r="E10704" t="s">
        <v>569</v>
      </c>
      <c r="F10704" s="11">
        <v>1</v>
      </c>
      <c r="G10704" s="11">
        <v>109243.7</v>
      </c>
    </row>
    <row r="10705" spans="2:7" x14ac:dyDescent="0.2">
      <c r="B10705" s="32">
        <v>46125</v>
      </c>
      <c r="C10705" t="s">
        <v>109</v>
      </c>
      <c r="D10705" s="13" t="s">
        <v>633</v>
      </c>
      <c r="E10705" t="s">
        <v>536</v>
      </c>
      <c r="F10705" s="11">
        <v>1</v>
      </c>
      <c r="G10705" s="11">
        <v>109243.7</v>
      </c>
    </row>
    <row r="10706" spans="2:7" x14ac:dyDescent="0.2">
      <c r="B10706" s="32">
        <v>46125</v>
      </c>
      <c r="C10706" t="s">
        <v>109</v>
      </c>
      <c r="D10706" s="13" t="s">
        <v>633</v>
      </c>
      <c r="E10706" t="s">
        <v>184</v>
      </c>
      <c r="F10706" s="11">
        <v>1</v>
      </c>
      <c r="G10706" s="11">
        <v>100840.34</v>
      </c>
    </row>
    <row r="10707" spans="2:7" x14ac:dyDescent="0.2">
      <c r="B10707" s="32">
        <v>46125</v>
      </c>
      <c r="C10707" t="s">
        <v>109</v>
      </c>
      <c r="D10707" s="13" t="s">
        <v>633</v>
      </c>
      <c r="E10707" t="s">
        <v>179</v>
      </c>
      <c r="F10707" s="11">
        <v>2</v>
      </c>
      <c r="G10707" s="11">
        <v>100840.33</v>
      </c>
    </row>
    <row r="10708" spans="2:7" x14ac:dyDescent="0.2">
      <c r="B10708" s="32">
        <v>46125</v>
      </c>
      <c r="C10708" t="s">
        <v>109</v>
      </c>
      <c r="D10708" s="13" t="s">
        <v>633</v>
      </c>
      <c r="E10708" t="s">
        <v>144</v>
      </c>
      <c r="F10708" s="11">
        <v>6</v>
      </c>
      <c r="G10708" s="11">
        <v>100840.32000000001</v>
      </c>
    </row>
    <row r="10709" spans="2:7" x14ac:dyDescent="0.2">
      <c r="B10709" s="32">
        <v>46125</v>
      </c>
      <c r="C10709" t="s">
        <v>109</v>
      </c>
      <c r="D10709" s="13" t="s">
        <v>633</v>
      </c>
      <c r="E10709" t="s">
        <v>156</v>
      </c>
      <c r="F10709" s="11">
        <v>2</v>
      </c>
      <c r="G10709" s="11">
        <v>92436.97</v>
      </c>
    </row>
    <row r="10710" spans="2:7" x14ac:dyDescent="0.2">
      <c r="B10710" s="32">
        <v>46125</v>
      </c>
      <c r="C10710" t="s">
        <v>109</v>
      </c>
      <c r="D10710" s="13" t="s">
        <v>633</v>
      </c>
      <c r="E10710" t="s">
        <v>405</v>
      </c>
      <c r="F10710" s="11">
        <v>1</v>
      </c>
      <c r="G10710" s="11">
        <v>79831.94</v>
      </c>
    </row>
    <row r="10711" spans="2:7" x14ac:dyDescent="0.2">
      <c r="B10711" s="32">
        <v>46125</v>
      </c>
      <c r="C10711" t="s">
        <v>109</v>
      </c>
      <c r="D10711" s="13" t="s">
        <v>633</v>
      </c>
      <c r="E10711" t="s">
        <v>361</v>
      </c>
      <c r="F10711" s="11">
        <v>1</v>
      </c>
      <c r="G10711" s="11">
        <v>79831.929999999993</v>
      </c>
    </row>
    <row r="10712" spans="2:7" x14ac:dyDescent="0.2">
      <c r="B10712" s="32">
        <v>46125</v>
      </c>
      <c r="C10712" t="s">
        <v>109</v>
      </c>
      <c r="D10712" s="13" t="s">
        <v>633</v>
      </c>
      <c r="E10712" t="s">
        <v>394</v>
      </c>
      <c r="F10712" s="11">
        <v>1</v>
      </c>
      <c r="G10712" s="11">
        <v>79831.929999999993</v>
      </c>
    </row>
    <row r="10713" spans="2:7" x14ac:dyDescent="0.2">
      <c r="B10713" s="32">
        <v>46125</v>
      </c>
      <c r="C10713" t="s">
        <v>109</v>
      </c>
      <c r="D10713" s="13" t="s">
        <v>633</v>
      </c>
      <c r="E10713" t="s">
        <v>591</v>
      </c>
      <c r="F10713" s="11">
        <v>1</v>
      </c>
      <c r="G10713" s="11">
        <v>79831.929999999993</v>
      </c>
    </row>
    <row r="10714" spans="2:7" x14ac:dyDescent="0.2">
      <c r="B10714" s="32">
        <v>46125</v>
      </c>
      <c r="C10714" t="s">
        <v>109</v>
      </c>
      <c r="D10714" s="13" t="s">
        <v>633</v>
      </c>
      <c r="E10714" t="s">
        <v>829</v>
      </c>
      <c r="F10714" s="11">
        <v>1</v>
      </c>
      <c r="G10714" s="11">
        <v>79831.929999999993</v>
      </c>
    </row>
    <row r="10715" spans="2:7" x14ac:dyDescent="0.2">
      <c r="B10715" s="32">
        <v>46125</v>
      </c>
      <c r="C10715" t="s">
        <v>109</v>
      </c>
      <c r="D10715" s="13" t="s">
        <v>633</v>
      </c>
      <c r="E10715" t="s">
        <v>270</v>
      </c>
      <c r="F10715" s="11">
        <v>1</v>
      </c>
      <c r="G10715" s="11">
        <v>79831.929999999993</v>
      </c>
    </row>
    <row r="10716" spans="2:7" x14ac:dyDescent="0.2">
      <c r="B10716" s="32">
        <v>46125</v>
      </c>
      <c r="C10716" t="s">
        <v>109</v>
      </c>
      <c r="D10716" s="13" t="s">
        <v>633</v>
      </c>
      <c r="E10716" t="s">
        <v>617</v>
      </c>
      <c r="F10716" s="11">
        <v>1</v>
      </c>
      <c r="G10716" s="11">
        <v>71428.570000000007</v>
      </c>
    </row>
    <row r="10717" spans="2:7" x14ac:dyDescent="0.2">
      <c r="B10717" s="32">
        <v>46125</v>
      </c>
      <c r="C10717" t="s">
        <v>109</v>
      </c>
      <c r="D10717" s="13" t="s">
        <v>633</v>
      </c>
      <c r="E10717" t="s">
        <v>189</v>
      </c>
      <c r="F10717" s="11">
        <v>1</v>
      </c>
      <c r="G10717" s="11">
        <v>68067.23</v>
      </c>
    </row>
    <row r="10718" spans="2:7" x14ac:dyDescent="0.2">
      <c r="B10718" s="32">
        <v>46125</v>
      </c>
      <c r="C10718" t="s">
        <v>109</v>
      </c>
      <c r="D10718" s="13" t="s">
        <v>633</v>
      </c>
      <c r="E10718" t="s">
        <v>336</v>
      </c>
      <c r="F10718" s="11">
        <v>1</v>
      </c>
      <c r="G10718" s="11">
        <v>68067.23</v>
      </c>
    </row>
    <row r="10719" spans="2:7" x14ac:dyDescent="0.2">
      <c r="B10719" s="32">
        <v>46125</v>
      </c>
      <c r="C10719" t="s">
        <v>109</v>
      </c>
      <c r="D10719" s="13" t="s">
        <v>633</v>
      </c>
      <c r="E10719" t="s">
        <v>192</v>
      </c>
      <c r="F10719" s="11">
        <v>1</v>
      </c>
      <c r="G10719" s="11">
        <v>68067.23</v>
      </c>
    </row>
    <row r="10720" spans="2:7" x14ac:dyDescent="0.2">
      <c r="B10720" s="32">
        <v>46125</v>
      </c>
      <c r="C10720" t="s">
        <v>109</v>
      </c>
      <c r="D10720" s="13" t="s">
        <v>633</v>
      </c>
      <c r="E10720" t="s">
        <v>352</v>
      </c>
      <c r="F10720" s="11">
        <v>1</v>
      </c>
      <c r="G10720" s="11">
        <v>68067.23</v>
      </c>
    </row>
    <row r="10721" spans="2:7" x14ac:dyDescent="0.2">
      <c r="B10721" s="32">
        <v>46125</v>
      </c>
      <c r="C10721" t="s">
        <v>109</v>
      </c>
      <c r="D10721" s="13" t="s">
        <v>633</v>
      </c>
      <c r="E10721" t="s">
        <v>205</v>
      </c>
      <c r="F10721" s="11">
        <v>1</v>
      </c>
      <c r="G10721" s="11">
        <v>63025.21</v>
      </c>
    </row>
    <row r="10722" spans="2:7" x14ac:dyDescent="0.2">
      <c r="B10722" s="32">
        <v>46125</v>
      </c>
      <c r="C10722" t="s">
        <v>109</v>
      </c>
      <c r="D10722" s="13" t="s">
        <v>633</v>
      </c>
      <c r="E10722" t="s">
        <v>323</v>
      </c>
      <c r="F10722" s="11">
        <v>1</v>
      </c>
      <c r="G10722" s="11">
        <v>63025.21</v>
      </c>
    </row>
    <row r="10723" spans="2:7" x14ac:dyDescent="0.2">
      <c r="B10723" s="32">
        <v>46125</v>
      </c>
      <c r="C10723" t="s">
        <v>109</v>
      </c>
      <c r="D10723" s="13" t="s">
        <v>633</v>
      </c>
      <c r="E10723" t="s">
        <v>258</v>
      </c>
      <c r="F10723" s="11">
        <v>1</v>
      </c>
      <c r="G10723" s="11">
        <v>58823.53</v>
      </c>
    </row>
    <row r="10724" spans="2:7" x14ac:dyDescent="0.2">
      <c r="B10724" s="32">
        <v>46125</v>
      </c>
      <c r="C10724" t="s">
        <v>109</v>
      </c>
      <c r="D10724" s="13" t="s">
        <v>633</v>
      </c>
      <c r="E10724" t="s">
        <v>244</v>
      </c>
      <c r="F10724" s="11">
        <v>1</v>
      </c>
      <c r="G10724" s="11">
        <v>58823.53</v>
      </c>
    </row>
    <row r="10725" spans="2:7" x14ac:dyDescent="0.2">
      <c r="B10725" s="32">
        <v>46125</v>
      </c>
      <c r="C10725" t="s">
        <v>109</v>
      </c>
      <c r="D10725" s="13" t="s">
        <v>633</v>
      </c>
      <c r="E10725" t="s">
        <v>170</v>
      </c>
      <c r="F10725" s="11">
        <v>1</v>
      </c>
      <c r="G10725" s="11">
        <v>50420.17</v>
      </c>
    </row>
    <row r="10726" spans="2:7" x14ac:dyDescent="0.2">
      <c r="B10726" s="32">
        <v>46125</v>
      </c>
      <c r="C10726" t="s">
        <v>109</v>
      </c>
      <c r="D10726" s="13" t="s">
        <v>633</v>
      </c>
      <c r="E10726" t="s">
        <v>568</v>
      </c>
      <c r="F10726" s="11">
        <v>1</v>
      </c>
      <c r="G10726" s="11">
        <v>37815.129999999997</v>
      </c>
    </row>
    <row r="10727" spans="2:7" x14ac:dyDescent="0.2">
      <c r="B10727" s="32">
        <v>46125</v>
      </c>
      <c r="C10727" t="s">
        <v>109</v>
      </c>
      <c r="D10727" s="13" t="s">
        <v>633</v>
      </c>
      <c r="E10727" t="s">
        <v>173</v>
      </c>
      <c r="F10727" s="11">
        <v>1</v>
      </c>
      <c r="G10727" s="11">
        <v>37815.129999999997</v>
      </c>
    </row>
    <row r="10728" spans="2:7" x14ac:dyDescent="0.2">
      <c r="B10728" s="32">
        <v>46125</v>
      </c>
      <c r="C10728" t="s">
        <v>109</v>
      </c>
      <c r="D10728" s="13" t="s">
        <v>633</v>
      </c>
      <c r="E10728" t="s">
        <v>234</v>
      </c>
      <c r="F10728" s="11">
        <v>1</v>
      </c>
      <c r="G10728" s="11">
        <v>37815.120000000003</v>
      </c>
    </row>
    <row r="10729" spans="2:7" x14ac:dyDescent="0.2">
      <c r="B10729" s="32">
        <v>46125</v>
      </c>
      <c r="C10729" t="s">
        <v>109</v>
      </c>
      <c r="D10729" s="13" t="s">
        <v>633</v>
      </c>
      <c r="E10729" t="s">
        <v>566</v>
      </c>
      <c r="F10729" s="11">
        <v>2</v>
      </c>
      <c r="G10729" s="11">
        <v>33613.449999999997</v>
      </c>
    </row>
    <row r="10730" spans="2:7" x14ac:dyDescent="0.2">
      <c r="B10730" s="32">
        <v>46125</v>
      </c>
      <c r="C10730" t="s">
        <v>109</v>
      </c>
      <c r="D10730" s="13" t="s">
        <v>633</v>
      </c>
      <c r="E10730" t="s">
        <v>145</v>
      </c>
      <c r="F10730" s="11">
        <v>1</v>
      </c>
      <c r="G10730" s="11">
        <v>29411.759999999998</v>
      </c>
    </row>
    <row r="10731" spans="2:7" x14ac:dyDescent="0.2">
      <c r="B10731" s="32">
        <v>46126</v>
      </c>
      <c r="C10731" t="s">
        <v>142</v>
      </c>
      <c r="D10731" s="13" t="s">
        <v>634</v>
      </c>
      <c r="E10731" t="s">
        <v>293</v>
      </c>
      <c r="F10731" s="11">
        <v>1</v>
      </c>
      <c r="G10731" s="11">
        <v>37815.129999999997</v>
      </c>
    </row>
    <row r="10732" spans="2:7" x14ac:dyDescent="0.2">
      <c r="B10732" s="32">
        <v>46126</v>
      </c>
      <c r="C10732" t="s">
        <v>142</v>
      </c>
      <c r="D10732" s="13" t="s">
        <v>633</v>
      </c>
      <c r="E10732" t="s">
        <v>563</v>
      </c>
      <c r="F10732" s="11">
        <v>1</v>
      </c>
      <c r="G10732" s="11">
        <v>100840.34</v>
      </c>
    </row>
    <row r="10733" spans="2:7" x14ac:dyDescent="0.2">
      <c r="B10733" s="32">
        <v>46126</v>
      </c>
      <c r="C10733" t="s">
        <v>110</v>
      </c>
      <c r="D10733" s="13" t="s">
        <v>634</v>
      </c>
      <c r="E10733" t="s">
        <v>151</v>
      </c>
      <c r="F10733" s="11">
        <v>1</v>
      </c>
      <c r="G10733" s="11">
        <v>50420.17</v>
      </c>
    </row>
    <row r="10734" spans="2:7" x14ac:dyDescent="0.2">
      <c r="B10734" s="32">
        <v>46126</v>
      </c>
      <c r="C10734" t="s">
        <v>110</v>
      </c>
      <c r="D10734" s="13" t="s">
        <v>634</v>
      </c>
      <c r="E10734" t="s">
        <v>160</v>
      </c>
      <c r="F10734" s="11">
        <v>1</v>
      </c>
      <c r="G10734" s="11">
        <v>46218.49</v>
      </c>
    </row>
    <row r="10735" spans="2:7" x14ac:dyDescent="0.2">
      <c r="B10735" s="32">
        <v>46126</v>
      </c>
      <c r="C10735" t="s">
        <v>110</v>
      </c>
      <c r="D10735" s="13" t="s">
        <v>634</v>
      </c>
      <c r="E10735" t="s">
        <v>595</v>
      </c>
      <c r="F10735" s="11">
        <v>1</v>
      </c>
      <c r="G10735" s="11">
        <v>16806.72</v>
      </c>
    </row>
    <row r="10736" spans="2:7" x14ac:dyDescent="0.2">
      <c r="B10736" s="32">
        <v>46126</v>
      </c>
      <c r="C10736" t="s">
        <v>110</v>
      </c>
      <c r="D10736" s="13" t="s">
        <v>633</v>
      </c>
      <c r="E10736" t="s">
        <v>681</v>
      </c>
      <c r="F10736" s="11">
        <v>1</v>
      </c>
      <c r="G10736" s="11">
        <v>84033.61</v>
      </c>
    </row>
    <row r="10737" spans="2:7" x14ac:dyDescent="0.2">
      <c r="B10737" s="32">
        <v>46126</v>
      </c>
      <c r="C10737" t="s">
        <v>109</v>
      </c>
      <c r="D10737" s="13" t="s">
        <v>634</v>
      </c>
      <c r="E10737" t="s">
        <v>573</v>
      </c>
      <c r="F10737" s="11">
        <v>2</v>
      </c>
      <c r="G10737" s="11">
        <v>415966.39</v>
      </c>
    </row>
    <row r="10738" spans="2:7" x14ac:dyDescent="0.2">
      <c r="B10738" s="32">
        <v>46126</v>
      </c>
      <c r="C10738" t="s">
        <v>109</v>
      </c>
      <c r="D10738" s="13" t="s">
        <v>634</v>
      </c>
      <c r="E10738" t="s">
        <v>250</v>
      </c>
      <c r="F10738" s="11">
        <v>1</v>
      </c>
      <c r="G10738" s="11">
        <v>113445.38</v>
      </c>
    </row>
    <row r="10739" spans="2:7" x14ac:dyDescent="0.2">
      <c r="B10739" s="32">
        <v>46126</v>
      </c>
      <c r="C10739" t="s">
        <v>109</v>
      </c>
      <c r="D10739" s="13" t="s">
        <v>634</v>
      </c>
      <c r="E10739" t="s">
        <v>167</v>
      </c>
      <c r="F10739" s="11">
        <v>1</v>
      </c>
      <c r="G10739" s="11">
        <v>113445.38</v>
      </c>
    </row>
    <row r="10740" spans="2:7" x14ac:dyDescent="0.2">
      <c r="B10740" s="32">
        <v>46126</v>
      </c>
      <c r="C10740" t="s">
        <v>109</v>
      </c>
      <c r="D10740" s="13" t="s">
        <v>634</v>
      </c>
      <c r="E10740" t="s">
        <v>569</v>
      </c>
      <c r="F10740" s="11">
        <v>1</v>
      </c>
      <c r="G10740" s="11">
        <v>109243.7</v>
      </c>
    </row>
    <row r="10741" spans="2:7" x14ac:dyDescent="0.2">
      <c r="B10741" s="32">
        <v>46126</v>
      </c>
      <c r="C10741" t="s">
        <v>109</v>
      </c>
      <c r="D10741" s="13" t="s">
        <v>634</v>
      </c>
      <c r="E10741" t="s">
        <v>571</v>
      </c>
      <c r="F10741" s="11">
        <v>1</v>
      </c>
      <c r="G10741" s="11">
        <v>109243.7</v>
      </c>
    </row>
    <row r="10742" spans="2:7" x14ac:dyDescent="0.2">
      <c r="B10742" s="32">
        <v>46126</v>
      </c>
      <c r="C10742" t="s">
        <v>109</v>
      </c>
      <c r="D10742" s="13" t="s">
        <v>634</v>
      </c>
      <c r="E10742" t="s">
        <v>152</v>
      </c>
      <c r="F10742" s="11">
        <v>1</v>
      </c>
      <c r="G10742" s="11">
        <v>84033.61</v>
      </c>
    </row>
    <row r="10743" spans="2:7" x14ac:dyDescent="0.2">
      <c r="B10743" s="32">
        <v>46126</v>
      </c>
      <c r="C10743" t="s">
        <v>109</v>
      </c>
      <c r="D10743" s="13" t="s">
        <v>634</v>
      </c>
      <c r="E10743" t="s">
        <v>147</v>
      </c>
      <c r="F10743" s="11">
        <v>1</v>
      </c>
      <c r="G10743" s="11">
        <v>75630.25</v>
      </c>
    </row>
    <row r="10744" spans="2:7" x14ac:dyDescent="0.2">
      <c r="B10744" s="32">
        <v>46126</v>
      </c>
      <c r="C10744" t="s">
        <v>109</v>
      </c>
      <c r="D10744" s="13" t="s">
        <v>634</v>
      </c>
      <c r="E10744" t="s">
        <v>475</v>
      </c>
      <c r="F10744" s="11">
        <v>1</v>
      </c>
      <c r="G10744" s="11">
        <v>75630.25</v>
      </c>
    </row>
    <row r="10745" spans="2:7" x14ac:dyDescent="0.2">
      <c r="B10745" s="32">
        <v>46126</v>
      </c>
      <c r="C10745" t="s">
        <v>109</v>
      </c>
      <c r="D10745" s="13" t="s">
        <v>634</v>
      </c>
      <c r="E10745" t="s">
        <v>225</v>
      </c>
      <c r="F10745" s="11">
        <v>1</v>
      </c>
      <c r="G10745" s="11">
        <v>46218.49</v>
      </c>
    </row>
    <row r="10746" spans="2:7" x14ac:dyDescent="0.2">
      <c r="B10746" s="32">
        <v>46126</v>
      </c>
      <c r="C10746" t="s">
        <v>109</v>
      </c>
      <c r="D10746" s="13" t="s">
        <v>634</v>
      </c>
      <c r="E10746" t="s">
        <v>260</v>
      </c>
      <c r="F10746" s="11">
        <v>1</v>
      </c>
      <c r="G10746" s="11">
        <v>46218.49</v>
      </c>
    </row>
    <row r="10747" spans="2:7" x14ac:dyDescent="0.2">
      <c r="B10747" s="32">
        <v>46126</v>
      </c>
      <c r="C10747" t="s">
        <v>109</v>
      </c>
      <c r="D10747" s="13" t="s">
        <v>634</v>
      </c>
      <c r="E10747" t="s">
        <v>203</v>
      </c>
      <c r="F10747" s="11">
        <v>1</v>
      </c>
      <c r="G10747" s="11">
        <v>42016.81</v>
      </c>
    </row>
    <row r="10748" spans="2:7" x14ac:dyDescent="0.2">
      <c r="B10748" s="32">
        <v>46126</v>
      </c>
      <c r="C10748" t="s">
        <v>109</v>
      </c>
      <c r="D10748" s="13" t="s">
        <v>634</v>
      </c>
      <c r="E10748" t="s">
        <v>568</v>
      </c>
      <c r="F10748" s="11">
        <v>1</v>
      </c>
      <c r="G10748" s="11">
        <v>37815.120000000003</v>
      </c>
    </row>
    <row r="10749" spans="2:7" x14ac:dyDescent="0.2">
      <c r="B10749" s="32">
        <v>46126</v>
      </c>
      <c r="C10749" t="s">
        <v>109</v>
      </c>
      <c r="D10749" s="13" t="s">
        <v>634</v>
      </c>
      <c r="E10749" t="s">
        <v>566</v>
      </c>
      <c r="F10749" s="11">
        <v>2</v>
      </c>
      <c r="G10749" s="11">
        <v>33613.449999999997</v>
      </c>
    </row>
    <row r="10750" spans="2:7" x14ac:dyDescent="0.2">
      <c r="B10750" s="32">
        <v>46126</v>
      </c>
      <c r="C10750" t="s">
        <v>109</v>
      </c>
      <c r="D10750" s="13" t="s">
        <v>633</v>
      </c>
      <c r="E10750" t="s">
        <v>551</v>
      </c>
      <c r="F10750" s="11">
        <v>1</v>
      </c>
      <c r="G10750" s="11">
        <v>113445.38</v>
      </c>
    </row>
    <row r="10751" spans="2:7" x14ac:dyDescent="0.2">
      <c r="B10751" s="32">
        <v>46126</v>
      </c>
      <c r="C10751" t="s">
        <v>109</v>
      </c>
      <c r="D10751" s="13" t="s">
        <v>633</v>
      </c>
      <c r="E10751" t="s">
        <v>167</v>
      </c>
      <c r="F10751" s="11">
        <v>1</v>
      </c>
      <c r="G10751" s="11">
        <v>113445.38</v>
      </c>
    </row>
    <row r="10752" spans="2:7" x14ac:dyDescent="0.2">
      <c r="B10752" s="32">
        <v>46126</v>
      </c>
      <c r="C10752" t="s">
        <v>109</v>
      </c>
      <c r="D10752" s="13" t="s">
        <v>633</v>
      </c>
      <c r="E10752" t="s">
        <v>233</v>
      </c>
      <c r="F10752" s="11">
        <v>1</v>
      </c>
      <c r="G10752" s="11">
        <v>92436.97</v>
      </c>
    </row>
    <row r="10753" spans="2:7" x14ac:dyDescent="0.2">
      <c r="B10753" s="32">
        <v>46126</v>
      </c>
      <c r="C10753" t="s">
        <v>109</v>
      </c>
      <c r="D10753" s="13" t="s">
        <v>633</v>
      </c>
      <c r="E10753" t="s">
        <v>796</v>
      </c>
      <c r="F10753" s="11">
        <v>1</v>
      </c>
      <c r="G10753" s="11">
        <v>84033.61</v>
      </c>
    </row>
    <row r="10754" spans="2:7" x14ac:dyDescent="0.2">
      <c r="B10754" s="32">
        <v>46126</v>
      </c>
      <c r="C10754" t="s">
        <v>109</v>
      </c>
      <c r="D10754" s="13" t="s">
        <v>633</v>
      </c>
      <c r="E10754" t="s">
        <v>591</v>
      </c>
      <c r="F10754" s="11">
        <v>1</v>
      </c>
      <c r="G10754" s="11">
        <v>79831.929999999993</v>
      </c>
    </row>
    <row r="10755" spans="2:7" x14ac:dyDescent="0.2">
      <c r="B10755" s="32">
        <v>46126</v>
      </c>
      <c r="C10755" t="s">
        <v>109</v>
      </c>
      <c r="D10755" s="13" t="s">
        <v>633</v>
      </c>
      <c r="E10755" t="s">
        <v>149</v>
      </c>
      <c r="F10755" s="11">
        <v>1</v>
      </c>
      <c r="G10755" s="11">
        <v>75630.25</v>
      </c>
    </row>
    <row r="10756" spans="2:7" x14ac:dyDescent="0.2">
      <c r="B10756" s="32">
        <v>46126</v>
      </c>
      <c r="C10756" t="s">
        <v>109</v>
      </c>
      <c r="D10756" s="13" t="s">
        <v>633</v>
      </c>
      <c r="E10756" t="s">
        <v>834</v>
      </c>
      <c r="F10756" s="11">
        <v>1</v>
      </c>
      <c r="G10756" s="11">
        <v>63025.21</v>
      </c>
    </row>
    <row r="10757" spans="2:7" x14ac:dyDescent="0.2">
      <c r="B10757" s="32">
        <v>46126</v>
      </c>
      <c r="C10757" t="s">
        <v>109</v>
      </c>
      <c r="D10757" s="13" t="s">
        <v>633</v>
      </c>
      <c r="E10757" t="s">
        <v>206</v>
      </c>
      <c r="F10757" s="11">
        <v>1</v>
      </c>
      <c r="G10757" s="11">
        <v>37815.129999999997</v>
      </c>
    </row>
    <row r="10758" spans="2:7" x14ac:dyDescent="0.2">
      <c r="B10758" s="32">
        <v>46126</v>
      </c>
      <c r="C10758" t="s">
        <v>109</v>
      </c>
      <c r="D10758" s="13" t="s">
        <v>633</v>
      </c>
      <c r="E10758" t="s">
        <v>328</v>
      </c>
      <c r="F10758" s="11">
        <v>1</v>
      </c>
      <c r="G10758" s="11">
        <v>37815.129999999997</v>
      </c>
    </row>
    <row r="10759" spans="2:7" x14ac:dyDescent="0.2">
      <c r="B10759" s="32">
        <v>46126</v>
      </c>
      <c r="C10759" t="s">
        <v>109</v>
      </c>
      <c r="D10759" s="13" t="s">
        <v>633</v>
      </c>
      <c r="E10759" t="s">
        <v>566</v>
      </c>
      <c r="F10759" s="11">
        <v>1</v>
      </c>
      <c r="G10759" s="11">
        <v>16806.72</v>
      </c>
    </row>
    <row r="10760" spans="2:7" x14ac:dyDescent="0.2">
      <c r="B10760" s="32">
        <v>46126</v>
      </c>
      <c r="C10760" t="s">
        <v>109</v>
      </c>
      <c r="D10760" s="13" t="s">
        <v>633</v>
      </c>
      <c r="E10760" t="s">
        <v>509</v>
      </c>
      <c r="F10760" s="11">
        <v>1</v>
      </c>
      <c r="G10760" s="11">
        <v>16806.72</v>
      </c>
    </row>
    <row r="10761" spans="2:7" x14ac:dyDescent="0.2">
      <c r="B10761" s="32">
        <v>46126</v>
      </c>
      <c r="C10761" t="s">
        <v>109</v>
      </c>
      <c r="D10761" s="13" t="s">
        <v>633</v>
      </c>
      <c r="E10761" t="s">
        <v>144</v>
      </c>
      <c r="F10761" s="11">
        <v>2</v>
      </c>
      <c r="G10761" s="11">
        <v>16806.72</v>
      </c>
    </row>
    <row r="10762" spans="2:7" x14ac:dyDescent="0.2">
      <c r="B10762" s="32">
        <v>46127</v>
      </c>
      <c r="C10762" t="s">
        <v>142</v>
      </c>
      <c r="D10762" s="13" t="s">
        <v>634</v>
      </c>
      <c r="E10762" t="s">
        <v>599</v>
      </c>
      <c r="F10762" s="11">
        <v>1</v>
      </c>
      <c r="G10762" s="11">
        <v>277310.92</v>
      </c>
    </row>
    <row r="10763" spans="2:7" x14ac:dyDescent="0.2">
      <c r="B10763" s="32">
        <v>46127</v>
      </c>
      <c r="C10763" t="s">
        <v>142</v>
      </c>
      <c r="D10763" s="13" t="s">
        <v>634</v>
      </c>
      <c r="E10763" t="s">
        <v>420</v>
      </c>
      <c r="F10763" s="11">
        <v>1</v>
      </c>
      <c r="G10763" s="11">
        <v>113445.38</v>
      </c>
    </row>
    <row r="10764" spans="2:7" x14ac:dyDescent="0.2">
      <c r="B10764" s="32">
        <v>46127</v>
      </c>
      <c r="C10764" t="s">
        <v>142</v>
      </c>
      <c r="D10764" s="13" t="s">
        <v>633</v>
      </c>
      <c r="E10764" t="s">
        <v>159</v>
      </c>
      <c r="F10764" s="11">
        <v>1</v>
      </c>
      <c r="G10764" s="11">
        <v>239495.8</v>
      </c>
    </row>
    <row r="10765" spans="2:7" x14ac:dyDescent="0.2">
      <c r="B10765" s="32">
        <v>46127</v>
      </c>
      <c r="C10765" t="s">
        <v>142</v>
      </c>
      <c r="D10765" s="13" t="s">
        <v>633</v>
      </c>
      <c r="E10765" t="s">
        <v>251</v>
      </c>
      <c r="F10765" s="11">
        <v>1</v>
      </c>
      <c r="G10765" s="11">
        <v>63025.21</v>
      </c>
    </row>
    <row r="10766" spans="2:7" x14ac:dyDescent="0.2">
      <c r="B10766" s="32">
        <v>46127</v>
      </c>
      <c r="C10766" t="s">
        <v>142</v>
      </c>
      <c r="D10766" s="13" t="s">
        <v>633</v>
      </c>
      <c r="E10766" t="s">
        <v>320</v>
      </c>
      <c r="F10766" s="11">
        <v>1</v>
      </c>
      <c r="G10766" s="11">
        <v>63025.21</v>
      </c>
    </row>
    <row r="10767" spans="2:7" x14ac:dyDescent="0.2">
      <c r="B10767" s="32">
        <v>46127</v>
      </c>
      <c r="C10767" t="s">
        <v>142</v>
      </c>
      <c r="D10767" s="13" t="s">
        <v>633</v>
      </c>
      <c r="E10767" t="s">
        <v>282</v>
      </c>
      <c r="F10767" s="11">
        <v>1</v>
      </c>
      <c r="G10767" s="11">
        <v>63025.21</v>
      </c>
    </row>
    <row r="10768" spans="2:7" x14ac:dyDescent="0.2">
      <c r="B10768" s="32">
        <v>46127</v>
      </c>
      <c r="C10768" t="s">
        <v>142</v>
      </c>
      <c r="D10768" s="13" t="s">
        <v>633</v>
      </c>
      <c r="E10768" t="s">
        <v>751</v>
      </c>
      <c r="F10768" s="11">
        <v>1</v>
      </c>
      <c r="G10768" s="11">
        <v>63025.21</v>
      </c>
    </row>
    <row r="10769" spans="2:7" x14ac:dyDescent="0.2">
      <c r="B10769" s="32">
        <v>46127</v>
      </c>
      <c r="C10769" t="s">
        <v>142</v>
      </c>
      <c r="D10769" s="13" t="s">
        <v>633</v>
      </c>
      <c r="E10769" t="s">
        <v>236</v>
      </c>
      <c r="F10769" s="11">
        <v>1</v>
      </c>
      <c r="G10769" s="11">
        <v>63025.21</v>
      </c>
    </row>
    <row r="10770" spans="2:7" x14ac:dyDescent="0.2">
      <c r="B10770" s="32">
        <v>46127</v>
      </c>
      <c r="C10770" t="s">
        <v>142</v>
      </c>
      <c r="D10770" s="13" t="s">
        <v>633</v>
      </c>
      <c r="E10770" t="s">
        <v>182</v>
      </c>
      <c r="F10770" s="11">
        <v>2</v>
      </c>
      <c r="G10770" s="11">
        <v>58823.519999999997</v>
      </c>
    </row>
    <row r="10771" spans="2:7" x14ac:dyDescent="0.2">
      <c r="B10771" s="32">
        <v>46127</v>
      </c>
      <c r="C10771" t="s">
        <v>142</v>
      </c>
      <c r="D10771" s="13" t="s">
        <v>633</v>
      </c>
      <c r="E10771" t="s">
        <v>243</v>
      </c>
      <c r="F10771" s="11">
        <v>1</v>
      </c>
      <c r="G10771" s="11">
        <v>54621.85</v>
      </c>
    </row>
    <row r="10772" spans="2:7" x14ac:dyDescent="0.2">
      <c r="B10772" s="32">
        <v>46127</v>
      </c>
      <c r="C10772" t="s">
        <v>142</v>
      </c>
      <c r="D10772" s="13" t="s">
        <v>633</v>
      </c>
      <c r="E10772" t="s">
        <v>206</v>
      </c>
      <c r="F10772" s="11">
        <v>1</v>
      </c>
      <c r="G10772" s="11">
        <v>37815.129999999997</v>
      </c>
    </row>
    <row r="10773" spans="2:7" x14ac:dyDescent="0.2">
      <c r="B10773" s="32">
        <v>46127</v>
      </c>
      <c r="C10773" t="s">
        <v>110</v>
      </c>
      <c r="D10773" s="13" t="s">
        <v>633</v>
      </c>
      <c r="E10773" t="s">
        <v>174</v>
      </c>
      <c r="F10773" s="11">
        <v>1</v>
      </c>
      <c r="G10773" s="11">
        <v>84033.61</v>
      </c>
    </row>
    <row r="10774" spans="2:7" x14ac:dyDescent="0.2">
      <c r="B10774" s="32">
        <v>46127</v>
      </c>
      <c r="C10774" t="s">
        <v>110</v>
      </c>
      <c r="D10774" s="13" t="s">
        <v>633</v>
      </c>
      <c r="E10774" t="s">
        <v>662</v>
      </c>
      <c r="F10774" s="11">
        <v>1</v>
      </c>
      <c r="G10774" s="11">
        <v>42016.81</v>
      </c>
    </row>
    <row r="10775" spans="2:7" x14ac:dyDescent="0.2">
      <c r="B10775" s="32">
        <v>46127</v>
      </c>
      <c r="C10775" t="s">
        <v>110</v>
      </c>
      <c r="D10775" s="13" t="s">
        <v>633</v>
      </c>
      <c r="E10775" t="s">
        <v>246</v>
      </c>
      <c r="F10775" s="11">
        <v>1</v>
      </c>
      <c r="G10775" s="11">
        <v>42016.81</v>
      </c>
    </row>
    <row r="10776" spans="2:7" x14ac:dyDescent="0.2">
      <c r="B10776" s="32">
        <v>46127</v>
      </c>
      <c r="C10776" t="s">
        <v>109</v>
      </c>
      <c r="D10776" s="13" t="s">
        <v>634</v>
      </c>
      <c r="E10776" t="s">
        <v>581</v>
      </c>
      <c r="F10776" s="11">
        <v>1</v>
      </c>
      <c r="G10776" s="11">
        <v>142857.14000000001</v>
      </c>
    </row>
    <row r="10777" spans="2:7" x14ac:dyDescent="0.2">
      <c r="B10777" s="32">
        <v>46127</v>
      </c>
      <c r="C10777" t="s">
        <v>109</v>
      </c>
      <c r="D10777" s="13" t="s">
        <v>634</v>
      </c>
      <c r="E10777" t="s">
        <v>374</v>
      </c>
      <c r="F10777" s="11">
        <v>2</v>
      </c>
      <c r="G10777" s="11">
        <v>117647.06</v>
      </c>
    </row>
    <row r="10778" spans="2:7" x14ac:dyDescent="0.2">
      <c r="B10778" s="32">
        <v>46127</v>
      </c>
      <c r="C10778" t="s">
        <v>109</v>
      </c>
      <c r="D10778" s="13" t="s">
        <v>634</v>
      </c>
      <c r="E10778" t="s">
        <v>420</v>
      </c>
      <c r="F10778" s="11">
        <v>1</v>
      </c>
      <c r="G10778" s="11">
        <v>113445.38</v>
      </c>
    </row>
    <row r="10779" spans="2:7" x14ac:dyDescent="0.2">
      <c r="B10779" s="32">
        <v>46127</v>
      </c>
      <c r="C10779" t="s">
        <v>109</v>
      </c>
      <c r="D10779" s="13" t="s">
        <v>634</v>
      </c>
      <c r="E10779" t="s">
        <v>155</v>
      </c>
      <c r="F10779" s="11">
        <v>1</v>
      </c>
      <c r="G10779" s="11">
        <v>113445.38</v>
      </c>
    </row>
    <row r="10780" spans="2:7" x14ac:dyDescent="0.2">
      <c r="B10780" s="32">
        <v>46127</v>
      </c>
      <c r="C10780" t="s">
        <v>109</v>
      </c>
      <c r="D10780" s="13" t="s">
        <v>634</v>
      </c>
      <c r="E10780" t="s">
        <v>167</v>
      </c>
      <c r="F10780" s="11">
        <v>1</v>
      </c>
      <c r="G10780" s="11">
        <v>113445.38</v>
      </c>
    </row>
    <row r="10781" spans="2:7" x14ac:dyDescent="0.2">
      <c r="B10781" s="32">
        <v>46127</v>
      </c>
      <c r="C10781" t="s">
        <v>109</v>
      </c>
      <c r="D10781" s="13" t="s">
        <v>634</v>
      </c>
      <c r="E10781" t="s">
        <v>194</v>
      </c>
      <c r="F10781" s="11">
        <v>1</v>
      </c>
      <c r="G10781" s="11">
        <v>113445.37</v>
      </c>
    </row>
    <row r="10782" spans="2:7" x14ac:dyDescent="0.2">
      <c r="B10782" s="32">
        <v>46127</v>
      </c>
      <c r="C10782" t="s">
        <v>109</v>
      </c>
      <c r="D10782" s="13" t="s">
        <v>634</v>
      </c>
      <c r="E10782" t="s">
        <v>606</v>
      </c>
      <c r="F10782" s="11">
        <v>1</v>
      </c>
      <c r="G10782" s="11">
        <v>109243.7</v>
      </c>
    </row>
    <row r="10783" spans="2:7" x14ac:dyDescent="0.2">
      <c r="B10783" s="32">
        <v>46127</v>
      </c>
      <c r="C10783" t="s">
        <v>109</v>
      </c>
      <c r="D10783" s="13" t="s">
        <v>634</v>
      </c>
      <c r="E10783" t="s">
        <v>152</v>
      </c>
      <c r="F10783" s="11">
        <v>1</v>
      </c>
      <c r="G10783" s="11">
        <v>84033.61</v>
      </c>
    </row>
    <row r="10784" spans="2:7" x14ac:dyDescent="0.2">
      <c r="B10784" s="32">
        <v>46127</v>
      </c>
      <c r="C10784" t="s">
        <v>109</v>
      </c>
      <c r="D10784" s="13" t="s">
        <v>634</v>
      </c>
      <c r="E10784" t="s">
        <v>192</v>
      </c>
      <c r="F10784" s="11">
        <v>1</v>
      </c>
      <c r="G10784" s="11">
        <v>75630.25</v>
      </c>
    </row>
    <row r="10785" spans="2:7" x14ac:dyDescent="0.2">
      <c r="B10785" s="32">
        <v>46127</v>
      </c>
      <c r="C10785" t="s">
        <v>109</v>
      </c>
      <c r="D10785" s="13" t="s">
        <v>634</v>
      </c>
      <c r="E10785" t="s">
        <v>244</v>
      </c>
      <c r="F10785" s="11">
        <v>1</v>
      </c>
      <c r="G10785" s="11">
        <v>58823.53</v>
      </c>
    </row>
    <row r="10786" spans="2:7" x14ac:dyDescent="0.2">
      <c r="B10786" s="32">
        <v>46127</v>
      </c>
      <c r="C10786" t="s">
        <v>109</v>
      </c>
      <c r="D10786" s="13" t="s">
        <v>634</v>
      </c>
      <c r="E10786" t="s">
        <v>445</v>
      </c>
      <c r="F10786" s="11">
        <v>1</v>
      </c>
      <c r="G10786" s="11">
        <v>54621.85</v>
      </c>
    </row>
    <row r="10787" spans="2:7" x14ac:dyDescent="0.2">
      <c r="B10787" s="32">
        <v>46127</v>
      </c>
      <c r="C10787" t="s">
        <v>109</v>
      </c>
      <c r="D10787" s="13" t="s">
        <v>634</v>
      </c>
      <c r="E10787" t="s">
        <v>195</v>
      </c>
      <c r="F10787" s="11">
        <v>1</v>
      </c>
      <c r="G10787" s="11">
        <v>50420.17</v>
      </c>
    </row>
    <row r="10788" spans="2:7" x14ac:dyDescent="0.2">
      <c r="B10788" s="32">
        <v>46127</v>
      </c>
      <c r="C10788" t="s">
        <v>109</v>
      </c>
      <c r="D10788" s="13" t="s">
        <v>634</v>
      </c>
      <c r="E10788" t="s">
        <v>151</v>
      </c>
      <c r="F10788" s="11">
        <v>1</v>
      </c>
      <c r="G10788" s="11">
        <v>50420.160000000003</v>
      </c>
    </row>
    <row r="10789" spans="2:7" x14ac:dyDescent="0.2">
      <c r="B10789" s="32">
        <v>46127</v>
      </c>
      <c r="C10789" t="s">
        <v>109</v>
      </c>
      <c r="D10789" s="13" t="s">
        <v>634</v>
      </c>
      <c r="E10789" t="s">
        <v>568</v>
      </c>
      <c r="F10789" s="11">
        <v>1</v>
      </c>
      <c r="G10789" s="11">
        <v>37815.129999999997</v>
      </c>
    </row>
    <row r="10790" spans="2:7" x14ac:dyDescent="0.2">
      <c r="B10790" s="32">
        <v>46127</v>
      </c>
      <c r="C10790" t="s">
        <v>109</v>
      </c>
      <c r="D10790" s="13" t="s">
        <v>634</v>
      </c>
      <c r="E10790" t="s">
        <v>144</v>
      </c>
      <c r="F10790" s="11">
        <v>2</v>
      </c>
      <c r="G10790" s="11">
        <v>25210.080000000002</v>
      </c>
    </row>
    <row r="10791" spans="2:7" x14ac:dyDescent="0.2">
      <c r="B10791" s="32">
        <v>46127</v>
      </c>
      <c r="C10791" t="s">
        <v>109</v>
      </c>
      <c r="D10791" s="13" t="s">
        <v>633</v>
      </c>
      <c r="E10791" t="s">
        <v>562</v>
      </c>
      <c r="F10791" s="11">
        <v>2</v>
      </c>
      <c r="G10791" s="11">
        <v>285714.28000000003</v>
      </c>
    </row>
    <row r="10792" spans="2:7" x14ac:dyDescent="0.2">
      <c r="B10792" s="32">
        <v>46127</v>
      </c>
      <c r="C10792" t="s">
        <v>109</v>
      </c>
      <c r="D10792" s="13" t="s">
        <v>633</v>
      </c>
      <c r="E10792" t="s">
        <v>833</v>
      </c>
      <c r="F10792" s="11">
        <v>1</v>
      </c>
      <c r="G10792" s="11">
        <v>243697.48</v>
      </c>
    </row>
    <row r="10793" spans="2:7" x14ac:dyDescent="0.2">
      <c r="B10793" s="32">
        <v>46127</v>
      </c>
      <c r="C10793" t="s">
        <v>109</v>
      </c>
      <c r="D10793" s="13" t="s">
        <v>633</v>
      </c>
      <c r="F10793" s="11">
        <v>1</v>
      </c>
      <c r="G10793" s="11">
        <v>126050.42</v>
      </c>
    </row>
    <row r="10794" spans="2:7" x14ac:dyDescent="0.2">
      <c r="B10794" s="32">
        <v>46127</v>
      </c>
      <c r="C10794" t="s">
        <v>109</v>
      </c>
      <c r="D10794" s="13" t="s">
        <v>633</v>
      </c>
      <c r="E10794" t="s">
        <v>145</v>
      </c>
      <c r="F10794" s="11">
        <v>3</v>
      </c>
      <c r="G10794" s="11">
        <v>88235.29</v>
      </c>
    </row>
    <row r="10795" spans="2:7" x14ac:dyDescent="0.2">
      <c r="B10795" s="32">
        <v>46127</v>
      </c>
      <c r="C10795" t="s">
        <v>109</v>
      </c>
      <c r="D10795" s="13" t="s">
        <v>633</v>
      </c>
      <c r="E10795" t="s">
        <v>347</v>
      </c>
      <c r="F10795" s="11">
        <v>1</v>
      </c>
      <c r="G10795" s="11">
        <v>84033.61</v>
      </c>
    </row>
    <row r="10796" spans="2:7" x14ac:dyDescent="0.2">
      <c r="B10796" s="32">
        <v>46127</v>
      </c>
      <c r="C10796" t="s">
        <v>109</v>
      </c>
      <c r="D10796" s="13" t="s">
        <v>633</v>
      </c>
      <c r="E10796" t="s">
        <v>558</v>
      </c>
      <c r="F10796" s="11">
        <v>1</v>
      </c>
      <c r="G10796" s="11">
        <v>84033.61</v>
      </c>
    </row>
    <row r="10797" spans="2:7" x14ac:dyDescent="0.2">
      <c r="B10797" s="32">
        <v>46127</v>
      </c>
      <c r="C10797" t="s">
        <v>109</v>
      </c>
      <c r="D10797" s="13" t="s">
        <v>633</v>
      </c>
      <c r="E10797" t="s">
        <v>568</v>
      </c>
      <c r="F10797" s="11">
        <v>2</v>
      </c>
      <c r="G10797" s="11">
        <v>75630.259999999995</v>
      </c>
    </row>
    <row r="10798" spans="2:7" x14ac:dyDescent="0.2">
      <c r="B10798" s="32">
        <v>46127</v>
      </c>
      <c r="C10798" t="s">
        <v>109</v>
      </c>
      <c r="D10798" s="13" t="s">
        <v>633</v>
      </c>
      <c r="E10798" t="s">
        <v>582</v>
      </c>
      <c r="F10798" s="11">
        <v>1</v>
      </c>
      <c r="G10798" s="11">
        <v>67226.89</v>
      </c>
    </row>
    <row r="10799" spans="2:7" x14ac:dyDescent="0.2">
      <c r="B10799" s="32">
        <v>46127</v>
      </c>
      <c r="C10799" t="s">
        <v>109</v>
      </c>
      <c r="D10799" s="13" t="s">
        <v>633</v>
      </c>
      <c r="E10799" t="s">
        <v>212</v>
      </c>
      <c r="F10799" s="11">
        <v>1</v>
      </c>
      <c r="G10799" s="11">
        <v>58823.53</v>
      </c>
    </row>
    <row r="10800" spans="2:7" x14ac:dyDescent="0.2">
      <c r="B10800" s="32">
        <v>46127</v>
      </c>
      <c r="C10800" t="s">
        <v>109</v>
      </c>
      <c r="D10800" s="13" t="s">
        <v>633</v>
      </c>
      <c r="E10800" t="s">
        <v>427</v>
      </c>
      <c r="F10800" s="11">
        <v>1</v>
      </c>
      <c r="G10800" s="11">
        <v>58823.53</v>
      </c>
    </row>
    <row r="10801" spans="2:7" x14ac:dyDescent="0.2">
      <c r="B10801" s="32">
        <v>46127</v>
      </c>
      <c r="C10801" t="s">
        <v>109</v>
      </c>
      <c r="D10801" s="13" t="s">
        <v>633</v>
      </c>
      <c r="E10801" t="s">
        <v>198</v>
      </c>
      <c r="F10801" s="11">
        <v>1</v>
      </c>
      <c r="G10801" s="11">
        <v>50420.17</v>
      </c>
    </row>
    <row r="10802" spans="2:7" x14ac:dyDescent="0.2">
      <c r="B10802" s="32">
        <v>46127</v>
      </c>
      <c r="C10802" t="s">
        <v>109</v>
      </c>
      <c r="D10802" s="13" t="s">
        <v>633</v>
      </c>
      <c r="E10802" t="s">
        <v>172</v>
      </c>
      <c r="F10802" s="11">
        <v>1</v>
      </c>
      <c r="G10802" s="11">
        <v>46218.49</v>
      </c>
    </row>
    <row r="10803" spans="2:7" x14ac:dyDescent="0.2">
      <c r="B10803" s="32">
        <v>46127</v>
      </c>
      <c r="C10803" t="s">
        <v>109</v>
      </c>
      <c r="D10803" s="13" t="s">
        <v>633</v>
      </c>
      <c r="E10803" t="s">
        <v>238</v>
      </c>
      <c r="F10803" s="11">
        <v>1</v>
      </c>
      <c r="G10803" s="11">
        <v>46218.49</v>
      </c>
    </row>
    <row r="10804" spans="2:7" x14ac:dyDescent="0.2">
      <c r="B10804" s="32">
        <v>46127</v>
      </c>
      <c r="C10804" t="s">
        <v>109</v>
      </c>
      <c r="D10804" s="13" t="s">
        <v>633</v>
      </c>
      <c r="E10804" t="s">
        <v>260</v>
      </c>
      <c r="F10804" s="11">
        <v>1</v>
      </c>
      <c r="G10804" s="11">
        <v>46218.49</v>
      </c>
    </row>
    <row r="10805" spans="2:7" x14ac:dyDescent="0.2">
      <c r="B10805" s="32">
        <v>46127</v>
      </c>
      <c r="C10805" t="s">
        <v>109</v>
      </c>
      <c r="D10805" s="13" t="s">
        <v>633</v>
      </c>
      <c r="E10805" t="s">
        <v>160</v>
      </c>
      <c r="F10805" s="11">
        <v>1</v>
      </c>
      <c r="G10805" s="11">
        <v>46218.48</v>
      </c>
    </row>
    <row r="10806" spans="2:7" x14ac:dyDescent="0.2">
      <c r="B10806" s="32">
        <v>46127</v>
      </c>
      <c r="C10806" t="s">
        <v>109</v>
      </c>
      <c r="D10806" s="13" t="s">
        <v>633</v>
      </c>
      <c r="E10806" t="s">
        <v>309</v>
      </c>
      <c r="F10806" s="11">
        <v>1</v>
      </c>
      <c r="G10806" s="11">
        <v>42016.81</v>
      </c>
    </row>
    <row r="10807" spans="2:7" x14ac:dyDescent="0.2">
      <c r="B10807" s="32">
        <v>46127</v>
      </c>
      <c r="C10807" t="s">
        <v>109</v>
      </c>
      <c r="D10807" s="13" t="s">
        <v>633</v>
      </c>
      <c r="E10807" t="s">
        <v>148</v>
      </c>
      <c r="F10807" s="11">
        <v>1</v>
      </c>
      <c r="G10807" s="11">
        <v>37815.129999999997</v>
      </c>
    </row>
    <row r="10808" spans="2:7" x14ac:dyDescent="0.2">
      <c r="B10808" s="32">
        <v>46127</v>
      </c>
      <c r="C10808" t="s">
        <v>109</v>
      </c>
      <c r="D10808" s="13" t="s">
        <v>633</v>
      </c>
      <c r="E10808" t="s">
        <v>206</v>
      </c>
      <c r="F10808" s="11">
        <v>1</v>
      </c>
      <c r="G10808" s="11">
        <v>37815.129999999997</v>
      </c>
    </row>
    <row r="10809" spans="2:7" x14ac:dyDescent="0.2">
      <c r="B10809" s="32">
        <v>46127</v>
      </c>
      <c r="C10809" t="s">
        <v>109</v>
      </c>
      <c r="D10809" s="13" t="s">
        <v>633</v>
      </c>
      <c r="E10809" t="s">
        <v>584</v>
      </c>
      <c r="F10809" s="11">
        <v>1</v>
      </c>
      <c r="G10809" s="11">
        <v>29411.759999999998</v>
      </c>
    </row>
    <row r="10810" spans="2:7" x14ac:dyDescent="0.2">
      <c r="B10810" s="32">
        <v>46127</v>
      </c>
      <c r="C10810" t="s">
        <v>109</v>
      </c>
      <c r="D10810" s="13" t="s">
        <v>633</v>
      </c>
      <c r="E10810" t="s">
        <v>144</v>
      </c>
      <c r="F10810" s="11">
        <v>1</v>
      </c>
      <c r="G10810" s="11">
        <v>16806.72</v>
      </c>
    </row>
    <row r="10811" spans="2:7" x14ac:dyDescent="0.2">
      <c r="B10811" s="32">
        <v>46128</v>
      </c>
      <c r="C10811" t="s">
        <v>142</v>
      </c>
      <c r="D10811" s="13" t="s">
        <v>634</v>
      </c>
      <c r="E10811" t="s">
        <v>612</v>
      </c>
      <c r="F10811" s="11">
        <v>1</v>
      </c>
      <c r="G10811" s="11">
        <v>210084.03</v>
      </c>
    </row>
    <row r="10812" spans="2:7" x14ac:dyDescent="0.2">
      <c r="B10812" s="32">
        <v>46128</v>
      </c>
      <c r="C10812" t="s">
        <v>142</v>
      </c>
      <c r="D10812" s="13" t="s">
        <v>634</v>
      </c>
      <c r="E10812" t="s">
        <v>576</v>
      </c>
      <c r="F10812" s="11">
        <v>1</v>
      </c>
      <c r="G10812" s="11">
        <v>63025.21</v>
      </c>
    </row>
    <row r="10813" spans="2:7" x14ac:dyDescent="0.2">
      <c r="B10813" s="32">
        <v>46128</v>
      </c>
      <c r="C10813" t="s">
        <v>142</v>
      </c>
      <c r="D10813" s="13" t="s">
        <v>634</v>
      </c>
      <c r="E10813" t="s">
        <v>345</v>
      </c>
      <c r="F10813" s="11">
        <v>1</v>
      </c>
      <c r="G10813" s="11">
        <v>54621.85</v>
      </c>
    </row>
    <row r="10814" spans="2:7" x14ac:dyDescent="0.2">
      <c r="B10814" s="32">
        <v>46128</v>
      </c>
      <c r="C10814" t="s">
        <v>142</v>
      </c>
      <c r="D10814" s="13" t="s">
        <v>634</v>
      </c>
      <c r="E10814" t="s">
        <v>572</v>
      </c>
      <c r="F10814" s="11">
        <v>1</v>
      </c>
      <c r="G10814" s="11">
        <v>50420.17</v>
      </c>
    </row>
    <row r="10815" spans="2:7" x14ac:dyDescent="0.2">
      <c r="B10815" s="32">
        <v>46128</v>
      </c>
      <c r="C10815" t="s">
        <v>142</v>
      </c>
      <c r="D10815" s="13" t="s">
        <v>633</v>
      </c>
      <c r="E10815" t="s">
        <v>364</v>
      </c>
      <c r="F10815" s="11">
        <v>1</v>
      </c>
      <c r="G10815" s="11">
        <v>113445.38</v>
      </c>
    </row>
    <row r="10816" spans="2:7" x14ac:dyDescent="0.2">
      <c r="B10816" s="32">
        <v>46128</v>
      </c>
      <c r="C10816" t="s">
        <v>142</v>
      </c>
      <c r="D10816" s="13" t="s">
        <v>633</v>
      </c>
      <c r="E10816" t="s">
        <v>413</v>
      </c>
      <c r="F10816" s="11">
        <v>1</v>
      </c>
      <c r="G10816" s="11">
        <v>84033.61</v>
      </c>
    </row>
    <row r="10817" spans="2:7" x14ac:dyDescent="0.2">
      <c r="B10817" s="32">
        <v>46128</v>
      </c>
      <c r="C10817" t="s">
        <v>142</v>
      </c>
      <c r="D10817" s="13" t="s">
        <v>633</v>
      </c>
      <c r="E10817" t="s">
        <v>806</v>
      </c>
      <c r="F10817" s="11">
        <v>1</v>
      </c>
      <c r="G10817" s="11">
        <v>84033.61</v>
      </c>
    </row>
    <row r="10818" spans="2:7" x14ac:dyDescent="0.2">
      <c r="B10818" s="32">
        <v>46128</v>
      </c>
      <c r="C10818" t="s">
        <v>142</v>
      </c>
      <c r="D10818" s="13" t="s">
        <v>633</v>
      </c>
      <c r="E10818" t="s">
        <v>229</v>
      </c>
      <c r="F10818" s="11">
        <v>1</v>
      </c>
      <c r="G10818" s="11">
        <v>42016.800000000003</v>
      </c>
    </row>
    <row r="10819" spans="2:7" x14ac:dyDescent="0.2">
      <c r="B10819" s="32">
        <v>46128</v>
      </c>
      <c r="C10819" t="s">
        <v>109</v>
      </c>
      <c r="D10819" s="13"/>
      <c r="E10819" t="s">
        <v>670</v>
      </c>
      <c r="F10819" s="11">
        <v>1</v>
      </c>
      <c r="G10819" s="11">
        <v>0</v>
      </c>
    </row>
    <row r="10820" spans="2:7" x14ac:dyDescent="0.2">
      <c r="B10820" s="32">
        <v>46128</v>
      </c>
      <c r="C10820" t="s">
        <v>109</v>
      </c>
      <c r="D10820" s="13" t="s">
        <v>634</v>
      </c>
      <c r="E10820" t="s">
        <v>565</v>
      </c>
      <c r="F10820" s="11">
        <v>50</v>
      </c>
      <c r="G10820" s="11">
        <v>1058823.53</v>
      </c>
    </row>
    <row r="10821" spans="2:7" x14ac:dyDescent="0.2">
      <c r="B10821" s="32">
        <v>46128</v>
      </c>
      <c r="C10821" t="s">
        <v>109</v>
      </c>
      <c r="D10821" s="13" t="s">
        <v>634</v>
      </c>
      <c r="F10821" s="11">
        <v>1</v>
      </c>
      <c r="G10821" s="11">
        <v>126050.42</v>
      </c>
    </row>
    <row r="10822" spans="2:7" x14ac:dyDescent="0.2">
      <c r="B10822" s="32">
        <v>46128</v>
      </c>
      <c r="C10822" t="s">
        <v>109</v>
      </c>
      <c r="D10822" s="13" t="s">
        <v>634</v>
      </c>
      <c r="E10822" t="s">
        <v>567</v>
      </c>
      <c r="F10822" s="11">
        <v>2</v>
      </c>
      <c r="G10822" s="11">
        <v>126050.42</v>
      </c>
    </row>
    <row r="10823" spans="2:7" x14ac:dyDescent="0.2">
      <c r="B10823" s="32">
        <v>46128</v>
      </c>
      <c r="C10823" t="s">
        <v>109</v>
      </c>
      <c r="D10823" s="13" t="s">
        <v>634</v>
      </c>
      <c r="E10823" t="s">
        <v>308</v>
      </c>
      <c r="F10823" s="11">
        <v>1</v>
      </c>
      <c r="G10823" s="11">
        <v>113445.38</v>
      </c>
    </row>
    <row r="10824" spans="2:7" x14ac:dyDescent="0.2">
      <c r="B10824" s="32">
        <v>46128</v>
      </c>
      <c r="C10824" t="s">
        <v>109</v>
      </c>
      <c r="D10824" s="13" t="s">
        <v>634</v>
      </c>
      <c r="E10824" t="s">
        <v>364</v>
      </c>
      <c r="F10824" s="11">
        <v>1</v>
      </c>
      <c r="G10824" s="11">
        <v>113445.38</v>
      </c>
    </row>
    <row r="10825" spans="2:7" x14ac:dyDescent="0.2">
      <c r="B10825" s="32">
        <v>46128</v>
      </c>
      <c r="C10825" t="s">
        <v>109</v>
      </c>
      <c r="D10825" s="13" t="s">
        <v>634</v>
      </c>
      <c r="E10825" t="s">
        <v>313</v>
      </c>
      <c r="F10825" s="11">
        <v>1</v>
      </c>
      <c r="G10825" s="11">
        <v>113445.38</v>
      </c>
    </row>
    <row r="10826" spans="2:7" x14ac:dyDescent="0.2">
      <c r="B10826" s="32">
        <v>46128</v>
      </c>
      <c r="C10826" t="s">
        <v>109</v>
      </c>
      <c r="D10826" s="13" t="s">
        <v>634</v>
      </c>
      <c r="E10826" t="s">
        <v>167</v>
      </c>
      <c r="F10826" s="11">
        <v>1</v>
      </c>
      <c r="G10826" s="11">
        <v>113445.38</v>
      </c>
    </row>
    <row r="10827" spans="2:7" x14ac:dyDescent="0.2">
      <c r="B10827" s="32">
        <v>46128</v>
      </c>
      <c r="C10827" t="s">
        <v>109</v>
      </c>
      <c r="D10827" s="13" t="s">
        <v>634</v>
      </c>
      <c r="E10827" t="s">
        <v>476</v>
      </c>
      <c r="F10827" s="11">
        <v>1</v>
      </c>
      <c r="G10827" s="11">
        <v>113445.37</v>
      </c>
    </row>
    <row r="10828" spans="2:7" x14ac:dyDescent="0.2">
      <c r="B10828" s="32">
        <v>46128</v>
      </c>
      <c r="C10828" t="s">
        <v>109</v>
      </c>
      <c r="D10828" s="13" t="s">
        <v>634</v>
      </c>
      <c r="E10828" t="s">
        <v>156</v>
      </c>
      <c r="F10828" s="11">
        <v>2</v>
      </c>
      <c r="G10828" s="11">
        <v>92436.97</v>
      </c>
    </row>
    <row r="10829" spans="2:7" x14ac:dyDescent="0.2">
      <c r="B10829" s="32">
        <v>46128</v>
      </c>
      <c r="C10829" t="s">
        <v>109</v>
      </c>
      <c r="D10829" s="13" t="s">
        <v>634</v>
      </c>
      <c r="E10829" t="s">
        <v>575</v>
      </c>
      <c r="F10829" s="11">
        <v>1</v>
      </c>
      <c r="G10829" s="11">
        <v>82352.94</v>
      </c>
    </row>
    <row r="10830" spans="2:7" x14ac:dyDescent="0.2">
      <c r="B10830" s="32">
        <v>46128</v>
      </c>
      <c r="C10830" t="s">
        <v>109</v>
      </c>
      <c r="D10830" s="13" t="s">
        <v>634</v>
      </c>
      <c r="E10830" t="s">
        <v>591</v>
      </c>
      <c r="F10830" s="11">
        <v>1</v>
      </c>
      <c r="G10830" s="11">
        <v>79831.929999999993</v>
      </c>
    </row>
    <row r="10831" spans="2:7" x14ac:dyDescent="0.2">
      <c r="B10831" s="32">
        <v>46128</v>
      </c>
      <c r="C10831" t="s">
        <v>109</v>
      </c>
      <c r="D10831" s="13" t="s">
        <v>634</v>
      </c>
      <c r="E10831" t="s">
        <v>446</v>
      </c>
      <c r="F10831" s="11">
        <v>1</v>
      </c>
      <c r="G10831" s="11">
        <v>75630.25</v>
      </c>
    </row>
    <row r="10832" spans="2:7" x14ac:dyDescent="0.2">
      <c r="B10832" s="32">
        <v>46128</v>
      </c>
      <c r="C10832" t="s">
        <v>109</v>
      </c>
      <c r="D10832" s="13" t="s">
        <v>634</v>
      </c>
      <c r="E10832" t="s">
        <v>553</v>
      </c>
      <c r="F10832" s="11">
        <v>1</v>
      </c>
      <c r="G10832" s="11">
        <v>63025.21</v>
      </c>
    </row>
    <row r="10833" spans="2:7" x14ac:dyDescent="0.2">
      <c r="B10833" s="32">
        <v>46128</v>
      </c>
      <c r="C10833" t="s">
        <v>109</v>
      </c>
      <c r="D10833" s="13" t="s">
        <v>634</v>
      </c>
      <c r="E10833" t="s">
        <v>271</v>
      </c>
      <c r="F10833" s="11">
        <v>1</v>
      </c>
      <c r="G10833" s="11">
        <v>63025.21</v>
      </c>
    </row>
    <row r="10834" spans="2:7" x14ac:dyDescent="0.2">
      <c r="B10834" s="32">
        <v>46128</v>
      </c>
      <c r="C10834" t="s">
        <v>109</v>
      </c>
      <c r="D10834" s="13" t="s">
        <v>634</v>
      </c>
      <c r="E10834" t="s">
        <v>524</v>
      </c>
      <c r="F10834" s="11">
        <v>1</v>
      </c>
      <c r="G10834" s="11">
        <v>63025.21</v>
      </c>
    </row>
    <row r="10835" spans="2:7" x14ac:dyDescent="0.2">
      <c r="B10835" s="32">
        <v>46128</v>
      </c>
      <c r="C10835" t="s">
        <v>109</v>
      </c>
      <c r="D10835" s="13" t="s">
        <v>634</v>
      </c>
      <c r="E10835" t="s">
        <v>317</v>
      </c>
      <c r="F10835" s="11">
        <v>1</v>
      </c>
      <c r="G10835" s="11">
        <v>54621.85</v>
      </c>
    </row>
    <row r="10836" spans="2:7" x14ac:dyDescent="0.2">
      <c r="B10836" s="32">
        <v>46128</v>
      </c>
      <c r="C10836" t="s">
        <v>109</v>
      </c>
      <c r="D10836" s="13" t="s">
        <v>634</v>
      </c>
      <c r="E10836" t="s">
        <v>151</v>
      </c>
      <c r="F10836" s="11">
        <v>1</v>
      </c>
      <c r="G10836" s="11">
        <v>50420.17</v>
      </c>
    </row>
    <row r="10837" spans="2:7" x14ac:dyDescent="0.2">
      <c r="B10837" s="32">
        <v>46128</v>
      </c>
      <c r="C10837" t="s">
        <v>109</v>
      </c>
      <c r="D10837" s="13" t="s">
        <v>633</v>
      </c>
      <c r="E10837" t="s">
        <v>639</v>
      </c>
      <c r="F10837" s="11">
        <v>1</v>
      </c>
      <c r="G10837" s="11">
        <v>99000</v>
      </c>
    </row>
    <row r="10838" spans="2:7" x14ac:dyDescent="0.2">
      <c r="B10838" s="32">
        <v>46128</v>
      </c>
      <c r="C10838" t="s">
        <v>109</v>
      </c>
      <c r="D10838" s="13" t="s">
        <v>633</v>
      </c>
      <c r="E10838" t="s">
        <v>347</v>
      </c>
      <c r="F10838" s="11">
        <v>1</v>
      </c>
      <c r="G10838" s="11">
        <v>84033.61</v>
      </c>
    </row>
    <row r="10839" spans="2:7" x14ac:dyDescent="0.2">
      <c r="B10839" s="32">
        <v>46128</v>
      </c>
      <c r="C10839" t="s">
        <v>109</v>
      </c>
      <c r="D10839" s="13" t="s">
        <v>633</v>
      </c>
      <c r="E10839" t="s">
        <v>264</v>
      </c>
      <c r="F10839" s="11">
        <v>1</v>
      </c>
      <c r="G10839" s="11">
        <v>84033.61</v>
      </c>
    </row>
    <row r="10840" spans="2:7" x14ac:dyDescent="0.2">
      <c r="B10840" s="32">
        <v>46128</v>
      </c>
      <c r="C10840" t="s">
        <v>109</v>
      </c>
      <c r="D10840" s="13" t="s">
        <v>633</v>
      </c>
      <c r="E10840" t="s">
        <v>234</v>
      </c>
      <c r="F10840" s="11">
        <v>2</v>
      </c>
      <c r="G10840" s="11">
        <v>75630.25</v>
      </c>
    </row>
    <row r="10841" spans="2:7" x14ac:dyDescent="0.2">
      <c r="B10841" s="32">
        <v>46128</v>
      </c>
      <c r="C10841" t="s">
        <v>109</v>
      </c>
      <c r="D10841" s="13" t="s">
        <v>633</v>
      </c>
      <c r="E10841" t="s">
        <v>446</v>
      </c>
      <c r="F10841" s="11">
        <v>1</v>
      </c>
      <c r="G10841" s="11">
        <v>75630.25</v>
      </c>
    </row>
    <row r="10842" spans="2:7" x14ac:dyDescent="0.2">
      <c r="B10842" s="32">
        <v>46128</v>
      </c>
      <c r="C10842" t="s">
        <v>109</v>
      </c>
      <c r="D10842" s="13" t="s">
        <v>633</v>
      </c>
      <c r="E10842" t="s">
        <v>265</v>
      </c>
      <c r="F10842" s="11">
        <v>1</v>
      </c>
      <c r="G10842" s="11">
        <v>50420.17</v>
      </c>
    </row>
    <row r="10843" spans="2:7" x14ac:dyDescent="0.2">
      <c r="B10843" s="32">
        <v>46128</v>
      </c>
      <c r="C10843" t="s">
        <v>109</v>
      </c>
      <c r="D10843" s="13" t="s">
        <v>633</v>
      </c>
      <c r="E10843" t="s">
        <v>144</v>
      </c>
      <c r="F10843" s="11">
        <v>3</v>
      </c>
      <c r="G10843" s="11">
        <v>45378.15</v>
      </c>
    </row>
    <row r="10844" spans="2:7" x14ac:dyDescent="0.2">
      <c r="B10844" s="32">
        <v>46128</v>
      </c>
      <c r="C10844" t="s">
        <v>109</v>
      </c>
      <c r="D10844" s="13" t="s">
        <v>633</v>
      </c>
      <c r="E10844" t="s">
        <v>801</v>
      </c>
      <c r="F10844" s="11">
        <v>1</v>
      </c>
      <c r="G10844" s="11">
        <v>42016.81</v>
      </c>
    </row>
    <row r="10845" spans="2:7" x14ac:dyDescent="0.2">
      <c r="B10845" s="32">
        <v>46128</v>
      </c>
      <c r="C10845" t="s">
        <v>109</v>
      </c>
      <c r="D10845" s="13" t="s">
        <v>633</v>
      </c>
      <c r="E10845" t="s">
        <v>246</v>
      </c>
      <c r="F10845" s="11">
        <v>1</v>
      </c>
      <c r="G10845" s="11">
        <v>42016.81</v>
      </c>
    </row>
    <row r="10846" spans="2:7" x14ac:dyDescent="0.2">
      <c r="B10846" s="32">
        <v>46128</v>
      </c>
      <c r="C10846" t="s">
        <v>109</v>
      </c>
      <c r="D10846" s="13" t="s">
        <v>633</v>
      </c>
      <c r="E10846" t="s">
        <v>382</v>
      </c>
      <c r="F10846" s="11">
        <v>1</v>
      </c>
      <c r="G10846" s="11">
        <v>42016.800000000003</v>
      </c>
    </row>
    <row r="10847" spans="2:7" x14ac:dyDescent="0.2">
      <c r="B10847" s="32">
        <v>46128</v>
      </c>
      <c r="C10847" t="s">
        <v>109</v>
      </c>
      <c r="D10847" s="13" t="s">
        <v>633</v>
      </c>
      <c r="E10847" t="s">
        <v>328</v>
      </c>
      <c r="F10847" s="11">
        <v>1</v>
      </c>
      <c r="G10847" s="11">
        <v>37815.129999999997</v>
      </c>
    </row>
    <row r="10848" spans="2:7" x14ac:dyDescent="0.2">
      <c r="B10848" s="32">
        <v>46128</v>
      </c>
      <c r="C10848" t="s">
        <v>109</v>
      </c>
      <c r="D10848" s="13" t="s">
        <v>633</v>
      </c>
      <c r="E10848" t="s">
        <v>552</v>
      </c>
      <c r="F10848" s="11">
        <v>1</v>
      </c>
      <c r="G10848" s="11">
        <v>16806.72</v>
      </c>
    </row>
    <row r="10849" spans="2:7" x14ac:dyDescent="0.2">
      <c r="B10849" s="32">
        <v>46128</v>
      </c>
      <c r="C10849" t="s">
        <v>109</v>
      </c>
      <c r="D10849" s="13" t="s">
        <v>633</v>
      </c>
      <c r="E10849" t="s">
        <v>180</v>
      </c>
      <c r="F10849" s="11">
        <v>1</v>
      </c>
      <c r="G10849" s="11">
        <v>16806.72</v>
      </c>
    </row>
    <row r="10850" spans="2:7" x14ac:dyDescent="0.2">
      <c r="B10850" s="32">
        <v>46128</v>
      </c>
      <c r="C10850" t="s">
        <v>109</v>
      </c>
      <c r="D10850" s="13" t="s">
        <v>633</v>
      </c>
      <c r="E10850" t="s">
        <v>509</v>
      </c>
      <c r="F10850" s="11">
        <v>1</v>
      </c>
      <c r="G10850" s="11">
        <v>16806.72</v>
      </c>
    </row>
    <row r="10851" spans="2:7" x14ac:dyDescent="0.2">
      <c r="B10851" s="32">
        <v>46129</v>
      </c>
      <c r="C10851" t="s">
        <v>142</v>
      </c>
      <c r="D10851" s="13" t="s">
        <v>634</v>
      </c>
      <c r="E10851" t="s">
        <v>577</v>
      </c>
      <c r="F10851" s="11">
        <v>2</v>
      </c>
      <c r="G10851" s="11">
        <v>327731.09000000003</v>
      </c>
    </row>
    <row r="10852" spans="2:7" x14ac:dyDescent="0.2">
      <c r="B10852" s="32">
        <v>46129</v>
      </c>
      <c r="C10852" t="s">
        <v>142</v>
      </c>
      <c r="D10852" s="13" t="s">
        <v>634</v>
      </c>
      <c r="E10852" t="s">
        <v>383</v>
      </c>
      <c r="F10852" s="11">
        <v>1</v>
      </c>
      <c r="G10852" s="11">
        <v>239495.8</v>
      </c>
    </row>
    <row r="10853" spans="2:7" x14ac:dyDescent="0.2">
      <c r="B10853" s="32">
        <v>46129</v>
      </c>
      <c r="C10853" t="s">
        <v>142</v>
      </c>
      <c r="D10853" s="13" t="s">
        <v>634</v>
      </c>
      <c r="E10853" t="s">
        <v>609</v>
      </c>
      <c r="F10853" s="11">
        <v>1</v>
      </c>
      <c r="G10853" s="11">
        <v>239495.8</v>
      </c>
    </row>
    <row r="10854" spans="2:7" x14ac:dyDescent="0.2">
      <c r="B10854" s="32">
        <v>46129</v>
      </c>
      <c r="C10854" t="s">
        <v>142</v>
      </c>
      <c r="D10854" s="13" t="s">
        <v>634</v>
      </c>
      <c r="E10854" t="s">
        <v>594</v>
      </c>
      <c r="F10854" s="11">
        <v>1</v>
      </c>
      <c r="G10854" s="11">
        <v>239495.8</v>
      </c>
    </row>
    <row r="10855" spans="2:7" x14ac:dyDescent="0.2">
      <c r="B10855" s="32">
        <v>46129</v>
      </c>
      <c r="C10855" t="s">
        <v>142</v>
      </c>
      <c r="D10855" s="13" t="s">
        <v>634</v>
      </c>
      <c r="E10855" t="s">
        <v>207</v>
      </c>
      <c r="F10855" s="11">
        <v>1</v>
      </c>
      <c r="G10855" s="11">
        <v>113445.38</v>
      </c>
    </row>
    <row r="10856" spans="2:7" x14ac:dyDescent="0.2">
      <c r="B10856" s="32">
        <v>46129</v>
      </c>
      <c r="C10856" t="s">
        <v>142</v>
      </c>
      <c r="D10856" s="13" t="s">
        <v>634</v>
      </c>
      <c r="E10856" t="s">
        <v>413</v>
      </c>
      <c r="F10856" s="11">
        <v>1</v>
      </c>
      <c r="G10856" s="11">
        <v>100840.34</v>
      </c>
    </row>
    <row r="10857" spans="2:7" x14ac:dyDescent="0.2">
      <c r="B10857" s="32">
        <v>46129</v>
      </c>
      <c r="C10857" t="s">
        <v>142</v>
      </c>
      <c r="D10857" s="13" t="s">
        <v>634</v>
      </c>
      <c r="E10857" t="s">
        <v>572</v>
      </c>
      <c r="F10857" s="11">
        <v>2</v>
      </c>
      <c r="G10857" s="11">
        <v>100840.34</v>
      </c>
    </row>
    <row r="10858" spans="2:7" x14ac:dyDescent="0.2">
      <c r="B10858" s="32">
        <v>46129</v>
      </c>
      <c r="C10858" t="s">
        <v>142</v>
      </c>
      <c r="D10858" s="13" t="s">
        <v>634</v>
      </c>
      <c r="E10858" t="s">
        <v>398</v>
      </c>
      <c r="F10858" s="11">
        <v>1</v>
      </c>
      <c r="G10858" s="11">
        <v>63025.21</v>
      </c>
    </row>
    <row r="10859" spans="2:7" x14ac:dyDescent="0.2">
      <c r="B10859" s="32">
        <v>46129</v>
      </c>
      <c r="C10859" t="s">
        <v>142</v>
      </c>
      <c r="D10859" s="13" t="s">
        <v>634</v>
      </c>
      <c r="E10859" t="s">
        <v>587</v>
      </c>
      <c r="F10859" s="11">
        <v>1</v>
      </c>
      <c r="G10859" s="11">
        <v>54621.85</v>
      </c>
    </row>
    <row r="10860" spans="2:7" x14ac:dyDescent="0.2">
      <c r="B10860" s="32">
        <v>46129</v>
      </c>
      <c r="C10860" t="s">
        <v>142</v>
      </c>
      <c r="D10860" s="13" t="s">
        <v>634</v>
      </c>
      <c r="E10860" t="s">
        <v>307</v>
      </c>
      <c r="F10860" s="11">
        <v>1</v>
      </c>
      <c r="G10860" s="11">
        <v>54621.85</v>
      </c>
    </row>
    <row r="10861" spans="2:7" x14ac:dyDescent="0.2">
      <c r="B10861" s="32">
        <v>46129</v>
      </c>
      <c r="C10861" t="s">
        <v>142</v>
      </c>
      <c r="D10861" s="13" t="s">
        <v>634</v>
      </c>
      <c r="E10861" t="s">
        <v>303</v>
      </c>
      <c r="F10861" s="11">
        <v>1</v>
      </c>
      <c r="G10861" s="11">
        <v>54621.85</v>
      </c>
    </row>
    <row r="10862" spans="2:7" x14ac:dyDescent="0.2">
      <c r="B10862" s="32">
        <v>46129</v>
      </c>
      <c r="C10862" t="s">
        <v>142</v>
      </c>
      <c r="D10862" s="13" t="s">
        <v>634</v>
      </c>
      <c r="E10862" t="s">
        <v>234</v>
      </c>
      <c r="F10862" s="11">
        <v>1</v>
      </c>
      <c r="G10862" s="11">
        <v>37815.120000000003</v>
      </c>
    </row>
    <row r="10863" spans="2:7" x14ac:dyDescent="0.2">
      <c r="B10863" s="32">
        <v>46129</v>
      </c>
      <c r="C10863" t="s">
        <v>142</v>
      </c>
      <c r="D10863" s="13" t="s">
        <v>634</v>
      </c>
      <c r="E10863" t="s">
        <v>145</v>
      </c>
      <c r="F10863" s="11">
        <v>1</v>
      </c>
      <c r="G10863" s="11">
        <v>29411.759999999998</v>
      </c>
    </row>
    <row r="10864" spans="2:7" x14ac:dyDescent="0.2">
      <c r="B10864" s="32">
        <v>46129</v>
      </c>
      <c r="C10864" t="s">
        <v>142</v>
      </c>
      <c r="D10864" s="13" t="s">
        <v>633</v>
      </c>
      <c r="E10864" t="s">
        <v>818</v>
      </c>
      <c r="F10864" s="11">
        <v>1</v>
      </c>
      <c r="G10864" s="11">
        <v>277310.92</v>
      </c>
    </row>
    <row r="10865" spans="2:7" x14ac:dyDescent="0.2">
      <c r="B10865" s="32">
        <v>46129</v>
      </c>
      <c r="C10865" t="s">
        <v>142</v>
      </c>
      <c r="D10865" s="13" t="s">
        <v>633</v>
      </c>
      <c r="E10865" t="s">
        <v>788</v>
      </c>
      <c r="F10865" s="11">
        <v>2</v>
      </c>
      <c r="G10865" s="11">
        <v>117647.06</v>
      </c>
    </row>
    <row r="10866" spans="2:7" x14ac:dyDescent="0.2">
      <c r="B10866" s="32">
        <v>46129</v>
      </c>
      <c r="C10866" t="s">
        <v>142</v>
      </c>
      <c r="D10866" s="13" t="s">
        <v>633</v>
      </c>
      <c r="E10866" t="s">
        <v>454</v>
      </c>
      <c r="F10866" s="11">
        <v>1</v>
      </c>
      <c r="G10866" s="11">
        <v>63025.21</v>
      </c>
    </row>
    <row r="10867" spans="2:7" x14ac:dyDescent="0.2">
      <c r="B10867" s="32">
        <v>46129</v>
      </c>
      <c r="C10867" t="s">
        <v>142</v>
      </c>
      <c r="D10867" s="13" t="s">
        <v>633</v>
      </c>
      <c r="E10867" t="s">
        <v>218</v>
      </c>
      <c r="F10867" s="11">
        <v>1</v>
      </c>
      <c r="G10867" s="11">
        <v>42016.81</v>
      </c>
    </row>
    <row r="10868" spans="2:7" x14ac:dyDescent="0.2">
      <c r="B10868" s="32">
        <v>46129</v>
      </c>
      <c r="C10868" t="s">
        <v>110</v>
      </c>
      <c r="D10868" s="13" t="s">
        <v>634</v>
      </c>
      <c r="E10868" t="s">
        <v>622</v>
      </c>
      <c r="F10868" s="11">
        <v>1</v>
      </c>
      <c r="G10868" s="11">
        <v>79831.94</v>
      </c>
    </row>
    <row r="10869" spans="2:7" x14ac:dyDescent="0.2">
      <c r="B10869" s="32">
        <v>46129</v>
      </c>
      <c r="C10869" t="s">
        <v>110</v>
      </c>
      <c r="D10869" s="13" t="s">
        <v>634</v>
      </c>
      <c r="E10869" t="s">
        <v>164</v>
      </c>
      <c r="F10869" s="11">
        <v>1</v>
      </c>
      <c r="G10869" s="11">
        <v>75630.25</v>
      </c>
    </row>
    <row r="10870" spans="2:7" x14ac:dyDescent="0.2">
      <c r="B10870" s="32">
        <v>46129</v>
      </c>
      <c r="C10870" t="s">
        <v>110</v>
      </c>
      <c r="D10870" s="13" t="s">
        <v>634</v>
      </c>
      <c r="E10870" t="s">
        <v>600</v>
      </c>
      <c r="F10870" s="11">
        <v>1</v>
      </c>
      <c r="G10870" s="11">
        <v>63025.21</v>
      </c>
    </row>
    <row r="10871" spans="2:7" x14ac:dyDescent="0.2">
      <c r="B10871" s="32">
        <v>46129</v>
      </c>
      <c r="C10871" t="s">
        <v>110</v>
      </c>
      <c r="D10871" s="13" t="s">
        <v>634</v>
      </c>
      <c r="E10871" t="s">
        <v>590</v>
      </c>
      <c r="F10871" s="11">
        <v>1</v>
      </c>
      <c r="G10871" s="11">
        <v>50420.17</v>
      </c>
    </row>
    <row r="10872" spans="2:7" x14ac:dyDescent="0.2">
      <c r="B10872" s="32">
        <v>46129</v>
      </c>
      <c r="C10872" t="s">
        <v>110</v>
      </c>
      <c r="D10872" s="13" t="s">
        <v>633</v>
      </c>
      <c r="E10872" t="s">
        <v>791</v>
      </c>
      <c r="F10872" s="11">
        <v>2</v>
      </c>
      <c r="G10872" s="11">
        <v>92436.97</v>
      </c>
    </row>
    <row r="10873" spans="2:7" x14ac:dyDescent="0.2">
      <c r="B10873" s="32">
        <v>46129</v>
      </c>
      <c r="C10873" t="s">
        <v>110</v>
      </c>
      <c r="D10873" s="13" t="s">
        <v>633</v>
      </c>
      <c r="E10873" t="s">
        <v>798</v>
      </c>
      <c r="F10873" s="11">
        <v>1</v>
      </c>
      <c r="G10873" s="11">
        <v>88235.29</v>
      </c>
    </row>
    <row r="10874" spans="2:7" x14ac:dyDescent="0.2">
      <c r="B10874" s="32">
        <v>46129</v>
      </c>
      <c r="C10874" t="s">
        <v>109</v>
      </c>
      <c r="D10874" s="13" t="s">
        <v>634</v>
      </c>
      <c r="E10874" t="s">
        <v>516</v>
      </c>
      <c r="F10874" s="11">
        <v>1</v>
      </c>
      <c r="G10874" s="11">
        <v>142857.14000000001</v>
      </c>
    </row>
    <row r="10875" spans="2:7" x14ac:dyDescent="0.2">
      <c r="B10875" s="32">
        <v>46129</v>
      </c>
      <c r="C10875" t="s">
        <v>109</v>
      </c>
      <c r="D10875" s="13" t="s">
        <v>634</v>
      </c>
      <c r="E10875" t="s">
        <v>153</v>
      </c>
      <c r="F10875" s="11">
        <v>1</v>
      </c>
      <c r="G10875" s="11">
        <v>46218.49</v>
      </c>
    </row>
    <row r="10876" spans="2:7" x14ac:dyDescent="0.2">
      <c r="B10876" s="32">
        <v>46129</v>
      </c>
      <c r="C10876" t="s">
        <v>109</v>
      </c>
      <c r="D10876" s="13" t="s">
        <v>634</v>
      </c>
      <c r="E10876" t="s">
        <v>566</v>
      </c>
      <c r="F10876" s="11">
        <v>1</v>
      </c>
      <c r="G10876" s="11">
        <v>16806.72</v>
      </c>
    </row>
    <row r="10877" spans="2:7" x14ac:dyDescent="0.2">
      <c r="B10877" s="32">
        <v>46129</v>
      </c>
      <c r="C10877" t="s">
        <v>109</v>
      </c>
      <c r="D10877" s="13" t="s">
        <v>633</v>
      </c>
      <c r="E10877" t="s">
        <v>642</v>
      </c>
      <c r="F10877" s="11">
        <v>3</v>
      </c>
      <c r="G10877" s="11">
        <v>147000</v>
      </c>
    </row>
    <row r="10878" spans="2:7" x14ac:dyDescent="0.2">
      <c r="B10878" s="32">
        <v>46129</v>
      </c>
      <c r="C10878" t="s">
        <v>109</v>
      </c>
      <c r="D10878" s="13" t="s">
        <v>633</v>
      </c>
      <c r="E10878" t="s">
        <v>145</v>
      </c>
      <c r="F10878" s="11">
        <v>2</v>
      </c>
      <c r="G10878" s="11">
        <v>58823.53</v>
      </c>
    </row>
    <row r="10879" spans="2:7" x14ac:dyDescent="0.2">
      <c r="B10879" s="32">
        <v>46129</v>
      </c>
      <c r="C10879" t="s">
        <v>109</v>
      </c>
      <c r="D10879" s="13" t="s">
        <v>633</v>
      </c>
      <c r="E10879" t="s">
        <v>153</v>
      </c>
      <c r="F10879" s="11">
        <v>1</v>
      </c>
      <c r="G10879" s="11">
        <v>46218.49</v>
      </c>
    </row>
    <row r="10880" spans="2:7" x14ac:dyDescent="0.2">
      <c r="B10880" s="32">
        <v>46129</v>
      </c>
      <c r="C10880" t="s">
        <v>109</v>
      </c>
      <c r="D10880" s="13" t="s">
        <v>633</v>
      </c>
      <c r="E10880" t="s">
        <v>246</v>
      </c>
      <c r="F10880" s="11">
        <v>1</v>
      </c>
      <c r="G10880" s="11">
        <v>42016.81</v>
      </c>
    </row>
    <row r="10881" spans="2:7" x14ac:dyDescent="0.2">
      <c r="B10881" s="32">
        <v>46129</v>
      </c>
      <c r="C10881" t="s">
        <v>109</v>
      </c>
      <c r="D10881" s="13" t="s">
        <v>633</v>
      </c>
      <c r="E10881" t="s">
        <v>166</v>
      </c>
      <c r="F10881" s="11">
        <v>1</v>
      </c>
      <c r="G10881" s="11">
        <v>42016.800000000003</v>
      </c>
    </row>
    <row r="10882" spans="2:7" x14ac:dyDescent="0.2">
      <c r="B10882" s="32">
        <v>46129</v>
      </c>
      <c r="C10882" t="s">
        <v>109</v>
      </c>
      <c r="D10882" s="13" t="s">
        <v>633</v>
      </c>
      <c r="E10882" t="s">
        <v>566</v>
      </c>
      <c r="F10882" s="11">
        <v>1</v>
      </c>
      <c r="G10882" s="11">
        <v>16806.72</v>
      </c>
    </row>
    <row r="10883" spans="2:7" x14ac:dyDescent="0.2">
      <c r="B10883" s="32">
        <v>46130</v>
      </c>
      <c r="C10883" t="s">
        <v>142</v>
      </c>
      <c r="D10883" s="13" t="s">
        <v>634</v>
      </c>
      <c r="E10883" t="s">
        <v>615</v>
      </c>
      <c r="F10883" s="11">
        <v>1</v>
      </c>
      <c r="G10883" s="11">
        <v>142857.14000000001</v>
      </c>
    </row>
    <row r="10884" spans="2:7" x14ac:dyDescent="0.2">
      <c r="B10884" s="32">
        <v>46130</v>
      </c>
      <c r="C10884" t="s">
        <v>142</v>
      </c>
      <c r="D10884" s="13" t="s">
        <v>634</v>
      </c>
      <c r="E10884" t="s">
        <v>419</v>
      </c>
      <c r="F10884" s="11">
        <v>1</v>
      </c>
      <c r="G10884" s="11">
        <v>63025.21</v>
      </c>
    </row>
    <row r="10885" spans="2:7" x14ac:dyDescent="0.2">
      <c r="B10885" s="32">
        <v>46130</v>
      </c>
      <c r="C10885" t="s">
        <v>142</v>
      </c>
      <c r="D10885" s="13" t="s">
        <v>633</v>
      </c>
      <c r="E10885" t="s">
        <v>146</v>
      </c>
      <c r="F10885" s="11">
        <v>1</v>
      </c>
      <c r="G10885" s="11">
        <v>60000</v>
      </c>
    </row>
    <row r="10886" spans="2:7" x14ac:dyDescent="0.2">
      <c r="B10886" s="32">
        <v>46130</v>
      </c>
      <c r="C10886" t="s">
        <v>142</v>
      </c>
      <c r="D10886" s="13" t="s">
        <v>633</v>
      </c>
      <c r="E10886" t="s">
        <v>768</v>
      </c>
      <c r="F10886" s="11">
        <v>1</v>
      </c>
      <c r="G10886" s="11">
        <v>50420.17</v>
      </c>
    </row>
    <row r="10887" spans="2:7" x14ac:dyDescent="0.2">
      <c r="B10887" s="32">
        <v>46130</v>
      </c>
      <c r="C10887" t="s">
        <v>142</v>
      </c>
      <c r="D10887" s="13" t="s">
        <v>633</v>
      </c>
      <c r="E10887" t="s">
        <v>548</v>
      </c>
      <c r="F10887" s="11">
        <v>1</v>
      </c>
      <c r="G10887" s="11">
        <v>50420.17</v>
      </c>
    </row>
    <row r="10888" spans="2:7" x14ac:dyDescent="0.2">
      <c r="B10888" s="32">
        <v>46130</v>
      </c>
      <c r="C10888" t="s">
        <v>142</v>
      </c>
      <c r="D10888" s="13" t="s">
        <v>633</v>
      </c>
      <c r="E10888" t="s">
        <v>793</v>
      </c>
      <c r="F10888" s="11">
        <v>1</v>
      </c>
      <c r="G10888" s="11">
        <v>50420.17</v>
      </c>
    </row>
    <row r="10889" spans="2:7" x14ac:dyDescent="0.2">
      <c r="B10889" s="32">
        <v>46130</v>
      </c>
      <c r="C10889" t="s">
        <v>142</v>
      </c>
      <c r="D10889" s="13" t="s">
        <v>633</v>
      </c>
      <c r="E10889" t="s">
        <v>824</v>
      </c>
      <c r="F10889" s="11">
        <v>1</v>
      </c>
      <c r="G10889" s="11">
        <v>50420.17</v>
      </c>
    </row>
    <row r="10890" spans="2:7" x14ac:dyDescent="0.2">
      <c r="B10890" s="32">
        <v>46130</v>
      </c>
      <c r="C10890" t="s">
        <v>142</v>
      </c>
      <c r="D10890" s="13" t="s">
        <v>633</v>
      </c>
      <c r="E10890" t="s">
        <v>753</v>
      </c>
      <c r="F10890" s="11">
        <v>1</v>
      </c>
      <c r="G10890" s="11">
        <v>50420.17</v>
      </c>
    </row>
    <row r="10891" spans="2:7" x14ac:dyDescent="0.2">
      <c r="B10891" s="32">
        <v>46130</v>
      </c>
      <c r="C10891" t="s">
        <v>142</v>
      </c>
      <c r="D10891" s="13" t="s">
        <v>633</v>
      </c>
      <c r="E10891" t="s">
        <v>836</v>
      </c>
      <c r="F10891" s="11">
        <v>1</v>
      </c>
      <c r="G10891" s="11">
        <v>50420.17</v>
      </c>
    </row>
    <row r="10892" spans="2:7" x14ac:dyDescent="0.2">
      <c r="B10892" s="32">
        <v>46130</v>
      </c>
      <c r="C10892" t="s">
        <v>142</v>
      </c>
      <c r="D10892" s="13" t="s">
        <v>633</v>
      </c>
      <c r="E10892" t="s">
        <v>604</v>
      </c>
      <c r="F10892" s="11">
        <v>1</v>
      </c>
      <c r="G10892" s="11">
        <v>50420.160000000003</v>
      </c>
    </row>
    <row r="10893" spans="2:7" x14ac:dyDescent="0.2">
      <c r="B10893" s="32">
        <v>46130</v>
      </c>
      <c r="C10893" t="s">
        <v>142</v>
      </c>
      <c r="D10893" s="13" t="s">
        <v>633</v>
      </c>
      <c r="E10893" t="s">
        <v>218</v>
      </c>
      <c r="F10893" s="11">
        <v>1</v>
      </c>
      <c r="G10893" s="11">
        <v>50000</v>
      </c>
    </row>
    <row r="10894" spans="2:7" x14ac:dyDescent="0.2">
      <c r="B10894" s="32">
        <v>46130</v>
      </c>
      <c r="C10894" t="s">
        <v>109</v>
      </c>
      <c r="D10894" s="13" t="s">
        <v>634</v>
      </c>
      <c r="E10894" t="s">
        <v>255</v>
      </c>
      <c r="F10894" s="11">
        <v>2</v>
      </c>
      <c r="G10894" s="11">
        <v>277310.90999999997</v>
      </c>
    </row>
    <row r="10895" spans="2:7" x14ac:dyDescent="0.2">
      <c r="B10895" s="32">
        <v>46130</v>
      </c>
      <c r="C10895" t="s">
        <v>109</v>
      </c>
      <c r="D10895" s="13" t="s">
        <v>634</v>
      </c>
      <c r="E10895" t="s">
        <v>567</v>
      </c>
      <c r="F10895" s="11">
        <v>1</v>
      </c>
      <c r="G10895" s="11">
        <v>159663.87</v>
      </c>
    </row>
    <row r="10896" spans="2:7" x14ac:dyDescent="0.2">
      <c r="B10896" s="32">
        <v>46130</v>
      </c>
      <c r="C10896" t="s">
        <v>109</v>
      </c>
      <c r="D10896" s="13" t="s">
        <v>634</v>
      </c>
      <c r="E10896" t="s">
        <v>510</v>
      </c>
      <c r="F10896" s="11">
        <v>1</v>
      </c>
      <c r="G10896" s="11">
        <v>159663.87</v>
      </c>
    </row>
    <row r="10897" spans="2:7" x14ac:dyDescent="0.2">
      <c r="B10897" s="32">
        <v>46130</v>
      </c>
      <c r="C10897" t="s">
        <v>109</v>
      </c>
      <c r="D10897" s="13" t="s">
        <v>634</v>
      </c>
      <c r="E10897" t="s">
        <v>189</v>
      </c>
      <c r="F10897" s="11">
        <v>2</v>
      </c>
      <c r="G10897" s="11">
        <v>151260.5</v>
      </c>
    </row>
    <row r="10898" spans="2:7" x14ac:dyDescent="0.2">
      <c r="B10898" s="32">
        <v>46130</v>
      </c>
      <c r="C10898" t="s">
        <v>109</v>
      </c>
      <c r="D10898" s="13" t="s">
        <v>634</v>
      </c>
      <c r="E10898" t="s">
        <v>607</v>
      </c>
      <c r="F10898" s="11">
        <v>1</v>
      </c>
      <c r="G10898" s="11">
        <v>117647.06</v>
      </c>
    </row>
    <row r="10899" spans="2:7" x14ac:dyDescent="0.2">
      <c r="B10899" s="32">
        <v>46130</v>
      </c>
      <c r="C10899" t="s">
        <v>109</v>
      </c>
      <c r="D10899" s="13" t="s">
        <v>634</v>
      </c>
      <c r="E10899" t="s">
        <v>169</v>
      </c>
      <c r="F10899" s="11">
        <v>1</v>
      </c>
      <c r="G10899" s="11">
        <v>113445.38</v>
      </c>
    </row>
    <row r="10900" spans="2:7" x14ac:dyDescent="0.2">
      <c r="B10900" s="32">
        <v>46130</v>
      </c>
      <c r="C10900" t="s">
        <v>109</v>
      </c>
      <c r="D10900" s="13" t="s">
        <v>634</v>
      </c>
      <c r="E10900" t="s">
        <v>569</v>
      </c>
      <c r="F10900" s="11">
        <v>1</v>
      </c>
      <c r="G10900" s="11">
        <v>109243.7</v>
      </c>
    </row>
    <row r="10901" spans="2:7" x14ac:dyDescent="0.2">
      <c r="B10901" s="32">
        <v>46130</v>
      </c>
      <c r="C10901" t="s">
        <v>109</v>
      </c>
      <c r="D10901" s="13" t="s">
        <v>634</v>
      </c>
      <c r="E10901" t="s">
        <v>395</v>
      </c>
      <c r="F10901" s="11">
        <v>1</v>
      </c>
      <c r="G10901" s="11">
        <v>84033.62</v>
      </c>
    </row>
    <row r="10902" spans="2:7" x14ac:dyDescent="0.2">
      <c r="B10902" s="32">
        <v>46130</v>
      </c>
      <c r="C10902" t="s">
        <v>109</v>
      </c>
      <c r="D10902" s="13" t="s">
        <v>634</v>
      </c>
      <c r="E10902" t="s">
        <v>334</v>
      </c>
      <c r="F10902" s="11">
        <v>1</v>
      </c>
      <c r="G10902" s="11">
        <v>75630.25</v>
      </c>
    </row>
    <row r="10903" spans="2:7" x14ac:dyDescent="0.2">
      <c r="B10903" s="32">
        <v>46130</v>
      </c>
      <c r="C10903" t="s">
        <v>109</v>
      </c>
      <c r="D10903" s="13" t="s">
        <v>634</v>
      </c>
      <c r="E10903" t="s">
        <v>175</v>
      </c>
      <c r="F10903" s="11">
        <v>1</v>
      </c>
      <c r="G10903" s="11">
        <v>63025.21</v>
      </c>
    </row>
    <row r="10904" spans="2:7" x14ac:dyDescent="0.2">
      <c r="B10904" s="32">
        <v>46130</v>
      </c>
      <c r="C10904" t="s">
        <v>109</v>
      </c>
      <c r="D10904" s="13" t="s">
        <v>634</v>
      </c>
      <c r="E10904" t="s">
        <v>578</v>
      </c>
      <c r="F10904" s="11">
        <v>1</v>
      </c>
      <c r="G10904" s="11">
        <v>63025.21</v>
      </c>
    </row>
    <row r="10905" spans="2:7" x14ac:dyDescent="0.2">
      <c r="B10905" s="32">
        <v>46130</v>
      </c>
      <c r="C10905" t="s">
        <v>109</v>
      </c>
      <c r="D10905" s="13" t="s">
        <v>634</v>
      </c>
      <c r="E10905" t="s">
        <v>608</v>
      </c>
      <c r="F10905" s="11">
        <v>1</v>
      </c>
      <c r="G10905" s="11">
        <v>63025.21</v>
      </c>
    </row>
    <row r="10906" spans="2:7" x14ac:dyDescent="0.2">
      <c r="B10906" s="32">
        <v>46130</v>
      </c>
      <c r="C10906" t="s">
        <v>109</v>
      </c>
      <c r="D10906" s="13" t="s">
        <v>634</v>
      </c>
      <c r="E10906" t="s">
        <v>271</v>
      </c>
      <c r="F10906" s="11">
        <v>1</v>
      </c>
      <c r="G10906" s="11">
        <v>63025.21</v>
      </c>
    </row>
    <row r="10907" spans="2:7" x14ac:dyDescent="0.2">
      <c r="B10907" s="32">
        <v>46130</v>
      </c>
      <c r="C10907" t="s">
        <v>109</v>
      </c>
      <c r="D10907" s="13" t="s">
        <v>634</v>
      </c>
      <c r="E10907" t="s">
        <v>611</v>
      </c>
      <c r="F10907" s="11">
        <v>1</v>
      </c>
      <c r="G10907" s="11">
        <v>63025.21</v>
      </c>
    </row>
    <row r="10908" spans="2:7" x14ac:dyDescent="0.2">
      <c r="B10908" s="32">
        <v>46130</v>
      </c>
      <c r="C10908" t="s">
        <v>109</v>
      </c>
      <c r="D10908" s="13" t="s">
        <v>634</v>
      </c>
      <c r="E10908" t="s">
        <v>477</v>
      </c>
      <c r="F10908" s="11">
        <v>1</v>
      </c>
      <c r="G10908" s="11">
        <v>63025.21</v>
      </c>
    </row>
    <row r="10909" spans="2:7" x14ac:dyDescent="0.2">
      <c r="B10909" s="32">
        <v>46130</v>
      </c>
      <c r="C10909" t="s">
        <v>109</v>
      </c>
      <c r="D10909" s="13" t="s">
        <v>634</v>
      </c>
      <c r="E10909" t="s">
        <v>362</v>
      </c>
      <c r="F10909" s="11">
        <v>1</v>
      </c>
      <c r="G10909" s="11">
        <v>58823.53</v>
      </c>
    </row>
    <row r="10910" spans="2:7" x14ac:dyDescent="0.2">
      <c r="B10910" s="32">
        <v>46130</v>
      </c>
      <c r="C10910" t="s">
        <v>109</v>
      </c>
      <c r="D10910" s="13" t="s">
        <v>634</v>
      </c>
      <c r="E10910" t="s">
        <v>613</v>
      </c>
      <c r="F10910" s="11">
        <v>1</v>
      </c>
      <c r="G10910" s="11">
        <v>55000</v>
      </c>
    </row>
    <row r="10911" spans="2:7" x14ac:dyDescent="0.2">
      <c r="B10911" s="32">
        <v>46130</v>
      </c>
      <c r="C10911" t="s">
        <v>109</v>
      </c>
      <c r="D10911" s="13" t="s">
        <v>634</v>
      </c>
      <c r="E10911" t="s">
        <v>179</v>
      </c>
      <c r="F10911" s="11">
        <v>1</v>
      </c>
      <c r="G10911" s="11">
        <v>50420.17</v>
      </c>
    </row>
    <row r="10912" spans="2:7" x14ac:dyDescent="0.2">
      <c r="B10912" s="32">
        <v>46130</v>
      </c>
      <c r="C10912" t="s">
        <v>109</v>
      </c>
      <c r="D10912" s="13" t="s">
        <v>634</v>
      </c>
      <c r="E10912" t="s">
        <v>195</v>
      </c>
      <c r="F10912" s="11">
        <v>1</v>
      </c>
      <c r="G10912" s="11">
        <v>50420.17</v>
      </c>
    </row>
    <row r="10913" spans="2:7" x14ac:dyDescent="0.2">
      <c r="B10913" s="32">
        <v>46130</v>
      </c>
      <c r="C10913" t="s">
        <v>109</v>
      </c>
      <c r="D10913" s="13" t="s">
        <v>634</v>
      </c>
      <c r="E10913" t="s">
        <v>350</v>
      </c>
      <c r="F10913" s="11">
        <v>1</v>
      </c>
      <c r="G10913" s="11">
        <v>50420.17</v>
      </c>
    </row>
    <row r="10914" spans="2:7" x14ac:dyDescent="0.2">
      <c r="B10914" s="32">
        <v>46130</v>
      </c>
      <c r="C10914" t="s">
        <v>109</v>
      </c>
      <c r="D10914" s="13" t="s">
        <v>634</v>
      </c>
      <c r="E10914" t="s">
        <v>337</v>
      </c>
      <c r="F10914" s="11">
        <v>1</v>
      </c>
      <c r="G10914" s="11">
        <v>50420.17</v>
      </c>
    </row>
    <row r="10915" spans="2:7" x14ac:dyDescent="0.2">
      <c r="B10915" s="32">
        <v>46130</v>
      </c>
      <c r="C10915" t="s">
        <v>109</v>
      </c>
      <c r="D10915" s="13" t="s">
        <v>634</v>
      </c>
      <c r="E10915" t="s">
        <v>198</v>
      </c>
      <c r="F10915" s="11">
        <v>1</v>
      </c>
      <c r="G10915" s="11">
        <v>50420.17</v>
      </c>
    </row>
    <row r="10916" spans="2:7" x14ac:dyDescent="0.2">
      <c r="B10916" s="32">
        <v>46130</v>
      </c>
      <c r="C10916" t="s">
        <v>109</v>
      </c>
      <c r="D10916" s="13" t="s">
        <v>634</v>
      </c>
      <c r="E10916" t="s">
        <v>234</v>
      </c>
      <c r="F10916" s="11">
        <v>1</v>
      </c>
      <c r="G10916" s="11">
        <v>37815.129999999997</v>
      </c>
    </row>
    <row r="10917" spans="2:7" x14ac:dyDescent="0.2">
      <c r="B10917" s="32">
        <v>46130</v>
      </c>
      <c r="C10917" t="s">
        <v>109</v>
      </c>
      <c r="D10917" s="13" t="s">
        <v>634</v>
      </c>
      <c r="E10917" t="s">
        <v>327</v>
      </c>
      <c r="F10917" s="11">
        <v>1</v>
      </c>
      <c r="G10917" s="11">
        <v>35000</v>
      </c>
    </row>
    <row r="10918" spans="2:7" x14ac:dyDescent="0.2">
      <c r="B10918" s="32">
        <v>46130</v>
      </c>
      <c r="C10918" t="s">
        <v>109</v>
      </c>
      <c r="D10918" s="13" t="s">
        <v>634</v>
      </c>
      <c r="E10918" t="s">
        <v>144</v>
      </c>
      <c r="F10918" s="11">
        <v>2</v>
      </c>
      <c r="G10918" s="11">
        <v>33613.440000000002</v>
      </c>
    </row>
    <row r="10919" spans="2:7" x14ac:dyDescent="0.2">
      <c r="B10919" s="32">
        <v>46130</v>
      </c>
      <c r="C10919" t="s">
        <v>109</v>
      </c>
      <c r="D10919" s="13" t="s">
        <v>634</v>
      </c>
      <c r="E10919" t="s">
        <v>145</v>
      </c>
      <c r="F10919" s="11">
        <v>1</v>
      </c>
      <c r="G10919" s="11">
        <v>29411.759999999998</v>
      </c>
    </row>
    <row r="10920" spans="2:7" x14ac:dyDescent="0.2">
      <c r="B10920" s="32">
        <v>46130</v>
      </c>
      <c r="C10920" t="s">
        <v>109</v>
      </c>
      <c r="D10920" s="13" t="s">
        <v>633</v>
      </c>
      <c r="E10920" t="s">
        <v>569</v>
      </c>
      <c r="F10920" s="11">
        <v>2</v>
      </c>
      <c r="G10920" s="11">
        <v>218487.39</v>
      </c>
    </row>
    <row r="10921" spans="2:7" x14ac:dyDescent="0.2">
      <c r="B10921" s="32">
        <v>46130</v>
      </c>
      <c r="C10921" t="s">
        <v>109</v>
      </c>
      <c r="D10921" s="13" t="s">
        <v>633</v>
      </c>
      <c r="E10921" t="s">
        <v>152</v>
      </c>
      <c r="F10921" s="11">
        <v>2</v>
      </c>
      <c r="G10921" s="11">
        <v>168067.24</v>
      </c>
    </row>
    <row r="10922" spans="2:7" x14ac:dyDescent="0.2">
      <c r="B10922" s="32">
        <v>46130</v>
      </c>
      <c r="C10922" t="s">
        <v>109</v>
      </c>
      <c r="D10922" s="13" t="s">
        <v>633</v>
      </c>
      <c r="E10922" t="s">
        <v>592</v>
      </c>
      <c r="F10922" s="11">
        <v>1</v>
      </c>
      <c r="G10922" s="11">
        <v>159663.87</v>
      </c>
    </row>
    <row r="10923" spans="2:7" x14ac:dyDescent="0.2">
      <c r="B10923" s="32">
        <v>46130</v>
      </c>
      <c r="C10923" t="s">
        <v>109</v>
      </c>
      <c r="D10923" s="13" t="s">
        <v>633</v>
      </c>
      <c r="E10923" t="s">
        <v>145</v>
      </c>
      <c r="F10923" s="11">
        <v>4</v>
      </c>
      <c r="G10923" s="11">
        <v>117647.06</v>
      </c>
    </row>
    <row r="10924" spans="2:7" x14ac:dyDescent="0.2">
      <c r="B10924" s="32">
        <v>46130</v>
      </c>
      <c r="C10924" t="s">
        <v>109</v>
      </c>
      <c r="D10924" s="13" t="s">
        <v>633</v>
      </c>
      <c r="E10924" t="s">
        <v>340</v>
      </c>
      <c r="F10924" s="11">
        <v>1</v>
      </c>
      <c r="G10924" s="11">
        <v>84033.61</v>
      </c>
    </row>
    <row r="10925" spans="2:7" x14ac:dyDescent="0.2">
      <c r="B10925" s="32">
        <v>46130</v>
      </c>
      <c r="C10925" t="s">
        <v>109</v>
      </c>
      <c r="D10925" s="13" t="s">
        <v>633</v>
      </c>
      <c r="E10925" t="s">
        <v>347</v>
      </c>
      <c r="F10925" s="11">
        <v>1</v>
      </c>
      <c r="G10925" s="11">
        <v>84033.61</v>
      </c>
    </row>
    <row r="10926" spans="2:7" x14ac:dyDescent="0.2">
      <c r="B10926" s="32">
        <v>46130</v>
      </c>
      <c r="C10926" t="s">
        <v>109</v>
      </c>
      <c r="D10926" s="13" t="s">
        <v>633</v>
      </c>
      <c r="E10926" t="s">
        <v>173</v>
      </c>
      <c r="F10926" s="11">
        <v>2</v>
      </c>
      <c r="G10926" s="11">
        <v>75630.259999999995</v>
      </c>
    </row>
    <row r="10927" spans="2:7" x14ac:dyDescent="0.2">
      <c r="B10927" s="32">
        <v>46130</v>
      </c>
      <c r="C10927" t="s">
        <v>109</v>
      </c>
      <c r="D10927" s="13" t="s">
        <v>633</v>
      </c>
      <c r="E10927" t="s">
        <v>149</v>
      </c>
      <c r="F10927" s="11">
        <v>1</v>
      </c>
      <c r="G10927" s="11">
        <v>75630.25</v>
      </c>
    </row>
    <row r="10928" spans="2:7" x14ac:dyDescent="0.2">
      <c r="B10928" s="32">
        <v>46130</v>
      </c>
      <c r="C10928" t="s">
        <v>109</v>
      </c>
      <c r="D10928" s="13" t="s">
        <v>633</v>
      </c>
      <c r="E10928" t="s">
        <v>535</v>
      </c>
      <c r="F10928" s="11">
        <v>1</v>
      </c>
      <c r="G10928" s="11">
        <v>71428.570000000007</v>
      </c>
    </row>
    <row r="10929" spans="2:7" x14ac:dyDescent="0.2">
      <c r="B10929" s="32">
        <v>46130</v>
      </c>
      <c r="C10929" t="s">
        <v>109</v>
      </c>
      <c r="D10929" s="13" t="s">
        <v>633</v>
      </c>
      <c r="E10929" t="s">
        <v>291</v>
      </c>
      <c r="F10929" s="11">
        <v>1</v>
      </c>
      <c r="G10929" s="11">
        <v>50420.17</v>
      </c>
    </row>
    <row r="10930" spans="2:7" x14ac:dyDescent="0.2">
      <c r="B10930" s="32">
        <v>46130</v>
      </c>
      <c r="C10930" t="s">
        <v>109</v>
      </c>
      <c r="D10930" s="13" t="s">
        <v>633</v>
      </c>
      <c r="E10930" t="s">
        <v>822</v>
      </c>
      <c r="F10930" s="11">
        <v>1</v>
      </c>
      <c r="G10930" s="11">
        <v>50420.17</v>
      </c>
    </row>
    <row r="10931" spans="2:7" x14ac:dyDescent="0.2">
      <c r="B10931" s="32">
        <v>46130</v>
      </c>
      <c r="C10931" t="s">
        <v>109</v>
      </c>
      <c r="D10931" s="13" t="s">
        <v>633</v>
      </c>
      <c r="E10931" t="s">
        <v>246</v>
      </c>
      <c r="F10931" s="11">
        <v>1</v>
      </c>
      <c r="G10931" s="11">
        <v>42016.81</v>
      </c>
    </row>
    <row r="10932" spans="2:7" x14ac:dyDescent="0.2">
      <c r="B10932" s="32">
        <v>46130</v>
      </c>
      <c r="C10932" t="s">
        <v>109</v>
      </c>
      <c r="D10932" s="13" t="s">
        <v>633</v>
      </c>
      <c r="E10932" t="s">
        <v>218</v>
      </c>
      <c r="F10932" s="11">
        <v>1</v>
      </c>
      <c r="G10932" s="11">
        <v>42016.81</v>
      </c>
    </row>
    <row r="10933" spans="2:7" x14ac:dyDescent="0.2">
      <c r="B10933" s="32">
        <v>46130</v>
      </c>
      <c r="C10933" t="s">
        <v>109</v>
      </c>
      <c r="D10933" s="13" t="s">
        <v>633</v>
      </c>
      <c r="E10933" t="s">
        <v>144</v>
      </c>
      <c r="F10933" s="11">
        <v>3</v>
      </c>
      <c r="G10933" s="11">
        <v>31932.77</v>
      </c>
    </row>
    <row r="10934" spans="2:7" x14ac:dyDescent="0.2">
      <c r="B10934" s="32">
        <v>46130</v>
      </c>
      <c r="C10934" t="s">
        <v>109</v>
      </c>
      <c r="D10934" s="13" t="s">
        <v>633</v>
      </c>
      <c r="E10934" t="s">
        <v>180</v>
      </c>
      <c r="F10934" s="11">
        <v>1</v>
      </c>
      <c r="G10934" s="11">
        <v>16806.72</v>
      </c>
    </row>
    <row r="10935" spans="2:7" x14ac:dyDescent="0.2">
      <c r="B10935" s="32">
        <v>46130</v>
      </c>
      <c r="C10935" t="s">
        <v>109</v>
      </c>
      <c r="D10935" s="13" t="s">
        <v>633</v>
      </c>
      <c r="E10935" t="s">
        <v>388</v>
      </c>
      <c r="F10935" s="11">
        <v>1</v>
      </c>
      <c r="G10935" s="11">
        <v>12605.04</v>
      </c>
    </row>
    <row r="10936" spans="2:7" x14ac:dyDescent="0.2">
      <c r="B10936" s="32">
        <v>46131</v>
      </c>
      <c r="C10936" t="s">
        <v>142</v>
      </c>
      <c r="D10936" s="13" t="s">
        <v>634</v>
      </c>
      <c r="E10936" t="s">
        <v>576</v>
      </c>
      <c r="F10936" s="11">
        <v>1</v>
      </c>
      <c r="G10936" s="11">
        <v>63025.21</v>
      </c>
    </row>
    <row r="10937" spans="2:7" x14ac:dyDescent="0.2">
      <c r="B10937" s="32">
        <v>46131</v>
      </c>
      <c r="C10937" t="s">
        <v>109</v>
      </c>
      <c r="D10937" s="13" t="s">
        <v>634</v>
      </c>
      <c r="E10937" t="s">
        <v>628</v>
      </c>
      <c r="F10937" s="11">
        <v>1</v>
      </c>
      <c r="G10937" s="11">
        <v>109243.7</v>
      </c>
    </row>
    <row r="10938" spans="2:7" x14ac:dyDescent="0.2">
      <c r="B10938" s="32">
        <v>46131</v>
      </c>
      <c r="C10938" t="s">
        <v>109</v>
      </c>
      <c r="D10938" s="13" t="s">
        <v>634</v>
      </c>
      <c r="E10938" t="s">
        <v>506</v>
      </c>
      <c r="F10938" s="11">
        <v>1</v>
      </c>
      <c r="G10938" s="11">
        <v>109243.69</v>
      </c>
    </row>
    <row r="10939" spans="2:7" x14ac:dyDescent="0.2">
      <c r="B10939" s="32">
        <v>46131</v>
      </c>
      <c r="C10939" t="s">
        <v>109</v>
      </c>
      <c r="D10939" s="13" t="s">
        <v>634</v>
      </c>
      <c r="E10939" t="s">
        <v>423</v>
      </c>
      <c r="F10939" s="11">
        <v>1</v>
      </c>
      <c r="G10939" s="11">
        <v>83193.279999999999</v>
      </c>
    </row>
    <row r="10940" spans="2:7" x14ac:dyDescent="0.2">
      <c r="B10940" s="32">
        <v>46131</v>
      </c>
      <c r="C10940" t="s">
        <v>109</v>
      </c>
      <c r="D10940" s="13" t="s">
        <v>634</v>
      </c>
      <c r="E10940" t="s">
        <v>318</v>
      </c>
      <c r="F10940" s="11">
        <v>1</v>
      </c>
      <c r="G10940" s="11">
        <v>63025.21</v>
      </c>
    </row>
    <row r="10941" spans="2:7" x14ac:dyDescent="0.2">
      <c r="B10941" s="32">
        <v>46131</v>
      </c>
      <c r="C10941" t="s">
        <v>109</v>
      </c>
      <c r="D10941" s="13" t="s">
        <v>634</v>
      </c>
      <c r="E10941" t="s">
        <v>341</v>
      </c>
      <c r="F10941" s="11">
        <v>1</v>
      </c>
      <c r="G10941" s="11">
        <v>63025.21</v>
      </c>
    </row>
    <row r="10942" spans="2:7" x14ac:dyDescent="0.2">
      <c r="B10942" s="32">
        <v>46131</v>
      </c>
      <c r="C10942" t="s">
        <v>109</v>
      </c>
      <c r="D10942" s="13" t="s">
        <v>634</v>
      </c>
      <c r="E10942" t="s">
        <v>283</v>
      </c>
      <c r="F10942" s="11">
        <v>1</v>
      </c>
      <c r="G10942" s="11">
        <v>54621.85</v>
      </c>
    </row>
    <row r="10943" spans="2:7" x14ac:dyDescent="0.2">
      <c r="B10943" s="32">
        <v>46131</v>
      </c>
      <c r="C10943" t="s">
        <v>109</v>
      </c>
      <c r="D10943" s="13" t="s">
        <v>634</v>
      </c>
      <c r="E10943" t="s">
        <v>144</v>
      </c>
      <c r="F10943" s="11">
        <v>1</v>
      </c>
      <c r="G10943" s="11">
        <v>25210.080000000002</v>
      </c>
    </row>
    <row r="10944" spans="2:7" x14ac:dyDescent="0.2">
      <c r="B10944" s="32">
        <v>46131</v>
      </c>
      <c r="C10944" t="s">
        <v>109</v>
      </c>
      <c r="D10944" s="13" t="s">
        <v>633</v>
      </c>
      <c r="E10944" t="s">
        <v>227</v>
      </c>
      <c r="F10944" s="11">
        <v>2</v>
      </c>
      <c r="G10944" s="11">
        <v>226890.75</v>
      </c>
    </row>
    <row r="10945" spans="2:7" x14ac:dyDescent="0.2">
      <c r="B10945" s="32">
        <v>46131</v>
      </c>
      <c r="C10945" t="s">
        <v>109</v>
      </c>
      <c r="D10945" s="13" t="s">
        <v>633</v>
      </c>
      <c r="E10945" t="s">
        <v>144</v>
      </c>
      <c r="F10945" s="11">
        <v>5</v>
      </c>
      <c r="G10945" s="11">
        <v>166386.56</v>
      </c>
    </row>
    <row r="10946" spans="2:7" x14ac:dyDescent="0.2">
      <c r="B10946" s="32">
        <v>46131</v>
      </c>
      <c r="C10946" t="s">
        <v>109</v>
      </c>
      <c r="D10946" s="13" t="s">
        <v>633</v>
      </c>
      <c r="E10946" t="s">
        <v>805</v>
      </c>
      <c r="F10946" s="11">
        <v>1</v>
      </c>
      <c r="G10946" s="11">
        <v>163865.54999999999</v>
      </c>
    </row>
    <row r="10947" spans="2:7" x14ac:dyDescent="0.2">
      <c r="B10947" s="32">
        <v>46131</v>
      </c>
      <c r="C10947" t="s">
        <v>109</v>
      </c>
      <c r="D10947" s="13" t="s">
        <v>633</v>
      </c>
      <c r="E10947" t="s">
        <v>364</v>
      </c>
      <c r="F10947" s="11">
        <v>1</v>
      </c>
      <c r="G10947" s="11">
        <v>113445.38</v>
      </c>
    </row>
    <row r="10948" spans="2:7" x14ac:dyDescent="0.2">
      <c r="B10948" s="32">
        <v>46131</v>
      </c>
      <c r="C10948" t="s">
        <v>109</v>
      </c>
      <c r="D10948" s="13" t="s">
        <v>633</v>
      </c>
      <c r="E10948" t="s">
        <v>164</v>
      </c>
      <c r="F10948" s="11">
        <v>1</v>
      </c>
      <c r="G10948" s="11">
        <v>75630.25</v>
      </c>
    </row>
    <row r="10949" spans="2:7" x14ac:dyDescent="0.2">
      <c r="B10949" s="32">
        <v>46131</v>
      </c>
      <c r="C10949" t="s">
        <v>109</v>
      </c>
      <c r="D10949" s="13" t="s">
        <v>633</v>
      </c>
      <c r="E10949" t="s">
        <v>584</v>
      </c>
      <c r="F10949" s="11">
        <v>1</v>
      </c>
      <c r="G10949" s="11">
        <v>29411.759999999998</v>
      </c>
    </row>
    <row r="10950" spans="2:7" x14ac:dyDescent="0.2">
      <c r="B10950" s="32">
        <v>46131</v>
      </c>
      <c r="C10950" t="s">
        <v>109</v>
      </c>
      <c r="D10950" s="13" t="s">
        <v>633</v>
      </c>
      <c r="E10950" t="s">
        <v>509</v>
      </c>
      <c r="F10950" s="11">
        <v>1</v>
      </c>
      <c r="G10950" s="11">
        <v>16806.72</v>
      </c>
    </row>
    <row r="10951" spans="2:7" x14ac:dyDescent="0.2">
      <c r="B10951" s="32">
        <v>46131</v>
      </c>
      <c r="C10951" t="s">
        <v>109</v>
      </c>
      <c r="D10951" s="13" t="s">
        <v>633</v>
      </c>
      <c r="E10951" t="s">
        <v>595</v>
      </c>
      <c r="F10951" s="11">
        <v>1</v>
      </c>
      <c r="G10951" s="11">
        <v>16806.72</v>
      </c>
    </row>
    <row r="10952" spans="2:7" x14ac:dyDescent="0.2">
      <c r="B10952" s="32">
        <v>46132</v>
      </c>
      <c r="C10952" t="s">
        <v>142</v>
      </c>
      <c r="D10952" s="13" t="s">
        <v>634</v>
      </c>
      <c r="E10952" t="s">
        <v>620</v>
      </c>
      <c r="F10952" s="11">
        <v>1</v>
      </c>
      <c r="G10952" s="11">
        <v>142857.14000000001</v>
      </c>
    </row>
    <row r="10953" spans="2:7" x14ac:dyDescent="0.2">
      <c r="B10953" s="32">
        <v>46132</v>
      </c>
      <c r="C10953" t="s">
        <v>142</v>
      </c>
      <c r="D10953" s="13" t="s">
        <v>633</v>
      </c>
      <c r="E10953" t="s">
        <v>786</v>
      </c>
      <c r="F10953" s="11">
        <v>1</v>
      </c>
      <c r="G10953" s="11">
        <v>210084.03</v>
      </c>
    </row>
    <row r="10954" spans="2:7" x14ac:dyDescent="0.2">
      <c r="B10954" s="32">
        <v>46132</v>
      </c>
      <c r="C10954" t="s">
        <v>142</v>
      </c>
      <c r="D10954" s="13" t="s">
        <v>633</v>
      </c>
      <c r="E10954" t="s">
        <v>325</v>
      </c>
      <c r="F10954" s="11">
        <v>1</v>
      </c>
      <c r="G10954" s="11">
        <v>63025.21</v>
      </c>
    </row>
    <row r="10955" spans="2:7" x14ac:dyDescent="0.2">
      <c r="B10955" s="32">
        <v>46132</v>
      </c>
      <c r="C10955" t="s">
        <v>110</v>
      </c>
      <c r="D10955" s="13" t="s">
        <v>634</v>
      </c>
      <c r="E10955" t="s">
        <v>589</v>
      </c>
      <c r="F10955" s="11">
        <v>1</v>
      </c>
      <c r="G10955" s="11">
        <v>54621.85</v>
      </c>
    </row>
    <row r="10956" spans="2:7" x14ac:dyDescent="0.2">
      <c r="B10956" s="32">
        <v>46132</v>
      </c>
      <c r="C10956" t="s">
        <v>109</v>
      </c>
      <c r="D10956" s="13"/>
      <c r="E10956" t="s">
        <v>670</v>
      </c>
      <c r="F10956" s="11">
        <v>1</v>
      </c>
      <c r="G10956" s="11">
        <v>0</v>
      </c>
    </row>
    <row r="10957" spans="2:7" x14ac:dyDescent="0.2">
      <c r="B10957" s="32">
        <v>46132</v>
      </c>
      <c r="C10957" t="s">
        <v>109</v>
      </c>
      <c r="D10957" s="13" t="s">
        <v>634</v>
      </c>
      <c r="E10957" t="s">
        <v>579</v>
      </c>
      <c r="F10957" s="11">
        <v>1</v>
      </c>
      <c r="G10957" s="11">
        <v>113445.38</v>
      </c>
    </row>
    <row r="10958" spans="2:7" x14ac:dyDescent="0.2">
      <c r="B10958" s="32">
        <v>46132</v>
      </c>
      <c r="C10958" t="s">
        <v>109</v>
      </c>
      <c r="D10958" s="13" t="s">
        <v>634</v>
      </c>
      <c r="E10958" t="s">
        <v>569</v>
      </c>
      <c r="F10958" s="11">
        <v>1</v>
      </c>
      <c r="G10958" s="11">
        <v>109243.7</v>
      </c>
    </row>
    <row r="10959" spans="2:7" x14ac:dyDescent="0.2">
      <c r="B10959" s="32">
        <v>46132</v>
      </c>
      <c r="C10959" t="s">
        <v>109</v>
      </c>
      <c r="D10959" s="13" t="s">
        <v>634</v>
      </c>
      <c r="E10959" t="s">
        <v>357</v>
      </c>
      <c r="F10959" s="11">
        <v>1</v>
      </c>
      <c r="G10959" s="11">
        <v>75630.240000000005</v>
      </c>
    </row>
    <row r="10960" spans="2:7" x14ac:dyDescent="0.2">
      <c r="B10960" s="32">
        <v>46132</v>
      </c>
      <c r="C10960" t="s">
        <v>109</v>
      </c>
      <c r="D10960" s="13" t="s">
        <v>634</v>
      </c>
      <c r="E10960" t="s">
        <v>205</v>
      </c>
      <c r="F10960" s="11">
        <v>1</v>
      </c>
      <c r="G10960" s="11">
        <v>63025.21</v>
      </c>
    </row>
    <row r="10961" spans="2:7" x14ac:dyDescent="0.2">
      <c r="B10961" s="32">
        <v>46132</v>
      </c>
      <c r="C10961" t="s">
        <v>109</v>
      </c>
      <c r="D10961" s="13" t="s">
        <v>634</v>
      </c>
      <c r="E10961" t="s">
        <v>150</v>
      </c>
      <c r="F10961" s="11">
        <v>1</v>
      </c>
      <c r="G10961" s="11">
        <v>46218.49</v>
      </c>
    </row>
    <row r="10962" spans="2:7" x14ac:dyDescent="0.2">
      <c r="B10962" s="32">
        <v>46132</v>
      </c>
      <c r="C10962" t="s">
        <v>109</v>
      </c>
      <c r="D10962" s="13" t="s">
        <v>634</v>
      </c>
      <c r="E10962" t="s">
        <v>263</v>
      </c>
      <c r="F10962" s="11">
        <v>1</v>
      </c>
      <c r="G10962" s="11">
        <v>37815.129999999997</v>
      </c>
    </row>
    <row r="10963" spans="2:7" x14ac:dyDescent="0.2">
      <c r="B10963" s="32">
        <v>46132</v>
      </c>
      <c r="C10963" t="s">
        <v>109</v>
      </c>
      <c r="D10963" s="13" t="s">
        <v>634</v>
      </c>
      <c r="E10963" t="s">
        <v>568</v>
      </c>
      <c r="F10963" s="11">
        <v>1</v>
      </c>
      <c r="G10963" s="11">
        <v>37815.129999999997</v>
      </c>
    </row>
    <row r="10964" spans="2:7" x14ac:dyDescent="0.2">
      <c r="B10964" s="32">
        <v>46132</v>
      </c>
      <c r="C10964" t="s">
        <v>109</v>
      </c>
      <c r="D10964" s="13" t="s">
        <v>634</v>
      </c>
      <c r="E10964" t="s">
        <v>144</v>
      </c>
      <c r="F10964" s="11">
        <v>1</v>
      </c>
      <c r="G10964" s="11">
        <v>16806.72</v>
      </c>
    </row>
    <row r="10965" spans="2:7" x14ac:dyDescent="0.2">
      <c r="B10965" s="32">
        <v>46132</v>
      </c>
      <c r="C10965" t="s">
        <v>109</v>
      </c>
      <c r="D10965" s="13" t="s">
        <v>634</v>
      </c>
      <c r="E10965" t="s">
        <v>388</v>
      </c>
      <c r="F10965" s="11">
        <v>1</v>
      </c>
      <c r="G10965" s="11">
        <v>12605.04</v>
      </c>
    </row>
    <row r="10966" spans="2:7" x14ac:dyDescent="0.2">
      <c r="B10966" s="32">
        <v>46132</v>
      </c>
      <c r="C10966" t="s">
        <v>109</v>
      </c>
      <c r="D10966" s="13" t="s">
        <v>634</v>
      </c>
      <c r="E10966" t="s">
        <v>423</v>
      </c>
      <c r="F10966" s="11">
        <v>1</v>
      </c>
      <c r="G10966" s="11">
        <v>0</v>
      </c>
    </row>
    <row r="10967" spans="2:7" x14ac:dyDescent="0.2">
      <c r="B10967" s="32">
        <v>46132</v>
      </c>
      <c r="C10967" t="s">
        <v>109</v>
      </c>
      <c r="D10967" s="13" t="s">
        <v>633</v>
      </c>
      <c r="E10967" t="s">
        <v>523</v>
      </c>
      <c r="F10967" s="11">
        <v>2</v>
      </c>
      <c r="G10967" s="11">
        <v>432773.11</v>
      </c>
    </row>
    <row r="10968" spans="2:7" x14ac:dyDescent="0.2">
      <c r="B10968" s="32">
        <v>46132</v>
      </c>
      <c r="C10968" t="s">
        <v>109</v>
      </c>
      <c r="D10968" s="13" t="s">
        <v>633</v>
      </c>
      <c r="E10968" t="s">
        <v>794</v>
      </c>
      <c r="F10968" s="11">
        <v>1</v>
      </c>
      <c r="G10968" s="11">
        <v>268907.56</v>
      </c>
    </row>
    <row r="10969" spans="2:7" x14ac:dyDescent="0.2">
      <c r="B10969" s="32">
        <v>46132</v>
      </c>
      <c r="C10969" t="s">
        <v>109</v>
      </c>
      <c r="D10969" s="13" t="s">
        <v>633</v>
      </c>
      <c r="E10969" t="s">
        <v>802</v>
      </c>
      <c r="F10969" s="11">
        <v>1</v>
      </c>
      <c r="G10969" s="11">
        <v>184873.95</v>
      </c>
    </row>
    <row r="10970" spans="2:7" x14ac:dyDescent="0.2">
      <c r="B10970" s="32">
        <v>46132</v>
      </c>
      <c r="C10970" t="s">
        <v>109</v>
      </c>
      <c r="D10970" s="13" t="s">
        <v>633</v>
      </c>
      <c r="E10970" t="s">
        <v>734</v>
      </c>
      <c r="F10970" s="11">
        <v>5</v>
      </c>
      <c r="G10970" s="11">
        <v>168067.23</v>
      </c>
    </row>
    <row r="10971" spans="2:7" x14ac:dyDescent="0.2">
      <c r="B10971" s="32">
        <v>46132</v>
      </c>
      <c r="C10971" t="s">
        <v>109</v>
      </c>
      <c r="D10971" s="13" t="s">
        <v>633</v>
      </c>
      <c r="E10971" t="s">
        <v>819</v>
      </c>
      <c r="F10971" s="11">
        <v>1</v>
      </c>
      <c r="G10971" s="11">
        <v>163865.54999999999</v>
      </c>
    </row>
    <row r="10972" spans="2:7" x14ac:dyDescent="0.2">
      <c r="B10972" s="32">
        <v>46132</v>
      </c>
      <c r="C10972" t="s">
        <v>109</v>
      </c>
      <c r="D10972" s="13" t="s">
        <v>633</v>
      </c>
      <c r="E10972" t="s">
        <v>407</v>
      </c>
      <c r="F10972" s="11">
        <v>2</v>
      </c>
      <c r="G10972" s="11">
        <v>163865.54</v>
      </c>
    </row>
    <row r="10973" spans="2:7" x14ac:dyDescent="0.2">
      <c r="B10973" s="32">
        <v>46132</v>
      </c>
      <c r="C10973" t="s">
        <v>109</v>
      </c>
      <c r="D10973" s="13" t="s">
        <v>633</v>
      </c>
      <c r="E10973" t="s">
        <v>701</v>
      </c>
      <c r="F10973" s="11">
        <v>2</v>
      </c>
      <c r="G10973" s="11">
        <v>142857.14000000001</v>
      </c>
    </row>
    <row r="10974" spans="2:7" x14ac:dyDescent="0.2">
      <c r="B10974" s="32">
        <v>46132</v>
      </c>
      <c r="C10974" t="s">
        <v>109</v>
      </c>
      <c r="D10974" s="13" t="s">
        <v>633</v>
      </c>
      <c r="E10974" t="s">
        <v>814</v>
      </c>
      <c r="F10974" s="11">
        <v>1</v>
      </c>
      <c r="G10974" s="11">
        <v>126050.42</v>
      </c>
    </row>
    <row r="10975" spans="2:7" x14ac:dyDescent="0.2">
      <c r="B10975" s="32">
        <v>46132</v>
      </c>
      <c r="C10975" t="s">
        <v>109</v>
      </c>
      <c r="D10975" s="13" t="s">
        <v>633</v>
      </c>
      <c r="E10975" t="s">
        <v>583</v>
      </c>
      <c r="F10975" s="11">
        <v>1</v>
      </c>
      <c r="G10975" s="11">
        <v>126050.42</v>
      </c>
    </row>
    <row r="10976" spans="2:7" x14ac:dyDescent="0.2">
      <c r="B10976" s="32">
        <v>46132</v>
      </c>
      <c r="C10976" t="s">
        <v>109</v>
      </c>
      <c r="D10976" s="13" t="s">
        <v>633</v>
      </c>
      <c r="E10976" t="s">
        <v>477</v>
      </c>
      <c r="F10976" s="11">
        <v>1</v>
      </c>
      <c r="G10976" s="11">
        <v>117647.06</v>
      </c>
    </row>
    <row r="10977" spans="2:7" x14ac:dyDescent="0.2">
      <c r="B10977" s="32">
        <v>46132</v>
      </c>
      <c r="C10977" t="s">
        <v>109</v>
      </c>
      <c r="D10977" s="13" t="s">
        <v>633</v>
      </c>
      <c r="E10977" t="s">
        <v>809</v>
      </c>
      <c r="F10977" s="11">
        <v>1</v>
      </c>
      <c r="G10977" s="11">
        <v>117647.06</v>
      </c>
    </row>
    <row r="10978" spans="2:7" x14ac:dyDescent="0.2">
      <c r="B10978" s="32">
        <v>46132</v>
      </c>
      <c r="C10978" t="s">
        <v>109</v>
      </c>
      <c r="D10978" s="13" t="s">
        <v>633</v>
      </c>
      <c r="E10978" t="s">
        <v>145</v>
      </c>
      <c r="F10978" s="11">
        <v>4</v>
      </c>
      <c r="G10978" s="11">
        <v>117647.05</v>
      </c>
    </row>
    <row r="10979" spans="2:7" x14ac:dyDescent="0.2">
      <c r="B10979" s="32">
        <v>46132</v>
      </c>
      <c r="C10979" t="s">
        <v>109</v>
      </c>
      <c r="D10979" s="13" t="s">
        <v>633</v>
      </c>
      <c r="E10979" t="s">
        <v>144</v>
      </c>
      <c r="F10979" s="11">
        <v>10</v>
      </c>
      <c r="G10979" s="11">
        <v>114285.71</v>
      </c>
    </row>
    <row r="10980" spans="2:7" x14ac:dyDescent="0.2">
      <c r="B10980" s="32">
        <v>46132</v>
      </c>
      <c r="C10980" t="s">
        <v>109</v>
      </c>
      <c r="D10980" s="13" t="s">
        <v>633</v>
      </c>
      <c r="E10980" t="s">
        <v>154</v>
      </c>
      <c r="F10980" s="11">
        <v>1</v>
      </c>
      <c r="G10980" s="11">
        <v>113445.38</v>
      </c>
    </row>
    <row r="10981" spans="2:7" x14ac:dyDescent="0.2">
      <c r="B10981" s="32">
        <v>46132</v>
      </c>
      <c r="C10981" t="s">
        <v>109</v>
      </c>
      <c r="D10981" s="13" t="s">
        <v>633</v>
      </c>
      <c r="E10981" t="s">
        <v>571</v>
      </c>
      <c r="F10981" s="11">
        <v>1</v>
      </c>
      <c r="G10981" s="11">
        <v>109243.7</v>
      </c>
    </row>
    <row r="10982" spans="2:7" x14ac:dyDescent="0.2">
      <c r="B10982" s="32">
        <v>46132</v>
      </c>
      <c r="C10982" t="s">
        <v>109</v>
      </c>
      <c r="D10982" s="13" t="s">
        <v>633</v>
      </c>
      <c r="E10982" t="s">
        <v>274</v>
      </c>
      <c r="F10982" s="11">
        <v>1</v>
      </c>
      <c r="G10982" s="11">
        <v>109243.7</v>
      </c>
    </row>
    <row r="10983" spans="2:7" x14ac:dyDescent="0.2">
      <c r="B10983" s="32">
        <v>46132</v>
      </c>
      <c r="C10983" t="s">
        <v>109</v>
      </c>
      <c r="D10983" s="13" t="s">
        <v>633</v>
      </c>
      <c r="E10983" t="s">
        <v>467</v>
      </c>
      <c r="F10983" s="11">
        <v>1</v>
      </c>
      <c r="G10983" s="11">
        <v>84033.61</v>
      </c>
    </row>
    <row r="10984" spans="2:7" x14ac:dyDescent="0.2">
      <c r="B10984" s="32">
        <v>46132</v>
      </c>
      <c r="C10984" t="s">
        <v>109</v>
      </c>
      <c r="D10984" s="13" t="s">
        <v>633</v>
      </c>
      <c r="E10984" t="s">
        <v>148</v>
      </c>
      <c r="F10984" s="11">
        <v>2</v>
      </c>
      <c r="G10984" s="11">
        <v>75630.259999999995</v>
      </c>
    </row>
    <row r="10985" spans="2:7" x14ac:dyDescent="0.2">
      <c r="B10985" s="32">
        <v>46132</v>
      </c>
      <c r="C10985" t="s">
        <v>109</v>
      </c>
      <c r="D10985" s="13" t="s">
        <v>633</v>
      </c>
      <c r="E10985" t="s">
        <v>446</v>
      </c>
      <c r="F10985" s="11">
        <v>1</v>
      </c>
      <c r="G10985" s="11">
        <v>75630.25</v>
      </c>
    </row>
    <row r="10986" spans="2:7" x14ac:dyDescent="0.2">
      <c r="B10986" s="32">
        <v>46132</v>
      </c>
      <c r="C10986" t="s">
        <v>109</v>
      </c>
      <c r="D10986" s="13" t="s">
        <v>633</v>
      </c>
      <c r="E10986" t="s">
        <v>248</v>
      </c>
      <c r="F10986" s="11">
        <v>2</v>
      </c>
      <c r="G10986" s="11">
        <v>75630.25</v>
      </c>
    </row>
    <row r="10987" spans="2:7" x14ac:dyDescent="0.2">
      <c r="B10987" s="32">
        <v>46132</v>
      </c>
      <c r="C10987" t="s">
        <v>109</v>
      </c>
      <c r="D10987" s="13" t="s">
        <v>633</v>
      </c>
      <c r="E10987" t="s">
        <v>193</v>
      </c>
      <c r="F10987" s="11">
        <v>2</v>
      </c>
      <c r="G10987" s="11">
        <v>75630.25</v>
      </c>
    </row>
    <row r="10988" spans="2:7" x14ac:dyDescent="0.2">
      <c r="B10988" s="32">
        <v>46132</v>
      </c>
      <c r="C10988" t="s">
        <v>109</v>
      </c>
      <c r="D10988" s="13" t="s">
        <v>633</v>
      </c>
      <c r="E10988" t="s">
        <v>164</v>
      </c>
      <c r="F10988" s="11">
        <v>1</v>
      </c>
      <c r="G10988" s="11">
        <v>75630.25</v>
      </c>
    </row>
    <row r="10989" spans="2:7" x14ac:dyDescent="0.2">
      <c r="B10989" s="32">
        <v>46132</v>
      </c>
      <c r="C10989" t="s">
        <v>109</v>
      </c>
      <c r="D10989" s="13" t="s">
        <v>633</v>
      </c>
      <c r="E10989" t="s">
        <v>317</v>
      </c>
      <c r="F10989" s="11">
        <v>1</v>
      </c>
      <c r="G10989" s="11">
        <v>65000</v>
      </c>
    </row>
    <row r="10990" spans="2:7" x14ac:dyDescent="0.2">
      <c r="B10990" s="32">
        <v>46132</v>
      </c>
      <c r="C10990" t="s">
        <v>109</v>
      </c>
      <c r="D10990" s="13" t="s">
        <v>633</v>
      </c>
      <c r="E10990" t="s">
        <v>810</v>
      </c>
      <c r="F10990" s="11">
        <v>1</v>
      </c>
      <c r="G10990" s="11">
        <v>65000</v>
      </c>
    </row>
    <row r="10991" spans="2:7" x14ac:dyDescent="0.2">
      <c r="B10991" s="32">
        <v>46132</v>
      </c>
      <c r="C10991" t="s">
        <v>109</v>
      </c>
      <c r="D10991" s="13" t="s">
        <v>633</v>
      </c>
      <c r="E10991" t="s">
        <v>813</v>
      </c>
      <c r="F10991" s="11">
        <v>1</v>
      </c>
      <c r="G10991" s="11">
        <v>65000</v>
      </c>
    </row>
    <row r="10992" spans="2:7" x14ac:dyDescent="0.2">
      <c r="B10992" s="32">
        <v>46132</v>
      </c>
      <c r="C10992" t="s">
        <v>109</v>
      </c>
      <c r="D10992" s="13" t="s">
        <v>633</v>
      </c>
      <c r="E10992" t="s">
        <v>212</v>
      </c>
      <c r="F10992" s="11">
        <v>1</v>
      </c>
      <c r="G10992" s="11">
        <v>58823.53</v>
      </c>
    </row>
    <row r="10993" spans="2:7" x14ac:dyDescent="0.2">
      <c r="B10993" s="32">
        <v>46132</v>
      </c>
      <c r="C10993" t="s">
        <v>109</v>
      </c>
      <c r="D10993" s="13" t="s">
        <v>633</v>
      </c>
      <c r="E10993" t="s">
        <v>473</v>
      </c>
      <c r="F10993" s="11">
        <v>1</v>
      </c>
      <c r="G10993" s="11">
        <v>54621.85</v>
      </c>
    </row>
    <row r="10994" spans="2:7" x14ac:dyDescent="0.2">
      <c r="B10994" s="32">
        <v>46132</v>
      </c>
      <c r="C10994" t="s">
        <v>109</v>
      </c>
      <c r="D10994" s="13" t="s">
        <v>633</v>
      </c>
      <c r="E10994" t="s">
        <v>789</v>
      </c>
      <c r="F10994" s="11">
        <v>2</v>
      </c>
      <c r="G10994" s="11">
        <v>52100.84</v>
      </c>
    </row>
    <row r="10995" spans="2:7" x14ac:dyDescent="0.2">
      <c r="B10995" s="32">
        <v>46132</v>
      </c>
      <c r="C10995" t="s">
        <v>109</v>
      </c>
      <c r="D10995" s="13" t="s">
        <v>633</v>
      </c>
      <c r="E10995" t="s">
        <v>156</v>
      </c>
      <c r="F10995" s="11">
        <v>1</v>
      </c>
      <c r="G10995" s="11">
        <v>46218.49</v>
      </c>
    </row>
    <row r="10996" spans="2:7" x14ac:dyDescent="0.2">
      <c r="B10996" s="32">
        <v>46132</v>
      </c>
      <c r="C10996" t="s">
        <v>109</v>
      </c>
      <c r="D10996" s="13" t="s">
        <v>633</v>
      </c>
      <c r="E10996" t="s">
        <v>158</v>
      </c>
      <c r="F10996" s="11">
        <v>1</v>
      </c>
      <c r="G10996" s="11">
        <v>46218.49</v>
      </c>
    </row>
    <row r="10997" spans="2:7" x14ac:dyDescent="0.2">
      <c r="B10997" s="32">
        <v>46132</v>
      </c>
      <c r="C10997" t="s">
        <v>109</v>
      </c>
      <c r="D10997" s="13" t="s">
        <v>633</v>
      </c>
      <c r="E10997" t="s">
        <v>246</v>
      </c>
      <c r="F10997" s="11">
        <v>1</v>
      </c>
      <c r="G10997" s="11">
        <v>42016.81</v>
      </c>
    </row>
    <row r="10998" spans="2:7" x14ac:dyDescent="0.2">
      <c r="B10998" s="32">
        <v>46132</v>
      </c>
      <c r="C10998" t="s">
        <v>109</v>
      </c>
      <c r="D10998" s="13" t="s">
        <v>633</v>
      </c>
      <c r="E10998" t="s">
        <v>173</v>
      </c>
      <c r="F10998" s="11">
        <v>1</v>
      </c>
      <c r="G10998" s="11">
        <v>37815.129999999997</v>
      </c>
    </row>
    <row r="10999" spans="2:7" x14ac:dyDescent="0.2">
      <c r="B10999" s="32">
        <v>46133</v>
      </c>
      <c r="C10999" t="s">
        <v>142</v>
      </c>
      <c r="D10999" s="13" t="s">
        <v>634</v>
      </c>
      <c r="E10999" t="s">
        <v>167</v>
      </c>
      <c r="F10999" s="11">
        <v>1</v>
      </c>
      <c r="G10999" s="11">
        <v>113445.38</v>
      </c>
    </row>
    <row r="11000" spans="2:7" x14ac:dyDescent="0.2">
      <c r="B11000" s="32">
        <v>46133</v>
      </c>
      <c r="C11000" t="s">
        <v>142</v>
      </c>
      <c r="D11000" s="13" t="s">
        <v>633</v>
      </c>
      <c r="E11000" t="s">
        <v>609</v>
      </c>
      <c r="F11000" s="11">
        <v>1</v>
      </c>
      <c r="G11000" s="11">
        <v>239495.8</v>
      </c>
    </row>
    <row r="11001" spans="2:7" x14ac:dyDescent="0.2">
      <c r="B11001" s="32">
        <v>46133</v>
      </c>
      <c r="C11001" t="s">
        <v>142</v>
      </c>
      <c r="D11001" s="13" t="s">
        <v>633</v>
      </c>
      <c r="E11001" t="s">
        <v>817</v>
      </c>
      <c r="F11001" s="11">
        <v>1</v>
      </c>
      <c r="G11001" s="11">
        <v>163865.54999999999</v>
      </c>
    </row>
    <row r="11002" spans="2:7" x14ac:dyDescent="0.2">
      <c r="B11002" s="32">
        <v>46133</v>
      </c>
      <c r="C11002" t="s">
        <v>142</v>
      </c>
      <c r="D11002" s="13" t="s">
        <v>633</v>
      </c>
      <c r="E11002" t="s">
        <v>313</v>
      </c>
      <c r="F11002" s="11">
        <v>1</v>
      </c>
      <c r="G11002" s="11">
        <v>102100.84</v>
      </c>
    </row>
    <row r="11003" spans="2:7" x14ac:dyDescent="0.2">
      <c r="B11003" s="32">
        <v>46133</v>
      </c>
      <c r="C11003" t="s">
        <v>142</v>
      </c>
      <c r="D11003" s="13" t="s">
        <v>633</v>
      </c>
      <c r="E11003" t="s">
        <v>163</v>
      </c>
      <c r="F11003" s="11">
        <v>1</v>
      </c>
      <c r="G11003" s="11">
        <v>63025.21</v>
      </c>
    </row>
    <row r="11004" spans="2:7" x14ac:dyDescent="0.2">
      <c r="B11004" s="32">
        <v>46133</v>
      </c>
      <c r="C11004" t="s">
        <v>142</v>
      </c>
      <c r="D11004" s="13" t="s">
        <v>633</v>
      </c>
      <c r="E11004" t="s">
        <v>323</v>
      </c>
      <c r="F11004" s="11">
        <v>1</v>
      </c>
      <c r="G11004" s="11">
        <v>63025.21</v>
      </c>
    </row>
    <row r="11005" spans="2:7" x14ac:dyDescent="0.2">
      <c r="B11005" s="32">
        <v>46133</v>
      </c>
      <c r="C11005" t="s">
        <v>142</v>
      </c>
      <c r="D11005" s="13" t="s">
        <v>633</v>
      </c>
      <c r="E11005" t="s">
        <v>700</v>
      </c>
      <c r="F11005" s="11">
        <v>1</v>
      </c>
      <c r="G11005" s="11">
        <v>63025.21</v>
      </c>
    </row>
    <row r="11006" spans="2:7" x14ac:dyDescent="0.2">
      <c r="B11006" s="32">
        <v>46133</v>
      </c>
      <c r="C11006" t="s">
        <v>142</v>
      </c>
      <c r="D11006" s="13" t="s">
        <v>633</v>
      </c>
      <c r="E11006" t="s">
        <v>585</v>
      </c>
      <c r="F11006" s="11">
        <v>1</v>
      </c>
      <c r="G11006" s="11">
        <v>42016.81</v>
      </c>
    </row>
    <row r="11007" spans="2:7" x14ac:dyDescent="0.2">
      <c r="B11007" s="32">
        <v>46133</v>
      </c>
      <c r="C11007" t="s">
        <v>110</v>
      </c>
      <c r="D11007" s="13" t="s">
        <v>634</v>
      </c>
      <c r="E11007" t="s">
        <v>152</v>
      </c>
      <c r="F11007" s="11">
        <v>1</v>
      </c>
      <c r="G11007" s="11">
        <v>84033.61</v>
      </c>
    </row>
    <row r="11008" spans="2:7" x14ac:dyDescent="0.2">
      <c r="B11008" s="32">
        <v>46133</v>
      </c>
      <c r="C11008" t="s">
        <v>110</v>
      </c>
      <c r="D11008" s="13" t="s">
        <v>634</v>
      </c>
      <c r="E11008" t="s">
        <v>202</v>
      </c>
      <c r="F11008" s="11">
        <v>1</v>
      </c>
      <c r="G11008" s="11">
        <v>46218.49</v>
      </c>
    </row>
    <row r="11009" spans="2:7" x14ac:dyDescent="0.2">
      <c r="B11009" s="32">
        <v>46133</v>
      </c>
      <c r="C11009" t="s">
        <v>109</v>
      </c>
      <c r="D11009" s="13" t="s">
        <v>634</v>
      </c>
      <c r="E11009" t="s">
        <v>556</v>
      </c>
      <c r="F11009" s="11">
        <v>2</v>
      </c>
      <c r="G11009" s="11">
        <v>348739.49</v>
      </c>
    </row>
    <row r="11010" spans="2:7" x14ac:dyDescent="0.2">
      <c r="B11010" s="32">
        <v>46133</v>
      </c>
      <c r="C11010" t="s">
        <v>109</v>
      </c>
      <c r="D11010" s="13" t="s">
        <v>634</v>
      </c>
      <c r="E11010" t="s">
        <v>625</v>
      </c>
      <c r="F11010" s="11">
        <v>1</v>
      </c>
      <c r="G11010" s="11">
        <v>163865.54999999999</v>
      </c>
    </row>
    <row r="11011" spans="2:7" x14ac:dyDescent="0.2">
      <c r="B11011" s="32">
        <v>46133</v>
      </c>
      <c r="C11011" t="s">
        <v>109</v>
      </c>
      <c r="D11011" s="13" t="s">
        <v>634</v>
      </c>
      <c r="E11011" t="s">
        <v>144</v>
      </c>
      <c r="F11011" s="11">
        <v>2</v>
      </c>
      <c r="G11011" s="11">
        <v>142857.15</v>
      </c>
    </row>
    <row r="11012" spans="2:7" x14ac:dyDescent="0.2">
      <c r="B11012" s="32">
        <v>46133</v>
      </c>
      <c r="C11012" t="s">
        <v>109</v>
      </c>
      <c r="D11012" s="13" t="s">
        <v>634</v>
      </c>
      <c r="E11012" t="s">
        <v>165</v>
      </c>
      <c r="F11012" s="11">
        <v>2</v>
      </c>
      <c r="G11012" s="11">
        <v>126050.42</v>
      </c>
    </row>
    <row r="11013" spans="2:7" x14ac:dyDescent="0.2">
      <c r="B11013" s="32">
        <v>46133</v>
      </c>
      <c r="C11013" t="s">
        <v>109</v>
      </c>
      <c r="D11013" s="13" t="s">
        <v>634</v>
      </c>
      <c r="E11013" t="s">
        <v>532</v>
      </c>
      <c r="F11013" s="11">
        <v>1</v>
      </c>
      <c r="G11013" s="11">
        <v>121848.74</v>
      </c>
    </row>
    <row r="11014" spans="2:7" x14ac:dyDescent="0.2">
      <c r="B11014" s="32">
        <v>46133</v>
      </c>
      <c r="C11014" t="s">
        <v>109</v>
      </c>
      <c r="D11014" s="13" t="s">
        <v>634</v>
      </c>
      <c r="E11014" t="s">
        <v>184</v>
      </c>
      <c r="F11014" s="11">
        <v>1</v>
      </c>
      <c r="G11014" s="11">
        <v>100840.33</v>
      </c>
    </row>
    <row r="11015" spans="2:7" x14ac:dyDescent="0.2">
      <c r="B11015" s="32">
        <v>46133</v>
      </c>
      <c r="C11015" t="s">
        <v>109</v>
      </c>
      <c r="D11015" s="13" t="s">
        <v>634</v>
      </c>
      <c r="E11015" t="s">
        <v>570</v>
      </c>
      <c r="F11015" s="11">
        <v>3</v>
      </c>
      <c r="G11015" s="11">
        <v>78151.259999999995</v>
      </c>
    </row>
    <row r="11016" spans="2:7" x14ac:dyDescent="0.2">
      <c r="B11016" s="32">
        <v>46133</v>
      </c>
      <c r="C11016" t="s">
        <v>109</v>
      </c>
      <c r="D11016" s="13" t="s">
        <v>634</v>
      </c>
      <c r="E11016" t="s">
        <v>164</v>
      </c>
      <c r="F11016" s="11">
        <v>1</v>
      </c>
      <c r="G11016" s="11">
        <v>75630.25</v>
      </c>
    </row>
    <row r="11017" spans="2:7" x14ac:dyDescent="0.2">
      <c r="B11017" s="32">
        <v>46133</v>
      </c>
      <c r="C11017" t="s">
        <v>109</v>
      </c>
      <c r="D11017" s="13" t="s">
        <v>634</v>
      </c>
      <c r="E11017" t="s">
        <v>189</v>
      </c>
      <c r="F11017" s="11">
        <v>1</v>
      </c>
      <c r="G11017" s="11">
        <v>75630.25</v>
      </c>
    </row>
    <row r="11018" spans="2:7" x14ac:dyDescent="0.2">
      <c r="B11018" s="32">
        <v>46133</v>
      </c>
      <c r="C11018" t="s">
        <v>109</v>
      </c>
      <c r="D11018" s="13" t="s">
        <v>634</v>
      </c>
      <c r="E11018" t="s">
        <v>601</v>
      </c>
      <c r="F11018" s="11">
        <v>1</v>
      </c>
      <c r="G11018" s="11">
        <v>67226.89</v>
      </c>
    </row>
    <row r="11019" spans="2:7" x14ac:dyDescent="0.2">
      <c r="B11019" s="32">
        <v>46133</v>
      </c>
      <c r="C11019" t="s">
        <v>109</v>
      </c>
      <c r="D11019" s="13" t="s">
        <v>634</v>
      </c>
      <c r="E11019" t="s">
        <v>371</v>
      </c>
      <c r="F11019" s="11">
        <v>1</v>
      </c>
      <c r="G11019" s="11">
        <v>63025.21</v>
      </c>
    </row>
    <row r="11020" spans="2:7" x14ac:dyDescent="0.2">
      <c r="B11020" s="32">
        <v>46133</v>
      </c>
      <c r="C11020" t="s">
        <v>109</v>
      </c>
      <c r="D11020" s="13" t="s">
        <v>634</v>
      </c>
      <c r="E11020" t="s">
        <v>233</v>
      </c>
      <c r="F11020" s="11">
        <v>1</v>
      </c>
      <c r="G11020" s="11">
        <v>63025.21</v>
      </c>
    </row>
    <row r="11021" spans="2:7" x14ac:dyDescent="0.2">
      <c r="B11021" s="32">
        <v>46133</v>
      </c>
      <c r="C11021" t="s">
        <v>109</v>
      </c>
      <c r="D11021" s="13" t="s">
        <v>634</v>
      </c>
      <c r="E11021" t="s">
        <v>158</v>
      </c>
      <c r="F11021" s="11">
        <v>1</v>
      </c>
      <c r="G11021" s="11">
        <v>46218.49</v>
      </c>
    </row>
    <row r="11022" spans="2:7" x14ac:dyDescent="0.2">
      <c r="B11022" s="32">
        <v>46133</v>
      </c>
      <c r="C11022" t="s">
        <v>109</v>
      </c>
      <c r="D11022" s="13" t="s">
        <v>633</v>
      </c>
      <c r="E11022" t="s">
        <v>785</v>
      </c>
      <c r="F11022" s="11">
        <v>25</v>
      </c>
      <c r="G11022" s="11">
        <v>693277.31</v>
      </c>
    </row>
    <row r="11023" spans="2:7" x14ac:dyDescent="0.2">
      <c r="B11023" s="32">
        <v>46133</v>
      </c>
      <c r="C11023" t="s">
        <v>109</v>
      </c>
      <c r="D11023" s="13" t="s">
        <v>633</v>
      </c>
      <c r="E11023" t="s">
        <v>786</v>
      </c>
      <c r="F11023" s="11">
        <v>3</v>
      </c>
      <c r="G11023" s="11">
        <v>214285.71</v>
      </c>
    </row>
    <row r="11024" spans="2:7" x14ac:dyDescent="0.2">
      <c r="B11024" s="32">
        <v>46133</v>
      </c>
      <c r="C11024" t="s">
        <v>109</v>
      </c>
      <c r="D11024" s="13" t="s">
        <v>633</v>
      </c>
      <c r="E11024" t="s">
        <v>395</v>
      </c>
      <c r="F11024" s="11">
        <v>1</v>
      </c>
      <c r="G11024" s="11">
        <v>84033.61</v>
      </c>
    </row>
    <row r="11025" spans="2:7" x14ac:dyDescent="0.2">
      <c r="B11025" s="32">
        <v>46133</v>
      </c>
      <c r="C11025" t="s">
        <v>109</v>
      </c>
      <c r="D11025" s="13" t="s">
        <v>633</v>
      </c>
      <c r="E11025" t="s">
        <v>591</v>
      </c>
      <c r="F11025" s="11">
        <v>1</v>
      </c>
      <c r="G11025" s="11">
        <v>79831.929999999993</v>
      </c>
    </row>
    <row r="11026" spans="2:7" x14ac:dyDescent="0.2">
      <c r="B11026" s="32">
        <v>46133</v>
      </c>
      <c r="C11026" t="s">
        <v>109</v>
      </c>
      <c r="D11026" s="13" t="s">
        <v>633</v>
      </c>
      <c r="E11026" t="s">
        <v>348</v>
      </c>
      <c r="F11026" s="11">
        <v>1</v>
      </c>
      <c r="G11026" s="11">
        <v>58823.53</v>
      </c>
    </row>
    <row r="11027" spans="2:7" x14ac:dyDescent="0.2">
      <c r="B11027" s="32">
        <v>46133</v>
      </c>
      <c r="C11027" t="s">
        <v>109</v>
      </c>
      <c r="D11027" s="13" t="s">
        <v>633</v>
      </c>
      <c r="E11027" t="s">
        <v>145</v>
      </c>
      <c r="F11027" s="11">
        <v>2</v>
      </c>
      <c r="G11027" s="11">
        <v>58823.519999999997</v>
      </c>
    </row>
    <row r="11028" spans="2:7" x14ac:dyDescent="0.2">
      <c r="B11028" s="32">
        <v>46133</v>
      </c>
      <c r="C11028" t="s">
        <v>109</v>
      </c>
      <c r="D11028" s="13" t="s">
        <v>633</v>
      </c>
      <c r="E11028" t="s">
        <v>825</v>
      </c>
      <c r="F11028" s="11">
        <v>1</v>
      </c>
      <c r="G11028" s="11">
        <v>50420.17</v>
      </c>
    </row>
    <row r="11029" spans="2:7" x14ac:dyDescent="0.2">
      <c r="B11029" s="32">
        <v>46133</v>
      </c>
      <c r="C11029" t="s">
        <v>109</v>
      </c>
      <c r="D11029" s="13" t="s">
        <v>633</v>
      </c>
      <c r="E11029" t="s">
        <v>158</v>
      </c>
      <c r="F11029" s="11">
        <v>1</v>
      </c>
      <c r="G11029" s="11">
        <v>46218.49</v>
      </c>
    </row>
    <row r="11030" spans="2:7" x14ac:dyDescent="0.2">
      <c r="B11030" s="32">
        <v>46133</v>
      </c>
      <c r="C11030" t="s">
        <v>109</v>
      </c>
      <c r="D11030" s="13" t="s">
        <v>633</v>
      </c>
      <c r="E11030" t="s">
        <v>144</v>
      </c>
      <c r="F11030" s="11">
        <v>4</v>
      </c>
      <c r="G11030" s="11">
        <v>42016.81</v>
      </c>
    </row>
    <row r="11031" spans="2:7" x14ac:dyDescent="0.2">
      <c r="B11031" s="32">
        <v>46133</v>
      </c>
      <c r="C11031" t="s">
        <v>109</v>
      </c>
      <c r="D11031" s="13" t="s">
        <v>633</v>
      </c>
      <c r="E11031" t="s">
        <v>171</v>
      </c>
      <c r="F11031" s="11">
        <v>1</v>
      </c>
      <c r="G11031" s="11">
        <v>29411.759999999998</v>
      </c>
    </row>
    <row r="11032" spans="2:7" x14ac:dyDescent="0.2">
      <c r="B11032" s="32">
        <v>46134</v>
      </c>
      <c r="C11032" t="s">
        <v>142</v>
      </c>
      <c r="D11032" s="13" t="s">
        <v>634</v>
      </c>
      <c r="E11032" t="s">
        <v>169</v>
      </c>
      <c r="F11032" s="11">
        <v>1</v>
      </c>
      <c r="G11032" s="11">
        <v>113445.38</v>
      </c>
    </row>
    <row r="11033" spans="2:7" x14ac:dyDescent="0.2">
      <c r="B11033" s="32">
        <v>46134</v>
      </c>
      <c r="C11033" t="s">
        <v>142</v>
      </c>
      <c r="D11033" s="13" t="s">
        <v>634</v>
      </c>
      <c r="E11033" t="s">
        <v>538</v>
      </c>
      <c r="F11033" s="11">
        <v>1</v>
      </c>
      <c r="G11033" s="11">
        <v>100840.34</v>
      </c>
    </row>
    <row r="11034" spans="2:7" x14ac:dyDescent="0.2">
      <c r="B11034" s="32">
        <v>46134</v>
      </c>
      <c r="C11034" t="s">
        <v>142</v>
      </c>
      <c r="D11034" s="13" t="s">
        <v>633</v>
      </c>
      <c r="E11034" t="s">
        <v>581</v>
      </c>
      <c r="F11034" s="11">
        <v>1</v>
      </c>
      <c r="G11034" s="11">
        <v>142857.14000000001</v>
      </c>
    </row>
    <row r="11035" spans="2:7" x14ac:dyDescent="0.2">
      <c r="B11035" s="32">
        <v>46134</v>
      </c>
      <c r="C11035" t="s">
        <v>142</v>
      </c>
      <c r="D11035" s="13" t="s">
        <v>633</v>
      </c>
      <c r="E11035" t="s">
        <v>169</v>
      </c>
      <c r="F11035" s="11">
        <v>1</v>
      </c>
      <c r="G11035" s="11">
        <v>113445.38</v>
      </c>
    </row>
    <row r="11036" spans="2:7" x14ac:dyDescent="0.2">
      <c r="B11036" s="32">
        <v>46134</v>
      </c>
      <c r="C11036" t="s">
        <v>142</v>
      </c>
      <c r="D11036" s="13" t="s">
        <v>633</v>
      </c>
      <c r="E11036" t="s">
        <v>815</v>
      </c>
      <c r="F11036" s="11">
        <v>1</v>
      </c>
      <c r="G11036" s="11">
        <v>84033.61</v>
      </c>
    </row>
    <row r="11037" spans="2:7" x14ac:dyDescent="0.2">
      <c r="B11037" s="32">
        <v>46134</v>
      </c>
      <c r="C11037" t="s">
        <v>142</v>
      </c>
      <c r="D11037" s="13" t="s">
        <v>633</v>
      </c>
      <c r="E11037" t="s">
        <v>593</v>
      </c>
      <c r="F11037" s="11">
        <v>1</v>
      </c>
      <c r="G11037" s="11">
        <v>71428.570000000007</v>
      </c>
    </row>
    <row r="11038" spans="2:7" x14ac:dyDescent="0.2">
      <c r="B11038" s="32">
        <v>46134</v>
      </c>
      <c r="C11038" t="s">
        <v>142</v>
      </c>
      <c r="D11038" s="13" t="s">
        <v>633</v>
      </c>
      <c r="E11038" t="s">
        <v>259</v>
      </c>
      <c r="F11038" s="11">
        <v>1</v>
      </c>
      <c r="G11038" s="11">
        <v>58823.53</v>
      </c>
    </row>
    <row r="11039" spans="2:7" x14ac:dyDescent="0.2">
      <c r="B11039" s="32">
        <v>46134</v>
      </c>
      <c r="C11039" t="s">
        <v>142</v>
      </c>
      <c r="D11039" s="13" t="s">
        <v>633</v>
      </c>
      <c r="E11039" t="s">
        <v>803</v>
      </c>
      <c r="F11039" s="11">
        <v>1</v>
      </c>
      <c r="G11039" s="11">
        <v>54621.85</v>
      </c>
    </row>
    <row r="11040" spans="2:7" x14ac:dyDescent="0.2">
      <c r="B11040" s="32">
        <v>46134</v>
      </c>
      <c r="C11040" t="s">
        <v>142</v>
      </c>
      <c r="D11040" s="13" t="s">
        <v>633</v>
      </c>
      <c r="E11040" t="s">
        <v>265</v>
      </c>
      <c r="F11040" s="11">
        <v>1</v>
      </c>
      <c r="G11040" s="11">
        <v>50420.17</v>
      </c>
    </row>
    <row r="11041" spans="2:7" x14ac:dyDescent="0.2">
      <c r="B11041" s="32">
        <v>46134</v>
      </c>
      <c r="C11041" t="s">
        <v>142</v>
      </c>
      <c r="D11041" s="13" t="s">
        <v>633</v>
      </c>
      <c r="E11041" t="s">
        <v>519</v>
      </c>
      <c r="F11041" s="11">
        <v>1</v>
      </c>
      <c r="G11041" s="11">
        <v>50420.17</v>
      </c>
    </row>
    <row r="11042" spans="2:7" x14ac:dyDescent="0.2">
      <c r="B11042" s="32">
        <v>46134</v>
      </c>
      <c r="C11042" t="s">
        <v>142</v>
      </c>
      <c r="D11042" s="13" t="s">
        <v>633</v>
      </c>
      <c r="E11042" t="s">
        <v>256</v>
      </c>
      <c r="F11042" s="11">
        <v>1</v>
      </c>
      <c r="G11042" s="11">
        <v>50420.160000000003</v>
      </c>
    </row>
    <row r="11043" spans="2:7" x14ac:dyDescent="0.2">
      <c r="B11043" s="32">
        <v>46134</v>
      </c>
      <c r="C11043" t="s">
        <v>109</v>
      </c>
      <c r="D11043" s="13" t="s">
        <v>634</v>
      </c>
      <c r="E11043" t="s">
        <v>597</v>
      </c>
      <c r="F11043" s="11">
        <v>1</v>
      </c>
      <c r="G11043" s="11">
        <v>92436.98</v>
      </c>
    </row>
    <row r="11044" spans="2:7" x14ac:dyDescent="0.2">
      <c r="B11044" s="32">
        <v>46134</v>
      </c>
      <c r="C11044" t="s">
        <v>109</v>
      </c>
      <c r="D11044" s="13" t="s">
        <v>634</v>
      </c>
      <c r="E11044" t="s">
        <v>395</v>
      </c>
      <c r="F11044" s="11">
        <v>1</v>
      </c>
      <c r="G11044" s="11">
        <v>84033.62</v>
      </c>
    </row>
    <row r="11045" spans="2:7" x14ac:dyDescent="0.2">
      <c r="B11045" s="32">
        <v>46134</v>
      </c>
      <c r="C11045" t="s">
        <v>109</v>
      </c>
      <c r="D11045" s="13" t="s">
        <v>634</v>
      </c>
      <c r="E11045" t="s">
        <v>157</v>
      </c>
      <c r="F11045" s="11">
        <v>1</v>
      </c>
      <c r="G11045" s="11">
        <v>84033.61</v>
      </c>
    </row>
    <row r="11046" spans="2:7" x14ac:dyDescent="0.2">
      <c r="B11046" s="32">
        <v>46134</v>
      </c>
      <c r="C11046" t="s">
        <v>109</v>
      </c>
      <c r="D11046" s="13" t="s">
        <v>634</v>
      </c>
      <c r="E11046" t="s">
        <v>218</v>
      </c>
      <c r="F11046" s="11">
        <v>2</v>
      </c>
      <c r="G11046" s="11">
        <v>84033.61</v>
      </c>
    </row>
    <row r="11047" spans="2:7" x14ac:dyDescent="0.2">
      <c r="B11047" s="32">
        <v>46134</v>
      </c>
      <c r="C11047" t="s">
        <v>109</v>
      </c>
      <c r="D11047" s="13" t="s">
        <v>634</v>
      </c>
      <c r="E11047" t="s">
        <v>446</v>
      </c>
      <c r="F11047" s="11">
        <v>1</v>
      </c>
      <c r="G11047" s="11">
        <v>75630.259999999995</v>
      </c>
    </row>
    <row r="11048" spans="2:7" x14ac:dyDescent="0.2">
      <c r="B11048" s="32">
        <v>46134</v>
      </c>
      <c r="C11048" t="s">
        <v>109</v>
      </c>
      <c r="D11048" s="13" t="s">
        <v>634</v>
      </c>
      <c r="E11048" t="s">
        <v>189</v>
      </c>
      <c r="F11048" s="11">
        <v>1</v>
      </c>
      <c r="G11048" s="11">
        <v>75630.25</v>
      </c>
    </row>
    <row r="11049" spans="2:7" x14ac:dyDescent="0.2">
      <c r="B11049" s="32">
        <v>46134</v>
      </c>
      <c r="C11049" t="s">
        <v>109</v>
      </c>
      <c r="D11049" s="13" t="s">
        <v>634</v>
      </c>
      <c r="E11049" t="s">
        <v>397</v>
      </c>
      <c r="F11049" s="11">
        <v>1</v>
      </c>
      <c r="G11049" s="11">
        <v>54621.85</v>
      </c>
    </row>
    <row r="11050" spans="2:7" x14ac:dyDescent="0.2">
      <c r="B11050" s="32">
        <v>46134</v>
      </c>
      <c r="C11050" t="s">
        <v>109</v>
      </c>
      <c r="D11050" s="13" t="s">
        <v>634</v>
      </c>
      <c r="E11050" t="s">
        <v>443</v>
      </c>
      <c r="F11050" s="11">
        <v>1</v>
      </c>
      <c r="G11050" s="11">
        <v>54621.85</v>
      </c>
    </row>
    <row r="11051" spans="2:7" x14ac:dyDescent="0.2">
      <c r="B11051" s="32">
        <v>46134</v>
      </c>
      <c r="C11051" t="s">
        <v>109</v>
      </c>
      <c r="D11051" s="13" t="s">
        <v>634</v>
      </c>
      <c r="E11051" t="s">
        <v>566</v>
      </c>
      <c r="F11051" s="11">
        <v>3</v>
      </c>
      <c r="G11051" s="11">
        <v>50420.17</v>
      </c>
    </row>
    <row r="11052" spans="2:7" x14ac:dyDescent="0.2">
      <c r="B11052" s="32">
        <v>46134</v>
      </c>
      <c r="C11052" t="s">
        <v>109</v>
      </c>
      <c r="D11052" s="13" t="s">
        <v>633</v>
      </c>
      <c r="E11052" t="s">
        <v>569</v>
      </c>
      <c r="F11052" s="11">
        <v>1</v>
      </c>
      <c r="G11052" s="11">
        <v>109243.7</v>
      </c>
    </row>
    <row r="11053" spans="2:7" x14ac:dyDescent="0.2">
      <c r="B11053" s="32">
        <v>46134</v>
      </c>
      <c r="C11053" t="s">
        <v>109</v>
      </c>
      <c r="D11053" s="13" t="s">
        <v>633</v>
      </c>
      <c r="E11053" t="s">
        <v>815</v>
      </c>
      <c r="F11053" s="11">
        <v>1</v>
      </c>
      <c r="G11053" s="11">
        <v>84033.61</v>
      </c>
    </row>
    <row r="11054" spans="2:7" x14ac:dyDescent="0.2">
      <c r="B11054" s="32">
        <v>46134</v>
      </c>
      <c r="C11054" t="s">
        <v>109</v>
      </c>
      <c r="D11054" s="13" t="s">
        <v>633</v>
      </c>
      <c r="E11054" t="s">
        <v>413</v>
      </c>
      <c r="F11054" s="11">
        <v>1</v>
      </c>
      <c r="G11054" s="11">
        <v>84033.61</v>
      </c>
    </row>
    <row r="11055" spans="2:7" x14ac:dyDescent="0.2">
      <c r="B11055" s="32">
        <v>46134</v>
      </c>
      <c r="C11055" t="s">
        <v>109</v>
      </c>
      <c r="D11055" s="13" t="s">
        <v>633</v>
      </c>
      <c r="E11055" t="s">
        <v>206</v>
      </c>
      <c r="F11055" s="11">
        <v>2</v>
      </c>
      <c r="G11055" s="11">
        <v>75630.259999999995</v>
      </c>
    </row>
    <row r="11056" spans="2:7" x14ac:dyDescent="0.2">
      <c r="B11056" s="32">
        <v>46134</v>
      </c>
      <c r="C11056" t="s">
        <v>109</v>
      </c>
      <c r="D11056" s="13" t="s">
        <v>633</v>
      </c>
      <c r="E11056" t="s">
        <v>147</v>
      </c>
      <c r="F11056" s="11">
        <v>1</v>
      </c>
      <c r="G11056" s="11">
        <v>75630.25</v>
      </c>
    </row>
    <row r="11057" spans="2:7" x14ac:dyDescent="0.2">
      <c r="B11057" s="32">
        <v>46134</v>
      </c>
      <c r="C11057" t="s">
        <v>109</v>
      </c>
      <c r="D11057" s="13" t="s">
        <v>633</v>
      </c>
      <c r="E11057" t="s">
        <v>446</v>
      </c>
      <c r="F11057" s="11">
        <v>1</v>
      </c>
      <c r="G11057" s="11">
        <v>75630.25</v>
      </c>
    </row>
    <row r="11058" spans="2:7" x14ac:dyDescent="0.2">
      <c r="B11058" s="32">
        <v>46134</v>
      </c>
      <c r="C11058" t="s">
        <v>109</v>
      </c>
      <c r="D11058" s="13" t="s">
        <v>633</v>
      </c>
      <c r="E11058" t="s">
        <v>149</v>
      </c>
      <c r="F11058" s="11">
        <v>1</v>
      </c>
      <c r="G11058" s="11">
        <v>75630.25</v>
      </c>
    </row>
    <row r="11059" spans="2:7" x14ac:dyDescent="0.2">
      <c r="B11059" s="32">
        <v>46134</v>
      </c>
      <c r="C11059" t="s">
        <v>109</v>
      </c>
      <c r="D11059" s="13" t="s">
        <v>633</v>
      </c>
      <c r="E11059" t="s">
        <v>188</v>
      </c>
      <c r="F11059" s="11">
        <v>1</v>
      </c>
      <c r="G11059" s="11">
        <v>63025.22</v>
      </c>
    </row>
    <row r="11060" spans="2:7" x14ac:dyDescent="0.2">
      <c r="B11060" s="32">
        <v>46134</v>
      </c>
      <c r="C11060" t="s">
        <v>109</v>
      </c>
      <c r="D11060" s="13" t="s">
        <v>633</v>
      </c>
      <c r="E11060" t="s">
        <v>171</v>
      </c>
      <c r="F11060" s="11">
        <v>2</v>
      </c>
      <c r="G11060" s="11">
        <v>58823.53</v>
      </c>
    </row>
    <row r="11061" spans="2:7" x14ac:dyDescent="0.2">
      <c r="B11061" s="32">
        <v>46134</v>
      </c>
      <c r="C11061" t="s">
        <v>109</v>
      </c>
      <c r="D11061" s="13" t="s">
        <v>633</v>
      </c>
      <c r="E11061" t="s">
        <v>212</v>
      </c>
      <c r="F11061" s="11">
        <v>1</v>
      </c>
      <c r="G11061" s="11">
        <v>58823.53</v>
      </c>
    </row>
    <row r="11062" spans="2:7" x14ac:dyDescent="0.2">
      <c r="B11062" s="32">
        <v>46134</v>
      </c>
      <c r="C11062" t="s">
        <v>109</v>
      </c>
      <c r="D11062" s="13" t="s">
        <v>633</v>
      </c>
      <c r="E11062" t="s">
        <v>303</v>
      </c>
      <c r="F11062" s="11">
        <v>1</v>
      </c>
      <c r="G11062" s="11">
        <v>54621.85</v>
      </c>
    </row>
    <row r="11063" spans="2:7" x14ac:dyDescent="0.2">
      <c r="B11063" s="32">
        <v>46134</v>
      </c>
      <c r="C11063" t="s">
        <v>109</v>
      </c>
      <c r="D11063" s="13" t="s">
        <v>633</v>
      </c>
      <c r="E11063" t="s">
        <v>330</v>
      </c>
      <c r="F11063" s="11">
        <v>1</v>
      </c>
      <c r="G11063" s="11">
        <v>37815.129999999997</v>
      </c>
    </row>
    <row r="11064" spans="2:7" x14ac:dyDescent="0.2">
      <c r="B11064" s="32">
        <v>46134</v>
      </c>
      <c r="C11064" t="s">
        <v>109</v>
      </c>
      <c r="D11064" s="13" t="s">
        <v>633</v>
      </c>
      <c r="E11064" t="s">
        <v>328</v>
      </c>
      <c r="F11064" s="11">
        <v>1</v>
      </c>
      <c r="G11064" s="11">
        <v>37815.120000000003</v>
      </c>
    </row>
    <row r="11065" spans="2:7" x14ac:dyDescent="0.2">
      <c r="B11065" s="32">
        <v>46134</v>
      </c>
      <c r="C11065" t="s">
        <v>109</v>
      </c>
      <c r="D11065" s="13" t="s">
        <v>633</v>
      </c>
      <c r="E11065" t="s">
        <v>144</v>
      </c>
      <c r="F11065" s="11">
        <v>2</v>
      </c>
      <c r="G11065" s="11">
        <v>30252.1</v>
      </c>
    </row>
    <row r="11066" spans="2:7" x14ac:dyDescent="0.2">
      <c r="B11066" s="32">
        <v>46135</v>
      </c>
      <c r="C11066" t="s">
        <v>142</v>
      </c>
      <c r="D11066" s="13" t="s">
        <v>634</v>
      </c>
      <c r="E11066" t="s">
        <v>167</v>
      </c>
      <c r="F11066" s="11">
        <v>1</v>
      </c>
      <c r="G11066" s="11">
        <v>113445.38</v>
      </c>
    </row>
    <row r="11067" spans="2:7" x14ac:dyDescent="0.2">
      <c r="B11067" s="32">
        <v>46135</v>
      </c>
      <c r="C11067" t="s">
        <v>142</v>
      </c>
      <c r="D11067" s="13" t="s">
        <v>634</v>
      </c>
      <c r="E11067" t="s">
        <v>313</v>
      </c>
      <c r="F11067" s="11">
        <v>1</v>
      </c>
      <c r="G11067" s="11">
        <v>113445.38</v>
      </c>
    </row>
    <row r="11068" spans="2:7" x14ac:dyDescent="0.2">
      <c r="B11068" s="32">
        <v>46135</v>
      </c>
      <c r="C11068" t="s">
        <v>142</v>
      </c>
      <c r="D11068" s="13" t="s">
        <v>634</v>
      </c>
      <c r="E11068" t="s">
        <v>162</v>
      </c>
      <c r="F11068" s="11">
        <v>1</v>
      </c>
      <c r="G11068" s="11">
        <v>63025.21</v>
      </c>
    </row>
    <row r="11069" spans="2:7" x14ac:dyDescent="0.2">
      <c r="B11069" s="32">
        <v>46135</v>
      </c>
      <c r="C11069" t="s">
        <v>142</v>
      </c>
      <c r="D11069" s="13" t="s">
        <v>634</v>
      </c>
      <c r="E11069" t="s">
        <v>202</v>
      </c>
      <c r="F11069" s="11">
        <v>1</v>
      </c>
      <c r="G11069" s="11">
        <v>46218.49</v>
      </c>
    </row>
    <row r="11070" spans="2:7" x14ac:dyDescent="0.2">
      <c r="B11070" s="32">
        <v>46135</v>
      </c>
      <c r="C11070" t="s">
        <v>142</v>
      </c>
      <c r="D11070" s="13" t="s">
        <v>633</v>
      </c>
      <c r="E11070" t="s">
        <v>471</v>
      </c>
      <c r="F11070" s="11">
        <v>1</v>
      </c>
      <c r="G11070" s="11">
        <v>268907.56</v>
      </c>
    </row>
    <row r="11071" spans="2:7" x14ac:dyDescent="0.2">
      <c r="B11071" s="32">
        <v>46135</v>
      </c>
      <c r="C11071" t="s">
        <v>142</v>
      </c>
      <c r="D11071" s="13" t="s">
        <v>633</v>
      </c>
      <c r="E11071" t="s">
        <v>298</v>
      </c>
      <c r="F11071" s="11">
        <v>1</v>
      </c>
      <c r="G11071" s="11">
        <v>113445.38</v>
      </c>
    </row>
    <row r="11072" spans="2:7" x14ac:dyDescent="0.2">
      <c r="B11072" s="32">
        <v>46135</v>
      </c>
      <c r="C11072" t="s">
        <v>110</v>
      </c>
      <c r="D11072" s="13" t="s">
        <v>633</v>
      </c>
      <c r="E11072" t="s">
        <v>804</v>
      </c>
      <c r="F11072" s="11">
        <v>1</v>
      </c>
      <c r="G11072" s="11">
        <v>46218.49</v>
      </c>
    </row>
    <row r="11073" spans="2:7" x14ac:dyDescent="0.2">
      <c r="B11073" s="32">
        <v>46135</v>
      </c>
      <c r="C11073" t="s">
        <v>109</v>
      </c>
      <c r="D11073" s="13" t="s">
        <v>634</v>
      </c>
      <c r="E11073" t="s">
        <v>571</v>
      </c>
      <c r="F11073" s="11">
        <v>1</v>
      </c>
      <c r="G11073" s="11">
        <v>109243.7</v>
      </c>
    </row>
    <row r="11074" spans="2:7" x14ac:dyDescent="0.2">
      <c r="B11074" s="32">
        <v>46135</v>
      </c>
      <c r="C11074" t="s">
        <v>109</v>
      </c>
      <c r="D11074" s="13" t="s">
        <v>634</v>
      </c>
      <c r="E11074" t="s">
        <v>603</v>
      </c>
      <c r="F11074" s="11">
        <v>1</v>
      </c>
      <c r="G11074" s="11">
        <v>104000</v>
      </c>
    </row>
    <row r="11075" spans="2:7" x14ac:dyDescent="0.2">
      <c r="B11075" s="32">
        <v>46135</v>
      </c>
      <c r="C11075" t="s">
        <v>109</v>
      </c>
      <c r="D11075" s="13" t="s">
        <v>634</v>
      </c>
      <c r="E11075" t="s">
        <v>427</v>
      </c>
      <c r="F11075" s="11">
        <v>1</v>
      </c>
      <c r="G11075" s="11">
        <v>58823.53</v>
      </c>
    </row>
    <row r="11076" spans="2:7" x14ac:dyDescent="0.2">
      <c r="B11076" s="32">
        <v>46135</v>
      </c>
      <c r="C11076" t="s">
        <v>109</v>
      </c>
      <c r="D11076" s="13" t="s">
        <v>634</v>
      </c>
      <c r="E11076" t="s">
        <v>195</v>
      </c>
      <c r="F11076" s="11">
        <v>1</v>
      </c>
      <c r="G11076" s="11">
        <v>50420.160000000003</v>
      </c>
    </row>
    <row r="11077" spans="2:7" x14ac:dyDescent="0.2">
      <c r="B11077" s="32">
        <v>46135</v>
      </c>
      <c r="C11077" t="s">
        <v>109</v>
      </c>
      <c r="D11077" s="13" t="s">
        <v>634</v>
      </c>
      <c r="E11077" t="s">
        <v>218</v>
      </c>
      <c r="F11077" s="11">
        <v>1</v>
      </c>
      <c r="G11077" s="11">
        <v>42016.81</v>
      </c>
    </row>
    <row r="11078" spans="2:7" x14ac:dyDescent="0.2">
      <c r="B11078" s="32">
        <v>46135</v>
      </c>
      <c r="C11078" t="s">
        <v>109</v>
      </c>
      <c r="D11078" s="13" t="s">
        <v>634</v>
      </c>
      <c r="E11078" t="s">
        <v>293</v>
      </c>
      <c r="F11078" s="11">
        <v>1</v>
      </c>
      <c r="G11078" s="11">
        <v>37815.129999999997</v>
      </c>
    </row>
    <row r="11079" spans="2:7" x14ac:dyDescent="0.2">
      <c r="B11079" s="32">
        <v>46135</v>
      </c>
      <c r="C11079" t="s">
        <v>109</v>
      </c>
      <c r="D11079" s="13" t="s">
        <v>633</v>
      </c>
      <c r="E11079" t="s">
        <v>446</v>
      </c>
      <c r="F11079" s="11">
        <v>4</v>
      </c>
      <c r="G11079" s="11">
        <v>302521.01</v>
      </c>
    </row>
    <row r="11080" spans="2:7" x14ac:dyDescent="0.2">
      <c r="B11080" s="32">
        <v>46135</v>
      </c>
      <c r="C11080" t="s">
        <v>109</v>
      </c>
      <c r="D11080" s="13" t="s">
        <v>633</v>
      </c>
      <c r="E11080" t="s">
        <v>583</v>
      </c>
      <c r="F11080" s="11">
        <v>1</v>
      </c>
      <c r="G11080" s="11">
        <v>126050.42</v>
      </c>
    </row>
    <row r="11081" spans="2:7" x14ac:dyDescent="0.2">
      <c r="B11081" s="32">
        <v>46135</v>
      </c>
      <c r="C11081" t="s">
        <v>109</v>
      </c>
      <c r="D11081" s="13" t="s">
        <v>633</v>
      </c>
      <c r="E11081" t="s">
        <v>792</v>
      </c>
      <c r="F11081" s="11">
        <v>1</v>
      </c>
      <c r="G11081" s="11">
        <v>126050.42</v>
      </c>
    </row>
    <row r="11082" spans="2:7" x14ac:dyDescent="0.2">
      <c r="B11082" s="32">
        <v>46135</v>
      </c>
      <c r="C11082" t="s">
        <v>109</v>
      </c>
      <c r="D11082" s="13" t="s">
        <v>633</v>
      </c>
      <c r="E11082" t="s">
        <v>787</v>
      </c>
      <c r="F11082" s="11">
        <v>1</v>
      </c>
      <c r="G11082" s="11">
        <v>126050.42</v>
      </c>
    </row>
    <row r="11083" spans="2:7" x14ac:dyDescent="0.2">
      <c r="B11083" s="32">
        <v>46135</v>
      </c>
      <c r="C11083" t="s">
        <v>109</v>
      </c>
      <c r="D11083" s="13" t="s">
        <v>633</v>
      </c>
      <c r="E11083" t="s">
        <v>347</v>
      </c>
      <c r="F11083" s="11">
        <v>1</v>
      </c>
      <c r="G11083" s="11">
        <v>84033.61</v>
      </c>
    </row>
    <row r="11084" spans="2:7" x14ac:dyDescent="0.2">
      <c r="B11084" s="32">
        <v>46135</v>
      </c>
      <c r="C11084" t="s">
        <v>109</v>
      </c>
      <c r="D11084" s="13" t="s">
        <v>633</v>
      </c>
      <c r="E11084" t="s">
        <v>591</v>
      </c>
      <c r="F11084" s="11">
        <v>1</v>
      </c>
      <c r="G11084" s="11">
        <v>79831.929999999993</v>
      </c>
    </row>
    <row r="11085" spans="2:7" x14ac:dyDescent="0.2">
      <c r="B11085" s="32">
        <v>46135</v>
      </c>
      <c r="C11085" t="s">
        <v>109</v>
      </c>
      <c r="D11085" s="13" t="s">
        <v>633</v>
      </c>
      <c r="E11085" t="s">
        <v>336</v>
      </c>
      <c r="F11085" s="11">
        <v>1</v>
      </c>
      <c r="G11085" s="11">
        <v>75630.25</v>
      </c>
    </row>
    <row r="11086" spans="2:7" x14ac:dyDescent="0.2">
      <c r="B11086" s="32">
        <v>46135</v>
      </c>
      <c r="C11086" t="s">
        <v>109</v>
      </c>
      <c r="D11086" s="13" t="s">
        <v>633</v>
      </c>
      <c r="E11086" t="s">
        <v>816</v>
      </c>
      <c r="F11086" s="11">
        <v>1</v>
      </c>
      <c r="G11086" s="11">
        <v>63025.21</v>
      </c>
    </row>
    <row r="11087" spans="2:7" x14ac:dyDescent="0.2">
      <c r="B11087" s="32">
        <v>46135</v>
      </c>
      <c r="C11087" t="s">
        <v>109</v>
      </c>
      <c r="D11087" s="13" t="s">
        <v>633</v>
      </c>
      <c r="E11087" t="s">
        <v>587</v>
      </c>
      <c r="F11087" s="11">
        <v>1</v>
      </c>
      <c r="G11087" s="11">
        <v>54621.85</v>
      </c>
    </row>
    <row r="11088" spans="2:7" x14ac:dyDescent="0.2">
      <c r="B11088" s="32">
        <v>46135</v>
      </c>
      <c r="C11088" t="s">
        <v>109</v>
      </c>
      <c r="D11088" s="13" t="s">
        <v>633</v>
      </c>
      <c r="E11088" t="s">
        <v>317</v>
      </c>
      <c r="F11088" s="11">
        <v>1</v>
      </c>
      <c r="G11088" s="11">
        <v>54621.85</v>
      </c>
    </row>
    <row r="11089" spans="2:7" x14ac:dyDescent="0.2">
      <c r="B11089" s="32">
        <v>46135</v>
      </c>
      <c r="C11089" t="s">
        <v>109</v>
      </c>
      <c r="D11089" s="13" t="s">
        <v>633</v>
      </c>
      <c r="E11089" t="s">
        <v>303</v>
      </c>
      <c r="F11089" s="11">
        <v>1</v>
      </c>
      <c r="G11089" s="11">
        <v>54621.85</v>
      </c>
    </row>
    <row r="11090" spans="2:7" x14ac:dyDescent="0.2">
      <c r="B11090" s="32">
        <v>46135</v>
      </c>
      <c r="C11090" t="s">
        <v>109</v>
      </c>
      <c r="D11090" s="13" t="s">
        <v>633</v>
      </c>
      <c r="E11090" t="s">
        <v>399</v>
      </c>
      <c r="F11090" s="11">
        <v>1</v>
      </c>
      <c r="G11090" s="11">
        <v>54621.85</v>
      </c>
    </row>
    <row r="11091" spans="2:7" x14ac:dyDescent="0.2">
      <c r="B11091" s="32">
        <v>46135</v>
      </c>
      <c r="C11091" t="s">
        <v>109</v>
      </c>
      <c r="D11091" s="13" t="s">
        <v>633</v>
      </c>
      <c r="E11091" t="s">
        <v>519</v>
      </c>
      <c r="F11091" s="11">
        <v>1</v>
      </c>
      <c r="G11091" s="11">
        <v>50420.17</v>
      </c>
    </row>
    <row r="11092" spans="2:7" x14ac:dyDescent="0.2">
      <c r="B11092" s="32">
        <v>46135</v>
      </c>
      <c r="C11092" t="s">
        <v>109</v>
      </c>
      <c r="D11092" s="13" t="s">
        <v>633</v>
      </c>
      <c r="E11092" t="s">
        <v>158</v>
      </c>
      <c r="F11092" s="11">
        <v>1</v>
      </c>
      <c r="G11092" s="11">
        <v>46218.49</v>
      </c>
    </row>
    <row r="11093" spans="2:7" x14ac:dyDescent="0.2">
      <c r="B11093" s="32">
        <v>46135</v>
      </c>
      <c r="C11093" t="s">
        <v>109</v>
      </c>
      <c r="D11093" s="13" t="s">
        <v>633</v>
      </c>
      <c r="E11093" t="s">
        <v>173</v>
      </c>
      <c r="F11093" s="11">
        <v>1</v>
      </c>
      <c r="G11093" s="11">
        <v>37815.129999999997</v>
      </c>
    </row>
    <row r="11094" spans="2:7" x14ac:dyDescent="0.2">
      <c r="B11094" s="32">
        <v>46135</v>
      </c>
      <c r="C11094" t="s">
        <v>109</v>
      </c>
      <c r="D11094" s="13" t="s">
        <v>633</v>
      </c>
      <c r="E11094" t="s">
        <v>193</v>
      </c>
      <c r="F11094" s="11">
        <v>1</v>
      </c>
      <c r="G11094" s="11">
        <v>37815.120000000003</v>
      </c>
    </row>
    <row r="11095" spans="2:7" x14ac:dyDescent="0.2">
      <c r="B11095" s="32">
        <v>46135</v>
      </c>
      <c r="C11095" t="s">
        <v>109</v>
      </c>
      <c r="D11095" s="13" t="s">
        <v>633</v>
      </c>
      <c r="E11095" t="s">
        <v>144</v>
      </c>
      <c r="F11095" s="11">
        <v>2</v>
      </c>
      <c r="G11095" s="11">
        <v>24789.91</v>
      </c>
    </row>
    <row r="11096" spans="2:7" x14ac:dyDescent="0.2">
      <c r="B11096" s="32">
        <v>46136</v>
      </c>
      <c r="C11096" t="s">
        <v>142</v>
      </c>
      <c r="D11096" s="13" t="s">
        <v>634</v>
      </c>
      <c r="E11096" t="s">
        <v>239</v>
      </c>
      <c r="F11096" s="11">
        <v>1</v>
      </c>
      <c r="G11096" s="11">
        <v>50420.17</v>
      </c>
    </row>
    <row r="11097" spans="2:7" x14ac:dyDescent="0.2">
      <c r="B11097" s="32">
        <v>46136</v>
      </c>
      <c r="C11097" t="s">
        <v>142</v>
      </c>
      <c r="D11097" s="13" t="s">
        <v>634</v>
      </c>
      <c r="E11097" t="s">
        <v>596</v>
      </c>
      <c r="F11097" s="11">
        <v>1</v>
      </c>
      <c r="G11097" s="11">
        <v>50420.17</v>
      </c>
    </row>
    <row r="11098" spans="2:7" x14ac:dyDescent="0.2">
      <c r="B11098" s="32">
        <v>46136</v>
      </c>
      <c r="C11098" t="s">
        <v>142</v>
      </c>
      <c r="D11098" s="13" t="s">
        <v>634</v>
      </c>
      <c r="E11098" t="s">
        <v>604</v>
      </c>
      <c r="F11098" s="11">
        <v>1</v>
      </c>
      <c r="G11098" s="11">
        <v>50420.160000000003</v>
      </c>
    </row>
    <row r="11099" spans="2:7" x14ac:dyDescent="0.2">
      <c r="B11099" s="32">
        <v>46136</v>
      </c>
      <c r="C11099" t="s">
        <v>142</v>
      </c>
      <c r="D11099" s="13" t="s">
        <v>633</v>
      </c>
      <c r="E11099" t="s">
        <v>218</v>
      </c>
      <c r="F11099" s="11">
        <v>3</v>
      </c>
      <c r="G11099" s="11">
        <v>126050.42</v>
      </c>
    </row>
    <row r="11100" spans="2:7" x14ac:dyDescent="0.2">
      <c r="B11100" s="32">
        <v>46136</v>
      </c>
      <c r="C11100" t="s">
        <v>142</v>
      </c>
      <c r="D11100" s="13" t="s">
        <v>633</v>
      </c>
      <c r="E11100" t="s">
        <v>828</v>
      </c>
      <c r="F11100" s="11">
        <v>1</v>
      </c>
      <c r="G11100" s="11">
        <v>84033.61</v>
      </c>
    </row>
    <row r="11101" spans="2:7" x14ac:dyDescent="0.2">
      <c r="B11101" s="32">
        <v>46136</v>
      </c>
      <c r="C11101" t="s">
        <v>142</v>
      </c>
      <c r="D11101" s="13" t="s">
        <v>633</v>
      </c>
      <c r="E11101" t="s">
        <v>559</v>
      </c>
      <c r="F11101" s="11">
        <v>1</v>
      </c>
      <c r="G11101" s="11">
        <v>63025.21</v>
      </c>
    </row>
    <row r="11102" spans="2:7" x14ac:dyDescent="0.2">
      <c r="B11102" s="32">
        <v>46136</v>
      </c>
      <c r="C11102" t="s">
        <v>142</v>
      </c>
      <c r="D11102" s="13" t="s">
        <v>633</v>
      </c>
      <c r="E11102" t="s">
        <v>244</v>
      </c>
      <c r="F11102" s="11">
        <v>1</v>
      </c>
      <c r="G11102" s="11">
        <v>58823.53</v>
      </c>
    </row>
    <row r="11103" spans="2:7" x14ac:dyDescent="0.2">
      <c r="B11103" s="32">
        <v>46136</v>
      </c>
      <c r="C11103" t="s">
        <v>142</v>
      </c>
      <c r="D11103" s="13" t="s">
        <v>633</v>
      </c>
      <c r="E11103" t="s">
        <v>831</v>
      </c>
      <c r="F11103" s="11">
        <v>1</v>
      </c>
      <c r="G11103" s="11">
        <v>0.84</v>
      </c>
    </row>
    <row r="11104" spans="2:7" x14ac:dyDescent="0.2">
      <c r="B11104" s="32">
        <v>46136</v>
      </c>
      <c r="C11104" t="s">
        <v>109</v>
      </c>
      <c r="D11104" s="13" t="s">
        <v>634</v>
      </c>
      <c r="E11104" t="s">
        <v>383</v>
      </c>
      <c r="F11104" s="11">
        <v>1</v>
      </c>
      <c r="G11104" s="11">
        <v>239495.8</v>
      </c>
    </row>
    <row r="11105" spans="2:7" x14ac:dyDescent="0.2">
      <c r="B11105" s="32">
        <v>46136</v>
      </c>
      <c r="C11105" t="s">
        <v>109</v>
      </c>
      <c r="D11105" s="13" t="s">
        <v>634</v>
      </c>
      <c r="E11105" t="s">
        <v>156</v>
      </c>
      <c r="F11105" s="11">
        <v>3</v>
      </c>
      <c r="G11105" s="11">
        <v>138655.46</v>
      </c>
    </row>
    <row r="11106" spans="2:7" x14ac:dyDescent="0.2">
      <c r="B11106" s="32">
        <v>46136</v>
      </c>
      <c r="C11106" t="s">
        <v>109</v>
      </c>
      <c r="D11106" s="13" t="s">
        <v>634</v>
      </c>
      <c r="E11106" t="s">
        <v>298</v>
      </c>
      <c r="F11106" s="11">
        <v>1</v>
      </c>
      <c r="G11106" s="11">
        <v>113445.38</v>
      </c>
    </row>
    <row r="11107" spans="2:7" x14ac:dyDescent="0.2">
      <c r="B11107" s="32">
        <v>46136</v>
      </c>
      <c r="C11107" t="s">
        <v>109</v>
      </c>
      <c r="D11107" s="13" t="s">
        <v>634</v>
      </c>
      <c r="E11107" t="s">
        <v>199</v>
      </c>
      <c r="F11107" s="11">
        <v>1</v>
      </c>
      <c r="G11107" s="11">
        <v>84033.62</v>
      </c>
    </row>
    <row r="11108" spans="2:7" x14ac:dyDescent="0.2">
      <c r="B11108" s="32">
        <v>46136</v>
      </c>
      <c r="C11108" t="s">
        <v>109</v>
      </c>
      <c r="D11108" s="13" t="s">
        <v>634</v>
      </c>
      <c r="E11108" t="s">
        <v>147</v>
      </c>
      <c r="F11108" s="11">
        <v>1</v>
      </c>
      <c r="G11108" s="11">
        <v>75630.25</v>
      </c>
    </row>
    <row r="11109" spans="2:7" x14ac:dyDescent="0.2">
      <c r="B11109" s="32">
        <v>46136</v>
      </c>
      <c r="C11109" t="s">
        <v>109</v>
      </c>
      <c r="D11109" s="13" t="s">
        <v>634</v>
      </c>
      <c r="E11109" t="s">
        <v>624</v>
      </c>
      <c r="F11109" s="11">
        <v>1</v>
      </c>
      <c r="G11109" s="11">
        <v>75630.25</v>
      </c>
    </row>
    <row r="11110" spans="2:7" x14ac:dyDescent="0.2">
      <c r="B11110" s="32">
        <v>46136</v>
      </c>
      <c r="C11110" t="s">
        <v>109</v>
      </c>
      <c r="D11110" s="13" t="s">
        <v>634</v>
      </c>
      <c r="E11110" t="s">
        <v>176</v>
      </c>
      <c r="F11110" s="11">
        <v>1</v>
      </c>
      <c r="G11110" s="11">
        <v>63025.21</v>
      </c>
    </row>
    <row r="11111" spans="2:7" x14ac:dyDescent="0.2">
      <c r="B11111" s="32">
        <v>46136</v>
      </c>
      <c r="C11111" t="s">
        <v>109</v>
      </c>
      <c r="D11111" s="13" t="s">
        <v>634</v>
      </c>
      <c r="E11111" t="s">
        <v>428</v>
      </c>
      <c r="F11111" s="11">
        <v>1</v>
      </c>
      <c r="G11111" s="11">
        <v>54621.85</v>
      </c>
    </row>
    <row r="11112" spans="2:7" x14ac:dyDescent="0.2">
      <c r="B11112" s="32">
        <v>46136</v>
      </c>
      <c r="C11112" t="s">
        <v>109</v>
      </c>
      <c r="D11112" s="13" t="s">
        <v>634</v>
      </c>
      <c r="E11112" t="s">
        <v>172</v>
      </c>
      <c r="F11112" s="11">
        <v>1</v>
      </c>
      <c r="G11112" s="11">
        <v>46218.49</v>
      </c>
    </row>
    <row r="11113" spans="2:7" x14ac:dyDescent="0.2">
      <c r="B11113" s="32">
        <v>46136</v>
      </c>
      <c r="C11113" t="s">
        <v>109</v>
      </c>
      <c r="D11113" s="13" t="s">
        <v>634</v>
      </c>
      <c r="E11113" t="s">
        <v>238</v>
      </c>
      <c r="F11113" s="11">
        <v>1</v>
      </c>
      <c r="G11113" s="11">
        <v>46218.49</v>
      </c>
    </row>
    <row r="11114" spans="2:7" x14ac:dyDescent="0.2">
      <c r="B11114" s="32">
        <v>46136</v>
      </c>
      <c r="C11114" t="s">
        <v>109</v>
      </c>
      <c r="D11114" s="13" t="s">
        <v>634</v>
      </c>
      <c r="E11114" t="s">
        <v>161</v>
      </c>
      <c r="F11114" s="11">
        <v>1</v>
      </c>
      <c r="G11114" s="11">
        <v>42016.81</v>
      </c>
    </row>
    <row r="11115" spans="2:7" x14ac:dyDescent="0.2">
      <c r="B11115" s="32">
        <v>46136</v>
      </c>
      <c r="C11115" t="s">
        <v>109</v>
      </c>
      <c r="D11115" s="13" t="s">
        <v>634</v>
      </c>
      <c r="E11115" t="s">
        <v>203</v>
      </c>
      <c r="F11115" s="11">
        <v>1</v>
      </c>
      <c r="G11115" s="11">
        <v>42016.800000000003</v>
      </c>
    </row>
    <row r="11116" spans="2:7" x14ac:dyDescent="0.2">
      <c r="B11116" s="32">
        <v>46136</v>
      </c>
      <c r="C11116" t="s">
        <v>109</v>
      </c>
      <c r="D11116" s="13" t="s">
        <v>634</v>
      </c>
      <c r="E11116" t="s">
        <v>568</v>
      </c>
      <c r="F11116" s="11">
        <v>1</v>
      </c>
      <c r="G11116" s="11">
        <v>37815.129999999997</v>
      </c>
    </row>
    <row r="11117" spans="2:7" x14ac:dyDescent="0.2">
      <c r="B11117" s="32">
        <v>46136</v>
      </c>
      <c r="C11117" t="s">
        <v>109</v>
      </c>
      <c r="D11117" s="13" t="s">
        <v>634</v>
      </c>
      <c r="E11117" t="s">
        <v>145</v>
      </c>
      <c r="F11117" s="11">
        <v>1</v>
      </c>
      <c r="G11117" s="11">
        <v>29411.759999999998</v>
      </c>
    </row>
    <row r="11118" spans="2:7" x14ac:dyDescent="0.2">
      <c r="B11118" s="32">
        <v>46136</v>
      </c>
      <c r="C11118" t="s">
        <v>109</v>
      </c>
      <c r="D11118" s="13" t="s">
        <v>634</v>
      </c>
      <c r="E11118" t="s">
        <v>144</v>
      </c>
      <c r="F11118" s="11">
        <v>1</v>
      </c>
      <c r="G11118" s="11">
        <v>16806.72</v>
      </c>
    </row>
    <row r="11119" spans="2:7" x14ac:dyDescent="0.2">
      <c r="B11119" s="32">
        <v>46136</v>
      </c>
      <c r="C11119" t="s">
        <v>109</v>
      </c>
      <c r="D11119" s="13" t="s">
        <v>633</v>
      </c>
      <c r="E11119" t="s">
        <v>787</v>
      </c>
      <c r="F11119" s="11">
        <v>1</v>
      </c>
      <c r="G11119" s="11">
        <v>126050.42</v>
      </c>
    </row>
    <row r="11120" spans="2:7" x14ac:dyDescent="0.2">
      <c r="B11120" s="32">
        <v>46136</v>
      </c>
      <c r="C11120" t="s">
        <v>109</v>
      </c>
      <c r="D11120" s="13" t="s">
        <v>633</v>
      </c>
      <c r="E11120" t="s">
        <v>212</v>
      </c>
      <c r="F11120" s="11">
        <v>2</v>
      </c>
      <c r="G11120" s="11">
        <v>117647.06</v>
      </c>
    </row>
    <row r="11121" spans="2:7" x14ac:dyDescent="0.2">
      <c r="B11121" s="32">
        <v>46136</v>
      </c>
      <c r="C11121" t="s">
        <v>109</v>
      </c>
      <c r="D11121" s="13" t="s">
        <v>633</v>
      </c>
      <c r="E11121" t="s">
        <v>148</v>
      </c>
      <c r="F11121" s="11">
        <v>2</v>
      </c>
      <c r="G11121" s="11">
        <v>75630.25</v>
      </c>
    </row>
    <row r="11122" spans="2:7" x14ac:dyDescent="0.2">
      <c r="B11122" s="32">
        <v>46136</v>
      </c>
      <c r="C11122" t="s">
        <v>109</v>
      </c>
      <c r="D11122" s="13" t="s">
        <v>633</v>
      </c>
      <c r="E11122" t="s">
        <v>328</v>
      </c>
      <c r="F11122" s="11">
        <v>2</v>
      </c>
      <c r="G11122" s="11">
        <v>75630.25</v>
      </c>
    </row>
    <row r="11123" spans="2:7" x14ac:dyDescent="0.2">
      <c r="B11123" s="32">
        <v>46136</v>
      </c>
      <c r="C11123" t="s">
        <v>109</v>
      </c>
      <c r="D11123" s="13" t="s">
        <v>633</v>
      </c>
      <c r="E11123" t="s">
        <v>534</v>
      </c>
      <c r="F11123" s="11">
        <v>1</v>
      </c>
      <c r="G11123" s="11">
        <v>75630.25</v>
      </c>
    </row>
    <row r="11124" spans="2:7" x14ac:dyDescent="0.2">
      <c r="B11124" s="32">
        <v>46136</v>
      </c>
      <c r="C11124" t="s">
        <v>109</v>
      </c>
      <c r="D11124" s="13" t="s">
        <v>633</v>
      </c>
      <c r="E11124" t="s">
        <v>678</v>
      </c>
      <c r="F11124" s="11">
        <v>1</v>
      </c>
      <c r="G11124" s="11">
        <v>54621.85</v>
      </c>
    </row>
    <row r="11125" spans="2:7" x14ac:dyDescent="0.2">
      <c r="B11125" s="32">
        <v>46136</v>
      </c>
      <c r="C11125" t="s">
        <v>109</v>
      </c>
      <c r="D11125" s="13" t="s">
        <v>633</v>
      </c>
      <c r="E11125" t="s">
        <v>445</v>
      </c>
      <c r="F11125" s="11">
        <v>1</v>
      </c>
      <c r="G11125" s="11">
        <v>54621.85</v>
      </c>
    </row>
    <row r="11126" spans="2:7" x14ac:dyDescent="0.2">
      <c r="B11126" s="32">
        <v>46136</v>
      </c>
      <c r="C11126" t="s">
        <v>109</v>
      </c>
      <c r="D11126" s="13" t="s">
        <v>633</v>
      </c>
      <c r="E11126" t="s">
        <v>160</v>
      </c>
      <c r="F11126" s="11">
        <v>1</v>
      </c>
      <c r="G11126" s="11">
        <v>46218.49</v>
      </c>
    </row>
    <row r="11127" spans="2:7" x14ac:dyDescent="0.2">
      <c r="B11127" s="32">
        <v>46136</v>
      </c>
      <c r="C11127" t="s">
        <v>109</v>
      </c>
      <c r="D11127" s="13" t="s">
        <v>633</v>
      </c>
      <c r="E11127" t="s">
        <v>293</v>
      </c>
      <c r="F11127" s="11">
        <v>1</v>
      </c>
      <c r="G11127" s="11">
        <v>37815.120000000003</v>
      </c>
    </row>
    <row r="11128" spans="2:7" x14ac:dyDescent="0.2">
      <c r="B11128" s="32">
        <v>46136</v>
      </c>
      <c r="C11128" t="s">
        <v>109</v>
      </c>
      <c r="D11128" s="13" t="s">
        <v>633</v>
      </c>
      <c r="E11128" t="s">
        <v>144</v>
      </c>
      <c r="F11128" s="11">
        <v>1</v>
      </c>
      <c r="G11128" s="11">
        <v>16806.73</v>
      </c>
    </row>
    <row r="11129" spans="2:7" x14ac:dyDescent="0.2">
      <c r="B11129" s="32">
        <v>46136</v>
      </c>
      <c r="C11129" t="s">
        <v>109</v>
      </c>
      <c r="D11129" s="13" t="s">
        <v>633</v>
      </c>
      <c r="E11129" t="s">
        <v>566</v>
      </c>
      <c r="F11129" s="11">
        <v>1</v>
      </c>
      <c r="G11129" s="11">
        <v>16806.72</v>
      </c>
    </row>
    <row r="11130" spans="2:7" x14ac:dyDescent="0.2">
      <c r="B11130" s="32">
        <v>46136</v>
      </c>
      <c r="C11130" t="s">
        <v>109</v>
      </c>
      <c r="D11130" s="13" t="s">
        <v>633</v>
      </c>
      <c r="E11130" t="s">
        <v>367</v>
      </c>
      <c r="F11130" s="11">
        <v>1</v>
      </c>
      <c r="G11130" s="11">
        <v>16806.72</v>
      </c>
    </row>
    <row r="11131" spans="2:7" x14ac:dyDescent="0.2">
      <c r="B11131" s="32">
        <v>46137</v>
      </c>
      <c r="C11131" t="s">
        <v>142</v>
      </c>
      <c r="D11131" s="13" t="s">
        <v>634</v>
      </c>
      <c r="E11131" t="s">
        <v>1697</v>
      </c>
      <c r="F11131" s="11">
        <v>1</v>
      </c>
      <c r="G11131" s="11">
        <v>109243.7</v>
      </c>
    </row>
    <row r="11132" spans="2:7" x14ac:dyDescent="0.2">
      <c r="B11132" s="32">
        <v>46137</v>
      </c>
      <c r="C11132" t="s">
        <v>142</v>
      </c>
      <c r="D11132" s="13" t="s">
        <v>634</v>
      </c>
      <c r="E11132" t="s">
        <v>828</v>
      </c>
      <c r="F11132" s="11">
        <v>1</v>
      </c>
      <c r="G11132" s="11">
        <v>84033.61</v>
      </c>
    </row>
    <row r="11133" spans="2:7" x14ac:dyDescent="0.2">
      <c r="B11133" s="32">
        <v>46137</v>
      </c>
      <c r="C11133" t="s">
        <v>142</v>
      </c>
      <c r="D11133" s="13" t="s">
        <v>633</v>
      </c>
      <c r="E11133" t="s">
        <v>414</v>
      </c>
      <c r="F11133" s="11">
        <v>1</v>
      </c>
      <c r="G11133" s="11">
        <v>138655.46</v>
      </c>
    </row>
    <row r="11134" spans="2:7" x14ac:dyDescent="0.2">
      <c r="B11134" s="32">
        <v>46137</v>
      </c>
      <c r="C11134" t="s">
        <v>142</v>
      </c>
      <c r="D11134" s="13" t="s">
        <v>633</v>
      </c>
      <c r="E11134" t="s">
        <v>163</v>
      </c>
      <c r="F11134" s="11">
        <v>1</v>
      </c>
      <c r="G11134" s="11">
        <v>92436.98</v>
      </c>
    </row>
    <row r="11135" spans="2:7" x14ac:dyDescent="0.2">
      <c r="B11135" s="32">
        <v>46137</v>
      </c>
      <c r="C11135" t="s">
        <v>142</v>
      </c>
      <c r="D11135" s="13" t="s">
        <v>633</v>
      </c>
      <c r="E11135" t="s">
        <v>454</v>
      </c>
      <c r="F11135" s="11">
        <v>1</v>
      </c>
      <c r="G11135" s="11">
        <v>92436.97</v>
      </c>
    </row>
    <row r="11136" spans="2:7" x14ac:dyDescent="0.2">
      <c r="B11136" s="32">
        <v>46137</v>
      </c>
      <c r="C11136" t="s">
        <v>142</v>
      </c>
      <c r="D11136" s="13" t="s">
        <v>633</v>
      </c>
      <c r="E11136" t="s">
        <v>572</v>
      </c>
      <c r="F11136" s="11">
        <v>1</v>
      </c>
      <c r="G11136" s="11">
        <v>50420.17</v>
      </c>
    </row>
    <row r="11137" spans="2:7" x14ac:dyDescent="0.2">
      <c r="B11137" s="32">
        <v>46137</v>
      </c>
      <c r="C11137" t="s">
        <v>142</v>
      </c>
      <c r="D11137" s="13" t="s">
        <v>633</v>
      </c>
      <c r="E11137" t="s">
        <v>238</v>
      </c>
      <c r="F11137" s="11">
        <v>1</v>
      </c>
      <c r="G11137" s="11">
        <v>41596.639999999999</v>
      </c>
    </row>
    <row r="11138" spans="2:7" x14ac:dyDescent="0.2">
      <c r="B11138" s="32">
        <v>46137</v>
      </c>
      <c r="C11138" t="s">
        <v>142</v>
      </c>
      <c r="D11138" s="13" t="s">
        <v>633</v>
      </c>
      <c r="E11138" t="s">
        <v>526</v>
      </c>
      <c r="F11138" s="11">
        <v>1</v>
      </c>
      <c r="G11138" s="11">
        <v>16806.72</v>
      </c>
    </row>
    <row r="11139" spans="2:7" x14ac:dyDescent="0.2">
      <c r="B11139" s="32">
        <v>46137</v>
      </c>
      <c r="C11139" t="s">
        <v>110</v>
      </c>
      <c r="D11139" s="13" t="s">
        <v>633</v>
      </c>
      <c r="E11139" t="s">
        <v>595</v>
      </c>
      <c r="F11139" s="11">
        <v>1</v>
      </c>
      <c r="G11139" s="11">
        <v>16806.72</v>
      </c>
    </row>
    <row r="11140" spans="2:7" x14ac:dyDescent="0.2">
      <c r="B11140" s="32">
        <v>46137</v>
      </c>
      <c r="C11140" t="s">
        <v>109</v>
      </c>
      <c r="D11140" s="13" t="s">
        <v>634</v>
      </c>
      <c r="E11140" t="s">
        <v>738</v>
      </c>
      <c r="F11140" s="11">
        <v>1</v>
      </c>
      <c r="G11140" s="11">
        <v>159663.87</v>
      </c>
    </row>
    <row r="11141" spans="2:7" x14ac:dyDescent="0.2">
      <c r="B11141" s="32">
        <v>46137</v>
      </c>
      <c r="C11141" t="s">
        <v>109</v>
      </c>
      <c r="D11141" s="13" t="s">
        <v>634</v>
      </c>
      <c r="E11141" t="s">
        <v>669</v>
      </c>
      <c r="F11141" s="11">
        <v>1</v>
      </c>
      <c r="G11141" s="11">
        <v>102000</v>
      </c>
    </row>
    <row r="11142" spans="2:7" x14ac:dyDescent="0.2">
      <c r="B11142" s="32">
        <v>46137</v>
      </c>
      <c r="C11142" t="s">
        <v>109</v>
      </c>
      <c r="D11142" s="13" t="s">
        <v>634</v>
      </c>
      <c r="E11142" t="s">
        <v>144</v>
      </c>
      <c r="F11142" s="11">
        <v>3</v>
      </c>
      <c r="G11142" s="11">
        <v>92436.98</v>
      </c>
    </row>
    <row r="11143" spans="2:7" x14ac:dyDescent="0.2">
      <c r="B11143" s="32">
        <v>46137</v>
      </c>
      <c r="C11143" t="s">
        <v>109</v>
      </c>
      <c r="D11143" s="13" t="s">
        <v>634</v>
      </c>
      <c r="E11143" t="s">
        <v>152</v>
      </c>
      <c r="F11143" s="11">
        <v>1</v>
      </c>
      <c r="G11143" s="11">
        <v>84033.61</v>
      </c>
    </row>
    <row r="11144" spans="2:7" x14ac:dyDescent="0.2">
      <c r="B11144" s="32">
        <v>46137</v>
      </c>
      <c r="C11144" t="s">
        <v>109</v>
      </c>
      <c r="D11144" s="13" t="s">
        <v>634</v>
      </c>
      <c r="E11144" t="s">
        <v>275</v>
      </c>
      <c r="F11144" s="11">
        <v>1</v>
      </c>
      <c r="G11144" s="11">
        <v>63025.21</v>
      </c>
    </row>
    <row r="11145" spans="2:7" x14ac:dyDescent="0.2">
      <c r="B11145" s="32">
        <v>46137</v>
      </c>
      <c r="C11145" t="s">
        <v>109</v>
      </c>
      <c r="D11145" s="13" t="s">
        <v>634</v>
      </c>
      <c r="E11145" t="s">
        <v>238</v>
      </c>
      <c r="F11145" s="11">
        <v>1</v>
      </c>
      <c r="G11145" s="11">
        <v>46218.49</v>
      </c>
    </row>
    <row r="11146" spans="2:7" x14ac:dyDescent="0.2">
      <c r="B11146" s="32">
        <v>46137</v>
      </c>
      <c r="C11146" t="s">
        <v>109</v>
      </c>
      <c r="D11146" s="13" t="s">
        <v>634</v>
      </c>
      <c r="E11146" t="s">
        <v>203</v>
      </c>
      <c r="F11146" s="11">
        <v>1</v>
      </c>
      <c r="G11146" s="11">
        <v>42016.81</v>
      </c>
    </row>
    <row r="11147" spans="2:7" x14ac:dyDescent="0.2">
      <c r="B11147" s="32">
        <v>46137</v>
      </c>
      <c r="C11147" t="s">
        <v>109</v>
      </c>
      <c r="D11147" s="13" t="s">
        <v>634</v>
      </c>
      <c r="E11147" t="s">
        <v>161</v>
      </c>
      <c r="F11147" s="11">
        <v>1</v>
      </c>
      <c r="G11147" s="11">
        <v>42016.800000000003</v>
      </c>
    </row>
    <row r="11148" spans="2:7" x14ac:dyDescent="0.2">
      <c r="B11148" s="32">
        <v>46137</v>
      </c>
      <c r="C11148" t="s">
        <v>109</v>
      </c>
      <c r="D11148" s="13" t="s">
        <v>634</v>
      </c>
      <c r="E11148" t="s">
        <v>248</v>
      </c>
      <c r="F11148" s="11">
        <v>1</v>
      </c>
      <c r="G11148" s="11">
        <v>37815.129999999997</v>
      </c>
    </row>
    <row r="11149" spans="2:7" x14ac:dyDescent="0.2">
      <c r="B11149" s="32">
        <v>46137</v>
      </c>
      <c r="C11149" t="s">
        <v>109</v>
      </c>
      <c r="D11149" s="13" t="s">
        <v>633</v>
      </c>
      <c r="E11149" t="s">
        <v>606</v>
      </c>
      <c r="F11149" s="11">
        <v>1</v>
      </c>
      <c r="G11149" s="11">
        <v>210084.03</v>
      </c>
    </row>
    <row r="11150" spans="2:7" x14ac:dyDescent="0.2">
      <c r="B11150" s="32">
        <v>46137</v>
      </c>
      <c r="C11150" t="s">
        <v>109</v>
      </c>
      <c r="D11150" s="13" t="s">
        <v>633</v>
      </c>
      <c r="E11150" t="s">
        <v>1698</v>
      </c>
      <c r="F11150" s="11">
        <v>1</v>
      </c>
      <c r="G11150" s="11">
        <v>184873.95</v>
      </c>
    </row>
    <row r="11151" spans="2:7" x14ac:dyDescent="0.2">
      <c r="B11151" s="32">
        <v>46137</v>
      </c>
      <c r="C11151" t="s">
        <v>109</v>
      </c>
      <c r="D11151" s="13" t="s">
        <v>633</v>
      </c>
      <c r="E11151" t="s">
        <v>574</v>
      </c>
      <c r="F11151" s="11">
        <v>2</v>
      </c>
      <c r="G11151" s="11">
        <v>184873.94</v>
      </c>
    </row>
    <row r="11152" spans="2:7" x14ac:dyDescent="0.2">
      <c r="B11152" s="32">
        <v>46137</v>
      </c>
      <c r="C11152" t="s">
        <v>109</v>
      </c>
      <c r="D11152" s="13" t="s">
        <v>633</v>
      </c>
      <c r="E11152" t="s">
        <v>152</v>
      </c>
      <c r="F11152" s="11">
        <v>2</v>
      </c>
      <c r="G11152" s="11">
        <v>168067.24</v>
      </c>
    </row>
    <row r="11153" spans="2:7" x14ac:dyDescent="0.2">
      <c r="B11153" s="32">
        <v>46137</v>
      </c>
      <c r="C11153" t="s">
        <v>109</v>
      </c>
      <c r="D11153" s="13" t="s">
        <v>633</v>
      </c>
      <c r="E11153" t="s">
        <v>698</v>
      </c>
      <c r="F11153" s="11">
        <v>2</v>
      </c>
      <c r="G11153" s="11">
        <v>168067.23</v>
      </c>
    </row>
    <row r="11154" spans="2:7" x14ac:dyDescent="0.2">
      <c r="B11154" s="32">
        <v>46137</v>
      </c>
      <c r="C11154" t="s">
        <v>109</v>
      </c>
      <c r="D11154" s="13" t="s">
        <v>633</v>
      </c>
      <c r="E11154" t="s">
        <v>164</v>
      </c>
      <c r="F11154" s="11">
        <v>2</v>
      </c>
      <c r="G11154" s="11">
        <v>151260.5</v>
      </c>
    </row>
    <row r="11155" spans="2:7" x14ac:dyDescent="0.2">
      <c r="B11155" s="32">
        <v>46137</v>
      </c>
      <c r="C11155" t="s">
        <v>109</v>
      </c>
      <c r="D11155" s="13" t="s">
        <v>633</v>
      </c>
      <c r="E11155" t="s">
        <v>516</v>
      </c>
      <c r="F11155" s="11">
        <v>1</v>
      </c>
      <c r="G11155" s="11">
        <v>142857.14000000001</v>
      </c>
    </row>
    <row r="11156" spans="2:7" x14ac:dyDescent="0.2">
      <c r="B11156" s="32">
        <v>46137</v>
      </c>
      <c r="C11156" t="s">
        <v>109</v>
      </c>
      <c r="D11156" s="13" t="s">
        <v>633</v>
      </c>
      <c r="E11156" t="s">
        <v>583</v>
      </c>
      <c r="F11156" s="11">
        <v>1</v>
      </c>
      <c r="G11156" s="11">
        <v>126050.43</v>
      </c>
    </row>
    <row r="11157" spans="2:7" x14ac:dyDescent="0.2">
      <c r="B11157" s="32">
        <v>46137</v>
      </c>
      <c r="C11157" t="s">
        <v>109</v>
      </c>
      <c r="D11157" s="13" t="s">
        <v>633</v>
      </c>
      <c r="E11157" t="s">
        <v>1699</v>
      </c>
      <c r="F11157" s="11">
        <v>1</v>
      </c>
      <c r="G11157" s="11">
        <v>109243.7</v>
      </c>
    </row>
    <row r="11158" spans="2:7" x14ac:dyDescent="0.2">
      <c r="B11158" s="32">
        <v>46137</v>
      </c>
      <c r="C11158" t="s">
        <v>109</v>
      </c>
      <c r="D11158" s="13" t="s">
        <v>633</v>
      </c>
      <c r="E11158" t="s">
        <v>603</v>
      </c>
      <c r="F11158" s="11">
        <v>1</v>
      </c>
      <c r="G11158" s="11">
        <v>104000</v>
      </c>
    </row>
    <row r="11159" spans="2:7" x14ac:dyDescent="0.2">
      <c r="B11159" s="32">
        <v>46137</v>
      </c>
      <c r="C11159" t="s">
        <v>109</v>
      </c>
      <c r="D11159" s="13" t="s">
        <v>633</v>
      </c>
      <c r="E11159" t="s">
        <v>264</v>
      </c>
      <c r="F11159" s="11">
        <v>1</v>
      </c>
      <c r="G11159" s="11">
        <v>84033.61</v>
      </c>
    </row>
    <row r="11160" spans="2:7" x14ac:dyDescent="0.2">
      <c r="B11160" s="32">
        <v>46137</v>
      </c>
      <c r="C11160" t="s">
        <v>109</v>
      </c>
      <c r="D11160" s="13" t="s">
        <v>633</v>
      </c>
      <c r="E11160" t="s">
        <v>467</v>
      </c>
      <c r="F11160" s="11">
        <v>1</v>
      </c>
      <c r="G11160" s="11">
        <v>84033.61</v>
      </c>
    </row>
    <row r="11161" spans="2:7" x14ac:dyDescent="0.2">
      <c r="B11161" s="32">
        <v>46137</v>
      </c>
      <c r="C11161" t="s">
        <v>109</v>
      </c>
      <c r="D11161" s="13" t="s">
        <v>633</v>
      </c>
      <c r="E11161" t="s">
        <v>340</v>
      </c>
      <c r="F11161" s="11">
        <v>1</v>
      </c>
      <c r="G11161" s="11">
        <v>84033.61</v>
      </c>
    </row>
    <row r="11162" spans="2:7" x14ac:dyDescent="0.2">
      <c r="B11162" s="32">
        <v>46137</v>
      </c>
      <c r="C11162" t="s">
        <v>109</v>
      </c>
      <c r="D11162" s="13" t="s">
        <v>633</v>
      </c>
      <c r="E11162" t="s">
        <v>347</v>
      </c>
      <c r="F11162" s="11">
        <v>1</v>
      </c>
      <c r="G11162" s="11">
        <v>84033.61</v>
      </c>
    </row>
    <row r="11163" spans="2:7" x14ac:dyDescent="0.2">
      <c r="B11163" s="32">
        <v>46137</v>
      </c>
      <c r="C11163" t="s">
        <v>109</v>
      </c>
      <c r="D11163" s="13" t="s">
        <v>633</v>
      </c>
      <c r="E11163" t="s">
        <v>403</v>
      </c>
      <c r="F11163" s="11">
        <v>1</v>
      </c>
      <c r="G11163" s="11">
        <v>84033.61</v>
      </c>
    </row>
    <row r="11164" spans="2:7" x14ac:dyDescent="0.2">
      <c r="B11164" s="32">
        <v>46137</v>
      </c>
      <c r="C11164" t="s">
        <v>109</v>
      </c>
      <c r="D11164" s="13" t="s">
        <v>633</v>
      </c>
      <c r="E11164" t="s">
        <v>681</v>
      </c>
      <c r="F11164" s="11">
        <v>1</v>
      </c>
      <c r="G11164" s="11">
        <v>84033.61</v>
      </c>
    </row>
    <row r="11165" spans="2:7" x14ac:dyDescent="0.2">
      <c r="B11165" s="32">
        <v>46137</v>
      </c>
      <c r="C11165" t="s">
        <v>109</v>
      </c>
      <c r="D11165" s="13" t="s">
        <v>633</v>
      </c>
      <c r="E11165" t="s">
        <v>1700</v>
      </c>
      <c r="F11165" s="11">
        <v>2</v>
      </c>
      <c r="G11165" s="11">
        <v>82833.13</v>
      </c>
    </row>
    <row r="11166" spans="2:7" x14ac:dyDescent="0.2">
      <c r="B11166" s="32">
        <v>46137</v>
      </c>
      <c r="C11166" t="s">
        <v>109</v>
      </c>
      <c r="D11166" s="13" t="s">
        <v>633</v>
      </c>
      <c r="E11166" t="s">
        <v>591</v>
      </c>
      <c r="F11166" s="11">
        <v>1</v>
      </c>
      <c r="G11166" s="11">
        <v>79831.94</v>
      </c>
    </row>
    <row r="11167" spans="2:7" x14ac:dyDescent="0.2">
      <c r="B11167" s="32">
        <v>46137</v>
      </c>
      <c r="C11167" t="s">
        <v>109</v>
      </c>
      <c r="D11167" s="13" t="s">
        <v>633</v>
      </c>
      <c r="E11167" t="s">
        <v>446</v>
      </c>
      <c r="F11167" s="11">
        <v>1</v>
      </c>
      <c r="G11167" s="11">
        <v>75630.25</v>
      </c>
    </row>
    <row r="11168" spans="2:7" x14ac:dyDescent="0.2">
      <c r="B11168" s="32">
        <v>46137</v>
      </c>
      <c r="C11168" t="s">
        <v>109</v>
      </c>
      <c r="D11168" s="13" t="s">
        <v>633</v>
      </c>
      <c r="E11168" t="s">
        <v>617</v>
      </c>
      <c r="F11168" s="11">
        <v>1</v>
      </c>
      <c r="G11168" s="11">
        <v>71428.570000000007</v>
      </c>
    </row>
    <row r="11169" spans="2:7" x14ac:dyDescent="0.2">
      <c r="B11169" s="32">
        <v>46137</v>
      </c>
      <c r="C11169" t="s">
        <v>109</v>
      </c>
      <c r="D11169" s="13" t="s">
        <v>633</v>
      </c>
      <c r="E11169" t="s">
        <v>1701</v>
      </c>
      <c r="F11169" s="11">
        <v>1</v>
      </c>
      <c r="G11169" s="11">
        <v>67226.89</v>
      </c>
    </row>
    <row r="11170" spans="2:7" x14ac:dyDescent="0.2">
      <c r="B11170" s="32">
        <v>46137</v>
      </c>
      <c r="C11170" t="s">
        <v>109</v>
      </c>
      <c r="D11170" s="13" t="s">
        <v>633</v>
      </c>
      <c r="E11170" t="s">
        <v>171</v>
      </c>
      <c r="F11170" s="11">
        <v>2</v>
      </c>
      <c r="G11170" s="11">
        <v>58823.53</v>
      </c>
    </row>
    <row r="11171" spans="2:7" x14ac:dyDescent="0.2">
      <c r="B11171" s="32">
        <v>46137</v>
      </c>
      <c r="C11171" t="s">
        <v>109</v>
      </c>
      <c r="D11171" s="13" t="s">
        <v>633</v>
      </c>
      <c r="E11171" t="s">
        <v>212</v>
      </c>
      <c r="F11171" s="11">
        <v>1</v>
      </c>
      <c r="G11171" s="11">
        <v>58823.53</v>
      </c>
    </row>
    <row r="11172" spans="2:7" x14ac:dyDescent="0.2">
      <c r="B11172" s="32">
        <v>46137</v>
      </c>
      <c r="C11172" t="s">
        <v>109</v>
      </c>
      <c r="D11172" s="13" t="s">
        <v>633</v>
      </c>
      <c r="E11172" t="s">
        <v>208</v>
      </c>
      <c r="F11172" s="11">
        <v>1</v>
      </c>
      <c r="G11172" s="11">
        <v>58823.53</v>
      </c>
    </row>
    <row r="11173" spans="2:7" x14ac:dyDescent="0.2">
      <c r="B11173" s="32">
        <v>46137</v>
      </c>
      <c r="C11173" t="s">
        <v>109</v>
      </c>
      <c r="D11173" s="13" t="s">
        <v>633</v>
      </c>
      <c r="E11173" t="s">
        <v>707</v>
      </c>
      <c r="F11173" s="11">
        <v>1</v>
      </c>
      <c r="G11173" s="11">
        <v>54621.85</v>
      </c>
    </row>
    <row r="11174" spans="2:7" x14ac:dyDescent="0.2">
      <c r="B11174" s="32">
        <v>46137</v>
      </c>
      <c r="C11174" t="s">
        <v>109</v>
      </c>
      <c r="D11174" s="13" t="s">
        <v>633</v>
      </c>
      <c r="E11174" t="s">
        <v>443</v>
      </c>
      <c r="F11174" s="11">
        <v>1</v>
      </c>
      <c r="G11174" s="11">
        <v>54621.85</v>
      </c>
    </row>
    <row r="11175" spans="2:7" x14ac:dyDescent="0.2">
      <c r="B11175" s="32">
        <v>46137</v>
      </c>
      <c r="C11175" t="s">
        <v>109</v>
      </c>
      <c r="D11175" s="13" t="s">
        <v>633</v>
      </c>
      <c r="E11175" t="s">
        <v>513</v>
      </c>
      <c r="F11175" s="11">
        <v>1</v>
      </c>
      <c r="G11175" s="11">
        <v>54621.85</v>
      </c>
    </row>
    <row r="11176" spans="2:7" x14ac:dyDescent="0.2">
      <c r="B11176" s="32">
        <v>46137</v>
      </c>
      <c r="C11176" t="s">
        <v>109</v>
      </c>
      <c r="D11176" s="13" t="s">
        <v>633</v>
      </c>
      <c r="E11176" t="s">
        <v>195</v>
      </c>
      <c r="F11176" s="11">
        <v>1</v>
      </c>
      <c r="G11176" s="11">
        <v>50420.17</v>
      </c>
    </row>
    <row r="11177" spans="2:7" x14ac:dyDescent="0.2">
      <c r="B11177" s="32">
        <v>46137</v>
      </c>
      <c r="C11177" t="s">
        <v>109</v>
      </c>
      <c r="D11177" s="13" t="s">
        <v>633</v>
      </c>
      <c r="E11177" t="s">
        <v>144</v>
      </c>
      <c r="F11177" s="11">
        <v>3</v>
      </c>
      <c r="G11177" s="11">
        <v>49999.99</v>
      </c>
    </row>
    <row r="11178" spans="2:7" x14ac:dyDescent="0.2">
      <c r="B11178" s="32">
        <v>46137</v>
      </c>
      <c r="C11178" t="s">
        <v>109</v>
      </c>
      <c r="D11178" s="13" t="s">
        <v>633</v>
      </c>
      <c r="E11178" t="s">
        <v>238</v>
      </c>
      <c r="F11178" s="11">
        <v>1</v>
      </c>
      <c r="G11178" s="11">
        <v>46218.49</v>
      </c>
    </row>
    <row r="11179" spans="2:7" x14ac:dyDescent="0.2">
      <c r="B11179" s="32">
        <v>46137</v>
      </c>
      <c r="C11179" t="s">
        <v>109</v>
      </c>
      <c r="D11179" s="13" t="s">
        <v>633</v>
      </c>
      <c r="E11179" t="s">
        <v>160</v>
      </c>
      <c r="F11179" s="11">
        <v>1</v>
      </c>
      <c r="G11179" s="11">
        <v>46218.49</v>
      </c>
    </row>
    <row r="11180" spans="2:7" x14ac:dyDescent="0.2">
      <c r="B11180" s="32">
        <v>46137</v>
      </c>
      <c r="C11180" t="s">
        <v>109</v>
      </c>
      <c r="D11180" s="13" t="s">
        <v>633</v>
      </c>
      <c r="E11180" t="s">
        <v>158</v>
      </c>
      <c r="F11180" s="11">
        <v>1</v>
      </c>
      <c r="G11180" s="11">
        <v>46218.48</v>
      </c>
    </row>
    <row r="11181" spans="2:7" x14ac:dyDescent="0.2">
      <c r="B11181" s="32">
        <v>46137</v>
      </c>
      <c r="C11181" t="s">
        <v>109</v>
      </c>
      <c r="D11181" s="13" t="s">
        <v>633</v>
      </c>
      <c r="E11181" t="s">
        <v>180</v>
      </c>
      <c r="F11181" s="11">
        <v>2</v>
      </c>
      <c r="G11181" s="11">
        <v>33613.440000000002</v>
      </c>
    </row>
    <row r="11182" spans="2:7" x14ac:dyDescent="0.2">
      <c r="B11182" s="32">
        <v>46137</v>
      </c>
      <c r="C11182" t="s">
        <v>109</v>
      </c>
      <c r="D11182" s="13" t="s">
        <v>633</v>
      </c>
      <c r="E11182" t="s">
        <v>161</v>
      </c>
      <c r="F11182" s="11">
        <v>1</v>
      </c>
      <c r="G11182" s="11">
        <v>13205.29</v>
      </c>
    </row>
    <row r="11183" spans="2:7" x14ac:dyDescent="0.2">
      <c r="B11183" s="32">
        <v>46137</v>
      </c>
      <c r="C11183" t="s">
        <v>109</v>
      </c>
      <c r="D11183" s="13" t="s">
        <v>633</v>
      </c>
      <c r="E11183" t="s">
        <v>166</v>
      </c>
      <c r="F11183" s="11">
        <v>1</v>
      </c>
      <c r="G11183" s="11">
        <v>13205.28</v>
      </c>
    </row>
    <row r="11184" spans="2:7" x14ac:dyDescent="0.2">
      <c r="B11184" s="32">
        <v>46138</v>
      </c>
      <c r="C11184" t="s">
        <v>142</v>
      </c>
      <c r="D11184" s="13" t="s">
        <v>634</v>
      </c>
      <c r="E11184" t="s">
        <v>1702</v>
      </c>
      <c r="F11184" s="11">
        <v>1</v>
      </c>
      <c r="G11184" s="11">
        <v>205882.35</v>
      </c>
    </row>
    <row r="11185" spans="2:7" x14ac:dyDescent="0.2">
      <c r="B11185" s="32">
        <v>46138</v>
      </c>
      <c r="C11185" t="s">
        <v>142</v>
      </c>
      <c r="D11185" s="13" t="s">
        <v>634</v>
      </c>
      <c r="E11185" t="s">
        <v>655</v>
      </c>
      <c r="F11185" s="11">
        <v>1</v>
      </c>
      <c r="G11185" s="11">
        <v>109243.7</v>
      </c>
    </row>
    <row r="11186" spans="2:7" x14ac:dyDescent="0.2">
      <c r="B11186" s="32">
        <v>46138</v>
      </c>
      <c r="C11186" t="s">
        <v>142</v>
      </c>
      <c r="D11186" s="13" t="s">
        <v>634</v>
      </c>
      <c r="E11186" t="s">
        <v>727</v>
      </c>
      <c r="F11186" s="11">
        <v>1</v>
      </c>
      <c r="G11186" s="11">
        <v>63025.21</v>
      </c>
    </row>
    <row r="11187" spans="2:7" x14ac:dyDescent="0.2">
      <c r="B11187" s="32">
        <v>46138</v>
      </c>
      <c r="C11187" t="s">
        <v>142</v>
      </c>
      <c r="D11187" s="13" t="s">
        <v>634</v>
      </c>
      <c r="E11187" t="s">
        <v>282</v>
      </c>
      <c r="F11187" s="11">
        <v>1</v>
      </c>
      <c r="G11187" s="11">
        <v>63025.21</v>
      </c>
    </row>
    <row r="11188" spans="2:7" x14ac:dyDescent="0.2">
      <c r="B11188" s="32">
        <v>46138</v>
      </c>
      <c r="C11188" t="s">
        <v>142</v>
      </c>
      <c r="D11188" s="13" t="s">
        <v>634</v>
      </c>
      <c r="E11188" t="s">
        <v>430</v>
      </c>
      <c r="F11188" s="11">
        <v>1</v>
      </c>
      <c r="G11188" s="11">
        <v>63025.21</v>
      </c>
    </row>
    <row r="11189" spans="2:7" x14ac:dyDescent="0.2">
      <c r="B11189" s="32">
        <v>46138</v>
      </c>
      <c r="C11189" t="s">
        <v>142</v>
      </c>
      <c r="D11189" s="13" t="s">
        <v>634</v>
      </c>
      <c r="E11189" t="s">
        <v>218</v>
      </c>
      <c r="F11189" s="11">
        <v>1</v>
      </c>
      <c r="G11189" s="11">
        <v>42016.800000000003</v>
      </c>
    </row>
    <row r="11190" spans="2:7" x14ac:dyDescent="0.2">
      <c r="B11190" s="32">
        <v>46138</v>
      </c>
      <c r="C11190" t="s">
        <v>142</v>
      </c>
      <c r="D11190" s="13" t="s">
        <v>633</v>
      </c>
      <c r="E11190" t="s">
        <v>600</v>
      </c>
      <c r="F11190" s="11">
        <v>1</v>
      </c>
      <c r="G11190" s="11">
        <v>63025.21</v>
      </c>
    </row>
    <row r="11191" spans="2:7" x14ac:dyDescent="0.2">
      <c r="B11191" s="32">
        <v>46138</v>
      </c>
      <c r="C11191" t="s">
        <v>142</v>
      </c>
      <c r="D11191" s="13" t="s">
        <v>633</v>
      </c>
      <c r="E11191" t="s">
        <v>1703</v>
      </c>
      <c r="F11191" s="11">
        <v>1</v>
      </c>
      <c r="G11191" s="11">
        <v>63025.21</v>
      </c>
    </row>
    <row r="11192" spans="2:7" x14ac:dyDescent="0.2">
      <c r="B11192" s="32">
        <v>46138</v>
      </c>
      <c r="C11192" t="s">
        <v>110</v>
      </c>
      <c r="D11192" s="13" t="s">
        <v>634</v>
      </c>
      <c r="E11192" t="s">
        <v>804</v>
      </c>
      <c r="F11192" s="11">
        <v>1</v>
      </c>
      <c r="G11192" s="11">
        <v>50420.17</v>
      </c>
    </row>
    <row r="11193" spans="2:7" x14ac:dyDescent="0.2">
      <c r="B11193" s="32">
        <v>46138</v>
      </c>
      <c r="C11193" t="s">
        <v>109</v>
      </c>
      <c r="D11193" s="13" t="s">
        <v>634</v>
      </c>
      <c r="E11193" t="s">
        <v>334</v>
      </c>
      <c r="F11193" s="11">
        <v>1</v>
      </c>
      <c r="G11193" s="11">
        <v>75630.25</v>
      </c>
    </row>
    <row r="11194" spans="2:7" x14ac:dyDescent="0.2">
      <c r="B11194" s="32">
        <v>46138</v>
      </c>
      <c r="C11194" t="s">
        <v>109</v>
      </c>
      <c r="D11194" s="13" t="s">
        <v>634</v>
      </c>
      <c r="E11194" t="s">
        <v>640</v>
      </c>
      <c r="F11194" s="11">
        <v>1</v>
      </c>
      <c r="G11194" s="11">
        <v>58823.53</v>
      </c>
    </row>
    <row r="11195" spans="2:7" x14ac:dyDescent="0.2">
      <c r="B11195" s="32">
        <v>46138</v>
      </c>
      <c r="C11195" t="s">
        <v>109</v>
      </c>
      <c r="D11195" s="13" t="s">
        <v>634</v>
      </c>
      <c r="E11195" t="s">
        <v>171</v>
      </c>
      <c r="F11195" s="11">
        <v>2</v>
      </c>
      <c r="G11195" s="11">
        <v>58823.53</v>
      </c>
    </row>
    <row r="11196" spans="2:7" x14ac:dyDescent="0.2">
      <c r="B11196" s="32">
        <v>46138</v>
      </c>
      <c r="C11196" t="s">
        <v>109</v>
      </c>
      <c r="D11196" s="13" t="s">
        <v>634</v>
      </c>
      <c r="E11196" t="s">
        <v>144</v>
      </c>
      <c r="F11196" s="11">
        <v>3</v>
      </c>
      <c r="G11196" s="11">
        <v>50420.17</v>
      </c>
    </row>
    <row r="11197" spans="2:7" x14ac:dyDescent="0.2">
      <c r="B11197" s="32">
        <v>46138</v>
      </c>
      <c r="C11197" t="s">
        <v>109</v>
      </c>
      <c r="D11197" s="13" t="s">
        <v>634</v>
      </c>
      <c r="E11197" t="s">
        <v>146</v>
      </c>
      <c r="F11197" s="11">
        <v>1</v>
      </c>
      <c r="G11197" s="11">
        <v>50420.17</v>
      </c>
    </row>
    <row r="11198" spans="2:7" x14ac:dyDescent="0.2">
      <c r="B11198" s="32">
        <v>46138</v>
      </c>
      <c r="C11198" t="s">
        <v>109</v>
      </c>
      <c r="D11198" s="13" t="s">
        <v>634</v>
      </c>
      <c r="E11198" t="s">
        <v>180</v>
      </c>
      <c r="F11198" s="11">
        <v>1</v>
      </c>
      <c r="G11198" s="11">
        <v>16806.73</v>
      </c>
    </row>
    <row r="11199" spans="2:7" x14ac:dyDescent="0.2">
      <c r="B11199" s="32">
        <v>46138</v>
      </c>
      <c r="C11199" t="s">
        <v>109</v>
      </c>
      <c r="D11199" s="13" t="s">
        <v>634</v>
      </c>
      <c r="E11199" t="s">
        <v>595</v>
      </c>
      <c r="F11199" s="11">
        <v>1</v>
      </c>
      <c r="G11199" s="11">
        <v>16806.72</v>
      </c>
    </row>
    <row r="11200" spans="2:7" x14ac:dyDescent="0.2">
      <c r="B11200" s="32">
        <v>46138</v>
      </c>
      <c r="C11200" t="s">
        <v>109</v>
      </c>
      <c r="D11200" s="13" t="s">
        <v>633</v>
      </c>
      <c r="E11200" t="s">
        <v>308</v>
      </c>
      <c r="F11200" s="11">
        <v>1</v>
      </c>
      <c r="G11200" s="11">
        <v>113445.38</v>
      </c>
    </row>
    <row r="11201" spans="2:7" x14ac:dyDescent="0.2">
      <c r="B11201" s="32">
        <v>46138</v>
      </c>
      <c r="C11201" t="s">
        <v>109</v>
      </c>
      <c r="D11201" s="13" t="s">
        <v>633</v>
      </c>
      <c r="E11201" t="s">
        <v>261</v>
      </c>
      <c r="F11201" s="11">
        <v>1</v>
      </c>
      <c r="G11201" s="11">
        <v>109243.7</v>
      </c>
    </row>
    <row r="11202" spans="2:7" x14ac:dyDescent="0.2">
      <c r="B11202" s="32">
        <v>46138</v>
      </c>
      <c r="C11202" t="s">
        <v>109</v>
      </c>
      <c r="D11202" s="13" t="s">
        <v>633</v>
      </c>
      <c r="E11202" t="s">
        <v>571</v>
      </c>
      <c r="F11202" s="11">
        <v>1</v>
      </c>
      <c r="G11202" s="11">
        <v>109243.7</v>
      </c>
    </row>
    <row r="11203" spans="2:7" x14ac:dyDescent="0.2">
      <c r="B11203" s="32">
        <v>46138</v>
      </c>
      <c r="C11203" t="s">
        <v>109</v>
      </c>
      <c r="D11203" s="13" t="s">
        <v>633</v>
      </c>
      <c r="E11203" t="s">
        <v>152</v>
      </c>
      <c r="F11203" s="11">
        <v>1</v>
      </c>
      <c r="G11203" s="11">
        <v>84033.62</v>
      </c>
    </row>
    <row r="11204" spans="2:7" x14ac:dyDescent="0.2">
      <c r="B11204" s="32">
        <v>46138</v>
      </c>
      <c r="C11204" t="s">
        <v>109</v>
      </c>
      <c r="D11204" s="13" t="s">
        <v>633</v>
      </c>
      <c r="E11204" t="s">
        <v>347</v>
      </c>
      <c r="F11204" s="11">
        <v>1</v>
      </c>
      <c r="G11204" s="11">
        <v>84033.61</v>
      </c>
    </row>
    <row r="11205" spans="2:7" x14ac:dyDescent="0.2">
      <c r="B11205" s="32">
        <v>46138</v>
      </c>
      <c r="C11205" t="s">
        <v>109</v>
      </c>
      <c r="D11205" s="13" t="s">
        <v>633</v>
      </c>
      <c r="E11205" t="s">
        <v>251</v>
      </c>
      <c r="F11205" s="11">
        <v>1</v>
      </c>
      <c r="G11205" s="11">
        <v>63025.21</v>
      </c>
    </row>
    <row r="11206" spans="2:7" x14ac:dyDescent="0.2">
      <c r="B11206" s="32">
        <v>46138</v>
      </c>
      <c r="C11206" t="s">
        <v>109</v>
      </c>
      <c r="D11206" s="13" t="s">
        <v>633</v>
      </c>
      <c r="E11206" t="s">
        <v>740</v>
      </c>
      <c r="F11206" s="11">
        <v>1</v>
      </c>
      <c r="G11206" s="11">
        <v>63025.21</v>
      </c>
    </row>
    <row r="11207" spans="2:7" x14ac:dyDescent="0.2">
      <c r="B11207" s="32">
        <v>46138</v>
      </c>
      <c r="C11207" t="s">
        <v>109</v>
      </c>
      <c r="D11207" s="13" t="s">
        <v>633</v>
      </c>
      <c r="E11207" t="s">
        <v>156</v>
      </c>
      <c r="F11207" s="11">
        <v>1</v>
      </c>
      <c r="G11207" s="11">
        <v>46218.49</v>
      </c>
    </row>
    <row r="11208" spans="2:7" x14ac:dyDescent="0.2">
      <c r="B11208" s="32">
        <v>46138</v>
      </c>
      <c r="C11208" t="s">
        <v>109</v>
      </c>
      <c r="D11208" s="13" t="s">
        <v>633</v>
      </c>
      <c r="E11208" t="s">
        <v>328</v>
      </c>
      <c r="F11208" s="11">
        <v>1</v>
      </c>
      <c r="G11208" s="11">
        <v>37815.129999999997</v>
      </c>
    </row>
    <row r="11209" spans="2:7" x14ac:dyDescent="0.2">
      <c r="B11209" s="32">
        <v>46138</v>
      </c>
      <c r="C11209" t="s">
        <v>109</v>
      </c>
      <c r="D11209" s="13" t="s">
        <v>633</v>
      </c>
      <c r="E11209" t="s">
        <v>144</v>
      </c>
      <c r="F11209" s="11">
        <v>1</v>
      </c>
      <c r="G11209" s="11">
        <v>8403.36</v>
      </c>
    </row>
    <row r="11210" spans="2:7" x14ac:dyDescent="0.2">
      <c r="B11210" s="32">
        <v>46139</v>
      </c>
      <c r="C11210" t="s">
        <v>142</v>
      </c>
      <c r="D11210" s="13" t="s">
        <v>634</v>
      </c>
      <c r="E11210" t="s">
        <v>618</v>
      </c>
      <c r="F11210" s="11">
        <v>1</v>
      </c>
      <c r="G11210" s="11">
        <v>113445.38</v>
      </c>
    </row>
    <row r="11211" spans="2:7" x14ac:dyDescent="0.2">
      <c r="B11211" s="32">
        <v>46139</v>
      </c>
      <c r="C11211" t="s">
        <v>142</v>
      </c>
      <c r="D11211" s="13" t="s">
        <v>634</v>
      </c>
      <c r="E11211" t="s">
        <v>167</v>
      </c>
      <c r="F11211" s="11">
        <v>1</v>
      </c>
      <c r="G11211" s="11">
        <v>113445.38</v>
      </c>
    </row>
    <row r="11212" spans="2:7" x14ac:dyDescent="0.2">
      <c r="B11212" s="32">
        <v>46139</v>
      </c>
      <c r="C11212" t="s">
        <v>142</v>
      </c>
      <c r="D11212" s="13" t="s">
        <v>634</v>
      </c>
      <c r="E11212" t="s">
        <v>154</v>
      </c>
      <c r="F11212" s="11">
        <v>1</v>
      </c>
      <c r="G11212" s="11">
        <v>113445.37</v>
      </c>
    </row>
    <row r="11213" spans="2:7" x14ac:dyDescent="0.2">
      <c r="B11213" s="32">
        <v>46139</v>
      </c>
      <c r="C11213" t="s">
        <v>142</v>
      </c>
      <c r="D11213" s="13" t="s">
        <v>634</v>
      </c>
      <c r="E11213" t="s">
        <v>378</v>
      </c>
      <c r="F11213" s="11">
        <v>1</v>
      </c>
      <c r="G11213" s="11">
        <v>63025.21</v>
      </c>
    </row>
    <row r="11214" spans="2:7" x14ac:dyDescent="0.2">
      <c r="B11214" s="32">
        <v>46139</v>
      </c>
      <c r="C11214" t="s">
        <v>142</v>
      </c>
      <c r="D11214" s="13" t="s">
        <v>634</v>
      </c>
      <c r="E11214" t="s">
        <v>1705</v>
      </c>
      <c r="F11214" s="11">
        <v>1</v>
      </c>
      <c r="G11214" s="11">
        <v>58823.53</v>
      </c>
    </row>
    <row r="11215" spans="2:7" x14ac:dyDescent="0.2">
      <c r="B11215" s="32">
        <v>46139</v>
      </c>
      <c r="C11215" t="s">
        <v>142</v>
      </c>
      <c r="D11215" s="13" t="s">
        <v>634</v>
      </c>
      <c r="E11215" t="s">
        <v>545</v>
      </c>
      <c r="F11215" s="11">
        <v>1</v>
      </c>
      <c r="G11215" s="11">
        <v>58823.53</v>
      </c>
    </row>
    <row r="11216" spans="2:7" x14ac:dyDescent="0.2">
      <c r="B11216" s="32">
        <v>46139</v>
      </c>
      <c r="C11216" t="s">
        <v>142</v>
      </c>
      <c r="D11216" s="13" t="s">
        <v>634</v>
      </c>
      <c r="E11216" t="s">
        <v>1704</v>
      </c>
      <c r="F11216" s="11">
        <v>1</v>
      </c>
      <c r="G11216" s="11">
        <v>58823.53</v>
      </c>
    </row>
    <row r="11217" spans="2:7" x14ac:dyDescent="0.2">
      <c r="B11217" s="32">
        <v>46139</v>
      </c>
      <c r="C11217" t="s">
        <v>142</v>
      </c>
      <c r="D11217" s="13" t="s">
        <v>634</v>
      </c>
      <c r="E11217" t="s">
        <v>221</v>
      </c>
      <c r="F11217" s="11">
        <v>1</v>
      </c>
      <c r="G11217" s="11">
        <v>50420.17</v>
      </c>
    </row>
    <row r="11218" spans="2:7" x14ac:dyDescent="0.2">
      <c r="B11218" s="32">
        <v>46139</v>
      </c>
      <c r="C11218" t="s">
        <v>142</v>
      </c>
      <c r="D11218" s="13" t="s">
        <v>634</v>
      </c>
      <c r="E11218" t="s">
        <v>793</v>
      </c>
      <c r="F11218" s="11">
        <v>1</v>
      </c>
      <c r="G11218" s="11">
        <v>50420.17</v>
      </c>
    </row>
    <row r="11219" spans="2:7" x14ac:dyDescent="0.2">
      <c r="B11219" s="32">
        <v>46139</v>
      </c>
      <c r="C11219" t="s">
        <v>142</v>
      </c>
      <c r="D11219" s="13" t="s">
        <v>633</v>
      </c>
      <c r="E11219" t="s">
        <v>609</v>
      </c>
      <c r="F11219" s="11">
        <v>1</v>
      </c>
      <c r="G11219" s="11">
        <v>239495.8</v>
      </c>
    </row>
    <row r="11220" spans="2:7" x14ac:dyDescent="0.2">
      <c r="B11220" s="32">
        <v>46139</v>
      </c>
      <c r="C11220" t="s">
        <v>142</v>
      </c>
      <c r="D11220" s="13" t="s">
        <v>633</v>
      </c>
      <c r="E11220" t="s">
        <v>200</v>
      </c>
      <c r="F11220" s="11">
        <v>1</v>
      </c>
      <c r="G11220" s="11">
        <v>142857.14000000001</v>
      </c>
    </row>
    <row r="11221" spans="2:7" x14ac:dyDescent="0.2">
      <c r="B11221" s="32">
        <v>46139</v>
      </c>
      <c r="C11221" t="s">
        <v>142</v>
      </c>
      <c r="D11221" s="13" t="s">
        <v>633</v>
      </c>
      <c r="E11221" t="s">
        <v>1706</v>
      </c>
      <c r="F11221" s="11">
        <v>1</v>
      </c>
      <c r="G11221" s="11">
        <v>142857.14000000001</v>
      </c>
    </row>
    <row r="11222" spans="2:7" x14ac:dyDescent="0.2">
      <c r="B11222" s="32">
        <v>46139</v>
      </c>
      <c r="C11222" t="s">
        <v>142</v>
      </c>
      <c r="D11222" s="13" t="s">
        <v>633</v>
      </c>
      <c r="E11222" t="s">
        <v>197</v>
      </c>
      <c r="F11222" s="11">
        <v>1</v>
      </c>
      <c r="G11222" s="11">
        <v>109243.7</v>
      </c>
    </row>
    <row r="11223" spans="2:7" x14ac:dyDescent="0.2">
      <c r="B11223" s="32">
        <v>46139</v>
      </c>
      <c r="C11223" t="s">
        <v>142</v>
      </c>
      <c r="D11223" s="13" t="s">
        <v>633</v>
      </c>
      <c r="E11223" t="s">
        <v>165</v>
      </c>
      <c r="F11223" s="11">
        <v>1</v>
      </c>
      <c r="G11223" s="11">
        <v>63025.21</v>
      </c>
    </row>
    <row r="11224" spans="2:7" x14ac:dyDescent="0.2">
      <c r="B11224" s="32">
        <v>46139</v>
      </c>
      <c r="C11224" t="s">
        <v>142</v>
      </c>
      <c r="D11224" s="13" t="s">
        <v>633</v>
      </c>
      <c r="E11224" t="s">
        <v>740</v>
      </c>
      <c r="F11224" s="11">
        <v>1</v>
      </c>
      <c r="G11224" s="11">
        <v>63025.21</v>
      </c>
    </row>
    <row r="11225" spans="2:7" x14ac:dyDescent="0.2">
      <c r="B11225" s="32">
        <v>46139</v>
      </c>
      <c r="C11225" t="s">
        <v>142</v>
      </c>
      <c r="D11225" s="13" t="s">
        <v>633</v>
      </c>
      <c r="E11225" t="s">
        <v>332</v>
      </c>
      <c r="F11225" s="11">
        <v>1</v>
      </c>
      <c r="G11225" s="11">
        <v>63025.21</v>
      </c>
    </row>
    <row r="11226" spans="2:7" x14ac:dyDescent="0.2">
      <c r="B11226" s="32">
        <v>46139</v>
      </c>
      <c r="C11226" t="s">
        <v>142</v>
      </c>
      <c r="D11226" s="13" t="s">
        <v>633</v>
      </c>
      <c r="E11226" t="s">
        <v>177</v>
      </c>
      <c r="F11226" s="11">
        <v>1</v>
      </c>
      <c r="G11226" s="11">
        <v>42016.81</v>
      </c>
    </row>
    <row r="11227" spans="2:7" x14ac:dyDescent="0.2">
      <c r="B11227" s="32">
        <v>46139</v>
      </c>
      <c r="C11227" t="s">
        <v>142</v>
      </c>
      <c r="D11227" s="13" t="s">
        <v>633</v>
      </c>
      <c r="E11227" t="s">
        <v>382</v>
      </c>
      <c r="F11227" s="11">
        <v>1</v>
      </c>
      <c r="G11227" s="11">
        <v>42016.81</v>
      </c>
    </row>
    <row r="11228" spans="2:7" x14ac:dyDescent="0.2">
      <c r="B11228" s="32">
        <v>46139</v>
      </c>
      <c r="C11228" t="s">
        <v>109</v>
      </c>
      <c r="D11228" s="13" t="s">
        <v>634</v>
      </c>
      <c r="E11228" t="s">
        <v>383</v>
      </c>
      <c r="F11228" s="11">
        <v>1</v>
      </c>
      <c r="G11228" s="11">
        <v>239495.8</v>
      </c>
    </row>
    <row r="11229" spans="2:7" x14ac:dyDescent="0.2">
      <c r="B11229" s="32">
        <v>46139</v>
      </c>
      <c r="C11229" t="s">
        <v>109</v>
      </c>
      <c r="D11229" s="13" t="s">
        <v>634</v>
      </c>
      <c r="E11229" t="s">
        <v>591</v>
      </c>
      <c r="F11229" s="11">
        <v>1</v>
      </c>
      <c r="G11229" s="11">
        <v>79831.929999999993</v>
      </c>
    </row>
    <row r="11230" spans="2:7" x14ac:dyDescent="0.2">
      <c r="B11230" s="32">
        <v>46139</v>
      </c>
      <c r="C11230" t="s">
        <v>109</v>
      </c>
      <c r="D11230" s="13" t="s">
        <v>634</v>
      </c>
      <c r="E11230" t="s">
        <v>147</v>
      </c>
      <c r="F11230" s="11">
        <v>1</v>
      </c>
      <c r="G11230" s="11">
        <v>75630.25</v>
      </c>
    </row>
    <row r="11231" spans="2:7" x14ac:dyDescent="0.2">
      <c r="B11231" s="32">
        <v>46139</v>
      </c>
      <c r="C11231" t="s">
        <v>109</v>
      </c>
      <c r="D11231" s="13" t="s">
        <v>633</v>
      </c>
      <c r="E11231" t="s">
        <v>701</v>
      </c>
      <c r="F11231" s="11">
        <v>2</v>
      </c>
      <c r="G11231" s="11">
        <v>487394.96</v>
      </c>
    </row>
    <row r="11232" spans="2:7" x14ac:dyDescent="0.2">
      <c r="B11232" s="32">
        <v>46139</v>
      </c>
      <c r="C11232" t="s">
        <v>109</v>
      </c>
      <c r="D11232" s="13" t="s">
        <v>633</v>
      </c>
      <c r="E11232" t="s">
        <v>1707</v>
      </c>
      <c r="F11232" s="11">
        <v>2</v>
      </c>
      <c r="G11232" s="11">
        <v>285714.28000000003</v>
      </c>
    </row>
    <row r="11233" spans="2:7" x14ac:dyDescent="0.2">
      <c r="B11233" s="32">
        <v>46139</v>
      </c>
      <c r="C11233" t="s">
        <v>109</v>
      </c>
      <c r="D11233" s="13" t="s">
        <v>633</v>
      </c>
      <c r="E11233" t="s">
        <v>144</v>
      </c>
      <c r="F11233" s="11">
        <v>17</v>
      </c>
      <c r="G11233" s="11">
        <v>173109.25</v>
      </c>
    </row>
    <row r="11234" spans="2:7" x14ac:dyDescent="0.2">
      <c r="B11234" s="32">
        <v>46139</v>
      </c>
      <c r="C11234" t="s">
        <v>109</v>
      </c>
      <c r="D11234" s="13" t="s">
        <v>633</v>
      </c>
      <c r="E11234" t="s">
        <v>301</v>
      </c>
      <c r="F11234" s="11">
        <v>1</v>
      </c>
      <c r="G11234" s="11">
        <v>169000</v>
      </c>
    </row>
    <row r="11235" spans="2:7" x14ac:dyDescent="0.2">
      <c r="B11235" s="32">
        <v>46139</v>
      </c>
      <c r="C11235" t="s">
        <v>109</v>
      </c>
      <c r="D11235" s="13" t="s">
        <v>633</v>
      </c>
      <c r="E11235" t="s">
        <v>303</v>
      </c>
      <c r="F11235" s="11">
        <v>3</v>
      </c>
      <c r="G11235" s="11">
        <v>163865.54999999999</v>
      </c>
    </row>
    <row r="11236" spans="2:7" x14ac:dyDescent="0.2">
      <c r="B11236" s="32">
        <v>46139</v>
      </c>
      <c r="C11236" t="s">
        <v>109</v>
      </c>
      <c r="D11236" s="13" t="s">
        <v>633</v>
      </c>
      <c r="E11236" t="s">
        <v>197</v>
      </c>
      <c r="F11236" s="11">
        <v>1</v>
      </c>
      <c r="G11236" s="11">
        <v>109243.7</v>
      </c>
    </row>
    <row r="11237" spans="2:7" x14ac:dyDescent="0.2">
      <c r="B11237" s="32">
        <v>46139</v>
      </c>
      <c r="C11237" t="s">
        <v>109</v>
      </c>
      <c r="D11237" s="13" t="s">
        <v>633</v>
      </c>
      <c r="E11237" t="s">
        <v>569</v>
      </c>
      <c r="F11237" s="11">
        <v>1</v>
      </c>
      <c r="G11237" s="11">
        <v>109243.7</v>
      </c>
    </row>
    <row r="11238" spans="2:7" x14ac:dyDescent="0.2">
      <c r="B11238" s="32">
        <v>46139</v>
      </c>
      <c r="C11238" t="s">
        <v>109</v>
      </c>
      <c r="D11238" s="13" t="s">
        <v>633</v>
      </c>
      <c r="E11238" t="s">
        <v>830</v>
      </c>
      <c r="F11238" s="11">
        <v>1</v>
      </c>
      <c r="G11238" s="11">
        <v>100840.34</v>
      </c>
    </row>
    <row r="11239" spans="2:7" x14ac:dyDescent="0.2">
      <c r="B11239" s="32">
        <v>46139</v>
      </c>
      <c r="C11239" t="s">
        <v>109</v>
      </c>
      <c r="D11239" s="13" t="s">
        <v>633</v>
      </c>
      <c r="E11239" t="s">
        <v>574</v>
      </c>
      <c r="F11239" s="11">
        <v>1</v>
      </c>
      <c r="G11239" s="11">
        <v>92436.97</v>
      </c>
    </row>
    <row r="11240" spans="2:7" x14ac:dyDescent="0.2">
      <c r="B11240" s="32">
        <v>46139</v>
      </c>
      <c r="C11240" t="s">
        <v>109</v>
      </c>
      <c r="D11240" s="13" t="s">
        <v>633</v>
      </c>
      <c r="E11240" t="s">
        <v>368</v>
      </c>
      <c r="F11240" s="11">
        <v>1</v>
      </c>
      <c r="G11240" s="11">
        <v>84033.62</v>
      </c>
    </row>
    <row r="11241" spans="2:7" x14ac:dyDescent="0.2">
      <c r="B11241" s="32">
        <v>46139</v>
      </c>
      <c r="C11241" t="s">
        <v>109</v>
      </c>
      <c r="D11241" s="13" t="s">
        <v>633</v>
      </c>
      <c r="E11241" t="s">
        <v>199</v>
      </c>
      <c r="F11241" s="11">
        <v>1</v>
      </c>
      <c r="G11241" s="11">
        <v>84033.61</v>
      </c>
    </row>
    <row r="11242" spans="2:7" x14ac:dyDescent="0.2">
      <c r="B11242" s="32">
        <v>46139</v>
      </c>
      <c r="C11242" t="s">
        <v>109</v>
      </c>
      <c r="D11242" s="13" t="s">
        <v>633</v>
      </c>
      <c r="E11242" t="s">
        <v>300</v>
      </c>
      <c r="F11242" s="11">
        <v>2</v>
      </c>
      <c r="G11242" s="11">
        <v>84033.61</v>
      </c>
    </row>
    <row r="11243" spans="2:7" x14ac:dyDescent="0.2">
      <c r="B11243" s="32">
        <v>46139</v>
      </c>
      <c r="C11243" t="s">
        <v>109</v>
      </c>
      <c r="D11243" s="13" t="s">
        <v>633</v>
      </c>
      <c r="E11243" t="s">
        <v>591</v>
      </c>
      <c r="F11243" s="11">
        <v>1</v>
      </c>
      <c r="G11243" s="11">
        <v>79831.929999999993</v>
      </c>
    </row>
    <row r="11244" spans="2:7" x14ac:dyDescent="0.2">
      <c r="B11244" s="32">
        <v>46139</v>
      </c>
      <c r="C11244" t="s">
        <v>109</v>
      </c>
      <c r="D11244" s="13" t="s">
        <v>633</v>
      </c>
      <c r="E11244" t="s">
        <v>293</v>
      </c>
      <c r="F11244" s="11">
        <v>2</v>
      </c>
      <c r="G11244" s="11">
        <v>75630.259999999995</v>
      </c>
    </row>
    <row r="11245" spans="2:7" x14ac:dyDescent="0.2">
      <c r="B11245" s="32">
        <v>46139</v>
      </c>
      <c r="C11245" t="s">
        <v>109</v>
      </c>
      <c r="D11245" s="13" t="s">
        <v>633</v>
      </c>
      <c r="E11245" t="s">
        <v>617</v>
      </c>
      <c r="F11245" s="11">
        <v>1</v>
      </c>
      <c r="G11245" s="11">
        <v>71428.570000000007</v>
      </c>
    </row>
    <row r="11246" spans="2:7" x14ac:dyDescent="0.2">
      <c r="B11246" s="32">
        <v>46139</v>
      </c>
      <c r="C11246" t="s">
        <v>109</v>
      </c>
      <c r="D11246" s="13" t="s">
        <v>633</v>
      </c>
      <c r="E11246" t="s">
        <v>165</v>
      </c>
      <c r="F11246" s="11">
        <v>1</v>
      </c>
      <c r="G11246" s="11">
        <v>63025.21</v>
      </c>
    </row>
    <row r="11247" spans="2:7" x14ac:dyDescent="0.2">
      <c r="B11247" s="32">
        <v>46139</v>
      </c>
      <c r="C11247" t="s">
        <v>109</v>
      </c>
      <c r="D11247" s="13" t="s">
        <v>633</v>
      </c>
      <c r="E11247" t="s">
        <v>1708</v>
      </c>
      <c r="F11247" s="11">
        <v>1</v>
      </c>
      <c r="G11247" s="11">
        <v>63025.21</v>
      </c>
    </row>
    <row r="11248" spans="2:7" x14ac:dyDescent="0.2">
      <c r="B11248" s="32">
        <v>46139</v>
      </c>
      <c r="C11248" t="s">
        <v>109</v>
      </c>
      <c r="D11248" s="13" t="s">
        <v>633</v>
      </c>
      <c r="E11248" t="s">
        <v>1709</v>
      </c>
      <c r="F11248" s="11">
        <v>1</v>
      </c>
      <c r="G11248" s="11">
        <v>63025.21</v>
      </c>
    </row>
    <row r="11249" spans="2:7" x14ac:dyDescent="0.2">
      <c r="B11249" s="32">
        <v>46139</v>
      </c>
      <c r="C11249" t="s">
        <v>109</v>
      </c>
      <c r="D11249" s="13" t="s">
        <v>633</v>
      </c>
      <c r="E11249" t="s">
        <v>746</v>
      </c>
      <c r="F11249" s="11">
        <v>1</v>
      </c>
      <c r="G11249" s="11">
        <v>58823.53</v>
      </c>
    </row>
    <row r="11250" spans="2:7" x14ac:dyDescent="0.2">
      <c r="B11250" s="32">
        <v>46139</v>
      </c>
      <c r="C11250" t="s">
        <v>109</v>
      </c>
      <c r="D11250" s="13" t="s">
        <v>633</v>
      </c>
      <c r="E11250" t="s">
        <v>616</v>
      </c>
      <c r="F11250" s="11">
        <v>1</v>
      </c>
      <c r="G11250" s="11">
        <v>58823.53</v>
      </c>
    </row>
    <row r="11251" spans="2:7" x14ac:dyDescent="0.2">
      <c r="B11251" s="32">
        <v>46139</v>
      </c>
      <c r="C11251" t="s">
        <v>109</v>
      </c>
      <c r="D11251" s="13" t="s">
        <v>633</v>
      </c>
      <c r="E11251" t="s">
        <v>504</v>
      </c>
      <c r="F11251" s="11">
        <v>1</v>
      </c>
      <c r="G11251" s="11">
        <v>54621.85</v>
      </c>
    </row>
    <row r="11252" spans="2:7" x14ac:dyDescent="0.2">
      <c r="B11252" s="32">
        <v>46139</v>
      </c>
      <c r="C11252" t="s">
        <v>109</v>
      </c>
      <c r="D11252" s="13" t="s">
        <v>633</v>
      </c>
      <c r="E11252" t="s">
        <v>513</v>
      </c>
      <c r="F11252" s="11">
        <v>1</v>
      </c>
      <c r="G11252" s="11">
        <v>54621.85</v>
      </c>
    </row>
    <row r="11253" spans="2:7" x14ac:dyDescent="0.2">
      <c r="B11253" s="32">
        <v>46139</v>
      </c>
      <c r="C11253" t="s">
        <v>109</v>
      </c>
      <c r="D11253" s="13" t="s">
        <v>633</v>
      </c>
      <c r="E11253" t="s">
        <v>307</v>
      </c>
      <c r="F11253" s="11">
        <v>1</v>
      </c>
      <c r="G11253" s="11">
        <v>54621.84</v>
      </c>
    </row>
    <row r="11254" spans="2:7" x14ac:dyDescent="0.2">
      <c r="B11254" s="32">
        <v>46139</v>
      </c>
      <c r="C11254" t="s">
        <v>109</v>
      </c>
      <c r="D11254" s="13" t="s">
        <v>633</v>
      </c>
      <c r="E11254" t="s">
        <v>158</v>
      </c>
      <c r="F11254" s="11">
        <v>1</v>
      </c>
      <c r="G11254" s="11">
        <v>46218.49</v>
      </c>
    </row>
    <row r="11255" spans="2:7" x14ac:dyDescent="0.2">
      <c r="B11255" s="32">
        <v>46139</v>
      </c>
      <c r="C11255" t="s">
        <v>109</v>
      </c>
      <c r="D11255" s="13" t="s">
        <v>633</v>
      </c>
      <c r="E11255" t="s">
        <v>1710</v>
      </c>
      <c r="F11255" s="11">
        <v>1</v>
      </c>
      <c r="G11255" s="11">
        <v>42016.81</v>
      </c>
    </row>
    <row r="11256" spans="2:7" x14ac:dyDescent="0.2">
      <c r="B11256" s="32">
        <v>46139</v>
      </c>
      <c r="C11256" t="s">
        <v>109</v>
      </c>
      <c r="D11256" s="13" t="s">
        <v>633</v>
      </c>
      <c r="E11256" t="s">
        <v>566</v>
      </c>
      <c r="F11256" s="11">
        <v>1</v>
      </c>
      <c r="G11256" s="11">
        <v>16806.72</v>
      </c>
    </row>
    <row r="11257" spans="2:7" x14ac:dyDescent="0.2">
      <c r="B11257" s="32">
        <v>46140</v>
      </c>
      <c r="C11257" t="s">
        <v>142</v>
      </c>
      <c r="D11257" s="13" t="s">
        <v>634</v>
      </c>
      <c r="E11257" t="s">
        <v>485</v>
      </c>
      <c r="F11257" s="11">
        <v>1</v>
      </c>
      <c r="G11257" s="11">
        <v>277310.92</v>
      </c>
    </row>
    <row r="11258" spans="2:7" x14ac:dyDescent="0.2">
      <c r="B11258" s="32">
        <v>46140</v>
      </c>
      <c r="C11258" t="s">
        <v>142</v>
      </c>
      <c r="D11258" s="13" t="s">
        <v>634</v>
      </c>
      <c r="E11258" t="s">
        <v>154</v>
      </c>
      <c r="F11258" s="11">
        <v>1</v>
      </c>
      <c r="G11258" s="11">
        <v>113445.38</v>
      </c>
    </row>
    <row r="11259" spans="2:7" x14ac:dyDescent="0.2">
      <c r="B11259" s="32">
        <v>46140</v>
      </c>
      <c r="C11259" t="s">
        <v>142</v>
      </c>
      <c r="D11259" s="13" t="s">
        <v>634</v>
      </c>
      <c r="E11259" t="s">
        <v>475</v>
      </c>
      <c r="F11259" s="11">
        <v>1</v>
      </c>
      <c r="G11259" s="11">
        <v>75630.25</v>
      </c>
    </row>
    <row r="11260" spans="2:7" x14ac:dyDescent="0.2">
      <c r="B11260" s="32">
        <v>46140</v>
      </c>
      <c r="C11260" t="s">
        <v>142</v>
      </c>
      <c r="D11260" s="13" t="s">
        <v>634</v>
      </c>
      <c r="E11260" t="s">
        <v>272</v>
      </c>
      <c r="F11260" s="11">
        <v>1</v>
      </c>
      <c r="G11260" s="11">
        <v>63025.21</v>
      </c>
    </row>
    <row r="11261" spans="2:7" x14ac:dyDescent="0.2">
      <c r="B11261" s="32">
        <v>46140</v>
      </c>
      <c r="C11261" t="s">
        <v>142</v>
      </c>
      <c r="D11261" s="13" t="s">
        <v>634</v>
      </c>
      <c r="E11261" t="s">
        <v>251</v>
      </c>
      <c r="F11261" s="11">
        <v>1</v>
      </c>
      <c r="G11261" s="11">
        <v>63025.21</v>
      </c>
    </row>
    <row r="11262" spans="2:7" x14ac:dyDescent="0.2">
      <c r="B11262" s="32">
        <v>46140</v>
      </c>
      <c r="C11262" t="s">
        <v>142</v>
      </c>
      <c r="D11262" s="13" t="s">
        <v>634</v>
      </c>
      <c r="E11262" t="s">
        <v>454</v>
      </c>
      <c r="F11262" s="11">
        <v>1</v>
      </c>
      <c r="G11262" s="11">
        <v>63025.21</v>
      </c>
    </row>
    <row r="11263" spans="2:7" x14ac:dyDescent="0.2">
      <c r="B11263" s="32">
        <v>46140</v>
      </c>
      <c r="C11263" t="s">
        <v>142</v>
      </c>
      <c r="D11263" s="13" t="s">
        <v>634</v>
      </c>
      <c r="E11263" t="s">
        <v>455</v>
      </c>
      <c r="F11263" s="11">
        <v>1</v>
      </c>
      <c r="G11263" s="11">
        <v>54621.85</v>
      </c>
    </row>
    <row r="11264" spans="2:7" x14ac:dyDescent="0.2">
      <c r="B11264" s="32">
        <v>46140</v>
      </c>
      <c r="C11264" t="s">
        <v>142</v>
      </c>
      <c r="D11264" s="13" t="s">
        <v>634</v>
      </c>
      <c r="E11264" t="s">
        <v>1711</v>
      </c>
      <c r="F11264" s="11">
        <v>3</v>
      </c>
      <c r="G11264" s="11">
        <v>0</v>
      </c>
    </row>
    <row r="11265" spans="2:7" x14ac:dyDescent="0.2">
      <c r="B11265" s="32">
        <v>46140</v>
      </c>
      <c r="C11265" t="s">
        <v>142</v>
      </c>
      <c r="D11265" s="13" t="s">
        <v>633</v>
      </c>
      <c r="E11265" t="s">
        <v>560</v>
      </c>
      <c r="F11265" s="11">
        <v>1</v>
      </c>
      <c r="G11265" s="11">
        <v>46218.49</v>
      </c>
    </row>
    <row r="11266" spans="2:7" x14ac:dyDescent="0.2">
      <c r="B11266" s="32">
        <v>46140</v>
      </c>
      <c r="C11266" t="s">
        <v>109</v>
      </c>
      <c r="D11266" s="13" t="s">
        <v>634</v>
      </c>
      <c r="E11266" t="s">
        <v>252</v>
      </c>
      <c r="F11266" s="11">
        <v>1</v>
      </c>
      <c r="G11266" s="11">
        <v>239495.8</v>
      </c>
    </row>
    <row r="11267" spans="2:7" x14ac:dyDescent="0.2">
      <c r="B11267" s="32">
        <v>46140</v>
      </c>
      <c r="C11267" t="s">
        <v>109</v>
      </c>
      <c r="D11267" s="13" t="s">
        <v>634</v>
      </c>
      <c r="E11267" t="s">
        <v>147</v>
      </c>
      <c r="F11267" s="11">
        <v>2</v>
      </c>
      <c r="G11267" s="11">
        <v>151260.5</v>
      </c>
    </row>
    <row r="11268" spans="2:7" x14ac:dyDescent="0.2">
      <c r="B11268" s="32">
        <v>46140</v>
      </c>
      <c r="C11268" t="s">
        <v>109</v>
      </c>
      <c r="D11268" s="13" t="s">
        <v>634</v>
      </c>
      <c r="E11268" t="s">
        <v>574</v>
      </c>
      <c r="F11268" s="11">
        <v>1</v>
      </c>
      <c r="G11268" s="11">
        <v>92436.97</v>
      </c>
    </row>
    <row r="11269" spans="2:7" x14ac:dyDescent="0.2">
      <c r="B11269" s="32">
        <v>46140</v>
      </c>
      <c r="C11269" t="s">
        <v>109</v>
      </c>
      <c r="D11269" s="13" t="s">
        <v>634</v>
      </c>
      <c r="E11269" t="s">
        <v>264</v>
      </c>
      <c r="F11269" s="11">
        <v>1</v>
      </c>
      <c r="G11269" s="11">
        <v>84033.61</v>
      </c>
    </row>
    <row r="11270" spans="2:7" x14ac:dyDescent="0.2">
      <c r="B11270" s="32">
        <v>46140</v>
      </c>
      <c r="C11270" t="s">
        <v>109</v>
      </c>
      <c r="D11270" s="13" t="s">
        <v>634</v>
      </c>
      <c r="E11270" t="s">
        <v>395</v>
      </c>
      <c r="F11270" s="11">
        <v>1</v>
      </c>
      <c r="G11270" s="11">
        <v>84033.61</v>
      </c>
    </row>
    <row r="11271" spans="2:7" x14ac:dyDescent="0.2">
      <c r="B11271" s="32">
        <v>46140</v>
      </c>
      <c r="C11271" t="s">
        <v>109</v>
      </c>
      <c r="D11271" s="13" t="s">
        <v>634</v>
      </c>
      <c r="E11271" t="s">
        <v>1712</v>
      </c>
      <c r="F11271" s="11">
        <v>1</v>
      </c>
      <c r="G11271" s="11">
        <v>75630.25</v>
      </c>
    </row>
    <row r="11272" spans="2:7" x14ac:dyDescent="0.2">
      <c r="B11272" s="32">
        <v>46140</v>
      </c>
      <c r="C11272" t="s">
        <v>109</v>
      </c>
      <c r="D11272" s="13" t="s">
        <v>634</v>
      </c>
      <c r="E11272" t="s">
        <v>189</v>
      </c>
      <c r="F11272" s="11">
        <v>1</v>
      </c>
      <c r="G11272" s="11">
        <v>75630.25</v>
      </c>
    </row>
    <row r="11273" spans="2:7" x14ac:dyDescent="0.2">
      <c r="B11273" s="32">
        <v>46140</v>
      </c>
      <c r="C11273" t="s">
        <v>109</v>
      </c>
      <c r="D11273" s="13" t="s">
        <v>634</v>
      </c>
      <c r="E11273" t="s">
        <v>192</v>
      </c>
      <c r="F11273" s="11">
        <v>1</v>
      </c>
      <c r="G11273" s="11">
        <v>75630.25</v>
      </c>
    </row>
    <row r="11274" spans="2:7" x14ac:dyDescent="0.2">
      <c r="B11274" s="32">
        <v>46140</v>
      </c>
      <c r="C11274" t="s">
        <v>109</v>
      </c>
      <c r="D11274" s="13" t="s">
        <v>634</v>
      </c>
      <c r="E11274" t="s">
        <v>181</v>
      </c>
      <c r="F11274" s="11">
        <v>1</v>
      </c>
      <c r="G11274" s="11">
        <v>63025.21</v>
      </c>
    </row>
    <row r="11275" spans="2:7" x14ac:dyDescent="0.2">
      <c r="B11275" s="32">
        <v>46140</v>
      </c>
      <c r="C11275" t="s">
        <v>109</v>
      </c>
      <c r="D11275" s="13" t="s">
        <v>634</v>
      </c>
      <c r="E11275" t="s">
        <v>258</v>
      </c>
      <c r="F11275" s="11">
        <v>1</v>
      </c>
      <c r="G11275" s="11">
        <v>58823.53</v>
      </c>
    </row>
    <row r="11276" spans="2:7" x14ac:dyDescent="0.2">
      <c r="B11276" s="32">
        <v>46140</v>
      </c>
      <c r="C11276" t="s">
        <v>109</v>
      </c>
      <c r="D11276" s="13" t="s">
        <v>634</v>
      </c>
      <c r="E11276" t="s">
        <v>212</v>
      </c>
      <c r="F11276" s="11">
        <v>1</v>
      </c>
      <c r="G11276" s="11">
        <v>58823.53</v>
      </c>
    </row>
    <row r="11277" spans="2:7" x14ac:dyDescent="0.2">
      <c r="B11277" s="32">
        <v>46140</v>
      </c>
      <c r="C11277" t="s">
        <v>109</v>
      </c>
      <c r="D11277" s="13" t="s">
        <v>634</v>
      </c>
      <c r="E11277" t="s">
        <v>348</v>
      </c>
      <c r="F11277" s="11">
        <v>1</v>
      </c>
      <c r="G11277" s="11">
        <v>58823.53</v>
      </c>
    </row>
    <row r="11278" spans="2:7" x14ac:dyDescent="0.2">
      <c r="B11278" s="32">
        <v>46140</v>
      </c>
      <c r="C11278" t="s">
        <v>109</v>
      </c>
      <c r="D11278" s="13" t="s">
        <v>634</v>
      </c>
      <c r="E11278" t="s">
        <v>160</v>
      </c>
      <c r="F11278" s="11">
        <v>1</v>
      </c>
      <c r="G11278" s="11">
        <v>46218.49</v>
      </c>
    </row>
    <row r="11279" spans="2:7" x14ac:dyDescent="0.2">
      <c r="B11279" s="32">
        <v>46140</v>
      </c>
      <c r="C11279" t="s">
        <v>109</v>
      </c>
      <c r="D11279" s="13" t="s">
        <v>634</v>
      </c>
      <c r="E11279" t="s">
        <v>166</v>
      </c>
      <c r="F11279" s="11">
        <v>1</v>
      </c>
      <c r="G11279" s="11">
        <v>42016.81</v>
      </c>
    </row>
    <row r="11280" spans="2:7" x14ac:dyDescent="0.2">
      <c r="B11280" s="32">
        <v>46140</v>
      </c>
      <c r="C11280" t="s">
        <v>109</v>
      </c>
      <c r="D11280" s="13" t="s">
        <v>634</v>
      </c>
      <c r="E11280" t="s">
        <v>568</v>
      </c>
      <c r="F11280" s="11">
        <v>1</v>
      </c>
      <c r="G11280" s="11">
        <v>37815.129999999997</v>
      </c>
    </row>
    <row r="11281" spans="2:7" x14ac:dyDescent="0.2">
      <c r="B11281" s="32">
        <v>46140</v>
      </c>
      <c r="C11281" t="s">
        <v>109</v>
      </c>
      <c r="D11281" s="13" t="s">
        <v>634</v>
      </c>
      <c r="E11281" t="s">
        <v>145</v>
      </c>
      <c r="F11281" s="11">
        <v>1</v>
      </c>
      <c r="G11281" s="11">
        <v>29411.759999999998</v>
      </c>
    </row>
    <row r="11282" spans="2:7" x14ac:dyDescent="0.2">
      <c r="B11282" s="32">
        <v>46140</v>
      </c>
      <c r="C11282" t="s">
        <v>109</v>
      </c>
      <c r="D11282" s="13" t="s">
        <v>634</v>
      </c>
      <c r="E11282" t="s">
        <v>367</v>
      </c>
      <c r="F11282" s="11">
        <v>1</v>
      </c>
      <c r="G11282" s="11">
        <v>16806.72</v>
      </c>
    </row>
    <row r="11283" spans="2:7" x14ac:dyDescent="0.2">
      <c r="B11283" s="32">
        <v>46140</v>
      </c>
      <c r="C11283" t="s">
        <v>109</v>
      </c>
      <c r="D11283" s="13" t="s">
        <v>633</v>
      </c>
      <c r="E11283" t="s">
        <v>541</v>
      </c>
      <c r="F11283" s="11">
        <v>1</v>
      </c>
      <c r="G11283" s="11">
        <v>142857.14000000001</v>
      </c>
    </row>
    <row r="11284" spans="2:7" x14ac:dyDescent="0.2">
      <c r="B11284" s="32">
        <v>46140</v>
      </c>
      <c r="C11284" t="s">
        <v>109</v>
      </c>
      <c r="D11284" s="13" t="s">
        <v>633</v>
      </c>
      <c r="E11284" t="s">
        <v>156</v>
      </c>
      <c r="F11284" s="11">
        <v>2</v>
      </c>
      <c r="G11284" s="11">
        <v>92436.98</v>
      </c>
    </row>
    <row r="11285" spans="2:7" x14ac:dyDescent="0.2">
      <c r="B11285" s="32">
        <v>46140</v>
      </c>
      <c r="C11285" t="s">
        <v>109</v>
      </c>
      <c r="D11285" s="13" t="s">
        <v>633</v>
      </c>
      <c r="E11285" t="s">
        <v>1713</v>
      </c>
      <c r="F11285" s="11">
        <v>1</v>
      </c>
      <c r="G11285" s="11">
        <v>84033.61</v>
      </c>
    </row>
    <row r="11286" spans="2:7" x14ac:dyDescent="0.2">
      <c r="B11286" s="32">
        <v>46140</v>
      </c>
      <c r="C11286" t="s">
        <v>109</v>
      </c>
      <c r="D11286" s="13" t="s">
        <v>633</v>
      </c>
      <c r="E11286" t="s">
        <v>149</v>
      </c>
      <c r="F11286" s="11">
        <v>1</v>
      </c>
      <c r="G11286" s="11">
        <v>75630.25</v>
      </c>
    </row>
    <row r="11287" spans="2:7" x14ac:dyDescent="0.2">
      <c r="B11287" s="32">
        <v>46140</v>
      </c>
      <c r="C11287" t="s">
        <v>109</v>
      </c>
      <c r="D11287" s="13" t="s">
        <v>633</v>
      </c>
      <c r="E11287" t="s">
        <v>567</v>
      </c>
      <c r="F11287" s="11">
        <v>1</v>
      </c>
      <c r="G11287" s="11">
        <v>63025.21</v>
      </c>
    </row>
    <row r="11288" spans="2:7" x14ac:dyDescent="0.2">
      <c r="B11288" s="32">
        <v>46140</v>
      </c>
      <c r="C11288" t="s">
        <v>109</v>
      </c>
      <c r="D11288" s="13" t="s">
        <v>633</v>
      </c>
      <c r="E11288" t="s">
        <v>416</v>
      </c>
      <c r="F11288" s="11">
        <v>1</v>
      </c>
      <c r="G11288" s="11">
        <v>50420.17</v>
      </c>
    </row>
    <row r="11289" spans="2:7" x14ac:dyDescent="0.2">
      <c r="B11289" s="32">
        <v>46140</v>
      </c>
      <c r="C11289" t="s">
        <v>109</v>
      </c>
      <c r="D11289" s="13" t="s">
        <v>633</v>
      </c>
      <c r="E11289" t="s">
        <v>519</v>
      </c>
      <c r="F11289" s="11">
        <v>1</v>
      </c>
      <c r="G11289" s="11">
        <v>50420.17</v>
      </c>
    </row>
    <row r="11290" spans="2:7" x14ac:dyDescent="0.2">
      <c r="B11290" s="32">
        <v>46140</v>
      </c>
      <c r="C11290" t="s">
        <v>109</v>
      </c>
      <c r="D11290" s="13" t="s">
        <v>633</v>
      </c>
      <c r="E11290" t="s">
        <v>229</v>
      </c>
      <c r="F11290" s="11">
        <v>1</v>
      </c>
      <c r="G11290" s="11">
        <v>42016.81</v>
      </c>
    </row>
    <row r="11291" spans="2:7" x14ac:dyDescent="0.2">
      <c r="B11291" s="32">
        <v>46140</v>
      </c>
      <c r="C11291" t="s">
        <v>109</v>
      </c>
      <c r="D11291" s="13" t="s">
        <v>633</v>
      </c>
      <c r="E11291" t="s">
        <v>234</v>
      </c>
      <c r="F11291" s="11">
        <v>1</v>
      </c>
      <c r="G11291" s="11">
        <v>37815.120000000003</v>
      </c>
    </row>
    <row r="11292" spans="2:7" x14ac:dyDescent="0.2">
      <c r="B11292" s="32">
        <v>46140</v>
      </c>
      <c r="C11292" t="s">
        <v>109</v>
      </c>
      <c r="D11292" s="13" t="s">
        <v>633</v>
      </c>
      <c r="E11292" t="s">
        <v>595</v>
      </c>
      <c r="F11292" s="11">
        <v>1</v>
      </c>
      <c r="G11292" s="11">
        <v>16806.72</v>
      </c>
    </row>
    <row r="11293" spans="2:7" x14ac:dyDescent="0.2">
      <c r="B11293" s="32">
        <v>46140</v>
      </c>
      <c r="C11293" t="s">
        <v>109</v>
      </c>
      <c r="D11293" s="13" t="s">
        <v>633</v>
      </c>
      <c r="E11293" t="s">
        <v>566</v>
      </c>
      <c r="F11293" s="11">
        <v>1</v>
      </c>
      <c r="G11293" s="11">
        <v>16806.72</v>
      </c>
    </row>
    <row r="11294" spans="2:7" x14ac:dyDescent="0.2">
      <c r="B11294" s="32">
        <v>46141</v>
      </c>
      <c r="C11294" t="s">
        <v>142</v>
      </c>
      <c r="D11294" s="13" t="s">
        <v>634</v>
      </c>
      <c r="E11294" t="s">
        <v>302</v>
      </c>
      <c r="F11294" s="11">
        <v>1</v>
      </c>
      <c r="G11294" s="11">
        <v>113445.38</v>
      </c>
    </row>
    <row r="11295" spans="2:7" x14ac:dyDescent="0.2">
      <c r="B11295" s="32">
        <v>46141</v>
      </c>
      <c r="C11295" t="s">
        <v>142</v>
      </c>
      <c r="D11295" s="13" t="s">
        <v>634</v>
      </c>
      <c r="E11295" t="s">
        <v>1715</v>
      </c>
      <c r="F11295" s="11">
        <v>1</v>
      </c>
      <c r="G11295" s="11">
        <v>109243.7</v>
      </c>
    </row>
    <row r="11296" spans="2:7" x14ac:dyDescent="0.2">
      <c r="B11296" s="32">
        <v>46141</v>
      </c>
      <c r="C11296" t="s">
        <v>142</v>
      </c>
      <c r="D11296" s="13" t="s">
        <v>634</v>
      </c>
      <c r="E11296" t="s">
        <v>803</v>
      </c>
      <c r="F11296" s="11">
        <v>1</v>
      </c>
      <c r="G11296" s="11">
        <v>54621.85</v>
      </c>
    </row>
    <row r="11297" spans="2:7" x14ac:dyDescent="0.2">
      <c r="B11297" s="32">
        <v>46141</v>
      </c>
      <c r="C11297" t="s">
        <v>142</v>
      </c>
      <c r="D11297" s="13" t="s">
        <v>634</v>
      </c>
      <c r="E11297" t="s">
        <v>292</v>
      </c>
      <c r="F11297" s="11">
        <v>1</v>
      </c>
      <c r="G11297" s="11">
        <v>54621.85</v>
      </c>
    </row>
    <row r="11298" spans="2:7" x14ac:dyDescent="0.2">
      <c r="B11298" s="32">
        <v>46141</v>
      </c>
      <c r="C11298" t="s">
        <v>142</v>
      </c>
      <c r="D11298" s="13" t="s">
        <v>634</v>
      </c>
      <c r="E11298" t="s">
        <v>243</v>
      </c>
      <c r="F11298" s="11">
        <v>1</v>
      </c>
      <c r="G11298" s="11">
        <v>54621.85</v>
      </c>
    </row>
    <row r="11299" spans="2:7" x14ac:dyDescent="0.2">
      <c r="B11299" s="32">
        <v>46141</v>
      </c>
      <c r="C11299" t="s">
        <v>142</v>
      </c>
      <c r="D11299" s="13" t="s">
        <v>633</v>
      </c>
      <c r="E11299" t="s">
        <v>1716</v>
      </c>
      <c r="F11299" s="11">
        <v>3</v>
      </c>
      <c r="G11299" s="11">
        <v>449579.83</v>
      </c>
    </row>
    <row r="11300" spans="2:7" x14ac:dyDescent="0.2">
      <c r="B11300" s="32">
        <v>46141</v>
      </c>
      <c r="C11300" t="s">
        <v>142</v>
      </c>
      <c r="D11300" s="13" t="s">
        <v>633</v>
      </c>
      <c r="E11300" t="s">
        <v>541</v>
      </c>
      <c r="F11300" s="11">
        <v>1</v>
      </c>
      <c r="G11300" s="11">
        <v>163865.54999999999</v>
      </c>
    </row>
    <row r="11301" spans="2:7" x14ac:dyDescent="0.2">
      <c r="B11301" s="32">
        <v>46141</v>
      </c>
      <c r="C11301" t="s">
        <v>142</v>
      </c>
      <c r="D11301" s="13" t="s">
        <v>633</v>
      </c>
      <c r="E11301" t="s">
        <v>229</v>
      </c>
      <c r="F11301" s="11">
        <v>3</v>
      </c>
      <c r="G11301" s="11">
        <v>126050.42</v>
      </c>
    </row>
    <row r="11302" spans="2:7" x14ac:dyDescent="0.2">
      <c r="B11302" s="32">
        <v>46141</v>
      </c>
      <c r="C11302" t="s">
        <v>142</v>
      </c>
      <c r="D11302" s="13" t="s">
        <v>633</v>
      </c>
      <c r="E11302" t="s">
        <v>1704</v>
      </c>
      <c r="F11302" s="11">
        <v>2</v>
      </c>
      <c r="G11302" s="11">
        <v>117647.06</v>
      </c>
    </row>
    <row r="11303" spans="2:7" x14ac:dyDescent="0.2">
      <c r="B11303" s="32">
        <v>46141</v>
      </c>
      <c r="C11303" t="s">
        <v>142</v>
      </c>
      <c r="D11303" s="13" t="s">
        <v>633</v>
      </c>
      <c r="E11303" t="s">
        <v>313</v>
      </c>
      <c r="F11303" s="11">
        <v>1</v>
      </c>
      <c r="G11303" s="11">
        <v>113445.38</v>
      </c>
    </row>
    <row r="11304" spans="2:7" x14ac:dyDescent="0.2">
      <c r="B11304" s="32">
        <v>46141</v>
      </c>
      <c r="C11304" t="s">
        <v>142</v>
      </c>
      <c r="D11304" s="13" t="s">
        <v>633</v>
      </c>
      <c r="E11304" t="s">
        <v>420</v>
      </c>
      <c r="F11304" s="11">
        <v>1</v>
      </c>
      <c r="G11304" s="11">
        <v>113445.38</v>
      </c>
    </row>
    <row r="11305" spans="2:7" x14ac:dyDescent="0.2">
      <c r="B11305" s="32">
        <v>46141</v>
      </c>
      <c r="C11305" t="s">
        <v>142</v>
      </c>
      <c r="D11305" s="13" t="s">
        <v>633</v>
      </c>
      <c r="E11305" t="s">
        <v>336</v>
      </c>
      <c r="F11305" s="11">
        <v>1</v>
      </c>
      <c r="G11305" s="11">
        <v>75630.25</v>
      </c>
    </row>
    <row r="11306" spans="2:7" x14ac:dyDescent="0.2">
      <c r="B11306" s="32">
        <v>46141</v>
      </c>
      <c r="C11306" t="s">
        <v>142</v>
      </c>
      <c r="D11306" s="13" t="s">
        <v>633</v>
      </c>
      <c r="E11306" t="s">
        <v>282</v>
      </c>
      <c r="F11306" s="11">
        <v>1</v>
      </c>
      <c r="G11306" s="11">
        <v>63025.21</v>
      </c>
    </row>
    <row r="11307" spans="2:7" x14ac:dyDescent="0.2">
      <c r="B11307" s="32">
        <v>46141</v>
      </c>
      <c r="C11307" t="s">
        <v>142</v>
      </c>
      <c r="D11307" s="13" t="s">
        <v>633</v>
      </c>
      <c r="E11307" t="s">
        <v>243</v>
      </c>
      <c r="F11307" s="11">
        <v>1</v>
      </c>
      <c r="G11307" s="11">
        <v>54621.85</v>
      </c>
    </row>
    <row r="11308" spans="2:7" x14ac:dyDescent="0.2">
      <c r="B11308" s="32">
        <v>46141</v>
      </c>
      <c r="C11308" t="s">
        <v>142</v>
      </c>
      <c r="D11308" s="13" t="s">
        <v>633</v>
      </c>
      <c r="E11308" t="s">
        <v>399</v>
      </c>
      <c r="F11308" s="11">
        <v>1</v>
      </c>
      <c r="G11308" s="11">
        <v>54621.85</v>
      </c>
    </row>
    <row r="11309" spans="2:7" x14ac:dyDescent="0.2">
      <c r="B11309" s="32">
        <v>46141</v>
      </c>
      <c r="C11309" t="s">
        <v>109</v>
      </c>
      <c r="D11309" s="13" t="s">
        <v>634</v>
      </c>
      <c r="E11309" t="s">
        <v>574</v>
      </c>
      <c r="F11309" s="11">
        <v>1</v>
      </c>
      <c r="G11309" s="11">
        <v>92436.97</v>
      </c>
    </row>
    <row r="11310" spans="2:7" x14ac:dyDescent="0.2">
      <c r="B11310" s="32">
        <v>46141</v>
      </c>
      <c r="C11310" t="s">
        <v>109</v>
      </c>
      <c r="D11310" s="13" t="s">
        <v>634</v>
      </c>
      <c r="E11310" t="s">
        <v>357</v>
      </c>
      <c r="F11310" s="11">
        <v>1</v>
      </c>
      <c r="G11310" s="11">
        <v>75630.25</v>
      </c>
    </row>
    <row r="11311" spans="2:7" x14ac:dyDescent="0.2">
      <c r="B11311" s="32">
        <v>46141</v>
      </c>
      <c r="C11311" t="s">
        <v>109</v>
      </c>
      <c r="D11311" s="13" t="s">
        <v>634</v>
      </c>
      <c r="E11311" t="s">
        <v>782</v>
      </c>
      <c r="F11311" s="11">
        <v>1</v>
      </c>
      <c r="G11311" s="11">
        <v>58823.53</v>
      </c>
    </row>
    <row r="11312" spans="2:7" x14ac:dyDescent="0.2">
      <c r="B11312" s="32">
        <v>46141</v>
      </c>
      <c r="C11312" t="s">
        <v>109</v>
      </c>
      <c r="D11312" s="13" t="s">
        <v>634</v>
      </c>
      <c r="E11312" t="s">
        <v>328</v>
      </c>
      <c r="F11312" s="11">
        <v>1</v>
      </c>
      <c r="G11312" s="11">
        <v>37815.129999999997</v>
      </c>
    </row>
    <row r="11313" spans="2:7" x14ac:dyDescent="0.2">
      <c r="B11313" s="32">
        <v>46141</v>
      </c>
      <c r="C11313" t="s">
        <v>109</v>
      </c>
      <c r="D11313" s="13" t="s">
        <v>633</v>
      </c>
      <c r="E11313" t="s">
        <v>329</v>
      </c>
      <c r="F11313" s="11">
        <v>1</v>
      </c>
      <c r="G11313" s="11">
        <v>235294.12</v>
      </c>
    </row>
    <row r="11314" spans="2:7" x14ac:dyDescent="0.2">
      <c r="B11314" s="32">
        <v>46141</v>
      </c>
      <c r="C11314" t="s">
        <v>109</v>
      </c>
      <c r="D11314" s="13" t="s">
        <v>633</v>
      </c>
      <c r="E11314" t="s">
        <v>417</v>
      </c>
      <c r="F11314" s="11">
        <v>1</v>
      </c>
      <c r="G11314" s="11">
        <v>141176.47</v>
      </c>
    </row>
    <row r="11315" spans="2:7" x14ac:dyDescent="0.2">
      <c r="B11315" s="32">
        <v>46141</v>
      </c>
      <c r="C11315" t="s">
        <v>109</v>
      </c>
      <c r="D11315" s="13" t="s">
        <v>633</v>
      </c>
      <c r="E11315" t="s">
        <v>485</v>
      </c>
      <c r="F11315" s="11">
        <v>1</v>
      </c>
      <c r="G11315" s="11">
        <v>138655.46</v>
      </c>
    </row>
    <row r="11316" spans="2:7" x14ac:dyDescent="0.2">
      <c r="B11316" s="32">
        <v>46141</v>
      </c>
      <c r="C11316" t="s">
        <v>109</v>
      </c>
      <c r="D11316" s="13" t="s">
        <v>633</v>
      </c>
      <c r="E11316" t="s">
        <v>158</v>
      </c>
      <c r="F11316" s="11">
        <v>2</v>
      </c>
      <c r="G11316" s="11">
        <v>92436.98</v>
      </c>
    </row>
    <row r="11317" spans="2:7" x14ac:dyDescent="0.2">
      <c r="B11317" s="32">
        <v>46141</v>
      </c>
      <c r="C11317" t="s">
        <v>109</v>
      </c>
      <c r="D11317" s="13" t="s">
        <v>633</v>
      </c>
      <c r="E11317" t="s">
        <v>164</v>
      </c>
      <c r="F11317" s="11">
        <v>1</v>
      </c>
      <c r="G11317" s="11">
        <v>75630.25</v>
      </c>
    </row>
    <row r="11318" spans="2:7" x14ac:dyDescent="0.2">
      <c r="B11318" s="32">
        <v>46141</v>
      </c>
      <c r="C11318" t="s">
        <v>109</v>
      </c>
      <c r="D11318" s="13" t="s">
        <v>633</v>
      </c>
      <c r="E11318" t="s">
        <v>440</v>
      </c>
      <c r="F11318" s="11">
        <v>1</v>
      </c>
      <c r="G11318" s="11">
        <v>63025.21</v>
      </c>
    </row>
    <row r="11319" spans="2:7" x14ac:dyDescent="0.2">
      <c r="B11319" s="32">
        <v>46141</v>
      </c>
      <c r="C11319" t="s">
        <v>109</v>
      </c>
      <c r="D11319" s="13" t="s">
        <v>633</v>
      </c>
      <c r="E11319" t="s">
        <v>213</v>
      </c>
      <c r="F11319" s="11">
        <v>1</v>
      </c>
      <c r="G11319" s="11">
        <v>63025.21</v>
      </c>
    </row>
    <row r="11320" spans="2:7" x14ac:dyDescent="0.2">
      <c r="B11320" s="32">
        <v>46141</v>
      </c>
      <c r="C11320" t="s">
        <v>109</v>
      </c>
      <c r="D11320" s="13" t="s">
        <v>633</v>
      </c>
      <c r="E11320" t="s">
        <v>258</v>
      </c>
      <c r="F11320" s="11">
        <v>1</v>
      </c>
      <c r="G11320" s="11">
        <v>58823.53</v>
      </c>
    </row>
    <row r="11321" spans="2:7" x14ac:dyDescent="0.2">
      <c r="B11321" s="32">
        <v>46141</v>
      </c>
      <c r="C11321" t="s">
        <v>109</v>
      </c>
      <c r="D11321" s="13" t="s">
        <v>633</v>
      </c>
      <c r="E11321" t="s">
        <v>244</v>
      </c>
      <c r="F11321" s="11">
        <v>1</v>
      </c>
      <c r="G11321" s="11">
        <v>58823.53</v>
      </c>
    </row>
    <row r="11322" spans="2:7" x14ac:dyDescent="0.2">
      <c r="B11322" s="32">
        <v>46141</v>
      </c>
      <c r="C11322" t="s">
        <v>109</v>
      </c>
      <c r="D11322" s="13" t="s">
        <v>633</v>
      </c>
      <c r="E11322" t="s">
        <v>1717</v>
      </c>
      <c r="F11322" s="11">
        <v>1</v>
      </c>
      <c r="G11322" s="11">
        <v>57142.86</v>
      </c>
    </row>
    <row r="11323" spans="2:7" x14ac:dyDescent="0.2">
      <c r="B11323" s="32">
        <v>46141</v>
      </c>
      <c r="C11323" t="s">
        <v>109</v>
      </c>
      <c r="D11323" s="13" t="s">
        <v>633</v>
      </c>
      <c r="E11323" t="s">
        <v>170</v>
      </c>
      <c r="F11323" s="11">
        <v>1</v>
      </c>
      <c r="G11323" s="11">
        <v>50420.17</v>
      </c>
    </row>
    <row r="11324" spans="2:7" x14ac:dyDescent="0.2">
      <c r="B11324" s="32">
        <v>46141</v>
      </c>
      <c r="C11324" t="s">
        <v>109</v>
      </c>
      <c r="D11324" s="13" t="s">
        <v>633</v>
      </c>
      <c r="E11324" t="s">
        <v>1718</v>
      </c>
      <c r="F11324" s="11">
        <v>1</v>
      </c>
      <c r="G11324" s="11">
        <v>50420.160000000003</v>
      </c>
    </row>
    <row r="11325" spans="2:7" x14ac:dyDescent="0.2">
      <c r="B11325" s="32">
        <v>46141</v>
      </c>
      <c r="C11325" t="s">
        <v>109</v>
      </c>
      <c r="D11325" s="13" t="s">
        <v>633</v>
      </c>
      <c r="E11325" t="s">
        <v>160</v>
      </c>
      <c r="F11325" s="11">
        <v>1</v>
      </c>
      <c r="G11325" s="11">
        <v>46218.49</v>
      </c>
    </row>
    <row r="11326" spans="2:7" x14ac:dyDescent="0.2">
      <c r="B11326" s="32">
        <v>46141</v>
      </c>
      <c r="C11326" t="s">
        <v>109</v>
      </c>
      <c r="D11326" s="13" t="s">
        <v>633</v>
      </c>
      <c r="E11326" t="s">
        <v>260</v>
      </c>
      <c r="F11326" s="11">
        <v>1</v>
      </c>
      <c r="G11326" s="11">
        <v>46218.48</v>
      </c>
    </row>
    <row r="11327" spans="2:7" x14ac:dyDescent="0.2">
      <c r="B11327" s="32">
        <v>46141</v>
      </c>
      <c r="C11327" t="s">
        <v>109</v>
      </c>
      <c r="D11327" s="13" t="s">
        <v>633</v>
      </c>
      <c r="E11327" t="s">
        <v>300</v>
      </c>
      <c r="F11327" s="11">
        <v>1</v>
      </c>
      <c r="G11327" s="11">
        <v>42016.81</v>
      </c>
    </row>
    <row r="11328" spans="2:7" x14ac:dyDescent="0.2">
      <c r="B11328" s="32">
        <v>46141</v>
      </c>
      <c r="C11328" t="s">
        <v>109</v>
      </c>
      <c r="D11328" s="13" t="s">
        <v>633</v>
      </c>
      <c r="E11328" t="s">
        <v>466</v>
      </c>
      <c r="F11328" s="11">
        <v>1</v>
      </c>
      <c r="G11328" s="11">
        <v>37815.129999999997</v>
      </c>
    </row>
    <row r="11329" spans="2:7" x14ac:dyDescent="0.2">
      <c r="B11329" s="32">
        <v>46141</v>
      </c>
      <c r="C11329" t="s">
        <v>109</v>
      </c>
      <c r="D11329" s="13" t="s">
        <v>633</v>
      </c>
      <c r="E11329" t="s">
        <v>566</v>
      </c>
      <c r="F11329" s="11">
        <v>1</v>
      </c>
      <c r="G11329" s="11">
        <v>16806.72</v>
      </c>
    </row>
    <row r="11330" spans="2:7" x14ac:dyDescent="0.2">
      <c r="B11330" s="32">
        <v>46142</v>
      </c>
      <c r="C11330" t="s">
        <v>1726</v>
      </c>
      <c r="D11330" s="13"/>
      <c r="E11330" t="s">
        <v>534</v>
      </c>
      <c r="F11330" s="11">
        <v>1</v>
      </c>
      <c r="G11330" s="11">
        <v>75630.25</v>
      </c>
    </row>
    <row r="11331" spans="2:7" x14ac:dyDescent="0.2">
      <c r="B11331" s="32">
        <v>46142</v>
      </c>
      <c r="C11331" t="s">
        <v>1726</v>
      </c>
      <c r="D11331" s="13"/>
      <c r="E11331" t="s">
        <v>150</v>
      </c>
      <c r="F11331" s="11">
        <v>1</v>
      </c>
      <c r="G11331" s="11">
        <v>46218.49</v>
      </c>
    </row>
    <row r="11332" spans="2:7" x14ac:dyDescent="0.2">
      <c r="B11332" s="32">
        <v>46142</v>
      </c>
      <c r="C11332" t="s">
        <v>1726</v>
      </c>
      <c r="D11332" s="13" t="s">
        <v>634</v>
      </c>
      <c r="E11332" t="s">
        <v>537</v>
      </c>
      <c r="F11332" s="11">
        <v>2</v>
      </c>
      <c r="G11332" s="11">
        <v>126050.42</v>
      </c>
    </row>
    <row r="11333" spans="2:7" x14ac:dyDescent="0.2">
      <c r="B11333" s="32">
        <v>46142</v>
      </c>
      <c r="C11333" t="s">
        <v>1726</v>
      </c>
      <c r="D11333" s="13" t="s">
        <v>634</v>
      </c>
      <c r="E11333" t="s">
        <v>1719</v>
      </c>
      <c r="F11333" s="11">
        <v>1</v>
      </c>
      <c r="G11333" s="11">
        <v>109243.7</v>
      </c>
    </row>
    <row r="11334" spans="2:7" x14ac:dyDescent="0.2">
      <c r="B11334" s="32">
        <v>46142</v>
      </c>
      <c r="C11334" t="s">
        <v>1726</v>
      </c>
      <c r="D11334" s="13" t="s">
        <v>634</v>
      </c>
      <c r="E11334" t="s">
        <v>165</v>
      </c>
      <c r="F11334" s="11">
        <v>1</v>
      </c>
      <c r="G11334" s="11">
        <v>63025.21</v>
      </c>
    </row>
    <row r="11335" spans="2:7" x14ac:dyDescent="0.2">
      <c r="B11335" s="32">
        <v>46142</v>
      </c>
      <c r="C11335" t="s">
        <v>1726</v>
      </c>
      <c r="D11335" s="13" t="s">
        <v>634</v>
      </c>
      <c r="E11335" t="s">
        <v>287</v>
      </c>
      <c r="F11335" s="11">
        <v>1</v>
      </c>
      <c r="G11335" s="11">
        <v>63025.21</v>
      </c>
    </row>
    <row r="11336" spans="2:7" x14ac:dyDescent="0.2">
      <c r="B11336" s="32">
        <v>46142</v>
      </c>
      <c r="C11336" t="s">
        <v>1726</v>
      </c>
      <c r="D11336" s="13" t="s">
        <v>634</v>
      </c>
      <c r="E11336" t="s">
        <v>176</v>
      </c>
      <c r="F11336" s="11">
        <v>1</v>
      </c>
      <c r="G11336" s="11">
        <v>63025.21</v>
      </c>
    </row>
    <row r="11337" spans="2:7" x14ac:dyDescent="0.2">
      <c r="B11337" s="32">
        <v>46142</v>
      </c>
      <c r="C11337" t="s">
        <v>1726</v>
      </c>
      <c r="D11337" s="13" t="s">
        <v>634</v>
      </c>
      <c r="E11337" t="s">
        <v>212</v>
      </c>
      <c r="F11337" s="11">
        <v>1</v>
      </c>
      <c r="G11337" s="11">
        <v>58823.53</v>
      </c>
    </row>
    <row r="11338" spans="2:7" x14ac:dyDescent="0.2">
      <c r="B11338" s="32">
        <v>46142</v>
      </c>
      <c r="C11338" t="s">
        <v>1726</v>
      </c>
      <c r="D11338" s="13" t="s">
        <v>634</v>
      </c>
      <c r="E11338" t="s">
        <v>445</v>
      </c>
      <c r="F11338" s="11">
        <v>1</v>
      </c>
      <c r="G11338" s="11">
        <v>54621.85</v>
      </c>
    </row>
    <row r="11339" spans="2:7" x14ac:dyDescent="0.2">
      <c r="B11339" s="32">
        <v>46142</v>
      </c>
      <c r="C11339" t="s">
        <v>1726</v>
      </c>
      <c r="D11339" s="13" t="s">
        <v>634</v>
      </c>
      <c r="E11339" t="s">
        <v>198</v>
      </c>
      <c r="F11339" s="11">
        <v>1</v>
      </c>
      <c r="G11339" s="11">
        <v>50420.160000000003</v>
      </c>
    </row>
    <row r="11340" spans="2:7" x14ac:dyDescent="0.2">
      <c r="B11340" s="32">
        <v>46142</v>
      </c>
      <c r="C11340" t="s">
        <v>1726</v>
      </c>
      <c r="D11340" s="13" t="s">
        <v>634</v>
      </c>
      <c r="E11340" t="s">
        <v>293</v>
      </c>
      <c r="F11340" s="11">
        <v>1</v>
      </c>
      <c r="G11340" s="11">
        <v>37815.129999999997</v>
      </c>
    </row>
    <row r="11341" spans="2:7" x14ac:dyDescent="0.2">
      <c r="B11341" s="32">
        <v>46142</v>
      </c>
      <c r="C11341" t="s">
        <v>1726</v>
      </c>
      <c r="D11341" s="13" t="s">
        <v>634</v>
      </c>
      <c r="E11341" t="s">
        <v>148</v>
      </c>
      <c r="F11341" s="11">
        <v>1</v>
      </c>
      <c r="G11341" s="11">
        <v>37815.129999999997</v>
      </c>
    </row>
    <row r="11342" spans="2:7" x14ac:dyDescent="0.2">
      <c r="B11342" s="32">
        <v>46142</v>
      </c>
      <c r="C11342" t="s">
        <v>1726</v>
      </c>
      <c r="D11342" s="13" t="s">
        <v>634</v>
      </c>
      <c r="E11342" t="s">
        <v>1727</v>
      </c>
      <c r="F11342" s="11">
        <v>1</v>
      </c>
      <c r="G11342" s="11">
        <v>0</v>
      </c>
    </row>
    <row r="11343" spans="2:7" x14ac:dyDescent="0.2">
      <c r="B11343" s="32">
        <v>46142</v>
      </c>
      <c r="C11343" t="s">
        <v>1726</v>
      </c>
      <c r="D11343" s="13" t="s">
        <v>633</v>
      </c>
      <c r="E11343" t="s">
        <v>583</v>
      </c>
      <c r="F11343" s="11">
        <v>6</v>
      </c>
      <c r="G11343" s="11">
        <v>756302.52</v>
      </c>
    </row>
    <row r="11344" spans="2:7" x14ac:dyDescent="0.2">
      <c r="B11344" s="32">
        <v>46142</v>
      </c>
      <c r="C11344" t="s">
        <v>1726</v>
      </c>
      <c r="D11344" s="13" t="s">
        <v>633</v>
      </c>
      <c r="E11344" t="s">
        <v>738</v>
      </c>
      <c r="F11344" s="11">
        <v>2</v>
      </c>
      <c r="G11344" s="11">
        <v>319327.73</v>
      </c>
    </row>
    <row r="11345" spans="2:7" x14ac:dyDescent="0.2">
      <c r="B11345" s="32">
        <v>46142</v>
      </c>
      <c r="C11345" t="s">
        <v>1726</v>
      </c>
      <c r="D11345" s="13" t="s">
        <v>633</v>
      </c>
      <c r="E11345" t="s">
        <v>226</v>
      </c>
      <c r="F11345" s="11">
        <v>1</v>
      </c>
      <c r="G11345" s="11">
        <v>210084.04</v>
      </c>
    </row>
    <row r="11346" spans="2:7" x14ac:dyDescent="0.2">
      <c r="B11346" s="32">
        <v>46142</v>
      </c>
      <c r="C11346" t="s">
        <v>1726</v>
      </c>
      <c r="D11346" s="13" t="s">
        <v>633</v>
      </c>
      <c r="E11346" t="s">
        <v>168</v>
      </c>
      <c r="F11346" s="11">
        <v>3</v>
      </c>
      <c r="G11346" s="11">
        <v>138655.46</v>
      </c>
    </row>
    <row r="11347" spans="2:7" x14ac:dyDescent="0.2">
      <c r="B11347" s="32">
        <v>46142</v>
      </c>
      <c r="C11347" t="s">
        <v>1726</v>
      </c>
      <c r="D11347" s="13" t="s">
        <v>633</v>
      </c>
      <c r="E11347" t="s">
        <v>792</v>
      </c>
      <c r="F11347" s="11">
        <v>1</v>
      </c>
      <c r="G11347" s="11">
        <v>126050.42</v>
      </c>
    </row>
    <row r="11348" spans="2:7" x14ac:dyDescent="0.2">
      <c r="B11348" s="32">
        <v>46142</v>
      </c>
      <c r="C11348" t="s">
        <v>1726</v>
      </c>
      <c r="D11348" s="13" t="s">
        <v>633</v>
      </c>
      <c r="E11348" t="s">
        <v>787</v>
      </c>
      <c r="F11348" s="11">
        <v>1</v>
      </c>
      <c r="G11348" s="11">
        <v>126050.42</v>
      </c>
    </row>
    <row r="11349" spans="2:7" x14ac:dyDescent="0.2">
      <c r="B11349" s="32">
        <v>46142</v>
      </c>
      <c r="C11349" t="s">
        <v>1726</v>
      </c>
      <c r="D11349" s="13" t="s">
        <v>633</v>
      </c>
      <c r="E11349" t="s">
        <v>293</v>
      </c>
      <c r="F11349" s="11">
        <v>3</v>
      </c>
      <c r="G11349" s="11">
        <v>113445.38</v>
      </c>
    </row>
    <row r="11350" spans="2:7" x14ac:dyDescent="0.2">
      <c r="B11350" s="32">
        <v>46142</v>
      </c>
      <c r="C11350" t="s">
        <v>1726</v>
      </c>
      <c r="D11350" s="13" t="s">
        <v>633</v>
      </c>
      <c r="E11350" t="s">
        <v>197</v>
      </c>
      <c r="F11350" s="11">
        <v>1</v>
      </c>
      <c r="G11350" s="11">
        <v>109243.7</v>
      </c>
    </row>
    <row r="11351" spans="2:7" x14ac:dyDescent="0.2">
      <c r="B11351" s="32">
        <v>46142</v>
      </c>
      <c r="C11351" t="s">
        <v>1726</v>
      </c>
      <c r="D11351" s="13" t="s">
        <v>633</v>
      </c>
      <c r="E11351" t="s">
        <v>240</v>
      </c>
      <c r="F11351" s="11">
        <v>2</v>
      </c>
      <c r="G11351" s="11">
        <v>92436.98</v>
      </c>
    </row>
    <row r="11352" spans="2:7" x14ac:dyDescent="0.2">
      <c r="B11352" s="32">
        <v>46142</v>
      </c>
      <c r="C11352" t="s">
        <v>1726</v>
      </c>
      <c r="D11352" s="13" t="s">
        <v>633</v>
      </c>
      <c r="E11352" t="s">
        <v>558</v>
      </c>
      <c r="F11352" s="11">
        <v>1</v>
      </c>
      <c r="G11352" s="11">
        <v>84033.61</v>
      </c>
    </row>
    <row r="11353" spans="2:7" x14ac:dyDescent="0.2">
      <c r="B11353" s="32">
        <v>46142</v>
      </c>
      <c r="C11353" t="s">
        <v>1726</v>
      </c>
      <c r="D11353" s="13" t="s">
        <v>633</v>
      </c>
      <c r="E11353" t="s">
        <v>152</v>
      </c>
      <c r="F11353" s="11">
        <v>1</v>
      </c>
      <c r="G11353" s="11">
        <v>84033.61</v>
      </c>
    </row>
    <row r="11354" spans="2:7" x14ac:dyDescent="0.2">
      <c r="B11354" s="32">
        <v>46142</v>
      </c>
      <c r="C11354" t="s">
        <v>1726</v>
      </c>
      <c r="D11354" s="13" t="s">
        <v>633</v>
      </c>
      <c r="E11354" t="s">
        <v>347</v>
      </c>
      <c r="F11354" s="11">
        <v>1</v>
      </c>
      <c r="G11354" s="11">
        <v>84033.61</v>
      </c>
    </row>
    <row r="11355" spans="2:7" x14ac:dyDescent="0.2">
      <c r="B11355" s="32">
        <v>46142</v>
      </c>
      <c r="C11355" t="s">
        <v>1726</v>
      </c>
      <c r="D11355" s="13" t="s">
        <v>633</v>
      </c>
      <c r="E11355" t="s">
        <v>568</v>
      </c>
      <c r="F11355" s="11">
        <v>2</v>
      </c>
      <c r="G11355" s="11">
        <v>75630.259999999995</v>
      </c>
    </row>
    <row r="11356" spans="2:7" x14ac:dyDescent="0.2">
      <c r="B11356" s="32">
        <v>46142</v>
      </c>
      <c r="C11356" t="s">
        <v>1726</v>
      </c>
      <c r="D11356" s="13" t="s">
        <v>633</v>
      </c>
      <c r="E11356" t="s">
        <v>651</v>
      </c>
      <c r="F11356" s="11">
        <v>1</v>
      </c>
      <c r="G11356" s="11">
        <v>58823.53</v>
      </c>
    </row>
    <row r="11357" spans="2:7" x14ac:dyDescent="0.2">
      <c r="B11357" s="32">
        <v>46142</v>
      </c>
      <c r="C11357" t="s">
        <v>1726</v>
      </c>
      <c r="D11357" s="13" t="s">
        <v>633</v>
      </c>
      <c r="E11357" t="s">
        <v>513</v>
      </c>
      <c r="F11357" s="11">
        <v>1</v>
      </c>
      <c r="G11357" s="11">
        <v>54621.85</v>
      </c>
    </row>
    <row r="11358" spans="2:7" x14ac:dyDescent="0.2">
      <c r="B11358" s="32">
        <v>46142</v>
      </c>
      <c r="C11358" t="s">
        <v>1726</v>
      </c>
      <c r="D11358" s="13" t="s">
        <v>633</v>
      </c>
      <c r="E11358" t="s">
        <v>455</v>
      </c>
      <c r="F11358" s="11">
        <v>1</v>
      </c>
      <c r="G11358" s="11">
        <v>54621.85</v>
      </c>
    </row>
    <row r="11359" spans="2:7" x14ac:dyDescent="0.2">
      <c r="B11359" s="32">
        <v>46142</v>
      </c>
      <c r="C11359" t="s">
        <v>1726</v>
      </c>
      <c r="D11359" s="13" t="s">
        <v>633</v>
      </c>
      <c r="E11359" t="s">
        <v>195</v>
      </c>
      <c r="F11359" s="11">
        <v>1</v>
      </c>
      <c r="G11359" s="11">
        <v>50420.17</v>
      </c>
    </row>
    <row r="11360" spans="2:7" x14ac:dyDescent="0.2">
      <c r="B11360" s="32">
        <v>46142</v>
      </c>
      <c r="C11360" t="s">
        <v>1726</v>
      </c>
      <c r="D11360" s="13" t="s">
        <v>633</v>
      </c>
      <c r="E11360" t="s">
        <v>309</v>
      </c>
      <c r="F11360" s="11">
        <v>1</v>
      </c>
      <c r="G11360" s="11">
        <v>42016.81</v>
      </c>
    </row>
    <row r="11361" spans="2:7" x14ac:dyDescent="0.2">
      <c r="B11361" s="32">
        <v>46142</v>
      </c>
      <c r="C11361" t="s">
        <v>1726</v>
      </c>
      <c r="D11361" s="13" t="s">
        <v>633</v>
      </c>
      <c r="E11361" t="s">
        <v>234</v>
      </c>
      <c r="F11361" s="11">
        <v>1</v>
      </c>
      <c r="G11361" s="11">
        <v>37815.129999999997</v>
      </c>
    </row>
    <row r="11362" spans="2:7" x14ac:dyDescent="0.2">
      <c r="B11362" s="32">
        <v>46142</v>
      </c>
      <c r="C11362" t="s">
        <v>1726</v>
      </c>
      <c r="D11362" s="13" t="s">
        <v>633</v>
      </c>
      <c r="E11362" t="s">
        <v>148</v>
      </c>
      <c r="F11362" s="11">
        <v>1</v>
      </c>
      <c r="G11362" s="11">
        <v>37815.129999999997</v>
      </c>
    </row>
    <row r="11363" spans="2:7" x14ac:dyDescent="0.2">
      <c r="B11363" s="32">
        <v>46142</v>
      </c>
      <c r="C11363" t="s">
        <v>1726</v>
      </c>
      <c r="D11363" s="13" t="s">
        <v>633</v>
      </c>
      <c r="E11363" t="s">
        <v>367</v>
      </c>
      <c r="F11363" s="11">
        <v>1</v>
      </c>
      <c r="G11363" s="11">
        <v>16806.73</v>
      </c>
    </row>
    <row r="11364" spans="2:7" x14ac:dyDescent="0.2">
      <c r="B11364" s="32">
        <v>46142</v>
      </c>
      <c r="C11364" t="s">
        <v>1726</v>
      </c>
      <c r="D11364" s="13" t="s">
        <v>633</v>
      </c>
      <c r="E11364" t="s">
        <v>403</v>
      </c>
      <c r="F11364" s="11">
        <v>1</v>
      </c>
      <c r="G11364" s="11">
        <v>0</v>
      </c>
    </row>
    <row r="11365" spans="2:7" x14ac:dyDescent="0.2">
      <c r="B11365" s="32">
        <v>46142</v>
      </c>
      <c r="C11365" t="s">
        <v>142</v>
      </c>
      <c r="D11365" s="13" t="s">
        <v>634</v>
      </c>
      <c r="E11365" t="s">
        <v>454</v>
      </c>
      <c r="F11365" s="11">
        <v>1</v>
      </c>
      <c r="G11365" s="11">
        <v>63025.21</v>
      </c>
    </row>
    <row r="11366" spans="2:7" x14ac:dyDescent="0.2">
      <c r="B11366" s="32">
        <v>46142</v>
      </c>
      <c r="C11366" t="s">
        <v>142</v>
      </c>
      <c r="D11366" s="13" t="s">
        <v>634</v>
      </c>
      <c r="F11366" s="11">
        <v>1</v>
      </c>
      <c r="G11366" s="11">
        <v>1</v>
      </c>
    </row>
    <row r="11367" spans="2:7" x14ac:dyDescent="0.2">
      <c r="B11367" s="32">
        <v>46142</v>
      </c>
      <c r="C11367" t="s">
        <v>142</v>
      </c>
      <c r="D11367" s="13" t="s">
        <v>633</v>
      </c>
      <c r="E11367" t="s">
        <v>1720</v>
      </c>
      <c r="F11367" s="11">
        <v>1</v>
      </c>
      <c r="G11367" s="11">
        <v>205882.35</v>
      </c>
    </row>
    <row r="11368" spans="2:7" x14ac:dyDescent="0.2">
      <c r="B11368" s="32">
        <v>46142</v>
      </c>
      <c r="C11368" t="s">
        <v>142</v>
      </c>
      <c r="D11368" s="13" t="s">
        <v>633</v>
      </c>
      <c r="E11368" t="s">
        <v>313</v>
      </c>
      <c r="F11368" s="11">
        <v>1</v>
      </c>
      <c r="G11368" s="11">
        <v>113445.38</v>
      </c>
    </row>
    <row r="11369" spans="2:7" x14ac:dyDescent="0.2">
      <c r="B11369" s="32">
        <v>46142</v>
      </c>
      <c r="C11369" t="s">
        <v>109</v>
      </c>
      <c r="D11369" s="13" t="s">
        <v>634</v>
      </c>
      <c r="E11369" t="s">
        <v>166</v>
      </c>
      <c r="F11369" s="11">
        <v>2</v>
      </c>
      <c r="G11369" s="11">
        <v>84033.61</v>
      </c>
    </row>
    <row r="11370" spans="2:7" x14ac:dyDescent="0.2">
      <c r="B11370" s="32">
        <v>46142</v>
      </c>
      <c r="C11370" t="s">
        <v>109</v>
      </c>
      <c r="D11370" s="13" t="s">
        <v>634</v>
      </c>
      <c r="E11370" t="s">
        <v>394</v>
      </c>
      <c r="F11370" s="11">
        <v>1</v>
      </c>
      <c r="G11370" s="11">
        <v>84033.61</v>
      </c>
    </row>
    <row r="11371" spans="2:7" x14ac:dyDescent="0.2">
      <c r="B11371" s="32">
        <v>46142</v>
      </c>
      <c r="C11371" t="s">
        <v>109</v>
      </c>
      <c r="D11371" s="13" t="s">
        <v>634</v>
      </c>
      <c r="E11371" t="s">
        <v>617</v>
      </c>
      <c r="F11371" s="11">
        <v>1</v>
      </c>
      <c r="G11371" s="11">
        <v>71428.570000000007</v>
      </c>
    </row>
    <row r="11372" spans="2:7" x14ac:dyDescent="0.2">
      <c r="B11372" s="32">
        <v>46142</v>
      </c>
      <c r="C11372" t="s">
        <v>109</v>
      </c>
      <c r="D11372" s="13" t="s">
        <v>634</v>
      </c>
      <c r="E11372" t="s">
        <v>672</v>
      </c>
      <c r="F11372" s="11">
        <v>1</v>
      </c>
      <c r="G11372" s="11">
        <v>54621.85</v>
      </c>
    </row>
    <row r="11373" spans="2:7" x14ac:dyDescent="0.2">
      <c r="B11373" s="32">
        <v>46142</v>
      </c>
      <c r="C11373" t="s">
        <v>109</v>
      </c>
      <c r="D11373" s="13" t="s">
        <v>634</v>
      </c>
      <c r="E11373" t="s">
        <v>337</v>
      </c>
      <c r="F11373" s="11">
        <v>1</v>
      </c>
      <c r="G11373" s="11">
        <v>50420.17</v>
      </c>
    </row>
    <row r="11374" spans="2:7" x14ac:dyDescent="0.2">
      <c r="B11374" s="32">
        <v>46142</v>
      </c>
      <c r="C11374" t="s">
        <v>109</v>
      </c>
      <c r="D11374" s="13" t="s">
        <v>634</v>
      </c>
      <c r="E11374" t="s">
        <v>195</v>
      </c>
      <c r="F11374" s="11">
        <v>1</v>
      </c>
      <c r="G11374" s="11">
        <v>50420.17</v>
      </c>
    </row>
    <row r="11375" spans="2:7" x14ac:dyDescent="0.2">
      <c r="B11375" s="32">
        <v>46142</v>
      </c>
      <c r="C11375" t="s">
        <v>109</v>
      </c>
      <c r="D11375" s="13" t="s">
        <v>634</v>
      </c>
      <c r="E11375" t="s">
        <v>173</v>
      </c>
      <c r="F11375" s="11">
        <v>1</v>
      </c>
      <c r="G11375" s="11">
        <v>37815.129999999997</v>
      </c>
    </row>
    <row r="11376" spans="2:7" x14ac:dyDescent="0.2">
      <c r="B11376" s="32">
        <v>46142</v>
      </c>
      <c r="C11376" t="s">
        <v>109</v>
      </c>
      <c r="D11376" s="13" t="s">
        <v>634</v>
      </c>
      <c r="E11376" t="s">
        <v>144</v>
      </c>
      <c r="F11376" s="11">
        <v>1</v>
      </c>
      <c r="G11376" s="11">
        <v>16806.72</v>
      </c>
    </row>
    <row r="11377" spans="2:7" x14ac:dyDescent="0.2">
      <c r="B11377" s="32">
        <v>46142</v>
      </c>
      <c r="C11377" t="s">
        <v>109</v>
      </c>
      <c r="D11377" s="13" t="s">
        <v>633</v>
      </c>
      <c r="E11377" t="s">
        <v>144</v>
      </c>
      <c r="F11377" s="11">
        <v>9</v>
      </c>
      <c r="G11377" s="11">
        <v>268487.39</v>
      </c>
    </row>
    <row r="11378" spans="2:7" x14ac:dyDescent="0.2">
      <c r="B11378" s="32">
        <v>46142</v>
      </c>
      <c r="C11378" t="s">
        <v>109</v>
      </c>
      <c r="D11378" s="13" t="s">
        <v>633</v>
      </c>
      <c r="E11378" t="s">
        <v>234</v>
      </c>
      <c r="F11378" s="11">
        <v>4</v>
      </c>
      <c r="G11378" s="11">
        <v>151260.51</v>
      </c>
    </row>
    <row r="11379" spans="2:7" x14ac:dyDescent="0.2">
      <c r="B11379" s="32">
        <v>46142</v>
      </c>
      <c r="C11379" t="s">
        <v>109</v>
      </c>
      <c r="D11379" s="13" t="s">
        <v>633</v>
      </c>
      <c r="E11379" t="s">
        <v>164</v>
      </c>
      <c r="F11379" s="11">
        <v>2</v>
      </c>
      <c r="G11379" s="11">
        <v>151260.51</v>
      </c>
    </row>
    <row r="11380" spans="2:7" x14ac:dyDescent="0.2">
      <c r="B11380" s="32">
        <v>46142</v>
      </c>
      <c r="C11380" t="s">
        <v>109</v>
      </c>
      <c r="D11380" s="13" t="s">
        <v>633</v>
      </c>
      <c r="E11380" t="s">
        <v>787</v>
      </c>
      <c r="F11380" s="11">
        <v>1</v>
      </c>
      <c r="G11380" s="11">
        <v>126050.42</v>
      </c>
    </row>
    <row r="11381" spans="2:7" x14ac:dyDescent="0.2">
      <c r="B11381" s="32">
        <v>46142</v>
      </c>
      <c r="C11381" t="s">
        <v>109</v>
      </c>
      <c r="D11381" s="13" t="s">
        <v>633</v>
      </c>
      <c r="E11381" t="s">
        <v>675</v>
      </c>
      <c r="F11381" s="11">
        <v>1</v>
      </c>
      <c r="G11381" s="11">
        <v>98000</v>
      </c>
    </row>
    <row r="11382" spans="2:7" x14ac:dyDescent="0.2">
      <c r="B11382" s="32">
        <v>46142</v>
      </c>
      <c r="C11382" t="s">
        <v>109</v>
      </c>
      <c r="D11382" s="13" t="s">
        <v>633</v>
      </c>
      <c r="E11382" t="s">
        <v>168</v>
      </c>
      <c r="F11382" s="11">
        <v>2</v>
      </c>
      <c r="G11382" s="11">
        <v>92436.97</v>
      </c>
    </row>
    <row r="11383" spans="2:7" x14ac:dyDescent="0.2">
      <c r="B11383" s="32">
        <v>46142</v>
      </c>
      <c r="C11383" t="s">
        <v>109</v>
      </c>
      <c r="D11383" s="13" t="s">
        <v>633</v>
      </c>
      <c r="E11383" t="s">
        <v>334</v>
      </c>
      <c r="F11383" s="11">
        <v>1</v>
      </c>
      <c r="G11383" s="11">
        <v>75630.25</v>
      </c>
    </row>
    <row r="11384" spans="2:7" x14ac:dyDescent="0.2">
      <c r="B11384" s="32">
        <v>46142</v>
      </c>
      <c r="C11384" t="s">
        <v>109</v>
      </c>
      <c r="D11384" s="13" t="s">
        <v>633</v>
      </c>
      <c r="E11384" t="s">
        <v>147</v>
      </c>
      <c r="F11384" s="11">
        <v>1</v>
      </c>
      <c r="G11384" s="11">
        <v>75630.25</v>
      </c>
    </row>
    <row r="11385" spans="2:7" x14ac:dyDescent="0.2">
      <c r="B11385" s="32">
        <v>46142</v>
      </c>
      <c r="C11385" t="s">
        <v>109</v>
      </c>
      <c r="D11385" s="13" t="s">
        <v>633</v>
      </c>
      <c r="E11385" t="s">
        <v>149</v>
      </c>
      <c r="F11385" s="11">
        <v>1</v>
      </c>
      <c r="G11385" s="11">
        <v>75630.25</v>
      </c>
    </row>
    <row r="11386" spans="2:7" x14ac:dyDescent="0.2">
      <c r="B11386" s="32">
        <v>46142</v>
      </c>
      <c r="C11386" t="s">
        <v>109</v>
      </c>
      <c r="D11386" s="13" t="s">
        <v>633</v>
      </c>
      <c r="E11386" t="s">
        <v>352</v>
      </c>
      <c r="F11386" s="11">
        <v>1</v>
      </c>
      <c r="G11386" s="11">
        <v>75630.25</v>
      </c>
    </row>
    <row r="11387" spans="2:7" x14ac:dyDescent="0.2">
      <c r="B11387" s="32">
        <v>46142</v>
      </c>
      <c r="C11387" t="s">
        <v>109</v>
      </c>
      <c r="D11387" s="13" t="s">
        <v>633</v>
      </c>
      <c r="E11387" t="s">
        <v>342</v>
      </c>
      <c r="F11387" s="11">
        <v>2</v>
      </c>
      <c r="G11387" s="11">
        <v>75630.25</v>
      </c>
    </row>
    <row r="11388" spans="2:7" x14ac:dyDescent="0.2">
      <c r="B11388" s="32">
        <v>46142</v>
      </c>
      <c r="C11388" t="s">
        <v>109</v>
      </c>
      <c r="D11388" s="13" t="s">
        <v>633</v>
      </c>
      <c r="E11388" t="s">
        <v>192</v>
      </c>
      <c r="F11388" s="11">
        <v>1</v>
      </c>
      <c r="G11388" s="11">
        <v>75630.25</v>
      </c>
    </row>
    <row r="11389" spans="2:7" x14ac:dyDescent="0.2">
      <c r="B11389" s="32">
        <v>46142</v>
      </c>
      <c r="C11389" t="s">
        <v>109</v>
      </c>
      <c r="D11389" s="13" t="s">
        <v>633</v>
      </c>
      <c r="E11389" t="s">
        <v>348</v>
      </c>
      <c r="F11389" s="11">
        <v>1</v>
      </c>
      <c r="G11389" s="11">
        <v>58823.53</v>
      </c>
    </row>
    <row r="11390" spans="2:7" x14ac:dyDescent="0.2">
      <c r="B11390" s="32">
        <v>46142</v>
      </c>
      <c r="C11390" t="s">
        <v>109</v>
      </c>
      <c r="D11390" s="13" t="s">
        <v>633</v>
      </c>
      <c r="E11390" t="s">
        <v>153</v>
      </c>
      <c r="F11390" s="11">
        <v>1</v>
      </c>
      <c r="G11390" s="11">
        <v>46218.49</v>
      </c>
    </row>
    <row r="11391" spans="2:7" x14ac:dyDescent="0.2">
      <c r="B11391" s="32">
        <v>46142</v>
      </c>
      <c r="C11391" t="s">
        <v>109</v>
      </c>
      <c r="D11391" s="13" t="s">
        <v>633</v>
      </c>
      <c r="E11391" t="s">
        <v>156</v>
      </c>
      <c r="F11391" s="11">
        <v>1</v>
      </c>
      <c r="G11391" s="11">
        <v>46218.49</v>
      </c>
    </row>
    <row r="11392" spans="2:7" x14ac:dyDescent="0.2">
      <c r="B11392" s="32">
        <v>46142</v>
      </c>
      <c r="C11392" t="s">
        <v>109</v>
      </c>
      <c r="D11392" s="13" t="s">
        <v>633</v>
      </c>
      <c r="E11392" t="s">
        <v>166</v>
      </c>
      <c r="F11392" s="11">
        <v>1</v>
      </c>
      <c r="G11392" s="11">
        <v>42016.81</v>
      </c>
    </row>
    <row r="11393" spans="2:7" x14ac:dyDescent="0.2">
      <c r="B11393" s="32">
        <v>46142</v>
      </c>
      <c r="C11393" t="s">
        <v>109</v>
      </c>
      <c r="D11393" s="13" t="s">
        <v>633</v>
      </c>
      <c r="E11393" t="s">
        <v>177</v>
      </c>
      <c r="F11393" s="11">
        <v>1</v>
      </c>
      <c r="G11393" s="11">
        <v>42016.81</v>
      </c>
    </row>
    <row r="11394" spans="2:7" x14ac:dyDescent="0.2">
      <c r="B11394" s="32">
        <v>46142</v>
      </c>
      <c r="C11394" t="s">
        <v>109</v>
      </c>
      <c r="D11394" s="13" t="s">
        <v>633</v>
      </c>
      <c r="E11394" t="s">
        <v>161</v>
      </c>
      <c r="F11394" s="11">
        <v>1</v>
      </c>
      <c r="G11394" s="11">
        <v>42016.81</v>
      </c>
    </row>
    <row r="11395" spans="2:7" x14ac:dyDescent="0.2">
      <c r="B11395" s="32">
        <v>46142</v>
      </c>
      <c r="C11395" t="s">
        <v>109</v>
      </c>
      <c r="D11395" s="13" t="s">
        <v>633</v>
      </c>
      <c r="E11395" t="s">
        <v>145</v>
      </c>
      <c r="F11395" s="11">
        <v>1</v>
      </c>
      <c r="G11395" s="11">
        <v>29411.759999999998</v>
      </c>
    </row>
    <row r="11396" spans="2:7" x14ac:dyDescent="0.2">
      <c r="B11396" s="32">
        <v>46142</v>
      </c>
      <c r="C11396" t="s">
        <v>109</v>
      </c>
      <c r="D11396" s="13" t="s">
        <v>633</v>
      </c>
      <c r="E11396" t="s">
        <v>566</v>
      </c>
      <c r="F11396" s="11">
        <v>1</v>
      </c>
      <c r="G11396" s="11">
        <v>16806.72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33218-E7F7-404E-A43B-78706E3C2E48}">
  <dimension ref="B5:CI35"/>
  <sheetViews>
    <sheetView workbookViewId="0">
      <selection activeCell="B5" sqref="B5:CH488"/>
    </sheetView>
  </sheetViews>
  <sheetFormatPr defaultRowHeight="12" x14ac:dyDescent="0.2"/>
  <cols>
    <col min="2" max="2" width="6.83203125" bestFit="1" customWidth="1"/>
    <col min="3" max="3" width="9" bestFit="1" customWidth="1"/>
    <col min="4" max="4" width="27.5" bestFit="1" customWidth="1"/>
    <col min="5" max="5" width="21.6640625" bestFit="1" customWidth="1"/>
    <col min="6" max="6" width="18.83203125" bestFit="1" customWidth="1"/>
    <col min="7" max="7" width="13.33203125" bestFit="1" customWidth="1"/>
    <col min="8" max="8" width="11.5" bestFit="1" customWidth="1"/>
    <col min="9" max="9" width="16.6640625" bestFit="1" customWidth="1"/>
    <col min="10" max="10" width="11.6640625" bestFit="1" customWidth="1"/>
    <col min="11" max="11" width="18.1640625" bestFit="1" customWidth="1"/>
    <col min="12" max="12" width="13.33203125" bestFit="1" customWidth="1"/>
    <col min="13" max="13" width="11.1640625" bestFit="1" customWidth="1"/>
    <col min="14" max="14" width="12.83203125" bestFit="1" customWidth="1"/>
    <col min="15" max="15" width="32.1640625" bestFit="1" customWidth="1"/>
    <col min="16" max="16" width="29.5" bestFit="1" customWidth="1"/>
    <col min="17" max="17" width="20.33203125" bestFit="1" customWidth="1"/>
    <col min="18" max="18" width="13.6640625" bestFit="1" customWidth="1"/>
    <col min="19" max="19" width="22" bestFit="1" customWidth="1"/>
    <col min="20" max="20" width="16.6640625" bestFit="1" customWidth="1"/>
    <col min="21" max="21" width="20.1640625" bestFit="1" customWidth="1"/>
    <col min="22" max="22" width="20.33203125" bestFit="1" customWidth="1"/>
    <col min="23" max="23" width="14.33203125" bestFit="1" customWidth="1"/>
    <col min="24" max="24" width="21.1640625" bestFit="1" customWidth="1"/>
    <col min="25" max="25" width="17.6640625" bestFit="1" customWidth="1"/>
    <col min="26" max="26" width="20.5" bestFit="1" customWidth="1"/>
    <col min="27" max="27" width="30.5" bestFit="1" customWidth="1"/>
    <col min="28" max="28" width="29.1640625" bestFit="1" customWidth="1"/>
    <col min="29" max="29" width="22.5" bestFit="1" customWidth="1"/>
    <col min="30" max="30" width="17" bestFit="1" customWidth="1"/>
    <col min="31" max="31" width="13.5" bestFit="1" customWidth="1"/>
    <col min="32" max="32" width="16.33203125" bestFit="1" customWidth="1"/>
    <col min="33" max="33" width="26.33203125" bestFit="1" customWidth="1"/>
    <col min="34" max="34" width="25" bestFit="1" customWidth="1"/>
    <col min="35" max="35" width="18.33203125" bestFit="1" customWidth="1"/>
    <col min="36" max="36" width="21.1640625" bestFit="1" customWidth="1"/>
    <col min="37" max="37" width="17.6640625" bestFit="1" customWidth="1"/>
    <col min="38" max="38" width="20.5" bestFit="1" customWidth="1"/>
    <col min="39" max="39" width="30.5" bestFit="1" customWidth="1"/>
    <col min="40" max="40" width="29.1640625" bestFit="1" customWidth="1"/>
    <col min="41" max="41" width="22.5" bestFit="1" customWidth="1"/>
    <col min="42" max="42" width="25.33203125" bestFit="1" customWidth="1"/>
    <col min="43" max="43" width="29" bestFit="1" customWidth="1"/>
    <col min="44" max="44" width="24" bestFit="1" customWidth="1"/>
    <col min="45" max="45" width="37.6640625" bestFit="1" customWidth="1"/>
    <col min="46" max="46" width="31.83203125" bestFit="1" customWidth="1"/>
    <col min="47" max="47" width="26.5" bestFit="1" customWidth="1"/>
    <col min="48" max="48" width="25.1640625" bestFit="1" customWidth="1"/>
    <col min="49" max="49" width="24.83203125" bestFit="1" customWidth="1"/>
    <col min="50" max="50" width="30.33203125" bestFit="1" customWidth="1"/>
    <col min="51" max="51" width="23.1640625" bestFit="1" customWidth="1"/>
    <col min="52" max="52" width="20.5" bestFit="1" customWidth="1"/>
    <col min="53" max="53" width="33.33203125" bestFit="1" customWidth="1"/>
    <col min="54" max="54" width="31.83203125" bestFit="1" customWidth="1"/>
    <col min="55" max="55" width="21" bestFit="1" customWidth="1"/>
    <col min="56" max="56" width="18.1640625" bestFit="1" customWidth="1"/>
    <col min="57" max="57" width="31" bestFit="1" customWidth="1"/>
    <col min="58" max="58" width="29.6640625" bestFit="1" customWidth="1"/>
    <col min="59" max="59" width="17.5" bestFit="1" customWidth="1"/>
    <col min="60" max="60" width="14.6640625" bestFit="1" customWidth="1"/>
    <col min="61" max="61" width="27.5" bestFit="1" customWidth="1"/>
    <col min="62" max="62" width="26.1640625" bestFit="1" customWidth="1"/>
    <col min="63" max="63" width="31" bestFit="1" customWidth="1"/>
    <col min="64" max="64" width="28.1640625" bestFit="1" customWidth="1"/>
    <col min="65" max="65" width="41.1640625" bestFit="1" customWidth="1"/>
    <col min="66" max="66" width="39.6640625" bestFit="1" customWidth="1"/>
    <col min="67" max="67" width="19.33203125" bestFit="1" customWidth="1"/>
    <col min="68" max="68" width="42.6640625" bestFit="1" customWidth="1"/>
    <col min="69" max="69" width="26" bestFit="1" customWidth="1"/>
    <col min="70" max="70" width="16.5" bestFit="1" customWidth="1"/>
    <col min="71" max="71" width="39.6640625" bestFit="1" customWidth="1"/>
    <col min="72" max="72" width="23" bestFit="1" customWidth="1"/>
    <col min="73" max="73" width="17.1640625" bestFit="1" customWidth="1"/>
    <col min="74" max="74" width="40.33203125" bestFit="1" customWidth="1"/>
    <col min="75" max="75" width="23.6640625" bestFit="1" customWidth="1"/>
    <col min="76" max="76" width="15.1640625" bestFit="1" customWidth="1"/>
    <col min="77" max="77" width="38.5" bestFit="1" customWidth="1"/>
    <col min="78" max="78" width="21.83203125" bestFit="1" customWidth="1"/>
    <col min="79" max="79" width="16.5" bestFit="1" customWidth="1"/>
    <col min="80" max="80" width="39.6640625" bestFit="1" customWidth="1"/>
    <col min="81" max="81" width="23" bestFit="1" customWidth="1"/>
    <col min="82" max="82" width="19.5" bestFit="1" customWidth="1"/>
    <col min="83" max="83" width="42.83203125" bestFit="1" customWidth="1"/>
    <col min="84" max="84" width="26.1640625" bestFit="1" customWidth="1"/>
    <col min="85" max="85" width="16.5" bestFit="1" customWidth="1"/>
    <col min="86" max="86" width="39.6640625" bestFit="1" customWidth="1"/>
    <col min="87" max="87" width="23" customWidth="1"/>
  </cols>
  <sheetData>
    <row r="5" spans="2:87" x14ac:dyDescent="0.2">
      <c r="B5" t="s">
        <v>42</v>
      </c>
      <c r="C5" t="s">
        <v>61</v>
      </c>
      <c r="D5" t="s">
        <v>62</v>
      </c>
      <c r="E5" t="s">
        <v>63</v>
      </c>
      <c r="F5" t="s">
        <v>64</v>
      </c>
      <c r="G5" t="s">
        <v>43</v>
      </c>
      <c r="H5" t="s">
        <v>44</v>
      </c>
      <c r="I5" t="s">
        <v>51</v>
      </c>
      <c r="J5" t="s">
        <v>45</v>
      </c>
      <c r="K5" t="s">
        <v>52</v>
      </c>
      <c r="L5" t="s">
        <v>53</v>
      </c>
      <c r="M5" t="s">
        <v>48</v>
      </c>
      <c r="N5" t="s">
        <v>54</v>
      </c>
      <c r="O5" t="s">
        <v>47</v>
      </c>
      <c r="P5" t="s">
        <v>46</v>
      </c>
      <c r="Q5" t="s">
        <v>55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2396</v>
      </c>
      <c r="X5" t="s">
        <v>65</v>
      </c>
      <c r="Y5" t="s">
        <v>66</v>
      </c>
      <c r="Z5" t="s">
        <v>842</v>
      </c>
      <c r="AA5" t="s">
        <v>843</v>
      </c>
      <c r="AB5" t="s">
        <v>867</v>
      </c>
      <c r="AC5" t="s">
        <v>870</v>
      </c>
      <c r="AD5" t="s">
        <v>67</v>
      </c>
      <c r="AE5" t="s">
        <v>68</v>
      </c>
      <c r="AF5" t="s">
        <v>844</v>
      </c>
      <c r="AG5" t="s">
        <v>845</v>
      </c>
      <c r="AH5" t="s">
        <v>868</v>
      </c>
      <c r="AI5" t="s">
        <v>871</v>
      </c>
      <c r="AJ5" t="s">
        <v>69</v>
      </c>
      <c r="AK5" t="s">
        <v>70</v>
      </c>
      <c r="AL5" t="s">
        <v>846</v>
      </c>
      <c r="AM5" t="s">
        <v>847</v>
      </c>
      <c r="AN5" t="s">
        <v>869</v>
      </c>
      <c r="AO5" t="s">
        <v>872</v>
      </c>
      <c r="AP5" t="s">
        <v>71</v>
      </c>
      <c r="AQ5" t="s">
        <v>72</v>
      </c>
      <c r="AR5" t="s">
        <v>73</v>
      </c>
      <c r="AS5" t="s">
        <v>74</v>
      </c>
      <c r="AT5" t="s">
        <v>75</v>
      </c>
      <c r="AU5" t="s">
        <v>76</v>
      </c>
      <c r="AV5" t="s">
        <v>88</v>
      </c>
      <c r="AW5" t="s">
        <v>89</v>
      </c>
      <c r="AX5" t="s">
        <v>90</v>
      </c>
      <c r="AY5" t="s">
        <v>113</v>
      </c>
      <c r="AZ5" t="s">
        <v>114</v>
      </c>
      <c r="BA5" t="s">
        <v>838</v>
      </c>
      <c r="BB5" t="s">
        <v>863</v>
      </c>
      <c r="BC5" t="s">
        <v>115</v>
      </c>
      <c r="BD5" t="s">
        <v>116</v>
      </c>
      <c r="BE5" t="s">
        <v>839</v>
      </c>
      <c r="BF5" t="s">
        <v>864</v>
      </c>
      <c r="BG5" t="s">
        <v>117</v>
      </c>
      <c r="BH5" t="s">
        <v>118</v>
      </c>
      <c r="BI5" t="s">
        <v>840</v>
      </c>
      <c r="BJ5" t="s">
        <v>865</v>
      </c>
      <c r="BK5" t="s">
        <v>119</v>
      </c>
      <c r="BL5" t="s">
        <v>120</v>
      </c>
      <c r="BM5" t="s">
        <v>841</v>
      </c>
      <c r="BN5" t="s">
        <v>866</v>
      </c>
      <c r="BO5" t="s">
        <v>886</v>
      </c>
      <c r="BP5" t="s">
        <v>887</v>
      </c>
      <c r="BQ5" t="s">
        <v>888</v>
      </c>
      <c r="BR5" t="s">
        <v>889</v>
      </c>
      <c r="BS5" t="s">
        <v>890</v>
      </c>
      <c r="BT5" t="s">
        <v>891</v>
      </c>
      <c r="BU5" t="s">
        <v>892</v>
      </c>
      <c r="BV5" t="s">
        <v>893</v>
      </c>
      <c r="BW5" t="s">
        <v>894</v>
      </c>
      <c r="BX5" t="s">
        <v>895</v>
      </c>
      <c r="BY5" t="s">
        <v>896</v>
      </c>
      <c r="BZ5" t="s">
        <v>897</v>
      </c>
      <c r="CA5" t="s">
        <v>898</v>
      </c>
      <c r="CB5" t="s">
        <v>899</v>
      </c>
      <c r="CC5" t="s">
        <v>900</v>
      </c>
      <c r="CD5" t="s">
        <v>901</v>
      </c>
      <c r="CE5" t="s">
        <v>902</v>
      </c>
      <c r="CF5" t="s">
        <v>903</v>
      </c>
      <c r="CG5" t="s">
        <v>904</v>
      </c>
      <c r="CH5" t="s">
        <v>905</v>
      </c>
      <c r="CI5" t="s">
        <v>906</v>
      </c>
    </row>
    <row r="6" spans="2:87" x14ac:dyDescent="0.2">
      <c r="B6">
        <v>46113</v>
      </c>
      <c r="C6" s="13">
        <v>17</v>
      </c>
      <c r="D6" s="13">
        <v>1.5</v>
      </c>
      <c r="E6" s="13">
        <v>99140.385999999999</v>
      </c>
      <c r="F6" s="13">
        <v>0</v>
      </c>
      <c r="G6" s="13">
        <v>1685386.57</v>
      </c>
      <c r="H6" s="13">
        <v>0</v>
      </c>
      <c r="I6" s="13">
        <v>0</v>
      </c>
      <c r="J6" s="13">
        <v>1685386.57</v>
      </c>
      <c r="K6" s="13">
        <v>12000</v>
      </c>
      <c r="L6" s="13">
        <v>0</v>
      </c>
      <c r="M6" s="13">
        <v>288113.43</v>
      </c>
      <c r="N6" s="13">
        <v>1985500</v>
      </c>
      <c r="O6" s="13">
        <v>0</v>
      </c>
      <c r="P6" s="13">
        <v>1685386.57</v>
      </c>
      <c r="Q6" s="13">
        <v>469452</v>
      </c>
      <c r="R6" s="13">
        <v>1215934.57</v>
      </c>
      <c r="S6" s="13">
        <v>0</v>
      </c>
      <c r="T6" s="13">
        <v>25</v>
      </c>
      <c r="U6" s="13">
        <v>0</v>
      </c>
      <c r="V6" s="13">
        <v>0</v>
      </c>
      <c r="W6">
        <v>46143.519570833334</v>
      </c>
      <c r="X6" s="13">
        <v>7</v>
      </c>
      <c r="Y6" s="13">
        <v>14</v>
      </c>
      <c r="Z6" s="13">
        <v>1513117.66</v>
      </c>
      <c r="AA6" s="13">
        <v>108079.83199999999</v>
      </c>
      <c r="AB6" s="13">
        <v>437515</v>
      </c>
      <c r="AC6" s="13">
        <v>1075602.6599999999</v>
      </c>
      <c r="AD6" s="13">
        <v>2</v>
      </c>
      <c r="AE6" s="13">
        <v>2</v>
      </c>
      <c r="AF6" s="13">
        <v>134453.78</v>
      </c>
      <c r="AG6" s="13">
        <v>67226.89</v>
      </c>
      <c r="AH6" s="13">
        <v>26914</v>
      </c>
      <c r="AI6" s="13">
        <v>107539.78</v>
      </c>
      <c r="AJ6" s="13">
        <v>1</v>
      </c>
      <c r="AK6" s="13">
        <v>1</v>
      </c>
      <c r="AL6" s="13">
        <v>37815.129999999997</v>
      </c>
      <c r="AM6" s="13">
        <v>37815.129999999997</v>
      </c>
      <c r="AN6" s="13">
        <v>5023</v>
      </c>
      <c r="AO6" s="13">
        <v>32792.129999999997</v>
      </c>
      <c r="AP6" s="13">
        <v>49164.6</v>
      </c>
      <c r="AQ6" s="13"/>
      <c r="AR6" s="13"/>
      <c r="AS6" s="13"/>
      <c r="AT6" s="13">
        <v>5109</v>
      </c>
      <c r="AU6" s="13">
        <v>518</v>
      </c>
      <c r="AV6" s="11">
        <v>57783</v>
      </c>
      <c r="AW6" s="11">
        <v>153</v>
      </c>
      <c r="AX6" s="11">
        <v>21399</v>
      </c>
      <c r="AY6" s="13">
        <v>210084.03</v>
      </c>
      <c r="AZ6" s="13">
        <v>1</v>
      </c>
      <c r="BA6" s="13">
        <v>210084.03</v>
      </c>
      <c r="BB6" s="13">
        <v>28884</v>
      </c>
      <c r="BC6" s="13">
        <v>1475302.54</v>
      </c>
      <c r="BD6" s="13">
        <v>16</v>
      </c>
      <c r="BE6" s="13">
        <v>92206.407999999996</v>
      </c>
      <c r="BF6" s="13">
        <v>440568</v>
      </c>
      <c r="BG6" s="13"/>
      <c r="BH6" s="13"/>
      <c r="BI6" s="13"/>
      <c r="BJ6" s="13"/>
      <c r="BK6" s="13"/>
      <c r="BL6" s="13"/>
      <c r="BM6" s="13"/>
      <c r="BN6" s="13"/>
      <c r="BO6" s="13">
        <v>397</v>
      </c>
      <c r="BP6" s="13">
        <v>0</v>
      </c>
      <c r="BQ6" s="13">
        <v>0</v>
      </c>
      <c r="BR6" s="13">
        <v>87</v>
      </c>
      <c r="BS6" s="13">
        <v>0</v>
      </c>
      <c r="BT6" s="13">
        <v>0</v>
      </c>
      <c r="BU6" s="13">
        <v>23</v>
      </c>
      <c r="BV6" s="13">
        <v>0</v>
      </c>
      <c r="BW6" s="13">
        <v>0</v>
      </c>
      <c r="BX6" s="13">
        <v>9</v>
      </c>
      <c r="BY6" s="13">
        <v>0</v>
      </c>
      <c r="BZ6" s="13">
        <v>0</v>
      </c>
      <c r="CA6" s="13">
        <v>51</v>
      </c>
      <c r="CB6" s="13">
        <v>1</v>
      </c>
      <c r="CC6" s="13">
        <v>1.9607843137254902E-2</v>
      </c>
      <c r="CD6" s="13">
        <v>567</v>
      </c>
      <c r="CE6" s="13">
        <v>1</v>
      </c>
      <c r="CF6" s="13">
        <v>1.7636684303350969E-3</v>
      </c>
      <c r="CG6" s="13"/>
      <c r="CH6" s="13"/>
      <c r="CI6" s="13"/>
    </row>
    <row r="7" spans="2:87" x14ac:dyDescent="0.2">
      <c r="B7">
        <v>46114</v>
      </c>
      <c r="C7" s="13">
        <v>13</v>
      </c>
      <c r="D7" s="13">
        <v>1.5</v>
      </c>
      <c r="E7" s="13">
        <v>88061.409</v>
      </c>
      <c r="F7" s="13">
        <v>0</v>
      </c>
      <c r="G7" s="13">
        <v>1144798.32</v>
      </c>
      <c r="H7" s="13">
        <v>0</v>
      </c>
      <c r="I7" s="13">
        <v>0</v>
      </c>
      <c r="J7" s="13">
        <v>1144798.32</v>
      </c>
      <c r="K7" s="13">
        <v>48000</v>
      </c>
      <c r="L7" s="13">
        <v>0</v>
      </c>
      <c r="M7" s="13">
        <v>189201.68</v>
      </c>
      <c r="N7" s="13">
        <v>1382000</v>
      </c>
      <c r="O7" s="13">
        <v>0</v>
      </c>
      <c r="P7" s="13">
        <v>1144798.32</v>
      </c>
      <c r="Q7" s="13">
        <v>390300</v>
      </c>
      <c r="R7" s="13">
        <v>754498.32</v>
      </c>
      <c r="S7" s="13">
        <v>0</v>
      </c>
      <c r="T7" s="13">
        <v>19</v>
      </c>
      <c r="U7" s="13">
        <v>0</v>
      </c>
      <c r="V7" s="13">
        <v>0</v>
      </c>
      <c r="W7">
        <v>46143.519570833334</v>
      </c>
      <c r="X7" s="13">
        <v>3</v>
      </c>
      <c r="Y7" s="13">
        <v>9</v>
      </c>
      <c r="Z7" s="13">
        <v>670008.4</v>
      </c>
      <c r="AA7" s="13">
        <v>74445.376999999993</v>
      </c>
      <c r="AB7" s="13">
        <v>233674</v>
      </c>
      <c r="AC7" s="13">
        <v>436334.4</v>
      </c>
      <c r="AD7" s="13">
        <v>4</v>
      </c>
      <c r="AE7" s="13">
        <v>4</v>
      </c>
      <c r="AF7" s="13">
        <v>474789.92</v>
      </c>
      <c r="AG7" s="13">
        <v>118697.48</v>
      </c>
      <c r="AH7" s="13">
        <v>156626</v>
      </c>
      <c r="AI7" s="13">
        <v>318163.92</v>
      </c>
      <c r="AJ7" s="13"/>
      <c r="AK7" s="13"/>
      <c r="AL7" s="13"/>
      <c r="AM7" s="13"/>
      <c r="AN7" s="13"/>
      <c r="AO7" s="13"/>
      <c r="AP7" s="13">
        <v>40333.03</v>
      </c>
      <c r="AQ7" s="13"/>
      <c r="AR7" s="13"/>
      <c r="AS7" s="13"/>
      <c r="AT7" s="13">
        <v>5583</v>
      </c>
      <c r="AU7" s="13">
        <v>515</v>
      </c>
      <c r="AV7" s="11">
        <v>46287</v>
      </c>
      <c r="AW7" s="11">
        <v>99</v>
      </c>
      <c r="AX7" s="11">
        <v>20656</v>
      </c>
      <c r="AY7" s="13">
        <v>319327.73</v>
      </c>
      <c r="AZ7" s="13">
        <v>3</v>
      </c>
      <c r="BA7" s="13">
        <v>106442.576</v>
      </c>
      <c r="BB7" s="13">
        <v>97613</v>
      </c>
      <c r="BC7" s="13">
        <v>825470.59</v>
      </c>
      <c r="BD7" s="13">
        <v>10</v>
      </c>
      <c r="BE7" s="13">
        <v>82547.058999999994</v>
      </c>
      <c r="BF7" s="13">
        <v>292687</v>
      </c>
      <c r="BG7" s="13"/>
      <c r="BH7" s="13"/>
      <c r="BI7" s="13"/>
      <c r="BJ7" s="13"/>
      <c r="BK7" s="13"/>
      <c r="BL7" s="13"/>
      <c r="BM7" s="13"/>
      <c r="BN7" s="13"/>
      <c r="BO7" s="13">
        <v>443</v>
      </c>
      <c r="BP7" s="13">
        <v>0</v>
      </c>
      <c r="BQ7" s="13">
        <v>0</v>
      </c>
      <c r="BR7" s="13">
        <v>50</v>
      </c>
      <c r="BS7" s="13">
        <v>0</v>
      </c>
      <c r="BT7" s="13">
        <v>0</v>
      </c>
      <c r="BU7" s="13">
        <v>24</v>
      </c>
      <c r="BV7" s="13">
        <v>1</v>
      </c>
      <c r="BW7" s="13">
        <v>4.1666666666666664E-2</v>
      </c>
      <c r="BX7" s="13">
        <v>14</v>
      </c>
      <c r="BY7" s="13">
        <v>0</v>
      </c>
      <c r="BZ7" s="13">
        <v>0</v>
      </c>
      <c r="CA7" s="13">
        <v>49</v>
      </c>
      <c r="CB7" s="13">
        <v>3</v>
      </c>
      <c r="CC7" s="13">
        <v>6.1224489795918366E-2</v>
      </c>
      <c r="CD7" s="13">
        <v>580</v>
      </c>
      <c r="CE7" s="13">
        <v>4</v>
      </c>
      <c r="CF7" s="13">
        <v>6.8965517241379309E-3</v>
      </c>
      <c r="CG7" s="13"/>
      <c r="CH7" s="13"/>
      <c r="CI7" s="13"/>
    </row>
    <row r="8" spans="2:87" x14ac:dyDescent="0.2">
      <c r="B8">
        <v>46116</v>
      </c>
      <c r="C8" s="13">
        <v>8</v>
      </c>
      <c r="D8" s="13">
        <v>1.5</v>
      </c>
      <c r="E8" s="13">
        <v>73488.445999999996</v>
      </c>
      <c r="F8" s="13">
        <v>-1</v>
      </c>
      <c r="G8" s="13">
        <v>617319.32999999996</v>
      </c>
      <c r="H8" s="13">
        <v>0</v>
      </c>
      <c r="I8" s="13">
        <v>-46218.49</v>
      </c>
      <c r="J8" s="13">
        <v>571100.84</v>
      </c>
      <c r="K8" s="13">
        <v>28000</v>
      </c>
      <c r="L8" s="13">
        <v>0</v>
      </c>
      <c r="M8" s="13">
        <v>85899.16</v>
      </c>
      <c r="N8" s="13">
        <v>685000</v>
      </c>
      <c r="O8" s="13">
        <v>0</v>
      </c>
      <c r="P8" s="13">
        <v>571100.84</v>
      </c>
      <c r="Q8" s="13">
        <v>179120</v>
      </c>
      <c r="R8" s="13">
        <v>391980.84</v>
      </c>
      <c r="S8" s="13">
        <v>0</v>
      </c>
      <c r="T8" s="13">
        <v>12</v>
      </c>
      <c r="U8" s="13">
        <v>0</v>
      </c>
      <c r="V8" s="13">
        <v>0</v>
      </c>
      <c r="W8">
        <v>46143.519570833334</v>
      </c>
      <c r="X8" s="13">
        <v>2</v>
      </c>
      <c r="Y8" s="13">
        <v>6</v>
      </c>
      <c r="Z8" s="13">
        <v>373621.85</v>
      </c>
      <c r="AA8" s="13">
        <v>65071.43</v>
      </c>
      <c r="AB8" s="13">
        <v>120272</v>
      </c>
      <c r="AC8" s="13">
        <v>253349.85</v>
      </c>
      <c r="AD8" s="13">
        <v>2</v>
      </c>
      <c r="AE8" s="13">
        <v>2</v>
      </c>
      <c r="AF8" s="13">
        <v>197478.99</v>
      </c>
      <c r="AG8" s="13">
        <v>98739.494999999995</v>
      </c>
      <c r="AH8" s="13">
        <v>58848</v>
      </c>
      <c r="AI8" s="13">
        <v>138630.99</v>
      </c>
      <c r="AJ8" s="13"/>
      <c r="AK8" s="13"/>
      <c r="AL8" s="13"/>
      <c r="AM8" s="13"/>
      <c r="AN8" s="13"/>
      <c r="AO8" s="13"/>
      <c r="AP8" s="13">
        <v>62561.17</v>
      </c>
      <c r="AQ8" s="13"/>
      <c r="AR8" s="13"/>
      <c r="AS8" s="13"/>
      <c r="AT8" s="13">
        <v>6887</v>
      </c>
      <c r="AU8" s="13">
        <v>698</v>
      </c>
      <c r="AV8" s="11">
        <v>52061</v>
      </c>
      <c r="AW8" s="11">
        <v>150</v>
      </c>
      <c r="AX8" s="11">
        <v>23354</v>
      </c>
      <c r="AY8" s="13">
        <v>197478.99</v>
      </c>
      <c r="AZ8" s="13">
        <v>2</v>
      </c>
      <c r="BA8" s="13">
        <v>98739.494999999995</v>
      </c>
      <c r="BB8" s="13">
        <v>58848</v>
      </c>
      <c r="BC8" s="13">
        <v>373621.85</v>
      </c>
      <c r="BD8" s="13">
        <v>6</v>
      </c>
      <c r="BE8" s="13">
        <v>65071.43</v>
      </c>
      <c r="BF8" s="13">
        <v>120272</v>
      </c>
      <c r="BG8" s="13"/>
      <c r="BH8" s="13"/>
      <c r="BI8" s="13"/>
      <c r="BJ8" s="13"/>
      <c r="BK8" s="13"/>
      <c r="BL8" s="13"/>
      <c r="BM8" s="13"/>
      <c r="BN8" s="13"/>
      <c r="BO8" s="13">
        <v>541</v>
      </c>
      <c r="BP8" s="13">
        <v>0</v>
      </c>
      <c r="BQ8" s="13">
        <v>0</v>
      </c>
      <c r="BR8" s="13">
        <v>62</v>
      </c>
      <c r="BS8" s="13">
        <v>1</v>
      </c>
      <c r="BT8" s="13">
        <v>1.6129032258064516E-2</v>
      </c>
      <c r="BU8" s="13">
        <v>17</v>
      </c>
      <c r="BV8" s="13">
        <v>1</v>
      </c>
      <c r="BW8" s="13">
        <v>5.8823529411764705E-2</v>
      </c>
      <c r="BX8" s="13">
        <v>16</v>
      </c>
      <c r="BY8" s="13">
        <v>0</v>
      </c>
      <c r="BZ8" s="13">
        <v>0</v>
      </c>
      <c r="CA8" s="13">
        <v>51</v>
      </c>
      <c r="CB8" s="13">
        <v>0</v>
      </c>
      <c r="CC8" s="13">
        <v>0</v>
      </c>
      <c r="CD8" s="13">
        <v>687</v>
      </c>
      <c r="CE8" s="13">
        <v>2</v>
      </c>
      <c r="CF8" s="13">
        <v>2.911208151382824E-3</v>
      </c>
      <c r="CG8" s="13"/>
      <c r="CH8" s="13"/>
      <c r="CI8" s="13"/>
    </row>
    <row r="9" spans="2:87" x14ac:dyDescent="0.2">
      <c r="B9">
        <v>46117</v>
      </c>
      <c r="C9" s="13">
        <v>3</v>
      </c>
      <c r="D9" s="13">
        <v>2.2999999999999998</v>
      </c>
      <c r="E9" s="13">
        <v>233893.55600000001</v>
      </c>
      <c r="F9" s="13">
        <v>0</v>
      </c>
      <c r="G9" s="13">
        <v>701680.67</v>
      </c>
      <c r="H9" s="13">
        <v>0</v>
      </c>
      <c r="I9" s="13">
        <v>0</v>
      </c>
      <c r="J9" s="13">
        <v>701680.67</v>
      </c>
      <c r="K9" s="13">
        <v>44000</v>
      </c>
      <c r="L9" s="13">
        <v>0</v>
      </c>
      <c r="M9" s="13">
        <v>133319.32999999999</v>
      </c>
      <c r="N9" s="13">
        <v>879000</v>
      </c>
      <c r="O9" s="13">
        <v>0</v>
      </c>
      <c r="P9" s="13">
        <v>701680.67</v>
      </c>
      <c r="Q9" s="13">
        <v>219239</v>
      </c>
      <c r="R9" s="13">
        <v>482441.67</v>
      </c>
      <c r="S9" s="13">
        <v>0</v>
      </c>
      <c r="T9" s="13">
        <v>7</v>
      </c>
      <c r="U9" s="13">
        <v>0</v>
      </c>
      <c r="V9" s="13">
        <v>0</v>
      </c>
      <c r="W9">
        <v>46143.519570833334</v>
      </c>
      <c r="X9" s="13">
        <v>3</v>
      </c>
      <c r="Y9" s="13">
        <v>3</v>
      </c>
      <c r="Z9" s="13">
        <v>701680.67</v>
      </c>
      <c r="AA9" s="13">
        <v>233893.55600000001</v>
      </c>
      <c r="AB9" s="13">
        <v>219239</v>
      </c>
      <c r="AC9" s="13">
        <v>482441.67</v>
      </c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>
        <v>48401.04</v>
      </c>
      <c r="AQ9" s="13"/>
      <c r="AR9" s="13"/>
      <c r="AS9" s="13"/>
      <c r="AT9" s="13">
        <v>5521</v>
      </c>
      <c r="AU9" s="13">
        <v>498</v>
      </c>
      <c r="AV9" s="11">
        <v>56390</v>
      </c>
      <c r="AW9" s="11">
        <v>188</v>
      </c>
      <c r="AX9" s="11">
        <v>25741</v>
      </c>
      <c r="AY9" s="13">
        <v>701680.67</v>
      </c>
      <c r="AZ9" s="13">
        <v>3</v>
      </c>
      <c r="BA9" s="13">
        <v>233893.55600000001</v>
      </c>
      <c r="BB9" s="13">
        <v>219239</v>
      </c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>
        <v>367</v>
      </c>
      <c r="BP9" s="13">
        <v>0</v>
      </c>
      <c r="BQ9" s="13">
        <v>0</v>
      </c>
      <c r="BR9" s="13">
        <v>126</v>
      </c>
      <c r="BS9" s="13">
        <v>1</v>
      </c>
      <c r="BT9" s="13">
        <v>7.9365079365079361E-3</v>
      </c>
      <c r="BU9" s="13">
        <v>21</v>
      </c>
      <c r="BV9" s="13">
        <v>1</v>
      </c>
      <c r="BW9" s="13">
        <v>4.7619047619047616E-2</v>
      </c>
      <c r="BX9" s="13">
        <v>11</v>
      </c>
      <c r="BY9" s="13">
        <v>0</v>
      </c>
      <c r="BZ9" s="13">
        <v>0</v>
      </c>
      <c r="CA9" s="13">
        <v>55</v>
      </c>
      <c r="CB9" s="13">
        <v>1</v>
      </c>
      <c r="CC9" s="13">
        <v>1.8181818181818181E-2</v>
      </c>
      <c r="CD9" s="13">
        <v>580</v>
      </c>
      <c r="CE9" s="13">
        <v>3</v>
      </c>
      <c r="CF9" s="13">
        <v>5.1724137931034482E-3</v>
      </c>
      <c r="CG9" s="13"/>
      <c r="CH9" s="13"/>
      <c r="CI9" s="13"/>
    </row>
    <row r="10" spans="2:87" x14ac:dyDescent="0.2">
      <c r="B10">
        <v>46118</v>
      </c>
      <c r="C10" s="13">
        <v>19</v>
      </c>
      <c r="D10" s="13">
        <v>1.7</v>
      </c>
      <c r="E10" s="13">
        <v>105188.414</v>
      </c>
      <c r="F10" s="13">
        <v>-5</v>
      </c>
      <c r="G10" s="13">
        <v>2771689.11</v>
      </c>
      <c r="H10" s="13">
        <v>0</v>
      </c>
      <c r="I10" s="13">
        <v>-726890.75</v>
      </c>
      <c r="J10" s="13">
        <v>2044798.36</v>
      </c>
      <c r="K10" s="13">
        <v>40000</v>
      </c>
      <c r="L10" s="13">
        <v>0</v>
      </c>
      <c r="M10" s="13">
        <v>379201.64</v>
      </c>
      <c r="N10" s="13">
        <v>2464000</v>
      </c>
      <c r="O10" s="13">
        <v>0</v>
      </c>
      <c r="P10" s="13">
        <v>2044798.36</v>
      </c>
      <c r="Q10" s="13">
        <v>727912</v>
      </c>
      <c r="R10" s="13">
        <v>1316886.3600000001</v>
      </c>
      <c r="S10" s="13">
        <v>0</v>
      </c>
      <c r="T10" s="13">
        <v>33</v>
      </c>
      <c r="U10" s="13">
        <v>0</v>
      </c>
      <c r="V10" s="13">
        <v>0</v>
      </c>
      <c r="W10">
        <v>46143.519570833334</v>
      </c>
      <c r="X10" s="13">
        <v>9</v>
      </c>
      <c r="Y10" s="13">
        <v>14</v>
      </c>
      <c r="Z10" s="13">
        <v>1435554.66</v>
      </c>
      <c r="AA10" s="13">
        <v>100738.897</v>
      </c>
      <c r="AB10" s="13">
        <v>524826</v>
      </c>
      <c r="AC10" s="13">
        <v>910728.66</v>
      </c>
      <c r="AD10" s="13">
        <v>5</v>
      </c>
      <c r="AE10" s="13">
        <v>5</v>
      </c>
      <c r="AF10" s="13">
        <v>609243.69999999995</v>
      </c>
      <c r="AG10" s="13">
        <v>117647.06</v>
      </c>
      <c r="AH10" s="13">
        <v>203086</v>
      </c>
      <c r="AI10" s="13">
        <v>406157.7</v>
      </c>
      <c r="AJ10" s="13"/>
      <c r="AK10" s="13"/>
      <c r="AL10" s="13"/>
      <c r="AM10" s="13"/>
      <c r="AN10" s="13"/>
      <c r="AO10" s="13"/>
      <c r="AP10" s="13">
        <v>45748.73</v>
      </c>
      <c r="AQ10" s="13"/>
      <c r="AR10" s="13"/>
      <c r="AS10" s="13"/>
      <c r="AT10" s="13">
        <v>5091</v>
      </c>
      <c r="AU10" s="13">
        <v>529</v>
      </c>
      <c r="AV10" s="11">
        <v>56637</v>
      </c>
      <c r="AW10" s="11">
        <v>128</v>
      </c>
      <c r="AX10" s="11">
        <v>21811</v>
      </c>
      <c r="AY10" s="13">
        <v>588235.30000000005</v>
      </c>
      <c r="AZ10" s="13">
        <v>5</v>
      </c>
      <c r="BA10" s="13">
        <v>113445.38</v>
      </c>
      <c r="BB10" s="13">
        <v>182038</v>
      </c>
      <c r="BC10" s="13">
        <v>1456563.06</v>
      </c>
      <c r="BD10" s="13">
        <v>14</v>
      </c>
      <c r="BE10" s="13">
        <v>102239.497</v>
      </c>
      <c r="BF10" s="13">
        <v>545874</v>
      </c>
      <c r="BG10" s="13"/>
      <c r="BH10" s="13"/>
      <c r="BI10" s="13"/>
      <c r="BJ10" s="13"/>
      <c r="BK10" s="13"/>
      <c r="BL10" s="13"/>
      <c r="BM10" s="13"/>
      <c r="BN10" s="13"/>
      <c r="BO10" s="13">
        <v>415</v>
      </c>
      <c r="BP10" s="13">
        <v>0</v>
      </c>
      <c r="BQ10" s="13">
        <v>0</v>
      </c>
      <c r="BR10" s="13">
        <v>83</v>
      </c>
      <c r="BS10" s="13">
        <v>2</v>
      </c>
      <c r="BT10" s="13">
        <v>2.4096385542168676E-2</v>
      </c>
      <c r="BU10" s="13">
        <v>36</v>
      </c>
      <c r="BV10" s="13">
        <v>2</v>
      </c>
      <c r="BW10" s="13">
        <v>5.5555555555555552E-2</v>
      </c>
      <c r="BX10" s="13">
        <v>7</v>
      </c>
      <c r="BY10" s="13">
        <v>0</v>
      </c>
      <c r="BZ10" s="13">
        <v>0</v>
      </c>
      <c r="CA10" s="13">
        <v>90</v>
      </c>
      <c r="CB10" s="13">
        <v>0</v>
      </c>
      <c r="CC10" s="13">
        <v>0</v>
      </c>
      <c r="CD10" s="13">
        <v>631</v>
      </c>
      <c r="CE10" s="13">
        <v>4</v>
      </c>
      <c r="CF10" s="13">
        <v>6.3391442155309036E-3</v>
      </c>
      <c r="CG10" s="13"/>
      <c r="CH10" s="13"/>
      <c r="CI10" s="13"/>
    </row>
    <row r="11" spans="2:87" x14ac:dyDescent="0.2">
      <c r="B11">
        <v>46119</v>
      </c>
      <c r="C11" s="13">
        <v>21</v>
      </c>
      <c r="D11" s="13">
        <v>2</v>
      </c>
      <c r="E11" s="13">
        <v>148499.4</v>
      </c>
      <c r="F11" s="13">
        <v>-1</v>
      </c>
      <c r="G11" s="13">
        <v>3181512.61</v>
      </c>
      <c r="H11" s="13">
        <v>0</v>
      </c>
      <c r="I11" s="13">
        <v>-63025.21</v>
      </c>
      <c r="J11" s="13">
        <v>3118487.4</v>
      </c>
      <c r="K11" s="13">
        <v>72000</v>
      </c>
      <c r="L11" s="13">
        <v>0</v>
      </c>
      <c r="M11" s="13">
        <v>592512.6</v>
      </c>
      <c r="N11" s="13">
        <v>3783000</v>
      </c>
      <c r="O11" s="13">
        <v>0</v>
      </c>
      <c r="P11" s="13">
        <v>3118487.4</v>
      </c>
      <c r="Q11" s="13">
        <v>977460</v>
      </c>
      <c r="R11" s="13">
        <v>2141027.4</v>
      </c>
      <c r="S11" s="13">
        <v>0</v>
      </c>
      <c r="T11" s="13">
        <v>42</v>
      </c>
      <c r="U11" s="13">
        <v>0</v>
      </c>
      <c r="V11" s="13">
        <v>0</v>
      </c>
      <c r="W11">
        <v>46143.519570833334</v>
      </c>
      <c r="X11" s="13">
        <v>9</v>
      </c>
      <c r="Y11" s="13">
        <v>13</v>
      </c>
      <c r="Z11" s="13">
        <v>1456302.52</v>
      </c>
      <c r="AA11" s="13">
        <v>112023.27</v>
      </c>
      <c r="AB11" s="13">
        <v>502401</v>
      </c>
      <c r="AC11" s="13">
        <v>953901.52</v>
      </c>
      <c r="AD11" s="13">
        <v>8</v>
      </c>
      <c r="AE11" s="13">
        <v>8</v>
      </c>
      <c r="AF11" s="13">
        <v>1662184.88</v>
      </c>
      <c r="AG11" s="13">
        <v>207773.11</v>
      </c>
      <c r="AH11" s="13">
        <v>475059</v>
      </c>
      <c r="AI11" s="13">
        <v>1187125.8799999999</v>
      </c>
      <c r="AJ11" s="13"/>
      <c r="AK11" s="13"/>
      <c r="AL11" s="13"/>
      <c r="AM11" s="13"/>
      <c r="AN11" s="13"/>
      <c r="AO11" s="13"/>
      <c r="AP11" s="13">
        <v>52079.15</v>
      </c>
      <c r="AQ11" s="13"/>
      <c r="AR11" s="13"/>
      <c r="AS11" s="13"/>
      <c r="AT11" s="13">
        <v>6756</v>
      </c>
      <c r="AU11" s="13">
        <v>676</v>
      </c>
      <c r="AV11" s="11">
        <v>54135</v>
      </c>
      <c r="AW11" s="11">
        <v>133</v>
      </c>
      <c r="AX11" s="11">
        <v>19846</v>
      </c>
      <c r="AY11" s="13">
        <v>802521.01</v>
      </c>
      <c r="AZ11" s="13">
        <v>7</v>
      </c>
      <c r="BA11" s="13">
        <v>114645.85799999999</v>
      </c>
      <c r="BB11" s="13">
        <v>201399</v>
      </c>
      <c r="BC11" s="13">
        <v>1975630.25</v>
      </c>
      <c r="BD11" s="13">
        <v>12</v>
      </c>
      <c r="BE11" s="13">
        <v>164635.85399999999</v>
      </c>
      <c r="BF11" s="13">
        <v>517216</v>
      </c>
      <c r="BG11" s="13">
        <v>46218.49</v>
      </c>
      <c r="BH11" s="13">
        <v>1</v>
      </c>
      <c r="BI11" s="13">
        <v>46218.49</v>
      </c>
      <c r="BJ11" s="13">
        <v>8845</v>
      </c>
      <c r="BK11" s="13">
        <v>294117.65000000002</v>
      </c>
      <c r="BL11" s="13">
        <v>1</v>
      </c>
      <c r="BM11" s="13">
        <v>294117.65000000002</v>
      </c>
      <c r="BN11" s="13">
        <v>250000</v>
      </c>
      <c r="BO11" s="13">
        <v>510</v>
      </c>
      <c r="BP11" s="13">
        <v>0</v>
      </c>
      <c r="BQ11" s="13">
        <v>0</v>
      </c>
      <c r="BR11" s="13">
        <v>82</v>
      </c>
      <c r="BS11" s="13">
        <v>1</v>
      </c>
      <c r="BT11" s="13">
        <v>1.2195121951219513E-2</v>
      </c>
      <c r="BU11" s="13">
        <v>50</v>
      </c>
      <c r="BV11" s="13">
        <v>2</v>
      </c>
      <c r="BW11" s="13">
        <v>0.04</v>
      </c>
      <c r="BX11" s="13">
        <v>26</v>
      </c>
      <c r="BY11" s="13">
        <v>0</v>
      </c>
      <c r="BZ11" s="13">
        <v>0</v>
      </c>
      <c r="CA11" s="13">
        <v>96</v>
      </c>
      <c r="CB11" s="13">
        <v>2</v>
      </c>
      <c r="CC11" s="13">
        <v>2.0833333333333332E-2</v>
      </c>
      <c r="CD11" s="13">
        <v>764</v>
      </c>
      <c r="CE11" s="13">
        <v>5</v>
      </c>
      <c r="CF11" s="13">
        <v>6.5445026178010471E-3</v>
      </c>
      <c r="CG11" s="13"/>
      <c r="CH11" s="13"/>
      <c r="CI11" s="13"/>
    </row>
    <row r="12" spans="2:87" x14ac:dyDescent="0.2">
      <c r="B12">
        <v>46120</v>
      </c>
      <c r="C12" s="13">
        <v>22</v>
      </c>
      <c r="D12" s="13">
        <v>1.6</v>
      </c>
      <c r="E12" s="13">
        <v>101222.307</v>
      </c>
      <c r="F12" s="13">
        <v>0</v>
      </c>
      <c r="G12" s="13">
        <v>2231092.44</v>
      </c>
      <c r="H12" s="13">
        <v>-4201.68</v>
      </c>
      <c r="I12" s="13">
        <v>0</v>
      </c>
      <c r="J12" s="13">
        <v>2226890.7599999998</v>
      </c>
      <c r="K12" s="13">
        <v>24000</v>
      </c>
      <c r="L12" s="13">
        <v>0</v>
      </c>
      <c r="M12" s="13">
        <v>423109.24</v>
      </c>
      <c r="N12" s="13">
        <v>2674000</v>
      </c>
      <c r="O12" s="13">
        <v>0</v>
      </c>
      <c r="P12" s="13">
        <v>2226890.7599999998</v>
      </c>
      <c r="Q12" s="13">
        <v>596534</v>
      </c>
      <c r="R12" s="13">
        <v>1630356.76</v>
      </c>
      <c r="S12" s="13">
        <v>0</v>
      </c>
      <c r="T12" s="13">
        <v>35</v>
      </c>
      <c r="U12" s="13">
        <v>0</v>
      </c>
      <c r="V12" s="13">
        <v>0</v>
      </c>
      <c r="W12">
        <v>46143.519570833334</v>
      </c>
      <c r="X12" s="13">
        <v>6</v>
      </c>
      <c r="Y12" s="13">
        <v>16</v>
      </c>
      <c r="Z12" s="13">
        <v>1676470.58</v>
      </c>
      <c r="AA12" s="13">
        <v>104779.41099999999</v>
      </c>
      <c r="AB12" s="13">
        <v>467341</v>
      </c>
      <c r="AC12" s="13">
        <v>1209129.58</v>
      </c>
      <c r="AD12" s="13">
        <v>6</v>
      </c>
      <c r="AE12" s="13">
        <v>6</v>
      </c>
      <c r="AF12" s="13">
        <v>550420.18000000005</v>
      </c>
      <c r="AG12" s="13">
        <v>91736.695999999996</v>
      </c>
      <c r="AH12" s="13">
        <v>129193</v>
      </c>
      <c r="AI12" s="13">
        <v>421227.18</v>
      </c>
      <c r="AJ12" s="13"/>
      <c r="AK12" s="13"/>
      <c r="AL12" s="13"/>
      <c r="AM12" s="13"/>
      <c r="AN12" s="13"/>
      <c r="AO12" s="13"/>
      <c r="AP12" s="13">
        <v>59636.89</v>
      </c>
      <c r="AQ12" s="13"/>
      <c r="AR12" s="13"/>
      <c r="AS12" s="13"/>
      <c r="AT12" s="13">
        <v>6464</v>
      </c>
      <c r="AU12" s="13">
        <v>583</v>
      </c>
      <c r="AV12" s="11">
        <v>48790</v>
      </c>
      <c r="AW12" s="11">
        <v>124</v>
      </c>
      <c r="AX12" s="11">
        <v>18483</v>
      </c>
      <c r="AY12" s="13">
        <v>100840.34</v>
      </c>
      <c r="AZ12" s="13">
        <v>1</v>
      </c>
      <c r="BA12" s="13">
        <v>100840.34</v>
      </c>
      <c r="BB12" s="13">
        <v>27516</v>
      </c>
      <c r="BC12" s="13">
        <v>1991596.63</v>
      </c>
      <c r="BD12" s="13">
        <v>18</v>
      </c>
      <c r="BE12" s="13">
        <v>110644.257</v>
      </c>
      <c r="BF12" s="13">
        <v>544555</v>
      </c>
      <c r="BG12" s="13">
        <v>134453.79</v>
      </c>
      <c r="BH12" s="13">
        <v>3</v>
      </c>
      <c r="BI12" s="13">
        <v>44817.93</v>
      </c>
      <c r="BJ12" s="13">
        <v>24463</v>
      </c>
      <c r="BK12" s="13"/>
      <c r="BL12" s="13"/>
      <c r="BM12" s="13"/>
      <c r="BN12" s="13"/>
      <c r="BO12" s="13">
        <v>441</v>
      </c>
      <c r="BP12" s="13">
        <v>0</v>
      </c>
      <c r="BQ12" s="13">
        <v>0</v>
      </c>
      <c r="BR12" s="13">
        <v>83</v>
      </c>
      <c r="BS12" s="13">
        <v>0</v>
      </c>
      <c r="BT12" s="13">
        <v>0</v>
      </c>
      <c r="BU12" s="13">
        <v>32</v>
      </c>
      <c r="BV12" s="13">
        <v>1</v>
      </c>
      <c r="BW12" s="13">
        <v>3.125E-2</v>
      </c>
      <c r="BX12" s="13">
        <v>12</v>
      </c>
      <c r="BY12" s="13">
        <v>0</v>
      </c>
      <c r="BZ12" s="13">
        <v>0</v>
      </c>
      <c r="CA12" s="13">
        <v>65</v>
      </c>
      <c r="CB12" s="13">
        <v>3</v>
      </c>
      <c r="CC12" s="13">
        <v>4.6153846153846156E-2</v>
      </c>
      <c r="CD12" s="13">
        <v>633</v>
      </c>
      <c r="CE12" s="13">
        <v>4</v>
      </c>
      <c r="CF12" s="13">
        <v>6.3191153238546603E-3</v>
      </c>
      <c r="CG12" s="13"/>
      <c r="CH12" s="13"/>
      <c r="CI12" s="13"/>
    </row>
    <row r="13" spans="2:87" x14ac:dyDescent="0.2">
      <c r="B13">
        <v>46121</v>
      </c>
      <c r="C13" s="13">
        <v>31</v>
      </c>
      <c r="D13" s="13">
        <v>2.2999999999999998</v>
      </c>
      <c r="E13" s="13">
        <v>148312.82199999999</v>
      </c>
      <c r="F13" s="13">
        <v>-1</v>
      </c>
      <c r="G13" s="13">
        <v>4729714.3</v>
      </c>
      <c r="H13" s="13">
        <v>-90000</v>
      </c>
      <c r="I13" s="13">
        <v>-42016.81</v>
      </c>
      <c r="J13" s="13">
        <v>4597697.49</v>
      </c>
      <c r="K13" s="13">
        <v>116012</v>
      </c>
      <c r="L13" s="13">
        <v>0</v>
      </c>
      <c r="M13" s="13">
        <v>806302.51</v>
      </c>
      <c r="N13" s="13">
        <v>5520012</v>
      </c>
      <c r="O13" s="13">
        <v>29411.759999999998</v>
      </c>
      <c r="P13" s="13">
        <v>4568285.7300000004</v>
      </c>
      <c r="Q13" s="13">
        <v>1540221</v>
      </c>
      <c r="R13" s="13">
        <v>3028064.73</v>
      </c>
      <c r="S13" s="13">
        <v>0</v>
      </c>
      <c r="T13" s="13">
        <v>70</v>
      </c>
      <c r="U13" s="13">
        <v>0</v>
      </c>
      <c r="V13" s="13">
        <v>0</v>
      </c>
      <c r="W13">
        <v>46143.519570833334</v>
      </c>
      <c r="X13" s="13">
        <v>14</v>
      </c>
      <c r="Y13" s="13">
        <v>18</v>
      </c>
      <c r="Z13" s="13">
        <v>3224840.34</v>
      </c>
      <c r="AA13" s="13">
        <v>179157.796</v>
      </c>
      <c r="AB13" s="13">
        <v>1048123</v>
      </c>
      <c r="AC13" s="13">
        <v>2147305.58</v>
      </c>
      <c r="AD13" s="13">
        <v>13</v>
      </c>
      <c r="AE13" s="13">
        <v>13</v>
      </c>
      <c r="AF13" s="13">
        <v>1372857.15</v>
      </c>
      <c r="AG13" s="13">
        <v>105604.39599999999</v>
      </c>
      <c r="AH13" s="13">
        <v>492098</v>
      </c>
      <c r="AI13" s="13">
        <v>880759.15</v>
      </c>
      <c r="AJ13" s="13"/>
      <c r="AK13" s="13"/>
      <c r="AL13" s="13"/>
      <c r="AM13" s="13"/>
      <c r="AN13" s="13"/>
      <c r="AO13" s="13"/>
      <c r="AP13" s="13">
        <v>48073.95</v>
      </c>
      <c r="AQ13" s="13"/>
      <c r="AR13" s="13"/>
      <c r="AS13" s="13"/>
      <c r="AT13" s="13">
        <v>6311</v>
      </c>
      <c r="AU13" s="13">
        <v>661</v>
      </c>
      <c r="AV13" s="11">
        <v>61511</v>
      </c>
      <c r="AW13" s="11">
        <v>117</v>
      </c>
      <c r="AX13" s="11">
        <v>18919</v>
      </c>
      <c r="AY13" s="13">
        <v>865546.22</v>
      </c>
      <c r="AZ13" s="13">
        <v>8</v>
      </c>
      <c r="BA13" s="13">
        <v>108193.277</v>
      </c>
      <c r="BB13" s="13">
        <v>278877</v>
      </c>
      <c r="BC13" s="13">
        <v>3732151.27</v>
      </c>
      <c r="BD13" s="13">
        <v>23</v>
      </c>
      <c r="BE13" s="13">
        <v>162267.446</v>
      </c>
      <c r="BF13" s="13">
        <v>1261344</v>
      </c>
      <c r="BG13" s="13"/>
      <c r="BH13" s="13"/>
      <c r="BI13" s="13"/>
      <c r="BJ13" s="13"/>
      <c r="BK13" s="13"/>
      <c r="BL13" s="13"/>
      <c r="BM13" s="13"/>
      <c r="BN13" s="13"/>
      <c r="BO13" s="13">
        <v>501</v>
      </c>
      <c r="BP13" s="13">
        <v>0</v>
      </c>
      <c r="BQ13" s="13">
        <v>0</v>
      </c>
      <c r="BR13" s="13">
        <v>85</v>
      </c>
      <c r="BS13" s="13">
        <v>0</v>
      </c>
      <c r="BT13" s="13">
        <v>0</v>
      </c>
      <c r="BU13" s="13">
        <v>46</v>
      </c>
      <c r="BV13" s="13">
        <v>3</v>
      </c>
      <c r="BW13" s="13">
        <v>6.5217391304347824E-2</v>
      </c>
      <c r="BX13" s="13">
        <v>8</v>
      </c>
      <c r="BY13" s="13">
        <v>0</v>
      </c>
      <c r="BZ13" s="13">
        <v>0</v>
      </c>
      <c r="CA13" s="13">
        <v>177</v>
      </c>
      <c r="CB13" s="13">
        <v>9</v>
      </c>
      <c r="CC13" s="13">
        <v>5.0847457627118647E-2</v>
      </c>
      <c r="CD13" s="13">
        <v>817</v>
      </c>
      <c r="CE13" s="13">
        <v>12</v>
      </c>
      <c r="CF13" s="13">
        <v>1.4687882496940025E-2</v>
      </c>
      <c r="CG13" s="13"/>
      <c r="CH13" s="13"/>
      <c r="CI13" s="13"/>
    </row>
    <row r="14" spans="2:87" x14ac:dyDescent="0.2">
      <c r="B14">
        <v>46122</v>
      </c>
      <c r="C14" s="13">
        <v>36</v>
      </c>
      <c r="D14" s="13">
        <v>3.1</v>
      </c>
      <c r="E14" s="13">
        <v>180722.45499999999</v>
      </c>
      <c r="F14" s="13">
        <v>-2</v>
      </c>
      <c r="G14" s="13">
        <v>6775336.0800000001</v>
      </c>
      <c r="H14" s="13">
        <v>-269327.7</v>
      </c>
      <c r="I14" s="13">
        <v>0</v>
      </c>
      <c r="J14" s="13">
        <v>6506008.3799999999</v>
      </c>
      <c r="K14" s="13">
        <v>48000</v>
      </c>
      <c r="L14" s="13">
        <v>0</v>
      </c>
      <c r="M14" s="13">
        <v>1229491.6200000001</v>
      </c>
      <c r="N14" s="13">
        <v>7783500</v>
      </c>
      <c r="O14" s="13">
        <v>0</v>
      </c>
      <c r="P14" s="13">
        <v>6506008.3799999999</v>
      </c>
      <c r="Q14" s="13">
        <v>1782412</v>
      </c>
      <c r="R14" s="13">
        <v>4723596.38</v>
      </c>
      <c r="S14" s="13">
        <v>0</v>
      </c>
      <c r="T14" s="13">
        <v>109</v>
      </c>
      <c r="U14" s="13">
        <v>0</v>
      </c>
      <c r="V14" s="13">
        <v>0</v>
      </c>
      <c r="W14">
        <v>46143.519570833334</v>
      </c>
      <c r="X14" s="13">
        <v>16</v>
      </c>
      <c r="Y14" s="13">
        <v>25</v>
      </c>
      <c r="Z14" s="13">
        <v>5295924.3600000003</v>
      </c>
      <c r="AA14" s="13">
        <v>211836.97399999999</v>
      </c>
      <c r="AB14" s="13">
        <v>1413795</v>
      </c>
      <c r="AC14" s="13">
        <v>3882129.36</v>
      </c>
      <c r="AD14" s="13">
        <v>11</v>
      </c>
      <c r="AE14" s="13">
        <v>11</v>
      </c>
      <c r="AF14" s="13">
        <v>1210084.02</v>
      </c>
      <c r="AG14" s="13">
        <v>110007.63800000001</v>
      </c>
      <c r="AH14" s="13">
        <v>368617</v>
      </c>
      <c r="AI14" s="13">
        <v>841467.02</v>
      </c>
      <c r="AJ14" s="13"/>
      <c r="AK14" s="13"/>
      <c r="AL14" s="13"/>
      <c r="AM14" s="13"/>
      <c r="AN14" s="13"/>
      <c r="AO14" s="13"/>
      <c r="AP14" s="13">
        <v>49629.599999999999</v>
      </c>
      <c r="AQ14" s="13"/>
      <c r="AR14" s="13"/>
      <c r="AS14" s="13"/>
      <c r="AT14" s="13">
        <v>5311</v>
      </c>
      <c r="AU14" s="13">
        <v>499</v>
      </c>
      <c r="AV14" s="11">
        <v>78438</v>
      </c>
      <c r="AW14" s="11">
        <v>153</v>
      </c>
      <c r="AX14" s="11">
        <v>20183</v>
      </c>
      <c r="AY14" s="13">
        <v>903361.34</v>
      </c>
      <c r="AZ14" s="13">
        <v>5</v>
      </c>
      <c r="BA14" s="13">
        <v>180672.26800000001</v>
      </c>
      <c r="BB14" s="13">
        <v>200380</v>
      </c>
      <c r="BC14" s="13">
        <v>5552226.8700000001</v>
      </c>
      <c r="BD14" s="13">
        <v>30</v>
      </c>
      <c r="BE14" s="13">
        <v>185074.22899999999</v>
      </c>
      <c r="BF14" s="13">
        <v>1572837</v>
      </c>
      <c r="BG14" s="13">
        <v>50420.17</v>
      </c>
      <c r="BH14" s="13">
        <v>1</v>
      </c>
      <c r="BI14" s="13">
        <v>50420.17</v>
      </c>
      <c r="BJ14" s="13">
        <v>9195</v>
      </c>
      <c r="BK14" s="13"/>
      <c r="BL14" s="13"/>
      <c r="BM14" s="13"/>
      <c r="BN14" s="13"/>
      <c r="BO14" s="13">
        <v>378</v>
      </c>
      <c r="BP14" s="13">
        <v>0</v>
      </c>
      <c r="BQ14" s="13">
        <v>0</v>
      </c>
      <c r="BR14" s="13">
        <v>104</v>
      </c>
      <c r="BS14" s="13">
        <v>2</v>
      </c>
      <c r="BT14" s="13">
        <v>1.9230769230769232E-2</v>
      </c>
      <c r="BU14" s="13">
        <v>35</v>
      </c>
      <c r="BV14" s="13">
        <v>0</v>
      </c>
      <c r="BW14" s="13">
        <v>0</v>
      </c>
      <c r="BX14" s="13">
        <v>9</v>
      </c>
      <c r="BY14" s="13">
        <v>0</v>
      </c>
      <c r="BZ14" s="13">
        <v>0</v>
      </c>
      <c r="CA14" s="13">
        <v>97</v>
      </c>
      <c r="CB14" s="13">
        <v>3</v>
      </c>
      <c r="CC14" s="13">
        <v>3.0927835051546393E-2</v>
      </c>
      <c r="CD14" s="13">
        <v>623</v>
      </c>
      <c r="CE14" s="13">
        <v>5</v>
      </c>
      <c r="CF14" s="13">
        <v>8.0256821829855531E-3</v>
      </c>
      <c r="CG14" s="13"/>
      <c r="CH14" s="13"/>
      <c r="CI14" s="13"/>
    </row>
    <row r="15" spans="2:87" x14ac:dyDescent="0.2">
      <c r="B15">
        <v>46123</v>
      </c>
      <c r="C15" s="13">
        <v>27</v>
      </c>
      <c r="D15" s="13">
        <v>1.5</v>
      </c>
      <c r="E15" s="13">
        <v>120261.43799999999</v>
      </c>
      <c r="F15" s="13">
        <v>-1</v>
      </c>
      <c r="G15" s="13">
        <v>3247058.83</v>
      </c>
      <c r="H15" s="13">
        <v>0</v>
      </c>
      <c r="I15" s="13">
        <v>-63025.21</v>
      </c>
      <c r="J15" s="13">
        <v>3184033.62</v>
      </c>
      <c r="K15" s="13">
        <v>12000</v>
      </c>
      <c r="L15" s="13">
        <v>0</v>
      </c>
      <c r="M15" s="13">
        <v>604966.38</v>
      </c>
      <c r="N15" s="13">
        <v>3801000</v>
      </c>
      <c r="O15" s="13">
        <v>0</v>
      </c>
      <c r="P15" s="13">
        <v>3184033.62</v>
      </c>
      <c r="Q15" s="13">
        <v>1108729</v>
      </c>
      <c r="R15" s="13">
        <v>2075304.62</v>
      </c>
      <c r="S15" s="13">
        <v>0</v>
      </c>
      <c r="T15" s="13">
        <v>40</v>
      </c>
      <c r="U15" s="13">
        <v>0</v>
      </c>
      <c r="V15" s="13">
        <v>0</v>
      </c>
      <c r="W15">
        <v>46143.519570833334</v>
      </c>
      <c r="X15" s="13">
        <v>12</v>
      </c>
      <c r="Y15" s="13">
        <v>14</v>
      </c>
      <c r="Z15" s="13">
        <v>1599159.66</v>
      </c>
      <c r="AA15" s="13">
        <v>114225.69</v>
      </c>
      <c r="AB15" s="13">
        <v>526458</v>
      </c>
      <c r="AC15" s="13">
        <v>1072701.6599999999</v>
      </c>
      <c r="AD15" s="13">
        <v>12</v>
      </c>
      <c r="AE15" s="13">
        <v>12</v>
      </c>
      <c r="AF15" s="13">
        <v>1584873.96</v>
      </c>
      <c r="AG15" s="13">
        <v>132072.82999999999</v>
      </c>
      <c r="AH15" s="13">
        <v>582271</v>
      </c>
      <c r="AI15" s="13">
        <v>1002602.96</v>
      </c>
      <c r="AJ15" s="13">
        <v>1</v>
      </c>
      <c r="AK15" s="13">
        <v>1</v>
      </c>
      <c r="AL15" s="13">
        <v>0</v>
      </c>
      <c r="AM15" s="13">
        <v>63025.21</v>
      </c>
      <c r="AN15" s="13">
        <v>0</v>
      </c>
      <c r="AO15" s="13">
        <v>0</v>
      </c>
      <c r="AP15" s="13">
        <v>62945.94</v>
      </c>
      <c r="AQ15" s="13"/>
      <c r="AR15" s="13"/>
      <c r="AS15" s="13"/>
      <c r="AT15" s="13">
        <v>5885</v>
      </c>
      <c r="AU15" s="13">
        <v>505</v>
      </c>
      <c r="AV15" s="11">
        <v>73995</v>
      </c>
      <c r="AW15" s="11">
        <v>191</v>
      </c>
      <c r="AX15" s="11">
        <v>22109</v>
      </c>
      <c r="AY15" s="13">
        <v>390756.3</v>
      </c>
      <c r="AZ15" s="13">
        <v>3</v>
      </c>
      <c r="BA15" s="13">
        <v>151260.503</v>
      </c>
      <c r="BB15" s="13">
        <v>80605</v>
      </c>
      <c r="BC15" s="13">
        <v>2700840.34</v>
      </c>
      <c r="BD15" s="13">
        <v>22</v>
      </c>
      <c r="BE15" s="13">
        <v>122765.47</v>
      </c>
      <c r="BF15" s="13">
        <v>1012156</v>
      </c>
      <c r="BG15" s="13">
        <v>92436.98</v>
      </c>
      <c r="BH15" s="13">
        <v>2</v>
      </c>
      <c r="BI15" s="13">
        <v>46218.49</v>
      </c>
      <c r="BJ15" s="13">
        <v>15968</v>
      </c>
      <c r="BK15" s="13"/>
      <c r="BL15" s="13"/>
      <c r="BM15" s="13"/>
      <c r="BN15" s="13"/>
      <c r="BO15" s="13">
        <v>360</v>
      </c>
      <c r="BP15" s="13">
        <v>0</v>
      </c>
      <c r="BQ15" s="13">
        <v>0</v>
      </c>
      <c r="BR15" s="13">
        <v>120</v>
      </c>
      <c r="BS15" s="13">
        <v>0</v>
      </c>
      <c r="BT15" s="13">
        <v>0</v>
      </c>
      <c r="BU15" s="13">
        <v>43</v>
      </c>
      <c r="BV15" s="13">
        <v>0</v>
      </c>
      <c r="BW15" s="13">
        <v>0</v>
      </c>
      <c r="BX15" s="13">
        <v>9</v>
      </c>
      <c r="BY15" s="13">
        <v>0</v>
      </c>
      <c r="BZ15" s="13">
        <v>0</v>
      </c>
      <c r="CA15" s="13">
        <v>77</v>
      </c>
      <c r="CB15" s="13">
        <v>2</v>
      </c>
      <c r="CC15" s="13">
        <v>2.5974025974025976E-2</v>
      </c>
      <c r="CD15" s="13">
        <v>609</v>
      </c>
      <c r="CE15" s="13">
        <v>2</v>
      </c>
      <c r="CF15" s="13">
        <v>3.2840722495894909E-3</v>
      </c>
      <c r="CG15" s="13"/>
      <c r="CH15" s="13"/>
      <c r="CI15" s="13"/>
    </row>
    <row r="16" spans="2:87" x14ac:dyDescent="0.2">
      <c r="B16">
        <v>46124</v>
      </c>
      <c r="C16" s="13">
        <v>18</v>
      </c>
      <c r="D16" s="13">
        <v>2.6</v>
      </c>
      <c r="E16" s="13">
        <v>146823.52900000001</v>
      </c>
      <c r="F16" s="13">
        <v>0</v>
      </c>
      <c r="G16" s="13">
        <v>2642823.5299999998</v>
      </c>
      <c r="H16" s="13">
        <v>0</v>
      </c>
      <c r="I16" s="13">
        <v>0</v>
      </c>
      <c r="J16" s="13">
        <v>2642823.5299999998</v>
      </c>
      <c r="K16" s="13">
        <v>64000</v>
      </c>
      <c r="L16" s="13">
        <v>0</v>
      </c>
      <c r="M16" s="13">
        <v>486176.47</v>
      </c>
      <c r="N16" s="13">
        <v>3193000</v>
      </c>
      <c r="O16" s="13">
        <v>0</v>
      </c>
      <c r="P16" s="13">
        <v>2642823.5299999998</v>
      </c>
      <c r="Q16" s="13">
        <v>774824</v>
      </c>
      <c r="R16" s="13">
        <v>1867999.53</v>
      </c>
      <c r="S16" s="13">
        <v>0</v>
      </c>
      <c r="T16" s="13">
        <v>46</v>
      </c>
      <c r="U16" s="13">
        <v>0</v>
      </c>
      <c r="V16" s="13">
        <v>0</v>
      </c>
      <c r="W16">
        <v>46143.519570833334</v>
      </c>
      <c r="X16" s="13">
        <v>7</v>
      </c>
      <c r="Y16" s="13">
        <v>11</v>
      </c>
      <c r="Z16" s="13">
        <v>1172235.29</v>
      </c>
      <c r="AA16" s="13">
        <v>106566.844</v>
      </c>
      <c r="AB16" s="13">
        <v>381510</v>
      </c>
      <c r="AC16" s="13">
        <v>790725.29</v>
      </c>
      <c r="AD16" s="13">
        <v>7</v>
      </c>
      <c r="AE16" s="13">
        <v>7</v>
      </c>
      <c r="AF16" s="13">
        <v>1470588.24</v>
      </c>
      <c r="AG16" s="13">
        <v>210084.03400000001</v>
      </c>
      <c r="AH16" s="13">
        <v>393314</v>
      </c>
      <c r="AI16" s="13">
        <v>1077274.24</v>
      </c>
      <c r="AJ16" s="13"/>
      <c r="AK16" s="13"/>
      <c r="AL16" s="13"/>
      <c r="AM16" s="13"/>
      <c r="AN16" s="13"/>
      <c r="AO16" s="13"/>
      <c r="AP16" s="13">
        <v>49079.839999999997</v>
      </c>
      <c r="AQ16" s="13"/>
      <c r="AR16" s="13"/>
      <c r="AS16" s="13"/>
      <c r="AT16" s="13">
        <v>6131</v>
      </c>
      <c r="AU16" s="13">
        <v>575</v>
      </c>
      <c r="AV16" s="11">
        <v>75184</v>
      </c>
      <c r="AW16" s="11">
        <v>200</v>
      </c>
      <c r="AX16" s="11">
        <v>23877</v>
      </c>
      <c r="AY16" s="13">
        <v>621848.75</v>
      </c>
      <c r="AZ16" s="13">
        <v>5</v>
      </c>
      <c r="BA16" s="13">
        <v>124369.75</v>
      </c>
      <c r="BB16" s="13">
        <v>235327</v>
      </c>
      <c r="BC16" s="13">
        <v>2020974.78</v>
      </c>
      <c r="BD16" s="13">
        <v>13</v>
      </c>
      <c r="BE16" s="13">
        <v>155459.598</v>
      </c>
      <c r="BF16" s="13">
        <v>539497</v>
      </c>
      <c r="BG16" s="13"/>
      <c r="BH16" s="13"/>
      <c r="BI16" s="13"/>
      <c r="BJ16" s="13"/>
      <c r="BK16" s="13"/>
      <c r="BL16" s="13"/>
      <c r="BM16" s="13"/>
      <c r="BN16" s="13"/>
      <c r="BO16" s="13">
        <v>438</v>
      </c>
      <c r="BP16" s="13">
        <v>0</v>
      </c>
      <c r="BQ16" s="13">
        <v>0</v>
      </c>
      <c r="BR16" s="13">
        <v>129</v>
      </c>
      <c r="BS16" s="13">
        <v>0</v>
      </c>
      <c r="BT16" s="13">
        <v>0</v>
      </c>
      <c r="BU16" s="13">
        <v>35</v>
      </c>
      <c r="BV16" s="13">
        <v>1</v>
      </c>
      <c r="BW16" s="13">
        <v>2.8571428571428571E-2</v>
      </c>
      <c r="BX16" s="13">
        <v>8</v>
      </c>
      <c r="BY16" s="13">
        <v>0</v>
      </c>
      <c r="BZ16" s="13">
        <v>0</v>
      </c>
      <c r="CA16" s="13">
        <v>68</v>
      </c>
      <c r="CB16" s="13">
        <v>5</v>
      </c>
      <c r="CC16" s="13">
        <v>7.3529411764705885E-2</v>
      </c>
      <c r="CD16" s="13">
        <v>678</v>
      </c>
      <c r="CE16" s="13">
        <v>6</v>
      </c>
      <c r="CF16" s="13">
        <v>8.8495575221238937E-3</v>
      </c>
      <c r="CG16" s="13"/>
      <c r="CH16" s="13"/>
      <c r="CI16" s="13"/>
    </row>
    <row r="17" spans="2:87" x14ac:dyDescent="0.2">
      <c r="B17">
        <v>46125</v>
      </c>
      <c r="C17" s="13">
        <v>33</v>
      </c>
      <c r="D17" s="13">
        <v>2.2000000000000002</v>
      </c>
      <c r="E17" s="13">
        <v>139868.856</v>
      </c>
      <c r="F17" s="13">
        <v>-2</v>
      </c>
      <c r="G17" s="13">
        <v>4870294.07</v>
      </c>
      <c r="H17" s="13">
        <v>-111764.67</v>
      </c>
      <c r="I17" s="13">
        <v>-84033.61</v>
      </c>
      <c r="J17" s="13">
        <v>4674495.79</v>
      </c>
      <c r="K17" s="13">
        <v>72000</v>
      </c>
      <c r="L17" s="13">
        <v>0</v>
      </c>
      <c r="M17" s="13">
        <v>862504.21</v>
      </c>
      <c r="N17" s="13">
        <v>5609000</v>
      </c>
      <c r="O17" s="13">
        <v>142857.15</v>
      </c>
      <c r="P17" s="13">
        <v>4531638.6399999997</v>
      </c>
      <c r="Q17" s="13">
        <v>1371002</v>
      </c>
      <c r="R17" s="13">
        <v>3160636.64</v>
      </c>
      <c r="S17" s="13">
        <v>0</v>
      </c>
      <c r="T17" s="13">
        <v>74</v>
      </c>
      <c r="U17" s="13">
        <v>0</v>
      </c>
      <c r="V17" s="13">
        <v>0</v>
      </c>
      <c r="W17">
        <v>46143.519570833334</v>
      </c>
      <c r="X17" s="13">
        <v>18</v>
      </c>
      <c r="Y17" s="13">
        <v>23</v>
      </c>
      <c r="Z17" s="13">
        <v>3456008.38</v>
      </c>
      <c r="AA17" s="13">
        <v>150261.23300000001</v>
      </c>
      <c r="AB17" s="13">
        <v>1049529</v>
      </c>
      <c r="AC17" s="13">
        <v>2335050.81</v>
      </c>
      <c r="AD17" s="13">
        <v>10</v>
      </c>
      <c r="AE17" s="13">
        <v>10</v>
      </c>
      <c r="AF17" s="13">
        <v>1218487.4099999999</v>
      </c>
      <c r="AG17" s="13">
        <v>115966.387</v>
      </c>
      <c r="AH17" s="13">
        <v>321473</v>
      </c>
      <c r="AI17" s="13">
        <v>825585.83</v>
      </c>
      <c r="AJ17" s="13"/>
      <c r="AK17" s="13"/>
      <c r="AL17" s="13"/>
      <c r="AM17" s="13"/>
      <c r="AN17" s="13"/>
      <c r="AO17" s="13"/>
      <c r="AP17" s="13">
        <v>53192.3</v>
      </c>
      <c r="AQ17" s="13"/>
      <c r="AR17" s="13"/>
      <c r="AS17" s="13"/>
      <c r="AT17" s="13">
        <v>6415</v>
      </c>
      <c r="AU17" s="13">
        <v>557</v>
      </c>
      <c r="AV17" s="11">
        <v>85745</v>
      </c>
      <c r="AW17" s="11">
        <v>171</v>
      </c>
      <c r="AX17" s="11">
        <v>22503</v>
      </c>
      <c r="AY17" s="13">
        <v>967773.11</v>
      </c>
      <c r="AZ17" s="13">
        <v>8</v>
      </c>
      <c r="BA17" s="13">
        <v>120971.63800000001</v>
      </c>
      <c r="BB17" s="13">
        <v>196798</v>
      </c>
      <c r="BC17" s="13">
        <v>3622689.07</v>
      </c>
      <c r="BD17" s="13">
        <v>24</v>
      </c>
      <c r="BE17" s="13">
        <v>148494.397</v>
      </c>
      <c r="BF17" s="13">
        <v>1161002</v>
      </c>
      <c r="BG17" s="13">
        <v>84033.61</v>
      </c>
      <c r="BH17" s="13">
        <v>1</v>
      </c>
      <c r="BI17" s="13">
        <v>84033.61</v>
      </c>
      <c r="BJ17" s="13">
        <v>13202</v>
      </c>
      <c r="BK17" s="13"/>
      <c r="BL17" s="13"/>
      <c r="BM17" s="13"/>
      <c r="BN17" s="13"/>
      <c r="BO17" s="13">
        <v>417</v>
      </c>
      <c r="BP17" s="13">
        <v>0</v>
      </c>
      <c r="BQ17" s="13">
        <v>0</v>
      </c>
      <c r="BR17" s="13">
        <v>104</v>
      </c>
      <c r="BS17" s="13">
        <v>0</v>
      </c>
      <c r="BT17" s="13">
        <v>0</v>
      </c>
      <c r="BU17" s="13">
        <v>54</v>
      </c>
      <c r="BV17" s="13">
        <v>4</v>
      </c>
      <c r="BW17" s="13">
        <v>7.407407407407407E-2</v>
      </c>
      <c r="BX17" s="13">
        <v>7</v>
      </c>
      <c r="BY17" s="13">
        <v>0</v>
      </c>
      <c r="BZ17" s="13">
        <v>0</v>
      </c>
      <c r="CA17" s="13">
        <v>135</v>
      </c>
      <c r="CB17" s="13">
        <v>3</v>
      </c>
      <c r="CC17" s="13">
        <v>2.2222222222222223E-2</v>
      </c>
      <c r="CD17" s="13">
        <v>717</v>
      </c>
      <c r="CE17" s="13">
        <v>7</v>
      </c>
      <c r="CF17" s="13">
        <v>9.7629009762900971E-3</v>
      </c>
      <c r="CG17" s="13"/>
      <c r="CH17" s="13"/>
      <c r="CI17" s="13"/>
    </row>
    <row r="18" spans="2:87" x14ac:dyDescent="0.2">
      <c r="B18">
        <v>46126</v>
      </c>
      <c r="C18" s="13">
        <v>25</v>
      </c>
      <c r="D18" s="13">
        <v>1.5</v>
      </c>
      <c r="E18" s="13">
        <v>100504.202</v>
      </c>
      <c r="F18" s="13">
        <v>0</v>
      </c>
      <c r="G18" s="13">
        <v>2512605.0499999998</v>
      </c>
      <c r="H18" s="13">
        <v>0</v>
      </c>
      <c r="I18" s="13">
        <v>0</v>
      </c>
      <c r="J18" s="13">
        <v>2512605.0499999998</v>
      </c>
      <c r="K18" s="13">
        <v>72000</v>
      </c>
      <c r="L18" s="13">
        <v>0</v>
      </c>
      <c r="M18" s="13">
        <v>477394.95</v>
      </c>
      <c r="N18" s="13">
        <v>3062000</v>
      </c>
      <c r="O18" s="13">
        <v>0</v>
      </c>
      <c r="P18" s="13">
        <v>2512605.0499999998</v>
      </c>
      <c r="Q18" s="13">
        <v>803079</v>
      </c>
      <c r="R18" s="13">
        <v>1709526.05</v>
      </c>
      <c r="S18" s="13">
        <v>0</v>
      </c>
      <c r="T18" s="13">
        <v>37</v>
      </c>
      <c r="U18" s="13">
        <v>0</v>
      </c>
      <c r="V18" s="13">
        <v>0</v>
      </c>
      <c r="W18">
        <v>46143.519570833334</v>
      </c>
      <c r="X18" s="13">
        <v>10</v>
      </c>
      <c r="Y18" s="13">
        <v>13</v>
      </c>
      <c r="Z18" s="13">
        <v>987394.95</v>
      </c>
      <c r="AA18" s="13">
        <v>75953.456999999995</v>
      </c>
      <c r="AB18" s="13">
        <v>349342</v>
      </c>
      <c r="AC18" s="13">
        <v>638052.94999999995</v>
      </c>
      <c r="AD18" s="13">
        <v>12</v>
      </c>
      <c r="AE18" s="13">
        <v>12</v>
      </c>
      <c r="AF18" s="13">
        <v>1525210.1</v>
      </c>
      <c r="AG18" s="13">
        <v>127100.841</v>
      </c>
      <c r="AH18" s="13">
        <v>453737</v>
      </c>
      <c r="AI18" s="13">
        <v>1071473.1000000001</v>
      </c>
      <c r="AJ18" s="13"/>
      <c r="AK18" s="13"/>
      <c r="AL18" s="13"/>
      <c r="AM18" s="13"/>
      <c r="AN18" s="13"/>
      <c r="AO18" s="13"/>
      <c r="AP18" s="13">
        <v>46282.33</v>
      </c>
      <c r="AQ18" s="13"/>
      <c r="AR18" s="13"/>
      <c r="AS18" s="13"/>
      <c r="AT18" s="13">
        <v>6213</v>
      </c>
      <c r="AU18" s="13">
        <v>542</v>
      </c>
      <c r="AV18" s="11">
        <v>87582</v>
      </c>
      <c r="AW18" s="11">
        <v>140</v>
      </c>
      <c r="AX18" s="11">
        <v>19548</v>
      </c>
      <c r="AY18" s="13">
        <v>138655.47</v>
      </c>
      <c r="AZ18" s="13">
        <v>2</v>
      </c>
      <c r="BA18" s="13">
        <v>69327.735000000001</v>
      </c>
      <c r="BB18" s="13">
        <v>32539</v>
      </c>
      <c r="BC18" s="13">
        <v>2176470.59</v>
      </c>
      <c r="BD18" s="13">
        <v>19</v>
      </c>
      <c r="BE18" s="13">
        <v>114551.083</v>
      </c>
      <c r="BF18" s="13">
        <v>733066</v>
      </c>
      <c r="BG18" s="13">
        <v>197478.99</v>
      </c>
      <c r="BH18" s="13">
        <v>4</v>
      </c>
      <c r="BI18" s="13">
        <v>49369.747000000003</v>
      </c>
      <c r="BJ18" s="13">
        <v>37474</v>
      </c>
      <c r="BK18" s="13"/>
      <c r="BL18" s="13"/>
      <c r="BM18" s="13"/>
      <c r="BN18" s="13"/>
      <c r="BO18" s="13">
        <v>401</v>
      </c>
      <c r="BP18" s="13">
        <v>0</v>
      </c>
      <c r="BQ18" s="13">
        <v>0</v>
      </c>
      <c r="BR18" s="13">
        <v>91</v>
      </c>
      <c r="BS18" s="13">
        <v>0</v>
      </c>
      <c r="BT18" s="13">
        <v>0</v>
      </c>
      <c r="BU18" s="13">
        <v>56</v>
      </c>
      <c r="BV18" s="13">
        <v>1</v>
      </c>
      <c r="BW18" s="13">
        <v>1.7857142857142856E-2</v>
      </c>
      <c r="BX18" s="13">
        <v>6</v>
      </c>
      <c r="BY18" s="13">
        <v>0</v>
      </c>
      <c r="BZ18" s="13">
        <v>0</v>
      </c>
      <c r="CA18" s="13">
        <v>172</v>
      </c>
      <c r="CB18" s="13">
        <v>3</v>
      </c>
      <c r="CC18" s="13">
        <v>1.7441860465116279E-2</v>
      </c>
      <c r="CD18" s="13">
        <v>726</v>
      </c>
      <c r="CE18" s="13">
        <v>4</v>
      </c>
      <c r="CF18" s="13">
        <v>5.5096418732782371E-3</v>
      </c>
      <c r="CG18" s="13"/>
      <c r="CH18" s="13"/>
      <c r="CI18" s="13"/>
    </row>
    <row r="19" spans="2:87" x14ac:dyDescent="0.2">
      <c r="B19">
        <v>46127</v>
      </c>
      <c r="C19" s="13">
        <v>30</v>
      </c>
      <c r="D19" s="13">
        <v>2</v>
      </c>
      <c r="E19" s="13">
        <v>142156.86199999999</v>
      </c>
      <c r="F19" s="13">
        <v>0</v>
      </c>
      <c r="G19" s="13">
        <v>4264705.8600000003</v>
      </c>
      <c r="H19" s="13">
        <v>0</v>
      </c>
      <c r="I19" s="13">
        <v>0</v>
      </c>
      <c r="J19" s="13">
        <v>4264705.8600000003</v>
      </c>
      <c r="K19" s="13">
        <v>48000</v>
      </c>
      <c r="L19" s="13">
        <v>0</v>
      </c>
      <c r="M19" s="13">
        <v>810294.14</v>
      </c>
      <c r="N19" s="13">
        <v>5123000</v>
      </c>
      <c r="O19" s="13">
        <v>58823.519999999997</v>
      </c>
      <c r="P19" s="13">
        <v>4205882.34</v>
      </c>
      <c r="Q19" s="13">
        <v>1225767</v>
      </c>
      <c r="R19" s="13">
        <v>2980115.34</v>
      </c>
      <c r="S19" s="13">
        <v>0</v>
      </c>
      <c r="T19" s="13">
        <v>59</v>
      </c>
      <c r="U19" s="13">
        <v>0</v>
      </c>
      <c r="V19" s="13">
        <v>0</v>
      </c>
      <c r="W19">
        <v>46143.519570833334</v>
      </c>
      <c r="X19" s="13">
        <v>11</v>
      </c>
      <c r="Y19" s="13">
        <v>19</v>
      </c>
      <c r="Z19" s="13">
        <v>2487394.9500000002</v>
      </c>
      <c r="AA19" s="13">
        <v>130915.523</v>
      </c>
      <c r="AB19" s="13">
        <v>694359</v>
      </c>
      <c r="AC19" s="13">
        <v>1734212.43</v>
      </c>
      <c r="AD19" s="13">
        <v>11</v>
      </c>
      <c r="AE19" s="13">
        <v>11</v>
      </c>
      <c r="AF19" s="13">
        <v>1777310.91</v>
      </c>
      <c r="AG19" s="13">
        <v>161573.71900000001</v>
      </c>
      <c r="AH19" s="13">
        <v>531408</v>
      </c>
      <c r="AI19" s="13">
        <v>1245902.9099999999</v>
      </c>
      <c r="AJ19" s="13"/>
      <c r="AK19" s="13"/>
      <c r="AL19" s="13"/>
      <c r="AM19" s="13"/>
      <c r="AN19" s="13"/>
      <c r="AO19" s="13"/>
      <c r="AP19" s="13">
        <v>50500.72</v>
      </c>
      <c r="AQ19" s="13"/>
      <c r="AR19" s="13"/>
      <c r="AS19" s="13"/>
      <c r="AT19" s="13">
        <v>5314</v>
      </c>
      <c r="AU19" s="13">
        <v>499</v>
      </c>
      <c r="AV19" s="11">
        <v>79438</v>
      </c>
      <c r="AW19" s="11">
        <v>162</v>
      </c>
      <c r="AX19" s="11">
        <v>19179</v>
      </c>
      <c r="AY19" s="13">
        <v>1096638.6499999999</v>
      </c>
      <c r="AZ19" s="13">
        <v>6</v>
      </c>
      <c r="BA19" s="13">
        <v>182773.10800000001</v>
      </c>
      <c r="BB19" s="13">
        <v>363095</v>
      </c>
      <c r="BC19" s="13">
        <v>2957983.18</v>
      </c>
      <c r="BD19" s="13">
        <v>21</v>
      </c>
      <c r="BE19" s="13">
        <v>140856.34099999999</v>
      </c>
      <c r="BF19" s="13">
        <v>826272</v>
      </c>
      <c r="BG19" s="13">
        <v>210084.03</v>
      </c>
      <c r="BH19" s="13">
        <v>3</v>
      </c>
      <c r="BI19" s="13">
        <v>70028.009999999995</v>
      </c>
      <c r="BJ19" s="13">
        <v>36400</v>
      </c>
      <c r="BK19" s="13"/>
      <c r="BL19" s="13"/>
      <c r="BM19" s="13"/>
      <c r="BN19" s="13"/>
      <c r="BO19" s="13">
        <v>348</v>
      </c>
      <c r="BP19" s="13">
        <v>0</v>
      </c>
      <c r="BQ19" s="13">
        <v>0</v>
      </c>
      <c r="BR19" s="13">
        <v>96</v>
      </c>
      <c r="BS19" s="13">
        <v>0</v>
      </c>
      <c r="BT19" s="13">
        <v>0</v>
      </c>
      <c r="BU19" s="13">
        <v>47</v>
      </c>
      <c r="BV19" s="13">
        <v>2</v>
      </c>
      <c r="BW19" s="13">
        <v>4.2553191489361701E-2</v>
      </c>
      <c r="BX19" s="13">
        <v>4</v>
      </c>
      <c r="BY19" s="13">
        <v>0</v>
      </c>
      <c r="BZ19" s="13">
        <v>0</v>
      </c>
      <c r="CA19" s="13">
        <v>106</v>
      </c>
      <c r="CB19" s="13">
        <v>4</v>
      </c>
      <c r="CC19" s="13">
        <v>3.7735849056603772E-2</v>
      </c>
      <c r="CD19" s="13">
        <v>601</v>
      </c>
      <c r="CE19" s="13">
        <v>6</v>
      </c>
      <c r="CF19" s="13">
        <v>9.9833610648918467E-3</v>
      </c>
      <c r="CG19" s="13"/>
      <c r="CH19" s="13"/>
      <c r="CI19" s="13"/>
    </row>
    <row r="20" spans="2:87" x14ac:dyDescent="0.2">
      <c r="B20">
        <v>46128</v>
      </c>
      <c r="C20" s="13">
        <v>24</v>
      </c>
      <c r="D20" s="13">
        <v>4.2</v>
      </c>
      <c r="E20" s="13">
        <v>191695.02600000001</v>
      </c>
      <c r="F20" s="13">
        <v>0</v>
      </c>
      <c r="G20" s="13">
        <v>4751941.1399999997</v>
      </c>
      <c r="H20" s="13">
        <v>-117647.05</v>
      </c>
      <c r="I20" s="13">
        <v>0</v>
      </c>
      <c r="J20" s="13">
        <v>4634294.09</v>
      </c>
      <c r="K20" s="13">
        <v>56000</v>
      </c>
      <c r="L20" s="13">
        <v>0</v>
      </c>
      <c r="M20" s="13">
        <v>861705.91</v>
      </c>
      <c r="N20" s="13">
        <v>5552000</v>
      </c>
      <c r="O20" s="13">
        <v>42016.81</v>
      </c>
      <c r="P20" s="13">
        <v>4592277.28</v>
      </c>
      <c r="Q20" s="13">
        <v>1469776</v>
      </c>
      <c r="R20" s="13">
        <v>3122501.28</v>
      </c>
      <c r="S20" s="13">
        <v>170000</v>
      </c>
      <c r="T20" s="13">
        <v>102</v>
      </c>
      <c r="U20" s="13">
        <v>0</v>
      </c>
      <c r="V20" s="13">
        <v>170000</v>
      </c>
      <c r="W20">
        <v>46143.519570833334</v>
      </c>
      <c r="X20" s="13">
        <v>13</v>
      </c>
      <c r="Y20" s="13">
        <v>15</v>
      </c>
      <c r="Z20" s="13">
        <v>1312445.3500000001</v>
      </c>
      <c r="AA20" s="13">
        <v>87496.356</v>
      </c>
      <c r="AB20" s="13">
        <v>390501</v>
      </c>
      <c r="AC20" s="13">
        <v>879927.54</v>
      </c>
      <c r="AD20" s="13">
        <v>9</v>
      </c>
      <c r="AE20" s="13">
        <v>9</v>
      </c>
      <c r="AF20" s="13">
        <v>3321848.74</v>
      </c>
      <c r="AG20" s="13">
        <v>365359.47600000002</v>
      </c>
      <c r="AH20" s="13">
        <v>1079275</v>
      </c>
      <c r="AI20" s="13">
        <v>2242573.7400000002</v>
      </c>
      <c r="AJ20" s="13">
        <v>0</v>
      </c>
      <c r="AK20" s="13">
        <v>0</v>
      </c>
      <c r="AL20" s="13">
        <v>0</v>
      </c>
      <c r="AM20" s="13"/>
      <c r="AN20" s="13">
        <v>0</v>
      </c>
      <c r="AO20" s="13">
        <v>0</v>
      </c>
      <c r="AP20" s="13">
        <v>51250.65</v>
      </c>
      <c r="AQ20" s="13"/>
      <c r="AR20" s="13"/>
      <c r="AS20" s="13"/>
      <c r="AT20" s="13">
        <v>6215</v>
      </c>
      <c r="AU20" s="13">
        <v>583</v>
      </c>
      <c r="AV20" s="11">
        <v>76053</v>
      </c>
      <c r="AW20" s="11">
        <v>135</v>
      </c>
      <c r="AX20" s="11">
        <v>18680</v>
      </c>
      <c r="AY20" s="13">
        <v>752100.83</v>
      </c>
      <c r="AZ20" s="13">
        <v>6</v>
      </c>
      <c r="BA20" s="13">
        <v>125350.13800000001</v>
      </c>
      <c r="BB20" s="13">
        <v>198866</v>
      </c>
      <c r="BC20" s="13">
        <v>3882193.26</v>
      </c>
      <c r="BD20" s="13">
        <v>18</v>
      </c>
      <c r="BE20" s="13">
        <v>213809.989</v>
      </c>
      <c r="BF20" s="13">
        <v>1270910</v>
      </c>
      <c r="BG20" s="13"/>
      <c r="BH20" s="13"/>
      <c r="BI20" s="13"/>
      <c r="BJ20" s="13"/>
      <c r="BK20" s="13"/>
      <c r="BL20" s="13"/>
      <c r="BM20" s="13"/>
      <c r="BN20" s="13"/>
      <c r="BO20" s="13">
        <v>463</v>
      </c>
      <c r="BP20" s="13">
        <v>0</v>
      </c>
      <c r="BQ20" s="13">
        <v>0</v>
      </c>
      <c r="BR20" s="13">
        <v>79</v>
      </c>
      <c r="BS20" s="13">
        <v>0</v>
      </c>
      <c r="BT20" s="13">
        <v>0</v>
      </c>
      <c r="BU20" s="13">
        <v>49</v>
      </c>
      <c r="BV20" s="13">
        <v>3</v>
      </c>
      <c r="BW20" s="13">
        <v>6.1224489795918366E-2</v>
      </c>
      <c r="BX20" s="13">
        <v>5</v>
      </c>
      <c r="BY20" s="13">
        <v>0</v>
      </c>
      <c r="BZ20" s="13">
        <v>0</v>
      </c>
      <c r="CA20" s="13">
        <v>125</v>
      </c>
      <c r="CB20" s="13">
        <v>2</v>
      </c>
      <c r="CC20" s="13">
        <v>1.6E-2</v>
      </c>
      <c r="CD20" s="13">
        <v>721</v>
      </c>
      <c r="CE20" s="13">
        <v>5</v>
      </c>
      <c r="CF20" s="13">
        <v>6.9348127600554789E-3</v>
      </c>
      <c r="CG20" s="13"/>
      <c r="CH20" s="13"/>
      <c r="CI20" s="13"/>
    </row>
    <row r="21" spans="2:87" x14ac:dyDescent="0.2">
      <c r="B21">
        <v>46129</v>
      </c>
      <c r="C21" s="13">
        <v>23</v>
      </c>
      <c r="D21" s="13">
        <v>1.8</v>
      </c>
      <c r="E21" s="13">
        <v>142854.58499999999</v>
      </c>
      <c r="F21" s="13">
        <v>0</v>
      </c>
      <c r="G21" s="13">
        <v>3285655.46</v>
      </c>
      <c r="H21" s="13">
        <v>0</v>
      </c>
      <c r="I21" s="13">
        <v>0</v>
      </c>
      <c r="J21" s="13">
        <v>3285655.46</v>
      </c>
      <c r="K21" s="13">
        <v>100000</v>
      </c>
      <c r="L21" s="13">
        <v>0</v>
      </c>
      <c r="M21" s="13">
        <v>596344.54</v>
      </c>
      <c r="N21" s="13">
        <v>3982000</v>
      </c>
      <c r="O21" s="13">
        <v>0</v>
      </c>
      <c r="P21" s="13">
        <v>3285655.46</v>
      </c>
      <c r="Q21" s="13">
        <v>1135847</v>
      </c>
      <c r="R21" s="13">
        <v>2149808.46</v>
      </c>
      <c r="S21" s="13">
        <v>0</v>
      </c>
      <c r="T21" s="13">
        <v>41</v>
      </c>
      <c r="U21" s="13">
        <v>0</v>
      </c>
      <c r="V21" s="13">
        <v>0</v>
      </c>
      <c r="W21">
        <v>46143.519570833334</v>
      </c>
      <c r="X21" s="13">
        <v>9</v>
      </c>
      <c r="Y21" s="13">
        <v>10</v>
      </c>
      <c r="Z21" s="13">
        <v>1033554.61</v>
      </c>
      <c r="AA21" s="13">
        <v>103355.461</v>
      </c>
      <c r="AB21" s="13">
        <v>312507</v>
      </c>
      <c r="AC21" s="13">
        <v>721047.61</v>
      </c>
      <c r="AD21" s="13">
        <v>13</v>
      </c>
      <c r="AE21" s="13">
        <v>13</v>
      </c>
      <c r="AF21" s="13">
        <v>2252100.85</v>
      </c>
      <c r="AG21" s="13">
        <v>173238.52600000001</v>
      </c>
      <c r="AH21" s="13">
        <v>823340</v>
      </c>
      <c r="AI21" s="13">
        <v>1428760.85</v>
      </c>
      <c r="AJ21" s="13"/>
      <c r="AK21" s="13"/>
      <c r="AL21" s="13"/>
      <c r="AM21" s="13"/>
      <c r="AN21" s="13"/>
      <c r="AO21" s="13"/>
      <c r="AP21" s="13">
        <v>52413.89</v>
      </c>
      <c r="AQ21" s="13"/>
      <c r="AR21" s="13"/>
      <c r="AS21" s="13"/>
      <c r="AT21" s="13">
        <v>5929</v>
      </c>
      <c r="AU21" s="13">
        <v>539</v>
      </c>
      <c r="AV21" s="11">
        <v>78903</v>
      </c>
      <c r="AW21" s="11">
        <v>119</v>
      </c>
      <c r="AX21" s="11">
        <v>18615</v>
      </c>
      <c r="AY21" s="13">
        <v>2155462.19</v>
      </c>
      <c r="AZ21" s="13">
        <v>8</v>
      </c>
      <c r="BA21" s="13">
        <v>269432.77299999999</v>
      </c>
      <c r="BB21" s="13">
        <v>791456</v>
      </c>
      <c r="BC21" s="13">
        <v>558764.69999999995</v>
      </c>
      <c r="BD21" s="13">
        <v>8</v>
      </c>
      <c r="BE21" s="13">
        <v>69845.587</v>
      </c>
      <c r="BF21" s="13">
        <v>206718</v>
      </c>
      <c r="BG21" s="13">
        <v>571428.56999999995</v>
      </c>
      <c r="BH21" s="13">
        <v>7</v>
      </c>
      <c r="BI21" s="13">
        <v>81632.652000000002</v>
      </c>
      <c r="BJ21" s="13">
        <v>137673</v>
      </c>
      <c r="BK21" s="13"/>
      <c r="BL21" s="13"/>
      <c r="BM21" s="13"/>
      <c r="BN21" s="13"/>
      <c r="BO21" s="13">
        <v>422</v>
      </c>
      <c r="BP21" s="13">
        <v>0</v>
      </c>
      <c r="BQ21" s="13">
        <v>0</v>
      </c>
      <c r="BR21" s="13">
        <v>75</v>
      </c>
      <c r="BS21" s="13">
        <v>0</v>
      </c>
      <c r="BT21" s="13">
        <v>0</v>
      </c>
      <c r="BU21" s="13">
        <v>28</v>
      </c>
      <c r="BV21" s="13">
        <v>1</v>
      </c>
      <c r="BW21" s="13">
        <v>3.5714285714285712E-2</v>
      </c>
      <c r="BX21" s="13">
        <v>11</v>
      </c>
      <c r="BY21" s="13">
        <v>0</v>
      </c>
      <c r="BZ21" s="13">
        <v>0</v>
      </c>
      <c r="CA21" s="13">
        <v>128</v>
      </c>
      <c r="CB21" s="13">
        <v>5</v>
      </c>
      <c r="CC21" s="13">
        <v>3.90625E-2</v>
      </c>
      <c r="CD21" s="13">
        <v>664</v>
      </c>
      <c r="CE21" s="13">
        <v>6</v>
      </c>
      <c r="CF21" s="13">
        <v>9.0361445783132526E-3</v>
      </c>
      <c r="CG21" s="13"/>
      <c r="CH21" s="13"/>
      <c r="CI21" s="13"/>
    </row>
    <row r="22" spans="2:87" x14ac:dyDescent="0.2">
      <c r="B22">
        <v>46130</v>
      </c>
      <c r="C22" s="13">
        <v>28</v>
      </c>
      <c r="D22" s="13">
        <v>2.4</v>
      </c>
      <c r="E22" s="13">
        <v>154141.65700000001</v>
      </c>
      <c r="F22" s="13">
        <v>0</v>
      </c>
      <c r="G22" s="13">
        <v>4315966.4000000004</v>
      </c>
      <c r="H22" s="13">
        <v>0</v>
      </c>
      <c r="I22" s="13">
        <v>0</v>
      </c>
      <c r="J22" s="13">
        <v>4315966.4000000004</v>
      </c>
      <c r="K22" s="13">
        <v>36000</v>
      </c>
      <c r="L22" s="13">
        <v>0</v>
      </c>
      <c r="M22" s="13">
        <v>782033.6</v>
      </c>
      <c r="N22" s="13">
        <v>5134000</v>
      </c>
      <c r="O22" s="13">
        <v>0</v>
      </c>
      <c r="P22" s="13">
        <v>4315966.4000000004</v>
      </c>
      <c r="Q22" s="13">
        <v>1281506</v>
      </c>
      <c r="R22" s="13">
        <v>3034460.4</v>
      </c>
      <c r="S22" s="13">
        <v>0</v>
      </c>
      <c r="T22" s="13">
        <v>67</v>
      </c>
      <c r="U22" s="13">
        <v>0</v>
      </c>
      <c r="V22" s="13">
        <v>0</v>
      </c>
      <c r="W22">
        <v>46143.519570833334</v>
      </c>
      <c r="X22" s="13">
        <v>11</v>
      </c>
      <c r="Y22" s="13">
        <v>15</v>
      </c>
      <c r="Z22" s="13">
        <v>1763781.53</v>
      </c>
      <c r="AA22" s="13">
        <v>117585.435</v>
      </c>
      <c r="AB22" s="13">
        <v>555783</v>
      </c>
      <c r="AC22" s="13">
        <v>1207998.53</v>
      </c>
      <c r="AD22" s="13">
        <v>13</v>
      </c>
      <c r="AE22" s="13">
        <v>13</v>
      </c>
      <c r="AF22" s="13">
        <v>2552184.87</v>
      </c>
      <c r="AG22" s="13">
        <v>196321.913</v>
      </c>
      <c r="AH22" s="13">
        <v>725723</v>
      </c>
      <c r="AI22" s="13">
        <v>1826461.87</v>
      </c>
      <c r="AJ22" s="13"/>
      <c r="AK22" s="13"/>
      <c r="AL22" s="13"/>
      <c r="AM22" s="13"/>
      <c r="AN22" s="13"/>
      <c r="AO22" s="13"/>
      <c r="AP22" s="13">
        <v>60324.1</v>
      </c>
      <c r="AQ22" s="13"/>
      <c r="AR22" s="13"/>
      <c r="AS22" s="13"/>
      <c r="AT22" s="13">
        <v>6112</v>
      </c>
      <c r="AU22" s="13">
        <v>505</v>
      </c>
      <c r="AV22" s="11">
        <v>85002</v>
      </c>
      <c r="AW22" s="11">
        <v>182</v>
      </c>
      <c r="AX22" s="11">
        <v>20138</v>
      </c>
      <c r="AY22" s="13">
        <v>668823.53</v>
      </c>
      <c r="AZ22" s="13">
        <v>5</v>
      </c>
      <c r="BA22" s="13">
        <v>133764.70600000001</v>
      </c>
      <c r="BB22" s="13">
        <v>189187</v>
      </c>
      <c r="BC22" s="13">
        <v>3647142.87</v>
      </c>
      <c r="BD22" s="13">
        <v>23</v>
      </c>
      <c r="BE22" s="13">
        <v>158571.429</v>
      </c>
      <c r="BF22" s="13">
        <v>1092319</v>
      </c>
      <c r="BG22" s="13"/>
      <c r="BH22" s="13"/>
      <c r="BI22" s="13"/>
      <c r="BJ22" s="13"/>
      <c r="BK22" s="13"/>
      <c r="BL22" s="13"/>
      <c r="BM22" s="13"/>
      <c r="BN22" s="13"/>
      <c r="BO22" s="13">
        <v>364</v>
      </c>
      <c r="BP22" s="13">
        <v>0</v>
      </c>
      <c r="BQ22" s="13">
        <v>0</v>
      </c>
      <c r="BR22" s="13">
        <v>112</v>
      </c>
      <c r="BS22" s="13">
        <v>1</v>
      </c>
      <c r="BT22" s="13">
        <v>8.9285714285714281E-3</v>
      </c>
      <c r="BU22" s="13">
        <v>34</v>
      </c>
      <c r="BV22" s="13">
        <v>2</v>
      </c>
      <c r="BW22" s="13">
        <v>5.8823529411764705E-2</v>
      </c>
      <c r="BX22" s="13">
        <v>6</v>
      </c>
      <c r="BY22" s="13">
        <v>0</v>
      </c>
      <c r="BZ22" s="13">
        <v>0</v>
      </c>
      <c r="CA22" s="13">
        <v>83</v>
      </c>
      <c r="CB22" s="13">
        <v>0</v>
      </c>
      <c r="CC22" s="13">
        <v>0</v>
      </c>
      <c r="CD22" s="13">
        <v>599</v>
      </c>
      <c r="CE22" s="13">
        <v>3</v>
      </c>
      <c r="CF22" s="13">
        <v>5.008347245409015E-3</v>
      </c>
      <c r="CG22" s="13"/>
      <c r="CH22" s="13"/>
      <c r="CI22" s="13"/>
    </row>
    <row r="23" spans="2:87" x14ac:dyDescent="0.2">
      <c r="B23">
        <v>46131</v>
      </c>
      <c r="C23" s="13">
        <v>14</v>
      </c>
      <c r="D23" s="13">
        <v>1.6</v>
      </c>
      <c r="E23" s="13">
        <v>105162.064</v>
      </c>
      <c r="F23" s="13">
        <v>0</v>
      </c>
      <c r="G23" s="13">
        <v>1472268.9</v>
      </c>
      <c r="H23" s="13">
        <v>0</v>
      </c>
      <c r="I23" s="13">
        <v>0</v>
      </c>
      <c r="J23" s="13">
        <v>1472268.9</v>
      </c>
      <c r="K23" s="13">
        <v>64000</v>
      </c>
      <c r="L23" s="13">
        <v>0</v>
      </c>
      <c r="M23" s="13">
        <v>279731.09999999998</v>
      </c>
      <c r="N23" s="13">
        <v>1816000</v>
      </c>
      <c r="O23" s="13">
        <v>0</v>
      </c>
      <c r="P23" s="13">
        <v>1472268.9</v>
      </c>
      <c r="Q23" s="13">
        <v>537849</v>
      </c>
      <c r="R23" s="13">
        <v>934419.9</v>
      </c>
      <c r="S23" s="13">
        <v>0</v>
      </c>
      <c r="T23" s="13">
        <v>23</v>
      </c>
      <c r="U23" s="13">
        <v>0</v>
      </c>
      <c r="V23" s="13">
        <v>0</v>
      </c>
      <c r="W23">
        <v>46143.519570833334</v>
      </c>
      <c r="X23" s="13">
        <v>4</v>
      </c>
      <c r="Y23" s="13">
        <v>9</v>
      </c>
      <c r="Z23" s="13">
        <v>872268.9</v>
      </c>
      <c r="AA23" s="13">
        <v>96918.766000000003</v>
      </c>
      <c r="AB23" s="13">
        <v>363721</v>
      </c>
      <c r="AC23" s="13">
        <v>508547.9</v>
      </c>
      <c r="AD23" s="13">
        <v>5</v>
      </c>
      <c r="AE23" s="13">
        <v>5</v>
      </c>
      <c r="AF23" s="13">
        <v>600000</v>
      </c>
      <c r="AG23" s="13">
        <v>120000</v>
      </c>
      <c r="AH23" s="13">
        <v>174128</v>
      </c>
      <c r="AI23" s="13">
        <v>425872</v>
      </c>
      <c r="AJ23" s="13"/>
      <c r="AK23" s="13"/>
      <c r="AL23" s="13"/>
      <c r="AM23" s="13"/>
      <c r="AN23" s="13"/>
      <c r="AO23" s="13"/>
      <c r="AP23" s="13">
        <v>50539.14</v>
      </c>
      <c r="AQ23" s="13"/>
      <c r="AR23" s="13"/>
      <c r="AS23" s="13"/>
      <c r="AT23" s="13">
        <v>6620</v>
      </c>
      <c r="AU23" s="13">
        <v>547</v>
      </c>
      <c r="AV23" s="11">
        <v>71161</v>
      </c>
      <c r="AW23" s="11">
        <v>136</v>
      </c>
      <c r="AX23" s="11">
        <v>20065</v>
      </c>
      <c r="AY23" s="13">
        <v>126050.42</v>
      </c>
      <c r="AZ23" s="13">
        <v>2</v>
      </c>
      <c r="BA23" s="13">
        <v>63025.21</v>
      </c>
      <c r="BB23" s="13">
        <v>39477</v>
      </c>
      <c r="BC23" s="13">
        <v>1346218.48</v>
      </c>
      <c r="BD23" s="13">
        <v>12</v>
      </c>
      <c r="BE23" s="13">
        <v>112184.87300000001</v>
      </c>
      <c r="BF23" s="13">
        <v>498372</v>
      </c>
      <c r="BG23" s="13"/>
      <c r="BH23" s="13"/>
      <c r="BI23" s="13"/>
      <c r="BJ23" s="13"/>
      <c r="BK23" s="13"/>
      <c r="BL23" s="13"/>
      <c r="BM23" s="13"/>
      <c r="BN23" s="13"/>
      <c r="BO23" s="13">
        <v>403</v>
      </c>
      <c r="BP23" s="13">
        <v>0</v>
      </c>
      <c r="BQ23" s="13">
        <v>0</v>
      </c>
      <c r="BR23" s="13">
        <v>97</v>
      </c>
      <c r="BS23" s="13">
        <v>0</v>
      </c>
      <c r="BT23" s="13">
        <v>0</v>
      </c>
      <c r="BU23" s="13">
        <v>20</v>
      </c>
      <c r="BV23" s="13">
        <v>1</v>
      </c>
      <c r="BW23" s="13">
        <v>0.05</v>
      </c>
      <c r="BX23" s="13">
        <v>11</v>
      </c>
      <c r="BY23" s="13">
        <v>0</v>
      </c>
      <c r="BZ23" s="13">
        <v>0</v>
      </c>
      <c r="CA23" s="13">
        <v>83</v>
      </c>
      <c r="CB23" s="13">
        <v>0</v>
      </c>
      <c r="CC23" s="13">
        <v>0</v>
      </c>
      <c r="CD23" s="13">
        <v>614</v>
      </c>
      <c r="CE23" s="13">
        <v>1</v>
      </c>
      <c r="CF23" s="13">
        <v>1.6286644951140066E-3</v>
      </c>
      <c r="CG23" s="13"/>
      <c r="CH23" s="13"/>
      <c r="CI23" s="13"/>
    </row>
    <row r="24" spans="2:87" x14ac:dyDescent="0.2">
      <c r="B24">
        <v>46132</v>
      </c>
      <c r="C24" s="13">
        <v>30</v>
      </c>
      <c r="D24" s="13">
        <v>2.4</v>
      </c>
      <c r="E24" s="13">
        <v>160431.372</v>
      </c>
      <c r="F24" s="13">
        <v>-3</v>
      </c>
      <c r="G24" s="13">
        <v>5153025.2</v>
      </c>
      <c r="H24" s="13">
        <v>0</v>
      </c>
      <c r="I24" s="13">
        <v>-247647.06</v>
      </c>
      <c r="J24" s="13">
        <v>4905378.1399999997</v>
      </c>
      <c r="K24" s="13">
        <v>40000</v>
      </c>
      <c r="L24" s="13">
        <v>0</v>
      </c>
      <c r="M24" s="13">
        <v>882621.86</v>
      </c>
      <c r="N24" s="13">
        <v>5828000</v>
      </c>
      <c r="O24" s="13">
        <v>0</v>
      </c>
      <c r="P24" s="13">
        <v>4905378.1399999997</v>
      </c>
      <c r="Q24" s="13">
        <v>1298282</v>
      </c>
      <c r="R24" s="13">
        <v>3607096.14</v>
      </c>
      <c r="S24" s="13">
        <v>100000</v>
      </c>
      <c r="T24" s="13">
        <v>73</v>
      </c>
      <c r="U24" s="13">
        <v>0</v>
      </c>
      <c r="V24" s="13">
        <v>100000</v>
      </c>
      <c r="W24">
        <v>46143.519570833334</v>
      </c>
      <c r="X24" s="13">
        <v>18</v>
      </c>
      <c r="Y24" s="13">
        <v>23</v>
      </c>
      <c r="Z24" s="13">
        <v>3985210.08</v>
      </c>
      <c r="AA24" s="13">
        <v>173270.003</v>
      </c>
      <c r="AB24" s="13">
        <v>987378</v>
      </c>
      <c r="AC24" s="13">
        <v>2997832.08</v>
      </c>
      <c r="AD24" s="13">
        <v>7</v>
      </c>
      <c r="AE24" s="13">
        <v>7</v>
      </c>
      <c r="AF24" s="13">
        <v>920168.06</v>
      </c>
      <c r="AG24" s="13">
        <v>118247.298</v>
      </c>
      <c r="AH24" s="13">
        <v>310904</v>
      </c>
      <c r="AI24" s="13">
        <v>609264.06000000006</v>
      </c>
      <c r="AJ24" s="13">
        <v>0</v>
      </c>
      <c r="AK24" s="13">
        <v>0</v>
      </c>
      <c r="AL24" s="13">
        <v>0</v>
      </c>
      <c r="AM24" s="13"/>
      <c r="AN24" s="13">
        <v>0</v>
      </c>
      <c r="AO24" s="13">
        <v>0</v>
      </c>
      <c r="AP24" s="13">
        <v>40818.019999999997</v>
      </c>
      <c r="AQ24" s="13"/>
      <c r="AR24" s="13"/>
      <c r="AS24" s="13"/>
      <c r="AT24" s="13">
        <v>5906</v>
      </c>
      <c r="AU24" s="13">
        <v>485</v>
      </c>
      <c r="AV24" s="11">
        <v>79468</v>
      </c>
      <c r="AW24" s="11">
        <v>136</v>
      </c>
      <c r="AX24" s="11">
        <v>20335</v>
      </c>
      <c r="AY24" s="13">
        <v>415966.38</v>
      </c>
      <c r="AZ24" s="13">
        <v>3</v>
      </c>
      <c r="BA24" s="13">
        <v>138655.46</v>
      </c>
      <c r="BB24" s="13">
        <v>94721</v>
      </c>
      <c r="BC24" s="13">
        <v>4434789.91</v>
      </c>
      <c r="BD24" s="13">
        <v>26</v>
      </c>
      <c r="BE24" s="13">
        <v>167013.57399999999</v>
      </c>
      <c r="BF24" s="13">
        <v>1194366</v>
      </c>
      <c r="BG24" s="13">
        <v>54621.85</v>
      </c>
      <c r="BH24" s="13">
        <v>1</v>
      </c>
      <c r="BI24" s="13">
        <v>54621.85</v>
      </c>
      <c r="BJ24" s="13">
        <v>9195</v>
      </c>
      <c r="BK24" s="13"/>
      <c r="BL24" s="13"/>
      <c r="BM24" s="13"/>
      <c r="BN24" s="13"/>
      <c r="BO24" s="13">
        <v>373</v>
      </c>
      <c r="BP24" s="13">
        <v>0</v>
      </c>
      <c r="BQ24" s="13">
        <v>0</v>
      </c>
      <c r="BR24" s="13">
        <v>93</v>
      </c>
      <c r="BS24" s="13">
        <v>0</v>
      </c>
      <c r="BT24" s="13">
        <v>0</v>
      </c>
      <c r="BU24" s="13">
        <v>38</v>
      </c>
      <c r="BV24" s="13">
        <v>0</v>
      </c>
      <c r="BW24" s="13">
        <v>0</v>
      </c>
      <c r="BX24" s="13">
        <v>8</v>
      </c>
      <c r="BY24" s="13">
        <v>0</v>
      </c>
      <c r="BZ24" s="13">
        <v>0</v>
      </c>
      <c r="CA24" s="13">
        <v>76</v>
      </c>
      <c r="CB24" s="13">
        <v>4</v>
      </c>
      <c r="CC24" s="13">
        <v>5.2631578947368418E-2</v>
      </c>
      <c r="CD24" s="13">
        <v>588</v>
      </c>
      <c r="CE24" s="13">
        <v>4</v>
      </c>
      <c r="CF24" s="13">
        <v>6.8027210884353739E-3</v>
      </c>
      <c r="CG24" s="13"/>
      <c r="CH24" s="13"/>
      <c r="CI24" s="13"/>
    </row>
    <row r="25" spans="2:87" x14ac:dyDescent="0.2">
      <c r="B25">
        <v>46133</v>
      </c>
      <c r="C25" s="13">
        <v>26</v>
      </c>
      <c r="D25" s="13">
        <v>2.8</v>
      </c>
      <c r="E25" s="13">
        <v>167404.65299999999</v>
      </c>
      <c r="F25" s="13">
        <v>0</v>
      </c>
      <c r="G25" s="13">
        <v>4405882.32</v>
      </c>
      <c r="H25" s="13">
        <v>-11344.53</v>
      </c>
      <c r="I25" s="13">
        <v>0</v>
      </c>
      <c r="J25" s="13">
        <v>4394537.79</v>
      </c>
      <c r="K25" s="13">
        <v>100000</v>
      </c>
      <c r="L25" s="13">
        <v>0</v>
      </c>
      <c r="M25" s="13">
        <v>834962.21</v>
      </c>
      <c r="N25" s="13">
        <v>5329500</v>
      </c>
      <c r="O25" s="13">
        <v>0</v>
      </c>
      <c r="P25" s="13">
        <v>4394537.79</v>
      </c>
      <c r="Q25" s="13">
        <v>1365625</v>
      </c>
      <c r="R25" s="13">
        <v>3028912.79</v>
      </c>
      <c r="S25" s="13">
        <v>0</v>
      </c>
      <c r="T25" s="13">
        <v>75</v>
      </c>
      <c r="U25" s="13">
        <v>0</v>
      </c>
      <c r="V25" s="13">
        <v>0</v>
      </c>
      <c r="W25">
        <v>46143.519570833334</v>
      </c>
      <c r="X25" s="13">
        <v>11</v>
      </c>
      <c r="Y25" s="13">
        <v>14</v>
      </c>
      <c r="Z25" s="13">
        <v>2186134.44</v>
      </c>
      <c r="AA25" s="13">
        <v>156152.46</v>
      </c>
      <c r="AB25" s="13">
        <v>719306</v>
      </c>
      <c r="AC25" s="13">
        <v>1466828.44</v>
      </c>
      <c r="AD25" s="13">
        <v>12</v>
      </c>
      <c r="AE25" s="13">
        <v>12</v>
      </c>
      <c r="AF25" s="13">
        <v>2208403.35</v>
      </c>
      <c r="AG25" s="13">
        <v>180532.21100000001</v>
      </c>
      <c r="AH25" s="13">
        <v>646319</v>
      </c>
      <c r="AI25" s="13">
        <v>1562084.35</v>
      </c>
      <c r="AJ25" s="13"/>
      <c r="AK25" s="13"/>
      <c r="AL25" s="13"/>
      <c r="AM25" s="13"/>
      <c r="AN25" s="13"/>
      <c r="AO25" s="13"/>
      <c r="AP25" s="13">
        <v>44081.49</v>
      </c>
      <c r="AQ25" s="13"/>
      <c r="AR25" s="13"/>
      <c r="AS25" s="13"/>
      <c r="AT25" s="13">
        <v>5051</v>
      </c>
      <c r="AU25" s="13">
        <v>468</v>
      </c>
      <c r="AV25" s="11">
        <v>85551</v>
      </c>
      <c r="AW25" s="11">
        <v>146</v>
      </c>
      <c r="AX25" s="11">
        <v>18847</v>
      </c>
      <c r="AY25" s="13">
        <v>1085294.1200000001</v>
      </c>
      <c r="AZ25" s="13">
        <v>7</v>
      </c>
      <c r="BA25" s="13">
        <v>155042.01699999999</v>
      </c>
      <c r="BB25" s="13">
        <v>422821</v>
      </c>
      <c r="BC25" s="13">
        <v>3178991.57</v>
      </c>
      <c r="BD25" s="13">
        <v>17</v>
      </c>
      <c r="BE25" s="13">
        <v>184527.927</v>
      </c>
      <c r="BF25" s="13">
        <v>917534</v>
      </c>
      <c r="BG25" s="13">
        <v>130252.1</v>
      </c>
      <c r="BH25" s="13">
        <v>2</v>
      </c>
      <c r="BI25" s="13">
        <v>65126.05</v>
      </c>
      <c r="BJ25" s="13">
        <v>25270</v>
      </c>
      <c r="BK25" s="13"/>
      <c r="BL25" s="13"/>
      <c r="BM25" s="13"/>
      <c r="BN25" s="13"/>
      <c r="BO25" s="13">
        <v>342</v>
      </c>
      <c r="BP25" s="13">
        <v>0</v>
      </c>
      <c r="BQ25" s="13">
        <v>0</v>
      </c>
      <c r="BR25" s="13">
        <v>96</v>
      </c>
      <c r="BS25" s="13">
        <v>1</v>
      </c>
      <c r="BT25" s="13">
        <v>1.0416666666666666E-2</v>
      </c>
      <c r="BU25" s="13">
        <v>29</v>
      </c>
      <c r="BV25" s="13">
        <v>2</v>
      </c>
      <c r="BW25" s="13">
        <v>6.8965517241379309E-2</v>
      </c>
      <c r="BX25" s="13">
        <v>7</v>
      </c>
      <c r="BY25" s="13">
        <v>0</v>
      </c>
      <c r="BZ25" s="13">
        <v>0</v>
      </c>
      <c r="CA25" s="13">
        <v>83</v>
      </c>
      <c r="CB25" s="13">
        <v>5</v>
      </c>
      <c r="CC25" s="13">
        <v>6.0240963855421686E-2</v>
      </c>
      <c r="CD25" s="13">
        <v>557</v>
      </c>
      <c r="CE25" s="13">
        <v>8</v>
      </c>
      <c r="CF25" s="13">
        <v>1.4362657091561939E-2</v>
      </c>
      <c r="CG25" s="13"/>
      <c r="CH25" s="13"/>
      <c r="CI25" s="13"/>
    </row>
    <row r="26" spans="2:87" x14ac:dyDescent="0.2">
      <c r="B26">
        <v>46134</v>
      </c>
      <c r="C26" s="13">
        <v>23</v>
      </c>
      <c r="D26" s="13">
        <v>2</v>
      </c>
      <c r="E26" s="13">
        <v>130378.51700000001</v>
      </c>
      <c r="F26" s="13">
        <v>0</v>
      </c>
      <c r="G26" s="13">
        <v>2998705.9</v>
      </c>
      <c r="H26" s="13">
        <v>0</v>
      </c>
      <c r="I26" s="13">
        <v>0</v>
      </c>
      <c r="J26" s="13">
        <v>2998705.9</v>
      </c>
      <c r="K26" s="13">
        <v>108000</v>
      </c>
      <c r="L26" s="13">
        <v>0</v>
      </c>
      <c r="M26" s="13">
        <v>525294.1</v>
      </c>
      <c r="N26" s="13">
        <v>3632000</v>
      </c>
      <c r="O26" s="13">
        <v>0</v>
      </c>
      <c r="P26" s="13">
        <v>2998705.9</v>
      </c>
      <c r="Q26" s="13">
        <v>992995</v>
      </c>
      <c r="R26" s="13">
        <v>2005710.9</v>
      </c>
      <c r="S26" s="13">
        <v>0</v>
      </c>
      <c r="T26" s="13">
        <v>46</v>
      </c>
      <c r="U26" s="13">
        <v>0</v>
      </c>
      <c r="V26" s="13">
        <v>0</v>
      </c>
      <c r="W26">
        <v>46143.519570833334</v>
      </c>
      <c r="X26" s="13">
        <v>15</v>
      </c>
      <c r="Y26" s="13">
        <v>17</v>
      </c>
      <c r="Z26" s="13">
        <v>2040722.69</v>
      </c>
      <c r="AA26" s="13">
        <v>120042.511</v>
      </c>
      <c r="AB26" s="13">
        <v>721305</v>
      </c>
      <c r="AC26" s="13">
        <v>1319417.69</v>
      </c>
      <c r="AD26" s="13">
        <v>6</v>
      </c>
      <c r="AE26" s="13">
        <v>6</v>
      </c>
      <c r="AF26" s="13">
        <v>957983.21</v>
      </c>
      <c r="AG26" s="13">
        <v>159663.86799999999</v>
      </c>
      <c r="AH26" s="13">
        <v>271690</v>
      </c>
      <c r="AI26" s="13">
        <v>686293.21</v>
      </c>
      <c r="AJ26" s="13"/>
      <c r="AK26" s="13"/>
      <c r="AL26" s="13"/>
      <c r="AM26" s="13"/>
      <c r="AN26" s="13"/>
      <c r="AO26" s="13"/>
      <c r="AP26" s="13">
        <v>49855.09</v>
      </c>
      <c r="AQ26" s="13"/>
      <c r="AR26" s="13"/>
      <c r="AS26" s="13"/>
      <c r="AT26" s="13">
        <v>5746</v>
      </c>
      <c r="AU26" s="13">
        <v>562</v>
      </c>
      <c r="AV26" s="11">
        <v>90011</v>
      </c>
      <c r="AW26" s="11">
        <v>165</v>
      </c>
      <c r="AX26" s="11">
        <v>18498</v>
      </c>
      <c r="AY26" s="13">
        <v>890756.3</v>
      </c>
      <c r="AZ26" s="13">
        <v>8</v>
      </c>
      <c r="BA26" s="13">
        <v>111344.537</v>
      </c>
      <c r="BB26" s="13">
        <v>280456</v>
      </c>
      <c r="BC26" s="13">
        <v>2107949.6</v>
      </c>
      <c r="BD26" s="13">
        <v>15</v>
      </c>
      <c r="BE26" s="13">
        <v>140529.973</v>
      </c>
      <c r="BF26" s="13">
        <v>712539</v>
      </c>
      <c r="BG26" s="13"/>
      <c r="BH26" s="13"/>
      <c r="BI26" s="13"/>
      <c r="BJ26" s="13"/>
      <c r="BK26" s="13"/>
      <c r="BL26" s="13"/>
      <c r="BM26" s="13"/>
      <c r="BN26" s="13"/>
      <c r="BO26" s="13">
        <v>403</v>
      </c>
      <c r="BP26" s="13">
        <v>0</v>
      </c>
      <c r="BQ26" s="13">
        <v>0</v>
      </c>
      <c r="BR26" s="13">
        <v>111</v>
      </c>
      <c r="BS26" s="13">
        <v>2</v>
      </c>
      <c r="BT26" s="13">
        <v>1.8018018018018018E-2</v>
      </c>
      <c r="BU26" s="13">
        <v>46</v>
      </c>
      <c r="BV26" s="13">
        <v>0</v>
      </c>
      <c r="BW26" s="13">
        <v>0</v>
      </c>
      <c r="BX26" s="13">
        <v>6</v>
      </c>
      <c r="BY26" s="13">
        <v>0</v>
      </c>
      <c r="BZ26" s="13">
        <v>0</v>
      </c>
      <c r="CA26" s="13">
        <v>239</v>
      </c>
      <c r="CB26" s="13">
        <v>5</v>
      </c>
      <c r="CC26" s="13">
        <v>2.0920502092050208E-2</v>
      </c>
      <c r="CD26" s="13">
        <v>805</v>
      </c>
      <c r="CE26" s="13">
        <v>7</v>
      </c>
      <c r="CF26" s="13">
        <v>8.6956521739130436E-3</v>
      </c>
      <c r="CG26" s="13"/>
      <c r="CH26" s="13"/>
      <c r="CI26" s="13"/>
    </row>
    <row r="27" spans="2:87" x14ac:dyDescent="0.2">
      <c r="B27">
        <v>46135</v>
      </c>
      <c r="C27" s="13">
        <v>19</v>
      </c>
      <c r="D27" s="13">
        <v>2.1</v>
      </c>
      <c r="E27" s="13">
        <v>154721.804</v>
      </c>
      <c r="F27" s="13">
        <v>0</v>
      </c>
      <c r="G27" s="13">
        <v>2939714.29</v>
      </c>
      <c r="H27" s="13">
        <v>0</v>
      </c>
      <c r="I27" s="13">
        <v>0</v>
      </c>
      <c r="J27" s="13">
        <v>2939714.29</v>
      </c>
      <c r="K27" s="13">
        <v>48000</v>
      </c>
      <c r="L27" s="13">
        <v>0</v>
      </c>
      <c r="M27" s="13">
        <v>538785.71</v>
      </c>
      <c r="N27" s="13">
        <v>3526500</v>
      </c>
      <c r="O27" s="13">
        <v>0</v>
      </c>
      <c r="P27" s="13">
        <v>2939714.29</v>
      </c>
      <c r="Q27" s="13">
        <v>1009018</v>
      </c>
      <c r="R27" s="13">
        <v>1930696.29</v>
      </c>
      <c r="S27" s="13">
        <v>0</v>
      </c>
      <c r="T27" s="13">
        <v>40</v>
      </c>
      <c r="U27" s="13">
        <v>0</v>
      </c>
      <c r="V27" s="13">
        <v>0</v>
      </c>
      <c r="W27">
        <v>46143.519570833334</v>
      </c>
      <c r="X27" s="13">
        <v>10</v>
      </c>
      <c r="Y27" s="13">
        <v>11</v>
      </c>
      <c r="Z27" s="13">
        <v>2163445.37</v>
      </c>
      <c r="AA27" s="13">
        <v>196676.851</v>
      </c>
      <c r="AB27" s="13">
        <v>691500</v>
      </c>
      <c r="AC27" s="13">
        <v>1471945.37</v>
      </c>
      <c r="AD27" s="13">
        <v>8</v>
      </c>
      <c r="AE27" s="13">
        <v>8</v>
      </c>
      <c r="AF27" s="13">
        <v>776268.92</v>
      </c>
      <c r="AG27" s="13">
        <v>97033.615000000005</v>
      </c>
      <c r="AH27" s="13">
        <v>317518</v>
      </c>
      <c r="AI27" s="13">
        <v>458750.92</v>
      </c>
      <c r="AJ27" s="13"/>
      <c r="AK27" s="13"/>
      <c r="AL27" s="13"/>
      <c r="AM27" s="13"/>
      <c r="AN27" s="13"/>
      <c r="AO27" s="13"/>
      <c r="AP27" s="13">
        <v>35259.660000000003</v>
      </c>
      <c r="AQ27" s="13"/>
      <c r="AR27" s="13"/>
      <c r="AS27" s="13"/>
      <c r="AT27" s="13">
        <v>4416</v>
      </c>
      <c r="AU27" s="13">
        <v>379</v>
      </c>
      <c r="AV27" s="11">
        <v>90260</v>
      </c>
      <c r="AW27" s="11">
        <v>162</v>
      </c>
      <c r="AX27" s="11">
        <v>18995</v>
      </c>
      <c r="AY27" s="13">
        <v>781512.61</v>
      </c>
      <c r="AZ27" s="13">
        <v>5</v>
      </c>
      <c r="BA27" s="13">
        <v>156302.522</v>
      </c>
      <c r="BB27" s="13">
        <v>273977</v>
      </c>
      <c r="BC27" s="13">
        <v>2111983.19</v>
      </c>
      <c r="BD27" s="13">
        <v>13</v>
      </c>
      <c r="BE27" s="13">
        <v>162460.245</v>
      </c>
      <c r="BF27" s="13">
        <v>726196</v>
      </c>
      <c r="BG27" s="13">
        <v>46218.49</v>
      </c>
      <c r="BH27" s="13">
        <v>1</v>
      </c>
      <c r="BI27" s="13">
        <v>46218.49</v>
      </c>
      <c r="BJ27" s="13">
        <v>8845</v>
      </c>
      <c r="BK27" s="13"/>
      <c r="BL27" s="13"/>
      <c r="BM27" s="13"/>
      <c r="BN27" s="13"/>
      <c r="BO27" s="13">
        <v>280</v>
      </c>
      <c r="BP27" s="13">
        <v>1</v>
      </c>
      <c r="BQ27" s="13">
        <v>3.5714285714285713E-3</v>
      </c>
      <c r="BR27" s="13">
        <v>101</v>
      </c>
      <c r="BS27" s="13">
        <v>0</v>
      </c>
      <c r="BT27" s="13">
        <v>0</v>
      </c>
      <c r="BU27" s="13">
        <v>57</v>
      </c>
      <c r="BV27" s="13">
        <v>2</v>
      </c>
      <c r="BW27" s="13">
        <v>3.5087719298245612E-2</v>
      </c>
      <c r="BX27" s="13">
        <v>8</v>
      </c>
      <c r="BY27" s="13">
        <v>0</v>
      </c>
      <c r="BZ27" s="13">
        <v>0</v>
      </c>
      <c r="CA27" s="13">
        <v>127</v>
      </c>
      <c r="CB27" s="13">
        <v>2</v>
      </c>
      <c r="CC27" s="13">
        <v>1.5748031496062992E-2</v>
      </c>
      <c r="CD27" s="13">
        <v>573</v>
      </c>
      <c r="CE27" s="13">
        <v>5</v>
      </c>
      <c r="CF27" s="13">
        <v>8.7260034904013961E-3</v>
      </c>
      <c r="CG27" s="13"/>
      <c r="CH27" s="13"/>
      <c r="CI27" s="13"/>
    </row>
    <row r="28" spans="2:87" x14ac:dyDescent="0.2">
      <c r="B28">
        <v>46136</v>
      </c>
      <c r="C28" s="13">
        <v>22</v>
      </c>
      <c r="D28" s="13">
        <v>2.2000000000000002</v>
      </c>
      <c r="E28" s="13">
        <v>124522.575</v>
      </c>
      <c r="F28" s="13">
        <v>0</v>
      </c>
      <c r="G28" s="13">
        <v>2739496.65</v>
      </c>
      <c r="H28" s="13">
        <v>0</v>
      </c>
      <c r="I28" s="13">
        <v>0</v>
      </c>
      <c r="J28" s="13">
        <v>2739496.65</v>
      </c>
      <c r="K28" s="13">
        <v>60000</v>
      </c>
      <c r="L28" s="13">
        <v>0</v>
      </c>
      <c r="M28" s="13">
        <v>520504.35</v>
      </c>
      <c r="N28" s="13">
        <v>3320001</v>
      </c>
      <c r="O28" s="13">
        <v>0.84</v>
      </c>
      <c r="P28" s="13">
        <v>2739495.81</v>
      </c>
      <c r="Q28" s="13">
        <v>821179</v>
      </c>
      <c r="R28" s="13">
        <v>1918316.81</v>
      </c>
      <c r="S28" s="13">
        <v>0</v>
      </c>
      <c r="T28" s="13">
        <v>49</v>
      </c>
      <c r="U28" s="13">
        <v>0</v>
      </c>
      <c r="V28" s="13">
        <v>0</v>
      </c>
      <c r="W28">
        <v>46143.519570833334</v>
      </c>
      <c r="X28" s="13">
        <v>11</v>
      </c>
      <c r="Y28" s="13">
        <v>13</v>
      </c>
      <c r="Z28" s="13">
        <v>1231093.28</v>
      </c>
      <c r="AA28" s="13">
        <v>94699.482999999993</v>
      </c>
      <c r="AB28" s="13">
        <v>243109</v>
      </c>
      <c r="AC28" s="13">
        <v>987983.44</v>
      </c>
      <c r="AD28" s="13">
        <v>9</v>
      </c>
      <c r="AE28" s="13">
        <v>9</v>
      </c>
      <c r="AF28" s="13">
        <v>1508403.37</v>
      </c>
      <c r="AG28" s="13">
        <v>167600.37400000001</v>
      </c>
      <c r="AH28" s="13">
        <v>578070</v>
      </c>
      <c r="AI28" s="13">
        <v>930333.37</v>
      </c>
      <c r="AJ28" s="13"/>
      <c r="AK28" s="13"/>
      <c r="AL28" s="13"/>
      <c r="AM28" s="13"/>
      <c r="AN28" s="13"/>
      <c r="AO28" s="13"/>
      <c r="AP28" s="13">
        <v>69189.48</v>
      </c>
      <c r="AQ28" s="13"/>
      <c r="AR28" s="13"/>
      <c r="AS28" s="13"/>
      <c r="AT28" s="13">
        <v>7279</v>
      </c>
      <c r="AU28" s="13">
        <v>720</v>
      </c>
      <c r="AV28" s="11">
        <v>120468</v>
      </c>
      <c r="AW28" s="11">
        <v>253</v>
      </c>
      <c r="AX28" s="11">
        <v>19366</v>
      </c>
      <c r="AY28" s="13">
        <v>542017.64</v>
      </c>
      <c r="AZ28" s="13">
        <v>5</v>
      </c>
      <c r="BA28" s="13">
        <v>108403.52800000001</v>
      </c>
      <c r="BB28" s="13">
        <v>134986</v>
      </c>
      <c r="BC28" s="13">
        <v>2197479.0099999998</v>
      </c>
      <c r="BD28" s="13">
        <v>17</v>
      </c>
      <c r="BE28" s="13">
        <v>129263.47100000001</v>
      </c>
      <c r="BF28" s="13">
        <v>686193</v>
      </c>
      <c r="BG28" s="13"/>
      <c r="BH28" s="13"/>
      <c r="BI28" s="13"/>
      <c r="BJ28" s="13"/>
      <c r="BK28" s="13"/>
      <c r="BL28" s="13"/>
      <c r="BM28" s="13"/>
      <c r="BN28" s="13"/>
      <c r="BO28" s="13">
        <v>583</v>
      </c>
      <c r="BP28" s="13">
        <v>1</v>
      </c>
      <c r="BQ28" s="13">
        <v>1.7152658662092624E-3</v>
      </c>
      <c r="BR28" s="13">
        <v>166</v>
      </c>
      <c r="BS28" s="13">
        <v>1</v>
      </c>
      <c r="BT28" s="13">
        <v>6.024096385542169E-3</v>
      </c>
      <c r="BU28" s="13">
        <v>41</v>
      </c>
      <c r="BV28" s="13">
        <v>0</v>
      </c>
      <c r="BW28" s="13">
        <v>0</v>
      </c>
      <c r="BX28" s="13">
        <v>7</v>
      </c>
      <c r="BY28" s="13">
        <v>0</v>
      </c>
      <c r="BZ28" s="13">
        <v>0</v>
      </c>
      <c r="CA28" s="13">
        <v>91</v>
      </c>
      <c r="CB28" s="13">
        <v>2</v>
      </c>
      <c r="CC28" s="13">
        <v>2.197802197802198E-2</v>
      </c>
      <c r="CD28" s="13">
        <v>888</v>
      </c>
      <c r="CE28" s="13">
        <v>4</v>
      </c>
      <c r="CF28" s="13">
        <v>4.5045045045045045E-3</v>
      </c>
      <c r="CG28" s="13"/>
      <c r="CH28" s="13"/>
      <c r="CI28" s="13"/>
    </row>
    <row r="29" spans="2:87" x14ac:dyDescent="0.2">
      <c r="B29">
        <v>46137</v>
      </c>
      <c r="C29" s="13">
        <v>38</v>
      </c>
      <c r="D29" s="13">
        <v>1.8</v>
      </c>
      <c r="E29" s="13">
        <v>125279.522</v>
      </c>
      <c r="F29" s="13">
        <v>0</v>
      </c>
      <c r="G29" s="13">
        <v>4866084.0199999996</v>
      </c>
      <c r="H29" s="13">
        <v>-105462.17</v>
      </c>
      <c r="I29" s="13">
        <v>0</v>
      </c>
      <c r="J29" s="13">
        <v>4760621.8499999996</v>
      </c>
      <c r="K29" s="13">
        <v>48000</v>
      </c>
      <c r="L29" s="13">
        <v>0</v>
      </c>
      <c r="M29" s="13">
        <v>865378.15</v>
      </c>
      <c r="N29" s="13">
        <v>5674000</v>
      </c>
      <c r="O29" s="13">
        <v>335092.44</v>
      </c>
      <c r="P29" s="13">
        <v>4425529.41</v>
      </c>
      <c r="Q29" s="13">
        <v>1314787</v>
      </c>
      <c r="R29" s="13">
        <v>3110742.41</v>
      </c>
      <c r="S29" s="13">
        <v>0</v>
      </c>
      <c r="T29" s="13">
        <v>70</v>
      </c>
      <c r="U29" s="13">
        <v>0</v>
      </c>
      <c r="V29" s="13">
        <v>0</v>
      </c>
      <c r="W29">
        <v>46143.519570833334</v>
      </c>
      <c r="X29" s="13">
        <v>20</v>
      </c>
      <c r="Y29" s="13">
        <v>27</v>
      </c>
      <c r="Z29" s="13">
        <v>3797277.3</v>
      </c>
      <c r="AA29" s="13">
        <v>140639.9</v>
      </c>
      <c r="AB29" s="13">
        <v>1041480</v>
      </c>
      <c r="AC29" s="13">
        <v>2580368.73</v>
      </c>
      <c r="AD29" s="13">
        <v>11</v>
      </c>
      <c r="AE29" s="13">
        <v>11</v>
      </c>
      <c r="AF29" s="13">
        <v>963344.55</v>
      </c>
      <c r="AG29" s="13">
        <v>87576.777000000002</v>
      </c>
      <c r="AH29" s="13">
        <v>273307</v>
      </c>
      <c r="AI29" s="13">
        <v>530373.68000000005</v>
      </c>
      <c r="AJ29" s="13"/>
      <c r="AK29" s="13"/>
      <c r="AL29" s="13"/>
      <c r="AM29" s="13"/>
      <c r="AN29" s="13"/>
      <c r="AO29" s="13"/>
      <c r="AP29" s="13">
        <v>39831.74</v>
      </c>
      <c r="AQ29" s="13"/>
      <c r="AR29" s="13"/>
      <c r="AS29" s="13"/>
      <c r="AT29" s="13">
        <v>3764</v>
      </c>
      <c r="AU29" s="13">
        <v>327</v>
      </c>
      <c r="AV29" s="11">
        <v>123495</v>
      </c>
      <c r="AW29" s="11">
        <v>322</v>
      </c>
      <c r="AX29" s="11">
        <v>21724</v>
      </c>
      <c r="AY29" s="13">
        <v>865966.39</v>
      </c>
      <c r="AZ29" s="13">
        <v>7</v>
      </c>
      <c r="BA29" s="13">
        <v>123709.484</v>
      </c>
      <c r="BB29" s="13">
        <v>237540</v>
      </c>
      <c r="BC29" s="13">
        <v>3840033.61</v>
      </c>
      <c r="BD29" s="13">
        <v>30</v>
      </c>
      <c r="BE29" s="13">
        <v>128001.12</v>
      </c>
      <c r="BF29" s="13">
        <v>1068913</v>
      </c>
      <c r="BG29" s="13">
        <v>54621.85</v>
      </c>
      <c r="BH29" s="13">
        <v>1</v>
      </c>
      <c r="BI29" s="13">
        <v>54621.85</v>
      </c>
      <c r="BJ29" s="13">
        <v>8334</v>
      </c>
      <c r="BK29" s="13"/>
      <c r="BL29" s="13"/>
      <c r="BM29" s="13"/>
      <c r="BN29" s="13"/>
      <c r="BO29" s="13">
        <v>212</v>
      </c>
      <c r="BP29" s="13">
        <v>0</v>
      </c>
      <c r="BQ29" s="13">
        <v>0</v>
      </c>
      <c r="BR29" s="13">
        <v>201</v>
      </c>
      <c r="BS29" s="13">
        <v>0</v>
      </c>
      <c r="BT29" s="13">
        <v>0</v>
      </c>
      <c r="BU29" s="13">
        <v>32</v>
      </c>
      <c r="BV29" s="13">
        <v>2</v>
      </c>
      <c r="BW29" s="13">
        <v>6.25E-2</v>
      </c>
      <c r="BX29" s="13">
        <v>3</v>
      </c>
      <c r="BY29" s="13">
        <v>0</v>
      </c>
      <c r="BZ29" s="13">
        <v>0</v>
      </c>
      <c r="CA29" s="13">
        <v>99</v>
      </c>
      <c r="CB29" s="13">
        <v>4</v>
      </c>
      <c r="CC29" s="13">
        <v>4.0404040404040407E-2</v>
      </c>
      <c r="CD29" s="13">
        <v>547</v>
      </c>
      <c r="CE29" s="13">
        <v>6</v>
      </c>
      <c r="CF29" s="13">
        <v>1.0968921389396709E-2</v>
      </c>
      <c r="CG29" s="13"/>
      <c r="CH29" s="13"/>
      <c r="CI29" s="13"/>
    </row>
    <row r="30" spans="2:87" x14ac:dyDescent="0.2">
      <c r="B30">
        <v>46138</v>
      </c>
      <c r="C30" s="13">
        <v>18</v>
      </c>
      <c r="D30" s="13">
        <v>1.8</v>
      </c>
      <c r="E30" s="13">
        <v>115079.36599999999</v>
      </c>
      <c r="F30" s="13">
        <v>0</v>
      </c>
      <c r="G30" s="13">
        <v>2071428.59</v>
      </c>
      <c r="H30" s="13">
        <v>0</v>
      </c>
      <c r="I30" s="13">
        <v>0</v>
      </c>
      <c r="J30" s="13">
        <v>2071428.59</v>
      </c>
      <c r="K30" s="13">
        <v>68000</v>
      </c>
      <c r="L30" s="13">
        <v>0</v>
      </c>
      <c r="M30" s="13">
        <v>393571.41</v>
      </c>
      <c r="N30" s="13">
        <v>2533000</v>
      </c>
      <c r="O30" s="13">
        <v>0</v>
      </c>
      <c r="P30" s="13">
        <v>2071428.59</v>
      </c>
      <c r="Q30" s="13">
        <v>639616</v>
      </c>
      <c r="R30" s="13">
        <v>1431812.59</v>
      </c>
      <c r="S30" s="13">
        <v>0</v>
      </c>
      <c r="T30" s="13">
        <v>33</v>
      </c>
      <c r="U30" s="13">
        <v>0</v>
      </c>
      <c r="V30" s="13">
        <v>0</v>
      </c>
      <c r="W30">
        <v>46143.519570833334</v>
      </c>
      <c r="X30" s="13">
        <v>7</v>
      </c>
      <c r="Y30" s="13">
        <v>11</v>
      </c>
      <c r="Z30" s="13">
        <v>1033613.46</v>
      </c>
      <c r="AA30" s="13">
        <v>93964.86</v>
      </c>
      <c r="AB30" s="13">
        <v>343069</v>
      </c>
      <c r="AC30" s="13">
        <v>690544.46</v>
      </c>
      <c r="AD30" s="13">
        <v>7</v>
      </c>
      <c r="AE30" s="13">
        <v>7</v>
      </c>
      <c r="AF30" s="13">
        <v>1037815.13</v>
      </c>
      <c r="AG30" s="13">
        <v>148259.304</v>
      </c>
      <c r="AH30" s="13">
        <v>296547</v>
      </c>
      <c r="AI30" s="13">
        <v>741268.13</v>
      </c>
      <c r="AJ30" s="13"/>
      <c r="AK30" s="13"/>
      <c r="AL30" s="13"/>
      <c r="AM30" s="13"/>
      <c r="AN30" s="13"/>
      <c r="AO30" s="13"/>
      <c r="AP30" s="13">
        <v>36429.18</v>
      </c>
      <c r="AQ30" s="13"/>
      <c r="AR30" s="13"/>
      <c r="AS30" s="13"/>
      <c r="AT30" s="13">
        <v>2505</v>
      </c>
      <c r="AU30" s="13">
        <v>272</v>
      </c>
      <c r="AV30" s="11">
        <v>146103</v>
      </c>
      <c r="AW30" s="11">
        <v>354</v>
      </c>
      <c r="AX30" s="11">
        <v>22172</v>
      </c>
      <c r="AY30" s="13">
        <v>735294.11</v>
      </c>
      <c r="AZ30" s="13">
        <v>4</v>
      </c>
      <c r="BA30" s="13">
        <v>183823.527</v>
      </c>
      <c r="BB30" s="13">
        <v>205504</v>
      </c>
      <c r="BC30" s="13">
        <v>1235294.1399999999</v>
      </c>
      <c r="BD30" s="13">
        <v>13</v>
      </c>
      <c r="BE30" s="13">
        <v>95022.626000000004</v>
      </c>
      <c r="BF30" s="13">
        <v>416422</v>
      </c>
      <c r="BG30" s="13">
        <v>100840.34</v>
      </c>
      <c r="BH30" s="13">
        <v>1</v>
      </c>
      <c r="BI30" s="13">
        <v>100840.34</v>
      </c>
      <c r="BJ30" s="13">
        <v>17690</v>
      </c>
      <c r="BK30" s="13"/>
      <c r="BL30" s="13"/>
      <c r="BM30" s="13"/>
      <c r="BN30" s="13"/>
      <c r="BO30" s="13">
        <v>191</v>
      </c>
      <c r="BP30" s="13">
        <v>0</v>
      </c>
      <c r="BQ30" s="13">
        <v>0</v>
      </c>
      <c r="BR30" s="13">
        <v>243</v>
      </c>
      <c r="BS30" s="13">
        <v>1</v>
      </c>
      <c r="BT30" s="13">
        <v>4.11522633744856E-3</v>
      </c>
      <c r="BU30" s="13">
        <v>31</v>
      </c>
      <c r="BV30" s="13">
        <v>0</v>
      </c>
      <c r="BW30" s="13">
        <v>0</v>
      </c>
      <c r="BX30" s="13">
        <v>4</v>
      </c>
      <c r="BY30" s="13">
        <v>0</v>
      </c>
      <c r="BZ30" s="13">
        <v>0</v>
      </c>
      <c r="CA30" s="13">
        <v>98</v>
      </c>
      <c r="CB30" s="13">
        <v>3</v>
      </c>
      <c r="CC30" s="13">
        <v>3.0612244897959183E-2</v>
      </c>
      <c r="CD30" s="13">
        <v>567</v>
      </c>
      <c r="CE30" s="13">
        <v>4</v>
      </c>
      <c r="CF30" s="13">
        <v>7.0546737213403876E-3</v>
      </c>
      <c r="CG30" s="13"/>
      <c r="CH30" s="13"/>
      <c r="CI30" s="13"/>
    </row>
    <row r="31" spans="2:87" x14ac:dyDescent="0.2">
      <c r="B31">
        <v>46139</v>
      </c>
      <c r="C31" s="13">
        <v>22</v>
      </c>
      <c r="D31" s="13">
        <v>3.3</v>
      </c>
      <c r="E31" s="13">
        <v>227544.30900000001</v>
      </c>
      <c r="F31" s="13">
        <v>0</v>
      </c>
      <c r="G31" s="13">
        <v>5005974.8099999996</v>
      </c>
      <c r="H31" s="13">
        <v>0</v>
      </c>
      <c r="I31" s="13">
        <v>0</v>
      </c>
      <c r="J31" s="13">
        <v>5005974.8099999996</v>
      </c>
      <c r="K31" s="13">
        <v>48000</v>
      </c>
      <c r="L31" s="13">
        <v>0</v>
      </c>
      <c r="M31" s="13">
        <v>919025.19</v>
      </c>
      <c r="N31" s="13">
        <v>5973000</v>
      </c>
      <c r="O31" s="13">
        <v>240428.57</v>
      </c>
      <c r="P31" s="13">
        <v>4765546.24</v>
      </c>
      <c r="Q31" s="13">
        <v>1524333</v>
      </c>
      <c r="R31" s="13">
        <v>3241213.24</v>
      </c>
      <c r="S31" s="13">
        <v>0</v>
      </c>
      <c r="T31" s="13">
        <v>73</v>
      </c>
      <c r="U31" s="13">
        <v>0</v>
      </c>
      <c r="V31" s="13">
        <v>0</v>
      </c>
      <c r="W31">
        <v>46143.519570833334</v>
      </c>
      <c r="X31" s="13">
        <v>14</v>
      </c>
      <c r="Y31" s="13">
        <v>17</v>
      </c>
      <c r="Z31" s="13">
        <v>3745470.6</v>
      </c>
      <c r="AA31" s="13">
        <v>220321.8</v>
      </c>
      <c r="AB31" s="13">
        <v>980993</v>
      </c>
      <c r="AC31" s="13">
        <v>2524049.0299999998</v>
      </c>
      <c r="AD31" s="13">
        <v>5</v>
      </c>
      <c r="AE31" s="13">
        <v>5</v>
      </c>
      <c r="AF31" s="13">
        <v>1260504.21</v>
      </c>
      <c r="AG31" s="13">
        <v>252100.842</v>
      </c>
      <c r="AH31" s="13">
        <v>543340</v>
      </c>
      <c r="AI31" s="13">
        <v>717164.21</v>
      </c>
      <c r="AJ31" s="13"/>
      <c r="AK31" s="13"/>
      <c r="AL31" s="13"/>
      <c r="AM31" s="13"/>
      <c r="AN31" s="13"/>
      <c r="AO31" s="13"/>
      <c r="AP31" s="13">
        <v>27592.61</v>
      </c>
      <c r="AQ31" s="13"/>
      <c r="AR31" s="13"/>
      <c r="AS31" s="13"/>
      <c r="AT31" s="13">
        <v>1635</v>
      </c>
      <c r="AU31" s="13">
        <v>149</v>
      </c>
      <c r="AV31" s="11">
        <v>124162</v>
      </c>
      <c r="AW31" s="11">
        <v>267</v>
      </c>
      <c r="AX31" s="11">
        <v>19068</v>
      </c>
      <c r="AY31" s="13">
        <v>1710084.04</v>
      </c>
      <c r="AZ31" s="13">
        <v>7</v>
      </c>
      <c r="BA31" s="13">
        <v>244297.72</v>
      </c>
      <c r="BB31" s="13">
        <v>637657</v>
      </c>
      <c r="BC31" s="13">
        <v>3295890.77</v>
      </c>
      <c r="BD31" s="13">
        <v>15</v>
      </c>
      <c r="BE31" s="13">
        <v>219726.05100000001</v>
      </c>
      <c r="BF31" s="13">
        <v>886676</v>
      </c>
      <c r="BG31" s="13"/>
      <c r="BH31" s="13"/>
      <c r="BI31" s="13"/>
      <c r="BJ31" s="13"/>
      <c r="BK31" s="13"/>
      <c r="BL31" s="13"/>
      <c r="BM31" s="13"/>
      <c r="BN31" s="13"/>
      <c r="BO31" s="13">
        <v>71</v>
      </c>
      <c r="BP31" s="13">
        <v>0</v>
      </c>
      <c r="BQ31" s="13">
        <v>0</v>
      </c>
      <c r="BR31" s="13">
        <v>195</v>
      </c>
      <c r="BS31" s="13">
        <v>1</v>
      </c>
      <c r="BT31" s="13">
        <v>5.1282051282051282E-3</v>
      </c>
      <c r="BU31" s="13">
        <v>49</v>
      </c>
      <c r="BV31" s="13">
        <v>0</v>
      </c>
      <c r="BW31" s="13">
        <v>0</v>
      </c>
      <c r="BX31" s="13">
        <v>1</v>
      </c>
      <c r="BY31" s="13">
        <v>0</v>
      </c>
      <c r="BZ31" s="13">
        <v>0</v>
      </c>
      <c r="CA31" s="13">
        <v>135</v>
      </c>
      <c r="CB31" s="13">
        <v>5</v>
      </c>
      <c r="CC31" s="13">
        <v>3.7037037037037035E-2</v>
      </c>
      <c r="CD31" s="13">
        <v>451</v>
      </c>
      <c r="CE31" s="13">
        <v>6</v>
      </c>
      <c r="CF31" s="13">
        <v>1.3303769401330377E-2</v>
      </c>
      <c r="CG31" s="13"/>
      <c r="CH31" s="13"/>
      <c r="CI31" s="13"/>
    </row>
    <row r="32" spans="2:87" x14ac:dyDescent="0.2">
      <c r="B32">
        <v>46140</v>
      </c>
      <c r="C32" s="13">
        <v>29</v>
      </c>
      <c r="D32" s="13">
        <v>1.7</v>
      </c>
      <c r="E32" s="13">
        <v>113155.605</v>
      </c>
      <c r="F32" s="13">
        <v>-3</v>
      </c>
      <c r="G32" s="13">
        <v>3495714.25</v>
      </c>
      <c r="H32" s="13">
        <v>-214201.68</v>
      </c>
      <c r="I32" s="13">
        <v>0</v>
      </c>
      <c r="J32" s="13">
        <v>3281512.57</v>
      </c>
      <c r="K32" s="13">
        <v>80000</v>
      </c>
      <c r="L32" s="13">
        <v>0</v>
      </c>
      <c r="M32" s="13">
        <v>623487.43000000005</v>
      </c>
      <c r="N32" s="13">
        <v>3985000</v>
      </c>
      <c r="O32" s="13">
        <v>0</v>
      </c>
      <c r="P32" s="13">
        <v>3281512.57</v>
      </c>
      <c r="Q32" s="13">
        <v>1004580</v>
      </c>
      <c r="R32" s="13">
        <v>2276932.5699999998</v>
      </c>
      <c r="S32" s="13">
        <v>0</v>
      </c>
      <c r="T32" s="13">
        <v>46</v>
      </c>
      <c r="U32" s="13">
        <v>0</v>
      </c>
      <c r="V32" s="13">
        <v>0</v>
      </c>
      <c r="W32">
        <v>46143.519570833334</v>
      </c>
      <c r="X32" s="13">
        <v>9</v>
      </c>
      <c r="Y32" s="13">
        <v>10</v>
      </c>
      <c r="Z32" s="13">
        <v>966386.54</v>
      </c>
      <c r="AA32" s="13">
        <v>96638.653999999995</v>
      </c>
      <c r="AB32" s="13">
        <v>265485</v>
      </c>
      <c r="AC32" s="13">
        <v>700901.54</v>
      </c>
      <c r="AD32" s="13">
        <v>19</v>
      </c>
      <c r="AE32" s="13">
        <v>19</v>
      </c>
      <c r="AF32" s="13">
        <v>2315126.0299999998</v>
      </c>
      <c r="AG32" s="13">
        <v>121848.738</v>
      </c>
      <c r="AH32" s="13">
        <v>739095</v>
      </c>
      <c r="AI32" s="13">
        <v>1576031.03</v>
      </c>
      <c r="AJ32" s="13"/>
      <c r="AK32" s="13"/>
      <c r="AL32" s="13"/>
      <c r="AM32" s="13"/>
      <c r="AN32" s="13"/>
      <c r="AO32" s="13"/>
      <c r="AP32" s="13">
        <v>21042.81</v>
      </c>
      <c r="AQ32" s="13"/>
      <c r="AR32" s="13"/>
      <c r="AS32" s="13"/>
      <c r="AT32" s="13">
        <v>1315</v>
      </c>
      <c r="AU32" s="13">
        <v>99</v>
      </c>
      <c r="AV32" s="11">
        <v>120659</v>
      </c>
      <c r="AW32" s="11">
        <v>249</v>
      </c>
      <c r="AX32" s="11">
        <v>17304</v>
      </c>
      <c r="AY32" s="13">
        <v>995798.32</v>
      </c>
      <c r="AZ32" s="13">
        <v>9</v>
      </c>
      <c r="BA32" s="13">
        <v>110644.257</v>
      </c>
      <c r="BB32" s="13">
        <v>285457</v>
      </c>
      <c r="BC32" s="13">
        <v>2285714.25</v>
      </c>
      <c r="BD32" s="13">
        <v>20</v>
      </c>
      <c r="BE32" s="13">
        <v>114285.712</v>
      </c>
      <c r="BF32" s="13">
        <v>719123</v>
      </c>
      <c r="BG32" s="13"/>
      <c r="BH32" s="13"/>
      <c r="BI32" s="13"/>
      <c r="BJ32" s="13"/>
      <c r="BK32" s="13"/>
      <c r="BL32" s="13"/>
      <c r="BM32" s="13"/>
      <c r="BN32" s="13"/>
      <c r="BO32" s="13">
        <v>3</v>
      </c>
      <c r="BP32" s="13">
        <v>0</v>
      </c>
      <c r="BQ32" s="13">
        <v>0</v>
      </c>
      <c r="BR32" s="13">
        <v>162</v>
      </c>
      <c r="BS32" s="13">
        <v>1</v>
      </c>
      <c r="BT32" s="13">
        <v>6.1728395061728392E-3</v>
      </c>
      <c r="BU32" s="13">
        <v>70</v>
      </c>
      <c r="BV32" s="13">
        <v>4</v>
      </c>
      <c r="BW32" s="13">
        <v>5.7142857142857141E-2</v>
      </c>
      <c r="BX32" s="13"/>
      <c r="BY32" s="13"/>
      <c r="BZ32" s="13"/>
      <c r="CA32" s="13">
        <v>110</v>
      </c>
      <c r="CB32" s="13">
        <v>2</v>
      </c>
      <c r="CC32" s="13">
        <v>1.8181818181818181E-2</v>
      </c>
      <c r="CD32" s="13">
        <v>345</v>
      </c>
      <c r="CE32" s="13">
        <v>7</v>
      </c>
      <c r="CF32" s="13">
        <v>2.0289855072463767E-2</v>
      </c>
      <c r="CG32" s="13"/>
      <c r="CH32" s="13"/>
      <c r="CI32" s="13"/>
    </row>
    <row r="33" spans="2:87" x14ac:dyDescent="0.2">
      <c r="B33">
        <v>46141</v>
      </c>
      <c r="C33" s="13">
        <v>25</v>
      </c>
      <c r="D33" s="13">
        <v>1.8</v>
      </c>
      <c r="E33" s="13">
        <v>134655.462</v>
      </c>
      <c r="F33" s="13">
        <v>0</v>
      </c>
      <c r="G33" s="13">
        <v>3366386.57</v>
      </c>
      <c r="H33" s="13">
        <v>0</v>
      </c>
      <c r="I33" s="13">
        <v>0</v>
      </c>
      <c r="J33" s="13">
        <v>3366386.57</v>
      </c>
      <c r="K33" s="13">
        <v>88000</v>
      </c>
      <c r="L33" s="13">
        <v>0</v>
      </c>
      <c r="M33" s="13">
        <v>639613.43000000005</v>
      </c>
      <c r="N33" s="13">
        <v>4094000</v>
      </c>
      <c r="O33" s="13">
        <v>0</v>
      </c>
      <c r="P33" s="13">
        <v>3366386.57</v>
      </c>
      <c r="Q33" s="13">
        <v>986494</v>
      </c>
      <c r="R33" s="13">
        <v>2379892.5699999998</v>
      </c>
      <c r="S33" s="13">
        <v>0</v>
      </c>
      <c r="T33" s="13">
        <v>44</v>
      </c>
      <c r="U33" s="13">
        <v>0</v>
      </c>
      <c r="V33" s="13">
        <v>0</v>
      </c>
      <c r="W33">
        <v>46143.519570833334</v>
      </c>
      <c r="X33" s="13">
        <v>16</v>
      </c>
      <c r="Y33" s="13">
        <v>19</v>
      </c>
      <c r="Z33" s="13">
        <v>2715126.06</v>
      </c>
      <c r="AA33" s="13">
        <v>142901.37100000001</v>
      </c>
      <c r="AB33" s="13">
        <v>754848</v>
      </c>
      <c r="AC33" s="13">
        <v>1960278.06</v>
      </c>
      <c r="AD33" s="13">
        <v>6</v>
      </c>
      <c r="AE33" s="13">
        <v>6</v>
      </c>
      <c r="AF33" s="13">
        <v>651260.51</v>
      </c>
      <c r="AG33" s="13">
        <v>108543.41800000001</v>
      </c>
      <c r="AH33" s="13">
        <v>231646</v>
      </c>
      <c r="AI33" s="13">
        <v>419614.51</v>
      </c>
      <c r="AJ33" s="13"/>
      <c r="AK33" s="13"/>
      <c r="AL33" s="13"/>
      <c r="AM33" s="13"/>
      <c r="AN33" s="13"/>
      <c r="AO33" s="13"/>
      <c r="AP33" s="13">
        <v>15887.18</v>
      </c>
      <c r="AQ33" s="13"/>
      <c r="AR33" s="13"/>
      <c r="AS33" s="13"/>
      <c r="AT33" s="13">
        <v>1111</v>
      </c>
      <c r="AU33" s="13">
        <v>72</v>
      </c>
      <c r="AV33" s="11">
        <v>113319</v>
      </c>
      <c r="AW33" s="11">
        <v>245</v>
      </c>
      <c r="AX33" s="11">
        <v>17150</v>
      </c>
      <c r="AY33" s="13">
        <v>1718487.41</v>
      </c>
      <c r="AZ33" s="13">
        <v>9</v>
      </c>
      <c r="BA33" s="13">
        <v>190943.04500000001</v>
      </c>
      <c r="BB33" s="13">
        <v>540902</v>
      </c>
      <c r="BC33" s="13">
        <v>1647899.16</v>
      </c>
      <c r="BD33" s="13">
        <v>16</v>
      </c>
      <c r="BE33" s="13">
        <v>102993.697</v>
      </c>
      <c r="BF33" s="13">
        <v>445592</v>
      </c>
      <c r="BG33" s="13"/>
      <c r="BH33" s="13"/>
      <c r="BI33" s="13"/>
      <c r="BJ33" s="13"/>
      <c r="BK33" s="13"/>
      <c r="BL33" s="13"/>
      <c r="BM33" s="13"/>
      <c r="BN33" s="13"/>
      <c r="BO33" s="13">
        <v>6</v>
      </c>
      <c r="BP33" s="13">
        <v>0</v>
      </c>
      <c r="BQ33" s="13">
        <v>0</v>
      </c>
      <c r="BR33" s="13">
        <v>144</v>
      </c>
      <c r="BS33" s="13">
        <v>1</v>
      </c>
      <c r="BT33" s="13">
        <v>6.9444444444444441E-3</v>
      </c>
      <c r="BU33" s="13">
        <v>39</v>
      </c>
      <c r="BV33" s="13">
        <v>2</v>
      </c>
      <c r="BW33" s="13">
        <v>5.128205128205128E-2</v>
      </c>
      <c r="BX33" s="13"/>
      <c r="BY33" s="13"/>
      <c r="BZ33" s="13"/>
      <c r="CA33" s="13">
        <v>139</v>
      </c>
      <c r="CB33" s="13">
        <v>5</v>
      </c>
      <c r="CC33" s="13">
        <v>3.5971223021582732E-2</v>
      </c>
      <c r="CD33" s="13">
        <v>328</v>
      </c>
      <c r="CE33" s="13">
        <v>8</v>
      </c>
      <c r="CF33" s="13">
        <v>2.4390243902439025E-2</v>
      </c>
      <c r="CG33" s="13"/>
      <c r="CH33" s="13"/>
      <c r="CI33" s="13"/>
    </row>
    <row r="34" spans="2:87" x14ac:dyDescent="0.2">
      <c r="B34">
        <v>46142</v>
      </c>
      <c r="C34" s="13">
        <v>41</v>
      </c>
      <c r="D34" s="13">
        <v>2.5</v>
      </c>
      <c r="E34" s="13">
        <v>162392.318</v>
      </c>
      <c r="F34" s="13">
        <v>-2</v>
      </c>
      <c r="G34" s="13">
        <v>6742118.6600000001</v>
      </c>
      <c r="H34" s="13">
        <v>0</v>
      </c>
      <c r="I34" s="13">
        <v>-94117.64</v>
      </c>
      <c r="J34" s="13">
        <v>6648001.0199999996</v>
      </c>
      <c r="K34" s="13">
        <v>52000</v>
      </c>
      <c r="L34" s="13">
        <v>0</v>
      </c>
      <c r="M34" s="13">
        <v>1244499.98</v>
      </c>
      <c r="N34" s="13">
        <v>7944501</v>
      </c>
      <c r="O34" s="13">
        <v>390757.3</v>
      </c>
      <c r="P34" s="13">
        <v>6257243.7199999997</v>
      </c>
      <c r="Q34" s="13">
        <v>1725692</v>
      </c>
      <c r="R34" s="13">
        <v>4531551.72</v>
      </c>
      <c r="S34" s="13">
        <v>0</v>
      </c>
      <c r="T34" s="13">
        <v>101</v>
      </c>
      <c r="U34" s="13">
        <v>0</v>
      </c>
      <c r="V34" s="13">
        <v>0</v>
      </c>
      <c r="W34">
        <v>46143.519570833334</v>
      </c>
      <c r="X34" s="13">
        <v>16</v>
      </c>
      <c r="Y34" s="13">
        <v>26</v>
      </c>
      <c r="Z34" s="13">
        <v>4895899.18</v>
      </c>
      <c r="AA34" s="13">
        <v>188303.81400000001</v>
      </c>
      <c r="AB34" s="13">
        <v>1273159</v>
      </c>
      <c r="AC34" s="13">
        <v>3303412.45</v>
      </c>
      <c r="AD34" s="13">
        <v>14</v>
      </c>
      <c r="AE34" s="13">
        <v>14</v>
      </c>
      <c r="AF34" s="13">
        <v>1630253.1</v>
      </c>
      <c r="AG34" s="13">
        <v>117166.93700000001</v>
      </c>
      <c r="AH34" s="13">
        <v>424417</v>
      </c>
      <c r="AI34" s="13">
        <v>1134406.53</v>
      </c>
      <c r="AJ34" s="13">
        <v>1</v>
      </c>
      <c r="AK34" s="13">
        <v>1</v>
      </c>
      <c r="AL34" s="13">
        <v>121848.74</v>
      </c>
      <c r="AM34" s="13">
        <v>121848.74</v>
      </c>
      <c r="AN34" s="13">
        <v>28116</v>
      </c>
      <c r="AO34" s="13">
        <v>93732.74</v>
      </c>
      <c r="AP34" s="13">
        <v>25869.95</v>
      </c>
      <c r="AQ34" s="13"/>
      <c r="AR34" s="13"/>
      <c r="AS34" s="13"/>
      <c r="AT34" s="13">
        <v>1374</v>
      </c>
      <c r="AU34" s="13">
        <v>107</v>
      </c>
      <c r="AV34" s="11">
        <v>128321</v>
      </c>
      <c r="AW34" s="11">
        <v>235</v>
      </c>
      <c r="AX34" s="11">
        <v>19447</v>
      </c>
      <c r="AY34" s="13">
        <v>575631.25</v>
      </c>
      <c r="AZ34" s="13">
        <v>4</v>
      </c>
      <c r="BA34" s="13">
        <v>143907.81200000001</v>
      </c>
      <c r="BB34" s="13">
        <v>185163</v>
      </c>
      <c r="BC34" s="13">
        <v>2282453.77</v>
      </c>
      <c r="BD34" s="13">
        <v>15</v>
      </c>
      <c r="BE34" s="13">
        <v>152163.584</v>
      </c>
      <c r="BF34" s="13">
        <v>666652</v>
      </c>
      <c r="BG34" s="13"/>
      <c r="BH34" s="13"/>
      <c r="BI34" s="13"/>
      <c r="BJ34" s="13"/>
      <c r="BK34" s="13"/>
      <c r="BL34" s="13"/>
      <c r="BM34" s="13"/>
      <c r="BN34" s="13"/>
      <c r="BO34" s="13">
        <v>14</v>
      </c>
      <c r="BP34" s="13">
        <v>0</v>
      </c>
      <c r="BQ34" s="13">
        <v>0</v>
      </c>
      <c r="BR34" s="13">
        <v>172</v>
      </c>
      <c r="BS34" s="13">
        <v>1</v>
      </c>
      <c r="BT34" s="13">
        <v>5.8139534883720929E-3</v>
      </c>
      <c r="BU34" s="13">
        <v>42</v>
      </c>
      <c r="BV34" s="13">
        <v>0</v>
      </c>
      <c r="BW34" s="13">
        <v>0</v>
      </c>
      <c r="BX34" s="13"/>
      <c r="BY34" s="13"/>
      <c r="BZ34" s="13"/>
      <c r="CA34" s="13">
        <v>80</v>
      </c>
      <c r="CB34" s="13">
        <v>1</v>
      </c>
      <c r="CC34" s="13">
        <v>1.2500000000000001E-2</v>
      </c>
      <c r="CD34" s="13">
        <v>308</v>
      </c>
      <c r="CE34" s="13">
        <v>2</v>
      </c>
      <c r="CF34" s="13">
        <v>6.4935064935064939E-3</v>
      </c>
      <c r="CG34" s="13"/>
      <c r="CH34" s="13"/>
      <c r="CI34" s="13"/>
    </row>
    <row r="35" spans="2:87" x14ac:dyDescent="0.2">
      <c r="B35">
        <v>46143</v>
      </c>
      <c r="C35" s="13">
        <v>14</v>
      </c>
      <c r="D35" s="13">
        <v>12.4</v>
      </c>
      <c r="E35" s="13">
        <v>218427.372</v>
      </c>
      <c r="F35" s="13">
        <v>-3</v>
      </c>
      <c r="G35" s="13">
        <v>3259663.88</v>
      </c>
      <c r="H35" s="13">
        <v>0</v>
      </c>
      <c r="I35" s="13">
        <v>-147058.82999999999</v>
      </c>
      <c r="J35" s="13">
        <v>3112605.05</v>
      </c>
      <c r="K35" s="13">
        <v>24000</v>
      </c>
      <c r="L35" s="13">
        <v>0</v>
      </c>
      <c r="M35" s="13">
        <v>591394.94999999995</v>
      </c>
      <c r="N35" s="13">
        <v>3728000</v>
      </c>
      <c r="O35" s="13">
        <v>20168.060000000001</v>
      </c>
      <c r="P35" s="13">
        <v>3092436.99</v>
      </c>
      <c r="Q35" s="13">
        <v>1680145</v>
      </c>
      <c r="R35" s="13">
        <v>1412291.99</v>
      </c>
      <c r="S35" s="13">
        <v>0</v>
      </c>
      <c r="T35" s="13">
        <v>171</v>
      </c>
      <c r="U35" s="13">
        <v>0</v>
      </c>
      <c r="V35" s="13">
        <v>0</v>
      </c>
      <c r="W35">
        <v>46143.519570833334</v>
      </c>
      <c r="X35" s="13">
        <v>5</v>
      </c>
      <c r="Y35" s="13">
        <v>5</v>
      </c>
      <c r="Z35" s="13">
        <v>277310.92</v>
      </c>
      <c r="AA35" s="13">
        <v>64705.881999999998</v>
      </c>
      <c r="AB35" s="13">
        <v>59249</v>
      </c>
      <c r="AC35" s="13">
        <v>218061.92</v>
      </c>
      <c r="AD35" s="13">
        <v>9</v>
      </c>
      <c r="AE35" s="13">
        <v>9</v>
      </c>
      <c r="AF35" s="13">
        <v>2835294.13</v>
      </c>
      <c r="AG35" s="13">
        <v>303828.2</v>
      </c>
      <c r="AH35" s="13">
        <v>1620896</v>
      </c>
      <c r="AI35" s="13">
        <v>1194230.07</v>
      </c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1">
        <v>40692</v>
      </c>
      <c r="AW35" s="11">
        <v>90</v>
      </c>
      <c r="AX35" s="11">
        <v>5952</v>
      </c>
      <c r="AY35" s="13">
        <v>1196638.6599999999</v>
      </c>
      <c r="AZ35" s="13">
        <v>11</v>
      </c>
      <c r="BA35" s="13">
        <v>103819.71</v>
      </c>
      <c r="BB35" s="13">
        <v>336886</v>
      </c>
      <c r="BC35" s="13">
        <v>1865546.22</v>
      </c>
      <c r="BD35" s="13">
        <v>2</v>
      </c>
      <c r="BE35" s="13">
        <v>932773.11</v>
      </c>
      <c r="BF35" s="13">
        <v>1329759</v>
      </c>
      <c r="BG35" s="13"/>
      <c r="BH35" s="13"/>
      <c r="BI35" s="13"/>
      <c r="BJ35" s="13"/>
      <c r="BK35" s="13"/>
      <c r="BL35" s="13"/>
      <c r="BM35" s="13"/>
      <c r="BN35" s="13"/>
      <c r="BO35" s="13">
        <v>31</v>
      </c>
      <c r="BP35" s="13">
        <v>0</v>
      </c>
      <c r="BQ35" s="13">
        <v>0</v>
      </c>
      <c r="BR35" s="13">
        <v>117</v>
      </c>
      <c r="BS35" s="13">
        <v>0</v>
      </c>
      <c r="BT35" s="13">
        <v>0</v>
      </c>
      <c r="BU35" s="13">
        <v>9</v>
      </c>
      <c r="BV35" s="13">
        <v>1</v>
      </c>
      <c r="BW35" s="13">
        <v>0.1111111111111111</v>
      </c>
      <c r="BX35" s="13"/>
      <c r="BY35" s="13"/>
      <c r="BZ35" s="13"/>
      <c r="CA35" s="13">
        <v>40</v>
      </c>
      <c r="CB35" s="13">
        <v>1</v>
      </c>
      <c r="CC35" s="13">
        <v>2.5000000000000001E-2</v>
      </c>
      <c r="CD35" s="13">
        <v>197</v>
      </c>
      <c r="CE35" s="13">
        <v>2</v>
      </c>
      <c r="CF35" s="13">
        <v>1.015228426395939E-2</v>
      </c>
      <c r="CG35" s="13"/>
      <c r="CH35" s="13"/>
      <c r="CI35" s="13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06BA8-BA82-41F9-A8DE-217686B65859}">
  <dimension ref="B5:I23"/>
  <sheetViews>
    <sheetView workbookViewId="0">
      <selection activeCell="B5" sqref="B5:K273"/>
    </sheetView>
  </sheetViews>
  <sheetFormatPr defaultRowHeight="12" x14ac:dyDescent="0.2"/>
  <cols>
    <col min="2" max="2" width="6.83203125" bestFit="1" customWidth="1"/>
    <col min="3" max="3" width="26.1640625" bestFit="1" customWidth="1"/>
    <col min="4" max="4" width="22.1640625" bestFit="1" customWidth="1"/>
    <col min="5" max="5" width="22.83203125" bestFit="1" customWidth="1"/>
    <col min="6" max="6" width="14.33203125" bestFit="1" customWidth="1"/>
    <col min="7" max="7" width="9.33203125" bestFit="1" customWidth="1"/>
    <col min="8" max="8" width="11.33203125" bestFit="1" customWidth="1"/>
    <col min="9" max="9" width="15" bestFit="1" customWidth="1"/>
    <col min="10" max="10" width="12.6640625" bestFit="1" customWidth="1"/>
    <col min="11" max="11" width="22.83203125" bestFit="1" customWidth="1"/>
    <col min="12" max="12" width="14.33203125" bestFit="1" customWidth="1"/>
  </cols>
  <sheetData>
    <row r="5" spans="2:9" x14ac:dyDescent="0.2">
      <c r="B5" t="s">
        <v>42</v>
      </c>
      <c r="C5" t="s">
        <v>77</v>
      </c>
      <c r="D5" t="s">
        <v>78</v>
      </c>
      <c r="E5" t="s">
        <v>82</v>
      </c>
      <c r="F5" t="s">
        <v>2396</v>
      </c>
      <c r="G5" t="s">
        <v>79</v>
      </c>
      <c r="H5" t="s">
        <v>80</v>
      </c>
      <c r="I5" t="s">
        <v>81</v>
      </c>
    </row>
    <row r="6" spans="2:9" x14ac:dyDescent="0.2">
      <c r="B6">
        <v>46114</v>
      </c>
      <c r="C6" t="s">
        <v>85</v>
      </c>
      <c r="D6" t="s">
        <v>86</v>
      </c>
      <c r="E6" s="13">
        <v>142000</v>
      </c>
      <c r="F6">
        <v>46143.519620879626</v>
      </c>
      <c r="G6" s="11">
        <v>142000</v>
      </c>
      <c r="H6" s="11"/>
      <c r="I6" s="11"/>
    </row>
    <row r="7" spans="2:9" x14ac:dyDescent="0.2">
      <c r="B7">
        <v>46118</v>
      </c>
      <c r="C7" t="s">
        <v>83</v>
      </c>
      <c r="D7" t="s">
        <v>84</v>
      </c>
      <c r="E7" s="13">
        <v>75000</v>
      </c>
      <c r="F7">
        <v>46143.519620879626</v>
      </c>
      <c r="G7" s="11"/>
      <c r="H7" s="11">
        <v>75000</v>
      </c>
      <c r="I7" s="11"/>
    </row>
    <row r="8" spans="2:9" x14ac:dyDescent="0.2">
      <c r="B8">
        <v>46119</v>
      </c>
      <c r="C8" t="s">
        <v>83</v>
      </c>
      <c r="D8" t="s">
        <v>84</v>
      </c>
      <c r="E8" s="13">
        <v>87000</v>
      </c>
      <c r="F8">
        <v>46143.519620879626</v>
      </c>
      <c r="G8" s="11"/>
      <c r="H8" s="11"/>
      <c r="I8" s="11">
        <v>87000</v>
      </c>
    </row>
    <row r="9" spans="2:9" x14ac:dyDescent="0.2">
      <c r="B9">
        <v>46119</v>
      </c>
      <c r="C9" t="s">
        <v>85</v>
      </c>
      <c r="D9" t="s">
        <v>86</v>
      </c>
      <c r="E9" s="13">
        <v>165000</v>
      </c>
      <c r="F9">
        <v>46143.519620879626</v>
      </c>
      <c r="G9" s="11">
        <v>165000</v>
      </c>
      <c r="H9" s="11"/>
      <c r="I9" s="11"/>
    </row>
    <row r="10" spans="2:9" x14ac:dyDescent="0.2">
      <c r="B10">
        <v>46120</v>
      </c>
      <c r="C10" t="s">
        <v>85</v>
      </c>
      <c r="D10" t="s">
        <v>86</v>
      </c>
      <c r="E10" s="13">
        <v>132000</v>
      </c>
      <c r="F10">
        <v>46143.519620879626</v>
      </c>
      <c r="G10" s="11">
        <v>132000</v>
      </c>
      <c r="H10" s="11"/>
      <c r="I10" s="11"/>
    </row>
    <row r="11" spans="2:9" x14ac:dyDescent="0.2">
      <c r="B11">
        <v>46121</v>
      </c>
      <c r="C11" t="s">
        <v>85</v>
      </c>
      <c r="D11" t="s">
        <v>86</v>
      </c>
      <c r="E11" s="13">
        <v>749000</v>
      </c>
      <c r="F11">
        <v>46143.519620879626</v>
      </c>
      <c r="G11" s="11">
        <v>749000</v>
      </c>
      <c r="H11" s="11"/>
      <c r="I11" s="11"/>
    </row>
    <row r="12" spans="2:9" x14ac:dyDescent="0.2">
      <c r="B12">
        <v>46121</v>
      </c>
      <c r="C12" t="s">
        <v>87</v>
      </c>
      <c r="D12" t="s">
        <v>86</v>
      </c>
      <c r="E12" s="13">
        <v>55000</v>
      </c>
      <c r="F12">
        <v>46143.519620879626</v>
      </c>
      <c r="G12" s="11">
        <v>55000</v>
      </c>
      <c r="H12" s="11"/>
      <c r="I12" s="11"/>
    </row>
    <row r="13" spans="2:9" x14ac:dyDescent="0.2">
      <c r="B13">
        <v>46122</v>
      </c>
      <c r="C13" t="s">
        <v>83</v>
      </c>
      <c r="D13" t="s">
        <v>84</v>
      </c>
      <c r="E13" s="13">
        <v>72000</v>
      </c>
      <c r="F13">
        <v>46143.519620879626</v>
      </c>
      <c r="G13" s="11"/>
      <c r="H13" s="11">
        <v>72000</v>
      </c>
      <c r="I13" s="11"/>
    </row>
    <row r="14" spans="2:9" x14ac:dyDescent="0.2">
      <c r="B14">
        <v>46127</v>
      </c>
      <c r="C14" t="s">
        <v>85</v>
      </c>
      <c r="D14" t="s">
        <v>86</v>
      </c>
      <c r="E14" s="13">
        <v>75000</v>
      </c>
      <c r="F14">
        <v>46143.519620879626</v>
      </c>
      <c r="G14" s="11">
        <v>75000</v>
      </c>
      <c r="H14" s="11"/>
      <c r="I14" s="11"/>
    </row>
    <row r="15" spans="2:9" x14ac:dyDescent="0.2">
      <c r="B15">
        <v>46130</v>
      </c>
      <c r="C15" t="s">
        <v>83</v>
      </c>
      <c r="D15" t="s">
        <v>84</v>
      </c>
      <c r="E15" s="13">
        <v>87000</v>
      </c>
      <c r="F15">
        <v>46143.519620879626</v>
      </c>
      <c r="G15" s="11"/>
      <c r="H15" s="11">
        <v>87000</v>
      </c>
      <c r="I15" s="11"/>
    </row>
    <row r="16" spans="2:9" x14ac:dyDescent="0.2">
      <c r="B16">
        <v>46133</v>
      </c>
      <c r="C16" t="s">
        <v>85</v>
      </c>
      <c r="D16" t="s">
        <v>86</v>
      </c>
      <c r="E16" s="13">
        <v>357000</v>
      </c>
      <c r="F16">
        <v>46143.519620879626</v>
      </c>
      <c r="G16" s="11">
        <v>357000</v>
      </c>
      <c r="H16" s="11"/>
      <c r="I16" s="11"/>
    </row>
    <row r="17" spans="2:9" x14ac:dyDescent="0.2">
      <c r="B17">
        <v>46137</v>
      </c>
      <c r="C17" t="s">
        <v>85</v>
      </c>
      <c r="D17" t="s">
        <v>86</v>
      </c>
      <c r="E17" s="13">
        <v>332000</v>
      </c>
      <c r="F17">
        <v>46143.519620879626</v>
      </c>
      <c r="G17" s="11">
        <v>332000</v>
      </c>
      <c r="H17" s="11"/>
      <c r="I17" s="11"/>
    </row>
    <row r="18" spans="2:9" x14ac:dyDescent="0.2">
      <c r="B18">
        <v>46138</v>
      </c>
      <c r="C18" t="s">
        <v>83</v>
      </c>
      <c r="D18" t="s">
        <v>84</v>
      </c>
      <c r="E18" s="13">
        <v>346000</v>
      </c>
      <c r="F18">
        <v>46143.519620879626</v>
      </c>
      <c r="G18" s="11"/>
      <c r="H18" s="11">
        <v>346000</v>
      </c>
      <c r="I18" s="11"/>
    </row>
    <row r="19" spans="2:9" x14ac:dyDescent="0.2">
      <c r="B19">
        <v>46139</v>
      </c>
      <c r="C19" t="s">
        <v>83</v>
      </c>
      <c r="D19" t="s">
        <v>81</v>
      </c>
      <c r="E19" s="13">
        <v>367000</v>
      </c>
      <c r="F19">
        <v>46143.519620879626</v>
      </c>
      <c r="G19" s="11"/>
      <c r="H19" s="11">
        <v>367000</v>
      </c>
      <c r="I19" s="11"/>
    </row>
    <row r="20" spans="2:9" x14ac:dyDescent="0.2">
      <c r="B20">
        <v>46140</v>
      </c>
      <c r="C20" t="s">
        <v>85</v>
      </c>
      <c r="D20" t="s">
        <v>86</v>
      </c>
      <c r="E20" s="13">
        <v>401000</v>
      </c>
      <c r="F20">
        <v>46143.519620879626</v>
      </c>
      <c r="G20" s="11">
        <v>401000</v>
      </c>
      <c r="H20" s="11"/>
      <c r="I20" s="11"/>
    </row>
    <row r="21" spans="2:9" x14ac:dyDescent="0.2">
      <c r="B21">
        <v>46141</v>
      </c>
      <c r="C21" t="s">
        <v>85</v>
      </c>
      <c r="D21" t="s">
        <v>86</v>
      </c>
      <c r="E21" s="13">
        <v>142000</v>
      </c>
      <c r="F21">
        <v>46143.519620879626</v>
      </c>
      <c r="G21" s="11">
        <v>142000</v>
      </c>
      <c r="H21" s="11"/>
      <c r="I21" s="11"/>
    </row>
    <row r="22" spans="2:9" x14ac:dyDescent="0.2">
      <c r="B22">
        <v>46143</v>
      </c>
      <c r="C22" t="s">
        <v>85</v>
      </c>
      <c r="D22" t="s">
        <v>86</v>
      </c>
      <c r="E22" s="13">
        <v>302000</v>
      </c>
      <c r="F22">
        <v>46143.519620879626</v>
      </c>
      <c r="G22" s="11">
        <v>302000</v>
      </c>
      <c r="H22" s="11"/>
      <c r="I22" s="11"/>
    </row>
    <row r="23" spans="2:9" x14ac:dyDescent="0.2">
      <c r="B23">
        <v>46143</v>
      </c>
      <c r="C23" t="s">
        <v>85</v>
      </c>
      <c r="D23" t="s">
        <v>81</v>
      </c>
      <c r="E23" s="13">
        <v>112000</v>
      </c>
      <c r="F23">
        <v>46143.519620879626</v>
      </c>
      <c r="G23" s="11">
        <v>112000</v>
      </c>
      <c r="H23" s="11"/>
      <c r="I23" s="11"/>
    </row>
  </sheetData>
  <phoneticPr fontId="49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CEC63-2294-4F64-AE92-C0651F6AB384}">
  <dimension ref="B5:H849"/>
  <sheetViews>
    <sheetView workbookViewId="0">
      <selection activeCell="B5" sqref="B5:H849"/>
    </sheetView>
  </sheetViews>
  <sheetFormatPr defaultRowHeight="12" x14ac:dyDescent="0.2"/>
  <cols>
    <col min="2" max="2" width="10.83203125" bestFit="1" customWidth="1"/>
    <col min="3" max="3" width="21.1640625" bestFit="1" customWidth="1"/>
    <col min="4" max="4" width="11.6640625" bestFit="1" customWidth="1"/>
    <col min="5" max="5" width="9" bestFit="1" customWidth="1"/>
    <col min="6" max="6" width="21.6640625" bestFit="1" customWidth="1"/>
    <col min="7" max="7" width="20.33203125" bestFit="1" customWidth="1"/>
    <col min="8" max="8" width="13.6640625" bestFit="1" customWidth="1"/>
  </cols>
  <sheetData>
    <row r="5" spans="2:8" x14ac:dyDescent="0.2">
      <c r="B5" t="s">
        <v>42</v>
      </c>
      <c r="C5" t="s">
        <v>111</v>
      </c>
      <c r="D5" t="s">
        <v>45</v>
      </c>
      <c r="E5" t="s">
        <v>61</v>
      </c>
      <c r="F5" t="s">
        <v>63</v>
      </c>
      <c r="G5" t="s">
        <v>55</v>
      </c>
      <c r="H5" t="s">
        <v>56</v>
      </c>
    </row>
    <row r="6" spans="2:8" x14ac:dyDescent="0.2">
      <c r="B6" s="5">
        <v>45778</v>
      </c>
      <c r="C6" t="s">
        <v>112</v>
      </c>
      <c r="D6" s="11">
        <v>810504.2</v>
      </c>
      <c r="E6" s="11">
        <v>8</v>
      </c>
      <c r="F6" s="11">
        <v>101313.02499999999</v>
      </c>
      <c r="G6" s="11">
        <v>207938</v>
      </c>
      <c r="H6" s="11">
        <v>560549.39</v>
      </c>
    </row>
    <row r="7" spans="2:8" x14ac:dyDescent="0.2">
      <c r="B7" s="5">
        <v>45779</v>
      </c>
      <c r="C7" t="s">
        <v>112</v>
      </c>
      <c r="D7" s="11">
        <v>4429411.76</v>
      </c>
      <c r="E7" s="11">
        <v>26</v>
      </c>
      <c r="F7" s="11">
        <v>170361.99</v>
      </c>
      <c r="G7" s="11">
        <v>1209141</v>
      </c>
      <c r="H7" s="11">
        <v>3136237.15</v>
      </c>
    </row>
    <row r="8" spans="2:8" x14ac:dyDescent="0.2">
      <c r="B8" s="5">
        <v>45780</v>
      </c>
      <c r="C8" t="s">
        <v>112</v>
      </c>
      <c r="D8" s="11">
        <v>5367563.09</v>
      </c>
      <c r="E8" s="11">
        <v>54</v>
      </c>
      <c r="F8" s="11">
        <v>99399.316000000006</v>
      </c>
      <c r="G8" s="11">
        <v>1299758</v>
      </c>
      <c r="H8" s="11">
        <v>3606248.48</v>
      </c>
    </row>
    <row r="9" spans="2:8" x14ac:dyDescent="0.2">
      <c r="B9" s="5">
        <v>45781</v>
      </c>
      <c r="C9" t="s">
        <v>112</v>
      </c>
      <c r="D9" s="11">
        <v>4035547.1</v>
      </c>
      <c r="E9" s="11">
        <v>31</v>
      </c>
      <c r="F9" s="11">
        <v>155226.37599999999</v>
      </c>
      <c r="G9" s="11">
        <v>1122666</v>
      </c>
      <c r="H9" s="11">
        <v>2870864.29</v>
      </c>
    </row>
    <row r="10" spans="2:8" x14ac:dyDescent="0.2">
      <c r="B10" s="5">
        <v>45782</v>
      </c>
      <c r="C10" t="s">
        <v>112</v>
      </c>
      <c r="D10" s="11">
        <v>3922018.65</v>
      </c>
      <c r="E10" s="11">
        <v>29</v>
      </c>
      <c r="F10" s="11">
        <v>135242.022</v>
      </c>
      <c r="G10" s="11">
        <v>1058387</v>
      </c>
      <c r="H10" s="11">
        <v>2779597.04</v>
      </c>
    </row>
    <row r="11" spans="2:8" x14ac:dyDescent="0.2">
      <c r="B11" s="5">
        <v>45783</v>
      </c>
      <c r="C11" t="s">
        <v>112</v>
      </c>
      <c r="D11" s="11">
        <v>5282353.79</v>
      </c>
      <c r="E11" s="11">
        <v>37</v>
      </c>
      <c r="F11" s="11">
        <v>144674.10800000001</v>
      </c>
      <c r="G11" s="11">
        <v>1311981</v>
      </c>
      <c r="H11" s="11">
        <v>3928355.14</v>
      </c>
    </row>
    <row r="12" spans="2:8" x14ac:dyDescent="0.2">
      <c r="B12" s="5">
        <v>45784</v>
      </c>
      <c r="C12" t="s">
        <v>112</v>
      </c>
      <c r="D12" s="11">
        <v>1417647.05</v>
      </c>
      <c r="E12" s="11">
        <v>14</v>
      </c>
      <c r="F12" s="11">
        <v>101260.503</v>
      </c>
      <c r="G12" s="11">
        <v>292251</v>
      </c>
      <c r="H12" s="11">
        <v>1083379.24</v>
      </c>
    </row>
    <row r="13" spans="2:8" x14ac:dyDescent="0.2">
      <c r="B13" s="5">
        <v>45785</v>
      </c>
      <c r="C13" t="s">
        <v>112</v>
      </c>
      <c r="D13" s="11">
        <v>3243373.91</v>
      </c>
      <c r="E13" s="11">
        <v>14</v>
      </c>
      <c r="F13" s="11">
        <v>325519.625</v>
      </c>
      <c r="G13" s="11">
        <v>741427</v>
      </c>
      <c r="H13" s="11">
        <v>2501946.91</v>
      </c>
    </row>
    <row r="14" spans="2:8" x14ac:dyDescent="0.2">
      <c r="B14" s="5">
        <v>45786</v>
      </c>
      <c r="C14" t="s">
        <v>112</v>
      </c>
      <c r="D14" s="11">
        <v>2173949.59</v>
      </c>
      <c r="E14" s="11">
        <v>16</v>
      </c>
      <c r="F14" s="11">
        <v>125630.25199999999</v>
      </c>
      <c r="G14" s="11">
        <v>488871</v>
      </c>
      <c r="H14" s="11">
        <v>1685078.59</v>
      </c>
    </row>
    <row r="15" spans="2:8" x14ac:dyDescent="0.2">
      <c r="B15" s="5">
        <v>45787</v>
      </c>
      <c r="C15" t="s">
        <v>112</v>
      </c>
      <c r="D15" s="11">
        <v>756093.27</v>
      </c>
      <c r="E15" s="11">
        <v>10</v>
      </c>
      <c r="F15" s="11">
        <v>75609.327000000005</v>
      </c>
      <c r="G15" s="11">
        <v>212555</v>
      </c>
      <c r="H15" s="11">
        <v>543537.43000000005</v>
      </c>
    </row>
    <row r="16" spans="2:8" x14ac:dyDescent="0.2">
      <c r="B16" s="5">
        <v>45788</v>
      </c>
      <c r="C16" t="s">
        <v>112</v>
      </c>
      <c r="D16" s="11">
        <v>200000</v>
      </c>
      <c r="E16" s="11">
        <v>2</v>
      </c>
      <c r="F16" s="11">
        <v>100000</v>
      </c>
      <c r="G16" s="11">
        <v>61255</v>
      </c>
      <c r="H16" s="11">
        <v>138745</v>
      </c>
    </row>
    <row r="17" spans="2:8" x14ac:dyDescent="0.2">
      <c r="B17" s="5">
        <v>45789</v>
      </c>
      <c r="C17" t="s">
        <v>112</v>
      </c>
      <c r="D17" s="11">
        <v>1772268.91</v>
      </c>
      <c r="E17" s="11">
        <v>14</v>
      </c>
      <c r="F17" s="11">
        <v>126590.636</v>
      </c>
      <c r="G17" s="11">
        <v>406970</v>
      </c>
      <c r="H17" s="11">
        <v>1281265.3</v>
      </c>
    </row>
    <row r="18" spans="2:8" x14ac:dyDescent="0.2">
      <c r="B18" s="5">
        <v>45790</v>
      </c>
      <c r="C18" t="s">
        <v>112</v>
      </c>
      <c r="D18" s="11">
        <v>8189916.79</v>
      </c>
      <c r="E18" s="11">
        <v>14</v>
      </c>
      <c r="F18" s="11">
        <v>584994.05599999998</v>
      </c>
      <c r="G18" s="11">
        <v>2299168</v>
      </c>
      <c r="H18" s="11">
        <v>5890747.9500000002</v>
      </c>
    </row>
    <row r="19" spans="2:8" x14ac:dyDescent="0.2">
      <c r="B19" s="5">
        <v>45791</v>
      </c>
      <c r="C19" t="s">
        <v>112</v>
      </c>
      <c r="D19" s="11">
        <v>7460495.8300000001</v>
      </c>
      <c r="E19" s="11">
        <v>55</v>
      </c>
      <c r="F19" s="11">
        <v>135706.49400000001</v>
      </c>
      <c r="G19" s="11">
        <v>1859524</v>
      </c>
      <c r="H19" s="11">
        <v>5386686.1100000003</v>
      </c>
    </row>
    <row r="20" spans="2:8" x14ac:dyDescent="0.2">
      <c r="B20" s="5">
        <v>45792</v>
      </c>
      <c r="C20" t="s">
        <v>112</v>
      </c>
      <c r="D20" s="11">
        <v>5208825.2</v>
      </c>
      <c r="E20" s="11">
        <v>35</v>
      </c>
      <c r="F20" s="11">
        <v>153865.59400000001</v>
      </c>
      <c r="G20" s="11">
        <v>1288710.1200000001</v>
      </c>
      <c r="H20" s="11">
        <v>3794062.97</v>
      </c>
    </row>
    <row r="21" spans="2:8" x14ac:dyDescent="0.2">
      <c r="B21" s="5">
        <v>45793</v>
      </c>
      <c r="C21" t="s">
        <v>112</v>
      </c>
      <c r="D21" s="11">
        <v>2552807.56</v>
      </c>
      <c r="E21" s="11">
        <v>11</v>
      </c>
      <c r="F21" s="11">
        <v>232073.41399999999</v>
      </c>
      <c r="G21" s="11">
        <v>966034</v>
      </c>
      <c r="H21" s="11">
        <v>1544755.91</v>
      </c>
    </row>
    <row r="22" spans="2:8" x14ac:dyDescent="0.2">
      <c r="B22" s="5">
        <v>45794</v>
      </c>
      <c r="C22" t="s">
        <v>112</v>
      </c>
      <c r="D22" s="11">
        <v>826890.75</v>
      </c>
      <c r="E22" s="11">
        <v>8</v>
      </c>
      <c r="F22" s="11">
        <v>103361.34299999999</v>
      </c>
      <c r="G22" s="11">
        <v>171744</v>
      </c>
      <c r="H22" s="11">
        <v>529096.32999999996</v>
      </c>
    </row>
    <row r="23" spans="2:8" x14ac:dyDescent="0.2">
      <c r="B23" s="5">
        <v>45795</v>
      </c>
      <c r="C23" t="s">
        <v>112</v>
      </c>
      <c r="D23" s="11">
        <v>462184.88</v>
      </c>
      <c r="E23" s="11">
        <v>3</v>
      </c>
      <c r="F23" s="11">
        <v>154061.62599999999</v>
      </c>
      <c r="G23" s="11">
        <v>122134</v>
      </c>
      <c r="H23" s="11">
        <v>340050.88</v>
      </c>
    </row>
    <row r="24" spans="2:8" x14ac:dyDescent="0.2">
      <c r="B24" s="5">
        <v>45796</v>
      </c>
      <c r="C24" t="s">
        <v>112</v>
      </c>
      <c r="D24" s="11">
        <v>1732773.08</v>
      </c>
      <c r="E24" s="11">
        <v>11</v>
      </c>
      <c r="F24" s="11">
        <v>149503.435</v>
      </c>
      <c r="G24" s="11">
        <v>417373</v>
      </c>
      <c r="H24" s="11">
        <v>1315400.08</v>
      </c>
    </row>
    <row r="25" spans="2:8" x14ac:dyDescent="0.2">
      <c r="B25" s="5">
        <v>45797</v>
      </c>
      <c r="C25" t="s">
        <v>112</v>
      </c>
      <c r="D25" s="11">
        <v>1733613.45</v>
      </c>
      <c r="E25" s="11">
        <v>13</v>
      </c>
      <c r="F25" s="11">
        <v>133354.88099999999</v>
      </c>
      <c r="G25" s="11">
        <v>358096</v>
      </c>
      <c r="H25" s="11">
        <v>1375517.45</v>
      </c>
    </row>
    <row r="26" spans="2:8" x14ac:dyDescent="0.2">
      <c r="B26" s="5">
        <v>45798</v>
      </c>
      <c r="C26" t="s">
        <v>112</v>
      </c>
      <c r="D26" s="11">
        <v>1888405.21</v>
      </c>
      <c r="E26" s="11">
        <v>14</v>
      </c>
      <c r="F26" s="11">
        <v>134886.08600000001</v>
      </c>
      <c r="G26" s="11">
        <v>513818</v>
      </c>
      <c r="H26" s="11">
        <v>1374585.37</v>
      </c>
    </row>
    <row r="27" spans="2:8" x14ac:dyDescent="0.2">
      <c r="B27" s="5">
        <v>45799</v>
      </c>
      <c r="C27" t="s">
        <v>112</v>
      </c>
      <c r="D27" s="11">
        <v>1582352.95</v>
      </c>
      <c r="E27" s="11">
        <v>12</v>
      </c>
      <c r="F27" s="11">
        <v>131862.745</v>
      </c>
      <c r="G27" s="11">
        <v>424106</v>
      </c>
      <c r="H27" s="11">
        <v>1158246.95</v>
      </c>
    </row>
    <row r="28" spans="2:8" x14ac:dyDescent="0.2">
      <c r="B28" s="5">
        <v>45800</v>
      </c>
      <c r="C28" t="s">
        <v>112</v>
      </c>
      <c r="D28" s="11">
        <v>725210.09</v>
      </c>
      <c r="E28" s="11">
        <v>9</v>
      </c>
      <c r="F28" s="11">
        <v>80578.898000000001</v>
      </c>
      <c r="G28" s="11">
        <v>142506</v>
      </c>
      <c r="H28" s="11">
        <v>582704.09</v>
      </c>
    </row>
    <row r="29" spans="2:8" x14ac:dyDescent="0.2">
      <c r="B29" s="5">
        <v>45801</v>
      </c>
      <c r="C29" t="s">
        <v>112</v>
      </c>
      <c r="D29" s="11">
        <v>939495.81</v>
      </c>
      <c r="E29" s="11">
        <v>7</v>
      </c>
      <c r="F29" s="11">
        <v>134213.68700000001</v>
      </c>
      <c r="G29" s="11">
        <v>230460</v>
      </c>
      <c r="H29" s="11">
        <v>709035.81</v>
      </c>
    </row>
    <row r="30" spans="2:8" x14ac:dyDescent="0.2">
      <c r="B30" s="5">
        <v>45802</v>
      </c>
      <c r="C30" t="s">
        <v>112</v>
      </c>
      <c r="D30" s="11">
        <v>1597478.98</v>
      </c>
      <c r="E30" s="11">
        <v>7</v>
      </c>
      <c r="F30" s="11">
        <v>228211.28200000001</v>
      </c>
      <c r="G30" s="11">
        <v>439602</v>
      </c>
      <c r="H30" s="11">
        <v>1157876.98</v>
      </c>
    </row>
    <row r="31" spans="2:8" x14ac:dyDescent="0.2">
      <c r="B31" s="5">
        <v>45803</v>
      </c>
      <c r="C31" t="s">
        <v>112</v>
      </c>
      <c r="D31" s="11">
        <v>873058.83</v>
      </c>
      <c r="E31" s="11">
        <v>4</v>
      </c>
      <c r="F31" s="11">
        <v>204609.245</v>
      </c>
      <c r="G31" s="11">
        <v>270790</v>
      </c>
      <c r="H31" s="11">
        <v>602268.82999999996</v>
      </c>
    </row>
    <row r="32" spans="2:8" x14ac:dyDescent="0.2">
      <c r="B32" s="5">
        <v>45804</v>
      </c>
      <c r="C32" t="s">
        <v>112</v>
      </c>
      <c r="D32" s="11">
        <v>6360494.1100000003</v>
      </c>
      <c r="E32" s="11">
        <v>33</v>
      </c>
      <c r="F32" s="11">
        <v>209156.073</v>
      </c>
      <c r="G32" s="11">
        <v>1553585</v>
      </c>
      <c r="H32" s="11">
        <v>4806906.59</v>
      </c>
    </row>
    <row r="33" spans="2:8" x14ac:dyDescent="0.2">
      <c r="B33" s="5">
        <v>45805</v>
      </c>
      <c r="C33" t="s">
        <v>112</v>
      </c>
      <c r="D33" s="11">
        <v>4310084.03</v>
      </c>
      <c r="E33" s="11">
        <v>15</v>
      </c>
      <c r="F33" s="11">
        <v>287338.935</v>
      </c>
      <c r="G33" s="11">
        <v>1052286</v>
      </c>
      <c r="H33" s="11">
        <v>3257798.03</v>
      </c>
    </row>
    <row r="34" spans="2:8" x14ac:dyDescent="0.2">
      <c r="B34" s="5">
        <v>45806</v>
      </c>
      <c r="C34" t="s">
        <v>112</v>
      </c>
      <c r="D34" s="11">
        <v>1139495.8</v>
      </c>
      <c r="E34" s="11">
        <v>10</v>
      </c>
      <c r="F34" s="11">
        <v>113949.58</v>
      </c>
      <c r="G34" s="11">
        <v>393430</v>
      </c>
      <c r="H34" s="11">
        <v>746065.8</v>
      </c>
    </row>
    <row r="35" spans="2:8" x14ac:dyDescent="0.2">
      <c r="B35" s="5">
        <v>45807</v>
      </c>
      <c r="C35" t="s">
        <v>112</v>
      </c>
      <c r="D35" s="11">
        <v>2066617.25</v>
      </c>
      <c r="E35" s="11">
        <v>7</v>
      </c>
      <c r="F35" s="11">
        <v>349099.641</v>
      </c>
      <c r="G35" s="11">
        <v>674813</v>
      </c>
      <c r="H35" s="11">
        <v>1391804.25</v>
      </c>
    </row>
    <row r="36" spans="2:8" x14ac:dyDescent="0.2">
      <c r="B36" s="5">
        <v>45808</v>
      </c>
      <c r="C36" t="s">
        <v>112</v>
      </c>
      <c r="D36" s="11">
        <v>437815.13</v>
      </c>
      <c r="E36" s="11">
        <v>4</v>
      </c>
      <c r="F36" s="11">
        <v>109453.78200000001</v>
      </c>
      <c r="G36" s="11">
        <v>113564</v>
      </c>
      <c r="H36" s="11">
        <v>324251.13</v>
      </c>
    </row>
    <row r="37" spans="2:8" x14ac:dyDescent="0.2">
      <c r="B37" s="5">
        <v>45809</v>
      </c>
      <c r="C37" t="s">
        <v>112</v>
      </c>
      <c r="D37" s="11">
        <v>1184873.96</v>
      </c>
      <c r="E37" s="11">
        <v>10</v>
      </c>
      <c r="F37" s="11">
        <v>118487.39599999999</v>
      </c>
      <c r="G37" s="11">
        <v>321197</v>
      </c>
      <c r="H37" s="11">
        <v>863676.96</v>
      </c>
    </row>
    <row r="38" spans="2:8" x14ac:dyDescent="0.2">
      <c r="B38" s="5">
        <v>45810</v>
      </c>
      <c r="C38" t="s">
        <v>112</v>
      </c>
      <c r="D38" s="11">
        <v>865546.23</v>
      </c>
      <c r="E38" s="11">
        <v>7</v>
      </c>
      <c r="F38" s="11">
        <v>123649.461</v>
      </c>
      <c r="G38" s="11">
        <v>191003</v>
      </c>
      <c r="H38" s="11">
        <v>674543.23</v>
      </c>
    </row>
    <row r="39" spans="2:8" x14ac:dyDescent="0.2">
      <c r="B39" s="5">
        <v>45811</v>
      </c>
      <c r="C39" t="s">
        <v>112</v>
      </c>
      <c r="D39" s="11">
        <v>1358825.21</v>
      </c>
      <c r="E39" s="11">
        <v>13</v>
      </c>
      <c r="F39" s="11">
        <v>104525.016</v>
      </c>
      <c r="G39" s="11">
        <v>333271</v>
      </c>
      <c r="H39" s="11">
        <v>1025553.37</v>
      </c>
    </row>
    <row r="40" spans="2:8" x14ac:dyDescent="0.2">
      <c r="B40" s="5">
        <v>45812</v>
      </c>
      <c r="C40" t="s">
        <v>1739</v>
      </c>
      <c r="D40" s="11">
        <v>3270756.3</v>
      </c>
      <c r="E40" s="11">
        <v>1</v>
      </c>
      <c r="F40" s="11">
        <v>3270756.3</v>
      </c>
      <c r="G40" s="11">
        <v>1501880</v>
      </c>
      <c r="H40" s="11">
        <v>1768876.3</v>
      </c>
    </row>
    <row r="41" spans="2:8" x14ac:dyDescent="0.2">
      <c r="B41" s="5">
        <v>45812</v>
      </c>
      <c r="C41" t="s">
        <v>112</v>
      </c>
      <c r="D41" s="11">
        <v>1899159.68</v>
      </c>
      <c r="E41" s="11">
        <v>15</v>
      </c>
      <c r="F41" s="11">
        <v>125098.04</v>
      </c>
      <c r="G41" s="11">
        <v>569393</v>
      </c>
      <c r="H41" s="11">
        <v>1329766.68</v>
      </c>
    </row>
    <row r="42" spans="2:8" x14ac:dyDescent="0.2">
      <c r="B42" s="5">
        <v>45813</v>
      </c>
      <c r="C42" t="s">
        <v>112</v>
      </c>
      <c r="D42" s="11">
        <v>2034453.78</v>
      </c>
      <c r="E42" s="11">
        <v>15</v>
      </c>
      <c r="F42" s="11">
        <v>135630.25200000001</v>
      </c>
      <c r="G42" s="11">
        <v>581398</v>
      </c>
      <c r="H42" s="11">
        <v>1453055.78</v>
      </c>
    </row>
    <row r="43" spans="2:8" x14ac:dyDescent="0.2">
      <c r="B43" s="5">
        <v>45814</v>
      </c>
      <c r="C43" t="s">
        <v>112</v>
      </c>
      <c r="D43" s="11">
        <v>1605882.36</v>
      </c>
      <c r="E43" s="11">
        <v>12</v>
      </c>
      <c r="F43" s="11">
        <v>133823.53</v>
      </c>
      <c r="G43" s="11">
        <v>459047</v>
      </c>
      <c r="H43" s="11">
        <v>1146835.3600000001</v>
      </c>
    </row>
    <row r="44" spans="2:8" x14ac:dyDescent="0.2">
      <c r="B44" s="5">
        <v>45815</v>
      </c>
      <c r="C44" t="s">
        <v>112</v>
      </c>
      <c r="D44" s="11">
        <v>1205042.04</v>
      </c>
      <c r="E44" s="11">
        <v>7</v>
      </c>
      <c r="F44" s="11">
        <v>172148.86199999999</v>
      </c>
      <c r="G44" s="11">
        <v>281437</v>
      </c>
      <c r="H44" s="11">
        <v>772344.54</v>
      </c>
    </row>
    <row r="45" spans="2:8" x14ac:dyDescent="0.2">
      <c r="B45" s="5">
        <v>45816</v>
      </c>
      <c r="C45" t="s">
        <v>112</v>
      </c>
      <c r="D45" s="11">
        <v>2772268.92</v>
      </c>
      <c r="E45" s="11">
        <v>25</v>
      </c>
      <c r="F45" s="11">
        <v>110890.75599999999</v>
      </c>
      <c r="G45" s="11">
        <v>784552</v>
      </c>
      <c r="H45" s="11">
        <v>1928893.39</v>
      </c>
    </row>
    <row r="46" spans="2:8" x14ac:dyDescent="0.2">
      <c r="B46" s="5">
        <v>45817</v>
      </c>
      <c r="C46" t="s">
        <v>112</v>
      </c>
      <c r="D46" s="11">
        <v>1513446.21</v>
      </c>
      <c r="E46" s="11">
        <v>15</v>
      </c>
      <c r="F46" s="11">
        <v>108739.55100000001</v>
      </c>
      <c r="G46" s="11">
        <v>434875</v>
      </c>
      <c r="H46" s="11">
        <v>1078570.3700000001</v>
      </c>
    </row>
    <row r="47" spans="2:8" x14ac:dyDescent="0.2">
      <c r="B47" s="5">
        <v>45818</v>
      </c>
      <c r="C47" t="s">
        <v>112</v>
      </c>
      <c r="D47" s="11">
        <v>2650841.2000000002</v>
      </c>
      <c r="E47" s="11">
        <v>13</v>
      </c>
      <c r="F47" s="11">
        <v>203910.861</v>
      </c>
      <c r="G47" s="11">
        <v>946300</v>
      </c>
      <c r="H47" s="11">
        <v>1704540.36</v>
      </c>
    </row>
    <row r="48" spans="2:8" x14ac:dyDescent="0.2">
      <c r="B48" s="5">
        <v>45819</v>
      </c>
      <c r="C48" t="s">
        <v>112</v>
      </c>
      <c r="D48" s="11">
        <v>1402521.01</v>
      </c>
      <c r="E48" s="11">
        <v>6</v>
      </c>
      <c r="F48" s="11">
        <v>233753.50099999999</v>
      </c>
      <c r="G48" s="11">
        <v>238451</v>
      </c>
      <c r="H48" s="11">
        <v>743901.94</v>
      </c>
    </row>
    <row r="49" spans="2:8" x14ac:dyDescent="0.2">
      <c r="B49" s="5">
        <v>45820</v>
      </c>
      <c r="C49" t="s">
        <v>112</v>
      </c>
      <c r="D49" s="11">
        <v>1663025.21</v>
      </c>
      <c r="E49" s="11">
        <v>8</v>
      </c>
      <c r="F49" s="11">
        <v>207878.15100000001</v>
      </c>
      <c r="G49" s="11">
        <v>464016</v>
      </c>
      <c r="H49" s="11">
        <v>1199009.21</v>
      </c>
    </row>
    <row r="50" spans="2:8" x14ac:dyDescent="0.2">
      <c r="B50" s="5">
        <v>45821</v>
      </c>
      <c r="C50" t="s">
        <v>112</v>
      </c>
      <c r="D50" s="11">
        <v>673949.58</v>
      </c>
      <c r="E50" s="11">
        <v>7</v>
      </c>
      <c r="F50" s="11">
        <v>96278.510999999999</v>
      </c>
      <c r="G50" s="11">
        <v>163184</v>
      </c>
      <c r="H50" s="11">
        <v>510765.58</v>
      </c>
    </row>
    <row r="51" spans="2:8" x14ac:dyDescent="0.2">
      <c r="B51" s="5">
        <v>45822</v>
      </c>
      <c r="C51" t="s">
        <v>112</v>
      </c>
      <c r="D51" s="11">
        <v>1063025.22</v>
      </c>
      <c r="E51" s="11">
        <v>9</v>
      </c>
      <c r="F51" s="11">
        <v>118113.913</v>
      </c>
      <c r="G51" s="11">
        <v>270677</v>
      </c>
      <c r="H51" s="11">
        <v>686465.87</v>
      </c>
    </row>
    <row r="52" spans="2:8" x14ac:dyDescent="0.2">
      <c r="B52" s="5">
        <v>45823</v>
      </c>
      <c r="C52" t="s">
        <v>112</v>
      </c>
      <c r="D52" s="11">
        <v>768907.55</v>
      </c>
      <c r="E52" s="11">
        <v>7</v>
      </c>
      <c r="F52" s="11">
        <v>109843.935</v>
      </c>
      <c r="G52" s="11">
        <v>201976</v>
      </c>
      <c r="H52" s="11">
        <v>566931.55000000005</v>
      </c>
    </row>
    <row r="53" spans="2:8" x14ac:dyDescent="0.2">
      <c r="B53" s="5">
        <v>45824</v>
      </c>
      <c r="C53" t="s">
        <v>112</v>
      </c>
      <c r="D53" s="11">
        <v>2342142.87</v>
      </c>
      <c r="E53" s="11">
        <v>13</v>
      </c>
      <c r="F53" s="11">
        <v>180164.83600000001</v>
      </c>
      <c r="G53" s="11">
        <v>594048</v>
      </c>
      <c r="H53" s="11">
        <v>1521204.11</v>
      </c>
    </row>
    <row r="54" spans="2:8" x14ac:dyDescent="0.2">
      <c r="B54" s="5">
        <v>45825</v>
      </c>
      <c r="C54" t="s">
        <v>112</v>
      </c>
      <c r="D54" s="11">
        <v>908404.2</v>
      </c>
      <c r="E54" s="11">
        <v>13</v>
      </c>
      <c r="F54" s="11">
        <v>95410.535999999993</v>
      </c>
      <c r="G54" s="11">
        <v>218579</v>
      </c>
      <c r="H54" s="11">
        <v>647807.56000000006</v>
      </c>
    </row>
    <row r="55" spans="2:8" x14ac:dyDescent="0.2">
      <c r="B55" s="5">
        <v>45826</v>
      </c>
      <c r="C55" t="s">
        <v>112</v>
      </c>
      <c r="D55" s="11">
        <v>1726890.77</v>
      </c>
      <c r="E55" s="11">
        <v>20</v>
      </c>
      <c r="F55" s="11">
        <v>86344.538</v>
      </c>
      <c r="G55" s="11">
        <v>500967</v>
      </c>
      <c r="H55" s="11">
        <v>1225923.77</v>
      </c>
    </row>
    <row r="56" spans="2:8" x14ac:dyDescent="0.2">
      <c r="B56" s="5">
        <v>45827</v>
      </c>
      <c r="C56" t="s">
        <v>112</v>
      </c>
      <c r="D56" s="11">
        <v>3551260.53</v>
      </c>
      <c r="E56" s="11">
        <v>34</v>
      </c>
      <c r="F56" s="11">
        <v>104448.83900000001</v>
      </c>
      <c r="G56" s="11">
        <v>1128772</v>
      </c>
      <c r="H56" s="11">
        <v>2321648.2000000002</v>
      </c>
    </row>
    <row r="57" spans="2:8" x14ac:dyDescent="0.2">
      <c r="B57" s="5">
        <v>45828</v>
      </c>
      <c r="C57" t="s">
        <v>112</v>
      </c>
      <c r="D57" s="11">
        <v>2771428.59</v>
      </c>
      <c r="E57" s="11">
        <v>27</v>
      </c>
      <c r="F57" s="11">
        <v>102645.503</v>
      </c>
      <c r="G57" s="11">
        <v>724933.12</v>
      </c>
      <c r="H57" s="11">
        <v>2046495.47</v>
      </c>
    </row>
    <row r="58" spans="2:8" x14ac:dyDescent="0.2">
      <c r="B58" s="5">
        <v>45829</v>
      </c>
      <c r="C58" t="s">
        <v>112</v>
      </c>
      <c r="D58" s="11">
        <v>3010924.37</v>
      </c>
      <c r="E58" s="11">
        <v>36</v>
      </c>
      <c r="F58" s="11">
        <v>83636.788</v>
      </c>
      <c r="G58" s="11">
        <v>757275</v>
      </c>
      <c r="H58" s="11">
        <v>2253649.37</v>
      </c>
    </row>
    <row r="59" spans="2:8" x14ac:dyDescent="0.2">
      <c r="B59" s="5">
        <v>45830</v>
      </c>
      <c r="C59" t="s">
        <v>112</v>
      </c>
      <c r="D59" s="11">
        <v>2680294.14</v>
      </c>
      <c r="E59" s="11">
        <v>27</v>
      </c>
      <c r="F59" s="11">
        <v>115610.022</v>
      </c>
      <c r="G59" s="11">
        <v>793531</v>
      </c>
      <c r="H59" s="11">
        <v>1886763.14</v>
      </c>
    </row>
    <row r="60" spans="2:8" x14ac:dyDescent="0.2">
      <c r="B60" s="5">
        <v>45831</v>
      </c>
      <c r="C60" t="s">
        <v>112</v>
      </c>
      <c r="D60" s="11">
        <v>3908403.4</v>
      </c>
      <c r="E60" s="11">
        <v>43</v>
      </c>
      <c r="F60" s="11">
        <v>90893.101999999999</v>
      </c>
      <c r="G60" s="11">
        <v>982570</v>
      </c>
      <c r="H60" s="11">
        <v>2925833.4</v>
      </c>
    </row>
    <row r="61" spans="2:8" x14ac:dyDescent="0.2">
      <c r="B61" s="5">
        <v>45832</v>
      </c>
      <c r="C61" t="s">
        <v>112</v>
      </c>
      <c r="D61" s="11">
        <v>8387394.9800000004</v>
      </c>
      <c r="E61" s="11">
        <v>9</v>
      </c>
      <c r="F61" s="11">
        <v>934733.89500000002</v>
      </c>
      <c r="G61" s="11">
        <v>4005430</v>
      </c>
      <c r="H61" s="11">
        <v>4381964.9800000004</v>
      </c>
    </row>
    <row r="62" spans="2:8" x14ac:dyDescent="0.2">
      <c r="B62" s="5">
        <v>45833</v>
      </c>
      <c r="C62" t="s">
        <v>112</v>
      </c>
      <c r="D62" s="11">
        <v>1122949.58</v>
      </c>
      <c r="E62" s="11">
        <v>9</v>
      </c>
      <c r="F62" s="11">
        <v>149112.98000000001</v>
      </c>
      <c r="G62" s="11">
        <v>467266</v>
      </c>
      <c r="H62" s="11">
        <v>531683.57999999996</v>
      </c>
    </row>
    <row r="63" spans="2:8" x14ac:dyDescent="0.2">
      <c r="B63" s="5">
        <v>45834</v>
      </c>
      <c r="C63" t="s">
        <v>112</v>
      </c>
      <c r="D63" s="11">
        <v>1221302.53</v>
      </c>
      <c r="E63" s="11">
        <v>11</v>
      </c>
      <c r="F63" s="11">
        <v>111027.50199999999</v>
      </c>
      <c r="G63" s="11">
        <v>351596</v>
      </c>
      <c r="H63" s="11">
        <v>869706.53</v>
      </c>
    </row>
    <row r="64" spans="2:8" x14ac:dyDescent="0.2">
      <c r="B64" s="5">
        <v>45835</v>
      </c>
      <c r="C64" t="s">
        <v>112</v>
      </c>
      <c r="D64" s="11">
        <v>782352.95</v>
      </c>
      <c r="E64" s="11">
        <v>6</v>
      </c>
      <c r="F64" s="11">
        <v>130392.158</v>
      </c>
      <c r="G64" s="11">
        <v>214674</v>
      </c>
      <c r="H64" s="11">
        <v>567678.94999999995</v>
      </c>
    </row>
    <row r="65" spans="2:8" x14ac:dyDescent="0.2">
      <c r="B65" s="5">
        <v>45835</v>
      </c>
      <c r="C65" t="s">
        <v>1739</v>
      </c>
      <c r="D65" s="11">
        <v>531092.43999999994</v>
      </c>
      <c r="E65" s="11">
        <v>1</v>
      </c>
      <c r="F65" s="11">
        <v>531092.43999999994</v>
      </c>
      <c r="G65" s="11">
        <v>208276</v>
      </c>
      <c r="H65" s="11">
        <v>322816.44</v>
      </c>
    </row>
    <row r="66" spans="2:8" x14ac:dyDescent="0.2">
      <c r="B66" s="5">
        <v>45836</v>
      </c>
      <c r="C66" t="s">
        <v>112</v>
      </c>
      <c r="D66" s="11">
        <v>777310.93</v>
      </c>
      <c r="E66" s="11">
        <v>4</v>
      </c>
      <c r="F66" s="11">
        <v>194327.73199999999</v>
      </c>
      <c r="G66" s="11">
        <v>269895</v>
      </c>
      <c r="H66" s="11">
        <v>507415.93</v>
      </c>
    </row>
    <row r="67" spans="2:8" x14ac:dyDescent="0.2">
      <c r="B67" s="5">
        <v>45837</v>
      </c>
      <c r="C67" t="s">
        <v>112</v>
      </c>
      <c r="D67" s="11">
        <v>268907.57</v>
      </c>
      <c r="E67" s="11">
        <v>2</v>
      </c>
      <c r="F67" s="11">
        <v>134453.785</v>
      </c>
      <c r="G67" s="11">
        <v>64138</v>
      </c>
      <c r="H67" s="11">
        <v>204769.57</v>
      </c>
    </row>
    <row r="68" spans="2:8" x14ac:dyDescent="0.2">
      <c r="B68" s="5">
        <v>45838</v>
      </c>
      <c r="C68" t="s">
        <v>112</v>
      </c>
      <c r="D68" s="11">
        <v>932773.11</v>
      </c>
      <c r="E68" s="11">
        <v>4</v>
      </c>
      <c r="F68" s="11">
        <v>233193.277</v>
      </c>
      <c r="G68" s="11">
        <v>323935</v>
      </c>
      <c r="H68" s="11">
        <v>608838.11</v>
      </c>
    </row>
    <row r="69" spans="2:8" x14ac:dyDescent="0.2">
      <c r="B69" s="5">
        <v>45839</v>
      </c>
      <c r="C69" t="s">
        <v>112</v>
      </c>
      <c r="D69" s="11">
        <v>414285.71</v>
      </c>
      <c r="E69" s="11">
        <v>3</v>
      </c>
      <c r="F69" s="11">
        <v>138095.236</v>
      </c>
      <c r="G69" s="11">
        <v>90660</v>
      </c>
      <c r="H69" s="11">
        <v>323625.71000000002</v>
      </c>
    </row>
    <row r="70" spans="2:8" x14ac:dyDescent="0.2">
      <c r="B70" s="5">
        <v>45839</v>
      </c>
      <c r="C70" t="s">
        <v>1739</v>
      </c>
      <c r="D70" s="11">
        <v>407563.03</v>
      </c>
      <c r="E70" s="11">
        <v>3</v>
      </c>
      <c r="F70" s="11">
        <v>135854.34299999999</v>
      </c>
      <c r="G70" s="11">
        <v>124934</v>
      </c>
      <c r="H70" s="11">
        <v>282629.03000000003</v>
      </c>
    </row>
    <row r="71" spans="2:8" x14ac:dyDescent="0.2">
      <c r="B71" s="5">
        <v>45839</v>
      </c>
      <c r="C71" t="s">
        <v>1726</v>
      </c>
      <c r="D71" s="11">
        <v>21848.74</v>
      </c>
      <c r="E71" s="11">
        <v>1</v>
      </c>
      <c r="F71" s="11">
        <v>21848.74</v>
      </c>
      <c r="G71" s="11">
        <v>4492</v>
      </c>
      <c r="H71" s="11">
        <v>17356.740000000002</v>
      </c>
    </row>
    <row r="72" spans="2:8" x14ac:dyDescent="0.2">
      <c r="B72" s="5">
        <v>45840</v>
      </c>
      <c r="C72" t="s">
        <v>1739</v>
      </c>
      <c r="D72" s="11">
        <v>714285.72</v>
      </c>
      <c r="E72" s="11">
        <v>3</v>
      </c>
      <c r="F72" s="11">
        <v>238095.24</v>
      </c>
      <c r="G72" s="11">
        <v>150431</v>
      </c>
      <c r="H72" s="11">
        <v>517636.24</v>
      </c>
    </row>
    <row r="73" spans="2:8" x14ac:dyDescent="0.2">
      <c r="B73" s="5">
        <v>45840</v>
      </c>
      <c r="C73" t="s">
        <v>112</v>
      </c>
      <c r="D73" s="11">
        <v>546218.49</v>
      </c>
      <c r="E73" s="11">
        <v>5</v>
      </c>
      <c r="F73" s="11">
        <v>109243.698</v>
      </c>
      <c r="G73" s="11">
        <v>193309</v>
      </c>
      <c r="H73" s="11">
        <v>352909.49</v>
      </c>
    </row>
    <row r="74" spans="2:8" x14ac:dyDescent="0.2">
      <c r="B74" s="5">
        <v>45840</v>
      </c>
      <c r="C74" t="s">
        <v>110</v>
      </c>
      <c r="D74" s="11">
        <v>98319.33</v>
      </c>
      <c r="E74" s="11">
        <v>3</v>
      </c>
      <c r="F74" s="11">
        <v>32773.11</v>
      </c>
      <c r="G74" s="11">
        <v>21083</v>
      </c>
      <c r="H74" s="11">
        <v>77236.33</v>
      </c>
    </row>
    <row r="75" spans="2:8" x14ac:dyDescent="0.2">
      <c r="B75" s="5">
        <v>45841</v>
      </c>
      <c r="C75" t="s">
        <v>112</v>
      </c>
      <c r="D75" s="11">
        <v>634454.62</v>
      </c>
      <c r="E75" s="11">
        <v>6</v>
      </c>
      <c r="F75" s="11">
        <v>105742.436</v>
      </c>
      <c r="G75" s="11">
        <v>191308</v>
      </c>
      <c r="H75" s="11">
        <v>443145.78</v>
      </c>
    </row>
    <row r="76" spans="2:8" x14ac:dyDescent="0.2">
      <c r="B76" s="5">
        <v>45841</v>
      </c>
      <c r="C76" t="s">
        <v>1739</v>
      </c>
      <c r="D76" s="11">
        <v>159663.85999999999</v>
      </c>
      <c r="E76" s="11">
        <v>2</v>
      </c>
      <c r="F76" s="11">
        <v>79831.929999999993</v>
      </c>
      <c r="G76" s="11">
        <v>38654</v>
      </c>
      <c r="H76" s="11">
        <v>121009.86</v>
      </c>
    </row>
    <row r="77" spans="2:8" x14ac:dyDescent="0.2">
      <c r="B77" s="5">
        <v>45841</v>
      </c>
      <c r="C77" t="s">
        <v>110</v>
      </c>
      <c r="D77" s="11">
        <v>21848.74</v>
      </c>
      <c r="E77" s="11">
        <v>1</v>
      </c>
      <c r="F77" s="11">
        <v>21848.74</v>
      </c>
      <c r="G77" s="11">
        <v>4492</v>
      </c>
      <c r="H77" s="11">
        <v>17356.740000000002</v>
      </c>
    </row>
    <row r="78" spans="2:8" x14ac:dyDescent="0.2">
      <c r="B78" s="5">
        <v>45842</v>
      </c>
      <c r="C78" t="s">
        <v>1739</v>
      </c>
      <c r="D78" s="11">
        <v>924369.75</v>
      </c>
      <c r="E78" s="11">
        <v>4</v>
      </c>
      <c r="F78" s="11">
        <v>168067.22700000001</v>
      </c>
      <c r="G78" s="11">
        <v>118310</v>
      </c>
      <c r="H78" s="11">
        <v>806059.75</v>
      </c>
    </row>
    <row r="79" spans="2:8" x14ac:dyDescent="0.2">
      <c r="B79" s="5">
        <v>45842</v>
      </c>
      <c r="C79" t="s">
        <v>112</v>
      </c>
      <c r="D79" s="11">
        <v>289915.96999999997</v>
      </c>
      <c r="E79" s="11">
        <v>2</v>
      </c>
      <c r="F79" s="11">
        <v>144957.98499999999</v>
      </c>
      <c r="G79" s="11">
        <v>124001</v>
      </c>
      <c r="H79" s="11">
        <v>165914.97</v>
      </c>
    </row>
    <row r="80" spans="2:8" x14ac:dyDescent="0.2">
      <c r="B80" s="5">
        <v>45843</v>
      </c>
      <c r="C80" t="s">
        <v>112</v>
      </c>
      <c r="D80" s="11">
        <v>621848.75</v>
      </c>
      <c r="E80" s="11">
        <v>4</v>
      </c>
      <c r="F80" s="11">
        <v>155462.18700000001</v>
      </c>
      <c r="G80" s="11">
        <v>212325</v>
      </c>
      <c r="H80" s="11">
        <v>409523.75</v>
      </c>
    </row>
    <row r="81" spans="2:8" x14ac:dyDescent="0.2">
      <c r="B81" s="5">
        <v>45843</v>
      </c>
      <c r="C81" t="s">
        <v>1739</v>
      </c>
      <c r="D81" s="11">
        <v>289915.96999999997</v>
      </c>
      <c r="E81" s="11">
        <v>4</v>
      </c>
      <c r="F81" s="11">
        <v>72478.991999999998</v>
      </c>
      <c r="G81" s="11">
        <v>68321</v>
      </c>
      <c r="H81" s="11">
        <v>221594.97</v>
      </c>
    </row>
    <row r="82" spans="2:8" x14ac:dyDescent="0.2">
      <c r="B82" s="5">
        <v>45844</v>
      </c>
      <c r="C82" t="s">
        <v>112</v>
      </c>
      <c r="D82" s="11">
        <v>176470.59</v>
      </c>
      <c r="E82" s="11">
        <v>1</v>
      </c>
      <c r="F82" s="11">
        <v>176470.59</v>
      </c>
      <c r="G82" s="11">
        <v>48975</v>
      </c>
      <c r="H82" s="11">
        <v>127495.59</v>
      </c>
    </row>
    <row r="83" spans="2:8" x14ac:dyDescent="0.2">
      <c r="B83" s="5">
        <v>45845</v>
      </c>
      <c r="C83" t="s">
        <v>112</v>
      </c>
      <c r="D83" s="11">
        <v>1140336.1399999999</v>
      </c>
      <c r="E83" s="11">
        <v>8</v>
      </c>
      <c r="F83" s="11">
        <v>139810.92499999999</v>
      </c>
      <c r="G83" s="11">
        <v>329830</v>
      </c>
      <c r="H83" s="11">
        <v>810506.14</v>
      </c>
    </row>
    <row r="84" spans="2:8" x14ac:dyDescent="0.2">
      <c r="B84" s="5">
        <v>45846</v>
      </c>
      <c r="C84" t="s">
        <v>112</v>
      </c>
      <c r="D84" s="11">
        <v>357983.19</v>
      </c>
      <c r="E84" s="11">
        <v>2</v>
      </c>
      <c r="F84" s="11">
        <v>178991.595</v>
      </c>
      <c r="G84" s="11">
        <v>123848</v>
      </c>
      <c r="H84" s="11">
        <v>234135.19</v>
      </c>
    </row>
    <row r="85" spans="2:8" x14ac:dyDescent="0.2">
      <c r="B85" s="5">
        <v>45846</v>
      </c>
      <c r="C85" t="s">
        <v>1739</v>
      </c>
      <c r="D85" s="11">
        <v>58823.53</v>
      </c>
      <c r="E85" s="11">
        <v>4</v>
      </c>
      <c r="F85" s="11">
        <v>46218.487000000001</v>
      </c>
      <c r="G85" s="11">
        <v>41504</v>
      </c>
      <c r="H85" s="11">
        <v>17319.53</v>
      </c>
    </row>
    <row r="86" spans="2:8" x14ac:dyDescent="0.2">
      <c r="B86" s="5">
        <v>45846</v>
      </c>
      <c r="C86" t="s">
        <v>110</v>
      </c>
      <c r="D86" s="11">
        <v>21848.74</v>
      </c>
      <c r="E86" s="11">
        <v>1</v>
      </c>
      <c r="F86" s="11">
        <v>21848.74</v>
      </c>
      <c r="G86" s="11">
        <v>4492</v>
      </c>
      <c r="H86" s="11">
        <v>17356.740000000002</v>
      </c>
    </row>
    <row r="87" spans="2:8" x14ac:dyDescent="0.2">
      <c r="B87" s="5">
        <v>45847</v>
      </c>
      <c r="C87" t="s">
        <v>1739</v>
      </c>
      <c r="D87" s="11">
        <v>1508613.43</v>
      </c>
      <c r="E87" s="11">
        <v>5</v>
      </c>
      <c r="F87" s="11">
        <v>301722.68599999999</v>
      </c>
      <c r="G87" s="11">
        <v>500881</v>
      </c>
      <c r="H87" s="11">
        <v>1007732.43</v>
      </c>
    </row>
    <row r="88" spans="2:8" x14ac:dyDescent="0.2">
      <c r="B88" s="5">
        <v>45847</v>
      </c>
      <c r="C88" t="s">
        <v>109</v>
      </c>
      <c r="D88" s="11">
        <v>1256302.53</v>
      </c>
      <c r="E88" s="11">
        <v>10</v>
      </c>
      <c r="F88" s="11">
        <v>125630.253</v>
      </c>
      <c r="G88" s="11">
        <v>362342</v>
      </c>
      <c r="H88" s="11">
        <v>793120.19</v>
      </c>
    </row>
    <row r="89" spans="2:8" x14ac:dyDescent="0.2">
      <c r="B89" s="5">
        <v>45847</v>
      </c>
      <c r="C89" t="s">
        <v>112</v>
      </c>
      <c r="D89" s="11">
        <v>911764.71</v>
      </c>
      <c r="E89" s="11">
        <v>7</v>
      </c>
      <c r="F89" s="11">
        <v>145258.10399999999</v>
      </c>
      <c r="G89" s="11">
        <v>268928</v>
      </c>
      <c r="H89" s="11">
        <v>642836.71</v>
      </c>
    </row>
    <row r="90" spans="2:8" x14ac:dyDescent="0.2">
      <c r="B90" s="5">
        <v>45848</v>
      </c>
      <c r="C90" t="s">
        <v>112</v>
      </c>
      <c r="D90" s="11">
        <v>1096638.6599999999</v>
      </c>
      <c r="E90" s="11">
        <v>9</v>
      </c>
      <c r="F90" s="11">
        <v>121848.74</v>
      </c>
      <c r="G90" s="11">
        <v>324900</v>
      </c>
      <c r="H90" s="11">
        <v>771738.66</v>
      </c>
    </row>
    <row r="91" spans="2:8" x14ac:dyDescent="0.2">
      <c r="B91" s="5">
        <v>45848</v>
      </c>
      <c r="C91" t="s">
        <v>109</v>
      </c>
      <c r="D91" s="11">
        <v>1047899.15</v>
      </c>
      <c r="E91" s="11">
        <v>8</v>
      </c>
      <c r="F91" s="11">
        <v>130987.393</v>
      </c>
      <c r="G91" s="11">
        <v>239389</v>
      </c>
      <c r="H91" s="11">
        <v>497585.78</v>
      </c>
    </row>
    <row r="92" spans="2:8" x14ac:dyDescent="0.2">
      <c r="B92" s="5">
        <v>45848</v>
      </c>
      <c r="C92" t="s">
        <v>1739</v>
      </c>
      <c r="D92" s="11">
        <v>724369.75</v>
      </c>
      <c r="E92" s="11">
        <v>4</v>
      </c>
      <c r="F92" s="11">
        <v>181092.43700000001</v>
      </c>
      <c r="G92" s="11">
        <v>223110</v>
      </c>
      <c r="H92" s="11">
        <v>501259.75</v>
      </c>
    </row>
    <row r="93" spans="2:8" x14ac:dyDescent="0.2">
      <c r="B93" s="5">
        <v>45848</v>
      </c>
      <c r="C93" t="s">
        <v>110</v>
      </c>
      <c r="D93" s="11">
        <v>21848.74</v>
      </c>
      <c r="E93" s="11">
        <v>1</v>
      </c>
      <c r="F93" s="11">
        <v>21848.74</v>
      </c>
      <c r="G93" s="11">
        <v>4492</v>
      </c>
      <c r="H93" s="11">
        <v>17356.740000000002</v>
      </c>
    </row>
    <row r="94" spans="2:8" x14ac:dyDescent="0.2">
      <c r="B94" s="5">
        <v>45849</v>
      </c>
      <c r="C94" t="s">
        <v>109</v>
      </c>
      <c r="D94" s="11">
        <v>1588235.28</v>
      </c>
      <c r="E94" s="11">
        <v>11</v>
      </c>
      <c r="F94" s="11">
        <v>144385.02499999999</v>
      </c>
      <c r="G94" s="11">
        <v>504972</v>
      </c>
      <c r="H94" s="11">
        <v>1083263.28</v>
      </c>
    </row>
    <row r="95" spans="2:8" x14ac:dyDescent="0.2">
      <c r="B95" s="5">
        <v>45849</v>
      </c>
      <c r="C95" t="s">
        <v>112</v>
      </c>
      <c r="D95" s="11">
        <v>504201.69</v>
      </c>
      <c r="E95" s="11">
        <v>4</v>
      </c>
      <c r="F95" s="11">
        <v>126050.42200000001</v>
      </c>
      <c r="G95" s="11">
        <v>181474</v>
      </c>
      <c r="H95" s="11">
        <v>322727.69</v>
      </c>
    </row>
    <row r="96" spans="2:8" x14ac:dyDescent="0.2">
      <c r="B96" s="5">
        <v>45849</v>
      </c>
      <c r="C96" t="s">
        <v>1739</v>
      </c>
      <c r="D96" s="11">
        <v>134453.78</v>
      </c>
      <c r="E96" s="11">
        <v>2</v>
      </c>
      <c r="F96" s="11">
        <v>67226.89</v>
      </c>
      <c r="G96" s="11">
        <v>27643</v>
      </c>
      <c r="H96" s="11">
        <v>106810.78</v>
      </c>
    </row>
    <row r="97" spans="2:8" x14ac:dyDescent="0.2">
      <c r="B97" s="5">
        <v>45850</v>
      </c>
      <c r="C97" t="s">
        <v>109</v>
      </c>
      <c r="D97" s="11">
        <v>3105882.38</v>
      </c>
      <c r="E97" s="11">
        <v>18</v>
      </c>
      <c r="F97" s="11">
        <v>172549.02100000001</v>
      </c>
      <c r="G97" s="11">
        <v>856431</v>
      </c>
      <c r="H97" s="11">
        <v>2148611.0499999998</v>
      </c>
    </row>
    <row r="98" spans="2:8" x14ac:dyDescent="0.2">
      <c r="B98" s="5">
        <v>45850</v>
      </c>
      <c r="C98" t="s">
        <v>112</v>
      </c>
      <c r="D98" s="11">
        <v>403362.34</v>
      </c>
      <c r="E98" s="11">
        <v>3</v>
      </c>
      <c r="F98" s="11">
        <v>134454.11300000001</v>
      </c>
      <c r="G98" s="11">
        <v>129368</v>
      </c>
      <c r="H98" s="11">
        <v>273993.34000000003</v>
      </c>
    </row>
    <row r="99" spans="2:8" x14ac:dyDescent="0.2">
      <c r="B99" s="5">
        <v>45850</v>
      </c>
      <c r="C99" t="s">
        <v>1739</v>
      </c>
      <c r="D99" s="11">
        <v>151260.5</v>
      </c>
      <c r="E99" s="11">
        <v>1</v>
      </c>
      <c r="F99" s="11">
        <v>151260.5</v>
      </c>
      <c r="G99" s="11">
        <v>26725</v>
      </c>
      <c r="H99" s="11">
        <v>124535.5</v>
      </c>
    </row>
    <row r="100" spans="2:8" x14ac:dyDescent="0.2">
      <c r="B100" s="5">
        <v>45850</v>
      </c>
      <c r="C100" t="s">
        <v>110</v>
      </c>
      <c r="D100" s="11">
        <v>37815.129999999997</v>
      </c>
      <c r="E100" s="11">
        <v>1</v>
      </c>
      <c r="F100" s="11">
        <v>37815.129999999997</v>
      </c>
      <c r="G100" s="11">
        <v>7339</v>
      </c>
      <c r="H100" s="11">
        <v>30476.13</v>
      </c>
    </row>
    <row r="101" spans="2:8" x14ac:dyDescent="0.2">
      <c r="B101" s="5">
        <v>45851</v>
      </c>
      <c r="C101" t="s">
        <v>109</v>
      </c>
      <c r="D101" s="11">
        <v>1457983.19</v>
      </c>
      <c r="E101" s="11">
        <v>7</v>
      </c>
      <c r="F101" s="11">
        <v>208283.31200000001</v>
      </c>
      <c r="G101" s="11">
        <v>394776</v>
      </c>
      <c r="H101" s="11">
        <v>1063207.19</v>
      </c>
    </row>
    <row r="102" spans="2:8" x14ac:dyDescent="0.2">
      <c r="B102" s="5">
        <v>45851</v>
      </c>
      <c r="C102" t="s">
        <v>112</v>
      </c>
      <c r="D102" s="11">
        <v>142857.14000000001</v>
      </c>
      <c r="E102" s="11">
        <v>1</v>
      </c>
      <c r="F102" s="11">
        <v>142857.14000000001</v>
      </c>
      <c r="G102" s="11">
        <v>37213</v>
      </c>
      <c r="H102" s="11">
        <v>105644.14</v>
      </c>
    </row>
    <row r="103" spans="2:8" x14ac:dyDescent="0.2">
      <c r="B103" s="5">
        <v>45851</v>
      </c>
      <c r="C103" t="s">
        <v>110</v>
      </c>
      <c r="D103" s="11">
        <v>46218.49</v>
      </c>
      <c r="E103" s="11">
        <v>1</v>
      </c>
      <c r="F103" s="11">
        <v>46218.49</v>
      </c>
      <c r="G103" s="11">
        <v>9855</v>
      </c>
      <c r="H103" s="11">
        <v>36363.49</v>
      </c>
    </row>
    <row r="104" spans="2:8" x14ac:dyDescent="0.2">
      <c r="B104" s="5">
        <v>45852</v>
      </c>
      <c r="C104" t="s">
        <v>109</v>
      </c>
      <c r="D104" s="11">
        <v>891596.63</v>
      </c>
      <c r="E104" s="11">
        <v>8</v>
      </c>
      <c r="F104" s="11">
        <v>111449.57799999999</v>
      </c>
      <c r="G104" s="11">
        <v>297576</v>
      </c>
      <c r="H104" s="11">
        <v>594020.63</v>
      </c>
    </row>
    <row r="105" spans="2:8" x14ac:dyDescent="0.2">
      <c r="B105" s="5">
        <v>45852</v>
      </c>
      <c r="C105" t="s">
        <v>1739</v>
      </c>
      <c r="D105" s="11">
        <v>378151.26</v>
      </c>
      <c r="E105" s="11">
        <v>2</v>
      </c>
      <c r="F105" s="11">
        <v>189075.63</v>
      </c>
      <c r="G105" s="11">
        <v>93902</v>
      </c>
      <c r="H105" s="11">
        <v>284249.26</v>
      </c>
    </row>
    <row r="106" spans="2:8" x14ac:dyDescent="0.2">
      <c r="B106" s="5">
        <v>45852</v>
      </c>
      <c r="C106" t="s">
        <v>112</v>
      </c>
      <c r="D106" s="11">
        <v>113446.22</v>
      </c>
      <c r="E106" s="11">
        <v>3</v>
      </c>
      <c r="F106" s="11">
        <v>37815.406000000003</v>
      </c>
      <c r="G106" s="11">
        <v>28417</v>
      </c>
      <c r="H106" s="11">
        <v>85028.38</v>
      </c>
    </row>
    <row r="107" spans="2:8" x14ac:dyDescent="0.2">
      <c r="B107" s="5">
        <v>45852</v>
      </c>
      <c r="C107" t="s">
        <v>110</v>
      </c>
      <c r="D107" s="11">
        <v>21848.74</v>
      </c>
      <c r="E107" s="11">
        <v>1</v>
      </c>
      <c r="F107" s="11">
        <v>21848.74</v>
      </c>
      <c r="G107" s="11">
        <v>4738</v>
      </c>
      <c r="H107" s="11">
        <v>17110.740000000002</v>
      </c>
    </row>
    <row r="108" spans="2:8" x14ac:dyDescent="0.2">
      <c r="B108" s="5">
        <v>45853</v>
      </c>
      <c r="C108" t="s">
        <v>109</v>
      </c>
      <c r="D108" s="11">
        <v>1691310.93</v>
      </c>
      <c r="E108" s="11">
        <v>13</v>
      </c>
      <c r="F108" s="11">
        <v>130100.84</v>
      </c>
      <c r="G108" s="11">
        <v>598479</v>
      </c>
      <c r="H108" s="11">
        <v>1092831.93</v>
      </c>
    </row>
    <row r="109" spans="2:8" x14ac:dyDescent="0.2">
      <c r="B109" s="5">
        <v>45853</v>
      </c>
      <c r="C109" t="s">
        <v>112</v>
      </c>
      <c r="D109" s="11">
        <v>432773.11</v>
      </c>
      <c r="E109" s="11">
        <v>3</v>
      </c>
      <c r="F109" s="11">
        <v>144257.70300000001</v>
      </c>
      <c r="G109" s="11">
        <v>126950</v>
      </c>
      <c r="H109" s="11">
        <v>305823.11</v>
      </c>
    </row>
    <row r="110" spans="2:8" x14ac:dyDescent="0.2">
      <c r="B110" s="5">
        <v>45853</v>
      </c>
      <c r="C110" t="s">
        <v>1739</v>
      </c>
      <c r="D110" s="11">
        <v>281512.59999999998</v>
      </c>
      <c r="E110" s="11">
        <v>2</v>
      </c>
      <c r="F110" s="11">
        <v>140756.29999999999</v>
      </c>
      <c r="G110" s="11">
        <v>68749</v>
      </c>
      <c r="H110" s="11">
        <v>212763.6</v>
      </c>
    </row>
    <row r="111" spans="2:8" x14ac:dyDescent="0.2">
      <c r="B111" s="5">
        <v>45853</v>
      </c>
      <c r="C111" t="s">
        <v>110</v>
      </c>
      <c r="D111" s="11">
        <v>71428.570000000007</v>
      </c>
      <c r="E111" s="11">
        <v>1</v>
      </c>
      <c r="F111" s="11">
        <v>71428.570000000007</v>
      </c>
      <c r="G111" s="11">
        <v>21680</v>
      </c>
      <c r="H111" s="11">
        <v>49748.57</v>
      </c>
    </row>
    <row r="112" spans="2:8" x14ac:dyDescent="0.2">
      <c r="B112" s="5">
        <v>45854</v>
      </c>
      <c r="C112" t="s">
        <v>112</v>
      </c>
      <c r="D112" s="11">
        <v>1138655.46</v>
      </c>
      <c r="E112" s="11">
        <v>7</v>
      </c>
      <c r="F112" s="11">
        <v>162665.065</v>
      </c>
      <c r="G112" s="11">
        <v>440871</v>
      </c>
      <c r="H112" s="11">
        <v>697784.46</v>
      </c>
    </row>
    <row r="113" spans="2:8" x14ac:dyDescent="0.2">
      <c r="B113" s="5">
        <v>45854</v>
      </c>
      <c r="C113" t="s">
        <v>109</v>
      </c>
      <c r="D113" s="11">
        <v>953781.5</v>
      </c>
      <c r="E113" s="11">
        <v>8</v>
      </c>
      <c r="F113" s="11">
        <v>119222.68700000001</v>
      </c>
      <c r="G113" s="11">
        <v>257900</v>
      </c>
      <c r="H113" s="11">
        <v>695881.5</v>
      </c>
    </row>
    <row r="114" spans="2:8" x14ac:dyDescent="0.2">
      <c r="B114" s="5">
        <v>45854</v>
      </c>
      <c r="C114" t="s">
        <v>1739</v>
      </c>
      <c r="D114" s="11">
        <v>21008.400000000001</v>
      </c>
      <c r="E114" s="11">
        <v>1</v>
      </c>
      <c r="F114" s="11">
        <v>21008.400000000001</v>
      </c>
      <c r="G114" s="11">
        <v>3600</v>
      </c>
      <c r="H114" s="11">
        <v>17408.400000000001</v>
      </c>
    </row>
    <row r="115" spans="2:8" x14ac:dyDescent="0.2">
      <c r="B115" s="5">
        <v>45855</v>
      </c>
      <c r="C115" t="s">
        <v>109</v>
      </c>
      <c r="D115" s="11">
        <v>2230042.0299999998</v>
      </c>
      <c r="E115" s="11">
        <v>16</v>
      </c>
      <c r="F115" s="11">
        <v>134020.48300000001</v>
      </c>
      <c r="G115" s="11">
        <v>627230</v>
      </c>
      <c r="H115" s="11">
        <v>1602812.03</v>
      </c>
    </row>
    <row r="116" spans="2:8" x14ac:dyDescent="0.2">
      <c r="B116" s="5">
        <v>45855</v>
      </c>
      <c r="C116" t="s">
        <v>112</v>
      </c>
      <c r="D116" s="11">
        <v>913656.3</v>
      </c>
      <c r="E116" s="11">
        <v>11</v>
      </c>
      <c r="F116" s="11">
        <v>83632.62</v>
      </c>
      <c r="G116" s="11">
        <v>314668</v>
      </c>
      <c r="H116" s="11">
        <v>598987.46</v>
      </c>
    </row>
    <row r="117" spans="2:8" x14ac:dyDescent="0.2">
      <c r="B117" s="5">
        <v>45855</v>
      </c>
      <c r="C117" t="s">
        <v>110</v>
      </c>
      <c r="D117" s="11">
        <v>92436.98</v>
      </c>
      <c r="E117" s="11">
        <v>2</v>
      </c>
      <c r="F117" s="11">
        <v>46218.49</v>
      </c>
      <c r="G117" s="11">
        <v>19710</v>
      </c>
      <c r="H117" s="11">
        <v>72726.98</v>
      </c>
    </row>
    <row r="118" spans="2:8" x14ac:dyDescent="0.2">
      <c r="B118" s="5">
        <v>45856</v>
      </c>
      <c r="C118" t="s">
        <v>109</v>
      </c>
      <c r="D118" s="11">
        <v>2177840.35</v>
      </c>
      <c r="E118" s="11">
        <v>13</v>
      </c>
      <c r="F118" s="11">
        <v>176939.23800000001</v>
      </c>
      <c r="G118" s="11">
        <v>762750</v>
      </c>
      <c r="H118" s="11">
        <v>1415090.35</v>
      </c>
    </row>
    <row r="119" spans="2:8" x14ac:dyDescent="0.2">
      <c r="B119" s="5">
        <v>45856</v>
      </c>
      <c r="C119" t="s">
        <v>112</v>
      </c>
      <c r="D119" s="11">
        <v>297478.99</v>
      </c>
      <c r="E119" s="11">
        <v>2</v>
      </c>
      <c r="F119" s="11">
        <v>111239.495</v>
      </c>
      <c r="G119" s="11">
        <v>59576</v>
      </c>
      <c r="H119" s="11">
        <v>237902.99</v>
      </c>
    </row>
    <row r="120" spans="2:8" x14ac:dyDescent="0.2">
      <c r="B120" s="5">
        <v>45856</v>
      </c>
      <c r="C120" t="s">
        <v>1739</v>
      </c>
      <c r="D120" s="11">
        <v>223109.25</v>
      </c>
      <c r="E120" s="11">
        <v>3</v>
      </c>
      <c r="F120" s="11">
        <v>74369.75</v>
      </c>
      <c r="G120" s="11">
        <v>56911</v>
      </c>
      <c r="H120" s="11">
        <v>166198.25</v>
      </c>
    </row>
    <row r="121" spans="2:8" x14ac:dyDescent="0.2">
      <c r="B121" s="5">
        <v>45857</v>
      </c>
      <c r="C121" t="s">
        <v>109</v>
      </c>
      <c r="D121" s="11">
        <v>1369596.66</v>
      </c>
      <c r="E121" s="11">
        <v>11</v>
      </c>
      <c r="F121" s="11">
        <v>124508.787</v>
      </c>
      <c r="G121" s="11">
        <v>520853</v>
      </c>
      <c r="H121" s="11">
        <v>848743.66</v>
      </c>
    </row>
    <row r="122" spans="2:8" x14ac:dyDescent="0.2">
      <c r="B122" s="5">
        <v>45857</v>
      </c>
      <c r="C122" t="s">
        <v>112</v>
      </c>
      <c r="D122" s="11">
        <v>551890.76</v>
      </c>
      <c r="E122" s="11">
        <v>4</v>
      </c>
      <c r="F122" s="11">
        <v>137972.69</v>
      </c>
      <c r="G122" s="11">
        <v>178789</v>
      </c>
      <c r="H122" s="11">
        <v>373101.76</v>
      </c>
    </row>
    <row r="123" spans="2:8" x14ac:dyDescent="0.2">
      <c r="B123" s="5">
        <v>45858</v>
      </c>
      <c r="C123" t="s">
        <v>109</v>
      </c>
      <c r="D123" s="11">
        <v>2235806.73</v>
      </c>
      <c r="E123" s="11">
        <v>17</v>
      </c>
      <c r="F123" s="11">
        <v>135870.984</v>
      </c>
      <c r="G123" s="11">
        <v>760427</v>
      </c>
      <c r="H123" s="11">
        <v>1475379.73</v>
      </c>
    </row>
    <row r="124" spans="2:8" x14ac:dyDescent="0.2">
      <c r="B124" s="5">
        <v>45858</v>
      </c>
      <c r="C124" t="s">
        <v>112</v>
      </c>
      <c r="D124" s="11">
        <v>610504.21</v>
      </c>
      <c r="E124" s="11">
        <v>6</v>
      </c>
      <c r="F124" s="11">
        <v>101750.701</v>
      </c>
      <c r="G124" s="11">
        <v>190611</v>
      </c>
      <c r="H124" s="11">
        <v>419893.21</v>
      </c>
    </row>
    <row r="125" spans="2:8" x14ac:dyDescent="0.2">
      <c r="B125" s="5">
        <v>45859</v>
      </c>
      <c r="C125" t="s">
        <v>112</v>
      </c>
      <c r="D125" s="11">
        <v>2237815.96</v>
      </c>
      <c r="E125" s="11">
        <v>14</v>
      </c>
      <c r="F125" s="11">
        <v>157503.06</v>
      </c>
      <c r="G125" s="11">
        <v>645758</v>
      </c>
      <c r="H125" s="11">
        <v>1592057.96</v>
      </c>
    </row>
    <row r="126" spans="2:8" x14ac:dyDescent="0.2">
      <c r="B126" s="5">
        <v>45859</v>
      </c>
      <c r="C126" t="s">
        <v>109</v>
      </c>
      <c r="D126" s="11">
        <v>794117.66</v>
      </c>
      <c r="E126" s="11">
        <v>6</v>
      </c>
      <c r="F126" s="11">
        <v>132352.943</v>
      </c>
      <c r="G126" s="11">
        <v>189267</v>
      </c>
      <c r="H126" s="11">
        <v>604850.66</v>
      </c>
    </row>
    <row r="127" spans="2:8" x14ac:dyDescent="0.2">
      <c r="B127" s="5">
        <v>45859</v>
      </c>
      <c r="C127" t="s">
        <v>1739</v>
      </c>
      <c r="D127" s="11">
        <v>270378.15000000002</v>
      </c>
      <c r="E127" s="11">
        <v>3</v>
      </c>
      <c r="F127" s="11">
        <v>90126.05</v>
      </c>
      <c r="G127" s="11">
        <v>110250</v>
      </c>
      <c r="H127" s="11">
        <v>160128.15</v>
      </c>
    </row>
    <row r="128" spans="2:8" x14ac:dyDescent="0.2">
      <c r="B128" s="5">
        <v>45859</v>
      </c>
      <c r="C128" t="s">
        <v>110</v>
      </c>
      <c r="D128" s="11">
        <v>46218.49</v>
      </c>
      <c r="E128" s="11">
        <v>1</v>
      </c>
      <c r="F128" s="11">
        <v>46218.49</v>
      </c>
      <c r="G128" s="11">
        <v>9855</v>
      </c>
      <c r="H128" s="11">
        <v>36363.49</v>
      </c>
    </row>
    <row r="129" spans="2:8" x14ac:dyDescent="0.2">
      <c r="B129" s="5">
        <v>45860</v>
      </c>
      <c r="C129" t="s">
        <v>112</v>
      </c>
      <c r="D129" s="11">
        <v>1811768.06</v>
      </c>
      <c r="E129" s="11">
        <v>15</v>
      </c>
      <c r="F129" s="11">
        <v>120784.537</v>
      </c>
      <c r="G129" s="11">
        <v>535521</v>
      </c>
      <c r="H129" s="11">
        <v>1083386.56</v>
      </c>
    </row>
    <row r="130" spans="2:8" x14ac:dyDescent="0.2">
      <c r="B130" s="5">
        <v>45860</v>
      </c>
      <c r="C130" t="s">
        <v>1739</v>
      </c>
      <c r="D130" s="11">
        <v>521428.57</v>
      </c>
      <c r="E130" s="11">
        <v>1</v>
      </c>
      <c r="F130" s="11">
        <v>521428.57</v>
      </c>
      <c r="G130" s="11">
        <v>148249</v>
      </c>
      <c r="H130" s="11">
        <v>373179.57</v>
      </c>
    </row>
    <row r="131" spans="2:8" x14ac:dyDescent="0.2">
      <c r="B131" s="5">
        <v>45860</v>
      </c>
      <c r="C131" t="s">
        <v>109</v>
      </c>
      <c r="D131" s="11">
        <v>227731.09</v>
      </c>
      <c r="E131" s="11">
        <v>3</v>
      </c>
      <c r="F131" s="11">
        <v>75910.362999999998</v>
      </c>
      <c r="G131" s="11">
        <v>50291</v>
      </c>
      <c r="H131" s="11">
        <v>177440.09</v>
      </c>
    </row>
    <row r="132" spans="2:8" x14ac:dyDescent="0.2">
      <c r="B132" s="5">
        <v>45860</v>
      </c>
      <c r="C132" t="s">
        <v>110</v>
      </c>
      <c r="D132" s="11">
        <v>92436.97</v>
      </c>
      <c r="E132" s="11">
        <v>1</v>
      </c>
      <c r="F132" s="11">
        <v>92436.97</v>
      </c>
      <c r="G132" s="11">
        <v>22829</v>
      </c>
      <c r="H132" s="11">
        <v>69607.97</v>
      </c>
    </row>
    <row r="133" spans="2:8" x14ac:dyDescent="0.2">
      <c r="B133" s="5">
        <v>45861</v>
      </c>
      <c r="C133" t="s">
        <v>109</v>
      </c>
      <c r="D133" s="11">
        <v>3029638.67</v>
      </c>
      <c r="E133" s="11">
        <v>19</v>
      </c>
      <c r="F133" s="11">
        <v>159454.666</v>
      </c>
      <c r="G133" s="11">
        <v>1113367</v>
      </c>
      <c r="H133" s="11">
        <v>1916271.67</v>
      </c>
    </row>
    <row r="134" spans="2:8" x14ac:dyDescent="0.2">
      <c r="B134" s="5">
        <v>45861</v>
      </c>
      <c r="C134" t="s">
        <v>112</v>
      </c>
      <c r="D134" s="11">
        <v>882142.85</v>
      </c>
      <c r="E134" s="11">
        <v>9</v>
      </c>
      <c r="F134" s="11">
        <v>98015.872000000003</v>
      </c>
      <c r="G134" s="11">
        <v>282676</v>
      </c>
      <c r="H134" s="11">
        <v>599466.85</v>
      </c>
    </row>
    <row r="135" spans="2:8" x14ac:dyDescent="0.2">
      <c r="B135" s="5">
        <v>45861</v>
      </c>
      <c r="C135" t="s">
        <v>1739</v>
      </c>
      <c r="D135" s="11">
        <v>513445.38</v>
      </c>
      <c r="E135" s="11">
        <v>4</v>
      </c>
      <c r="F135" s="11">
        <v>128361.345</v>
      </c>
      <c r="G135" s="11">
        <v>113525</v>
      </c>
      <c r="H135" s="11">
        <v>399920.38</v>
      </c>
    </row>
    <row r="136" spans="2:8" x14ac:dyDescent="0.2">
      <c r="B136" s="5">
        <v>45862</v>
      </c>
      <c r="C136" t="s">
        <v>109</v>
      </c>
      <c r="D136" s="11">
        <v>2848513.61</v>
      </c>
      <c r="E136" s="11">
        <v>16</v>
      </c>
      <c r="F136" s="11">
        <v>178032.1</v>
      </c>
      <c r="G136" s="11">
        <v>1142677</v>
      </c>
      <c r="H136" s="11">
        <v>1705835.61</v>
      </c>
    </row>
    <row r="137" spans="2:8" x14ac:dyDescent="0.2">
      <c r="B137" s="5">
        <v>45862</v>
      </c>
      <c r="C137" t="s">
        <v>112</v>
      </c>
      <c r="D137" s="11">
        <v>1410084.88</v>
      </c>
      <c r="E137" s="11">
        <v>12</v>
      </c>
      <c r="F137" s="11">
        <v>117507.073</v>
      </c>
      <c r="G137" s="11">
        <v>453427</v>
      </c>
      <c r="H137" s="11">
        <v>956657.04</v>
      </c>
    </row>
    <row r="138" spans="2:8" x14ac:dyDescent="0.2">
      <c r="B138" s="5">
        <v>45862</v>
      </c>
      <c r="C138" t="s">
        <v>1739</v>
      </c>
      <c r="D138" s="11">
        <v>0</v>
      </c>
      <c r="E138" s="11">
        <v>0</v>
      </c>
      <c r="F138" s="11"/>
      <c r="G138" s="11">
        <v>-4395</v>
      </c>
      <c r="H138" s="11">
        <v>4395</v>
      </c>
    </row>
    <row r="139" spans="2:8" x14ac:dyDescent="0.2">
      <c r="B139" s="5">
        <v>45863</v>
      </c>
      <c r="C139" t="s">
        <v>109</v>
      </c>
      <c r="D139" s="11">
        <v>1606605.04</v>
      </c>
      <c r="E139" s="11">
        <v>7</v>
      </c>
      <c r="F139" s="11">
        <v>222432.17199999999</v>
      </c>
      <c r="G139" s="11">
        <v>542683</v>
      </c>
      <c r="H139" s="11">
        <v>1063922.04</v>
      </c>
    </row>
    <row r="140" spans="2:8" x14ac:dyDescent="0.2">
      <c r="B140" s="5">
        <v>45863</v>
      </c>
      <c r="C140" t="s">
        <v>112</v>
      </c>
      <c r="D140" s="11">
        <v>914285.72</v>
      </c>
      <c r="E140" s="11">
        <v>10</v>
      </c>
      <c r="F140" s="11">
        <v>91428.572</v>
      </c>
      <c r="G140" s="11">
        <v>318079</v>
      </c>
      <c r="H140" s="11">
        <v>596206.72</v>
      </c>
    </row>
    <row r="141" spans="2:8" x14ac:dyDescent="0.2">
      <c r="B141" s="5">
        <v>45864</v>
      </c>
      <c r="C141" t="s">
        <v>112</v>
      </c>
      <c r="D141" s="11">
        <v>807563.03</v>
      </c>
      <c r="E141" s="11">
        <v>5</v>
      </c>
      <c r="F141" s="11">
        <v>161512.606</v>
      </c>
      <c r="G141" s="11">
        <v>258717</v>
      </c>
      <c r="H141" s="11">
        <v>548846.03</v>
      </c>
    </row>
    <row r="142" spans="2:8" x14ac:dyDescent="0.2">
      <c r="B142" s="5">
        <v>45864</v>
      </c>
      <c r="C142" t="s">
        <v>109</v>
      </c>
      <c r="D142" s="11">
        <v>745798.32</v>
      </c>
      <c r="E142" s="11">
        <v>8</v>
      </c>
      <c r="F142" s="11">
        <v>93224.79</v>
      </c>
      <c r="G142" s="11">
        <v>151276</v>
      </c>
      <c r="H142" s="11">
        <v>494522.32</v>
      </c>
    </row>
    <row r="143" spans="2:8" x14ac:dyDescent="0.2">
      <c r="B143" s="5">
        <v>45864</v>
      </c>
      <c r="C143" t="s">
        <v>1739</v>
      </c>
      <c r="D143" s="11">
        <v>113865.55</v>
      </c>
      <c r="E143" s="11">
        <v>1</v>
      </c>
      <c r="F143" s="11">
        <v>113865.55</v>
      </c>
      <c r="G143" s="11">
        <v>27784</v>
      </c>
      <c r="H143" s="11">
        <v>86081.55</v>
      </c>
    </row>
    <row r="144" spans="2:8" x14ac:dyDescent="0.2">
      <c r="B144" s="5">
        <v>45865</v>
      </c>
      <c r="C144" t="s">
        <v>109</v>
      </c>
      <c r="D144" s="11">
        <v>2850268.92</v>
      </c>
      <c r="E144" s="11">
        <v>23</v>
      </c>
      <c r="F144" s="11">
        <v>123924.735</v>
      </c>
      <c r="G144" s="11">
        <v>1017194</v>
      </c>
      <c r="H144" s="11">
        <v>1476974.08</v>
      </c>
    </row>
    <row r="145" spans="2:8" x14ac:dyDescent="0.2">
      <c r="B145" s="5">
        <v>45865</v>
      </c>
      <c r="C145" t="s">
        <v>112</v>
      </c>
      <c r="D145" s="11">
        <v>1248529.3999999999</v>
      </c>
      <c r="E145" s="11">
        <v>8</v>
      </c>
      <c r="F145" s="11">
        <v>156066.17499999999</v>
      </c>
      <c r="G145" s="11">
        <v>407348</v>
      </c>
      <c r="H145" s="11">
        <v>841181.4</v>
      </c>
    </row>
    <row r="146" spans="2:8" x14ac:dyDescent="0.2">
      <c r="B146" s="5">
        <v>45865</v>
      </c>
      <c r="C146" t="s">
        <v>110</v>
      </c>
      <c r="D146" s="11">
        <v>92436.97</v>
      </c>
      <c r="E146" s="11">
        <v>1</v>
      </c>
      <c r="F146" s="11">
        <v>92436.97</v>
      </c>
      <c r="G146" s="11">
        <v>19438</v>
      </c>
      <c r="H146" s="11">
        <v>72998.97</v>
      </c>
    </row>
    <row r="147" spans="2:8" x14ac:dyDescent="0.2">
      <c r="B147" s="5">
        <v>45866</v>
      </c>
      <c r="C147" t="s">
        <v>109</v>
      </c>
      <c r="D147" s="11">
        <v>5246058.8099999996</v>
      </c>
      <c r="E147" s="11">
        <v>14</v>
      </c>
      <c r="F147" s="11">
        <v>373518.00599999999</v>
      </c>
      <c r="G147" s="11">
        <v>1611584</v>
      </c>
      <c r="H147" s="11">
        <v>3634474.81</v>
      </c>
    </row>
    <row r="148" spans="2:8" x14ac:dyDescent="0.2">
      <c r="B148" s="5">
        <v>45866</v>
      </c>
      <c r="C148" t="s">
        <v>112</v>
      </c>
      <c r="D148" s="11">
        <v>1142436.98</v>
      </c>
      <c r="E148" s="11">
        <v>8</v>
      </c>
      <c r="F148" s="11">
        <v>142804.622</v>
      </c>
      <c r="G148" s="11">
        <v>350754</v>
      </c>
      <c r="H148" s="11">
        <v>791682.98</v>
      </c>
    </row>
    <row r="149" spans="2:8" x14ac:dyDescent="0.2">
      <c r="B149" s="5">
        <v>45866</v>
      </c>
      <c r="C149" t="s">
        <v>110</v>
      </c>
      <c r="D149" s="11">
        <v>130252.1</v>
      </c>
      <c r="E149" s="11">
        <v>1</v>
      </c>
      <c r="F149" s="11">
        <v>130252.1</v>
      </c>
      <c r="G149" s="11">
        <v>26777</v>
      </c>
      <c r="H149" s="11">
        <v>103475.1</v>
      </c>
    </row>
    <row r="150" spans="2:8" x14ac:dyDescent="0.2">
      <c r="B150" s="5">
        <v>45866</v>
      </c>
      <c r="C150" t="s">
        <v>1739</v>
      </c>
      <c r="D150" s="11">
        <v>58823.53</v>
      </c>
      <c r="E150" s="11">
        <v>1</v>
      </c>
      <c r="F150" s="11">
        <v>58823.53</v>
      </c>
      <c r="G150" s="11">
        <v>16325</v>
      </c>
      <c r="H150" s="11">
        <v>42498.53</v>
      </c>
    </row>
    <row r="151" spans="2:8" x14ac:dyDescent="0.2">
      <c r="B151" s="5">
        <v>45867</v>
      </c>
      <c r="C151" t="s">
        <v>109</v>
      </c>
      <c r="D151" s="11">
        <v>1023621.84</v>
      </c>
      <c r="E151" s="11">
        <v>6</v>
      </c>
      <c r="F151" s="11">
        <v>170603.64</v>
      </c>
      <c r="G151" s="11">
        <v>357564</v>
      </c>
      <c r="H151" s="11">
        <v>666057.84</v>
      </c>
    </row>
    <row r="152" spans="2:8" x14ac:dyDescent="0.2">
      <c r="B152" s="5">
        <v>45867</v>
      </c>
      <c r="C152" t="s">
        <v>112</v>
      </c>
      <c r="D152" s="11">
        <v>625210.07999999996</v>
      </c>
      <c r="E152" s="11">
        <v>5</v>
      </c>
      <c r="F152" s="11">
        <v>125042.016</v>
      </c>
      <c r="G152" s="11">
        <v>165051</v>
      </c>
      <c r="H152" s="11">
        <v>460159.08</v>
      </c>
    </row>
    <row r="153" spans="2:8" x14ac:dyDescent="0.2">
      <c r="B153" s="5">
        <v>45867</v>
      </c>
      <c r="C153" t="s">
        <v>110</v>
      </c>
      <c r="D153" s="11">
        <v>92436.97</v>
      </c>
      <c r="E153" s="11">
        <v>1</v>
      </c>
      <c r="F153" s="11">
        <v>92436.97</v>
      </c>
      <c r="G153" s="11">
        <v>19710</v>
      </c>
      <c r="H153" s="11">
        <v>72726.97</v>
      </c>
    </row>
    <row r="154" spans="2:8" x14ac:dyDescent="0.2">
      <c r="B154" s="5">
        <v>45867</v>
      </c>
      <c r="C154" t="s">
        <v>1739</v>
      </c>
      <c r="D154" s="11">
        <v>79831.929999999993</v>
      </c>
      <c r="E154" s="11">
        <v>1</v>
      </c>
      <c r="F154" s="11">
        <v>79831.929999999993</v>
      </c>
      <c r="G154" s="11">
        <v>25301</v>
      </c>
      <c r="H154" s="11">
        <v>54530.93</v>
      </c>
    </row>
    <row r="155" spans="2:8" x14ac:dyDescent="0.2">
      <c r="B155" s="5">
        <v>45868</v>
      </c>
      <c r="C155" t="s">
        <v>109</v>
      </c>
      <c r="D155" s="11">
        <v>1138000.01</v>
      </c>
      <c r="E155" s="11">
        <v>9</v>
      </c>
      <c r="F155" s="11">
        <v>126444.44500000001</v>
      </c>
      <c r="G155" s="11">
        <v>433468</v>
      </c>
      <c r="H155" s="11">
        <v>704532.01</v>
      </c>
    </row>
    <row r="156" spans="2:8" x14ac:dyDescent="0.2">
      <c r="B156" s="5">
        <v>45868</v>
      </c>
      <c r="C156" t="s">
        <v>112</v>
      </c>
      <c r="D156" s="11">
        <v>1035327.74</v>
      </c>
      <c r="E156" s="11">
        <v>9</v>
      </c>
      <c r="F156" s="11">
        <v>115036.41499999999</v>
      </c>
      <c r="G156" s="11">
        <v>307517</v>
      </c>
      <c r="H156" s="11">
        <v>727810.74</v>
      </c>
    </row>
    <row r="157" spans="2:8" x14ac:dyDescent="0.2">
      <c r="B157" s="5">
        <v>45868</v>
      </c>
      <c r="C157" t="s">
        <v>1739</v>
      </c>
      <c r="D157" s="11">
        <v>313235.3</v>
      </c>
      <c r="E157" s="11">
        <v>3</v>
      </c>
      <c r="F157" s="11">
        <v>104411.766</v>
      </c>
      <c r="G157" s="11">
        <v>78734</v>
      </c>
      <c r="H157" s="11">
        <v>234501.3</v>
      </c>
    </row>
    <row r="158" spans="2:8" x14ac:dyDescent="0.2">
      <c r="B158" s="5">
        <v>45868</v>
      </c>
      <c r="C158" t="s">
        <v>110</v>
      </c>
      <c r="D158" s="11">
        <v>117647.06</v>
      </c>
      <c r="E158" s="11">
        <v>2</v>
      </c>
      <c r="F158" s="11">
        <v>58823.53</v>
      </c>
      <c r="G158" s="11">
        <v>31535</v>
      </c>
      <c r="H158" s="11">
        <v>86112.06</v>
      </c>
    </row>
    <row r="159" spans="2:8" x14ac:dyDescent="0.2">
      <c r="B159" s="5">
        <v>45869</v>
      </c>
      <c r="C159" t="s">
        <v>109</v>
      </c>
      <c r="D159" s="11">
        <v>4627941.1900000004</v>
      </c>
      <c r="E159" s="11">
        <v>22</v>
      </c>
      <c r="F159" s="11">
        <v>208384.26199999999</v>
      </c>
      <c r="G159" s="11">
        <v>1308699.56</v>
      </c>
      <c r="H159" s="11">
        <v>3264241.63</v>
      </c>
    </row>
    <row r="160" spans="2:8" x14ac:dyDescent="0.2">
      <c r="B160" s="5">
        <v>45869</v>
      </c>
      <c r="C160" t="s">
        <v>112</v>
      </c>
      <c r="D160" s="11">
        <v>75631.09</v>
      </c>
      <c r="E160" s="11">
        <v>2</v>
      </c>
      <c r="F160" s="11">
        <v>37815.544999999998</v>
      </c>
      <c r="G160" s="11">
        <v>16752</v>
      </c>
      <c r="H160" s="11">
        <v>58879.09</v>
      </c>
    </row>
    <row r="161" spans="2:8" x14ac:dyDescent="0.2">
      <c r="B161" s="5">
        <v>45870</v>
      </c>
      <c r="C161" t="s">
        <v>112</v>
      </c>
      <c r="D161" s="11">
        <v>808122.7</v>
      </c>
      <c r="E161" s="11">
        <v>6</v>
      </c>
      <c r="F161" s="11">
        <v>134649.861</v>
      </c>
      <c r="G161" s="11">
        <v>316487</v>
      </c>
      <c r="H161" s="11">
        <v>490235.7</v>
      </c>
    </row>
    <row r="162" spans="2:8" x14ac:dyDescent="0.2">
      <c r="B162" s="5">
        <v>45870</v>
      </c>
      <c r="C162" t="s">
        <v>109</v>
      </c>
      <c r="D162" s="11">
        <v>544218.5</v>
      </c>
      <c r="E162" s="11">
        <v>8</v>
      </c>
      <c r="F162" s="11">
        <v>68027.312000000005</v>
      </c>
      <c r="G162" s="11">
        <v>189870</v>
      </c>
      <c r="H162" s="11">
        <v>354348.5</v>
      </c>
    </row>
    <row r="163" spans="2:8" x14ac:dyDescent="0.2">
      <c r="B163" s="5">
        <v>45870</v>
      </c>
      <c r="C163" t="s">
        <v>1739</v>
      </c>
      <c r="D163" s="11">
        <v>113445.38</v>
      </c>
      <c r="E163" s="11">
        <v>1</v>
      </c>
      <c r="F163" s="11">
        <v>113445.38</v>
      </c>
      <c r="G163" s="11">
        <v>23803</v>
      </c>
      <c r="H163" s="11">
        <v>89642.38</v>
      </c>
    </row>
    <row r="164" spans="2:8" x14ac:dyDescent="0.2">
      <c r="B164" s="5">
        <v>45870</v>
      </c>
      <c r="C164" t="s">
        <v>110</v>
      </c>
      <c r="D164" s="11">
        <v>46218.49</v>
      </c>
      <c r="E164" s="11">
        <v>1</v>
      </c>
      <c r="F164" s="11">
        <v>46218.49</v>
      </c>
      <c r="G164" s="11">
        <v>9855</v>
      </c>
      <c r="H164" s="11">
        <v>36363.49</v>
      </c>
    </row>
    <row r="165" spans="2:8" x14ac:dyDescent="0.2">
      <c r="B165" s="5">
        <v>45871</v>
      </c>
      <c r="C165" t="s">
        <v>109</v>
      </c>
      <c r="D165" s="11">
        <v>1596638.69</v>
      </c>
      <c r="E165" s="11">
        <v>16</v>
      </c>
      <c r="F165" s="11">
        <v>102678.573</v>
      </c>
      <c r="G165" s="11">
        <v>399612</v>
      </c>
      <c r="H165" s="11">
        <v>1197026.69</v>
      </c>
    </row>
    <row r="166" spans="2:8" x14ac:dyDescent="0.2">
      <c r="B166" s="5">
        <v>45871</v>
      </c>
      <c r="C166" t="s">
        <v>112</v>
      </c>
      <c r="D166" s="11">
        <v>862184.88</v>
      </c>
      <c r="E166" s="11">
        <v>7</v>
      </c>
      <c r="F166" s="11">
        <v>123169.268</v>
      </c>
      <c r="G166" s="11">
        <v>286451</v>
      </c>
      <c r="H166" s="11">
        <v>575733.88</v>
      </c>
    </row>
    <row r="167" spans="2:8" x14ac:dyDescent="0.2">
      <c r="B167" s="5">
        <v>45871</v>
      </c>
      <c r="C167" t="s">
        <v>1739</v>
      </c>
      <c r="D167" s="11">
        <v>100000</v>
      </c>
      <c r="E167" s="11">
        <v>1</v>
      </c>
      <c r="F167" s="11">
        <v>100000</v>
      </c>
      <c r="G167" s="11">
        <v>25641</v>
      </c>
      <c r="H167" s="11">
        <v>74359</v>
      </c>
    </row>
    <row r="168" spans="2:8" x14ac:dyDescent="0.2">
      <c r="B168" s="5">
        <v>45872</v>
      </c>
      <c r="C168" t="s">
        <v>109</v>
      </c>
      <c r="D168" s="11">
        <v>735100.85</v>
      </c>
      <c r="E168" s="11">
        <v>6</v>
      </c>
      <c r="F168" s="11">
        <v>122516.808</v>
      </c>
      <c r="G168" s="11">
        <v>295599</v>
      </c>
      <c r="H168" s="11">
        <v>439501.85</v>
      </c>
    </row>
    <row r="169" spans="2:8" x14ac:dyDescent="0.2">
      <c r="B169" s="5">
        <v>45872</v>
      </c>
      <c r="C169" t="s">
        <v>112</v>
      </c>
      <c r="D169" s="11">
        <v>79831.929999999993</v>
      </c>
      <c r="E169" s="11">
        <v>1</v>
      </c>
      <c r="F169" s="11">
        <v>79831.929999999993</v>
      </c>
      <c r="G169" s="11">
        <v>19675</v>
      </c>
      <c r="H169" s="11">
        <v>60156.93</v>
      </c>
    </row>
    <row r="170" spans="2:8" x14ac:dyDescent="0.2">
      <c r="B170" s="5">
        <v>45873</v>
      </c>
      <c r="C170" t="s">
        <v>112</v>
      </c>
      <c r="D170" s="11">
        <v>962184.87</v>
      </c>
      <c r="E170" s="11">
        <v>5</v>
      </c>
      <c r="F170" s="11">
        <v>192436.97399999999</v>
      </c>
      <c r="G170" s="11">
        <v>331012</v>
      </c>
      <c r="H170" s="11">
        <v>631172.87</v>
      </c>
    </row>
    <row r="171" spans="2:8" x14ac:dyDescent="0.2">
      <c r="B171" s="5">
        <v>45873</v>
      </c>
      <c r="C171" t="s">
        <v>109</v>
      </c>
      <c r="D171" s="11">
        <v>420168.07</v>
      </c>
      <c r="E171" s="11">
        <v>5</v>
      </c>
      <c r="F171" s="11">
        <v>83361.346000000005</v>
      </c>
      <c r="G171" s="11">
        <v>108820</v>
      </c>
      <c r="H171" s="11">
        <v>311348.07</v>
      </c>
    </row>
    <row r="172" spans="2:8" x14ac:dyDescent="0.2">
      <c r="B172" s="5">
        <v>45873</v>
      </c>
      <c r="C172" t="s">
        <v>1739</v>
      </c>
      <c r="D172" s="11">
        <v>92436.97</v>
      </c>
      <c r="E172" s="11">
        <v>1</v>
      </c>
      <c r="F172" s="11">
        <v>92436.97</v>
      </c>
      <c r="G172" s="11">
        <v>19710</v>
      </c>
      <c r="H172" s="11">
        <v>72726.97</v>
      </c>
    </row>
    <row r="173" spans="2:8" x14ac:dyDescent="0.2">
      <c r="B173" s="5">
        <v>45874</v>
      </c>
      <c r="C173" t="s">
        <v>109</v>
      </c>
      <c r="D173" s="11">
        <v>1976773.13</v>
      </c>
      <c r="E173" s="11">
        <v>12</v>
      </c>
      <c r="F173" s="11">
        <v>164731.09400000001</v>
      </c>
      <c r="G173" s="11">
        <v>708523</v>
      </c>
      <c r="H173" s="11">
        <v>1268250.1299999999</v>
      </c>
    </row>
    <row r="174" spans="2:8" x14ac:dyDescent="0.2">
      <c r="B174" s="5">
        <v>45874</v>
      </c>
      <c r="C174" t="s">
        <v>112</v>
      </c>
      <c r="D174" s="11">
        <v>1351260.52</v>
      </c>
      <c r="E174" s="11">
        <v>8</v>
      </c>
      <c r="F174" s="11">
        <v>168907.565</v>
      </c>
      <c r="G174" s="11">
        <v>386775</v>
      </c>
      <c r="H174" s="11">
        <v>964485.52</v>
      </c>
    </row>
    <row r="175" spans="2:8" x14ac:dyDescent="0.2">
      <c r="B175" s="5">
        <v>45874</v>
      </c>
      <c r="C175" t="s">
        <v>1739</v>
      </c>
      <c r="D175" s="11">
        <v>588235.29</v>
      </c>
      <c r="E175" s="11">
        <v>3</v>
      </c>
      <c r="F175" s="11">
        <v>196078.43</v>
      </c>
      <c r="G175" s="11">
        <v>115573</v>
      </c>
      <c r="H175" s="11">
        <v>472662.29</v>
      </c>
    </row>
    <row r="176" spans="2:8" x14ac:dyDescent="0.2">
      <c r="B176" s="5">
        <v>45875</v>
      </c>
      <c r="C176" t="s">
        <v>109</v>
      </c>
      <c r="D176" s="11">
        <v>3014831.93</v>
      </c>
      <c r="E176" s="11">
        <v>18</v>
      </c>
      <c r="F176" s="11">
        <v>165389.82199999999</v>
      </c>
      <c r="G176" s="11">
        <v>972697</v>
      </c>
      <c r="H176" s="11">
        <v>1974908.04</v>
      </c>
    </row>
    <row r="177" spans="2:8" x14ac:dyDescent="0.2">
      <c r="B177" s="5">
        <v>45875</v>
      </c>
      <c r="C177" t="s">
        <v>112</v>
      </c>
      <c r="D177" s="11">
        <v>568907.56999999995</v>
      </c>
      <c r="E177" s="11">
        <v>4</v>
      </c>
      <c r="F177" s="11">
        <v>142226.89199999999</v>
      </c>
      <c r="G177" s="11">
        <v>153871</v>
      </c>
      <c r="H177" s="11">
        <v>415036.57</v>
      </c>
    </row>
    <row r="178" spans="2:8" x14ac:dyDescent="0.2">
      <c r="B178" s="5">
        <v>45875</v>
      </c>
      <c r="C178" t="s">
        <v>1739</v>
      </c>
      <c r="D178" s="11">
        <v>-31680.68</v>
      </c>
      <c r="E178" s="11">
        <v>0</v>
      </c>
      <c r="F178" s="11"/>
      <c r="G178" s="11">
        <v>-229176</v>
      </c>
      <c r="H178" s="11">
        <v>197495.32</v>
      </c>
    </row>
    <row r="179" spans="2:8" x14ac:dyDescent="0.2">
      <c r="B179" s="5">
        <v>45876</v>
      </c>
      <c r="C179" t="s">
        <v>112</v>
      </c>
      <c r="D179" s="11">
        <v>159663.87</v>
      </c>
      <c r="E179" s="11">
        <v>3</v>
      </c>
      <c r="F179" s="11">
        <v>53221.29</v>
      </c>
      <c r="G179" s="11">
        <v>43028</v>
      </c>
      <c r="H179" s="11">
        <v>116635.87</v>
      </c>
    </row>
    <row r="180" spans="2:8" x14ac:dyDescent="0.2">
      <c r="B180" s="5">
        <v>45876</v>
      </c>
      <c r="C180" t="s">
        <v>109</v>
      </c>
      <c r="D180" s="11">
        <v>134873.95000000001</v>
      </c>
      <c r="E180" s="11">
        <v>5</v>
      </c>
      <c r="F180" s="11">
        <v>68991.596000000005</v>
      </c>
      <c r="G180" s="11">
        <v>36495</v>
      </c>
      <c r="H180" s="11">
        <v>93757.1</v>
      </c>
    </row>
    <row r="181" spans="2:8" x14ac:dyDescent="0.2">
      <c r="B181" s="5">
        <v>45877</v>
      </c>
      <c r="C181" t="s">
        <v>109</v>
      </c>
      <c r="D181" s="11">
        <v>1785420.17</v>
      </c>
      <c r="E181" s="11">
        <v>10</v>
      </c>
      <c r="F181" s="11">
        <v>178542.01699999999</v>
      </c>
      <c r="G181" s="11">
        <v>666683</v>
      </c>
      <c r="H181" s="11">
        <v>1118737.17</v>
      </c>
    </row>
    <row r="182" spans="2:8" x14ac:dyDescent="0.2">
      <c r="B182" s="5">
        <v>45877</v>
      </c>
      <c r="C182" t="s">
        <v>112</v>
      </c>
      <c r="D182" s="11">
        <v>722689.08</v>
      </c>
      <c r="E182" s="11">
        <v>4</v>
      </c>
      <c r="F182" s="11">
        <v>180672.27</v>
      </c>
      <c r="G182" s="11">
        <v>180679</v>
      </c>
      <c r="H182" s="11">
        <v>542010.07999999996</v>
      </c>
    </row>
    <row r="183" spans="2:8" x14ac:dyDescent="0.2">
      <c r="B183" s="5">
        <v>45877</v>
      </c>
      <c r="C183" t="s">
        <v>110</v>
      </c>
      <c r="D183" s="11">
        <v>218487.4</v>
      </c>
      <c r="E183" s="11">
        <v>2</v>
      </c>
      <c r="F183" s="11">
        <v>109243.7</v>
      </c>
      <c r="G183" s="11">
        <v>52833</v>
      </c>
      <c r="H183" s="11">
        <v>165654.39999999999</v>
      </c>
    </row>
    <row r="184" spans="2:8" x14ac:dyDescent="0.2">
      <c r="B184" s="5">
        <v>45878</v>
      </c>
      <c r="C184" t="s">
        <v>109</v>
      </c>
      <c r="D184" s="11">
        <v>833193.29</v>
      </c>
      <c r="E184" s="11">
        <v>6</v>
      </c>
      <c r="F184" s="11">
        <v>138865.54800000001</v>
      </c>
      <c r="G184" s="11">
        <v>264134</v>
      </c>
      <c r="H184" s="11">
        <v>569059.29</v>
      </c>
    </row>
    <row r="185" spans="2:8" x14ac:dyDescent="0.2">
      <c r="B185" s="5">
        <v>45878</v>
      </c>
      <c r="C185" t="s">
        <v>112</v>
      </c>
      <c r="D185" s="11">
        <v>596639.5</v>
      </c>
      <c r="E185" s="11">
        <v>5</v>
      </c>
      <c r="F185" s="11">
        <v>119327.9</v>
      </c>
      <c r="G185" s="11">
        <v>164946</v>
      </c>
      <c r="H185" s="11">
        <v>431693.5</v>
      </c>
    </row>
    <row r="186" spans="2:8" x14ac:dyDescent="0.2">
      <c r="B186" s="5">
        <v>45879</v>
      </c>
      <c r="C186" t="s">
        <v>112</v>
      </c>
      <c r="D186" s="11">
        <v>512605.05</v>
      </c>
      <c r="E186" s="11">
        <v>5</v>
      </c>
      <c r="F186" s="11">
        <v>102521.01</v>
      </c>
      <c r="G186" s="11">
        <v>156387</v>
      </c>
      <c r="H186" s="11">
        <v>356218.05</v>
      </c>
    </row>
    <row r="187" spans="2:8" x14ac:dyDescent="0.2">
      <c r="B187" s="5">
        <v>45879</v>
      </c>
      <c r="C187" t="s">
        <v>109</v>
      </c>
      <c r="D187" s="11">
        <v>454621.86</v>
      </c>
      <c r="E187" s="11">
        <v>6</v>
      </c>
      <c r="F187" s="11">
        <v>75770.31</v>
      </c>
      <c r="G187" s="11">
        <v>95013</v>
      </c>
      <c r="H187" s="11">
        <v>359608.86</v>
      </c>
    </row>
    <row r="188" spans="2:8" x14ac:dyDescent="0.2">
      <c r="B188" s="5">
        <v>45880</v>
      </c>
      <c r="C188" t="s">
        <v>112</v>
      </c>
      <c r="D188" s="11">
        <v>1120169.76</v>
      </c>
      <c r="E188" s="11">
        <v>11</v>
      </c>
      <c r="F188" s="11">
        <v>101833.614</v>
      </c>
      <c r="G188" s="11">
        <v>351095</v>
      </c>
      <c r="H188" s="11">
        <v>736299.97</v>
      </c>
    </row>
    <row r="189" spans="2:8" x14ac:dyDescent="0.2">
      <c r="B189" s="5">
        <v>45880</v>
      </c>
      <c r="C189" t="s">
        <v>109</v>
      </c>
      <c r="D189" s="11">
        <v>545831.93000000005</v>
      </c>
      <c r="E189" s="11">
        <v>6</v>
      </c>
      <c r="F189" s="11">
        <v>90971.987999999998</v>
      </c>
      <c r="G189" s="11">
        <v>196968</v>
      </c>
      <c r="H189" s="11">
        <v>348863.93</v>
      </c>
    </row>
    <row r="190" spans="2:8" x14ac:dyDescent="0.2">
      <c r="B190" s="5">
        <v>45880</v>
      </c>
      <c r="C190" t="s">
        <v>110</v>
      </c>
      <c r="D190" s="11">
        <v>415966.39</v>
      </c>
      <c r="E190" s="11">
        <v>3</v>
      </c>
      <c r="F190" s="11">
        <v>138655.46299999999</v>
      </c>
      <c r="G190" s="11">
        <v>95804</v>
      </c>
      <c r="H190" s="11">
        <v>320162.39</v>
      </c>
    </row>
    <row r="191" spans="2:8" x14ac:dyDescent="0.2">
      <c r="B191" s="5">
        <v>45880</v>
      </c>
      <c r="C191" t="s">
        <v>1739</v>
      </c>
      <c r="D191" s="11">
        <v>92436.97</v>
      </c>
      <c r="E191" s="11">
        <v>1</v>
      </c>
      <c r="F191" s="11">
        <v>92436.97</v>
      </c>
      <c r="G191" s="11">
        <v>29222</v>
      </c>
      <c r="H191" s="11">
        <v>63214.97</v>
      </c>
    </row>
    <row r="192" spans="2:8" x14ac:dyDescent="0.2">
      <c r="B192" s="5">
        <v>45881</v>
      </c>
      <c r="C192" t="s">
        <v>109</v>
      </c>
      <c r="D192" s="11">
        <v>2813411.79</v>
      </c>
      <c r="E192" s="11">
        <v>14</v>
      </c>
      <c r="F192" s="11">
        <v>200957.98499999999</v>
      </c>
      <c r="G192" s="11">
        <v>861632</v>
      </c>
      <c r="H192" s="11">
        <v>1951779.79</v>
      </c>
    </row>
    <row r="193" spans="2:8" x14ac:dyDescent="0.2">
      <c r="B193" s="5">
        <v>45881</v>
      </c>
      <c r="C193" t="s">
        <v>112</v>
      </c>
      <c r="D193" s="11">
        <v>370622.69</v>
      </c>
      <c r="E193" s="11">
        <v>6</v>
      </c>
      <c r="F193" s="11">
        <v>61770.447999999997</v>
      </c>
      <c r="G193" s="11">
        <v>104223</v>
      </c>
      <c r="H193" s="11">
        <v>266398.84999999998</v>
      </c>
    </row>
    <row r="194" spans="2:8" x14ac:dyDescent="0.2">
      <c r="B194" s="5">
        <v>45881</v>
      </c>
      <c r="C194" t="s">
        <v>1739</v>
      </c>
      <c r="D194" s="11">
        <v>84033.61</v>
      </c>
      <c r="E194" s="11">
        <v>1</v>
      </c>
      <c r="F194" s="11">
        <v>84033.61</v>
      </c>
      <c r="G194" s="11">
        <v>23525</v>
      </c>
      <c r="H194" s="11">
        <v>60508.61</v>
      </c>
    </row>
    <row r="195" spans="2:8" x14ac:dyDescent="0.2">
      <c r="B195" s="5">
        <v>45882</v>
      </c>
      <c r="C195" t="s">
        <v>112</v>
      </c>
      <c r="D195" s="11">
        <v>726890.77</v>
      </c>
      <c r="E195" s="11">
        <v>6</v>
      </c>
      <c r="F195" s="11">
        <v>121148.461</v>
      </c>
      <c r="G195" s="11">
        <v>207178</v>
      </c>
      <c r="H195" s="11">
        <v>519712.77</v>
      </c>
    </row>
    <row r="196" spans="2:8" x14ac:dyDescent="0.2">
      <c r="B196" s="5">
        <v>45882</v>
      </c>
      <c r="C196" t="s">
        <v>109</v>
      </c>
      <c r="D196" s="11">
        <v>323529.42</v>
      </c>
      <c r="E196" s="11">
        <v>3</v>
      </c>
      <c r="F196" s="11">
        <v>98599.442999999999</v>
      </c>
      <c r="G196" s="11">
        <v>118645</v>
      </c>
      <c r="H196" s="11">
        <v>204884.42</v>
      </c>
    </row>
    <row r="197" spans="2:8" x14ac:dyDescent="0.2">
      <c r="B197" s="5">
        <v>45882</v>
      </c>
      <c r="C197" t="s">
        <v>110</v>
      </c>
      <c r="D197" s="11">
        <v>54621.85</v>
      </c>
      <c r="E197" s="11">
        <v>1</v>
      </c>
      <c r="F197" s="11">
        <v>54621.85</v>
      </c>
      <c r="G197" s="11">
        <v>12099</v>
      </c>
      <c r="H197" s="11">
        <v>42522.85</v>
      </c>
    </row>
    <row r="198" spans="2:8" x14ac:dyDescent="0.2">
      <c r="B198" s="5">
        <v>45882</v>
      </c>
      <c r="C198" t="s">
        <v>1739</v>
      </c>
      <c r="D198" s="11">
        <v>47058.82</v>
      </c>
      <c r="E198" s="11">
        <v>1</v>
      </c>
      <c r="F198" s="11">
        <v>47058.82</v>
      </c>
      <c r="G198" s="11">
        <v>12000</v>
      </c>
      <c r="H198" s="11">
        <v>35058.82</v>
      </c>
    </row>
    <row r="199" spans="2:8" x14ac:dyDescent="0.2">
      <c r="B199" s="5">
        <v>45883</v>
      </c>
      <c r="C199" t="s">
        <v>109</v>
      </c>
      <c r="D199" s="11">
        <v>2881521</v>
      </c>
      <c r="E199" s="11">
        <v>13</v>
      </c>
      <c r="F199" s="11">
        <v>220104.07199999999</v>
      </c>
      <c r="G199" s="11">
        <v>925423</v>
      </c>
      <c r="H199" s="11">
        <v>1956098</v>
      </c>
    </row>
    <row r="200" spans="2:8" x14ac:dyDescent="0.2">
      <c r="B200" s="5">
        <v>45883</v>
      </c>
      <c r="C200" t="s">
        <v>112</v>
      </c>
      <c r="D200" s="11">
        <v>189075.63</v>
      </c>
      <c r="E200" s="11">
        <v>2</v>
      </c>
      <c r="F200" s="11">
        <v>94537.815000000002</v>
      </c>
      <c r="G200" s="11">
        <v>49877</v>
      </c>
      <c r="H200" s="11">
        <v>139198.63</v>
      </c>
    </row>
    <row r="201" spans="2:8" x14ac:dyDescent="0.2">
      <c r="B201" s="5">
        <v>45883</v>
      </c>
      <c r="C201" t="s">
        <v>110</v>
      </c>
      <c r="D201" s="11">
        <v>21848.74</v>
      </c>
      <c r="E201" s="11">
        <v>1</v>
      </c>
      <c r="F201" s="11">
        <v>21848.74</v>
      </c>
      <c r="G201" s="11">
        <v>4492</v>
      </c>
      <c r="H201" s="11">
        <v>17356.740000000002</v>
      </c>
    </row>
    <row r="202" spans="2:8" x14ac:dyDescent="0.2">
      <c r="B202" s="5">
        <v>45884</v>
      </c>
      <c r="C202" t="s">
        <v>112</v>
      </c>
      <c r="D202" s="11">
        <v>1299663.8700000001</v>
      </c>
      <c r="E202" s="11">
        <v>8</v>
      </c>
      <c r="F202" s="11">
        <v>178214.28599999999</v>
      </c>
      <c r="G202" s="11">
        <v>354754</v>
      </c>
      <c r="H202" s="11">
        <v>944909.87</v>
      </c>
    </row>
    <row r="203" spans="2:8" x14ac:dyDescent="0.2">
      <c r="B203" s="5">
        <v>45884</v>
      </c>
      <c r="C203" t="s">
        <v>109</v>
      </c>
      <c r="D203" s="11">
        <v>578991.61</v>
      </c>
      <c r="E203" s="11">
        <v>5</v>
      </c>
      <c r="F203" s="11">
        <v>104873.952</v>
      </c>
      <c r="G203" s="11">
        <v>133283</v>
      </c>
      <c r="H203" s="11">
        <v>445708.61</v>
      </c>
    </row>
    <row r="204" spans="2:8" x14ac:dyDescent="0.2">
      <c r="B204" s="5">
        <v>45885</v>
      </c>
      <c r="C204" t="s">
        <v>109</v>
      </c>
      <c r="D204" s="11">
        <v>2159756.2999999998</v>
      </c>
      <c r="E204" s="11">
        <v>15</v>
      </c>
      <c r="F204" s="11">
        <v>143983.753</v>
      </c>
      <c r="G204" s="11">
        <v>684364</v>
      </c>
      <c r="H204" s="11">
        <v>1475392.3</v>
      </c>
    </row>
    <row r="205" spans="2:8" x14ac:dyDescent="0.2">
      <c r="B205" s="5">
        <v>45885</v>
      </c>
      <c r="C205" t="s">
        <v>112</v>
      </c>
      <c r="D205" s="11">
        <v>1972268.91</v>
      </c>
      <c r="E205" s="11">
        <v>6</v>
      </c>
      <c r="F205" s="11">
        <v>328711.48499999999</v>
      </c>
      <c r="G205" s="11">
        <v>753171</v>
      </c>
      <c r="H205" s="11">
        <v>966997.07</v>
      </c>
    </row>
    <row r="206" spans="2:8" x14ac:dyDescent="0.2">
      <c r="B206" s="5">
        <v>45885</v>
      </c>
      <c r="C206" t="s">
        <v>110</v>
      </c>
      <c r="D206" s="11">
        <v>84033.62</v>
      </c>
      <c r="E206" s="11">
        <v>2</v>
      </c>
      <c r="F206" s="11">
        <v>42016.81</v>
      </c>
      <c r="G206" s="11">
        <v>21950</v>
      </c>
      <c r="H206" s="11">
        <v>62083.62</v>
      </c>
    </row>
    <row r="207" spans="2:8" x14ac:dyDescent="0.2">
      <c r="B207" s="5">
        <v>45886</v>
      </c>
      <c r="C207" t="s">
        <v>109</v>
      </c>
      <c r="D207" s="11">
        <v>1230126.06</v>
      </c>
      <c r="E207" s="11">
        <v>6</v>
      </c>
      <c r="F207" s="11">
        <v>205021.01</v>
      </c>
      <c r="G207" s="11">
        <v>250519</v>
      </c>
      <c r="H207" s="11">
        <v>979607.06</v>
      </c>
    </row>
    <row r="208" spans="2:8" x14ac:dyDescent="0.2">
      <c r="B208" s="5">
        <v>45886</v>
      </c>
      <c r="C208" t="s">
        <v>112</v>
      </c>
      <c r="D208" s="11">
        <v>46218.49</v>
      </c>
      <c r="E208" s="11">
        <v>1</v>
      </c>
      <c r="F208" s="11">
        <v>46218.49</v>
      </c>
      <c r="G208" s="11">
        <v>14611</v>
      </c>
      <c r="H208" s="11">
        <v>31607.49</v>
      </c>
    </row>
    <row r="209" spans="2:8" x14ac:dyDescent="0.2">
      <c r="B209" s="5">
        <v>45887</v>
      </c>
      <c r="C209" t="s">
        <v>109</v>
      </c>
      <c r="D209" s="11">
        <v>547579.84</v>
      </c>
      <c r="E209" s="11">
        <v>6</v>
      </c>
      <c r="F209" s="11">
        <v>91263.305999999997</v>
      </c>
      <c r="G209" s="11">
        <v>200704</v>
      </c>
      <c r="H209" s="11">
        <v>346875.84</v>
      </c>
    </row>
    <row r="210" spans="2:8" x14ac:dyDescent="0.2">
      <c r="B210" s="5">
        <v>45887</v>
      </c>
      <c r="C210" t="s">
        <v>112</v>
      </c>
      <c r="D210" s="11">
        <v>218487.39</v>
      </c>
      <c r="E210" s="11">
        <v>2</v>
      </c>
      <c r="F210" s="11">
        <v>109243.69500000001</v>
      </c>
      <c r="G210" s="11">
        <v>58135</v>
      </c>
      <c r="H210" s="11">
        <v>160352.39000000001</v>
      </c>
    </row>
    <row r="211" spans="2:8" x14ac:dyDescent="0.2">
      <c r="B211" s="5">
        <v>45888</v>
      </c>
      <c r="C211" t="s">
        <v>112</v>
      </c>
      <c r="D211" s="11">
        <v>1696638.66</v>
      </c>
      <c r="E211" s="11">
        <v>9</v>
      </c>
      <c r="F211" s="11">
        <v>188515.40599999999</v>
      </c>
      <c r="G211" s="11">
        <v>485269</v>
      </c>
      <c r="H211" s="11">
        <v>1211369.6599999999</v>
      </c>
    </row>
    <row r="212" spans="2:8" x14ac:dyDescent="0.2">
      <c r="B212" s="5">
        <v>45888</v>
      </c>
      <c r="C212" t="s">
        <v>109</v>
      </c>
      <c r="D212" s="11">
        <v>1608243.71</v>
      </c>
      <c r="E212" s="11">
        <v>12</v>
      </c>
      <c r="F212" s="11">
        <v>131604.342</v>
      </c>
      <c r="G212" s="11">
        <v>409837</v>
      </c>
      <c r="H212" s="11">
        <v>1198406.71</v>
      </c>
    </row>
    <row r="213" spans="2:8" x14ac:dyDescent="0.2">
      <c r="B213" s="5">
        <v>45888</v>
      </c>
      <c r="C213" t="s">
        <v>1739</v>
      </c>
      <c r="D213" s="11">
        <v>567226.89</v>
      </c>
      <c r="E213" s="11">
        <v>2</v>
      </c>
      <c r="F213" s="11">
        <v>283613.44500000001</v>
      </c>
      <c r="G213" s="11">
        <v>155289</v>
      </c>
      <c r="H213" s="11">
        <v>411937.89</v>
      </c>
    </row>
    <row r="214" spans="2:8" x14ac:dyDescent="0.2">
      <c r="B214" s="5">
        <v>45889</v>
      </c>
      <c r="C214" t="s">
        <v>109</v>
      </c>
      <c r="D214" s="11">
        <v>1029411.78</v>
      </c>
      <c r="E214" s="11">
        <v>10</v>
      </c>
      <c r="F214" s="11">
        <v>102941.178</v>
      </c>
      <c r="G214" s="11">
        <v>242378</v>
      </c>
      <c r="H214" s="11">
        <v>787033.78</v>
      </c>
    </row>
    <row r="215" spans="2:8" x14ac:dyDescent="0.2">
      <c r="B215" s="5">
        <v>45889</v>
      </c>
      <c r="C215" t="s">
        <v>112</v>
      </c>
      <c r="D215" s="11">
        <v>890922.36</v>
      </c>
      <c r="E215" s="11">
        <v>7</v>
      </c>
      <c r="F215" s="11">
        <v>127250.901</v>
      </c>
      <c r="G215" s="11">
        <v>231115</v>
      </c>
      <c r="H215" s="11">
        <v>658767.35999999999</v>
      </c>
    </row>
    <row r="216" spans="2:8" x14ac:dyDescent="0.2">
      <c r="B216" s="5">
        <v>45889</v>
      </c>
      <c r="C216" t="s">
        <v>110</v>
      </c>
      <c r="D216" s="11">
        <v>46218.49</v>
      </c>
      <c r="E216" s="11">
        <v>1</v>
      </c>
      <c r="F216" s="11">
        <v>46218.49</v>
      </c>
      <c r="G216" s="11">
        <v>9855</v>
      </c>
      <c r="H216" s="11">
        <v>36363.49</v>
      </c>
    </row>
    <row r="217" spans="2:8" x14ac:dyDescent="0.2">
      <c r="B217" s="5">
        <v>45890</v>
      </c>
      <c r="C217" t="s">
        <v>112</v>
      </c>
      <c r="D217" s="11">
        <v>2015126.05</v>
      </c>
      <c r="E217" s="11">
        <v>5</v>
      </c>
      <c r="F217" s="11">
        <v>403025.21</v>
      </c>
      <c r="G217" s="11">
        <v>556976</v>
      </c>
      <c r="H217" s="11">
        <v>1458150.05</v>
      </c>
    </row>
    <row r="218" spans="2:8" x14ac:dyDescent="0.2">
      <c r="B218" s="5">
        <v>45890</v>
      </c>
      <c r="C218" t="s">
        <v>109</v>
      </c>
      <c r="D218" s="11">
        <v>1241638.67</v>
      </c>
      <c r="E218" s="11">
        <v>13</v>
      </c>
      <c r="F218" s="11">
        <v>95510.665999999997</v>
      </c>
      <c r="G218" s="11">
        <v>259991</v>
      </c>
      <c r="H218" s="11">
        <v>731647.67</v>
      </c>
    </row>
    <row r="219" spans="2:8" x14ac:dyDescent="0.2">
      <c r="B219" s="5">
        <v>45890</v>
      </c>
      <c r="C219" t="s">
        <v>110</v>
      </c>
      <c r="D219" s="11">
        <v>92436.98</v>
      </c>
      <c r="E219" s="11">
        <v>2</v>
      </c>
      <c r="F219" s="11">
        <v>46218.49</v>
      </c>
      <c r="G219" s="11">
        <v>19710</v>
      </c>
      <c r="H219" s="11">
        <v>72726.98</v>
      </c>
    </row>
    <row r="220" spans="2:8" x14ac:dyDescent="0.2">
      <c r="B220" s="5">
        <v>45891</v>
      </c>
      <c r="C220" t="s">
        <v>109</v>
      </c>
      <c r="D220" s="11">
        <v>2553067.2400000002</v>
      </c>
      <c r="E220" s="11">
        <v>14</v>
      </c>
      <c r="F220" s="11">
        <v>181161.465</v>
      </c>
      <c r="G220" s="11">
        <v>771808</v>
      </c>
      <c r="H220" s="11">
        <v>1781259.24</v>
      </c>
    </row>
    <row r="221" spans="2:8" x14ac:dyDescent="0.2">
      <c r="B221" s="5">
        <v>45891</v>
      </c>
      <c r="C221" t="s">
        <v>112</v>
      </c>
      <c r="D221" s="11">
        <v>215697.48</v>
      </c>
      <c r="E221" s="11">
        <v>3</v>
      </c>
      <c r="F221" s="11">
        <v>71899.16</v>
      </c>
      <c r="G221" s="11">
        <v>63375</v>
      </c>
      <c r="H221" s="11">
        <v>152322.48000000001</v>
      </c>
    </row>
    <row r="222" spans="2:8" x14ac:dyDescent="0.2">
      <c r="B222" s="5">
        <v>45892</v>
      </c>
      <c r="C222" t="s">
        <v>109</v>
      </c>
      <c r="D222" s="11">
        <v>2015672.27</v>
      </c>
      <c r="E222" s="11">
        <v>15</v>
      </c>
      <c r="F222" s="11">
        <v>129056.022</v>
      </c>
      <c r="G222" s="11">
        <v>650350</v>
      </c>
      <c r="H222" s="11">
        <v>1365322.27</v>
      </c>
    </row>
    <row r="223" spans="2:8" x14ac:dyDescent="0.2">
      <c r="B223" s="5">
        <v>45892</v>
      </c>
      <c r="C223" t="s">
        <v>112</v>
      </c>
      <c r="D223" s="11">
        <v>340336.14</v>
      </c>
      <c r="E223" s="11">
        <v>3</v>
      </c>
      <c r="F223" s="11">
        <v>113445.38</v>
      </c>
      <c r="G223" s="11">
        <v>93837</v>
      </c>
      <c r="H223" s="11">
        <v>246499.14</v>
      </c>
    </row>
    <row r="224" spans="2:8" x14ac:dyDescent="0.2">
      <c r="B224" s="5">
        <v>45893</v>
      </c>
      <c r="C224" t="s">
        <v>109</v>
      </c>
      <c r="D224" s="11">
        <v>2290563</v>
      </c>
      <c r="E224" s="11">
        <v>17</v>
      </c>
      <c r="F224" s="11">
        <v>134739</v>
      </c>
      <c r="G224" s="11">
        <v>705419</v>
      </c>
      <c r="H224" s="11">
        <v>1489144</v>
      </c>
    </row>
    <row r="225" spans="2:8" x14ac:dyDescent="0.2">
      <c r="B225" s="5">
        <v>45893</v>
      </c>
      <c r="C225" t="s">
        <v>112</v>
      </c>
      <c r="D225" s="11">
        <v>235294.12</v>
      </c>
      <c r="E225" s="11">
        <v>2</v>
      </c>
      <c r="F225" s="11">
        <v>117647.06</v>
      </c>
      <c r="G225" s="11">
        <v>67836</v>
      </c>
      <c r="H225" s="11">
        <v>167458.12</v>
      </c>
    </row>
    <row r="226" spans="2:8" x14ac:dyDescent="0.2">
      <c r="B226" s="5">
        <v>45893</v>
      </c>
      <c r="C226" t="s">
        <v>1739</v>
      </c>
      <c r="D226" s="11">
        <v>79831.929999999993</v>
      </c>
      <c r="E226" s="11">
        <v>1</v>
      </c>
      <c r="F226" s="11">
        <v>79831.929999999993</v>
      </c>
      <c r="G226" s="11">
        <v>30925</v>
      </c>
      <c r="H226" s="11">
        <v>48906.93</v>
      </c>
    </row>
    <row r="227" spans="2:8" x14ac:dyDescent="0.2">
      <c r="B227" s="5">
        <v>45894</v>
      </c>
      <c r="C227" t="s">
        <v>109</v>
      </c>
      <c r="D227" s="11">
        <v>2214285.73</v>
      </c>
      <c r="E227" s="11">
        <v>16</v>
      </c>
      <c r="F227" s="11">
        <v>138392.85800000001</v>
      </c>
      <c r="G227" s="11">
        <v>728027</v>
      </c>
      <c r="H227" s="11">
        <v>1454325.95</v>
      </c>
    </row>
    <row r="228" spans="2:8" x14ac:dyDescent="0.2">
      <c r="B228" s="5">
        <v>45894</v>
      </c>
      <c r="C228" t="s">
        <v>112</v>
      </c>
      <c r="D228" s="11">
        <v>638656.46</v>
      </c>
      <c r="E228" s="11">
        <v>5</v>
      </c>
      <c r="F228" s="11">
        <v>127731.292</v>
      </c>
      <c r="G228" s="11">
        <v>245813</v>
      </c>
      <c r="H228" s="11">
        <v>380237.42</v>
      </c>
    </row>
    <row r="229" spans="2:8" x14ac:dyDescent="0.2">
      <c r="B229" s="5">
        <v>45894</v>
      </c>
      <c r="C229" t="s">
        <v>1739</v>
      </c>
      <c r="D229" s="11">
        <v>235294.12</v>
      </c>
      <c r="E229" s="11">
        <v>1</v>
      </c>
      <c r="F229" s="11">
        <v>235294.12</v>
      </c>
      <c r="G229" s="11">
        <v>65300</v>
      </c>
      <c r="H229" s="11">
        <v>169994.12</v>
      </c>
    </row>
    <row r="230" spans="2:8" x14ac:dyDescent="0.2">
      <c r="B230" s="5">
        <v>45895</v>
      </c>
      <c r="C230" t="s">
        <v>109</v>
      </c>
      <c r="D230" s="11">
        <v>2083613.45</v>
      </c>
      <c r="E230" s="11">
        <v>12</v>
      </c>
      <c r="F230" s="11">
        <v>175735.29399999999</v>
      </c>
      <c r="G230" s="11">
        <v>475725</v>
      </c>
      <c r="H230" s="11">
        <v>1570073.32</v>
      </c>
    </row>
    <row r="231" spans="2:8" x14ac:dyDescent="0.2">
      <c r="B231" s="5">
        <v>45895</v>
      </c>
      <c r="C231" t="s">
        <v>112</v>
      </c>
      <c r="D231" s="11">
        <v>542016.81000000006</v>
      </c>
      <c r="E231" s="11">
        <v>6</v>
      </c>
      <c r="F231" s="11">
        <v>90336.134999999995</v>
      </c>
      <c r="G231" s="11">
        <v>164272</v>
      </c>
      <c r="H231" s="11">
        <v>377744.81</v>
      </c>
    </row>
    <row r="232" spans="2:8" x14ac:dyDescent="0.2">
      <c r="B232" s="5">
        <v>45895</v>
      </c>
      <c r="C232" t="s">
        <v>110</v>
      </c>
      <c r="D232" s="11">
        <v>21848.74</v>
      </c>
      <c r="E232" s="11">
        <v>1</v>
      </c>
      <c r="F232" s="11">
        <v>21848.74</v>
      </c>
      <c r="G232" s="11">
        <v>4738</v>
      </c>
      <c r="H232" s="11">
        <v>17110.740000000002</v>
      </c>
    </row>
    <row r="233" spans="2:8" x14ac:dyDescent="0.2">
      <c r="B233" s="5">
        <v>45896</v>
      </c>
      <c r="C233" t="s">
        <v>109</v>
      </c>
      <c r="D233" s="11">
        <v>1100420.18</v>
      </c>
      <c r="E233" s="11">
        <v>9</v>
      </c>
      <c r="F233" s="11">
        <v>101307.19</v>
      </c>
      <c r="G233" s="11">
        <v>269186</v>
      </c>
      <c r="H233" s="11">
        <v>831234.18</v>
      </c>
    </row>
    <row r="234" spans="2:8" x14ac:dyDescent="0.2">
      <c r="B234" s="5">
        <v>45896</v>
      </c>
      <c r="C234" t="s">
        <v>112</v>
      </c>
      <c r="D234" s="11">
        <v>693277.31</v>
      </c>
      <c r="E234" s="11">
        <v>6</v>
      </c>
      <c r="F234" s="11">
        <v>115546.21799999999</v>
      </c>
      <c r="G234" s="11">
        <v>189247</v>
      </c>
      <c r="H234" s="11">
        <v>504030.31</v>
      </c>
    </row>
    <row r="235" spans="2:8" x14ac:dyDescent="0.2">
      <c r="B235" s="5">
        <v>45896</v>
      </c>
      <c r="C235" t="s">
        <v>1739</v>
      </c>
      <c r="D235" s="11">
        <v>79831.929999999993</v>
      </c>
      <c r="E235" s="11">
        <v>1</v>
      </c>
      <c r="F235" s="11">
        <v>79831.929999999993</v>
      </c>
      <c r="G235" s="11">
        <v>19675</v>
      </c>
      <c r="H235" s="11">
        <v>60156.93</v>
      </c>
    </row>
    <row r="236" spans="2:8" x14ac:dyDescent="0.2">
      <c r="B236" s="5">
        <v>45897</v>
      </c>
      <c r="C236" t="s">
        <v>109</v>
      </c>
      <c r="D236" s="11">
        <v>1466806.76</v>
      </c>
      <c r="E236" s="11">
        <v>16</v>
      </c>
      <c r="F236" s="11">
        <v>88524.160999999993</v>
      </c>
      <c r="G236" s="11">
        <v>406079</v>
      </c>
      <c r="H236" s="11">
        <v>891820.19</v>
      </c>
    </row>
    <row r="237" spans="2:8" x14ac:dyDescent="0.2">
      <c r="B237" s="5">
        <v>45897</v>
      </c>
      <c r="C237" t="s">
        <v>112</v>
      </c>
      <c r="D237" s="11">
        <v>1163865.56</v>
      </c>
      <c r="E237" s="11">
        <v>6</v>
      </c>
      <c r="F237" s="11">
        <v>193977.59299999999</v>
      </c>
      <c r="G237" s="11">
        <v>321307</v>
      </c>
      <c r="H237" s="11">
        <v>842558.56</v>
      </c>
    </row>
    <row r="238" spans="2:8" x14ac:dyDescent="0.2">
      <c r="B238" s="5">
        <v>45897</v>
      </c>
      <c r="C238" t="s">
        <v>1739</v>
      </c>
      <c r="D238" s="11">
        <v>84873.95</v>
      </c>
      <c r="E238" s="11">
        <v>1</v>
      </c>
      <c r="F238" s="11">
        <v>84873.95</v>
      </c>
      <c r="G238" s="11">
        <v>26593</v>
      </c>
      <c r="H238" s="11">
        <v>58280.95</v>
      </c>
    </row>
    <row r="239" spans="2:8" x14ac:dyDescent="0.2">
      <c r="B239" s="5">
        <v>45898</v>
      </c>
      <c r="C239" t="s">
        <v>109</v>
      </c>
      <c r="D239" s="11">
        <v>2407142.87</v>
      </c>
      <c r="E239" s="11">
        <v>16</v>
      </c>
      <c r="F239" s="11">
        <v>148082.98300000001</v>
      </c>
      <c r="G239" s="11">
        <v>566039</v>
      </c>
      <c r="H239" s="11">
        <v>1841103.87</v>
      </c>
    </row>
    <row r="240" spans="2:8" x14ac:dyDescent="0.2">
      <c r="B240" s="5">
        <v>45898</v>
      </c>
      <c r="C240" t="s">
        <v>112</v>
      </c>
      <c r="D240" s="11">
        <v>1184873.95</v>
      </c>
      <c r="E240" s="11">
        <v>5</v>
      </c>
      <c r="F240" s="11">
        <v>236974.79</v>
      </c>
      <c r="G240" s="11">
        <v>316932</v>
      </c>
      <c r="H240" s="11">
        <v>867941.95</v>
      </c>
    </row>
    <row r="241" spans="2:8" x14ac:dyDescent="0.2">
      <c r="B241" s="5">
        <v>45899</v>
      </c>
      <c r="C241" t="s">
        <v>109</v>
      </c>
      <c r="D241" s="11">
        <v>1595050.42</v>
      </c>
      <c r="E241" s="11">
        <v>15</v>
      </c>
      <c r="F241" s="11">
        <v>106336.694</v>
      </c>
      <c r="G241" s="11">
        <v>663284</v>
      </c>
      <c r="H241" s="11">
        <v>931766.42</v>
      </c>
    </row>
    <row r="242" spans="2:8" x14ac:dyDescent="0.2">
      <c r="B242" s="5">
        <v>45900</v>
      </c>
      <c r="C242" t="s">
        <v>109</v>
      </c>
      <c r="D242" s="11">
        <v>1429672.27</v>
      </c>
      <c r="E242" s="11">
        <v>11</v>
      </c>
      <c r="F242" s="11">
        <v>129970.20600000001</v>
      </c>
      <c r="G242" s="11">
        <v>537297</v>
      </c>
      <c r="H242" s="11">
        <v>892375.27</v>
      </c>
    </row>
    <row r="243" spans="2:8" x14ac:dyDescent="0.2">
      <c r="B243" s="5">
        <v>45900</v>
      </c>
      <c r="C243" t="s">
        <v>112</v>
      </c>
      <c r="D243" s="11">
        <v>634453.79</v>
      </c>
      <c r="E243" s="11">
        <v>5</v>
      </c>
      <c r="F243" s="11">
        <v>126890.758</v>
      </c>
      <c r="G243" s="11">
        <v>217236</v>
      </c>
      <c r="H243" s="11">
        <v>417217.79</v>
      </c>
    </row>
    <row r="244" spans="2:8" x14ac:dyDescent="0.2">
      <c r="B244" s="5">
        <v>45900</v>
      </c>
      <c r="C244" t="s">
        <v>110</v>
      </c>
      <c r="D244" s="11">
        <v>46218.49</v>
      </c>
      <c r="E244" s="11">
        <v>1</v>
      </c>
      <c r="F244" s="11">
        <v>46218.49</v>
      </c>
      <c r="G244" s="11">
        <v>14611</v>
      </c>
      <c r="H244" s="11">
        <v>31607.49</v>
      </c>
    </row>
    <row r="245" spans="2:8" x14ac:dyDescent="0.2">
      <c r="B245" s="5">
        <v>45901</v>
      </c>
      <c r="C245" t="s">
        <v>109</v>
      </c>
      <c r="D245" s="11">
        <v>1613865.55</v>
      </c>
      <c r="E245" s="11">
        <v>10</v>
      </c>
      <c r="F245" s="11">
        <v>161638.655</v>
      </c>
      <c r="G245" s="11">
        <v>493340</v>
      </c>
      <c r="H245" s="11">
        <v>1044895.3</v>
      </c>
    </row>
    <row r="246" spans="2:8" x14ac:dyDescent="0.2">
      <c r="B246" s="5">
        <v>45901</v>
      </c>
      <c r="C246" t="s">
        <v>112</v>
      </c>
      <c r="D246" s="11">
        <v>773949.58</v>
      </c>
      <c r="E246" s="11">
        <v>6</v>
      </c>
      <c r="F246" s="11">
        <v>128991.59600000001</v>
      </c>
      <c r="G246" s="11">
        <v>201315</v>
      </c>
      <c r="H246" s="11">
        <v>572634.57999999996</v>
      </c>
    </row>
    <row r="247" spans="2:8" x14ac:dyDescent="0.2">
      <c r="B247" s="5">
        <v>45901</v>
      </c>
      <c r="C247" t="s">
        <v>1739</v>
      </c>
      <c r="D247" s="11">
        <v>75630.25</v>
      </c>
      <c r="E247" s="11">
        <v>1</v>
      </c>
      <c r="F247" s="11">
        <v>75630.25</v>
      </c>
      <c r="G247" s="11">
        <v>14678</v>
      </c>
      <c r="H247" s="11">
        <v>60952.25</v>
      </c>
    </row>
    <row r="248" spans="2:8" x14ac:dyDescent="0.2">
      <c r="B248" s="5">
        <v>45902</v>
      </c>
      <c r="C248" t="s">
        <v>109</v>
      </c>
      <c r="D248" s="11">
        <v>1726050.43</v>
      </c>
      <c r="E248" s="11">
        <v>12</v>
      </c>
      <c r="F248" s="11">
        <v>143837.535</v>
      </c>
      <c r="G248" s="11">
        <v>455600</v>
      </c>
      <c r="H248" s="11">
        <v>1182215.1399999999</v>
      </c>
    </row>
    <row r="249" spans="2:8" x14ac:dyDescent="0.2">
      <c r="B249" s="5">
        <v>45902</v>
      </c>
      <c r="C249" t="s">
        <v>112</v>
      </c>
      <c r="D249" s="11">
        <v>987394.96</v>
      </c>
      <c r="E249" s="11">
        <v>4</v>
      </c>
      <c r="F249" s="11">
        <v>246848.74</v>
      </c>
      <c r="G249" s="11">
        <v>232800</v>
      </c>
      <c r="H249" s="11">
        <v>754594.96</v>
      </c>
    </row>
    <row r="250" spans="2:8" x14ac:dyDescent="0.2">
      <c r="B250" s="5">
        <v>45903</v>
      </c>
      <c r="C250" t="s">
        <v>109</v>
      </c>
      <c r="D250" s="11">
        <v>830126.05</v>
      </c>
      <c r="E250" s="11">
        <v>7</v>
      </c>
      <c r="F250" s="11">
        <v>118589.435</v>
      </c>
      <c r="G250" s="11">
        <v>287976</v>
      </c>
      <c r="H250" s="11">
        <v>542150.05000000005</v>
      </c>
    </row>
    <row r="251" spans="2:8" x14ac:dyDescent="0.2">
      <c r="B251" s="5">
        <v>45903</v>
      </c>
      <c r="C251" t="s">
        <v>1739</v>
      </c>
      <c r="D251" s="11">
        <v>760504.21</v>
      </c>
      <c r="E251" s="11">
        <v>3</v>
      </c>
      <c r="F251" s="11">
        <v>253501.40299999999</v>
      </c>
      <c r="G251" s="11">
        <v>190150</v>
      </c>
      <c r="H251" s="11">
        <v>570354.21</v>
      </c>
    </row>
    <row r="252" spans="2:8" x14ac:dyDescent="0.2">
      <c r="B252" s="5">
        <v>45903</v>
      </c>
      <c r="C252" t="s">
        <v>112</v>
      </c>
      <c r="D252" s="11">
        <v>689075.64</v>
      </c>
      <c r="E252" s="11">
        <v>6</v>
      </c>
      <c r="F252" s="11">
        <v>114845.94</v>
      </c>
      <c r="G252" s="11">
        <v>217829</v>
      </c>
      <c r="H252" s="11">
        <v>471246.64</v>
      </c>
    </row>
    <row r="253" spans="2:8" x14ac:dyDescent="0.2">
      <c r="B253" s="5">
        <v>45904</v>
      </c>
      <c r="C253" t="s">
        <v>112</v>
      </c>
      <c r="D253" s="11">
        <v>2913446.23</v>
      </c>
      <c r="E253" s="11">
        <v>11</v>
      </c>
      <c r="F253" s="11">
        <v>264858.74800000002</v>
      </c>
      <c r="G253" s="11">
        <v>891313</v>
      </c>
      <c r="H253" s="11">
        <v>2022132.39</v>
      </c>
    </row>
    <row r="254" spans="2:8" x14ac:dyDescent="0.2">
      <c r="B254" s="5">
        <v>45904</v>
      </c>
      <c r="C254" t="s">
        <v>109</v>
      </c>
      <c r="D254" s="11">
        <v>2316386.56</v>
      </c>
      <c r="E254" s="11">
        <v>12</v>
      </c>
      <c r="F254" s="11">
        <v>222443.97700000001</v>
      </c>
      <c r="G254" s="11">
        <v>777132</v>
      </c>
      <c r="H254" s="11">
        <v>1539254.56</v>
      </c>
    </row>
    <row r="255" spans="2:8" x14ac:dyDescent="0.2">
      <c r="B255" s="5">
        <v>45904</v>
      </c>
      <c r="C255" t="s">
        <v>110</v>
      </c>
      <c r="D255" s="11">
        <v>96638.66</v>
      </c>
      <c r="E255" s="11">
        <v>1</v>
      </c>
      <c r="F255" s="11">
        <v>96638.66</v>
      </c>
      <c r="G255" s="11">
        <v>23839</v>
      </c>
      <c r="H255" s="11">
        <v>72799.66</v>
      </c>
    </row>
    <row r="256" spans="2:8" x14ac:dyDescent="0.2">
      <c r="B256" s="5">
        <v>45904</v>
      </c>
      <c r="C256" t="s">
        <v>1739</v>
      </c>
      <c r="D256" s="11">
        <v>84033.62</v>
      </c>
      <c r="E256" s="11">
        <v>2</v>
      </c>
      <c r="F256" s="11">
        <v>42016.81</v>
      </c>
      <c r="G256" s="11">
        <v>29142</v>
      </c>
      <c r="H256" s="11">
        <v>54891.62</v>
      </c>
    </row>
    <row r="257" spans="2:8" x14ac:dyDescent="0.2">
      <c r="B257" s="5">
        <v>45905</v>
      </c>
      <c r="C257" t="s">
        <v>109</v>
      </c>
      <c r="D257" s="11">
        <v>2905882.36</v>
      </c>
      <c r="E257" s="11">
        <v>10</v>
      </c>
      <c r="F257" s="11">
        <v>290588.23599999998</v>
      </c>
      <c r="G257" s="11">
        <v>1136251</v>
      </c>
      <c r="H257" s="11">
        <v>1769631.36</v>
      </c>
    </row>
    <row r="258" spans="2:8" x14ac:dyDescent="0.2">
      <c r="B258" s="5">
        <v>45905</v>
      </c>
      <c r="C258" t="s">
        <v>112</v>
      </c>
      <c r="D258" s="11">
        <v>995798.32</v>
      </c>
      <c r="E258" s="11">
        <v>5</v>
      </c>
      <c r="F258" s="11">
        <v>199159.66399999999</v>
      </c>
      <c r="G258" s="11">
        <v>279711</v>
      </c>
      <c r="H258" s="11">
        <v>716087.32</v>
      </c>
    </row>
    <row r="259" spans="2:8" x14ac:dyDescent="0.2">
      <c r="B259" s="5">
        <v>45905</v>
      </c>
      <c r="C259" t="s">
        <v>1739</v>
      </c>
      <c r="D259" s="11">
        <v>264705.89</v>
      </c>
      <c r="E259" s="11">
        <v>3</v>
      </c>
      <c r="F259" s="11">
        <v>88235.296000000002</v>
      </c>
      <c r="G259" s="11">
        <v>64536</v>
      </c>
      <c r="H259" s="11">
        <v>200169.89</v>
      </c>
    </row>
    <row r="260" spans="2:8" x14ac:dyDescent="0.2">
      <c r="B260" s="5">
        <v>45906</v>
      </c>
      <c r="C260" t="s">
        <v>109</v>
      </c>
      <c r="D260" s="11">
        <v>2336588.2400000002</v>
      </c>
      <c r="E260" s="11">
        <v>17</v>
      </c>
      <c r="F260" s="11">
        <v>126324.27099999999</v>
      </c>
      <c r="G260" s="11">
        <v>743697</v>
      </c>
      <c r="H260" s="11">
        <v>1592891.24</v>
      </c>
    </row>
    <row r="261" spans="2:8" x14ac:dyDescent="0.2">
      <c r="B261" s="5">
        <v>45906</v>
      </c>
      <c r="C261" t="s">
        <v>112</v>
      </c>
      <c r="D261" s="11">
        <v>830252.1</v>
      </c>
      <c r="E261" s="11">
        <v>4</v>
      </c>
      <c r="F261" s="11">
        <v>207563.02499999999</v>
      </c>
      <c r="G261" s="11">
        <v>209921</v>
      </c>
      <c r="H261" s="11">
        <v>620331.1</v>
      </c>
    </row>
    <row r="262" spans="2:8" x14ac:dyDescent="0.2">
      <c r="B262" s="5">
        <v>45906</v>
      </c>
      <c r="C262" t="s">
        <v>110</v>
      </c>
      <c r="D262" s="11">
        <v>46218.49</v>
      </c>
      <c r="E262" s="11">
        <v>1</v>
      </c>
      <c r="F262" s="11">
        <v>46218.49</v>
      </c>
      <c r="G262" s="11">
        <v>9855</v>
      </c>
      <c r="H262" s="11">
        <v>36363.49</v>
      </c>
    </row>
    <row r="263" spans="2:8" x14ac:dyDescent="0.2">
      <c r="B263" s="5">
        <v>45907</v>
      </c>
      <c r="C263" t="s">
        <v>109</v>
      </c>
      <c r="D263" s="11">
        <v>1563344.55</v>
      </c>
      <c r="E263" s="11">
        <v>8</v>
      </c>
      <c r="F263" s="11">
        <v>195418.068</v>
      </c>
      <c r="G263" s="11">
        <v>519280</v>
      </c>
      <c r="H263" s="11">
        <v>918014.13</v>
      </c>
    </row>
    <row r="264" spans="2:8" x14ac:dyDescent="0.2">
      <c r="B264" s="5">
        <v>45907</v>
      </c>
      <c r="C264" t="s">
        <v>112</v>
      </c>
      <c r="D264" s="11">
        <v>487394.96</v>
      </c>
      <c r="E264" s="11">
        <v>3</v>
      </c>
      <c r="F264" s="11">
        <v>162464.986</v>
      </c>
      <c r="G264" s="11">
        <v>127491</v>
      </c>
      <c r="H264" s="11">
        <v>359903.96</v>
      </c>
    </row>
    <row r="265" spans="2:8" x14ac:dyDescent="0.2">
      <c r="B265" s="5">
        <v>45908</v>
      </c>
      <c r="C265" t="s">
        <v>109</v>
      </c>
      <c r="D265" s="11">
        <v>1489075.62</v>
      </c>
      <c r="E265" s="11">
        <v>10</v>
      </c>
      <c r="F265" s="11">
        <v>148907.56200000001</v>
      </c>
      <c r="G265" s="11">
        <v>406731</v>
      </c>
      <c r="H265" s="11">
        <v>910075.74</v>
      </c>
    </row>
    <row r="266" spans="2:8" x14ac:dyDescent="0.2">
      <c r="B266" s="5">
        <v>45908</v>
      </c>
      <c r="C266" t="s">
        <v>112</v>
      </c>
      <c r="D266" s="11">
        <v>1429411.76</v>
      </c>
      <c r="E266" s="11">
        <v>6</v>
      </c>
      <c r="F266" s="11">
        <v>238235.29300000001</v>
      </c>
      <c r="G266" s="11">
        <v>393088</v>
      </c>
      <c r="H266" s="11">
        <v>1036323.76</v>
      </c>
    </row>
    <row r="267" spans="2:8" x14ac:dyDescent="0.2">
      <c r="B267" s="5">
        <v>45908</v>
      </c>
      <c r="C267" t="s">
        <v>1739</v>
      </c>
      <c r="D267" s="11">
        <v>537815.13</v>
      </c>
      <c r="E267" s="11">
        <v>2</v>
      </c>
      <c r="F267" s="11">
        <v>268907.565</v>
      </c>
      <c r="G267" s="11">
        <v>162306</v>
      </c>
      <c r="H267" s="11">
        <v>375509.13</v>
      </c>
    </row>
    <row r="268" spans="2:8" x14ac:dyDescent="0.2">
      <c r="B268" s="5">
        <v>45908</v>
      </c>
      <c r="C268" t="s">
        <v>110</v>
      </c>
      <c r="D268" s="11">
        <v>46218.49</v>
      </c>
      <c r="E268" s="11">
        <v>1</v>
      </c>
      <c r="F268" s="11">
        <v>46218.49</v>
      </c>
      <c r="G268" s="11">
        <v>9855</v>
      </c>
      <c r="H268" s="11">
        <v>36363.49</v>
      </c>
    </row>
    <row r="269" spans="2:8" x14ac:dyDescent="0.2">
      <c r="B269" s="5">
        <v>45909</v>
      </c>
      <c r="C269" t="s">
        <v>109</v>
      </c>
      <c r="D269" s="11">
        <v>2523529.41</v>
      </c>
      <c r="E269" s="11">
        <v>18</v>
      </c>
      <c r="F269" s="11">
        <v>139028.94500000001</v>
      </c>
      <c r="G269" s="11">
        <v>761756</v>
      </c>
      <c r="H269" s="11">
        <v>1740765.01</v>
      </c>
    </row>
    <row r="270" spans="2:8" x14ac:dyDescent="0.2">
      <c r="B270" s="5">
        <v>45909</v>
      </c>
      <c r="C270" t="s">
        <v>112</v>
      </c>
      <c r="D270" s="11">
        <v>972269.75</v>
      </c>
      <c r="E270" s="11">
        <v>12</v>
      </c>
      <c r="F270" s="11">
        <v>82072.899000000005</v>
      </c>
      <c r="G270" s="11">
        <v>264181</v>
      </c>
      <c r="H270" s="11">
        <v>708087.91</v>
      </c>
    </row>
    <row r="271" spans="2:8" x14ac:dyDescent="0.2">
      <c r="B271" s="5">
        <v>45909</v>
      </c>
      <c r="C271" t="s">
        <v>110</v>
      </c>
      <c r="D271" s="11">
        <v>205882.35</v>
      </c>
      <c r="E271" s="11">
        <v>2</v>
      </c>
      <c r="F271" s="11">
        <v>102941.175</v>
      </c>
      <c r="G271" s="11">
        <v>55961</v>
      </c>
      <c r="H271" s="11">
        <v>149921.35</v>
      </c>
    </row>
    <row r="272" spans="2:8" x14ac:dyDescent="0.2">
      <c r="B272" s="5">
        <v>45909</v>
      </c>
      <c r="C272" t="s">
        <v>1739</v>
      </c>
      <c r="D272" s="11">
        <v>21848.74</v>
      </c>
      <c r="E272" s="11">
        <v>1</v>
      </c>
      <c r="F272" s="11">
        <v>21848.74</v>
      </c>
      <c r="G272" s="11">
        <v>4738</v>
      </c>
      <c r="H272" s="11">
        <v>17110.740000000002</v>
      </c>
    </row>
    <row r="273" spans="2:8" x14ac:dyDescent="0.2">
      <c r="B273" s="5">
        <v>45910</v>
      </c>
      <c r="C273" t="s">
        <v>109</v>
      </c>
      <c r="D273" s="11">
        <v>1302394.97</v>
      </c>
      <c r="E273" s="11">
        <v>8</v>
      </c>
      <c r="F273" s="11">
        <v>150194.32800000001</v>
      </c>
      <c r="G273" s="11">
        <v>393025</v>
      </c>
      <c r="H273" s="11">
        <v>909369.97</v>
      </c>
    </row>
    <row r="274" spans="2:8" x14ac:dyDescent="0.2">
      <c r="B274" s="5">
        <v>45910</v>
      </c>
      <c r="C274" t="s">
        <v>112</v>
      </c>
      <c r="D274" s="11">
        <v>457983.19</v>
      </c>
      <c r="E274" s="11">
        <v>4</v>
      </c>
      <c r="F274" s="11">
        <v>114495.79700000001</v>
      </c>
      <c r="G274" s="11">
        <v>109458</v>
      </c>
      <c r="H274" s="11">
        <v>348525.19</v>
      </c>
    </row>
    <row r="275" spans="2:8" x14ac:dyDescent="0.2">
      <c r="B275" s="5">
        <v>45910</v>
      </c>
      <c r="C275" t="s">
        <v>110</v>
      </c>
      <c r="D275" s="11">
        <v>243697.48</v>
      </c>
      <c r="E275" s="11">
        <v>2</v>
      </c>
      <c r="F275" s="11">
        <v>121848.74</v>
      </c>
      <c r="G275" s="11">
        <v>62270</v>
      </c>
      <c r="H275" s="11">
        <v>181427.48</v>
      </c>
    </row>
    <row r="276" spans="2:8" x14ac:dyDescent="0.2">
      <c r="B276" s="5">
        <v>45910</v>
      </c>
      <c r="C276" t="s">
        <v>1739</v>
      </c>
      <c r="D276" s="11">
        <v>151260.5</v>
      </c>
      <c r="E276" s="11">
        <v>1</v>
      </c>
      <c r="F276" s="11">
        <v>151260.5</v>
      </c>
      <c r="G276" s="11">
        <v>41236</v>
      </c>
      <c r="H276" s="11">
        <v>110024.5</v>
      </c>
    </row>
    <row r="277" spans="2:8" x14ac:dyDescent="0.2">
      <c r="B277" s="5">
        <v>45911</v>
      </c>
      <c r="C277" t="s">
        <v>1726</v>
      </c>
      <c r="D277" s="11">
        <v>3466386.55</v>
      </c>
      <c r="E277" s="11">
        <v>28</v>
      </c>
      <c r="F277" s="11">
        <v>123799.519</v>
      </c>
      <c r="G277" s="11">
        <v>893097.12</v>
      </c>
      <c r="H277" s="11">
        <v>2573289.4300000002</v>
      </c>
    </row>
    <row r="278" spans="2:8" x14ac:dyDescent="0.2">
      <c r="B278" s="5">
        <v>45911</v>
      </c>
      <c r="C278" t="s">
        <v>112</v>
      </c>
      <c r="D278" s="11">
        <v>819327.75</v>
      </c>
      <c r="E278" s="11">
        <v>7</v>
      </c>
      <c r="F278" s="11">
        <v>118247.3</v>
      </c>
      <c r="G278" s="11">
        <v>269131</v>
      </c>
      <c r="H278" s="11">
        <v>550196.75</v>
      </c>
    </row>
    <row r="279" spans="2:8" x14ac:dyDescent="0.2">
      <c r="B279" s="5">
        <v>45911</v>
      </c>
      <c r="C279" t="s">
        <v>109</v>
      </c>
      <c r="D279" s="11">
        <v>764294.11</v>
      </c>
      <c r="E279" s="11">
        <v>10</v>
      </c>
      <c r="F279" s="11">
        <v>76429.410999999993</v>
      </c>
      <c r="G279" s="11">
        <v>228309</v>
      </c>
      <c r="H279" s="11">
        <v>535985.11</v>
      </c>
    </row>
    <row r="280" spans="2:8" x14ac:dyDescent="0.2">
      <c r="B280" s="5">
        <v>45911</v>
      </c>
      <c r="C280" t="s">
        <v>1739</v>
      </c>
      <c r="D280" s="11">
        <v>90336.13</v>
      </c>
      <c r="E280" s="11">
        <v>1</v>
      </c>
      <c r="F280" s="11">
        <v>90336.13</v>
      </c>
      <c r="G280" s="11">
        <v>24184</v>
      </c>
      <c r="H280" s="11">
        <v>66152.13</v>
      </c>
    </row>
    <row r="281" spans="2:8" x14ac:dyDescent="0.2">
      <c r="B281" s="5">
        <v>45912</v>
      </c>
      <c r="C281" t="s">
        <v>1726</v>
      </c>
      <c r="D281" s="11">
        <v>3252100.87</v>
      </c>
      <c r="E281" s="11">
        <v>37</v>
      </c>
      <c r="F281" s="11">
        <v>87894.618000000002</v>
      </c>
      <c r="G281" s="11">
        <v>937350</v>
      </c>
      <c r="H281" s="11">
        <v>2314750.87</v>
      </c>
    </row>
    <row r="282" spans="2:8" x14ac:dyDescent="0.2">
      <c r="B282" s="5">
        <v>45912</v>
      </c>
      <c r="C282" t="s">
        <v>109</v>
      </c>
      <c r="D282" s="11">
        <v>1521672.27</v>
      </c>
      <c r="E282" s="11">
        <v>11</v>
      </c>
      <c r="F282" s="11">
        <v>138333.842</v>
      </c>
      <c r="G282" s="11">
        <v>497584</v>
      </c>
      <c r="H282" s="11">
        <v>946088.27</v>
      </c>
    </row>
    <row r="283" spans="2:8" x14ac:dyDescent="0.2">
      <c r="B283" s="5">
        <v>45912</v>
      </c>
      <c r="C283" t="s">
        <v>112</v>
      </c>
      <c r="D283" s="11">
        <v>579831.93000000005</v>
      </c>
      <c r="E283" s="11">
        <v>5</v>
      </c>
      <c r="F283" s="11">
        <v>115966.386</v>
      </c>
      <c r="G283" s="11">
        <v>169647</v>
      </c>
      <c r="H283" s="11">
        <v>410184.93</v>
      </c>
    </row>
    <row r="284" spans="2:8" x14ac:dyDescent="0.2">
      <c r="B284" s="5">
        <v>45912</v>
      </c>
      <c r="C284" t="s">
        <v>1739</v>
      </c>
      <c r="D284" s="11">
        <v>407563.03</v>
      </c>
      <c r="E284" s="11">
        <v>3</v>
      </c>
      <c r="F284" s="11">
        <v>135854.34299999999</v>
      </c>
      <c r="G284" s="11">
        <v>157810</v>
      </c>
      <c r="H284" s="11">
        <v>249753.03</v>
      </c>
    </row>
    <row r="285" spans="2:8" x14ac:dyDescent="0.2">
      <c r="B285" s="5">
        <v>45912</v>
      </c>
      <c r="C285" t="s">
        <v>110</v>
      </c>
      <c r="D285" s="11">
        <v>21848.74</v>
      </c>
      <c r="E285" s="11">
        <v>1</v>
      </c>
      <c r="F285" s="11">
        <v>21848.74</v>
      </c>
      <c r="G285" s="11">
        <v>4738</v>
      </c>
      <c r="H285" s="11">
        <v>17110.740000000002</v>
      </c>
    </row>
    <row r="286" spans="2:8" x14ac:dyDescent="0.2">
      <c r="B286" s="5">
        <v>45913</v>
      </c>
      <c r="C286" t="s">
        <v>1726</v>
      </c>
      <c r="D286" s="11">
        <v>6323529.4800000004</v>
      </c>
      <c r="E286" s="11">
        <v>69</v>
      </c>
      <c r="F286" s="11">
        <v>92189.745999999999</v>
      </c>
      <c r="G286" s="11">
        <v>1675688</v>
      </c>
      <c r="H286" s="11">
        <v>4647841.4800000004</v>
      </c>
    </row>
    <row r="287" spans="2:8" x14ac:dyDescent="0.2">
      <c r="B287" s="5">
        <v>45913</v>
      </c>
      <c r="C287" t="s">
        <v>109</v>
      </c>
      <c r="D287" s="11">
        <v>1375411.76</v>
      </c>
      <c r="E287" s="11">
        <v>15</v>
      </c>
      <c r="F287" s="11">
        <v>91694.116999999998</v>
      </c>
      <c r="G287" s="11">
        <v>528319</v>
      </c>
      <c r="H287" s="11">
        <v>747092.76</v>
      </c>
    </row>
    <row r="288" spans="2:8" x14ac:dyDescent="0.2">
      <c r="B288" s="5">
        <v>45913</v>
      </c>
      <c r="C288" t="s">
        <v>112</v>
      </c>
      <c r="D288" s="11">
        <v>155462.18</v>
      </c>
      <c r="E288" s="11">
        <v>1</v>
      </c>
      <c r="F288" s="11">
        <v>155462.18</v>
      </c>
      <c r="G288" s="11">
        <v>60581</v>
      </c>
      <c r="H288" s="11">
        <v>94881.18</v>
      </c>
    </row>
    <row r="289" spans="2:8" x14ac:dyDescent="0.2">
      <c r="B289" s="5">
        <v>45913</v>
      </c>
      <c r="C289" t="s">
        <v>110</v>
      </c>
      <c r="D289" s="11">
        <v>42016.81</v>
      </c>
      <c r="E289" s="11">
        <v>1</v>
      </c>
      <c r="F289" s="11">
        <v>42016.81</v>
      </c>
      <c r="G289" s="11">
        <v>11740</v>
      </c>
      <c r="H289" s="11">
        <v>30276.81</v>
      </c>
    </row>
    <row r="290" spans="2:8" x14ac:dyDescent="0.2">
      <c r="B290" s="5">
        <v>45914</v>
      </c>
      <c r="C290" t="s">
        <v>1726</v>
      </c>
      <c r="D290" s="11">
        <v>7145378.2199999997</v>
      </c>
      <c r="E290" s="11">
        <v>67</v>
      </c>
      <c r="F290" s="11">
        <v>106647.436</v>
      </c>
      <c r="G290" s="11">
        <v>1695354</v>
      </c>
      <c r="H290" s="11">
        <v>5434898.1600000001</v>
      </c>
    </row>
    <row r="291" spans="2:8" x14ac:dyDescent="0.2">
      <c r="B291" s="5">
        <v>45914</v>
      </c>
      <c r="C291" t="s">
        <v>112</v>
      </c>
      <c r="D291" s="11">
        <v>651260.51</v>
      </c>
      <c r="E291" s="11">
        <v>4</v>
      </c>
      <c r="F291" s="11">
        <v>162815.12700000001</v>
      </c>
      <c r="G291" s="11">
        <v>172761</v>
      </c>
      <c r="H291" s="11">
        <v>478499.51</v>
      </c>
    </row>
    <row r="292" spans="2:8" x14ac:dyDescent="0.2">
      <c r="B292" s="5">
        <v>45914</v>
      </c>
      <c r="C292" t="s">
        <v>109</v>
      </c>
      <c r="D292" s="11">
        <v>472689.08</v>
      </c>
      <c r="E292" s="11">
        <v>6</v>
      </c>
      <c r="F292" s="11">
        <v>78781.513000000006</v>
      </c>
      <c r="G292" s="11">
        <v>117432</v>
      </c>
      <c r="H292" s="11">
        <v>355257.08</v>
      </c>
    </row>
    <row r="293" spans="2:8" x14ac:dyDescent="0.2">
      <c r="B293" s="5">
        <v>45914</v>
      </c>
      <c r="C293" t="s">
        <v>110</v>
      </c>
      <c r="D293" s="11">
        <v>46218.49</v>
      </c>
      <c r="E293" s="11">
        <v>1</v>
      </c>
      <c r="F293" s="11">
        <v>46218.49</v>
      </c>
      <c r="G293" s="11">
        <v>9739</v>
      </c>
      <c r="H293" s="11">
        <v>36479.49</v>
      </c>
    </row>
    <row r="294" spans="2:8" x14ac:dyDescent="0.2">
      <c r="B294" s="5">
        <v>45915</v>
      </c>
      <c r="C294" t="s">
        <v>109</v>
      </c>
      <c r="D294" s="11">
        <v>1008403.37</v>
      </c>
      <c r="E294" s="11">
        <v>7</v>
      </c>
      <c r="F294" s="11">
        <v>144057.62400000001</v>
      </c>
      <c r="G294" s="11">
        <v>290452</v>
      </c>
      <c r="H294" s="11">
        <v>633917.76</v>
      </c>
    </row>
    <row r="295" spans="2:8" x14ac:dyDescent="0.2">
      <c r="B295" s="5">
        <v>45915</v>
      </c>
      <c r="C295" t="s">
        <v>112</v>
      </c>
      <c r="D295" s="11">
        <v>248865.54</v>
      </c>
      <c r="E295" s="11">
        <v>3</v>
      </c>
      <c r="F295" s="11">
        <v>78431.37</v>
      </c>
      <c r="G295" s="11">
        <v>42507</v>
      </c>
      <c r="H295" s="11">
        <v>121358.54</v>
      </c>
    </row>
    <row r="296" spans="2:8" x14ac:dyDescent="0.2">
      <c r="B296" s="5">
        <v>45915</v>
      </c>
      <c r="C296" t="s">
        <v>1726</v>
      </c>
      <c r="D296" s="11">
        <v>64705.87</v>
      </c>
      <c r="E296" s="11">
        <v>1</v>
      </c>
      <c r="F296" s="11">
        <v>79831.929999999993</v>
      </c>
      <c r="G296" s="11">
        <v>19675</v>
      </c>
      <c r="H296" s="11">
        <v>60156.93</v>
      </c>
    </row>
    <row r="297" spans="2:8" x14ac:dyDescent="0.2">
      <c r="B297" s="5">
        <v>45915</v>
      </c>
      <c r="C297" t="s">
        <v>110</v>
      </c>
      <c r="D297" s="11">
        <v>46218.49</v>
      </c>
      <c r="E297" s="11">
        <v>1</v>
      </c>
      <c r="F297" s="11">
        <v>46218.49</v>
      </c>
      <c r="G297" s="11">
        <v>9855</v>
      </c>
      <c r="H297" s="11">
        <v>36363.49</v>
      </c>
    </row>
    <row r="298" spans="2:8" x14ac:dyDescent="0.2">
      <c r="B298" s="5">
        <v>45916</v>
      </c>
      <c r="C298" t="s">
        <v>109</v>
      </c>
      <c r="D298" s="11">
        <v>1614966.4</v>
      </c>
      <c r="E298" s="11">
        <v>16</v>
      </c>
      <c r="F298" s="11">
        <v>100935.4</v>
      </c>
      <c r="G298" s="11">
        <v>484881</v>
      </c>
      <c r="H298" s="11">
        <v>1125463.55</v>
      </c>
    </row>
    <row r="299" spans="2:8" x14ac:dyDescent="0.2">
      <c r="B299" s="5">
        <v>45916</v>
      </c>
      <c r="C299" t="s">
        <v>112</v>
      </c>
      <c r="D299" s="11">
        <v>1121848.74</v>
      </c>
      <c r="E299" s="11">
        <v>8</v>
      </c>
      <c r="F299" s="11">
        <v>140231.092</v>
      </c>
      <c r="G299" s="11">
        <v>346803</v>
      </c>
      <c r="H299" s="11">
        <v>775045.74</v>
      </c>
    </row>
    <row r="300" spans="2:8" x14ac:dyDescent="0.2">
      <c r="B300" s="5">
        <v>45916</v>
      </c>
      <c r="C300" t="s">
        <v>1726</v>
      </c>
      <c r="D300" s="11">
        <v>0</v>
      </c>
      <c r="E300" s="11">
        <v>0</v>
      </c>
      <c r="F300" s="11"/>
      <c r="G300" s="11">
        <v>0</v>
      </c>
      <c r="H300" s="11">
        <v>0</v>
      </c>
    </row>
    <row r="301" spans="2:8" x14ac:dyDescent="0.2">
      <c r="B301" s="5">
        <v>45917</v>
      </c>
      <c r="C301" t="s">
        <v>109</v>
      </c>
      <c r="D301" s="11">
        <v>833613.45</v>
      </c>
      <c r="E301" s="11">
        <v>5</v>
      </c>
      <c r="F301" s="11">
        <v>104537.81600000001</v>
      </c>
      <c r="G301" s="11">
        <v>274400</v>
      </c>
      <c r="H301" s="11">
        <v>559213.44999999995</v>
      </c>
    </row>
    <row r="302" spans="2:8" x14ac:dyDescent="0.2">
      <c r="B302" s="5">
        <v>45917</v>
      </c>
      <c r="C302" t="s">
        <v>112</v>
      </c>
      <c r="D302" s="11">
        <v>109243.7</v>
      </c>
      <c r="E302" s="11">
        <v>1</v>
      </c>
      <c r="F302" s="11">
        <v>109243.7</v>
      </c>
      <c r="G302" s="11">
        <v>25570</v>
      </c>
      <c r="H302" s="11">
        <v>83673.7</v>
      </c>
    </row>
    <row r="303" spans="2:8" x14ac:dyDescent="0.2">
      <c r="B303" s="5">
        <v>45917</v>
      </c>
      <c r="C303" t="s">
        <v>110</v>
      </c>
      <c r="D303" s="11">
        <v>92436.97</v>
      </c>
      <c r="E303" s="11">
        <v>1</v>
      </c>
      <c r="F303" s="11">
        <v>92436.97</v>
      </c>
      <c r="G303" s="11">
        <v>19710</v>
      </c>
      <c r="H303" s="11">
        <v>72726.97</v>
      </c>
    </row>
    <row r="304" spans="2:8" x14ac:dyDescent="0.2">
      <c r="B304" s="5">
        <v>45918</v>
      </c>
      <c r="C304" t="s">
        <v>109</v>
      </c>
      <c r="D304" s="11">
        <v>2529420.16</v>
      </c>
      <c r="E304" s="11">
        <v>15</v>
      </c>
      <c r="F304" s="11">
        <v>163025.76999999999</v>
      </c>
      <c r="G304" s="11">
        <v>697037</v>
      </c>
      <c r="H304" s="11">
        <v>1555072.24</v>
      </c>
    </row>
    <row r="305" spans="2:8" x14ac:dyDescent="0.2">
      <c r="B305" s="5">
        <v>45918</v>
      </c>
      <c r="C305" t="s">
        <v>1739</v>
      </c>
      <c r="D305" s="11">
        <v>294117.65000000002</v>
      </c>
      <c r="E305" s="11">
        <v>1</v>
      </c>
      <c r="F305" s="11">
        <v>294117.65000000002</v>
      </c>
      <c r="G305" s="11">
        <v>94305</v>
      </c>
      <c r="H305" s="11">
        <v>199812.65</v>
      </c>
    </row>
    <row r="306" spans="2:8" x14ac:dyDescent="0.2">
      <c r="B306" s="5">
        <v>45918</v>
      </c>
      <c r="C306" t="s">
        <v>112</v>
      </c>
      <c r="D306" s="11">
        <v>256302.52</v>
      </c>
      <c r="E306" s="11">
        <v>3</v>
      </c>
      <c r="F306" s="11">
        <v>85434.172999999995</v>
      </c>
      <c r="G306" s="11">
        <v>73213</v>
      </c>
      <c r="H306" s="11">
        <v>183089.52</v>
      </c>
    </row>
    <row r="307" spans="2:8" x14ac:dyDescent="0.2">
      <c r="B307" s="5">
        <v>45918</v>
      </c>
      <c r="C307" t="s">
        <v>110</v>
      </c>
      <c r="D307" s="11">
        <v>54621.85</v>
      </c>
      <c r="E307" s="11">
        <v>1</v>
      </c>
      <c r="F307" s="11">
        <v>54621.85</v>
      </c>
      <c r="G307" s="11">
        <v>12099</v>
      </c>
      <c r="H307" s="11">
        <v>42522.85</v>
      </c>
    </row>
    <row r="308" spans="2:8" x14ac:dyDescent="0.2">
      <c r="B308" s="5">
        <v>45919</v>
      </c>
      <c r="C308" t="s">
        <v>109</v>
      </c>
      <c r="D308" s="11">
        <v>2717226.89</v>
      </c>
      <c r="E308" s="11">
        <v>17</v>
      </c>
      <c r="F308" s="11">
        <v>159836.875</v>
      </c>
      <c r="G308" s="11">
        <v>797970</v>
      </c>
      <c r="H308" s="11">
        <v>1843626.64</v>
      </c>
    </row>
    <row r="309" spans="2:8" x14ac:dyDescent="0.2">
      <c r="B309" s="5">
        <v>45919</v>
      </c>
      <c r="C309" t="s">
        <v>112</v>
      </c>
      <c r="D309" s="11">
        <v>1376890.75</v>
      </c>
      <c r="E309" s="11">
        <v>7</v>
      </c>
      <c r="F309" s="11">
        <v>196698.67800000001</v>
      </c>
      <c r="G309" s="11">
        <v>420900</v>
      </c>
      <c r="H309" s="11">
        <v>955990.75</v>
      </c>
    </row>
    <row r="310" spans="2:8" x14ac:dyDescent="0.2">
      <c r="B310" s="5">
        <v>45919</v>
      </c>
      <c r="C310" t="s">
        <v>1739</v>
      </c>
      <c r="D310" s="11">
        <v>248739.5</v>
      </c>
      <c r="E310" s="11">
        <v>2</v>
      </c>
      <c r="F310" s="11">
        <v>124369.75</v>
      </c>
      <c r="G310" s="11">
        <v>60140</v>
      </c>
      <c r="H310" s="11">
        <v>188599.5</v>
      </c>
    </row>
    <row r="311" spans="2:8" x14ac:dyDescent="0.2">
      <c r="B311" s="5">
        <v>45919</v>
      </c>
      <c r="C311" t="s">
        <v>110</v>
      </c>
      <c r="D311" s="11">
        <v>46218.49</v>
      </c>
      <c r="E311" s="11">
        <v>1</v>
      </c>
      <c r="F311" s="11">
        <v>46218.49</v>
      </c>
      <c r="G311" s="11">
        <v>9855</v>
      </c>
      <c r="H311" s="11">
        <v>36363.49</v>
      </c>
    </row>
    <row r="312" spans="2:8" x14ac:dyDescent="0.2">
      <c r="B312" s="5">
        <v>45920</v>
      </c>
      <c r="C312" t="s">
        <v>109</v>
      </c>
      <c r="D312" s="11">
        <v>2521048.87</v>
      </c>
      <c r="E312" s="11">
        <v>15</v>
      </c>
      <c r="F312" s="11">
        <v>168069.924</v>
      </c>
      <c r="G312" s="11">
        <v>1011373</v>
      </c>
      <c r="H312" s="11">
        <v>1433625.45</v>
      </c>
    </row>
    <row r="313" spans="2:8" x14ac:dyDescent="0.2">
      <c r="B313" s="5">
        <v>45920</v>
      </c>
      <c r="C313" t="s">
        <v>112</v>
      </c>
      <c r="D313" s="11">
        <v>848741.5</v>
      </c>
      <c r="E313" s="11">
        <v>4</v>
      </c>
      <c r="F313" s="11">
        <v>212185.375</v>
      </c>
      <c r="G313" s="11">
        <v>259233</v>
      </c>
      <c r="H313" s="11">
        <v>589506.5</v>
      </c>
    </row>
    <row r="314" spans="2:8" x14ac:dyDescent="0.2">
      <c r="B314" s="5">
        <v>45920</v>
      </c>
      <c r="C314" t="s">
        <v>110</v>
      </c>
      <c r="D314" s="11">
        <v>138655.46</v>
      </c>
      <c r="E314" s="11">
        <v>1</v>
      </c>
      <c r="F314" s="11">
        <v>138655.46</v>
      </c>
      <c r="G314" s="11">
        <v>29565</v>
      </c>
      <c r="H314" s="11">
        <v>109090.46</v>
      </c>
    </row>
    <row r="315" spans="2:8" x14ac:dyDescent="0.2">
      <c r="B315" s="5">
        <v>45920</v>
      </c>
      <c r="C315" t="s">
        <v>1739</v>
      </c>
      <c r="D315" s="11">
        <v>92436.97</v>
      </c>
      <c r="E315" s="11">
        <v>1</v>
      </c>
      <c r="F315" s="11">
        <v>92436.97</v>
      </c>
      <c r="G315" s="11">
        <v>22375</v>
      </c>
      <c r="H315" s="11">
        <v>70061.97</v>
      </c>
    </row>
    <row r="316" spans="2:8" x14ac:dyDescent="0.2">
      <c r="B316" s="5">
        <v>45921</v>
      </c>
      <c r="C316" t="s">
        <v>109</v>
      </c>
      <c r="D316" s="11">
        <v>1032310.93</v>
      </c>
      <c r="E316" s="11">
        <v>10</v>
      </c>
      <c r="F316" s="11">
        <v>91886.554999999993</v>
      </c>
      <c r="G316" s="11">
        <v>336244</v>
      </c>
      <c r="H316" s="11">
        <v>615016.51</v>
      </c>
    </row>
    <row r="317" spans="2:8" x14ac:dyDescent="0.2">
      <c r="B317" s="5">
        <v>45921</v>
      </c>
      <c r="C317" t="s">
        <v>112</v>
      </c>
      <c r="D317" s="11">
        <v>781512.61</v>
      </c>
      <c r="E317" s="11">
        <v>4</v>
      </c>
      <c r="F317" s="11">
        <v>195378.152</v>
      </c>
      <c r="G317" s="11">
        <v>274857</v>
      </c>
      <c r="H317" s="11">
        <v>506655.61</v>
      </c>
    </row>
    <row r="318" spans="2:8" x14ac:dyDescent="0.2">
      <c r="B318" s="5">
        <v>45921</v>
      </c>
      <c r="C318" t="s">
        <v>110</v>
      </c>
      <c r="D318" s="11">
        <v>84033.61</v>
      </c>
      <c r="E318" s="11">
        <v>1</v>
      </c>
      <c r="F318" s="11">
        <v>84033.61</v>
      </c>
      <c r="G318" s="11">
        <v>29142</v>
      </c>
      <c r="H318" s="11">
        <v>54891.61</v>
      </c>
    </row>
    <row r="319" spans="2:8" x14ac:dyDescent="0.2">
      <c r="B319" s="5">
        <v>45922</v>
      </c>
      <c r="C319" t="s">
        <v>109</v>
      </c>
      <c r="D319" s="11">
        <v>1970588.23</v>
      </c>
      <c r="E319" s="11">
        <v>10</v>
      </c>
      <c r="F319" s="11">
        <v>197899.15900000001</v>
      </c>
      <c r="G319" s="11">
        <v>737507</v>
      </c>
      <c r="H319" s="11">
        <v>1304509.8</v>
      </c>
    </row>
    <row r="320" spans="2:8" x14ac:dyDescent="0.2">
      <c r="B320" s="5">
        <v>45922</v>
      </c>
      <c r="C320" t="s">
        <v>112</v>
      </c>
      <c r="D320" s="11">
        <v>592016.81000000006</v>
      </c>
      <c r="E320" s="11">
        <v>6</v>
      </c>
      <c r="F320" s="11">
        <v>98669.467999999993</v>
      </c>
      <c r="G320" s="11">
        <v>177704</v>
      </c>
      <c r="H320" s="11">
        <v>414312.81</v>
      </c>
    </row>
    <row r="321" spans="2:8" x14ac:dyDescent="0.2">
      <c r="B321" s="5">
        <v>45922</v>
      </c>
      <c r="C321" t="s">
        <v>110</v>
      </c>
      <c r="D321" s="11">
        <v>46218.49</v>
      </c>
      <c r="E321" s="11">
        <v>1</v>
      </c>
      <c r="F321" s="11">
        <v>46218.49</v>
      </c>
      <c r="G321" s="11">
        <v>9855</v>
      </c>
      <c r="H321" s="11">
        <v>36363.49</v>
      </c>
    </row>
    <row r="322" spans="2:8" x14ac:dyDescent="0.2">
      <c r="B322" s="5">
        <v>45923</v>
      </c>
      <c r="C322" t="s">
        <v>109</v>
      </c>
      <c r="D322" s="11">
        <v>1898361.36</v>
      </c>
      <c r="E322" s="11">
        <v>15</v>
      </c>
      <c r="F322" s="11">
        <v>160784.31400000001</v>
      </c>
      <c r="G322" s="11">
        <v>565998</v>
      </c>
      <c r="H322" s="11">
        <v>1337363.3600000001</v>
      </c>
    </row>
    <row r="323" spans="2:8" x14ac:dyDescent="0.2">
      <c r="B323" s="5">
        <v>45923</v>
      </c>
      <c r="C323" t="s">
        <v>112</v>
      </c>
      <c r="D323" s="11">
        <v>546218.49</v>
      </c>
      <c r="E323" s="11">
        <v>3</v>
      </c>
      <c r="F323" s="11">
        <v>182072.83</v>
      </c>
      <c r="G323" s="11">
        <v>206720</v>
      </c>
      <c r="H323" s="11">
        <v>339498.49</v>
      </c>
    </row>
    <row r="324" spans="2:8" x14ac:dyDescent="0.2">
      <c r="B324" s="5">
        <v>45923</v>
      </c>
      <c r="C324" t="s">
        <v>1739</v>
      </c>
      <c r="D324" s="11">
        <v>134453.78</v>
      </c>
      <c r="E324" s="11">
        <v>1</v>
      </c>
      <c r="F324" s="11">
        <v>134453.78</v>
      </c>
      <c r="G324" s="11">
        <v>32038</v>
      </c>
      <c r="H324" s="11">
        <v>102415.78</v>
      </c>
    </row>
    <row r="325" spans="2:8" x14ac:dyDescent="0.2">
      <c r="B325" s="5">
        <v>45924</v>
      </c>
      <c r="C325" t="s">
        <v>109</v>
      </c>
      <c r="D325" s="11">
        <v>2356420.16</v>
      </c>
      <c r="E325" s="11">
        <v>15</v>
      </c>
      <c r="F325" s="11">
        <v>142528.851</v>
      </c>
      <c r="G325" s="11">
        <v>799280</v>
      </c>
      <c r="H325" s="11">
        <v>1401140.16</v>
      </c>
    </row>
    <row r="326" spans="2:8" x14ac:dyDescent="0.2">
      <c r="B326" s="5">
        <v>45924</v>
      </c>
      <c r="C326" t="s">
        <v>112</v>
      </c>
      <c r="D326" s="11">
        <v>1166512.6100000001</v>
      </c>
      <c r="E326" s="11">
        <v>3</v>
      </c>
      <c r="F326" s="11">
        <v>388837.53600000002</v>
      </c>
      <c r="G326" s="11">
        <v>355767</v>
      </c>
      <c r="H326" s="11">
        <v>810745.61</v>
      </c>
    </row>
    <row r="327" spans="2:8" x14ac:dyDescent="0.2">
      <c r="B327" s="5">
        <v>45925</v>
      </c>
      <c r="C327" t="s">
        <v>109</v>
      </c>
      <c r="D327" s="11">
        <v>3052621.87</v>
      </c>
      <c r="E327" s="11">
        <v>20</v>
      </c>
      <c r="F327" s="11">
        <v>156832.774</v>
      </c>
      <c r="G327" s="11">
        <v>1017220</v>
      </c>
      <c r="H327" s="11">
        <v>2035401.87</v>
      </c>
    </row>
    <row r="328" spans="2:8" x14ac:dyDescent="0.2">
      <c r="B328" s="5">
        <v>45925</v>
      </c>
      <c r="C328" t="s">
        <v>112</v>
      </c>
      <c r="D328" s="11">
        <v>382352.95</v>
      </c>
      <c r="E328" s="11">
        <v>3</v>
      </c>
      <c r="F328" s="11">
        <v>127450.98299999999</v>
      </c>
      <c r="G328" s="11">
        <v>84013</v>
      </c>
      <c r="H328" s="11">
        <v>298339.95</v>
      </c>
    </row>
    <row r="329" spans="2:8" x14ac:dyDescent="0.2">
      <c r="B329" s="5">
        <v>45925</v>
      </c>
      <c r="C329" t="s">
        <v>110</v>
      </c>
      <c r="D329" s="11">
        <v>71428.570000000007</v>
      </c>
      <c r="E329" s="11">
        <v>1</v>
      </c>
      <c r="F329" s="11">
        <v>71428.570000000007</v>
      </c>
      <c r="G329" s="11">
        <v>32645</v>
      </c>
      <c r="H329" s="11">
        <v>38783.57</v>
      </c>
    </row>
    <row r="330" spans="2:8" x14ac:dyDescent="0.2">
      <c r="B330" s="5">
        <v>45926</v>
      </c>
      <c r="C330" t="s">
        <v>109</v>
      </c>
      <c r="D330" s="11">
        <v>1698739.51</v>
      </c>
      <c r="E330" s="11">
        <v>13</v>
      </c>
      <c r="F330" s="11">
        <v>147478.992</v>
      </c>
      <c r="G330" s="11">
        <v>449124</v>
      </c>
      <c r="H330" s="11">
        <v>1249615.51</v>
      </c>
    </row>
    <row r="331" spans="2:8" x14ac:dyDescent="0.2">
      <c r="B331" s="5">
        <v>45926</v>
      </c>
      <c r="C331" t="s">
        <v>112</v>
      </c>
      <c r="D331" s="11">
        <v>1113446.23</v>
      </c>
      <c r="E331" s="11">
        <v>8</v>
      </c>
      <c r="F331" s="11">
        <v>139180.77799999999</v>
      </c>
      <c r="G331" s="11">
        <v>347097</v>
      </c>
      <c r="H331" s="11">
        <v>766349.23</v>
      </c>
    </row>
    <row r="332" spans="2:8" x14ac:dyDescent="0.2">
      <c r="B332" s="5">
        <v>45927</v>
      </c>
      <c r="C332" t="s">
        <v>109</v>
      </c>
      <c r="D332" s="11">
        <v>3645016.8</v>
      </c>
      <c r="E332" s="11">
        <v>24</v>
      </c>
      <c r="F332" s="11">
        <v>151875.70000000001</v>
      </c>
      <c r="G332" s="11">
        <v>1079944</v>
      </c>
      <c r="H332" s="11">
        <v>2372635.8199999998</v>
      </c>
    </row>
    <row r="333" spans="2:8" x14ac:dyDescent="0.2">
      <c r="B333" s="5">
        <v>45927</v>
      </c>
      <c r="C333" t="s">
        <v>112</v>
      </c>
      <c r="D333" s="11">
        <v>584033.62</v>
      </c>
      <c r="E333" s="11">
        <v>5</v>
      </c>
      <c r="F333" s="11">
        <v>116806.724</v>
      </c>
      <c r="G333" s="11">
        <v>161320</v>
      </c>
      <c r="H333" s="11">
        <v>422713.62</v>
      </c>
    </row>
    <row r="334" spans="2:8" x14ac:dyDescent="0.2">
      <c r="B334" s="5">
        <v>45927</v>
      </c>
      <c r="C334" t="s">
        <v>110</v>
      </c>
      <c r="D334" s="11">
        <v>46218.49</v>
      </c>
      <c r="E334" s="11">
        <v>1</v>
      </c>
      <c r="F334" s="11">
        <v>46218.49</v>
      </c>
      <c r="G334" s="11">
        <v>14611</v>
      </c>
      <c r="H334" s="11">
        <v>31607.49</v>
      </c>
    </row>
    <row r="335" spans="2:8" x14ac:dyDescent="0.2">
      <c r="B335" s="5">
        <v>45928</v>
      </c>
      <c r="C335" t="s">
        <v>109</v>
      </c>
      <c r="D335" s="11">
        <v>1666806.73</v>
      </c>
      <c r="E335" s="11">
        <v>12</v>
      </c>
      <c r="F335" s="11">
        <v>138900.56</v>
      </c>
      <c r="G335" s="11">
        <v>442120</v>
      </c>
      <c r="H335" s="11">
        <v>1149056.47</v>
      </c>
    </row>
    <row r="336" spans="2:8" x14ac:dyDescent="0.2">
      <c r="B336" s="5">
        <v>45928</v>
      </c>
      <c r="C336" t="s">
        <v>112</v>
      </c>
      <c r="D336" s="11">
        <v>533613.44999999995</v>
      </c>
      <c r="E336" s="11">
        <v>4</v>
      </c>
      <c r="F336" s="11">
        <v>133403.36199999999</v>
      </c>
      <c r="G336" s="11">
        <v>158933</v>
      </c>
      <c r="H336" s="11">
        <v>374680.45</v>
      </c>
    </row>
    <row r="337" spans="2:8" x14ac:dyDescent="0.2">
      <c r="B337" s="5">
        <v>45929</v>
      </c>
      <c r="C337" t="s">
        <v>112</v>
      </c>
      <c r="D337" s="11">
        <v>5835294.1200000001</v>
      </c>
      <c r="E337" s="11">
        <v>6</v>
      </c>
      <c r="F337" s="11">
        <v>972549.02</v>
      </c>
      <c r="G337" s="11">
        <v>1497119</v>
      </c>
      <c r="H337" s="11">
        <v>4338175.12</v>
      </c>
    </row>
    <row r="338" spans="2:8" x14ac:dyDescent="0.2">
      <c r="B338" s="5">
        <v>45929</v>
      </c>
      <c r="C338" t="s">
        <v>109</v>
      </c>
      <c r="D338" s="11">
        <v>2220588.23</v>
      </c>
      <c r="E338" s="11">
        <v>13</v>
      </c>
      <c r="F338" s="11">
        <v>361215.255</v>
      </c>
      <c r="G338" s="11">
        <v>768455</v>
      </c>
      <c r="H338" s="11">
        <v>1459696.26</v>
      </c>
    </row>
    <row r="339" spans="2:8" x14ac:dyDescent="0.2">
      <c r="B339" s="5">
        <v>45929</v>
      </c>
      <c r="C339" t="s">
        <v>110</v>
      </c>
      <c r="D339" s="11">
        <v>46218.49</v>
      </c>
      <c r="E339" s="11">
        <v>1</v>
      </c>
      <c r="F339" s="11">
        <v>46218.49</v>
      </c>
      <c r="G339" s="11">
        <v>9855</v>
      </c>
      <c r="H339" s="11">
        <v>36363.49</v>
      </c>
    </row>
    <row r="340" spans="2:8" x14ac:dyDescent="0.2">
      <c r="B340" s="5">
        <v>45930</v>
      </c>
      <c r="C340" t="s">
        <v>109</v>
      </c>
      <c r="D340" s="11">
        <v>1697226.89</v>
      </c>
      <c r="E340" s="11">
        <v>12</v>
      </c>
      <c r="F340" s="11">
        <v>141036.41399999999</v>
      </c>
      <c r="G340" s="11">
        <v>598401</v>
      </c>
      <c r="H340" s="11">
        <v>972775.47</v>
      </c>
    </row>
    <row r="341" spans="2:8" x14ac:dyDescent="0.2">
      <c r="B341" s="5">
        <v>45930</v>
      </c>
      <c r="C341" t="s">
        <v>112</v>
      </c>
      <c r="D341" s="11">
        <v>1628571.43</v>
      </c>
      <c r="E341" s="11">
        <v>5</v>
      </c>
      <c r="F341" s="11">
        <v>325714.28600000002</v>
      </c>
      <c r="G341" s="11">
        <v>399585</v>
      </c>
      <c r="H341" s="11">
        <v>1228986.43</v>
      </c>
    </row>
    <row r="342" spans="2:8" x14ac:dyDescent="0.2">
      <c r="B342" s="5">
        <v>45930</v>
      </c>
      <c r="C342" t="s">
        <v>110</v>
      </c>
      <c r="D342" s="11">
        <v>319327.74</v>
      </c>
      <c r="E342" s="11">
        <v>3</v>
      </c>
      <c r="F342" s="11">
        <v>106442.58</v>
      </c>
      <c r="G342" s="11">
        <v>89381</v>
      </c>
      <c r="H342" s="11">
        <v>229946.74</v>
      </c>
    </row>
    <row r="343" spans="2:8" x14ac:dyDescent="0.2">
      <c r="B343" s="5">
        <v>45930</v>
      </c>
      <c r="C343" t="s">
        <v>1739</v>
      </c>
      <c r="D343" s="11">
        <v>75630.25</v>
      </c>
      <c r="E343" s="11">
        <v>1</v>
      </c>
      <c r="F343" s="11">
        <v>75630.25</v>
      </c>
      <c r="G343" s="11">
        <v>16751</v>
      </c>
      <c r="H343" s="11">
        <v>58879.25</v>
      </c>
    </row>
    <row r="344" spans="2:8" x14ac:dyDescent="0.2">
      <c r="B344" s="5">
        <v>45931</v>
      </c>
      <c r="C344" t="s">
        <v>109</v>
      </c>
      <c r="D344" s="11">
        <v>1823823.54</v>
      </c>
      <c r="E344" s="11">
        <v>18</v>
      </c>
      <c r="F344" s="11">
        <v>96888.422000000006</v>
      </c>
      <c r="G344" s="11">
        <v>528727</v>
      </c>
      <c r="H344" s="11">
        <v>1295096.54</v>
      </c>
    </row>
    <row r="345" spans="2:8" x14ac:dyDescent="0.2">
      <c r="B345" s="5">
        <v>45931</v>
      </c>
      <c r="C345" t="s">
        <v>108</v>
      </c>
      <c r="D345" s="11">
        <v>1168749.58</v>
      </c>
      <c r="E345" s="11">
        <v>1</v>
      </c>
      <c r="F345" s="11">
        <v>1168749.58</v>
      </c>
      <c r="G345" s="11">
        <v>380205</v>
      </c>
      <c r="H345" s="11">
        <v>788544.58</v>
      </c>
    </row>
    <row r="346" spans="2:8" x14ac:dyDescent="0.2">
      <c r="B346" s="5">
        <v>45931</v>
      </c>
      <c r="C346" t="s">
        <v>112</v>
      </c>
      <c r="D346" s="11">
        <v>907563.03</v>
      </c>
      <c r="E346" s="11">
        <v>1</v>
      </c>
      <c r="F346" s="11">
        <v>907563.03</v>
      </c>
      <c r="G346" s="11">
        <v>180000</v>
      </c>
      <c r="H346" s="11">
        <v>727563.03</v>
      </c>
    </row>
    <row r="347" spans="2:8" x14ac:dyDescent="0.2">
      <c r="B347" s="5">
        <v>45932</v>
      </c>
      <c r="C347" t="s">
        <v>109</v>
      </c>
      <c r="D347" s="11">
        <v>1129411.76</v>
      </c>
      <c r="E347" s="11">
        <v>10</v>
      </c>
      <c r="F347" s="11">
        <v>112941.17600000001</v>
      </c>
      <c r="G347" s="11">
        <v>300153</v>
      </c>
      <c r="H347" s="11">
        <v>829258.76</v>
      </c>
    </row>
    <row r="348" spans="2:8" x14ac:dyDescent="0.2">
      <c r="B348" s="5">
        <v>45932</v>
      </c>
      <c r="C348" t="s">
        <v>1739</v>
      </c>
      <c r="D348" s="11">
        <v>46218.49</v>
      </c>
      <c r="E348" s="11">
        <v>1</v>
      </c>
      <c r="F348" s="11">
        <v>46218.49</v>
      </c>
      <c r="G348" s="11">
        <v>14611</v>
      </c>
      <c r="H348" s="11">
        <v>31607.49</v>
      </c>
    </row>
    <row r="349" spans="2:8" x14ac:dyDescent="0.2">
      <c r="B349" s="5">
        <v>45933</v>
      </c>
      <c r="C349" t="s">
        <v>109</v>
      </c>
      <c r="D349" s="11">
        <v>2092436.98</v>
      </c>
      <c r="E349" s="11">
        <v>16</v>
      </c>
      <c r="F349" s="11">
        <v>130777.311</v>
      </c>
      <c r="G349" s="11">
        <v>644756</v>
      </c>
      <c r="H349" s="11">
        <v>1288017.1100000001</v>
      </c>
    </row>
    <row r="350" spans="2:8" x14ac:dyDescent="0.2">
      <c r="B350" s="5">
        <v>45933</v>
      </c>
      <c r="C350" t="s">
        <v>112</v>
      </c>
      <c r="D350" s="11">
        <v>315126.05</v>
      </c>
      <c r="E350" s="11">
        <v>2</v>
      </c>
      <c r="F350" s="11">
        <v>157563.02499999999</v>
      </c>
      <c r="G350" s="11">
        <v>82230</v>
      </c>
      <c r="H350" s="11">
        <v>232896.05</v>
      </c>
    </row>
    <row r="351" spans="2:8" x14ac:dyDescent="0.2">
      <c r="B351" s="5">
        <v>45933</v>
      </c>
      <c r="C351" t="s">
        <v>110</v>
      </c>
      <c r="D351" s="11">
        <v>54621.85</v>
      </c>
      <c r="E351" s="11">
        <v>1</v>
      </c>
      <c r="F351" s="11">
        <v>54621.85</v>
      </c>
      <c r="G351" s="11">
        <v>12099</v>
      </c>
      <c r="H351" s="11">
        <v>42522.85</v>
      </c>
    </row>
    <row r="352" spans="2:8" x14ac:dyDescent="0.2">
      <c r="B352" s="5">
        <v>45934</v>
      </c>
      <c r="C352" t="s">
        <v>109</v>
      </c>
      <c r="D352" s="11">
        <v>2150420.1800000002</v>
      </c>
      <c r="E352" s="11">
        <v>11</v>
      </c>
      <c r="F352" s="11">
        <v>191291.06200000001</v>
      </c>
      <c r="G352" s="11">
        <v>573397</v>
      </c>
      <c r="H352" s="11">
        <v>1547611.42</v>
      </c>
    </row>
    <row r="353" spans="2:8" x14ac:dyDescent="0.2">
      <c r="B353" s="5">
        <v>45935</v>
      </c>
      <c r="C353" t="s">
        <v>109</v>
      </c>
      <c r="D353" s="11">
        <v>1356008.4</v>
      </c>
      <c r="E353" s="11">
        <v>11</v>
      </c>
      <c r="F353" s="11">
        <v>123273.49</v>
      </c>
      <c r="G353" s="11">
        <v>404094</v>
      </c>
      <c r="H353" s="11">
        <v>951914.4</v>
      </c>
    </row>
    <row r="354" spans="2:8" x14ac:dyDescent="0.2">
      <c r="B354" s="5">
        <v>45935</v>
      </c>
      <c r="C354" t="s">
        <v>112</v>
      </c>
      <c r="D354" s="11">
        <v>525210.07999999996</v>
      </c>
      <c r="E354" s="11">
        <v>3</v>
      </c>
      <c r="F354" s="11">
        <v>175070.02600000001</v>
      </c>
      <c r="G354" s="11">
        <v>146628</v>
      </c>
      <c r="H354" s="11">
        <v>378582.08</v>
      </c>
    </row>
    <row r="355" spans="2:8" x14ac:dyDescent="0.2">
      <c r="B355" s="5">
        <v>45936</v>
      </c>
      <c r="C355" t="s">
        <v>109</v>
      </c>
      <c r="D355" s="11">
        <v>1645379.14</v>
      </c>
      <c r="E355" s="11">
        <v>14</v>
      </c>
      <c r="F355" s="11">
        <v>117527.08100000001</v>
      </c>
      <c r="G355" s="11">
        <v>539943</v>
      </c>
      <c r="H355" s="11">
        <v>1105435.1399999999</v>
      </c>
    </row>
    <row r="356" spans="2:8" x14ac:dyDescent="0.2">
      <c r="B356" s="5">
        <v>45936</v>
      </c>
      <c r="C356" t="s">
        <v>108</v>
      </c>
      <c r="D356" s="11">
        <v>1607142.86</v>
      </c>
      <c r="E356" s="11">
        <v>1</v>
      </c>
      <c r="F356" s="11">
        <v>1607142.86</v>
      </c>
      <c r="G356" s="11">
        <v>0</v>
      </c>
      <c r="H356" s="11">
        <v>0</v>
      </c>
    </row>
    <row r="357" spans="2:8" x14ac:dyDescent="0.2">
      <c r="B357" s="5">
        <v>45936</v>
      </c>
      <c r="C357" t="s">
        <v>112</v>
      </c>
      <c r="D357" s="11">
        <v>487394.96</v>
      </c>
      <c r="E357" s="11">
        <v>4</v>
      </c>
      <c r="F357" s="11">
        <v>121848.74</v>
      </c>
      <c r="G357" s="11">
        <v>137492</v>
      </c>
      <c r="H357" s="11">
        <v>349902.96</v>
      </c>
    </row>
    <row r="358" spans="2:8" x14ac:dyDescent="0.2">
      <c r="B358" s="5">
        <v>45936</v>
      </c>
      <c r="C358" t="s">
        <v>110</v>
      </c>
      <c r="D358" s="11">
        <v>54621.85</v>
      </c>
      <c r="E358" s="11">
        <v>1</v>
      </c>
      <c r="F358" s="11">
        <v>54621.85</v>
      </c>
      <c r="G358" s="11">
        <v>12099</v>
      </c>
      <c r="H358" s="11">
        <v>42522.85</v>
      </c>
    </row>
    <row r="359" spans="2:8" x14ac:dyDescent="0.2">
      <c r="B359" s="5">
        <v>45937</v>
      </c>
      <c r="C359" t="s">
        <v>109</v>
      </c>
      <c r="D359" s="11">
        <v>799999.99</v>
      </c>
      <c r="E359" s="11">
        <v>7</v>
      </c>
      <c r="F359" s="11">
        <v>109723.88800000001</v>
      </c>
      <c r="G359" s="11">
        <v>210230</v>
      </c>
      <c r="H359" s="11">
        <v>589769.99</v>
      </c>
    </row>
    <row r="360" spans="2:8" x14ac:dyDescent="0.2">
      <c r="B360" s="5">
        <v>45937</v>
      </c>
      <c r="C360" t="s">
        <v>112</v>
      </c>
      <c r="D360" s="11">
        <v>340336.14</v>
      </c>
      <c r="E360" s="11">
        <v>3</v>
      </c>
      <c r="F360" s="11">
        <v>113445.38</v>
      </c>
      <c r="G360" s="11">
        <v>117247</v>
      </c>
      <c r="H360" s="11">
        <v>223089.14</v>
      </c>
    </row>
    <row r="361" spans="2:8" x14ac:dyDescent="0.2">
      <c r="B361" s="5">
        <v>45937</v>
      </c>
      <c r="C361" t="s">
        <v>1739</v>
      </c>
      <c r="D361" s="11">
        <v>163865.54999999999</v>
      </c>
      <c r="E361" s="11">
        <v>1</v>
      </c>
      <c r="F361" s="11">
        <v>163865.54999999999</v>
      </c>
      <c r="G361" s="11">
        <v>38355</v>
      </c>
      <c r="H361" s="11">
        <v>125510.55</v>
      </c>
    </row>
    <row r="362" spans="2:8" x14ac:dyDescent="0.2">
      <c r="B362" s="5">
        <v>45937</v>
      </c>
      <c r="C362" t="s">
        <v>110</v>
      </c>
      <c r="D362" s="11">
        <v>121848.74</v>
      </c>
      <c r="E362" s="11">
        <v>1</v>
      </c>
      <c r="F362" s="11">
        <v>121848.74</v>
      </c>
      <c r="G362" s="11">
        <v>37385</v>
      </c>
      <c r="H362" s="11">
        <v>84463.74</v>
      </c>
    </row>
    <row r="363" spans="2:8" x14ac:dyDescent="0.2">
      <c r="B363" s="5">
        <v>45938</v>
      </c>
      <c r="C363" t="s">
        <v>112</v>
      </c>
      <c r="D363" s="11">
        <v>700462.19</v>
      </c>
      <c r="E363" s="11">
        <v>6</v>
      </c>
      <c r="F363" s="11">
        <v>116743.698</v>
      </c>
      <c r="G363" s="11">
        <v>236221</v>
      </c>
      <c r="H363" s="11">
        <v>464241.19</v>
      </c>
    </row>
    <row r="364" spans="2:8" x14ac:dyDescent="0.2">
      <c r="B364" s="5">
        <v>45938</v>
      </c>
      <c r="C364" t="s">
        <v>109</v>
      </c>
      <c r="D364" s="11">
        <v>676638.65</v>
      </c>
      <c r="E364" s="11">
        <v>8</v>
      </c>
      <c r="F364" s="11">
        <v>80829.831000000006</v>
      </c>
      <c r="G364" s="11">
        <v>177572</v>
      </c>
      <c r="H364" s="11">
        <v>499066.65</v>
      </c>
    </row>
    <row r="365" spans="2:8" x14ac:dyDescent="0.2">
      <c r="B365" s="5">
        <v>45939</v>
      </c>
      <c r="C365" t="s">
        <v>109</v>
      </c>
      <c r="D365" s="11">
        <v>1950588.24</v>
      </c>
      <c r="E365" s="11">
        <v>13</v>
      </c>
      <c r="F365" s="11">
        <v>150045.24900000001</v>
      </c>
      <c r="G365" s="11">
        <v>602054</v>
      </c>
      <c r="H365" s="11">
        <v>1348534.24</v>
      </c>
    </row>
    <row r="366" spans="2:8" x14ac:dyDescent="0.2">
      <c r="B366" s="5">
        <v>45939</v>
      </c>
      <c r="C366" t="s">
        <v>110</v>
      </c>
      <c r="D366" s="11">
        <v>151260.51</v>
      </c>
      <c r="E366" s="11">
        <v>3</v>
      </c>
      <c r="F366" s="11">
        <v>50420.17</v>
      </c>
      <c r="G366" s="11">
        <v>38769</v>
      </c>
      <c r="H366" s="11">
        <v>112491.51</v>
      </c>
    </row>
    <row r="367" spans="2:8" x14ac:dyDescent="0.2">
      <c r="B367" s="5">
        <v>45939</v>
      </c>
      <c r="C367" t="s">
        <v>112</v>
      </c>
      <c r="D367" s="11">
        <v>134454.62</v>
      </c>
      <c r="E367" s="11">
        <v>3</v>
      </c>
      <c r="F367" s="11">
        <v>44818.205999999998</v>
      </c>
      <c r="G367" s="11">
        <v>37785</v>
      </c>
      <c r="H367" s="11">
        <v>96668.78</v>
      </c>
    </row>
    <row r="368" spans="2:8" x14ac:dyDescent="0.2">
      <c r="B368" s="5">
        <v>45940</v>
      </c>
      <c r="C368" t="s">
        <v>112</v>
      </c>
      <c r="D368" s="11">
        <v>1978991.6</v>
      </c>
      <c r="E368" s="11">
        <v>3</v>
      </c>
      <c r="F368" s="11">
        <v>659663.86600000004</v>
      </c>
      <c r="G368" s="11">
        <v>652457</v>
      </c>
      <c r="H368" s="11">
        <v>1326534.6000000001</v>
      </c>
    </row>
    <row r="369" spans="2:8" x14ac:dyDescent="0.2">
      <c r="B369" s="5">
        <v>45940</v>
      </c>
      <c r="C369" t="s">
        <v>109</v>
      </c>
      <c r="D369" s="11">
        <v>1937369.74</v>
      </c>
      <c r="E369" s="11">
        <v>11</v>
      </c>
      <c r="F369" s="11">
        <v>176124.52100000001</v>
      </c>
      <c r="G369" s="11">
        <v>719590</v>
      </c>
      <c r="H369" s="11">
        <v>1213157.8899999999</v>
      </c>
    </row>
    <row r="370" spans="2:8" x14ac:dyDescent="0.2">
      <c r="B370" s="5">
        <v>45940</v>
      </c>
      <c r="C370" t="s">
        <v>110</v>
      </c>
      <c r="D370" s="11">
        <v>96638.66</v>
      </c>
      <c r="E370" s="11">
        <v>2</v>
      </c>
      <c r="F370" s="11">
        <v>48319.33</v>
      </c>
      <c r="G370" s="11">
        <v>26670</v>
      </c>
      <c r="H370" s="11">
        <v>69968.66</v>
      </c>
    </row>
    <row r="371" spans="2:8" x14ac:dyDescent="0.2">
      <c r="B371" s="5">
        <v>45940</v>
      </c>
      <c r="C371" t="s">
        <v>1739</v>
      </c>
      <c r="D371" s="11">
        <v>54621.85</v>
      </c>
      <c r="E371" s="11">
        <v>1</v>
      </c>
      <c r="F371" s="11">
        <v>54621.85</v>
      </c>
      <c r="G371" s="11">
        <v>12099</v>
      </c>
      <c r="H371" s="11">
        <v>42522.85</v>
      </c>
    </row>
    <row r="372" spans="2:8" x14ac:dyDescent="0.2">
      <c r="B372" s="5">
        <v>45941</v>
      </c>
      <c r="C372" t="s">
        <v>109</v>
      </c>
      <c r="D372" s="11">
        <v>1334873.95</v>
      </c>
      <c r="E372" s="11">
        <v>13</v>
      </c>
      <c r="F372" s="11">
        <v>102682.611</v>
      </c>
      <c r="G372" s="11">
        <v>494453</v>
      </c>
      <c r="H372" s="11">
        <v>840420.95</v>
      </c>
    </row>
    <row r="373" spans="2:8" x14ac:dyDescent="0.2">
      <c r="B373" s="5">
        <v>45942</v>
      </c>
      <c r="C373" t="s">
        <v>109</v>
      </c>
      <c r="D373" s="11">
        <v>1579319.33</v>
      </c>
      <c r="E373" s="11">
        <v>17</v>
      </c>
      <c r="F373" s="11">
        <v>92901.137000000002</v>
      </c>
      <c r="G373" s="11">
        <v>585162</v>
      </c>
      <c r="H373" s="11">
        <v>964745.57</v>
      </c>
    </row>
    <row r="374" spans="2:8" x14ac:dyDescent="0.2">
      <c r="B374" s="5">
        <v>45942</v>
      </c>
      <c r="C374" t="s">
        <v>112</v>
      </c>
      <c r="D374" s="11">
        <v>1172269.9099999999</v>
      </c>
      <c r="E374" s="11">
        <v>5</v>
      </c>
      <c r="F374" s="11">
        <v>234453.98199999999</v>
      </c>
      <c r="G374" s="11">
        <v>397196</v>
      </c>
      <c r="H374" s="11">
        <v>775072.91</v>
      </c>
    </row>
    <row r="375" spans="2:8" x14ac:dyDescent="0.2">
      <c r="B375" s="5">
        <v>45943</v>
      </c>
      <c r="C375" t="s">
        <v>109</v>
      </c>
      <c r="D375" s="11">
        <v>936974.8</v>
      </c>
      <c r="E375" s="11">
        <v>6</v>
      </c>
      <c r="F375" s="11">
        <v>156162.46599999999</v>
      </c>
      <c r="G375" s="11">
        <v>405688</v>
      </c>
      <c r="H375" s="11">
        <v>501875.04</v>
      </c>
    </row>
    <row r="376" spans="2:8" x14ac:dyDescent="0.2">
      <c r="B376" s="5">
        <v>45943</v>
      </c>
      <c r="C376" t="s">
        <v>112</v>
      </c>
      <c r="D376" s="11">
        <v>638235.29</v>
      </c>
      <c r="E376" s="11">
        <v>3</v>
      </c>
      <c r="F376" s="11">
        <v>212745.09599999999</v>
      </c>
      <c r="G376" s="11">
        <v>124692</v>
      </c>
      <c r="H376" s="11">
        <v>345476.06</v>
      </c>
    </row>
    <row r="377" spans="2:8" x14ac:dyDescent="0.2">
      <c r="B377" s="5">
        <v>45944</v>
      </c>
      <c r="C377" t="s">
        <v>109</v>
      </c>
      <c r="D377" s="11">
        <v>1271857.1399999999</v>
      </c>
      <c r="E377" s="11">
        <v>11</v>
      </c>
      <c r="F377" s="11">
        <v>115623.376</v>
      </c>
      <c r="G377" s="11">
        <v>585174</v>
      </c>
      <c r="H377" s="11">
        <v>682061.29</v>
      </c>
    </row>
    <row r="378" spans="2:8" x14ac:dyDescent="0.2">
      <c r="B378" s="5">
        <v>45944</v>
      </c>
      <c r="C378" t="s">
        <v>112</v>
      </c>
      <c r="D378" s="11">
        <v>907563.03</v>
      </c>
      <c r="E378" s="11">
        <v>3</v>
      </c>
      <c r="F378" s="11">
        <v>302521.01</v>
      </c>
      <c r="G378" s="11">
        <v>284635</v>
      </c>
      <c r="H378" s="11">
        <v>622928.03</v>
      </c>
    </row>
    <row r="379" spans="2:8" x14ac:dyDescent="0.2">
      <c r="B379" s="5">
        <v>45945</v>
      </c>
      <c r="C379" t="s">
        <v>109</v>
      </c>
      <c r="D379" s="11">
        <v>1773025.22</v>
      </c>
      <c r="E379" s="11">
        <v>14</v>
      </c>
      <c r="F379" s="11">
        <v>124501.80100000001</v>
      </c>
      <c r="G379" s="11">
        <v>575656</v>
      </c>
      <c r="H379" s="11">
        <v>1197369.22</v>
      </c>
    </row>
    <row r="380" spans="2:8" x14ac:dyDescent="0.2">
      <c r="B380" s="5">
        <v>45945</v>
      </c>
      <c r="C380" t="s">
        <v>112</v>
      </c>
      <c r="D380" s="11">
        <v>1583369.75</v>
      </c>
      <c r="E380" s="11">
        <v>8</v>
      </c>
      <c r="F380" s="11">
        <v>197921.21799999999</v>
      </c>
      <c r="G380" s="11">
        <v>362078</v>
      </c>
      <c r="H380" s="11">
        <v>742964.02</v>
      </c>
    </row>
    <row r="381" spans="2:8" x14ac:dyDescent="0.2">
      <c r="B381" s="5">
        <v>45946</v>
      </c>
      <c r="C381" t="s">
        <v>108</v>
      </c>
      <c r="D381" s="11">
        <v>2500000</v>
      </c>
      <c r="E381" s="11">
        <v>1</v>
      </c>
      <c r="F381" s="11">
        <v>2500000</v>
      </c>
      <c r="G381" s="11">
        <v>943050</v>
      </c>
      <c r="H381" s="11">
        <v>1556950</v>
      </c>
    </row>
    <row r="382" spans="2:8" x14ac:dyDescent="0.2">
      <c r="B382" s="5">
        <v>45946</v>
      </c>
      <c r="C382" t="s">
        <v>112</v>
      </c>
      <c r="D382" s="11">
        <v>1790336.14</v>
      </c>
      <c r="E382" s="11">
        <v>6</v>
      </c>
      <c r="F382" s="11">
        <v>298389.35600000003</v>
      </c>
      <c r="G382" s="11">
        <v>489909</v>
      </c>
      <c r="H382" s="11">
        <v>1300427.1399999999</v>
      </c>
    </row>
    <row r="383" spans="2:8" x14ac:dyDescent="0.2">
      <c r="B383" s="5">
        <v>45946</v>
      </c>
      <c r="C383" t="s">
        <v>109</v>
      </c>
      <c r="D383" s="11">
        <v>1756302.53</v>
      </c>
      <c r="E383" s="11">
        <v>7</v>
      </c>
      <c r="F383" s="11">
        <v>250900.361</v>
      </c>
      <c r="G383" s="11">
        <v>491728</v>
      </c>
      <c r="H383" s="11">
        <v>844406.46</v>
      </c>
    </row>
    <row r="384" spans="2:8" x14ac:dyDescent="0.2">
      <c r="B384" s="5">
        <v>45946</v>
      </c>
      <c r="C384" t="s">
        <v>110</v>
      </c>
      <c r="D384" s="11">
        <v>75630.25</v>
      </c>
      <c r="E384" s="11">
        <v>1</v>
      </c>
      <c r="F384" s="11">
        <v>75630.25</v>
      </c>
      <c r="G384" s="11">
        <v>16751</v>
      </c>
      <c r="H384" s="11">
        <v>58879.25</v>
      </c>
    </row>
    <row r="385" spans="2:8" x14ac:dyDescent="0.2">
      <c r="B385" s="5">
        <v>45947</v>
      </c>
      <c r="C385" t="s">
        <v>109</v>
      </c>
      <c r="D385" s="11">
        <v>1396647.05</v>
      </c>
      <c r="E385" s="11">
        <v>9</v>
      </c>
      <c r="F385" s="11">
        <v>154249.29800000001</v>
      </c>
      <c r="G385" s="11">
        <v>393406</v>
      </c>
      <c r="H385" s="11">
        <v>844241.05</v>
      </c>
    </row>
    <row r="386" spans="2:8" x14ac:dyDescent="0.2">
      <c r="B386" s="5">
        <v>45947</v>
      </c>
      <c r="C386" t="s">
        <v>112</v>
      </c>
      <c r="D386" s="11">
        <v>368067.23</v>
      </c>
      <c r="E386" s="11">
        <v>6</v>
      </c>
      <c r="F386" s="11">
        <v>80952.380999999994</v>
      </c>
      <c r="G386" s="11">
        <v>100175</v>
      </c>
      <c r="H386" s="11">
        <v>267892.23</v>
      </c>
    </row>
    <row r="387" spans="2:8" x14ac:dyDescent="0.2">
      <c r="B387" s="5">
        <v>45947</v>
      </c>
      <c r="C387" t="s">
        <v>110</v>
      </c>
      <c r="D387" s="11">
        <v>42016.81</v>
      </c>
      <c r="E387" s="11">
        <v>1</v>
      </c>
      <c r="F387" s="11">
        <v>42016.81</v>
      </c>
      <c r="G387" s="11">
        <v>14571</v>
      </c>
      <c r="H387" s="11">
        <v>27445.81</v>
      </c>
    </row>
    <row r="388" spans="2:8" x14ac:dyDescent="0.2">
      <c r="B388" s="5">
        <v>45948</v>
      </c>
      <c r="C388" t="s">
        <v>109</v>
      </c>
      <c r="D388" s="11">
        <v>3703260.51</v>
      </c>
      <c r="E388" s="11">
        <v>20</v>
      </c>
      <c r="F388" s="11">
        <v>179910.924</v>
      </c>
      <c r="G388" s="11">
        <v>1084359</v>
      </c>
      <c r="H388" s="11">
        <v>2386867.9</v>
      </c>
    </row>
    <row r="389" spans="2:8" x14ac:dyDescent="0.2">
      <c r="B389" s="5">
        <v>45948</v>
      </c>
      <c r="C389" t="s">
        <v>110</v>
      </c>
      <c r="D389" s="11">
        <v>243697.49</v>
      </c>
      <c r="E389" s="11">
        <v>5</v>
      </c>
      <c r="F389" s="11">
        <v>48739.498</v>
      </c>
      <c r="G389" s="11">
        <v>79744</v>
      </c>
      <c r="H389" s="11">
        <v>163953.49</v>
      </c>
    </row>
    <row r="390" spans="2:8" x14ac:dyDescent="0.2">
      <c r="B390" s="5">
        <v>45949</v>
      </c>
      <c r="C390" t="s">
        <v>109</v>
      </c>
      <c r="D390" s="11">
        <v>842605.05</v>
      </c>
      <c r="E390" s="11">
        <v>10</v>
      </c>
      <c r="F390" s="11">
        <v>84260.505000000005</v>
      </c>
      <c r="G390" s="11">
        <v>285076</v>
      </c>
      <c r="H390" s="11">
        <v>557529.05000000005</v>
      </c>
    </row>
    <row r="391" spans="2:8" x14ac:dyDescent="0.2">
      <c r="B391" s="5">
        <v>45949</v>
      </c>
      <c r="C391" t="s">
        <v>112</v>
      </c>
      <c r="D391" s="11">
        <v>641176.48</v>
      </c>
      <c r="E391" s="11">
        <v>3</v>
      </c>
      <c r="F391" s="11">
        <v>213725.49299999999</v>
      </c>
      <c r="G391" s="11">
        <v>248450</v>
      </c>
      <c r="H391" s="11">
        <v>392726.48</v>
      </c>
    </row>
    <row r="392" spans="2:8" x14ac:dyDescent="0.2">
      <c r="B392" s="5">
        <v>45950</v>
      </c>
      <c r="C392" t="s">
        <v>112</v>
      </c>
      <c r="D392" s="11">
        <v>1314705.8899999999</v>
      </c>
      <c r="E392" s="11">
        <v>8</v>
      </c>
      <c r="F392" s="11">
        <v>210031.51300000001</v>
      </c>
      <c r="G392" s="11">
        <v>415214</v>
      </c>
      <c r="H392" s="11">
        <v>899491.89</v>
      </c>
    </row>
    <row r="393" spans="2:8" x14ac:dyDescent="0.2">
      <c r="B393" s="5">
        <v>45950</v>
      </c>
      <c r="C393" t="s">
        <v>109</v>
      </c>
      <c r="D393" s="11">
        <v>1023109.23</v>
      </c>
      <c r="E393" s="11">
        <v>8</v>
      </c>
      <c r="F393" s="11">
        <v>127888.65300000001</v>
      </c>
      <c r="G393" s="11">
        <v>344941</v>
      </c>
      <c r="H393" s="11">
        <v>678168.23</v>
      </c>
    </row>
    <row r="394" spans="2:8" x14ac:dyDescent="0.2">
      <c r="B394" s="5">
        <v>45950</v>
      </c>
      <c r="C394" t="s">
        <v>1739</v>
      </c>
      <c r="D394" s="11">
        <v>54621.85</v>
      </c>
      <c r="E394" s="11">
        <v>1</v>
      </c>
      <c r="F394" s="11">
        <v>54621.85</v>
      </c>
      <c r="G394" s="11">
        <v>12092</v>
      </c>
      <c r="H394" s="11">
        <v>42529.85</v>
      </c>
    </row>
    <row r="395" spans="2:8" x14ac:dyDescent="0.2">
      <c r="B395" s="5">
        <v>45951</v>
      </c>
      <c r="C395" t="s">
        <v>108</v>
      </c>
      <c r="D395" s="11">
        <v>21037815.129999999</v>
      </c>
      <c r="E395" s="11">
        <v>1</v>
      </c>
      <c r="F395" s="11">
        <v>21037815.129999999</v>
      </c>
      <c r="G395" s="11">
        <v>6902600</v>
      </c>
      <c r="H395" s="11">
        <v>14135215.130000001</v>
      </c>
    </row>
    <row r="396" spans="2:8" x14ac:dyDescent="0.2">
      <c r="B396" s="5">
        <v>45951</v>
      </c>
      <c r="C396" t="s">
        <v>112</v>
      </c>
      <c r="D396" s="11">
        <v>1565378.15</v>
      </c>
      <c r="E396" s="11">
        <v>11</v>
      </c>
      <c r="F396" s="11">
        <v>142307.10399999999</v>
      </c>
      <c r="G396" s="11">
        <v>516938</v>
      </c>
      <c r="H396" s="11">
        <v>1048440.15</v>
      </c>
    </row>
    <row r="397" spans="2:8" x14ac:dyDescent="0.2">
      <c r="B397" s="5">
        <v>45951</v>
      </c>
      <c r="C397" t="s">
        <v>109</v>
      </c>
      <c r="D397" s="11">
        <v>1013445.39</v>
      </c>
      <c r="E397" s="11">
        <v>12</v>
      </c>
      <c r="F397" s="11">
        <v>84453.781000000003</v>
      </c>
      <c r="G397" s="11">
        <v>235023</v>
      </c>
      <c r="H397" s="11">
        <v>733044.23</v>
      </c>
    </row>
    <row r="398" spans="2:8" x14ac:dyDescent="0.2">
      <c r="B398" s="5">
        <v>45952</v>
      </c>
      <c r="C398" t="s">
        <v>109</v>
      </c>
      <c r="D398" s="11">
        <v>1953781.52</v>
      </c>
      <c r="E398" s="11">
        <v>8</v>
      </c>
      <c r="F398" s="11">
        <v>244222.69</v>
      </c>
      <c r="G398" s="11">
        <v>592283</v>
      </c>
      <c r="H398" s="11">
        <v>1332086.76</v>
      </c>
    </row>
    <row r="399" spans="2:8" x14ac:dyDescent="0.2">
      <c r="B399" s="5">
        <v>45952</v>
      </c>
      <c r="C399" t="s">
        <v>112</v>
      </c>
      <c r="D399" s="11">
        <v>899159.67</v>
      </c>
      <c r="E399" s="11">
        <v>5</v>
      </c>
      <c r="F399" s="11">
        <v>179831.93400000001</v>
      </c>
      <c r="G399" s="11">
        <v>224392</v>
      </c>
      <c r="H399" s="11">
        <v>674767.67</v>
      </c>
    </row>
    <row r="400" spans="2:8" x14ac:dyDescent="0.2">
      <c r="B400" s="5">
        <v>45953</v>
      </c>
      <c r="C400" t="s">
        <v>109</v>
      </c>
      <c r="D400" s="11">
        <v>852100.85</v>
      </c>
      <c r="E400" s="11">
        <v>8</v>
      </c>
      <c r="F400" s="11">
        <v>106512.606</v>
      </c>
      <c r="G400" s="11">
        <v>154920</v>
      </c>
      <c r="H400" s="11">
        <v>674491.77</v>
      </c>
    </row>
    <row r="401" spans="2:8" x14ac:dyDescent="0.2">
      <c r="B401" s="5">
        <v>45953</v>
      </c>
      <c r="C401" t="s">
        <v>112</v>
      </c>
      <c r="D401" s="11">
        <v>411764.71</v>
      </c>
      <c r="E401" s="11">
        <v>5</v>
      </c>
      <c r="F401" s="11">
        <v>82352.941999999995</v>
      </c>
      <c r="G401" s="11">
        <v>103460</v>
      </c>
      <c r="H401" s="11">
        <v>308304.71000000002</v>
      </c>
    </row>
    <row r="402" spans="2:8" x14ac:dyDescent="0.2">
      <c r="B402" s="5">
        <v>45953</v>
      </c>
      <c r="C402" t="s">
        <v>110</v>
      </c>
      <c r="D402" s="11">
        <v>42016.81</v>
      </c>
      <c r="E402" s="11">
        <v>1</v>
      </c>
      <c r="F402" s="11">
        <v>42016.81</v>
      </c>
      <c r="G402" s="11">
        <v>14571</v>
      </c>
      <c r="H402" s="11">
        <v>27445.81</v>
      </c>
    </row>
    <row r="403" spans="2:8" x14ac:dyDescent="0.2">
      <c r="B403" s="5">
        <v>45954</v>
      </c>
      <c r="C403" t="s">
        <v>109</v>
      </c>
      <c r="D403" s="11">
        <v>1708277.34</v>
      </c>
      <c r="E403" s="11">
        <v>19</v>
      </c>
      <c r="F403" s="11">
        <v>89909.332999999999</v>
      </c>
      <c r="G403" s="11">
        <v>496671</v>
      </c>
      <c r="H403" s="11">
        <v>1133917.26</v>
      </c>
    </row>
    <row r="404" spans="2:8" x14ac:dyDescent="0.2">
      <c r="B404" s="5">
        <v>45954</v>
      </c>
      <c r="C404" t="s">
        <v>112</v>
      </c>
      <c r="D404" s="11">
        <v>336134.45</v>
      </c>
      <c r="E404" s="11">
        <v>2</v>
      </c>
      <c r="F404" s="11">
        <v>168067.22500000001</v>
      </c>
      <c r="G404" s="11">
        <v>91934</v>
      </c>
      <c r="H404" s="11">
        <v>244200.45</v>
      </c>
    </row>
    <row r="405" spans="2:8" x14ac:dyDescent="0.2">
      <c r="B405" s="5">
        <v>45955</v>
      </c>
      <c r="C405" t="s">
        <v>109</v>
      </c>
      <c r="D405" s="11">
        <v>1980672.29</v>
      </c>
      <c r="E405" s="11">
        <v>19</v>
      </c>
      <c r="F405" s="11">
        <v>104245.91</v>
      </c>
      <c r="G405" s="11">
        <v>576388</v>
      </c>
      <c r="H405" s="11">
        <v>1322771.68</v>
      </c>
    </row>
    <row r="406" spans="2:8" x14ac:dyDescent="0.2">
      <c r="B406" s="5">
        <v>45955</v>
      </c>
      <c r="C406" t="s">
        <v>112</v>
      </c>
      <c r="D406" s="11">
        <v>1089915.97</v>
      </c>
      <c r="E406" s="11">
        <v>4</v>
      </c>
      <c r="F406" s="11">
        <v>272478.99200000003</v>
      </c>
      <c r="G406" s="11">
        <v>511767</v>
      </c>
      <c r="H406" s="11">
        <v>578148.97</v>
      </c>
    </row>
    <row r="407" spans="2:8" x14ac:dyDescent="0.2">
      <c r="B407" s="5">
        <v>45956</v>
      </c>
      <c r="C407" t="s">
        <v>109</v>
      </c>
      <c r="D407" s="11">
        <v>1290689.07</v>
      </c>
      <c r="E407" s="11">
        <v>9</v>
      </c>
      <c r="F407" s="11">
        <v>143409.89600000001</v>
      </c>
      <c r="G407" s="11">
        <v>496581</v>
      </c>
      <c r="H407" s="11">
        <v>771418.99</v>
      </c>
    </row>
    <row r="408" spans="2:8" x14ac:dyDescent="0.2">
      <c r="B408" s="5">
        <v>45956</v>
      </c>
      <c r="C408" t="s">
        <v>112</v>
      </c>
      <c r="D408" s="11">
        <v>584033.62</v>
      </c>
      <c r="E408" s="11">
        <v>4</v>
      </c>
      <c r="F408" s="11">
        <v>146008.405</v>
      </c>
      <c r="G408" s="11">
        <v>225879</v>
      </c>
      <c r="H408" s="11">
        <v>358154.62</v>
      </c>
    </row>
    <row r="409" spans="2:8" x14ac:dyDescent="0.2">
      <c r="B409" s="5">
        <v>45957</v>
      </c>
      <c r="C409" t="s">
        <v>112</v>
      </c>
      <c r="D409" s="11">
        <v>1337092.44</v>
      </c>
      <c r="E409" s="11">
        <v>6</v>
      </c>
      <c r="F409" s="11">
        <v>222848.74</v>
      </c>
      <c r="G409" s="11">
        <v>339669</v>
      </c>
      <c r="H409" s="11">
        <v>997423.44</v>
      </c>
    </row>
    <row r="410" spans="2:8" x14ac:dyDescent="0.2">
      <c r="B410" s="5">
        <v>45957</v>
      </c>
      <c r="C410" t="s">
        <v>109</v>
      </c>
      <c r="D410" s="11">
        <v>877394.95</v>
      </c>
      <c r="E410" s="11">
        <v>11</v>
      </c>
      <c r="F410" s="11">
        <v>80450.725000000006</v>
      </c>
      <c r="G410" s="11">
        <v>312398</v>
      </c>
      <c r="H410" s="11">
        <v>542307.87</v>
      </c>
    </row>
    <row r="411" spans="2:8" x14ac:dyDescent="0.2">
      <c r="B411" s="5">
        <v>45958</v>
      </c>
      <c r="C411" t="s">
        <v>112</v>
      </c>
      <c r="D411" s="11">
        <v>1839075.64</v>
      </c>
      <c r="E411" s="11">
        <v>7</v>
      </c>
      <c r="F411" s="11">
        <v>262725.09100000001</v>
      </c>
      <c r="G411" s="11">
        <v>616060</v>
      </c>
      <c r="H411" s="11">
        <v>1223015.6399999999</v>
      </c>
    </row>
    <row r="412" spans="2:8" x14ac:dyDescent="0.2">
      <c r="B412" s="5">
        <v>45958</v>
      </c>
      <c r="C412" t="s">
        <v>109</v>
      </c>
      <c r="D412" s="11">
        <v>1838201.69</v>
      </c>
      <c r="E412" s="11">
        <v>9</v>
      </c>
      <c r="F412" s="11">
        <v>204244.63200000001</v>
      </c>
      <c r="G412" s="11">
        <v>370388</v>
      </c>
      <c r="H412" s="11">
        <v>1031707.32</v>
      </c>
    </row>
    <row r="413" spans="2:8" x14ac:dyDescent="0.2">
      <c r="B413" s="5">
        <v>45958</v>
      </c>
      <c r="C413" t="s">
        <v>110</v>
      </c>
      <c r="D413" s="11">
        <v>54621.85</v>
      </c>
      <c r="E413" s="11">
        <v>1</v>
      </c>
      <c r="F413" s="11">
        <v>54621.85</v>
      </c>
      <c r="G413" s="11">
        <v>21154</v>
      </c>
      <c r="H413" s="11">
        <v>33467.85</v>
      </c>
    </row>
    <row r="414" spans="2:8" x14ac:dyDescent="0.2">
      <c r="B414" s="5">
        <v>45959</v>
      </c>
      <c r="C414" t="s">
        <v>109</v>
      </c>
      <c r="D414" s="11">
        <v>2843831.93</v>
      </c>
      <c r="E414" s="11">
        <v>12</v>
      </c>
      <c r="F414" s="11">
        <v>236985.99400000001</v>
      </c>
      <c r="G414" s="11">
        <v>757536</v>
      </c>
      <c r="H414" s="11">
        <v>1904606.85</v>
      </c>
    </row>
    <row r="415" spans="2:8" x14ac:dyDescent="0.2">
      <c r="B415" s="5">
        <v>45959</v>
      </c>
      <c r="C415" t="s">
        <v>108</v>
      </c>
      <c r="D415" s="11">
        <v>2087394.96</v>
      </c>
      <c r="E415" s="11">
        <v>1</v>
      </c>
      <c r="F415" s="11">
        <v>2087394.96</v>
      </c>
      <c r="G415" s="11">
        <v>621000</v>
      </c>
      <c r="H415" s="11">
        <v>1466394.96</v>
      </c>
    </row>
    <row r="416" spans="2:8" x14ac:dyDescent="0.2">
      <c r="B416" s="5">
        <v>45959</v>
      </c>
      <c r="C416" t="s">
        <v>112</v>
      </c>
      <c r="D416" s="11">
        <v>941176.47</v>
      </c>
      <c r="E416" s="11">
        <v>7</v>
      </c>
      <c r="F416" s="11">
        <v>203481.39199999999</v>
      </c>
      <c r="G416" s="11">
        <v>255836</v>
      </c>
      <c r="H416" s="11">
        <v>685340.47</v>
      </c>
    </row>
    <row r="417" spans="2:8" x14ac:dyDescent="0.2">
      <c r="B417" s="5">
        <v>45959</v>
      </c>
      <c r="C417" t="s">
        <v>110</v>
      </c>
      <c r="D417" s="11">
        <v>130252.1</v>
      </c>
      <c r="E417" s="11">
        <v>1</v>
      </c>
      <c r="F417" s="11">
        <v>130252.1</v>
      </c>
      <c r="G417" s="11">
        <v>38997</v>
      </c>
      <c r="H417" s="11">
        <v>91255.1</v>
      </c>
    </row>
    <row r="418" spans="2:8" x14ac:dyDescent="0.2">
      <c r="B418" s="5">
        <v>45960</v>
      </c>
      <c r="C418" t="s">
        <v>112</v>
      </c>
      <c r="D418" s="11">
        <v>960924.36</v>
      </c>
      <c r="E418" s="11">
        <v>6</v>
      </c>
      <c r="F418" s="11">
        <v>160154.06</v>
      </c>
      <c r="G418" s="11">
        <v>263714</v>
      </c>
      <c r="H418" s="11">
        <v>697210.36</v>
      </c>
    </row>
    <row r="419" spans="2:8" x14ac:dyDescent="0.2">
      <c r="B419" s="5">
        <v>45960</v>
      </c>
      <c r="C419" t="s">
        <v>109</v>
      </c>
      <c r="D419" s="11">
        <v>807739.49</v>
      </c>
      <c r="E419" s="11">
        <v>8</v>
      </c>
      <c r="F419" s="11">
        <v>100967.436</v>
      </c>
      <c r="G419" s="11">
        <v>335323</v>
      </c>
      <c r="H419" s="11">
        <v>449727.41</v>
      </c>
    </row>
    <row r="420" spans="2:8" x14ac:dyDescent="0.2">
      <c r="B420" s="5">
        <v>45960</v>
      </c>
      <c r="C420" t="s">
        <v>110</v>
      </c>
      <c r="D420" s="11">
        <v>46218.49</v>
      </c>
      <c r="E420" s="11">
        <v>1</v>
      </c>
      <c r="F420" s="11">
        <v>46218.49</v>
      </c>
      <c r="G420" s="11">
        <v>9855</v>
      </c>
      <c r="H420" s="11">
        <v>36363.49</v>
      </c>
    </row>
    <row r="421" spans="2:8" x14ac:dyDescent="0.2">
      <c r="B421" s="5">
        <v>45961</v>
      </c>
      <c r="C421" t="s">
        <v>112</v>
      </c>
      <c r="D421" s="11">
        <v>2568487.39</v>
      </c>
      <c r="E421" s="11">
        <v>4</v>
      </c>
      <c r="F421" s="11">
        <v>642121.84699999995</v>
      </c>
      <c r="G421" s="11">
        <v>674449</v>
      </c>
      <c r="H421" s="11">
        <v>1894038.39</v>
      </c>
    </row>
    <row r="422" spans="2:8" x14ac:dyDescent="0.2">
      <c r="B422" s="5">
        <v>45961</v>
      </c>
      <c r="C422" t="s">
        <v>109</v>
      </c>
      <c r="D422" s="11">
        <v>1391915.97</v>
      </c>
      <c r="E422" s="11">
        <v>12</v>
      </c>
      <c r="F422" s="11">
        <v>112491.59600000001</v>
      </c>
      <c r="G422" s="11">
        <v>536300</v>
      </c>
      <c r="H422" s="11">
        <v>832926.89</v>
      </c>
    </row>
    <row r="423" spans="2:8" x14ac:dyDescent="0.2">
      <c r="B423" s="5">
        <v>45962</v>
      </c>
      <c r="C423" t="s">
        <v>109</v>
      </c>
      <c r="D423" s="11">
        <v>3064638.66</v>
      </c>
      <c r="E423" s="11">
        <v>15</v>
      </c>
      <c r="F423" s="11">
        <v>179580.95199999999</v>
      </c>
      <c r="G423" s="11">
        <v>919313</v>
      </c>
      <c r="H423" s="11">
        <v>2067325.66</v>
      </c>
    </row>
    <row r="424" spans="2:8" x14ac:dyDescent="0.2">
      <c r="B424" s="5">
        <v>45962</v>
      </c>
      <c r="C424" t="s">
        <v>112</v>
      </c>
      <c r="D424" s="11">
        <v>920168.07</v>
      </c>
      <c r="E424" s="11">
        <v>5</v>
      </c>
      <c r="F424" s="11">
        <v>184033.614</v>
      </c>
      <c r="G424" s="11">
        <v>259846</v>
      </c>
      <c r="H424" s="11">
        <v>660322.06999999995</v>
      </c>
    </row>
    <row r="425" spans="2:8" x14ac:dyDescent="0.2">
      <c r="B425" s="5">
        <v>45962</v>
      </c>
      <c r="C425" t="s">
        <v>110</v>
      </c>
      <c r="D425" s="11">
        <v>130252.1</v>
      </c>
      <c r="E425" s="11">
        <v>2</v>
      </c>
      <c r="F425" s="11">
        <v>65126.05</v>
      </c>
      <c r="G425" s="11">
        <v>28850</v>
      </c>
      <c r="H425" s="11">
        <v>101402.1</v>
      </c>
    </row>
    <row r="426" spans="2:8" x14ac:dyDescent="0.2">
      <c r="B426" s="5">
        <v>45963</v>
      </c>
      <c r="C426" t="s">
        <v>109</v>
      </c>
      <c r="D426" s="11">
        <v>1742907.57</v>
      </c>
      <c r="E426" s="11">
        <v>8</v>
      </c>
      <c r="F426" s="11">
        <v>204207.98300000001</v>
      </c>
      <c r="G426" s="11">
        <v>562888</v>
      </c>
      <c r="H426" s="11">
        <v>1076397.72</v>
      </c>
    </row>
    <row r="427" spans="2:8" x14ac:dyDescent="0.2">
      <c r="B427" s="5">
        <v>45963</v>
      </c>
      <c r="C427" t="s">
        <v>112</v>
      </c>
      <c r="D427" s="11">
        <v>672268.91</v>
      </c>
      <c r="E427" s="11">
        <v>6</v>
      </c>
      <c r="F427" s="11">
        <v>112044.818</v>
      </c>
      <c r="G427" s="11">
        <v>160439</v>
      </c>
      <c r="H427" s="11">
        <v>511829.91</v>
      </c>
    </row>
    <row r="428" spans="2:8" x14ac:dyDescent="0.2">
      <c r="B428" s="5">
        <v>45964</v>
      </c>
      <c r="C428" t="s">
        <v>112</v>
      </c>
      <c r="D428" s="11">
        <v>1018488.24</v>
      </c>
      <c r="E428" s="11">
        <v>4</v>
      </c>
      <c r="F428" s="11">
        <v>254622.06</v>
      </c>
      <c r="G428" s="11">
        <v>320669</v>
      </c>
      <c r="H428" s="11">
        <v>697818.39</v>
      </c>
    </row>
    <row r="429" spans="2:8" x14ac:dyDescent="0.2">
      <c r="B429" s="5">
        <v>45964</v>
      </c>
      <c r="C429" t="s">
        <v>109</v>
      </c>
      <c r="D429" s="11">
        <v>693277.31</v>
      </c>
      <c r="E429" s="11">
        <v>5</v>
      </c>
      <c r="F429" s="11">
        <v>134453.78200000001</v>
      </c>
      <c r="G429" s="11">
        <v>123728</v>
      </c>
      <c r="H429" s="11">
        <v>569549.31000000006</v>
      </c>
    </row>
    <row r="430" spans="2:8" x14ac:dyDescent="0.2">
      <c r="B430" s="5">
        <v>45965</v>
      </c>
      <c r="C430" t="s">
        <v>112</v>
      </c>
      <c r="D430" s="11">
        <v>2420168.08</v>
      </c>
      <c r="E430" s="11">
        <v>8</v>
      </c>
      <c r="F430" s="11">
        <v>302521.01</v>
      </c>
      <c r="G430" s="11">
        <v>848576</v>
      </c>
      <c r="H430" s="11">
        <v>1571592.08</v>
      </c>
    </row>
    <row r="431" spans="2:8" x14ac:dyDescent="0.2">
      <c r="B431" s="5">
        <v>45965</v>
      </c>
      <c r="C431" t="s">
        <v>109</v>
      </c>
      <c r="D431" s="11">
        <v>679252.08</v>
      </c>
      <c r="E431" s="11">
        <v>7</v>
      </c>
      <c r="F431" s="11">
        <v>87792.315000000002</v>
      </c>
      <c r="G431" s="11">
        <v>279837</v>
      </c>
      <c r="H431" s="11">
        <v>348994.92</v>
      </c>
    </row>
    <row r="432" spans="2:8" x14ac:dyDescent="0.2">
      <c r="B432" s="5">
        <v>45966</v>
      </c>
      <c r="C432" t="s">
        <v>109</v>
      </c>
      <c r="D432" s="11">
        <v>1888529.41</v>
      </c>
      <c r="E432" s="11">
        <v>9</v>
      </c>
      <c r="F432" s="11">
        <v>177156.86199999999</v>
      </c>
      <c r="G432" s="11">
        <v>639833</v>
      </c>
      <c r="H432" s="11">
        <v>1248696.4099999999</v>
      </c>
    </row>
    <row r="433" spans="2:8" x14ac:dyDescent="0.2">
      <c r="B433" s="5">
        <v>45966</v>
      </c>
      <c r="C433" t="s">
        <v>108</v>
      </c>
      <c r="D433" s="11">
        <v>1500000</v>
      </c>
      <c r="E433" s="11">
        <v>1</v>
      </c>
      <c r="F433" s="11">
        <v>1500000</v>
      </c>
      <c r="G433" s="11">
        <v>489750</v>
      </c>
      <c r="H433" s="11">
        <v>1010250</v>
      </c>
    </row>
    <row r="434" spans="2:8" x14ac:dyDescent="0.2">
      <c r="B434" s="5">
        <v>45966</v>
      </c>
      <c r="C434" t="s">
        <v>112</v>
      </c>
      <c r="D434" s="11">
        <v>1411764.71</v>
      </c>
      <c r="E434" s="11">
        <v>9</v>
      </c>
      <c r="F434" s="11">
        <v>156862.745</v>
      </c>
      <c r="G434" s="11">
        <v>428054</v>
      </c>
      <c r="H434" s="11">
        <v>983710.71</v>
      </c>
    </row>
    <row r="435" spans="2:8" x14ac:dyDescent="0.2">
      <c r="B435" s="5">
        <v>45967</v>
      </c>
      <c r="C435" t="s">
        <v>109</v>
      </c>
      <c r="D435" s="11">
        <v>1877521.01</v>
      </c>
      <c r="E435" s="11">
        <v>12</v>
      </c>
      <c r="F435" s="11">
        <v>147216.386</v>
      </c>
      <c r="G435" s="11">
        <v>561643</v>
      </c>
      <c r="H435" s="11">
        <v>1240878.01</v>
      </c>
    </row>
    <row r="436" spans="2:8" x14ac:dyDescent="0.2">
      <c r="B436" s="5">
        <v>45967</v>
      </c>
      <c r="C436" t="s">
        <v>112</v>
      </c>
      <c r="D436" s="11">
        <v>271428.58</v>
      </c>
      <c r="E436" s="11">
        <v>4</v>
      </c>
      <c r="F436" s="11">
        <v>67857.145000000004</v>
      </c>
      <c r="G436" s="11">
        <v>57812</v>
      </c>
      <c r="H436" s="11">
        <v>213616.58</v>
      </c>
    </row>
    <row r="437" spans="2:8" x14ac:dyDescent="0.2">
      <c r="B437" s="5">
        <v>45967</v>
      </c>
      <c r="C437" t="s">
        <v>110</v>
      </c>
      <c r="D437" s="11">
        <v>42016.81</v>
      </c>
      <c r="E437" s="11">
        <v>1</v>
      </c>
      <c r="F437" s="11">
        <v>42016.81</v>
      </c>
      <c r="G437" s="11">
        <v>14571</v>
      </c>
      <c r="H437" s="11">
        <v>27445.81</v>
      </c>
    </row>
    <row r="438" spans="2:8" x14ac:dyDescent="0.2">
      <c r="B438" s="5">
        <v>45968</v>
      </c>
      <c r="C438" t="s">
        <v>109</v>
      </c>
      <c r="D438" s="11">
        <v>2453361.35</v>
      </c>
      <c r="E438" s="11">
        <v>15</v>
      </c>
      <c r="F438" s="11">
        <v>157731.092</v>
      </c>
      <c r="G438" s="11">
        <v>787265</v>
      </c>
      <c r="H438" s="11">
        <v>1575340.05</v>
      </c>
    </row>
    <row r="439" spans="2:8" x14ac:dyDescent="0.2">
      <c r="B439" s="5">
        <v>45968</v>
      </c>
      <c r="C439" t="s">
        <v>112</v>
      </c>
      <c r="D439" s="11">
        <v>1396638.65</v>
      </c>
      <c r="E439" s="11">
        <v>6</v>
      </c>
      <c r="F439" s="11">
        <v>232773.10800000001</v>
      </c>
      <c r="G439" s="11">
        <v>267801</v>
      </c>
      <c r="H439" s="11">
        <v>784299.84</v>
      </c>
    </row>
    <row r="440" spans="2:8" x14ac:dyDescent="0.2">
      <c r="B440" s="5">
        <v>45968</v>
      </c>
      <c r="C440" t="s">
        <v>110</v>
      </c>
      <c r="D440" s="11">
        <v>96638.66</v>
      </c>
      <c r="E440" s="11">
        <v>2</v>
      </c>
      <c r="F440" s="11">
        <v>48319.33</v>
      </c>
      <c r="G440" s="11">
        <v>26670</v>
      </c>
      <c r="H440" s="11">
        <v>69968.66</v>
      </c>
    </row>
    <row r="441" spans="2:8" x14ac:dyDescent="0.2">
      <c r="B441" s="5">
        <v>45969</v>
      </c>
      <c r="C441" t="s">
        <v>109</v>
      </c>
      <c r="D441" s="11">
        <v>6456260.5099999998</v>
      </c>
      <c r="E441" s="11">
        <v>13</v>
      </c>
      <c r="F441" s="11">
        <v>451341.30599999998</v>
      </c>
      <c r="G441" s="11">
        <v>2014333</v>
      </c>
      <c r="H441" s="11">
        <v>4391507.34</v>
      </c>
    </row>
    <row r="442" spans="2:8" x14ac:dyDescent="0.2">
      <c r="B442" s="5">
        <v>45969</v>
      </c>
      <c r="C442" t="s">
        <v>112</v>
      </c>
      <c r="D442" s="11">
        <v>668067.23</v>
      </c>
      <c r="E442" s="11">
        <v>4</v>
      </c>
      <c r="F442" s="11">
        <v>167016.807</v>
      </c>
      <c r="G442" s="11">
        <v>236842</v>
      </c>
      <c r="H442" s="11">
        <v>431225.23</v>
      </c>
    </row>
    <row r="443" spans="2:8" x14ac:dyDescent="0.2">
      <c r="B443" s="5">
        <v>45969</v>
      </c>
      <c r="C443" t="s">
        <v>1739</v>
      </c>
      <c r="D443" s="11">
        <v>130252.1</v>
      </c>
      <c r="E443" s="11">
        <v>1</v>
      </c>
      <c r="F443" s="11">
        <v>130252.1</v>
      </c>
      <c r="G443" s="11">
        <v>34513</v>
      </c>
      <c r="H443" s="11">
        <v>95739.1</v>
      </c>
    </row>
    <row r="444" spans="2:8" x14ac:dyDescent="0.2">
      <c r="B444" s="5">
        <v>45969</v>
      </c>
      <c r="C444" t="s">
        <v>110</v>
      </c>
      <c r="D444" s="11">
        <v>42016.81</v>
      </c>
      <c r="E444" s="11">
        <v>1</v>
      </c>
      <c r="F444" s="11">
        <v>42016.81</v>
      </c>
      <c r="G444" s="11">
        <v>14571</v>
      </c>
      <c r="H444" s="11">
        <v>27445.81</v>
      </c>
    </row>
    <row r="445" spans="2:8" x14ac:dyDescent="0.2">
      <c r="B445" s="5">
        <v>45970</v>
      </c>
      <c r="C445" t="s">
        <v>109</v>
      </c>
      <c r="D445" s="11">
        <v>2247319.33</v>
      </c>
      <c r="E445" s="11">
        <v>8</v>
      </c>
      <c r="F445" s="11">
        <v>284696.42800000001</v>
      </c>
      <c r="G445" s="11">
        <v>784333</v>
      </c>
      <c r="H445" s="11">
        <v>1341297.25</v>
      </c>
    </row>
    <row r="446" spans="2:8" x14ac:dyDescent="0.2">
      <c r="B446" s="5">
        <v>45970</v>
      </c>
      <c r="C446" t="s">
        <v>112</v>
      </c>
      <c r="D446" s="11">
        <v>277310.93</v>
      </c>
      <c r="E446" s="11">
        <v>3</v>
      </c>
      <c r="F446" s="11">
        <v>441473.39</v>
      </c>
      <c r="G446" s="11">
        <v>86300</v>
      </c>
      <c r="H446" s="11">
        <v>191010.93</v>
      </c>
    </row>
    <row r="447" spans="2:8" x14ac:dyDescent="0.2">
      <c r="B447" s="5">
        <v>45971</v>
      </c>
      <c r="C447" t="s">
        <v>109</v>
      </c>
      <c r="D447" s="11">
        <v>4190756.31</v>
      </c>
      <c r="E447" s="11">
        <v>17</v>
      </c>
      <c r="F447" s="11">
        <v>246515.07699999999</v>
      </c>
      <c r="G447" s="11">
        <v>1054384</v>
      </c>
      <c r="H447" s="11">
        <v>3053179.01</v>
      </c>
    </row>
    <row r="448" spans="2:8" x14ac:dyDescent="0.2">
      <c r="B448" s="5">
        <v>45971</v>
      </c>
      <c r="C448" t="s">
        <v>112</v>
      </c>
      <c r="D448" s="11">
        <v>1235924.3500000001</v>
      </c>
      <c r="E448" s="11">
        <v>8</v>
      </c>
      <c r="F448" s="11">
        <v>172347.68599999999</v>
      </c>
      <c r="G448" s="11">
        <v>318240</v>
      </c>
      <c r="H448" s="11">
        <v>917684.35</v>
      </c>
    </row>
    <row r="449" spans="2:8" x14ac:dyDescent="0.2">
      <c r="B449" s="5">
        <v>45971</v>
      </c>
      <c r="C449" t="s">
        <v>108</v>
      </c>
      <c r="D449" s="11">
        <v>552100.84</v>
      </c>
      <c r="E449" s="11">
        <v>1</v>
      </c>
      <c r="F449" s="11">
        <v>552100.84</v>
      </c>
      <c r="G449" s="11">
        <v>250320</v>
      </c>
      <c r="H449" s="11">
        <v>301780.84000000003</v>
      </c>
    </row>
    <row r="450" spans="2:8" x14ac:dyDescent="0.2">
      <c r="B450" s="5">
        <v>45972</v>
      </c>
      <c r="C450" t="s">
        <v>112</v>
      </c>
      <c r="D450" s="11">
        <v>3703151.26</v>
      </c>
      <c r="E450" s="11">
        <v>10</v>
      </c>
      <c r="F450" s="11">
        <v>370315.12599999999</v>
      </c>
      <c r="G450" s="11">
        <v>1075933</v>
      </c>
      <c r="H450" s="11">
        <v>2627218.2599999998</v>
      </c>
    </row>
    <row r="451" spans="2:8" x14ac:dyDescent="0.2">
      <c r="B451" s="5">
        <v>45972</v>
      </c>
      <c r="C451" t="s">
        <v>109</v>
      </c>
      <c r="D451" s="11">
        <v>2944605.03</v>
      </c>
      <c r="E451" s="11">
        <v>25</v>
      </c>
      <c r="F451" s="11">
        <v>118389.243</v>
      </c>
      <c r="G451" s="11">
        <v>774038</v>
      </c>
      <c r="H451" s="11">
        <v>1845289.72</v>
      </c>
    </row>
    <row r="452" spans="2:8" x14ac:dyDescent="0.2">
      <c r="B452" s="5">
        <v>45972</v>
      </c>
      <c r="C452" t="s">
        <v>110</v>
      </c>
      <c r="D452" s="11">
        <v>180672.27</v>
      </c>
      <c r="E452" s="11">
        <v>3</v>
      </c>
      <c r="F452" s="11">
        <v>60224.09</v>
      </c>
      <c r="G452" s="11">
        <v>43480</v>
      </c>
      <c r="H452" s="11">
        <v>137192.26999999999</v>
      </c>
    </row>
    <row r="453" spans="2:8" x14ac:dyDescent="0.2">
      <c r="B453" s="5">
        <v>45973</v>
      </c>
      <c r="C453" t="s">
        <v>109</v>
      </c>
      <c r="D453" s="11">
        <v>4546218.46</v>
      </c>
      <c r="E453" s="11">
        <v>15</v>
      </c>
      <c r="F453" s="11">
        <v>290756.30099999998</v>
      </c>
      <c r="G453" s="11">
        <v>1342648</v>
      </c>
      <c r="H453" s="11">
        <v>3090125.08</v>
      </c>
    </row>
    <row r="454" spans="2:8" x14ac:dyDescent="0.2">
      <c r="B454" s="5">
        <v>45973</v>
      </c>
      <c r="C454" t="s">
        <v>112</v>
      </c>
      <c r="D454" s="11">
        <v>365546.22</v>
      </c>
      <c r="E454" s="11">
        <v>3</v>
      </c>
      <c r="F454" s="11">
        <v>121848.74</v>
      </c>
      <c r="G454" s="11">
        <v>130408</v>
      </c>
      <c r="H454" s="11">
        <v>235138.22</v>
      </c>
    </row>
    <row r="455" spans="2:8" x14ac:dyDescent="0.2">
      <c r="B455" s="5">
        <v>45974</v>
      </c>
      <c r="C455" t="s">
        <v>109</v>
      </c>
      <c r="D455" s="11">
        <v>3262436.98</v>
      </c>
      <c r="E455" s="11">
        <v>10</v>
      </c>
      <c r="F455" s="11">
        <v>320781.51299999998</v>
      </c>
      <c r="G455" s="11">
        <v>1006822</v>
      </c>
      <c r="H455" s="11">
        <v>2234606.58</v>
      </c>
    </row>
    <row r="456" spans="2:8" x14ac:dyDescent="0.2">
      <c r="B456" s="5">
        <v>45974</v>
      </c>
      <c r="C456" t="s">
        <v>112</v>
      </c>
      <c r="D456" s="11">
        <v>785714.28</v>
      </c>
      <c r="E456" s="11">
        <v>7</v>
      </c>
      <c r="F456" s="11">
        <v>118247.298</v>
      </c>
      <c r="G456" s="11">
        <v>199446</v>
      </c>
      <c r="H456" s="11">
        <v>586268.28</v>
      </c>
    </row>
    <row r="457" spans="2:8" x14ac:dyDescent="0.2">
      <c r="B457" s="5">
        <v>45974</v>
      </c>
      <c r="C457" t="s">
        <v>1739</v>
      </c>
      <c r="D457" s="11">
        <v>218487.4</v>
      </c>
      <c r="E457" s="11">
        <v>1</v>
      </c>
      <c r="F457" s="11">
        <v>168067.23</v>
      </c>
      <c r="G457" s="11">
        <v>48788</v>
      </c>
      <c r="H457" s="11">
        <v>169699.4</v>
      </c>
    </row>
    <row r="458" spans="2:8" x14ac:dyDescent="0.2">
      <c r="B458" s="5">
        <v>45974</v>
      </c>
      <c r="C458" t="s">
        <v>110</v>
      </c>
      <c r="D458" s="11">
        <v>46218.49</v>
      </c>
      <c r="E458" s="11">
        <v>1</v>
      </c>
      <c r="F458" s="11">
        <v>46218.49</v>
      </c>
      <c r="G458" s="11">
        <v>9855</v>
      </c>
      <c r="H458" s="11">
        <v>36363.49</v>
      </c>
    </row>
    <row r="459" spans="2:8" x14ac:dyDescent="0.2">
      <c r="B459" s="5">
        <v>45975</v>
      </c>
      <c r="C459" t="s">
        <v>109</v>
      </c>
      <c r="D459" s="11">
        <v>2629168.0499999998</v>
      </c>
      <c r="E459" s="11">
        <v>20</v>
      </c>
      <c r="F459" s="11">
        <v>131458.402</v>
      </c>
      <c r="G459" s="11">
        <v>793272</v>
      </c>
      <c r="H459" s="11">
        <v>1641778.41</v>
      </c>
    </row>
    <row r="460" spans="2:8" x14ac:dyDescent="0.2">
      <c r="B460" s="5">
        <v>45975</v>
      </c>
      <c r="C460" t="s">
        <v>112</v>
      </c>
      <c r="D460" s="11">
        <v>925529.41</v>
      </c>
      <c r="E460" s="11">
        <v>8</v>
      </c>
      <c r="F460" s="11">
        <v>115691.17600000001</v>
      </c>
      <c r="G460" s="11">
        <v>277434</v>
      </c>
      <c r="H460" s="11">
        <v>648095.41</v>
      </c>
    </row>
    <row r="461" spans="2:8" x14ac:dyDescent="0.2">
      <c r="B461" s="5">
        <v>45975</v>
      </c>
      <c r="C461" t="s">
        <v>110</v>
      </c>
      <c r="D461" s="11">
        <v>46218.49</v>
      </c>
      <c r="E461" s="11">
        <v>1</v>
      </c>
      <c r="F461" s="11">
        <v>46218.49</v>
      </c>
      <c r="G461" s="11">
        <v>9199</v>
      </c>
      <c r="H461" s="11">
        <v>37019.49</v>
      </c>
    </row>
    <row r="462" spans="2:8" x14ac:dyDescent="0.2">
      <c r="B462" s="5">
        <v>45976</v>
      </c>
      <c r="C462" t="s">
        <v>109</v>
      </c>
      <c r="D462" s="11">
        <v>5604327.7199999997</v>
      </c>
      <c r="E462" s="11">
        <v>19</v>
      </c>
      <c r="F462" s="11">
        <v>293505.08500000002</v>
      </c>
      <c r="G462" s="11">
        <v>1670753</v>
      </c>
      <c r="H462" s="11">
        <v>3852062.12</v>
      </c>
    </row>
    <row r="463" spans="2:8" x14ac:dyDescent="0.2">
      <c r="B463" s="5">
        <v>45976</v>
      </c>
      <c r="C463" t="s">
        <v>112</v>
      </c>
      <c r="D463" s="11">
        <v>4308193.29</v>
      </c>
      <c r="E463" s="11">
        <v>7</v>
      </c>
      <c r="F463" s="11">
        <v>615456.18400000001</v>
      </c>
      <c r="G463" s="11">
        <v>1511986</v>
      </c>
      <c r="H463" s="11">
        <v>2796207.29</v>
      </c>
    </row>
    <row r="464" spans="2:8" x14ac:dyDescent="0.2">
      <c r="B464" s="5">
        <v>45977</v>
      </c>
      <c r="C464" t="s">
        <v>109</v>
      </c>
      <c r="D464" s="11">
        <v>1460470.6</v>
      </c>
      <c r="E464" s="11">
        <v>16</v>
      </c>
      <c r="F464" s="11">
        <v>91279.411999999997</v>
      </c>
      <c r="G464" s="11">
        <v>375170</v>
      </c>
      <c r="H464" s="11">
        <v>886517.65</v>
      </c>
    </row>
    <row r="465" spans="2:8" x14ac:dyDescent="0.2">
      <c r="B465" s="5">
        <v>45977</v>
      </c>
      <c r="C465" t="s">
        <v>112</v>
      </c>
      <c r="D465" s="11">
        <v>588235.29</v>
      </c>
      <c r="E465" s="11">
        <v>4</v>
      </c>
      <c r="F465" s="11">
        <v>147058.82199999999</v>
      </c>
      <c r="G465" s="11">
        <v>154855</v>
      </c>
      <c r="H465" s="11">
        <v>433380.29</v>
      </c>
    </row>
    <row r="466" spans="2:8" x14ac:dyDescent="0.2">
      <c r="B466" s="5">
        <v>45977</v>
      </c>
      <c r="C466" t="s">
        <v>110</v>
      </c>
      <c r="D466" s="11">
        <v>42016.81</v>
      </c>
      <c r="E466" s="11">
        <v>1</v>
      </c>
      <c r="F466" s="11">
        <v>42016.81</v>
      </c>
      <c r="G466" s="11">
        <v>14571</v>
      </c>
      <c r="H466" s="11">
        <v>27445.81</v>
      </c>
    </row>
    <row r="467" spans="2:8" x14ac:dyDescent="0.2">
      <c r="B467" s="5">
        <v>45978</v>
      </c>
      <c r="C467" t="s">
        <v>109</v>
      </c>
      <c r="D467" s="11">
        <v>1674966.37</v>
      </c>
      <c r="E467" s="11">
        <v>8</v>
      </c>
      <c r="F467" s="11">
        <v>203593.48699999999</v>
      </c>
      <c r="G467" s="11">
        <v>551248</v>
      </c>
      <c r="H467" s="11">
        <v>987163.77</v>
      </c>
    </row>
    <row r="468" spans="2:8" x14ac:dyDescent="0.2">
      <c r="B468" s="5">
        <v>45978</v>
      </c>
      <c r="C468" t="s">
        <v>112</v>
      </c>
      <c r="D468" s="11">
        <v>294117.65000000002</v>
      </c>
      <c r="E468" s="11">
        <v>3</v>
      </c>
      <c r="F468" s="11">
        <v>98039.216</v>
      </c>
      <c r="G468" s="11">
        <v>74885</v>
      </c>
      <c r="H468" s="11">
        <v>219232.65</v>
      </c>
    </row>
    <row r="469" spans="2:8" x14ac:dyDescent="0.2">
      <c r="B469" s="5">
        <v>45978</v>
      </c>
      <c r="C469" t="s">
        <v>110</v>
      </c>
      <c r="D469" s="11">
        <v>50420.17</v>
      </c>
      <c r="E469" s="11">
        <v>1</v>
      </c>
      <c r="F469" s="11">
        <v>50420.17</v>
      </c>
      <c r="G469" s="11">
        <v>4740</v>
      </c>
      <c r="H469" s="11">
        <v>45680.17</v>
      </c>
    </row>
    <row r="470" spans="2:8" x14ac:dyDescent="0.2">
      <c r="B470" s="5">
        <v>45979</v>
      </c>
      <c r="C470" t="s">
        <v>109</v>
      </c>
      <c r="D470" s="11">
        <v>2135722.6800000002</v>
      </c>
      <c r="E470" s="11">
        <v>16</v>
      </c>
      <c r="F470" s="11">
        <v>133482.66699999999</v>
      </c>
      <c r="G470" s="11">
        <v>522488</v>
      </c>
      <c r="H470" s="11">
        <v>1514075.03</v>
      </c>
    </row>
    <row r="471" spans="2:8" x14ac:dyDescent="0.2">
      <c r="B471" s="5">
        <v>45979</v>
      </c>
      <c r="C471" t="s">
        <v>112</v>
      </c>
      <c r="D471" s="11">
        <v>1916386.55</v>
      </c>
      <c r="E471" s="11">
        <v>8</v>
      </c>
      <c r="F471" s="11">
        <v>239548.318</v>
      </c>
      <c r="G471" s="11">
        <v>645722</v>
      </c>
      <c r="H471" s="11">
        <v>1270664.55</v>
      </c>
    </row>
    <row r="472" spans="2:8" x14ac:dyDescent="0.2">
      <c r="B472" s="5">
        <v>45980</v>
      </c>
      <c r="C472" t="s">
        <v>109</v>
      </c>
      <c r="D472" s="11">
        <v>3164098.71</v>
      </c>
      <c r="E472" s="11">
        <v>15</v>
      </c>
      <c r="F472" s="11">
        <v>212666.66699999999</v>
      </c>
      <c r="G472" s="11">
        <v>967550</v>
      </c>
      <c r="H472" s="11">
        <v>2104263.0099999998</v>
      </c>
    </row>
    <row r="473" spans="2:8" x14ac:dyDescent="0.2">
      <c r="B473" s="5">
        <v>45980</v>
      </c>
      <c r="C473" t="s">
        <v>112</v>
      </c>
      <c r="D473" s="11">
        <v>2466386.5499999998</v>
      </c>
      <c r="E473" s="11">
        <v>8</v>
      </c>
      <c r="F473" s="11">
        <v>308298.31800000003</v>
      </c>
      <c r="G473" s="11">
        <v>694659</v>
      </c>
      <c r="H473" s="11">
        <v>1771727.55</v>
      </c>
    </row>
    <row r="474" spans="2:8" x14ac:dyDescent="0.2">
      <c r="B474" s="5">
        <v>45981</v>
      </c>
      <c r="C474" t="s">
        <v>109</v>
      </c>
      <c r="D474" s="11">
        <v>5886531.7300000004</v>
      </c>
      <c r="E474" s="11">
        <v>29</v>
      </c>
      <c r="F474" s="11">
        <v>204775.427</v>
      </c>
      <c r="G474" s="11">
        <v>1525955</v>
      </c>
      <c r="H474" s="11">
        <v>3768139.77</v>
      </c>
    </row>
    <row r="475" spans="2:8" x14ac:dyDescent="0.2">
      <c r="B475" s="5">
        <v>45981</v>
      </c>
      <c r="C475" t="s">
        <v>112</v>
      </c>
      <c r="D475" s="11">
        <v>2681512.63</v>
      </c>
      <c r="E475" s="11">
        <v>13</v>
      </c>
      <c r="F475" s="11">
        <v>206270.20199999999</v>
      </c>
      <c r="G475" s="11">
        <v>769763</v>
      </c>
      <c r="H475" s="11">
        <v>1911749.63</v>
      </c>
    </row>
    <row r="476" spans="2:8" x14ac:dyDescent="0.2">
      <c r="B476" s="5">
        <v>45981</v>
      </c>
      <c r="C476" t="s">
        <v>110</v>
      </c>
      <c r="D476" s="11">
        <v>500000</v>
      </c>
      <c r="E476" s="11">
        <v>1</v>
      </c>
      <c r="F476" s="11">
        <v>500000</v>
      </c>
      <c r="G476" s="11">
        <v>99762</v>
      </c>
      <c r="H476" s="11">
        <v>400238</v>
      </c>
    </row>
    <row r="477" spans="2:8" x14ac:dyDescent="0.2">
      <c r="B477" s="5">
        <v>45982</v>
      </c>
      <c r="C477" t="s">
        <v>112</v>
      </c>
      <c r="D477" s="11">
        <v>2046016.8</v>
      </c>
      <c r="E477" s="11">
        <v>13</v>
      </c>
      <c r="F477" s="11">
        <v>157385.90700000001</v>
      </c>
      <c r="G477" s="11">
        <v>561087</v>
      </c>
      <c r="H477" s="11">
        <v>1351518.04</v>
      </c>
    </row>
    <row r="478" spans="2:8" x14ac:dyDescent="0.2">
      <c r="B478" s="5">
        <v>45982</v>
      </c>
      <c r="C478" t="s">
        <v>109</v>
      </c>
      <c r="D478" s="11">
        <v>1411092.44</v>
      </c>
      <c r="E478" s="11">
        <v>5</v>
      </c>
      <c r="F478" s="11">
        <v>282218.48800000001</v>
      </c>
      <c r="G478" s="11">
        <v>499630</v>
      </c>
      <c r="H478" s="11">
        <v>911462.44</v>
      </c>
    </row>
    <row r="479" spans="2:8" x14ac:dyDescent="0.2">
      <c r="B479" s="5">
        <v>45983</v>
      </c>
      <c r="C479" t="s">
        <v>109</v>
      </c>
      <c r="D479" s="11">
        <v>3369588.25</v>
      </c>
      <c r="E479" s="11">
        <v>23</v>
      </c>
      <c r="F479" s="11">
        <v>146503.83600000001</v>
      </c>
      <c r="G479" s="11">
        <v>849398</v>
      </c>
      <c r="H479" s="11">
        <v>2196660.84</v>
      </c>
    </row>
    <row r="480" spans="2:8" x14ac:dyDescent="0.2">
      <c r="B480" s="5">
        <v>45983</v>
      </c>
      <c r="C480" t="s">
        <v>112</v>
      </c>
      <c r="D480" s="11">
        <v>592436.98</v>
      </c>
      <c r="E480" s="11">
        <v>5</v>
      </c>
      <c r="F480" s="11">
        <v>118487.39599999999</v>
      </c>
      <c r="G480" s="11">
        <v>167036</v>
      </c>
      <c r="H480" s="11">
        <v>425400.98</v>
      </c>
    </row>
    <row r="481" spans="2:8" x14ac:dyDescent="0.2">
      <c r="B481" s="5">
        <v>45984</v>
      </c>
      <c r="C481" t="s">
        <v>109</v>
      </c>
      <c r="D481" s="11">
        <v>4783042.0199999996</v>
      </c>
      <c r="E481" s="11">
        <v>22</v>
      </c>
      <c r="F481" s="11">
        <v>217411</v>
      </c>
      <c r="G481" s="11">
        <v>1623046</v>
      </c>
      <c r="H481" s="11">
        <v>3130584.26</v>
      </c>
    </row>
    <row r="482" spans="2:8" x14ac:dyDescent="0.2">
      <c r="B482" s="5">
        <v>45984</v>
      </c>
      <c r="C482" t="s">
        <v>112</v>
      </c>
      <c r="D482" s="11">
        <v>1092436.97</v>
      </c>
      <c r="E482" s="11">
        <v>4</v>
      </c>
      <c r="F482" s="11">
        <v>218487.39499999999</v>
      </c>
      <c r="G482" s="11">
        <v>369282</v>
      </c>
      <c r="H482" s="11">
        <v>723154.97</v>
      </c>
    </row>
    <row r="483" spans="2:8" x14ac:dyDescent="0.2">
      <c r="B483" s="5">
        <v>45985</v>
      </c>
      <c r="C483" t="s">
        <v>109</v>
      </c>
      <c r="D483" s="11">
        <v>7023815.1299999999</v>
      </c>
      <c r="E483" s="11">
        <v>27</v>
      </c>
      <c r="F483" s="11">
        <v>260141.30100000001</v>
      </c>
      <c r="G483" s="11">
        <v>2247455</v>
      </c>
      <c r="H483" s="11">
        <v>4557872.74</v>
      </c>
    </row>
    <row r="484" spans="2:8" x14ac:dyDescent="0.2">
      <c r="B484" s="5">
        <v>45985</v>
      </c>
      <c r="C484" t="s">
        <v>112</v>
      </c>
      <c r="D484" s="11">
        <v>3213655.47</v>
      </c>
      <c r="E484" s="11">
        <v>14</v>
      </c>
      <c r="F484" s="11">
        <v>229546.81899999999</v>
      </c>
      <c r="G484" s="11">
        <v>866914</v>
      </c>
      <c r="H484" s="11">
        <v>2346741.4700000002</v>
      </c>
    </row>
    <row r="485" spans="2:8" x14ac:dyDescent="0.2">
      <c r="B485" s="5">
        <v>45985</v>
      </c>
      <c r="C485" t="s">
        <v>1739</v>
      </c>
      <c r="D485" s="11">
        <v>494957.98</v>
      </c>
      <c r="E485" s="11">
        <v>1</v>
      </c>
      <c r="F485" s="11">
        <v>494957.98</v>
      </c>
      <c r="G485" s="11">
        <v>138052</v>
      </c>
      <c r="H485" s="11">
        <v>356905.98</v>
      </c>
    </row>
    <row r="486" spans="2:8" x14ac:dyDescent="0.2">
      <c r="B486" s="5">
        <v>45986</v>
      </c>
      <c r="C486" t="s">
        <v>109</v>
      </c>
      <c r="D486" s="11">
        <v>8316605.0499999998</v>
      </c>
      <c r="E486" s="11">
        <v>20</v>
      </c>
      <c r="F486" s="11">
        <v>415830.25199999998</v>
      </c>
      <c r="G486" s="11">
        <v>2634502</v>
      </c>
      <c r="H486" s="11">
        <v>5628103.0499999998</v>
      </c>
    </row>
    <row r="487" spans="2:8" x14ac:dyDescent="0.2">
      <c r="B487" s="5">
        <v>45986</v>
      </c>
      <c r="C487" t="s">
        <v>112</v>
      </c>
      <c r="D487" s="11">
        <v>1713991.6</v>
      </c>
      <c r="E487" s="11">
        <v>9</v>
      </c>
      <c r="F487" s="11">
        <v>190443.511</v>
      </c>
      <c r="G487" s="11">
        <v>548112</v>
      </c>
      <c r="H487" s="11">
        <v>1165879.6000000001</v>
      </c>
    </row>
    <row r="488" spans="2:8" x14ac:dyDescent="0.2">
      <c r="B488" s="5">
        <v>45987</v>
      </c>
      <c r="C488" t="s">
        <v>109</v>
      </c>
      <c r="D488" s="11">
        <v>4860714.28</v>
      </c>
      <c r="E488" s="11">
        <v>32</v>
      </c>
      <c r="F488" s="11">
        <v>151897.321</v>
      </c>
      <c r="G488" s="11">
        <v>1453620</v>
      </c>
      <c r="H488" s="11">
        <v>3377682.52</v>
      </c>
    </row>
    <row r="489" spans="2:8" x14ac:dyDescent="0.2">
      <c r="B489" s="5">
        <v>45987</v>
      </c>
      <c r="C489" t="s">
        <v>108</v>
      </c>
      <c r="D489" s="11">
        <v>2432142.86</v>
      </c>
      <c r="E489" s="11">
        <v>1</v>
      </c>
      <c r="F489" s="11">
        <v>2432142.86</v>
      </c>
      <c r="G489" s="11">
        <v>1038386</v>
      </c>
      <c r="H489" s="11">
        <v>768756.86</v>
      </c>
    </row>
    <row r="490" spans="2:8" x14ac:dyDescent="0.2">
      <c r="B490" s="5">
        <v>45987</v>
      </c>
      <c r="C490" t="s">
        <v>112</v>
      </c>
      <c r="D490" s="11">
        <v>1932773.11</v>
      </c>
      <c r="E490" s="11">
        <v>12</v>
      </c>
      <c r="F490" s="11">
        <v>161064.42499999999</v>
      </c>
      <c r="G490" s="11">
        <v>525552</v>
      </c>
      <c r="H490" s="11">
        <v>1407221.11</v>
      </c>
    </row>
    <row r="491" spans="2:8" x14ac:dyDescent="0.2">
      <c r="B491" s="5">
        <v>45988</v>
      </c>
      <c r="C491" t="s">
        <v>109</v>
      </c>
      <c r="D491" s="11">
        <v>4052100.86</v>
      </c>
      <c r="E491" s="11">
        <v>26</v>
      </c>
      <c r="F491" s="11">
        <v>155850.033</v>
      </c>
      <c r="G491" s="11">
        <v>1470743</v>
      </c>
      <c r="H491" s="11">
        <v>2581357.86</v>
      </c>
    </row>
    <row r="492" spans="2:8" x14ac:dyDescent="0.2">
      <c r="B492" s="5">
        <v>45988</v>
      </c>
      <c r="C492" t="s">
        <v>112</v>
      </c>
      <c r="D492" s="11">
        <v>1256303.53</v>
      </c>
      <c r="E492" s="11">
        <v>6</v>
      </c>
      <c r="F492" s="11">
        <v>209383.921</v>
      </c>
      <c r="G492" s="11">
        <v>330450</v>
      </c>
      <c r="H492" s="11">
        <v>925852.53</v>
      </c>
    </row>
    <row r="493" spans="2:8" x14ac:dyDescent="0.2">
      <c r="B493" s="5">
        <v>45988</v>
      </c>
      <c r="C493" t="s">
        <v>110</v>
      </c>
      <c r="D493" s="11">
        <v>214285.71</v>
      </c>
      <c r="E493" s="11">
        <v>3</v>
      </c>
      <c r="F493" s="11">
        <v>71428.570000000007</v>
      </c>
      <c r="G493" s="11">
        <v>45004</v>
      </c>
      <c r="H493" s="11">
        <v>169281.71</v>
      </c>
    </row>
    <row r="494" spans="2:8" x14ac:dyDescent="0.2">
      <c r="B494" s="5">
        <v>45989</v>
      </c>
      <c r="C494" t="s">
        <v>109</v>
      </c>
      <c r="D494" s="11">
        <v>7584554.5999999996</v>
      </c>
      <c r="E494" s="11">
        <v>36</v>
      </c>
      <c r="F494" s="11">
        <v>196676.47</v>
      </c>
      <c r="G494" s="11">
        <v>2352513</v>
      </c>
      <c r="H494" s="11">
        <v>5173218.08</v>
      </c>
    </row>
    <row r="495" spans="2:8" x14ac:dyDescent="0.2">
      <c r="B495" s="5">
        <v>45989</v>
      </c>
      <c r="C495" t="s">
        <v>112</v>
      </c>
      <c r="D495" s="11">
        <v>4075210.07</v>
      </c>
      <c r="E495" s="11">
        <v>12</v>
      </c>
      <c r="F495" s="11">
        <v>348004.2</v>
      </c>
      <c r="G495" s="11">
        <v>1231518</v>
      </c>
      <c r="H495" s="11">
        <v>2843692.07</v>
      </c>
    </row>
    <row r="496" spans="2:8" x14ac:dyDescent="0.2">
      <c r="B496" s="5">
        <v>45990</v>
      </c>
      <c r="C496" t="s">
        <v>109</v>
      </c>
      <c r="D496" s="11">
        <v>4637815.16</v>
      </c>
      <c r="E496" s="11">
        <v>30</v>
      </c>
      <c r="F496" s="11">
        <v>154593.83799999999</v>
      </c>
      <c r="G496" s="11">
        <v>1555803</v>
      </c>
      <c r="H496" s="11">
        <v>3052600.4</v>
      </c>
    </row>
    <row r="497" spans="2:8" x14ac:dyDescent="0.2">
      <c r="B497" s="5">
        <v>45990</v>
      </c>
      <c r="C497" t="s">
        <v>112</v>
      </c>
      <c r="D497" s="11">
        <v>1163865.55</v>
      </c>
      <c r="E497" s="11">
        <v>9</v>
      </c>
      <c r="F497" s="11">
        <v>129318.394</v>
      </c>
      <c r="G497" s="11">
        <v>341768</v>
      </c>
      <c r="H497" s="11">
        <v>822097.55</v>
      </c>
    </row>
    <row r="498" spans="2:8" x14ac:dyDescent="0.2">
      <c r="B498" s="5">
        <v>45990</v>
      </c>
      <c r="C498" t="s">
        <v>110</v>
      </c>
      <c r="D498" s="11">
        <v>205882.36</v>
      </c>
      <c r="E498" s="11">
        <v>2</v>
      </c>
      <c r="F498" s="11">
        <v>102941.18</v>
      </c>
      <c r="G498" s="11">
        <v>50868</v>
      </c>
      <c r="H498" s="11">
        <v>155014.35999999999</v>
      </c>
    </row>
    <row r="499" spans="2:8" x14ac:dyDescent="0.2">
      <c r="B499" s="5">
        <v>45991</v>
      </c>
      <c r="C499" t="s">
        <v>112</v>
      </c>
      <c r="D499" s="11">
        <v>3193277.32</v>
      </c>
      <c r="E499" s="11">
        <v>13</v>
      </c>
      <c r="F499" s="11">
        <v>245636.71599999999</v>
      </c>
      <c r="G499" s="11">
        <v>741460</v>
      </c>
      <c r="H499" s="11">
        <v>2224926.56</v>
      </c>
    </row>
    <row r="500" spans="2:8" x14ac:dyDescent="0.2">
      <c r="B500" s="5">
        <v>45991</v>
      </c>
      <c r="C500" t="s">
        <v>109</v>
      </c>
      <c r="D500" s="11">
        <v>2374789.9</v>
      </c>
      <c r="E500" s="11">
        <v>20</v>
      </c>
      <c r="F500" s="11">
        <v>114537.814</v>
      </c>
      <c r="G500" s="11">
        <v>662536</v>
      </c>
      <c r="H500" s="11">
        <v>1619396.76</v>
      </c>
    </row>
    <row r="501" spans="2:8" x14ac:dyDescent="0.2">
      <c r="B501" s="5">
        <v>45992</v>
      </c>
      <c r="C501" t="s">
        <v>109</v>
      </c>
      <c r="D501" s="11">
        <v>4719512.62</v>
      </c>
      <c r="E501" s="11">
        <v>17</v>
      </c>
      <c r="F501" s="11">
        <v>277618.38900000002</v>
      </c>
      <c r="G501" s="11">
        <v>1838349</v>
      </c>
      <c r="H501" s="11">
        <v>2767718.24</v>
      </c>
    </row>
    <row r="502" spans="2:8" x14ac:dyDescent="0.2">
      <c r="B502" s="5">
        <v>45992</v>
      </c>
      <c r="C502" t="s">
        <v>112</v>
      </c>
      <c r="D502" s="11">
        <v>4149478.97</v>
      </c>
      <c r="E502" s="11">
        <v>16</v>
      </c>
      <c r="F502" s="11">
        <v>269321.42700000003</v>
      </c>
      <c r="G502" s="11">
        <v>1209749</v>
      </c>
      <c r="H502" s="11">
        <v>2939729.97</v>
      </c>
    </row>
    <row r="503" spans="2:8" x14ac:dyDescent="0.2">
      <c r="B503" s="5">
        <v>45993</v>
      </c>
      <c r="C503" t="s">
        <v>109</v>
      </c>
      <c r="D503" s="11">
        <v>4956352.96</v>
      </c>
      <c r="E503" s="11">
        <v>33</v>
      </c>
      <c r="F503" s="11">
        <v>150192.51300000001</v>
      </c>
      <c r="G503" s="11">
        <v>1622181</v>
      </c>
      <c r="H503" s="11">
        <v>2974113.15</v>
      </c>
    </row>
    <row r="504" spans="2:8" x14ac:dyDescent="0.2">
      <c r="B504" s="5">
        <v>45993</v>
      </c>
      <c r="C504" t="s">
        <v>112</v>
      </c>
      <c r="D504" s="11">
        <v>2436974.79</v>
      </c>
      <c r="E504" s="11">
        <v>13</v>
      </c>
      <c r="F504" s="11">
        <v>187459.59899999999</v>
      </c>
      <c r="G504" s="11">
        <v>796777</v>
      </c>
      <c r="H504" s="11">
        <v>1640197.79</v>
      </c>
    </row>
    <row r="505" spans="2:8" x14ac:dyDescent="0.2">
      <c r="B505" s="5">
        <v>45994</v>
      </c>
      <c r="C505" t="s">
        <v>109</v>
      </c>
      <c r="D505" s="11">
        <v>12840974.75</v>
      </c>
      <c r="E505" s="11">
        <v>59</v>
      </c>
      <c r="F505" s="11">
        <v>217643.639</v>
      </c>
      <c r="G505" s="11">
        <v>3684692</v>
      </c>
      <c r="H505" s="11">
        <v>8198081.1100000003</v>
      </c>
    </row>
    <row r="506" spans="2:8" x14ac:dyDescent="0.2">
      <c r="B506" s="5">
        <v>45994</v>
      </c>
      <c r="C506" t="s">
        <v>112</v>
      </c>
      <c r="D506" s="11">
        <v>5580512.5999999996</v>
      </c>
      <c r="E506" s="11">
        <v>20</v>
      </c>
      <c r="F506" s="11">
        <v>279025.63</v>
      </c>
      <c r="G506" s="11">
        <v>1731695</v>
      </c>
      <c r="H506" s="11">
        <v>3848817.6</v>
      </c>
    </row>
    <row r="507" spans="2:8" x14ac:dyDescent="0.2">
      <c r="B507" s="5">
        <v>45995</v>
      </c>
      <c r="C507" t="s">
        <v>109</v>
      </c>
      <c r="D507" s="11">
        <v>7731932.7999999998</v>
      </c>
      <c r="E507" s="11">
        <v>33</v>
      </c>
      <c r="F507" s="11">
        <v>233155.08</v>
      </c>
      <c r="G507" s="11">
        <v>2313053</v>
      </c>
      <c r="H507" s="11">
        <v>5007115.0999999996</v>
      </c>
    </row>
    <row r="508" spans="2:8" x14ac:dyDescent="0.2">
      <c r="B508" s="5">
        <v>45995</v>
      </c>
      <c r="C508" t="s">
        <v>112</v>
      </c>
      <c r="D508" s="11">
        <v>2325210.09</v>
      </c>
      <c r="E508" s="11">
        <v>12</v>
      </c>
      <c r="F508" s="11">
        <v>193767.50700000001</v>
      </c>
      <c r="G508" s="11">
        <v>688924</v>
      </c>
      <c r="H508" s="11">
        <v>1636286.09</v>
      </c>
    </row>
    <row r="509" spans="2:8" x14ac:dyDescent="0.2">
      <c r="B509" s="5">
        <v>45996</v>
      </c>
      <c r="C509" t="s">
        <v>109</v>
      </c>
      <c r="D509" s="11">
        <v>5306941.18</v>
      </c>
      <c r="E509" s="11">
        <v>26</v>
      </c>
      <c r="F509" s="11">
        <v>204113.122</v>
      </c>
      <c r="G509" s="11">
        <v>1216900</v>
      </c>
      <c r="H509" s="11">
        <v>2645284.89</v>
      </c>
    </row>
    <row r="510" spans="2:8" x14ac:dyDescent="0.2">
      <c r="B510" s="5">
        <v>45996</v>
      </c>
      <c r="C510" t="s">
        <v>112</v>
      </c>
      <c r="D510" s="11">
        <v>1726891.75</v>
      </c>
      <c r="E510" s="11">
        <v>11</v>
      </c>
      <c r="F510" s="11">
        <v>157372.13</v>
      </c>
      <c r="G510" s="11">
        <v>580722</v>
      </c>
      <c r="H510" s="11">
        <v>1146168.75</v>
      </c>
    </row>
    <row r="511" spans="2:8" x14ac:dyDescent="0.2">
      <c r="B511" s="5">
        <v>45997</v>
      </c>
      <c r="C511" t="s">
        <v>109</v>
      </c>
      <c r="D511" s="11">
        <v>5864705.9000000004</v>
      </c>
      <c r="E511" s="11">
        <v>21</v>
      </c>
      <c r="F511" s="11">
        <v>264065.62599999999</v>
      </c>
      <c r="G511" s="11">
        <v>1573742</v>
      </c>
      <c r="H511" s="11">
        <v>4070795.83</v>
      </c>
    </row>
    <row r="512" spans="2:8" x14ac:dyDescent="0.2">
      <c r="B512" s="5">
        <v>45997</v>
      </c>
      <c r="C512" t="s">
        <v>112</v>
      </c>
      <c r="D512" s="11">
        <v>1029412.76</v>
      </c>
      <c r="E512" s="11">
        <v>9</v>
      </c>
      <c r="F512" s="11">
        <v>114379.19500000001</v>
      </c>
      <c r="G512" s="11">
        <v>289398</v>
      </c>
      <c r="H512" s="11">
        <v>740013.76</v>
      </c>
    </row>
    <row r="513" spans="2:8" x14ac:dyDescent="0.2">
      <c r="B513" s="5">
        <v>45998</v>
      </c>
      <c r="C513" t="s">
        <v>109</v>
      </c>
      <c r="D513" s="11">
        <v>6138655.4699999997</v>
      </c>
      <c r="E513" s="11">
        <v>20</v>
      </c>
      <c r="F513" s="11">
        <v>306932.77299999999</v>
      </c>
      <c r="G513" s="11">
        <v>2373532</v>
      </c>
      <c r="H513" s="11">
        <v>3559241.12</v>
      </c>
    </row>
    <row r="514" spans="2:8" x14ac:dyDescent="0.2">
      <c r="B514" s="5">
        <v>45998</v>
      </c>
      <c r="C514" t="s">
        <v>112</v>
      </c>
      <c r="D514" s="11">
        <v>3761344.54</v>
      </c>
      <c r="E514" s="11">
        <v>18</v>
      </c>
      <c r="F514" s="11">
        <v>214332.4</v>
      </c>
      <c r="G514" s="11">
        <v>1150300</v>
      </c>
      <c r="H514" s="11">
        <v>2258103.38</v>
      </c>
    </row>
    <row r="515" spans="2:8" x14ac:dyDescent="0.2">
      <c r="B515" s="5">
        <v>45999</v>
      </c>
      <c r="C515" t="s">
        <v>109</v>
      </c>
      <c r="D515" s="11">
        <v>4056302.52</v>
      </c>
      <c r="E515" s="11">
        <v>23</v>
      </c>
      <c r="F515" s="11">
        <v>171611.253</v>
      </c>
      <c r="G515" s="11">
        <v>1316735</v>
      </c>
      <c r="H515" s="11">
        <v>2621920.4700000002</v>
      </c>
    </row>
    <row r="516" spans="2:8" x14ac:dyDescent="0.2">
      <c r="B516" s="5">
        <v>45999</v>
      </c>
      <c r="C516" t="s">
        <v>112</v>
      </c>
      <c r="D516" s="11">
        <v>3184033.6</v>
      </c>
      <c r="E516" s="11">
        <v>15</v>
      </c>
      <c r="F516" s="11">
        <v>209803.92</v>
      </c>
      <c r="G516" s="11">
        <v>985281</v>
      </c>
      <c r="H516" s="11">
        <v>2198752.6</v>
      </c>
    </row>
    <row r="517" spans="2:8" x14ac:dyDescent="0.2">
      <c r="B517" s="5">
        <v>45999</v>
      </c>
      <c r="C517" t="s">
        <v>108</v>
      </c>
      <c r="D517" s="11">
        <v>808823.53</v>
      </c>
      <c r="E517" s="11">
        <v>1</v>
      </c>
      <c r="F517" s="11">
        <v>808823.53</v>
      </c>
      <c r="G517" s="11">
        <v>262998</v>
      </c>
      <c r="H517" s="11">
        <v>545825.53</v>
      </c>
    </row>
    <row r="518" spans="2:8" x14ac:dyDescent="0.2">
      <c r="B518" s="5">
        <v>46000</v>
      </c>
      <c r="C518" t="s">
        <v>109</v>
      </c>
      <c r="D518" s="11">
        <v>6055260.4800000004</v>
      </c>
      <c r="E518" s="11">
        <v>42</v>
      </c>
      <c r="F518" s="11">
        <v>143072.42800000001</v>
      </c>
      <c r="G518" s="11">
        <v>1854823</v>
      </c>
      <c r="H518" s="11">
        <v>4141613.96</v>
      </c>
    </row>
    <row r="519" spans="2:8" x14ac:dyDescent="0.2">
      <c r="B519" s="5">
        <v>46000</v>
      </c>
      <c r="C519" t="s">
        <v>112</v>
      </c>
      <c r="D519" s="11">
        <v>3567226.9</v>
      </c>
      <c r="E519" s="11">
        <v>20</v>
      </c>
      <c r="F519" s="11">
        <v>178361.345</v>
      </c>
      <c r="G519" s="11">
        <v>1192095</v>
      </c>
      <c r="H519" s="11">
        <v>2345720.14</v>
      </c>
    </row>
    <row r="520" spans="2:8" x14ac:dyDescent="0.2">
      <c r="B520" s="5">
        <v>46001</v>
      </c>
      <c r="C520" t="s">
        <v>109</v>
      </c>
      <c r="D520" s="11">
        <v>9363470.5800000001</v>
      </c>
      <c r="E520" s="11">
        <v>42</v>
      </c>
      <c r="F520" s="11">
        <v>227841.736</v>
      </c>
      <c r="G520" s="11">
        <v>2894146</v>
      </c>
      <c r="H520" s="11">
        <v>6311501.0599999996</v>
      </c>
    </row>
    <row r="521" spans="2:8" x14ac:dyDescent="0.2">
      <c r="B521" s="5">
        <v>46001</v>
      </c>
      <c r="C521" t="s">
        <v>112</v>
      </c>
      <c r="D521" s="11">
        <v>4054621.87</v>
      </c>
      <c r="E521" s="11">
        <v>27</v>
      </c>
      <c r="F521" s="11">
        <v>150171.18</v>
      </c>
      <c r="G521" s="11">
        <v>1086466</v>
      </c>
      <c r="H521" s="11">
        <v>2879920.58</v>
      </c>
    </row>
    <row r="522" spans="2:8" x14ac:dyDescent="0.2">
      <c r="B522" s="5">
        <v>46001</v>
      </c>
      <c r="C522" t="s">
        <v>1726</v>
      </c>
      <c r="D522" s="11">
        <v>1044411.77</v>
      </c>
      <c r="E522" s="11">
        <v>11</v>
      </c>
      <c r="F522" s="11">
        <v>94946.524000000005</v>
      </c>
      <c r="G522" s="11">
        <v>301031</v>
      </c>
      <c r="H522" s="11">
        <v>673716.91</v>
      </c>
    </row>
    <row r="523" spans="2:8" x14ac:dyDescent="0.2">
      <c r="B523" s="5">
        <v>46001</v>
      </c>
      <c r="C523" t="s">
        <v>1739</v>
      </c>
      <c r="D523" s="11">
        <v>184873.95</v>
      </c>
      <c r="E523" s="11">
        <v>1</v>
      </c>
      <c r="F523" s="11">
        <v>184873.95</v>
      </c>
      <c r="G523" s="11">
        <v>75270</v>
      </c>
      <c r="H523" s="11">
        <v>80192.179999999993</v>
      </c>
    </row>
    <row r="524" spans="2:8" x14ac:dyDescent="0.2">
      <c r="B524" s="5">
        <v>46002</v>
      </c>
      <c r="C524" t="s">
        <v>112</v>
      </c>
      <c r="D524" s="11">
        <v>8451261.5500000007</v>
      </c>
      <c r="E524" s="11">
        <v>74</v>
      </c>
      <c r="F524" s="11">
        <v>114206.23699999999</v>
      </c>
      <c r="G524" s="11">
        <v>2320360</v>
      </c>
      <c r="H524" s="11">
        <v>5974598.0499999998</v>
      </c>
    </row>
    <row r="525" spans="2:8" x14ac:dyDescent="0.2">
      <c r="B525" s="5">
        <v>46002</v>
      </c>
      <c r="C525" t="s">
        <v>109</v>
      </c>
      <c r="D525" s="11">
        <v>5881840.3799999999</v>
      </c>
      <c r="E525" s="11">
        <v>42</v>
      </c>
      <c r="F525" s="11">
        <v>140043.818</v>
      </c>
      <c r="G525" s="11">
        <v>1997010</v>
      </c>
      <c r="H525" s="11">
        <v>3855418.62</v>
      </c>
    </row>
    <row r="526" spans="2:8" x14ac:dyDescent="0.2">
      <c r="B526" s="5">
        <v>46002</v>
      </c>
      <c r="C526" t="s">
        <v>1726</v>
      </c>
      <c r="D526" s="11">
        <v>398823.53</v>
      </c>
      <c r="E526" s="11">
        <v>3</v>
      </c>
      <c r="F526" s="11">
        <v>135854.34299999999</v>
      </c>
      <c r="G526" s="11">
        <v>110355</v>
      </c>
      <c r="H526" s="11">
        <v>299308.87</v>
      </c>
    </row>
    <row r="527" spans="2:8" x14ac:dyDescent="0.2">
      <c r="B527" s="5">
        <v>46003</v>
      </c>
      <c r="C527" t="s">
        <v>112</v>
      </c>
      <c r="D527" s="11">
        <v>10614706.939999999</v>
      </c>
      <c r="E527" s="11">
        <v>74</v>
      </c>
      <c r="F527" s="11">
        <v>144009.78</v>
      </c>
      <c r="G527" s="11">
        <v>3066931</v>
      </c>
      <c r="H527" s="11">
        <v>7411640.5099999998</v>
      </c>
    </row>
    <row r="528" spans="2:8" x14ac:dyDescent="0.2">
      <c r="B528" s="5">
        <v>46003</v>
      </c>
      <c r="C528" t="s">
        <v>109</v>
      </c>
      <c r="D528" s="11">
        <v>4596411.8</v>
      </c>
      <c r="E528" s="11">
        <v>29</v>
      </c>
      <c r="F528" s="11">
        <v>158496.95800000001</v>
      </c>
      <c r="G528" s="11">
        <v>1361557</v>
      </c>
      <c r="H528" s="11">
        <v>3091997.66</v>
      </c>
    </row>
    <row r="529" spans="2:8" x14ac:dyDescent="0.2">
      <c r="B529" s="5">
        <v>46003</v>
      </c>
      <c r="C529" t="s">
        <v>108</v>
      </c>
      <c r="D529" s="11">
        <v>2682352.94</v>
      </c>
      <c r="E529" s="11">
        <v>1</v>
      </c>
      <c r="F529" s="11">
        <v>2682352.94</v>
      </c>
      <c r="G529" s="11">
        <v>1168160</v>
      </c>
      <c r="H529" s="11">
        <v>1514192.94</v>
      </c>
    </row>
    <row r="530" spans="2:8" x14ac:dyDescent="0.2">
      <c r="B530" s="5">
        <v>46003</v>
      </c>
      <c r="C530" t="s">
        <v>1726</v>
      </c>
      <c r="D530" s="11">
        <v>343697.48</v>
      </c>
      <c r="E530" s="11">
        <v>3</v>
      </c>
      <c r="F530" s="11">
        <v>114565.826</v>
      </c>
      <c r="G530" s="11">
        <v>76945</v>
      </c>
      <c r="H530" s="11">
        <v>259189.46</v>
      </c>
    </row>
    <row r="531" spans="2:8" x14ac:dyDescent="0.2">
      <c r="B531" s="5">
        <v>46004</v>
      </c>
      <c r="C531" t="s">
        <v>112</v>
      </c>
      <c r="D531" s="11">
        <v>12328741.550000001</v>
      </c>
      <c r="E531" s="11">
        <v>108</v>
      </c>
      <c r="F531" s="11">
        <v>114155.014</v>
      </c>
      <c r="G531" s="11">
        <v>3599415</v>
      </c>
      <c r="H531" s="11">
        <v>8650417.0199999996</v>
      </c>
    </row>
    <row r="532" spans="2:8" x14ac:dyDescent="0.2">
      <c r="B532" s="5">
        <v>46004</v>
      </c>
      <c r="C532" t="s">
        <v>109</v>
      </c>
      <c r="D532" s="11">
        <v>5771428.5599999996</v>
      </c>
      <c r="E532" s="11">
        <v>33</v>
      </c>
      <c r="F532" s="11">
        <v>175974.02499999999</v>
      </c>
      <c r="G532" s="11">
        <v>1834235</v>
      </c>
      <c r="H532" s="11">
        <v>3865344.82</v>
      </c>
    </row>
    <row r="533" spans="2:8" x14ac:dyDescent="0.2">
      <c r="B533" s="5">
        <v>46005</v>
      </c>
      <c r="C533" t="s">
        <v>1726</v>
      </c>
      <c r="D533" s="11">
        <v>7169327.75</v>
      </c>
      <c r="E533" s="11">
        <v>68</v>
      </c>
      <c r="F533" s="11">
        <v>105431.29</v>
      </c>
      <c r="G533" s="11">
        <v>1954757</v>
      </c>
      <c r="H533" s="11">
        <v>5176755.6500000004</v>
      </c>
    </row>
    <row r="534" spans="2:8" x14ac:dyDescent="0.2">
      <c r="B534" s="5">
        <v>46005</v>
      </c>
      <c r="C534" t="s">
        <v>109</v>
      </c>
      <c r="D534" s="11">
        <v>5107394.95</v>
      </c>
      <c r="E534" s="11">
        <v>39</v>
      </c>
      <c r="F534" s="11">
        <v>130958.844</v>
      </c>
      <c r="G534" s="11">
        <v>1631765</v>
      </c>
      <c r="H534" s="11">
        <v>3219747.6</v>
      </c>
    </row>
    <row r="535" spans="2:8" x14ac:dyDescent="0.2">
      <c r="B535" s="5">
        <v>46005</v>
      </c>
      <c r="C535" t="s">
        <v>112</v>
      </c>
      <c r="D535" s="11">
        <v>4906554.6500000004</v>
      </c>
      <c r="E535" s="11">
        <v>42</v>
      </c>
      <c r="F535" s="11">
        <v>118083.23299999999</v>
      </c>
      <c r="G535" s="11">
        <v>1406421</v>
      </c>
      <c r="H535" s="11">
        <v>3513579.02</v>
      </c>
    </row>
    <row r="536" spans="2:8" x14ac:dyDescent="0.2">
      <c r="B536" s="5">
        <v>46006</v>
      </c>
      <c r="C536" t="s">
        <v>109</v>
      </c>
      <c r="D536" s="11">
        <v>6264899.1799999997</v>
      </c>
      <c r="E536" s="11">
        <v>43</v>
      </c>
      <c r="F536" s="11">
        <v>145695.329</v>
      </c>
      <c r="G536" s="11">
        <v>1900842</v>
      </c>
      <c r="H536" s="11">
        <v>4235645.42</v>
      </c>
    </row>
    <row r="537" spans="2:8" x14ac:dyDescent="0.2">
      <c r="B537" s="5">
        <v>46006</v>
      </c>
      <c r="C537" t="s">
        <v>112</v>
      </c>
      <c r="D537" s="11">
        <v>1858823.54</v>
      </c>
      <c r="E537" s="11">
        <v>10</v>
      </c>
      <c r="F537" s="11">
        <v>188151.261</v>
      </c>
      <c r="G537" s="11">
        <v>529034</v>
      </c>
      <c r="H537" s="11">
        <v>1352478.61</v>
      </c>
    </row>
    <row r="538" spans="2:8" x14ac:dyDescent="0.2">
      <c r="B538" s="5">
        <v>46006</v>
      </c>
      <c r="C538" t="s">
        <v>1726</v>
      </c>
      <c r="D538" s="11">
        <v>-7563.02</v>
      </c>
      <c r="E538" s="11">
        <v>0</v>
      </c>
      <c r="F538" s="11"/>
      <c r="G538" s="11">
        <v>0</v>
      </c>
      <c r="H538" s="11">
        <v>0</v>
      </c>
    </row>
    <row r="539" spans="2:8" x14ac:dyDescent="0.2">
      <c r="B539" s="5">
        <v>46007</v>
      </c>
      <c r="C539" t="s">
        <v>109</v>
      </c>
      <c r="D539" s="11">
        <v>5701092.4500000002</v>
      </c>
      <c r="E539" s="11">
        <v>42</v>
      </c>
      <c r="F539" s="11">
        <v>137741.09599999999</v>
      </c>
      <c r="G539" s="11">
        <v>1739460</v>
      </c>
      <c r="H539" s="11">
        <v>3672976.99</v>
      </c>
    </row>
    <row r="540" spans="2:8" x14ac:dyDescent="0.2">
      <c r="B540" s="5">
        <v>46007</v>
      </c>
      <c r="C540" t="s">
        <v>112</v>
      </c>
      <c r="D540" s="11">
        <v>2108277.34</v>
      </c>
      <c r="E540" s="11">
        <v>8</v>
      </c>
      <c r="F540" s="11">
        <v>289049.36800000002</v>
      </c>
      <c r="G540" s="11">
        <v>546104</v>
      </c>
      <c r="H540" s="11">
        <v>1678055.65</v>
      </c>
    </row>
    <row r="541" spans="2:8" x14ac:dyDescent="0.2">
      <c r="B541" s="5">
        <v>46007</v>
      </c>
      <c r="C541" t="s">
        <v>1726</v>
      </c>
      <c r="D541" s="11">
        <v>-7563.02</v>
      </c>
      <c r="E541" s="11">
        <v>0</v>
      </c>
      <c r="F541" s="11"/>
      <c r="G541" s="11">
        <v>0</v>
      </c>
      <c r="H541" s="11">
        <v>0</v>
      </c>
    </row>
    <row r="542" spans="2:8" x14ac:dyDescent="0.2">
      <c r="B542" s="5">
        <v>46008</v>
      </c>
      <c r="C542" t="s">
        <v>109</v>
      </c>
      <c r="D542" s="11">
        <v>5599924.3700000001</v>
      </c>
      <c r="E542" s="11">
        <v>30</v>
      </c>
      <c r="F542" s="11">
        <v>186215.96599999999</v>
      </c>
      <c r="G542" s="11">
        <v>1772999</v>
      </c>
      <c r="H542" s="11">
        <v>3385589.23</v>
      </c>
    </row>
    <row r="543" spans="2:8" x14ac:dyDescent="0.2">
      <c r="B543" s="5">
        <v>46008</v>
      </c>
      <c r="C543" t="s">
        <v>112</v>
      </c>
      <c r="D543" s="11">
        <v>4141302.53</v>
      </c>
      <c r="E543" s="11">
        <v>23</v>
      </c>
      <c r="F543" s="11">
        <v>182102.66699999999</v>
      </c>
      <c r="G543" s="11">
        <v>1182719</v>
      </c>
      <c r="H543" s="11">
        <v>2866986.9</v>
      </c>
    </row>
    <row r="544" spans="2:8" x14ac:dyDescent="0.2">
      <c r="B544" s="5">
        <v>46008</v>
      </c>
      <c r="C544" t="s">
        <v>1726</v>
      </c>
      <c r="D544" s="11">
        <v>-30252.080000000002</v>
      </c>
      <c r="E544" s="11">
        <v>0</v>
      </c>
      <c r="F544" s="11"/>
      <c r="G544" s="11">
        <v>0</v>
      </c>
      <c r="H544" s="11">
        <v>0</v>
      </c>
    </row>
    <row r="545" spans="2:8" x14ac:dyDescent="0.2">
      <c r="B545" s="5">
        <v>46009</v>
      </c>
      <c r="C545" t="s">
        <v>109</v>
      </c>
      <c r="D545" s="11">
        <v>5991352.9500000002</v>
      </c>
      <c r="E545" s="11">
        <v>35</v>
      </c>
      <c r="F545" s="11">
        <v>171421.60800000001</v>
      </c>
      <c r="G545" s="11">
        <v>1640029</v>
      </c>
      <c r="H545" s="11">
        <v>4072332.37</v>
      </c>
    </row>
    <row r="546" spans="2:8" x14ac:dyDescent="0.2">
      <c r="B546" s="5">
        <v>46009</v>
      </c>
      <c r="C546" t="s">
        <v>112</v>
      </c>
      <c r="D546" s="11">
        <v>2081512.61</v>
      </c>
      <c r="E546" s="11">
        <v>7</v>
      </c>
      <c r="F546" s="11">
        <v>312124.84999999998</v>
      </c>
      <c r="G546" s="11">
        <v>527953</v>
      </c>
      <c r="H546" s="11">
        <v>1326668.8500000001</v>
      </c>
    </row>
    <row r="547" spans="2:8" x14ac:dyDescent="0.2">
      <c r="B547" s="5">
        <v>46010</v>
      </c>
      <c r="C547" t="s">
        <v>109</v>
      </c>
      <c r="D547" s="11">
        <v>4271134.4400000004</v>
      </c>
      <c r="E547" s="11">
        <v>43</v>
      </c>
      <c r="F547" s="11">
        <v>99328.706999999995</v>
      </c>
      <c r="G547" s="11">
        <v>1150518</v>
      </c>
      <c r="H547" s="11">
        <v>2765994.61</v>
      </c>
    </row>
    <row r="548" spans="2:8" x14ac:dyDescent="0.2">
      <c r="B548" s="5">
        <v>46010</v>
      </c>
      <c r="C548" t="s">
        <v>112</v>
      </c>
      <c r="D548" s="11">
        <v>546218.49</v>
      </c>
      <c r="E548" s="11">
        <v>3</v>
      </c>
      <c r="F548" s="11">
        <v>182072.83</v>
      </c>
      <c r="G548" s="11">
        <v>129395</v>
      </c>
      <c r="H548" s="11">
        <v>416823.49</v>
      </c>
    </row>
    <row r="549" spans="2:8" x14ac:dyDescent="0.2">
      <c r="B549" s="5">
        <v>46011</v>
      </c>
      <c r="C549" t="s">
        <v>109</v>
      </c>
      <c r="D549" s="11">
        <v>7114453.79</v>
      </c>
      <c r="E549" s="11">
        <v>42</v>
      </c>
      <c r="F549" s="11">
        <v>169391.75599999999</v>
      </c>
      <c r="G549" s="11">
        <v>2061867</v>
      </c>
      <c r="H549" s="11">
        <v>4466452.3499999996</v>
      </c>
    </row>
    <row r="550" spans="2:8" x14ac:dyDescent="0.2">
      <c r="B550" s="5">
        <v>46011</v>
      </c>
      <c r="C550" t="s">
        <v>112</v>
      </c>
      <c r="D550" s="11">
        <v>382352.94</v>
      </c>
      <c r="E550" s="11">
        <v>3</v>
      </c>
      <c r="F550" s="11">
        <v>127450.98</v>
      </c>
      <c r="G550" s="11">
        <v>83629</v>
      </c>
      <c r="H550" s="11">
        <v>239900.41</v>
      </c>
    </row>
    <row r="551" spans="2:8" x14ac:dyDescent="0.2">
      <c r="B551" s="5">
        <v>46012</v>
      </c>
      <c r="C551" t="s">
        <v>109</v>
      </c>
      <c r="D551" s="11">
        <v>6399991.6100000003</v>
      </c>
      <c r="E551" s="11">
        <v>37</v>
      </c>
      <c r="F551" s="11">
        <v>182691.57399999999</v>
      </c>
      <c r="G551" s="11">
        <v>1989192</v>
      </c>
      <c r="H551" s="11">
        <v>3980841.64</v>
      </c>
    </row>
    <row r="552" spans="2:8" x14ac:dyDescent="0.2">
      <c r="B552" s="5">
        <v>46012</v>
      </c>
      <c r="C552" t="s">
        <v>112</v>
      </c>
      <c r="D552" s="11">
        <v>630252.11</v>
      </c>
      <c r="E552" s="11">
        <v>3</v>
      </c>
      <c r="F552" s="11">
        <v>210084.03599999999</v>
      </c>
      <c r="G552" s="11">
        <v>154114</v>
      </c>
      <c r="H552" s="11">
        <v>476138.11</v>
      </c>
    </row>
    <row r="553" spans="2:8" x14ac:dyDescent="0.2">
      <c r="B553" s="5">
        <v>46013</v>
      </c>
      <c r="C553" t="s">
        <v>109</v>
      </c>
      <c r="D553" s="11">
        <v>6431966.3200000003</v>
      </c>
      <c r="E553" s="11">
        <v>50</v>
      </c>
      <c r="F553" s="11">
        <v>130235.965</v>
      </c>
      <c r="G553" s="11">
        <v>1763014</v>
      </c>
      <c r="H553" s="11">
        <v>4408448.1399999997</v>
      </c>
    </row>
    <row r="554" spans="2:8" x14ac:dyDescent="0.2">
      <c r="B554" s="5">
        <v>46013</v>
      </c>
      <c r="C554" t="s">
        <v>108</v>
      </c>
      <c r="D554" s="11">
        <v>6271016.7999999998</v>
      </c>
      <c r="E554" s="11">
        <v>1</v>
      </c>
      <c r="F554" s="11">
        <v>6386554.6200000001</v>
      </c>
      <c r="G554" s="11">
        <v>1952889</v>
      </c>
      <c r="H554" s="11">
        <v>4318127.8</v>
      </c>
    </row>
    <row r="555" spans="2:8" x14ac:dyDescent="0.2">
      <c r="B555" s="5">
        <v>46013</v>
      </c>
      <c r="C555" t="s">
        <v>112</v>
      </c>
      <c r="D555" s="11">
        <v>399159.67</v>
      </c>
      <c r="E555" s="11">
        <v>4</v>
      </c>
      <c r="F555" s="11">
        <v>99789.917000000001</v>
      </c>
      <c r="G555" s="11">
        <v>107003</v>
      </c>
      <c r="H555" s="11">
        <v>292156.67</v>
      </c>
    </row>
    <row r="556" spans="2:8" x14ac:dyDescent="0.2">
      <c r="B556" s="5">
        <v>46014</v>
      </c>
      <c r="C556" t="s">
        <v>109</v>
      </c>
      <c r="D556" s="11">
        <v>8242739.4500000002</v>
      </c>
      <c r="E556" s="11">
        <v>64</v>
      </c>
      <c r="F556" s="11">
        <v>128792.803</v>
      </c>
      <c r="G556" s="11">
        <v>2623499</v>
      </c>
      <c r="H556" s="11">
        <v>5303484.1500000004</v>
      </c>
    </row>
    <row r="557" spans="2:8" x14ac:dyDescent="0.2">
      <c r="B557" s="5">
        <v>46014</v>
      </c>
      <c r="C557" t="s">
        <v>112</v>
      </c>
      <c r="D557" s="11">
        <v>743697.48</v>
      </c>
      <c r="E557" s="11">
        <v>4</v>
      </c>
      <c r="F557" s="11">
        <v>185924.37</v>
      </c>
      <c r="G557" s="11">
        <v>225664</v>
      </c>
      <c r="H557" s="11">
        <v>518033.48</v>
      </c>
    </row>
    <row r="558" spans="2:8" x14ac:dyDescent="0.2">
      <c r="B558" s="5">
        <v>46015</v>
      </c>
      <c r="C558" t="s">
        <v>109</v>
      </c>
      <c r="D558" s="11">
        <v>3911142.84</v>
      </c>
      <c r="E558" s="11">
        <v>34</v>
      </c>
      <c r="F558" s="11">
        <v>115033.61199999999</v>
      </c>
      <c r="G558" s="11">
        <v>1290603</v>
      </c>
      <c r="H558" s="11">
        <v>2470741.52</v>
      </c>
    </row>
    <row r="559" spans="2:8" x14ac:dyDescent="0.2">
      <c r="B559" s="5">
        <v>46015</v>
      </c>
      <c r="C559" t="s">
        <v>112</v>
      </c>
      <c r="D559" s="11">
        <v>336134.45</v>
      </c>
      <c r="E559" s="11">
        <v>2</v>
      </c>
      <c r="F559" s="11">
        <v>168067.22500000001</v>
      </c>
      <c r="G559" s="11">
        <v>94100</v>
      </c>
      <c r="H559" s="11">
        <v>242034.45</v>
      </c>
    </row>
    <row r="560" spans="2:8" x14ac:dyDescent="0.2">
      <c r="B560" s="5">
        <v>46016</v>
      </c>
      <c r="C560" t="s">
        <v>112</v>
      </c>
      <c r="D560" s="11">
        <v>407563.03</v>
      </c>
      <c r="E560" s="11">
        <v>3</v>
      </c>
      <c r="F560" s="11">
        <v>135854.34299999999</v>
      </c>
      <c r="G560" s="11">
        <v>126794</v>
      </c>
      <c r="H560" s="11">
        <v>280769.03000000003</v>
      </c>
    </row>
    <row r="561" spans="2:8" x14ac:dyDescent="0.2">
      <c r="B561" s="5">
        <v>46017</v>
      </c>
      <c r="C561" t="s">
        <v>108</v>
      </c>
      <c r="D561" s="11">
        <v>6806722.6900000004</v>
      </c>
      <c r="E561" s="11">
        <v>1</v>
      </c>
      <c r="F561" s="11">
        <v>6806722.6900000004</v>
      </c>
      <c r="G561" s="11">
        <v>2007630</v>
      </c>
      <c r="H561" s="11">
        <v>4799092.6900000004</v>
      </c>
    </row>
    <row r="562" spans="2:8" x14ac:dyDescent="0.2">
      <c r="B562" s="5">
        <v>46017</v>
      </c>
      <c r="C562" t="s">
        <v>110</v>
      </c>
      <c r="D562" s="11">
        <v>2109243.7000000002</v>
      </c>
      <c r="E562" s="11">
        <v>1</v>
      </c>
      <c r="F562" s="11">
        <v>2109243.7000000002</v>
      </c>
      <c r="G562" s="11">
        <v>506965</v>
      </c>
      <c r="H562" s="11">
        <v>1602278.7</v>
      </c>
    </row>
    <row r="563" spans="2:8" x14ac:dyDescent="0.2">
      <c r="B563" s="5">
        <v>46017</v>
      </c>
      <c r="C563" t="s">
        <v>112</v>
      </c>
      <c r="D563" s="11">
        <v>1434873.96</v>
      </c>
      <c r="E563" s="11">
        <v>15</v>
      </c>
      <c r="F563" s="11">
        <v>95658.263999999996</v>
      </c>
      <c r="G563" s="11">
        <v>475837</v>
      </c>
      <c r="H563" s="11">
        <v>959036.96</v>
      </c>
    </row>
    <row r="564" spans="2:8" x14ac:dyDescent="0.2">
      <c r="B564" s="5">
        <v>46017</v>
      </c>
      <c r="C564" t="s">
        <v>109</v>
      </c>
      <c r="D564" s="11">
        <v>589075.63</v>
      </c>
      <c r="E564" s="11">
        <v>6</v>
      </c>
      <c r="F564" s="11">
        <v>98179.270999999993</v>
      </c>
      <c r="G564" s="11">
        <v>133181</v>
      </c>
      <c r="H564" s="11">
        <v>455894.63</v>
      </c>
    </row>
    <row r="565" spans="2:8" x14ac:dyDescent="0.2">
      <c r="B565" s="5">
        <v>46018</v>
      </c>
      <c r="C565" t="s">
        <v>109</v>
      </c>
      <c r="D565" s="11">
        <v>1378411.75</v>
      </c>
      <c r="E565" s="11">
        <v>10</v>
      </c>
      <c r="F565" s="11">
        <v>137841.17499999999</v>
      </c>
      <c r="G565" s="11">
        <v>260729</v>
      </c>
      <c r="H565" s="11">
        <v>985749.98</v>
      </c>
    </row>
    <row r="566" spans="2:8" x14ac:dyDescent="0.2">
      <c r="B566" s="5">
        <v>46018</v>
      </c>
      <c r="C566" t="s">
        <v>112</v>
      </c>
      <c r="D566" s="11">
        <v>218487.39</v>
      </c>
      <c r="E566" s="11">
        <v>1</v>
      </c>
      <c r="F566" s="11">
        <v>218487.39</v>
      </c>
      <c r="G566" s="11">
        <v>75055</v>
      </c>
      <c r="H566" s="11">
        <v>143432.39000000001</v>
      </c>
    </row>
    <row r="567" spans="2:8" x14ac:dyDescent="0.2">
      <c r="B567" s="5">
        <v>46019</v>
      </c>
      <c r="C567" t="s">
        <v>112</v>
      </c>
      <c r="D567" s="11">
        <v>567226.89</v>
      </c>
      <c r="E567" s="11">
        <v>5</v>
      </c>
      <c r="F567" s="11">
        <v>113445.378</v>
      </c>
      <c r="G567" s="11">
        <v>207069</v>
      </c>
      <c r="H567" s="11">
        <v>360157.89</v>
      </c>
    </row>
    <row r="568" spans="2:8" x14ac:dyDescent="0.2">
      <c r="B568" s="5">
        <v>46020</v>
      </c>
      <c r="C568" t="s">
        <v>112</v>
      </c>
      <c r="D568" s="11">
        <v>1699495.8</v>
      </c>
      <c r="E568" s="11">
        <v>6</v>
      </c>
      <c r="F568" s="11">
        <v>283249.3</v>
      </c>
      <c r="G568" s="11">
        <v>569260</v>
      </c>
      <c r="H568" s="11">
        <v>1130235.8</v>
      </c>
    </row>
    <row r="569" spans="2:8" x14ac:dyDescent="0.2">
      <c r="B569" s="5">
        <v>46020</v>
      </c>
      <c r="C569" t="s">
        <v>108</v>
      </c>
      <c r="D569" s="11">
        <v>861344.54</v>
      </c>
      <c r="E569" s="11">
        <v>1</v>
      </c>
      <c r="F569" s="11">
        <v>861344.54</v>
      </c>
      <c r="G569" s="11">
        <v>200511</v>
      </c>
      <c r="H569" s="11">
        <v>660833.54</v>
      </c>
    </row>
    <row r="570" spans="2:8" x14ac:dyDescent="0.2">
      <c r="B570" s="5">
        <v>46020</v>
      </c>
      <c r="C570" t="s">
        <v>109</v>
      </c>
      <c r="D570" s="11">
        <v>771428.56</v>
      </c>
      <c r="E570" s="11">
        <v>7</v>
      </c>
      <c r="F570" s="11">
        <v>110204.08</v>
      </c>
      <c r="G570" s="11">
        <v>236744</v>
      </c>
      <c r="H570" s="11">
        <v>534684.56000000006</v>
      </c>
    </row>
    <row r="571" spans="2:8" x14ac:dyDescent="0.2">
      <c r="B571" s="5">
        <v>46021</v>
      </c>
      <c r="C571" t="s">
        <v>108</v>
      </c>
      <c r="D571" s="11">
        <v>6386554.6200000001</v>
      </c>
      <c r="E571" s="11">
        <v>1</v>
      </c>
      <c r="F571" s="11">
        <v>6386554.6200000001</v>
      </c>
      <c r="G571" s="11">
        <v>1579872</v>
      </c>
      <c r="H571" s="11">
        <v>4806682.62</v>
      </c>
    </row>
    <row r="572" spans="2:8" x14ac:dyDescent="0.2">
      <c r="B572" s="5">
        <v>46021</v>
      </c>
      <c r="C572" t="s">
        <v>112</v>
      </c>
      <c r="D572" s="11">
        <v>1197479</v>
      </c>
      <c r="E572" s="11">
        <v>5</v>
      </c>
      <c r="F572" s="11">
        <v>239495.8</v>
      </c>
      <c r="G572" s="11">
        <v>361426</v>
      </c>
      <c r="H572" s="11">
        <v>836053</v>
      </c>
    </row>
    <row r="573" spans="2:8" x14ac:dyDescent="0.2">
      <c r="B573" s="5">
        <v>46021</v>
      </c>
      <c r="C573" t="s">
        <v>109</v>
      </c>
      <c r="D573" s="11">
        <v>671554.63</v>
      </c>
      <c r="E573" s="11">
        <v>9</v>
      </c>
      <c r="F573" s="11">
        <v>74617.180999999997</v>
      </c>
      <c r="G573" s="11">
        <v>244987</v>
      </c>
      <c r="H573" s="11">
        <v>426567.63</v>
      </c>
    </row>
    <row r="574" spans="2:8" x14ac:dyDescent="0.2">
      <c r="B574" s="5">
        <v>46022</v>
      </c>
      <c r="C574" t="s">
        <v>108</v>
      </c>
      <c r="D574" s="11">
        <v>20172184.879999999</v>
      </c>
      <c r="E574" s="11">
        <v>6</v>
      </c>
      <c r="F574" s="11">
        <v>3362030.8130000001</v>
      </c>
      <c r="G574" s="11">
        <v>5338698</v>
      </c>
      <c r="H574" s="11">
        <v>11151647.74</v>
      </c>
    </row>
    <row r="575" spans="2:8" x14ac:dyDescent="0.2">
      <c r="B575" s="5">
        <v>46022</v>
      </c>
      <c r="C575" t="s">
        <v>112</v>
      </c>
      <c r="D575" s="11">
        <v>529411.76</v>
      </c>
      <c r="E575" s="11">
        <v>3</v>
      </c>
      <c r="F575" s="11">
        <v>176470.58600000001</v>
      </c>
      <c r="G575" s="11">
        <v>392551</v>
      </c>
      <c r="H575" s="11">
        <v>136860.76</v>
      </c>
    </row>
    <row r="576" spans="2:8" x14ac:dyDescent="0.2">
      <c r="B576" s="5">
        <v>46022</v>
      </c>
      <c r="C576" t="s">
        <v>110</v>
      </c>
      <c r="D576" s="11">
        <v>134453.78</v>
      </c>
      <c r="E576" s="11">
        <v>1</v>
      </c>
      <c r="F576" s="11">
        <v>134453.78</v>
      </c>
      <c r="G576" s="11">
        <v>36166</v>
      </c>
      <c r="H576" s="11">
        <v>98287.78</v>
      </c>
    </row>
    <row r="577" spans="2:8" x14ac:dyDescent="0.2">
      <c r="B577" s="5">
        <v>46022</v>
      </c>
      <c r="C577" t="s">
        <v>109</v>
      </c>
      <c r="D577" s="11">
        <v>58823.53</v>
      </c>
      <c r="E577" s="11">
        <v>1</v>
      </c>
      <c r="F577" s="11">
        <v>58823.53</v>
      </c>
      <c r="G577" s="11">
        <v>16325</v>
      </c>
      <c r="H577" s="11">
        <v>42498.53</v>
      </c>
    </row>
    <row r="578" spans="2:8" x14ac:dyDescent="0.2">
      <c r="B578" s="5">
        <v>46023</v>
      </c>
      <c r="C578" t="s">
        <v>112</v>
      </c>
      <c r="D578" s="11">
        <v>100840.34</v>
      </c>
      <c r="E578" s="11">
        <v>1</v>
      </c>
      <c r="F578" s="11">
        <v>100840.34</v>
      </c>
      <c r="G578" s="11">
        <v>41720</v>
      </c>
      <c r="H578" s="11">
        <v>59120.34</v>
      </c>
    </row>
    <row r="579" spans="2:8" x14ac:dyDescent="0.2">
      <c r="B579" s="5">
        <v>46024</v>
      </c>
      <c r="C579" t="s">
        <v>112</v>
      </c>
      <c r="D579" s="11">
        <v>462184.88</v>
      </c>
      <c r="E579" s="11">
        <v>3</v>
      </c>
      <c r="F579" s="11">
        <v>154061.62599999999</v>
      </c>
      <c r="G579" s="11">
        <v>134383</v>
      </c>
      <c r="H579" s="11">
        <v>327801.88</v>
      </c>
    </row>
    <row r="580" spans="2:8" x14ac:dyDescent="0.2">
      <c r="B580" s="5">
        <v>46025</v>
      </c>
      <c r="C580" t="s">
        <v>112</v>
      </c>
      <c r="D580" s="11">
        <v>578151.27</v>
      </c>
      <c r="E580" s="11">
        <v>5</v>
      </c>
      <c r="F580" s="11">
        <v>115630.254</v>
      </c>
      <c r="G580" s="11">
        <v>198137</v>
      </c>
      <c r="H580" s="11">
        <v>380014.27</v>
      </c>
    </row>
    <row r="581" spans="2:8" x14ac:dyDescent="0.2">
      <c r="B581" s="5">
        <v>46025</v>
      </c>
      <c r="C581" t="s">
        <v>109</v>
      </c>
      <c r="D581" s="11">
        <v>58823.53</v>
      </c>
      <c r="E581" s="11">
        <v>1</v>
      </c>
      <c r="F581" s="11">
        <v>58823.53</v>
      </c>
      <c r="G581" s="11">
        <v>18861</v>
      </c>
      <c r="H581" s="11">
        <v>39962.53</v>
      </c>
    </row>
    <row r="582" spans="2:8" x14ac:dyDescent="0.2">
      <c r="B582" s="5">
        <v>46026</v>
      </c>
      <c r="C582" t="s">
        <v>112</v>
      </c>
      <c r="D582" s="11">
        <v>344537.82</v>
      </c>
      <c r="E582" s="11">
        <v>3</v>
      </c>
      <c r="F582" s="11">
        <v>114845.94</v>
      </c>
      <c r="G582" s="11">
        <v>136786</v>
      </c>
      <c r="H582" s="11">
        <v>207751.82</v>
      </c>
    </row>
    <row r="583" spans="2:8" x14ac:dyDescent="0.2">
      <c r="B583" s="5">
        <v>46027</v>
      </c>
      <c r="C583" t="s">
        <v>112</v>
      </c>
      <c r="D583" s="11">
        <v>1208403.3700000001</v>
      </c>
      <c r="E583" s="11">
        <v>6</v>
      </c>
      <c r="F583" s="11">
        <v>201400.56099999999</v>
      </c>
      <c r="G583" s="11">
        <v>425635</v>
      </c>
      <c r="H583" s="11">
        <v>782768.37</v>
      </c>
    </row>
    <row r="584" spans="2:8" x14ac:dyDescent="0.2">
      <c r="B584" s="5">
        <v>46027</v>
      </c>
      <c r="C584" t="s">
        <v>109</v>
      </c>
      <c r="D584" s="11">
        <v>587815.13</v>
      </c>
      <c r="E584" s="11">
        <v>7</v>
      </c>
      <c r="F584" s="11">
        <v>83973.59</v>
      </c>
      <c r="G584" s="11">
        <v>201037</v>
      </c>
      <c r="H584" s="11">
        <v>386778.13</v>
      </c>
    </row>
    <row r="585" spans="2:8" x14ac:dyDescent="0.2">
      <c r="B585" s="5">
        <v>46028</v>
      </c>
      <c r="C585" t="s">
        <v>109</v>
      </c>
      <c r="D585" s="11">
        <v>995378.15</v>
      </c>
      <c r="E585" s="11">
        <v>7</v>
      </c>
      <c r="F585" s="11">
        <v>142196.878</v>
      </c>
      <c r="G585" s="11">
        <v>271548</v>
      </c>
      <c r="H585" s="11">
        <v>694418.39</v>
      </c>
    </row>
    <row r="586" spans="2:8" x14ac:dyDescent="0.2">
      <c r="B586" s="5">
        <v>46028</v>
      </c>
      <c r="C586" t="s">
        <v>112</v>
      </c>
      <c r="D586" s="11">
        <v>302521.02</v>
      </c>
      <c r="E586" s="11">
        <v>3</v>
      </c>
      <c r="F586" s="11">
        <v>100840.34</v>
      </c>
      <c r="G586" s="11">
        <v>125160</v>
      </c>
      <c r="H586" s="11">
        <v>177361.02</v>
      </c>
    </row>
    <row r="587" spans="2:8" x14ac:dyDescent="0.2">
      <c r="B587" s="5">
        <v>46028</v>
      </c>
      <c r="C587" t="s">
        <v>110</v>
      </c>
      <c r="D587" s="11">
        <v>46218.49</v>
      </c>
      <c r="E587" s="11">
        <v>1</v>
      </c>
      <c r="F587" s="11">
        <v>46218.49</v>
      </c>
      <c r="G587" s="11">
        <v>11740</v>
      </c>
      <c r="H587" s="11">
        <v>34478.49</v>
      </c>
    </row>
    <row r="588" spans="2:8" x14ac:dyDescent="0.2">
      <c r="B588" s="5">
        <v>46029</v>
      </c>
      <c r="C588" t="s">
        <v>109</v>
      </c>
      <c r="D588" s="11">
        <v>1860504.22</v>
      </c>
      <c r="E588" s="11">
        <v>15</v>
      </c>
      <c r="F588" s="11">
        <v>139159.66500000001</v>
      </c>
      <c r="G588" s="11">
        <v>427570</v>
      </c>
      <c r="H588" s="11">
        <v>1158144.3</v>
      </c>
    </row>
    <row r="589" spans="2:8" x14ac:dyDescent="0.2">
      <c r="B589" s="5">
        <v>46029</v>
      </c>
      <c r="C589" t="s">
        <v>112</v>
      </c>
      <c r="D589" s="11">
        <v>1563025.22</v>
      </c>
      <c r="E589" s="11">
        <v>6</v>
      </c>
      <c r="F589" s="11">
        <v>260504.20300000001</v>
      </c>
      <c r="G589" s="11">
        <v>569458</v>
      </c>
      <c r="H589" s="11">
        <v>993567.22</v>
      </c>
    </row>
    <row r="590" spans="2:8" x14ac:dyDescent="0.2">
      <c r="B590" s="5">
        <v>46030</v>
      </c>
      <c r="C590" t="s">
        <v>109</v>
      </c>
      <c r="D590" s="11">
        <v>2176050.4300000002</v>
      </c>
      <c r="E590" s="11">
        <v>14</v>
      </c>
      <c r="F590" s="11">
        <v>155432.17300000001</v>
      </c>
      <c r="G590" s="11">
        <v>507169</v>
      </c>
      <c r="H590" s="11">
        <v>1526024.3</v>
      </c>
    </row>
    <row r="591" spans="2:8" x14ac:dyDescent="0.2">
      <c r="B591" s="5">
        <v>46030</v>
      </c>
      <c r="C591" t="s">
        <v>112</v>
      </c>
      <c r="D591" s="11">
        <v>1012605.05</v>
      </c>
      <c r="E591" s="11">
        <v>10</v>
      </c>
      <c r="F591" s="11">
        <v>105882.35400000001</v>
      </c>
      <c r="G591" s="11">
        <v>282306</v>
      </c>
      <c r="H591" s="11">
        <v>671475.52</v>
      </c>
    </row>
    <row r="592" spans="2:8" x14ac:dyDescent="0.2">
      <c r="B592" s="5">
        <v>46031</v>
      </c>
      <c r="C592" t="s">
        <v>109</v>
      </c>
      <c r="D592" s="11">
        <v>1252100.83</v>
      </c>
      <c r="E592" s="11">
        <v>9</v>
      </c>
      <c r="F592" s="11">
        <v>139122.31400000001</v>
      </c>
      <c r="G592" s="11">
        <v>425419</v>
      </c>
      <c r="H592" s="11">
        <v>797270.07</v>
      </c>
    </row>
    <row r="593" spans="2:8" x14ac:dyDescent="0.2">
      <c r="B593" s="5">
        <v>46031</v>
      </c>
      <c r="C593" t="s">
        <v>112</v>
      </c>
      <c r="D593" s="11">
        <v>856806.71</v>
      </c>
      <c r="E593" s="11">
        <v>6</v>
      </c>
      <c r="F593" s="11">
        <v>142801.11799999999</v>
      </c>
      <c r="G593" s="11">
        <v>247985</v>
      </c>
      <c r="H593" s="11">
        <v>608821.71</v>
      </c>
    </row>
    <row r="594" spans="2:8" x14ac:dyDescent="0.2">
      <c r="B594" s="5">
        <v>46032</v>
      </c>
      <c r="C594" t="s">
        <v>112</v>
      </c>
      <c r="D594" s="11">
        <v>1180672.28</v>
      </c>
      <c r="E594" s="11">
        <v>6</v>
      </c>
      <c r="F594" s="11">
        <v>1515406.1629999999</v>
      </c>
      <c r="G594" s="11">
        <v>340583</v>
      </c>
      <c r="H594" s="11">
        <v>840089.28</v>
      </c>
    </row>
    <row r="595" spans="2:8" x14ac:dyDescent="0.2">
      <c r="B595" s="5">
        <v>46032</v>
      </c>
      <c r="C595" t="s">
        <v>109</v>
      </c>
      <c r="D595" s="11">
        <v>977731.09</v>
      </c>
      <c r="E595" s="11">
        <v>10</v>
      </c>
      <c r="F595" s="11">
        <v>97773.108999999997</v>
      </c>
      <c r="G595" s="11">
        <v>326500</v>
      </c>
      <c r="H595" s="11">
        <v>592407.56999999995</v>
      </c>
    </row>
    <row r="596" spans="2:8" x14ac:dyDescent="0.2">
      <c r="B596" s="5">
        <v>46033</v>
      </c>
      <c r="C596" t="s">
        <v>109</v>
      </c>
      <c r="D596" s="11">
        <v>209663.87</v>
      </c>
      <c r="E596" s="11">
        <v>3</v>
      </c>
      <c r="F596" s="11">
        <v>69887.956000000006</v>
      </c>
      <c r="G596" s="11">
        <v>63083</v>
      </c>
      <c r="H596" s="11">
        <v>117169.1</v>
      </c>
    </row>
    <row r="597" spans="2:8" x14ac:dyDescent="0.2">
      <c r="B597" s="5">
        <v>46033</v>
      </c>
      <c r="C597" t="s">
        <v>112</v>
      </c>
      <c r="D597" s="11">
        <v>117647.06</v>
      </c>
      <c r="E597" s="11">
        <v>1</v>
      </c>
      <c r="F597" s="11">
        <v>117647.06</v>
      </c>
      <c r="G597" s="11">
        <v>35186</v>
      </c>
      <c r="H597" s="11">
        <v>82461.06</v>
      </c>
    </row>
    <row r="598" spans="2:8" x14ac:dyDescent="0.2">
      <c r="B598" s="5">
        <v>46034</v>
      </c>
      <c r="C598" t="s">
        <v>112</v>
      </c>
      <c r="D598" s="11">
        <v>365546.22</v>
      </c>
      <c r="E598" s="11">
        <v>3</v>
      </c>
      <c r="F598" s="11">
        <v>121848.74</v>
      </c>
      <c r="G598" s="11">
        <v>59952</v>
      </c>
      <c r="H598" s="11">
        <v>305594.21999999997</v>
      </c>
    </row>
    <row r="599" spans="2:8" x14ac:dyDescent="0.2">
      <c r="B599" s="5">
        <v>46035</v>
      </c>
      <c r="C599" t="s">
        <v>109</v>
      </c>
      <c r="D599" s="11">
        <v>2197899.14</v>
      </c>
      <c r="E599" s="11">
        <v>15</v>
      </c>
      <c r="F599" s="11">
        <v>146526.609</v>
      </c>
      <c r="G599" s="11">
        <v>511370</v>
      </c>
      <c r="H599" s="11">
        <v>1566361.09</v>
      </c>
    </row>
    <row r="600" spans="2:8" x14ac:dyDescent="0.2">
      <c r="B600" s="5">
        <v>46035</v>
      </c>
      <c r="C600" t="s">
        <v>112</v>
      </c>
      <c r="D600" s="11">
        <v>361344.54</v>
      </c>
      <c r="E600" s="11">
        <v>3</v>
      </c>
      <c r="F600" s="11">
        <v>120448.18</v>
      </c>
      <c r="G600" s="11">
        <v>100792</v>
      </c>
      <c r="H600" s="11">
        <v>260552.54</v>
      </c>
    </row>
    <row r="601" spans="2:8" x14ac:dyDescent="0.2">
      <c r="B601" s="5">
        <v>46036</v>
      </c>
      <c r="C601" t="s">
        <v>109</v>
      </c>
      <c r="D601" s="11">
        <v>2440848.73</v>
      </c>
      <c r="E601" s="11">
        <v>14</v>
      </c>
      <c r="F601" s="11">
        <v>174346.337</v>
      </c>
      <c r="G601" s="11">
        <v>505747</v>
      </c>
      <c r="H601" s="11">
        <v>1166194.17</v>
      </c>
    </row>
    <row r="602" spans="2:8" x14ac:dyDescent="0.2">
      <c r="B602" s="5">
        <v>46036</v>
      </c>
      <c r="C602" t="s">
        <v>112</v>
      </c>
      <c r="D602" s="11">
        <v>1407563.02</v>
      </c>
      <c r="E602" s="11">
        <v>5</v>
      </c>
      <c r="F602" s="11">
        <v>281512.60399999999</v>
      </c>
      <c r="G602" s="11">
        <v>398591</v>
      </c>
      <c r="H602" s="11">
        <v>1008972.02</v>
      </c>
    </row>
    <row r="603" spans="2:8" x14ac:dyDescent="0.2">
      <c r="B603" s="5">
        <v>46036</v>
      </c>
      <c r="C603" t="s">
        <v>108</v>
      </c>
      <c r="D603" s="11">
        <v>983193.28</v>
      </c>
      <c r="E603" s="11">
        <v>1</v>
      </c>
      <c r="F603" s="11">
        <v>983193.28</v>
      </c>
      <c r="G603" s="11">
        <v>230130</v>
      </c>
      <c r="H603" s="11">
        <v>753063.28</v>
      </c>
    </row>
    <row r="604" spans="2:8" x14ac:dyDescent="0.2">
      <c r="B604" s="5">
        <v>46036</v>
      </c>
      <c r="C604" t="s">
        <v>110</v>
      </c>
      <c r="D604" s="11">
        <v>46218.49</v>
      </c>
      <c r="E604" s="11">
        <v>1</v>
      </c>
      <c r="F604" s="11">
        <v>46218.49</v>
      </c>
      <c r="G604" s="11">
        <v>9855</v>
      </c>
      <c r="H604" s="11">
        <v>36363.49</v>
      </c>
    </row>
    <row r="605" spans="2:8" x14ac:dyDescent="0.2">
      <c r="B605" s="5">
        <v>46037</v>
      </c>
      <c r="C605" t="s">
        <v>109</v>
      </c>
      <c r="D605" s="11">
        <v>1169428.57</v>
      </c>
      <c r="E605" s="11">
        <v>16</v>
      </c>
      <c r="F605" s="11">
        <v>73089.285000000003</v>
      </c>
      <c r="G605" s="11">
        <v>202419</v>
      </c>
      <c r="H605" s="11">
        <v>563127.22</v>
      </c>
    </row>
    <row r="606" spans="2:8" x14ac:dyDescent="0.2">
      <c r="B606" s="5">
        <v>46037</v>
      </c>
      <c r="C606" t="s">
        <v>110</v>
      </c>
      <c r="D606" s="11">
        <v>222689.07</v>
      </c>
      <c r="E606" s="11">
        <v>3</v>
      </c>
      <c r="F606" s="11">
        <v>74229.69</v>
      </c>
      <c r="G606" s="11">
        <v>45141</v>
      </c>
      <c r="H606" s="11">
        <v>177548.07</v>
      </c>
    </row>
    <row r="607" spans="2:8" x14ac:dyDescent="0.2">
      <c r="B607" s="5">
        <v>46037</v>
      </c>
      <c r="C607" t="s">
        <v>112</v>
      </c>
      <c r="D607" s="11">
        <v>100840.34</v>
      </c>
      <c r="E607" s="11">
        <v>1</v>
      </c>
      <c r="F607" s="11">
        <v>100840.34</v>
      </c>
      <c r="G607" s="11">
        <v>20893</v>
      </c>
      <c r="H607" s="11">
        <v>79947.34</v>
      </c>
    </row>
    <row r="608" spans="2:8" x14ac:dyDescent="0.2">
      <c r="B608" s="5">
        <v>46038</v>
      </c>
      <c r="C608" t="s">
        <v>109</v>
      </c>
      <c r="D608" s="11">
        <v>1371428.57</v>
      </c>
      <c r="E608" s="11">
        <v>11</v>
      </c>
      <c r="F608" s="11">
        <v>124675.32399999999</v>
      </c>
      <c r="G608" s="11">
        <v>413395</v>
      </c>
      <c r="H608" s="11">
        <v>869798.29</v>
      </c>
    </row>
    <row r="609" spans="2:8" x14ac:dyDescent="0.2">
      <c r="B609" s="5">
        <v>46038</v>
      </c>
      <c r="C609" t="s">
        <v>112</v>
      </c>
      <c r="D609" s="11">
        <v>689075.63</v>
      </c>
      <c r="E609" s="11">
        <v>5</v>
      </c>
      <c r="F609" s="11">
        <v>137815.12599999999</v>
      </c>
      <c r="G609" s="11">
        <v>166214</v>
      </c>
      <c r="H609" s="11">
        <v>459836.42</v>
      </c>
    </row>
    <row r="610" spans="2:8" x14ac:dyDescent="0.2">
      <c r="B610" s="5">
        <v>46039</v>
      </c>
      <c r="C610" t="s">
        <v>109</v>
      </c>
      <c r="D610" s="11">
        <v>3566344.53</v>
      </c>
      <c r="E610" s="11">
        <v>22</v>
      </c>
      <c r="F610" s="11">
        <v>162106.56899999999</v>
      </c>
      <c r="G610" s="11">
        <v>1024231</v>
      </c>
      <c r="H610" s="11">
        <v>2320229.0299999998</v>
      </c>
    </row>
    <row r="611" spans="2:8" x14ac:dyDescent="0.2">
      <c r="B611" s="5">
        <v>46039</v>
      </c>
      <c r="C611" t="s">
        <v>112</v>
      </c>
      <c r="D611" s="11">
        <v>1008403.36</v>
      </c>
      <c r="E611" s="11">
        <v>6</v>
      </c>
      <c r="F611" s="11">
        <v>168067.226</v>
      </c>
      <c r="G611" s="11">
        <v>248524</v>
      </c>
      <c r="H611" s="11">
        <v>663240.71</v>
      </c>
    </row>
    <row r="612" spans="2:8" x14ac:dyDescent="0.2">
      <c r="B612" s="5">
        <v>46040</v>
      </c>
      <c r="C612" t="s">
        <v>109</v>
      </c>
      <c r="D612" s="11">
        <v>949579.84</v>
      </c>
      <c r="E612" s="11">
        <v>7</v>
      </c>
      <c r="F612" s="11">
        <v>135654.26199999999</v>
      </c>
      <c r="G612" s="11">
        <v>321436</v>
      </c>
      <c r="H612" s="11">
        <v>598732.07999999996</v>
      </c>
    </row>
    <row r="613" spans="2:8" x14ac:dyDescent="0.2">
      <c r="B613" s="5">
        <v>46040</v>
      </c>
      <c r="C613" t="s">
        <v>112</v>
      </c>
      <c r="D613" s="11">
        <v>397941.18</v>
      </c>
      <c r="E613" s="11">
        <v>3</v>
      </c>
      <c r="F613" s="11">
        <v>132647.06</v>
      </c>
      <c r="G613" s="11">
        <v>103417</v>
      </c>
      <c r="H613" s="11">
        <v>294524.18</v>
      </c>
    </row>
    <row r="614" spans="2:8" x14ac:dyDescent="0.2">
      <c r="B614" s="5">
        <v>46041</v>
      </c>
      <c r="C614" t="s">
        <v>109</v>
      </c>
      <c r="D614" s="11">
        <v>1708672.28</v>
      </c>
      <c r="E614" s="11">
        <v>12</v>
      </c>
      <c r="F614" s="11">
        <v>142389.356</v>
      </c>
      <c r="G614" s="11">
        <v>684330</v>
      </c>
      <c r="H614" s="11">
        <v>994930.52</v>
      </c>
    </row>
    <row r="615" spans="2:8" x14ac:dyDescent="0.2">
      <c r="B615" s="5">
        <v>46041</v>
      </c>
      <c r="C615" t="s">
        <v>112</v>
      </c>
      <c r="D615" s="11">
        <v>596638.66</v>
      </c>
      <c r="E615" s="11">
        <v>4</v>
      </c>
      <c r="F615" s="11">
        <v>149159.66500000001</v>
      </c>
      <c r="G615" s="11">
        <v>157632</v>
      </c>
      <c r="H615" s="11">
        <v>439006.66</v>
      </c>
    </row>
    <row r="616" spans="2:8" x14ac:dyDescent="0.2">
      <c r="B616" s="5">
        <v>46041</v>
      </c>
      <c r="C616" t="s">
        <v>108</v>
      </c>
      <c r="D616" s="11">
        <v>285714.28999999998</v>
      </c>
      <c r="E616" s="11">
        <v>1</v>
      </c>
      <c r="F616" s="11">
        <v>285714.28999999998</v>
      </c>
      <c r="G616" s="11">
        <v>82872</v>
      </c>
      <c r="H616" s="11">
        <v>202842.29</v>
      </c>
    </row>
    <row r="617" spans="2:8" x14ac:dyDescent="0.2">
      <c r="B617" s="5">
        <v>46042</v>
      </c>
      <c r="C617" t="s">
        <v>112</v>
      </c>
      <c r="D617" s="11">
        <v>857142.86</v>
      </c>
      <c r="E617" s="11">
        <v>4</v>
      </c>
      <c r="F617" s="11">
        <v>214285.715</v>
      </c>
      <c r="G617" s="11">
        <v>267536</v>
      </c>
      <c r="H617" s="11">
        <v>589606.86</v>
      </c>
    </row>
    <row r="618" spans="2:8" x14ac:dyDescent="0.2">
      <c r="B618" s="5">
        <v>46042</v>
      </c>
      <c r="C618" t="s">
        <v>109</v>
      </c>
      <c r="D618" s="11">
        <v>498319.33</v>
      </c>
      <c r="E618" s="11">
        <v>5</v>
      </c>
      <c r="F618" s="11">
        <v>99663.865999999995</v>
      </c>
      <c r="G618" s="11">
        <v>100630</v>
      </c>
      <c r="H618" s="11">
        <v>309454.03999999998</v>
      </c>
    </row>
    <row r="619" spans="2:8" x14ac:dyDescent="0.2">
      <c r="B619" s="5">
        <v>46043</v>
      </c>
      <c r="C619" t="s">
        <v>109</v>
      </c>
      <c r="D619" s="11">
        <v>2886974.79</v>
      </c>
      <c r="E619" s="11">
        <v>19</v>
      </c>
      <c r="F619" s="11">
        <v>145754.09099999999</v>
      </c>
      <c r="G619" s="11">
        <v>641094</v>
      </c>
      <c r="H619" s="11">
        <v>1989578.28</v>
      </c>
    </row>
    <row r="620" spans="2:8" x14ac:dyDescent="0.2">
      <c r="B620" s="5">
        <v>46043</v>
      </c>
      <c r="C620" t="s">
        <v>112</v>
      </c>
      <c r="D620" s="11">
        <v>1373949.59</v>
      </c>
      <c r="E620" s="11">
        <v>8</v>
      </c>
      <c r="F620" s="11">
        <v>171743.698</v>
      </c>
      <c r="G620" s="11">
        <v>281436</v>
      </c>
      <c r="H620" s="11">
        <v>722765.69</v>
      </c>
    </row>
    <row r="621" spans="2:8" x14ac:dyDescent="0.2">
      <c r="B621" s="5">
        <v>46044</v>
      </c>
      <c r="C621" t="s">
        <v>109</v>
      </c>
      <c r="D621" s="11">
        <v>1621848.74</v>
      </c>
      <c r="E621" s="11">
        <v>12</v>
      </c>
      <c r="F621" s="11">
        <v>135154.06099999999</v>
      </c>
      <c r="G621" s="11">
        <v>534415</v>
      </c>
      <c r="H621" s="11">
        <v>1087433.74</v>
      </c>
    </row>
    <row r="622" spans="2:8" x14ac:dyDescent="0.2">
      <c r="B622" s="5">
        <v>46044</v>
      </c>
      <c r="C622" t="s">
        <v>108</v>
      </c>
      <c r="D622" s="11">
        <v>756302.52</v>
      </c>
      <c r="E622" s="11">
        <v>0</v>
      </c>
      <c r="F622" s="11"/>
      <c r="G622" s="11">
        <v>451530</v>
      </c>
      <c r="H622" s="11">
        <v>304772.52</v>
      </c>
    </row>
    <row r="623" spans="2:8" x14ac:dyDescent="0.2">
      <c r="B623" s="5">
        <v>46044</v>
      </c>
      <c r="C623" t="s">
        <v>112</v>
      </c>
      <c r="D623" s="11">
        <v>618487.4</v>
      </c>
      <c r="E623" s="11">
        <v>6</v>
      </c>
      <c r="F623" s="11">
        <v>103081.23299999999</v>
      </c>
      <c r="G623" s="11">
        <v>230237</v>
      </c>
      <c r="H623" s="11">
        <v>343250.4</v>
      </c>
    </row>
    <row r="624" spans="2:8" x14ac:dyDescent="0.2">
      <c r="B624" s="5">
        <v>46045</v>
      </c>
      <c r="C624" t="s">
        <v>112</v>
      </c>
      <c r="D624" s="11">
        <v>785714.28</v>
      </c>
      <c r="E624" s="11">
        <v>4</v>
      </c>
      <c r="F624" s="11">
        <v>196428.57</v>
      </c>
      <c r="G624" s="11">
        <v>166402</v>
      </c>
      <c r="H624" s="11">
        <v>589900.52</v>
      </c>
    </row>
    <row r="625" spans="2:8" x14ac:dyDescent="0.2">
      <c r="B625" s="5">
        <v>46045</v>
      </c>
      <c r="C625" t="s">
        <v>109</v>
      </c>
      <c r="D625" s="11">
        <v>550420.18000000005</v>
      </c>
      <c r="E625" s="11">
        <v>8</v>
      </c>
      <c r="F625" s="11">
        <v>68802.521999999997</v>
      </c>
      <c r="G625" s="11">
        <v>144353</v>
      </c>
      <c r="H625" s="11">
        <v>406067.18</v>
      </c>
    </row>
    <row r="626" spans="2:8" x14ac:dyDescent="0.2">
      <c r="B626" s="5">
        <v>46046</v>
      </c>
      <c r="C626" t="s">
        <v>109</v>
      </c>
      <c r="D626" s="11">
        <v>1625210.08</v>
      </c>
      <c r="E626" s="11">
        <v>17</v>
      </c>
      <c r="F626" s="11">
        <v>95600.592000000004</v>
      </c>
      <c r="G626" s="11">
        <v>459870</v>
      </c>
      <c r="H626" s="11">
        <v>1044331.68</v>
      </c>
    </row>
    <row r="627" spans="2:8" x14ac:dyDescent="0.2">
      <c r="B627" s="5">
        <v>46046</v>
      </c>
      <c r="C627" t="s">
        <v>112</v>
      </c>
      <c r="D627" s="11">
        <v>0</v>
      </c>
      <c r="E627" s="11">
        <v>0</v>
      </c>
      <c r="F627" s="11"/>
      <c r="G627" s="11">
        <v>0</v>
      </c>
      <c r="H627" s="11">
        <v>0</v>
      </c>
    </row>
    <row r="628" spans="2:8" x14ac:dyDescent="0.2">
      <c r="B628" s="5">
        <v>46047</v>
      </c>
      <c r="C628" t="s">
        <v>109</v>
      </c>
      <c r="D628" s="11">
        <v>855302.52</v>
      </c>
      <c r="E628" s="11">
        <v>10</v>
      </c>
      <c r="F628" s="11">
        <v>85530.251999999993</v>
      </c>
      <c r="G628" s="11">
        <v>186383</v>
      </c>
      <c r="H628" s="11">
        <v>380843.89</v>
      </c>
    </row>
    <row r="629" spans="2:8" x14ac:dyDescent="0.2">
      <c r="B629" s="5">
        <v>46047</v>
      </c>
      <c r="C629" t="s">
        <v>112</v>
      </c>
      <c r="D629" s="11">
        <v>315126.05</v>
      </c>
      <c r="E629" s="11">
        <v>3</v>
      </c>
      <c r="F629" s="11">
        <v>105042.016</v>
      </c>
      <c r="G629" s="11">
        <v>77112</v>
      </c>
      <c r="H629" s="11">
        <v>238014.05</v>
      </c>
    </row>
    <row r="630" spans="2:8" x14ac:dyDescent="0.2">
      <c r="B630" s="5">
        <v>46048</v>
      </c>
      <c r="C630" t="s">
        <v>109</v>
      </c>
      <c r="D630" s="11">
        <v>1819775.7</v>
      </c>
      <c r="E630" s="11">
        <v>9</v>
      </c>
      <c r="F630" s="11">
        <v>196024.56400000001</v>
      </c>
      <c r="G630" s="11">
        <v>542156</v>
      </c>
      <c r="H630" s="11">
        <v>1277619.7</v>
      </c>
    </row>
    <row r="631" spans="2:8" x14ac:dyDescent="0.2">
      <c r="B631" s="5">
        <v>46048</v>
      </c>
      <c r="C631" t="s">
        <v>112</v>
      </c>
      <c r="D631" s="11">
        <v>1319327.74</v>
      </c>
      <c r="E631" s="11">
        <v>8</v>
      </c>
      <c r="F631" s="11">
        <v>196428.57199999999</v>
      </c>
      <c r="G631" s="11">
        <v>357970</v>
      </c>
      <c r="H631" s="11">
        <v>961357.74</v>
      </c>
    </row>
    <row r="632" spans="2:8" x14ac:dyDescent="0.2">
      <c r="B632" s="5">
        <v>46049</v>
      </c>
      <c r="C632" t="s">
        <v>112</v>
      </c>
      <c r="D632" s="11">
        <v>1297479</v>
      </c>
      <c r="E632" s="11">
        <v>8</v>
      </c>
      <c r="F632" s="11">
        <v>162184.875</v>
      </c>
      <c r="G632" s="11">
        <v>356438</v>
      </c>
      <c r="H632" s="11">
        <v>941041</v>
      </c>
    </row>
    <row r="633" spans="2:8" x14ac:dyDescent="0.2">
      <c r="B633" s="5">
        <v>46049</v>
      </c>
      <c r="C633" t="s">
        <v>109</v>
      </c>
      <c r="D633" s="11">
        <v>789756.31</v>
      </c>
      <c r="E633" s="11">
        <v>5</v>
      </c>
      <c r="F633" s="11">
        <v>157951.26199999999</v>
      </c>
      <c r="G633" s="11">
        <v>236925</v>
      </c>
      <c r="H633" s="11">
        <v>552831.31000000006</v>
      </c>
    </row>
    <row r="634" spans="2:8" x14ac:dyDescent="0.2">
      <c r="B634" s="5">
        <v>46050</v>
      </c>
      <c r="C634" t="s">
        <v>109</v>
      </c>
      <c r="D634" s="11">
        <v>1929285.72</v>
      </c>
      <c r="E634" s="11">
        <v>11</v>
      </c>
      <c r="F634" s="11">
        <v>175389.61</v>
      </c>
      <c r="G634" s="11">
        <v>555019</v>
      </c>
      <c r="H634" s="11">
        <v>1374266.72</v>
      </c>
    </row>
    <row r="635" spans="2:8" x14ac:dyDescent="0.2">
      <c r="B635" s="5">
        <v>46050</v>
      </c>
      <c r="C635" t="s">
        <v>112</v>
      </c>
      <c r="D635" s="11">
        <v>763025.21</v>
      </c>
      <c r="E635" s="11">
        <v>5</v>
      </c>
      <c r="F635" s="11">
        <v>152605.04199999999</v>
      </c>
      <c r="G635" s="11">
        <v>186884</v>
      </c>
      <c r="H635" s="11">
        <v>576141.21</v>
      </c>
    </row>
    <row r="636" spans="2:8" x14ac:dyDescent="0.2">
      <c r="B636" s="5">
        <v>46051</v>
      </c>
      <c r="C636" t="s">
        <v>109</v>
      </c>
      <c r="D636" s="11">
        <v>516806.73</v>
      </c>
      <c r="E636" s="11">
        <v>5</v>
      </c>
      <c r="F636" s="11">
        <v>103361.34600000001</v>
      </c>
      <c r="G636" s="11">
        <v>116310</v>
      </c>
      <c r="H636" s="11">
        <v>400496.73</v>
      </c>
    </row>
    <row r="637" spans="2:8" x14ac:dyDescent="0.2">
      <c r="B637" s="5">
        <v>46051</v>
      </c>
      <c r="C637" t="s">
        <v>112</v>
      </c>
      <c r="D637" s="11">
        <v>457983.2</v>
      </c>
      <c r="E637" s="11">
        <v>4</v>
      </c>
      <c r="F637" s="11">
        <v>114495.8</v>
      </c>
      <c r="G637" s="11">
        <v>127995</v>
      </c>
      <c r="H637" s="11">
        <v>329988.2</v>
      </c>
    </row>
    <row r="638" spans="2:8" x14ac:dyDescent="0.2">
      <c r="B638" s="5">
        <v>46052</v>
      </c>
      <c r="C638" t="s">
        <v>109</v>
      </c>
      <c r="D638" s="11">
        <v>2320462.19</v>
      </c>
      <c r="E638" s="11">
        <v>15</v>
      </c>
      <c r="F638" s="11">
        <v>154697.47899999999</v>
      </c>
      <c r="G638" s="11">
        <v>990609</v>
      </c>
      <c r="H638" s="11">
        <v>1329853.19</v>
      </c>
    </row>
    <row r="639" spans="2:8" x14ac:dyDescent="0.2">
      <c r="B639" s="5">
        <v>46052</v>
      </c>
      <c r="C639" t="s">
        <v>112</v>
      </c>
      <c r="D639" s="11">
        <v>268907.56</v>
      </c>
      <c r="E639" s="11">
        <v>3</v>
      </c>
      <c r="F639" s="11">
        <v>89635.853000000003</v>
      </c>
      <c r="G639" s="11">
        <v>81739</v>
      </c>
      <c r="H639" s="11">
        <v>187168.56</v>
      </c>
    </row>
    <row r="640" spans="2:8" x14ac:dyDescent="0.2">
      <c r="B640" s="5">
        <v>46053</v>
      </c>
      <c r="C640" t="s">
        <v>109</v>
      </c>
      <c r="D640" s="11">
        <v>1013966.39</v>
      </c>
      <c r="E640" s="11">
        <v>10</v>
      </c>
      <c r="F640" s="11">
        <v>101396.639</v>
      </c>
      <c r="G640" s="11">
        <v>272647</v>
      </c>
      <c r="H640" s="11">
        <v>741319.39</v>
      </c>
    </row>
    <row r="641" spans="2:8" x14ac:dyDescent="0.2">
      <c r="B641" s="5">
        <v>46053</v>
      </c>
      <c r="C641" t="s">
        <v>112</v>
      </c>
      <c r="D641" s="11">
        <v>950798.32</v>
      </c>
      <c r="E641" s="11">
        <v>5</v>
      </c>
      <c r="F641" s="11">
        <v>190159.66399999999</v>
      </c>
      <c r="G641" s="11">
        <v>311494</v>
      </c>
      <c r="H641" s="11">
        <v>639304.31999999995</v>
      </c>
    </row>
    <row r="642" spans="2:8" x14ac:dyDescent="0.2">
      <c r="B642" s="5">
        <v>46054</v>
      </c>
      <c r="C642" t="s">
        <v>112</v>
      </c>
      <c r="D642" s="11">
        <v>449579.84</v>
      </c>
      <c r="E642" s="11">
        <v>4</v>
      </c>
      <c r="F642" s="11">
        <v>112394.96</v>
      </c>
      <c r="G642" s="11">
        <v>213250</v>
      </c>
      <c r="H642" s="11">
        <v>236329.84</v>
      </c>
    </row>
    <row r="643" spans="2:8" x14ac:dyDescent="0.2">
      <c r="B643" s="5">
        <v>46055</v>
      </c>
      <c r="C643" t="s">
        <v>109</v>
      </c>
      <c r="D643" s="11">
        <v>1367647.06</v>
      </c>
      <c r="E643" s="11">
        <v>16</v>
      </c>
      <c r="F643" s="11">
        <v>85477.941000000006</v>
      </c>
      <c r="G643" s="11">
        <v>334325</v>
      </c>
      <c r="H643" s="11">
        <v>974498.53</v>
      </c>
    </row>
    <row r="644" spans="2:8" x14ac:dyDescent="0.2">
      <c r="B644" s="5">
        <v>46055</v>
      </c>
      <c r="C644" t="s">
        <v>112</v>
      </c>
      <c r="D644" s="11">
        <v>525210.09</v>
      </c>
      <c r="E644" s="11">
        <v>4</v>
      </c>
      <c r="F644" s="11">
        <v>131302.522</v>
      </c>
      <c r="G644" s="11">
        <v>204370</v>
      </c>
      <c r="H644" s="11">
        <v>320840.09000000003</v>
      </c>
    </row>
    <row r="645" spans="2:8" x14ac:dyDescent="0.2">
      <c r="B645" s="5">
        <v>46056</v>
      </c>
      <c r="C645" t="s">
        <v>109</v>
      </c>
      <c r="D645" s="11">
        <v>1771773.1</v>
      </c>
      <c r="E645" s="11">
        <v>12</v>
      </c>
      <c r="F645" s="11">
        <v>147647.758</v>
      </c>
      <c r="G645" s="11">
        <v>537865</v>
      </c>
      <c r="H645" s="11">
        <v>1204496.3400000001</v>
      </c>
    </row>
    <row r="646" spans="2:8" x14ac:dyDescent="0.2">
      <c r="B646" s="5">
        <v>46056</v>
      </c>
      <c r="C646" t="s">
        <v>112</v>
      </c>
      <c r="D646" s="11">
        <v>835294.12</v>
      </c>
      <c r="E646" s="11">
        <v>7</v>
      </c>
      <c r="F646" s="11">
        <v>119327.731</v>
      </c>
      <c r="G646" s="11">
        <v>244547</v>
      </c>
      <c r="H646" s="11">
        <v>590747.12</v>
      </c>
    </row>
    <row r="647" spans="2:8" x14ac:dyDescent="0.2">
      <c r="B647" s="5">
        <v>46057</v>
      </c>
      <c r="C647" t="s">
        <v>112</v>
      </c>
      <c r="D647" s="11">
        <v>1126050.43</v>
      </c>
      <c r="E647" s="11">
        <v>7</v>
      </c>
      <c r="F647" s="11">
        <v>160864.34700000001</v>
      </c>
      <c r="G647" s="11">
        <v>324769</v>
      </c>
      <c r="H647" s="11">
        <v>801281.43</v>
      </c>
    </row>
    <row r="648" spans="2:8" x14ac:dyDescent="0.2">
      <c r="B648" s="5">
        <v>46057</v>
      </c>
      <c r="C648" t="s">
        <v>109</v>
      </c>
      <c r="D648" s="11">
        <v>798319.33</v>
      </c>
      <c r="E648" s="11">
        <v>8</v>
      </c>
      <c r="F648" s="11">
        <v>99789.915999999997</v>
      </c>
      <c r="G648" s="11">
        <v>184611</v>
      </c>
      <c r="H648" s="11">
        <v>613708.32999999996</v>
      </c>
    </row>
    <row r="649" spans="2:8" x14ac:dyDescent="0.2">
      <c r="B649" s="5">
        <v>46058</v>
      </c>
      <c r="C649" t="s">
        <v>109</v>
      </c>
      <c r="D649" s="11">
        <v>1348243.72</v>
      </c>
      <c r="E649" s="11">
        <v>17</v>
      </c>
      <c r="F649" s="11">
        <v>79308.453999999998</v>
      </c>
      <c r="G649" s="11">
        <v>331380</v>
      </c>
      <c r="H649" s="11">
        <v>876863.72</v>
      </c>
    </row>
    <row r="650" spans="2:8" x14ac:dyDescent="0.2">
      <c r="B650" s="5">
        <v>46058</v>
      </c>
      <c r="C650" t="s">
        <v>112</v>
      </c>
      <c r="D650" s="11">
        <v>785714.28</v>
      </c>
      <c r="E650" s="11">
        <v>4</v>
      </c>
      <c r="F650" s="11">
        <v>196428.57</v>
      </c>
      <c r="G650" s="11">
        <v>194511</v>
      </c>
      <c r="H650" s="11">
        <v>591203.28</v>
      </c>
    </row>
    <row r="651" spans="2:8" x14ac:dyDescent="0.2">
      <c r="B651" s="5">
        <v>46059</v>
      </c>
      <c r="C651" t="s">
        <v>109</v>
      </c>
      <c r="D651" s="11">
        <v>1243957.97</v>
      </c>
      <c r="E651" s="11">
        <v>13</v>
      </c>
      <c r="F651" s="11">
        <v>95689.073999999993</v>
      </c>
      <c r="G651" s="11">
        <v>299582</v>
      </c>
      <c r="H651" s="11">
        <v>898157.48</v>
      </c>
    </row>
    <row r="652" spans="2:8" x14ac:dyDescent="0.2">
      <c r="B652" s="5">
        <v>46059</v>
      </c>
      <c r="C652" t="s">
        <v>112</v>
      </c>
      <c r="D652" s="11">
        <v>798319.32</v>
      </c>
      <c r="E652" s="11">
        <v>5</v>
      </c>
      <c r="F652" s="11">
        <v>159663.864</v>
      </c>
      <c r="G652" s="11">
        <v>192209</v>
      </c>
      <c r="H652" s="11">
        <v>606110.31999999995</v>
      </c>
    </row>
    <row r="653" spans="2:8" x14ac:dyDescent="0.2">
      <c r="B653" s="5">
        <v>46060</v>
      </c>
      <c r="C653" t="s">
        <v>109</v>
      </c>
      <c r="D653" s="11">
        <v>1507983.2</v>
      </c>
      <c r="E653" s="11">
        <v>13</v>
      </c>
      <c r="F653" s="11">
        <v>115998.70699999999</v>
      </c>
      <c r="G653" s="11">
        <v>380949</v>
      </c>
      <c r="H653" s="11">
        <v>1127034.2</v>
      </c>
    </row>
    <row r="654" spans="2:8" x14ac:dyDescent="0.2">
      <c r="B654" s="5">
        <v>46060</v>
      </c>
      <c r="C654" t="s">
        <v>112</v>
      </c>
      <c r="D654" s="11">
        <v>394957.98</v>
      </c>
      <c r="E654" s="11">
        <v>3</v>
      </c>
      <c r="F654" s="11">
        <v>131652.66</v>
      </c>
      <c r="G654" s="11">
        <v>90980</v>
      </c>
      <c r="H654" s="11">
        <v>303977.98</v>
      </c>
    </row>
    <row r="655" spans="2:8" x14ac:dyDescent="0.2">
      <c r="B655" s="5">
        <v>46061</v>
      </c>
      <c r="C655" t="s">
        <v>112</v>
      </c>
      <c r="D655" s="11">
        <v>226890.76</v>
      </c>
      <c r="E655" s="11">
        <v>3</v>
      </c>
      <c r="F655" s="11">
        <v>75630.252999999997</v>
      </c>
      <c r="G655" s="11">
        <v>67098</v>
      </c>
      <c r="H655" s="11">
        <v>159792.76</v>
      </c>
    </row>
    <row r="656" spans="2:8" x14ac:dyDescent="0.2">
      <c r="B656" s="5">
        <v>46062</v>
      </c>
      <c r="C656" t="s">
        <v>109</v>
      </c>
      <c r="D656" s="11">
        <v>1397479</v>
      </c>
      <c r="E656" s="11">
        <v>12</v>
      </c>
      <c r="F656" s="11">
        <v>116456.583</v>
      </c>
      <c r="G656" s="11">
        <v>338236</v>
      </c>
      <c r="H656" s="11">
        <v>1059243</v>
      </c>
    </row>
    <row r="657" spans="2:8" x14ac:dyDescent="0.2">
      <c r="B657" s="5">
        <v>46062</v>
      </c>
      <c r="C657" t="s">
        <v>112</v>
      </c>
      <c r="D657" s="11">
        <v>592436.98</v>
      </c>
      <c r="E657" s="11">
        <v>6</v>
      </c>
      <c r="F657" s="11">
        <v>98739.495999999999</v>
      </c>
      <c r="G657" s="11">
        <v>179872</v>
      </c>
      <c r="H657" s="11">
        <v>412564.98</v>
      </c>
    </row>
    <row r="658" spans="2:8" x14ac:dyDescent="0.2">
      <c r="B658" s="5">
        <v>46063</v>
      </c>
      <c r="C658" t="s">
        <v>109</v>
      </c>
      <c r="D658" s="11">
        <v>2339075.64</v>
      </c>
      <c r="E658" s="11">
        <v>16</v>
      </c>
      <c r="F658" s="11">
        <v>146192.22700000001</v>
      </c>
      <c r="G658" s="11">
        <v>599444</v>
      </c>
      <c r="H658" s="11">
        <v>1574085.42</v>
      </c>
    </row>
    <row r="659" spans="2:8" x14ac:dyDescent="0.2">
      <c r="B659" s="5">
        <v>46063</v>
      </c>
      <c r="C659" t="s">
        <v>112</v>
      </c>
      <c r="D659" s="11">
        <v>344537.81</v>
      </c>
      <c r="E659" s="11">
        <v>3</v>
      </c>
      <c r="F659" s="11">
        <v>114845.936</v>
      </c>
      <c r="G659" s="11">
        <v>186478</v>
      </c>
      <c r="H659" s="11">
        <v>158059.81</v>
      </c>
    </row>
    <row r="660" spans="2:8" x14ac:dyDescent="0.2">
      <c r="B660" s="5">
        <v>46064</v>
      </c>
      <c r="C660" t="s">
        <v>109</v>
      </c>
      <c r="D660" s="11">
        <v>2531781.5299999998</v>
      </c>
      <c r="E660" s="11">
        <v>15</v>
      </c>
      <c r="F660" s="11">
        <v>168785.435</v>
      </c>
      <c r="G660" s="11">
        <v>576043</v>
      </c>
      <c r="H660" s="11">
        <v>1955738.53</v>
      </c>
    </row>
    <row r="661" spans="2:8" x14ac:dyDescent="0.2">
      <c r="B661" s="5">
        <v>46064</v>
      </c>
      <c r="C661" t="s">
        <v>112</v>
      </c>
      <c r="D661" s="11">
        <v>226890.76</v>
      </c>
      <c r="E661" s="11">
        <v>2</v>
      </c>
      <c r="F661" s="11">
        <v>113445.38</v>
      </c>
      <c r="G661" s="11">
        <v>82904</v>
      </c>
      <c r="H661" s="11">
        <v>143986.76</v>
      </c>
    </row>
    <row r="662" spans="2:8" x14ac:dyDescent="0.2">
      <c r="B662" s="5">
        <v>46065</v>
      </c>
      <c r="C662" t="s">
        <v>109</v>
      </c>
      <c r="D662" s="11">
        <v>1841226.89</v>
      </c>
      <c r="E662" s="11">
        <v>15</v>
      </c>
      <c r="F662" s="11">
        <v>132100.84099999999</v>
      </c>
      <c r="G662" s="11">
        <v>435751</v>
      </c>
      <c r="H662" s="11">
        <v>1405475.89</v>
      </c>
    </row>
    <row r="663" spans="2:8" x14ac:dyDescent="0.2">
      <c r="B663" s="5">
        <v>46065</v>
      </c>
      <c r="C663" t="s">
        <v>112</v>
      </c>
      <c r="D663" s="11">
        <v>1348739.49</v>
      </c>
      <c r="E663" s="11">
        <v>6</v>
      </c>
      <c r="F663" s="11">
        <v>224789.91500000001</v>
      </c>
      <c r="G663" s="11">
        <v>312400</v>
      </c>
      <c r="H663" s="11">
        <v>1036339.49</v>
      </c>
    </row>
    <row r="664" spans="2:8" x14ac:dyDescent="0.2">
      <c r="B664" s="5">
        <v>46066</v>
      </c>
      <c r="C664" t="s">
        <v>109</v>
      </c>
      <c r="D664" s="11">
        <v>907563.02</v>
      </c>
      <c r="E664" s="11">
        <v>12</v>
      </c>
      <c r="F664" s="11">
        <v>75630.251000000004</v>
      </c>
      <c r="G664" s="11">
        <v>238000</v>
      </c>
      <c r="H664" s="11">
        <v>669563.02</v>
      </c>
    </row>
    <row r="665" spans="2:8" x14ac:dyDescent="0.2">
      <c r="B665" s="5">
        <v>46066</v>
      </c>
      <c r="C665" t="s">
        <v>112</v>
      </c>
      <c r="D665" s="11">
        <v>607016.81000000006</v>
      </c>
      <c r="E665" s="11">
        <v>4</v>
      </c>
      <c r="F665" s="11">
        <v>151754.20199999999</v>
      </c>
      <c r="G665" s="11">
        <v>212617</v>
      </c>
      <c r="H665" s="11">
        <v>394399.81</v>
      </c>
    </row>
    <row r="666" spans="2:8" x14ac:dyDescent="0.2">
      <c r="B666" s="5">
        <v>46067</v>
      </c>
      <c r="C666" t="s">
        <v>109</v>
      </c>
      <c r="D666" s="11">
        <v>3707142.88</v>
      </c>
      <c r="E666" s="11">
        <v>31</v>
      </c>
      <c r="F666" s="11">
        <v>119585.254</v>
      </c>
      <c r="G666" s="11">
        <v>922752</v>
      </c>
      <c r="H666" s="11">
        <v>2784390.88</v>
      </c>
    </row>
    <row r="667" spans="2:8" x14ac:dyDescent="0.2">
      <c r="B667" s="5">
        <v>46067</v>
      </c>
      <c r="C667" t="s">
        <v>110</v>
      </c>
      <c r="D667" s="11">
        <v>747899.16</v>
      </c>
      <c r="E667" s="11">
        <v>2</v>
      </c>
      <c r="F667" s="11">
        <v>373949.58</v>
      </c>
      <c r="G667" s="11">
        <v>142707</v>
      </c>
      <c r="H667" s="11">
        <v>605192.16</v>
      </c>
    </row>
    <row r="668" spans="2:8" x14ac:dyDescent="0.2">
      <c r="B668" s="5">
        <v>46067</v>
      </c>
      <c r="C668" t="s">
        <v>112</v>
      </c>
      <c r="D668" s="11">
        <v>638655.44999999995</v>
      </c>
      <c r="E668" s="11">
        <v>4</v>
      </c>
      <c r="F668" s="11">
        <v>159663.86199999999</v>
      </c>
      <c r="G668" s="11">
        <v>140246</v>
      </c>
      <c r="H668" s="11">
        <v>498409.45</v>
      </c>
    </row>
    <row r="669" spans="2:8" x14ac:dyDescent="0.2">
      <c r="B669" s="5">
        <v>46068</v>
      </c>
      <c r="C669" t="s">
        <v>112</v>
      </c>
      <c r="D669" s="11">
        <v>260504.2</v>
      </c>
      <c r="E669" s="11">
        <v>3</v>
      </c>
      <c r="F669" s="11">
        <v>86834.732999999993</v>
      </c>
      <c r="G669" s="11">
        <v>96507</v>
      </c>
      <c r="H669" s="11">
        <v>163997.20000000001</v>
      </c>
    </row>
    <row r="670" spans="2:8" x14ac:dyDescent="0.2">
      <c r="B670" s="5">
        <v>46069</v>
      </c>
      <c r="C670" t="s">
        <v>109</v>
      </c>
      <c r="D670" s="11">
        <v>1933369.74</v>
      </c>
      <c r="E670" s="11">
        <v>17</v>
      </c>
      <c r="F670" s="11">
        <v>113727.63099999999</v>
      </c>
      <c r="G670" s="11">
        <v>539251</v>
      </c>
      <c r="H670" s="11">
        <v>1394118.74</v>
      </c>
    </row>
    <row r="671" spans="2:8" x14ac:dyDescent="0.2">
      <c r="B671" s="5">
        <v>46069</v>
      </c>
      <c r="C671" t="s">
        <v>112</v>
      </c>
      <c r="D671" s="11">
        <v>882352.95</v>
      </c>
      <c r="E671" s="11">
        <v>5</v>
      </c>
      <c r="F671" s="11">
        <v>176470.59</v>
      </c>
      <c r="G671" s="11">
        <v>286076</v>
      </c>
      <c r="H671" s="11">
        <v>596276.94999999995</v>
      </c>
    </row>
    <row r="672" spans="2:8" x14ac:dyDescent="0.2">
      <c r="B672" s="5">
        <v>46070</v>
      </c>
      <c r="C672" t="s">
        <v>109</v>
      </c>
      <c r="D672" s="11">
        <v>2124369.75</v>
      </c>
      <c r="E672" s="11">
        <v>15</v>
      </c>
      <c r="F672" s="11">
        <v>141624.65</v>
      </c>
      <c r="G672" s="11">
        <v>467412</v>
      </c>
      <c r="H672" s="11">
        <v>1656957.75</v>
      </c>
    </row>
    <row r="673" spans="2:8" x14ac:dyDescent="0.2">
      <c r="B673" s="5">
        <v>46070</v>
      </c>
      <c r="C673" t="s">
        <v>108</v>
      </c>
      <c r="D673" s="11">
        <v>978151.26</v>
      </c>
      <c r="E673" s="11">
        <v>1</v>
      </c>
      <c r="F673" s="11">
        <v>978151.26</v>
      </c>
      <c r="G673" s="11">
        <v>384405</v>
      </c>
      <c r="H673" s="11">
        <v>593746.26</v>
      </c>
    </row>
    <row r="674" spans="2:8" x14ac:dyDescent="0.2">
      <c r="B674" s="5">
        <v>46070</v>
      </c>
      <c r="C674" t="s">
        <v>112</v>
      </c>
      <c r="D674" s="11">
        <v>951016.81</v>
      </c>
      <c r="E674" s="11">
        <v>9</v>
      </c>
      <c r="F674" s="11">
        <v>213001.867</v>
      </c>
      <c r="G674" s="11">
        <v>719042</v>
      </c>
      <c r="H674" s="11">
        <v>1197974.81</v>
      </c>
    </row>
    <row r="675" spans="2:8" x14ac:dyDescent="0.2">
      <c r="B675" s="5">
        <v>46070</v>
      </c>
      <c r="C675" t="s">
        <v>110</v>
      </c>
      <c r="D675" s="11">
        <v>172268.91</v>
      </c>
      <c r="E675" s="11">
        <v>3</v>
      </c>
      <c r="F675" s="11">
        <v>57422.97</v>
      </c>
      <c r="G675" s="11">
        <v>27688</v>
      </c>
      <c r="H675" s="11">
        <v>144580.91</v>
      </c>
    </row>
    <row r="676" spans="2:8" x14ac:dyDescent="0.2">
      <c r="B676" s="5">
        <v>46071</v>
      </c>
      <c r="C676" t="s">
        <v>109</v>
      </c>
      <c r="D676" s="11">
        <v>2859915.99</v>
      </c>
      <c r="E676" s="11">
        <v>13</v>
      </c>
      <c r="F676" s="11">
        <v>219993.53700000001</v>
      </c>
      <c r="G676" s="11">
        <v>1240698</v>
      </c>
      <c r="H676" s="11">
        <v>1619217.99</v>
      </c>
    </row>
    <row r="677" spans="2:8" x14ac:dyDescent="0.2">
      <c r="B677" s="5">
        <v>46071</v>
      </c>
      <c r="C677" t="s">
        <v>112</v>
      </c>
      <c r="D677" s="11">
        <v>668949.57999999996</v>
      </c>
      <c r="E677" s="11">
        <v>4</v>
      </c>
      <c r="F677" s="11">
        <v>135504.20199999999</v>
      </c>
      <c r="G677" s="11">
        <v>200171</v>
      </c>
      <c r="H677" s="11">
        <v>468778.58</v>
      </c>
    </row>
    <row r="678" spans="2:8" x14ac:dyDescent="0.2">
      <c r="B678" s="5">
        <v>46072</v>
      </c>
      <c r="C678" t="s">
        <v>109</v>
      </c>
      <c r="D678" s="11">
        <v>3358957.97</v>
      </c>
      <c r="E678" s="11">
        <v>17</v>
      </c>
      <c r="F678" s="11">
        <v>197585.76199999999</v>
      </c>
      <c r="G678" s="11">
        <v>1173104</v>
      </c>
      <c r="H678" s="11">
        <v>2185853.9700000002</v>
      </c>
    </row>
    <row r="679" spans="2:8" x14ac:dyDescent="0.2">
      <c r="B679" s="5">
        <v>46072</v>
      </c>
      <c r="C679" t="s">
        <v>112</v>
      </c>
      <c r="D679" s="11">
        <v>789915.96</v>
      </c>
      <c r="E679" s="11">
        <v>4</v>
      </c>
      <c r="F679" s="11">
        <v>197478.99</v>
      </c>
      <c r="G679" s="11">
        <v>156422</v>
      </c>
      <c r="H679" s="11">
        <v>633493.96</v>
      </c>
    </row>
    <row r="680" spans="2:8" x14ac:dyDescent="0.2">
      <c r="B680" s="5">
        <v>46073</v>
      </c>
      <c r="C680" t="s">
        <v>109</v>
      </c>
      <c r="D680" s="11">
        <v>1614436.97</v>
      </c>
      <c r="E680" s="11">
        <v>17</v>
      </c>
      <c r="F680" s="11">
        <v>94966.88</v>
      </c>
      <c r="G680" s="11">
        <v>472759</v>
      </c>
      <c r="H680" s="11">
        <v>1141677.97</v>
      </c>
    </row>
    <row r="681" spans="2:8" x14ac:dyDescent="0.2">
      <c r="B681" s="5">
        <v>46074</v>
      </c>
      <c r="C681" t="s">
        <v>109</v>
      </c>
      <c r="D681" s="11">
        <v>2381252.11</v>
      </c>
      <c r="E681" s="11">
        <v>17</v>
      </c>
      <c r="F681" s="11">
        <v>140073.65299999999</v>
      </c>
      <c r="G681" s="11">
        <v>802861</v>
      </c>
      <c r="H681" s="11">
        <v>1578391.11</v>
      </c>
    </row>
    <row r="682" spans="2:8" x14ac:dyDescent="0.2">
      <c r="B682" s="5">
        <v>46074</v>
      </c>
      <c r="C682" t="s">
        <v>112</v>
      </c>
      <c r="D682" s="11">
        <v>554621.85</v>
      </c>
      <c r="E682" s="11">
        <v>6</v>
      </c>
      <c r="F682" s="11">
        <v>92436.975000000006</v>
      </c>
      <c r="G682" s="11">
        <v>137382</v>
      </c>
      <c r="H682" s="11">
        <v>417239.85</v>
      </c>
    </row>
    <row r="683" spans="2:8" x14ac:dyDescent="0.2">
      <c r="B683" s="5">
        <v>46074</v>
      </c>
      <c r="C683" t="s">
        <v>110</v>
      </c>
      <c r="D683" s="11">
        <v>96638.66</v>
      </c>
      <c r="E683" s="11">
        <v>1</v>
      </c>
      <c r="F683" s="11">
        <v>96638.66</v>
      </c>
      <c r="G683" s="11">
        <v>15364</v>
      </c>
      <c r="H683" s="11">
        <v>81274.66</v>
      </c>
    </row>
    <row r="684" spans="2:8" x14ac:dyDescent="0.2">
      <c r="B684" s="5">
        <v>46075</v>
      </c>
      <c r="C684" t="s">
        <v>112</v>
      </c>
      <c r="D684" s="11">
        <v>504201.68</v>
      </c>
      <c r="E684" s="11">
        <v>5</v>
      </c>
      <c r="F684" s="11">
        <v>100840.336</v>
      </c>
      <c r="G684" s="11">
        <v>91851</v>
      </c>
      <c r="H684" s="11">
        <v>412350.68</v>
      </c>
    </row>
    <row r="685" spans="2:8" x14ac:dyDescent="0.2">
      <c r="B685" s="5">
        <v>46076</v>
      </c>
      <c r="C685" t="s">
        <v>109</v>
      </c>
      <c r="D685" s="11">
        <v>3053571.44</v>
      </c>
      <c r="E685" s="11">
        <v>7</v>
      </c>
      <c r="F685" s="11">
        <v>436224.49099999998</v>
      </c>
      <c r="G685" s="11">
        <v>478035</v>
      </c>
      <c r="H685" s="11">
        <v>2575536.44</v>
      </c>
    </row>
    <row r="686" spans="2:8" x14ac:dyDescent="0.2">
      <c r="B686" s="5">
        <v>46076</v>
      </c>
      <c r="C686" t="s">
        <v>112</v>
      </c>
      <c r="D686" s="11">
        <v>617647.06000000006</v>
      </c>
      <c r="E686" s="11">
        <v>2</v>
      </c>
      <c r="F686" s="11">
        <v>308823.53000000003</v>
      </c>
      <c r="G686" s="11">
        <v>210630</v>
      </c>
      <c r="H686" s="11">
        <v>407017.06</v>
      </c>
    </row>
    <row r="687" spans="2:8" x14ac:dyDescent="0.2">
      <c r="B687" s="5">
        <v>46077</v>
      </c>
      <c r="C687" t="s">
        <v>109</v>
      </c>
      <c r="D687" s="11">
        <v>1762428.56</v>
      </c>
      <c r="E687" s="11">
        <v>16</v>
      </c>
      <c r="F687" s="11">
        <v>110151.785</v>
      </c>
      <c r="G687" s="11">
        <v>518380</v>
      </c>
      <c r="H687" s="11">
        <v>1101191.42</v>
      </c>
    </row>
    <row r="688" spans="2:8" x14ac:dyDescent="0.2">
      <c r="B688" s="5">
        <v>46077</v>
      </c>
      <c r="C688" t="s">
        <v>112</v>
      </c>
      <c r="D688" s="11">
        <v>386554.62</v>
      </c>
      <c r="E688" s="11">
        <v>3</v>
      </c>
      <c r="F688" s="11">
        <v>128851.54</v>
      </c>
      <c r="G688" s="11">
        <v>102000</v>
      </c>
      <c r="H688" s="11">
        <v>284554.62</v>
      </c>
    </row>
    <row r="689" spans="2:8" x14ac:dyDescent="0.2">
      <c r="B689" s="5">
        <v>46078</v>
      </c>
      <c r="C689" t="s">
        <v>109</v>
      </c>
      <c r="D689" s="11">
        <v>4016807.58</v>
      </c>
      <c r="E689" s="11">
        <v>22</v>
      </c>
      <c r="F689" s="11">
        <v>180481.32199999999</v>
      </c>
      <c r="G689" s="11">
        <v>726783</v>
      </c>
      <c r="H689" s="11">
        <v>2281620.38</v>
      </c>
    </row>
    <row r="690" spans="2:8" x14ac:dyDescent="0.2">
      <c r="B690" s="5">
        <v>46078</v>
      </c>
      <c r="C690" t="s">
        <v>112</v>
      </c>
      <c r="D690" s="11">
        <v>445378.15</v>
      </c>
      <c r="E690" s="11">
        <v>3</v>
      </c>
      <c r="F690" s="11">
        <v>148459.383</v>
      </c>
      <c r="G690" s="11">
        <v>97700</v>
      </c>
      <c r="H690" s="11">
        <v>347678.15</v>
      </c>
    </row>
    <row r="691" spans="2:8" x14ac:dyDescent="0.2">
      <c r="B691" s="5">
        <v>46079</v>
      </c>
      <c r="C691" t="s">
        <v>109</v>
      </c>
      <c r="D691" s="11">
        <v>2223235.31</v>
      </c>
      <c r="E691" s="11">
        <v>12</v>
      </c>
      <c r="F691" s="11">
        <v>185269.609</v>
      </c>
      <c r="G691" s="11">
        <v>594959</v>
      </c>
      <c r="H691" s="11">
        <v>1628276.31</v>
      </c>
    </row>
    <row r="692" spans="2:8" x14ac:dyDescent="0.2">
      <c r="B692" s="5">
        <v>46079</v>
      </c>
      <c r="C692" t="s">
        <v>108</v>
      </c>
      <c r="D692" s="11">
        <v>756302.52</v>
      </c>
      <c r="E692" s="11">
        <v>1</v>
      </c>
      <c r="F692" s="11">
        <v>756302.52</v>
      </c>
      <c r="G692" s="11">
        <v>236660</v>
      </c>
      <c r="H692" s="11">
        <v>519642.52</v>
      </c>
    </row>
    <row r="693" spans="2:8" x14ac:dyDescent="0.2">
      <c r="B693" s="5">
        <v>46079</v>
      </c>
      <c r="C693" t="s">
        <v>112</v>
      </c>
      <c r="D693" s="11">
        <v>336134.45</v>
      </c>
      <c r="E693" s="11">
        <v>4</v>
      </c>
      <c r="F693" s="11">
        <v>84033.611999999994</v>
      </c>
      <c r="G693" s="11">
        <v>130988</v>
      </c>
      <c r="H693" s="11">
        <v>205146.45</v>
      </c>
    </row>
    <row r="694" spans="2:8" x14ac:dyDescent="0.2">
      <c r="B694" s="5">
        <v>46080</v>
      </c>
      <c r="C694" t="s">
        <v>109</v>
      </c>
      <c r="D694" s="11">
        <v>1940756.32</v>
      </c>
      <c r="E694" s="11">
        <v>17</v>
      </c>
      <c r="F694" s="11">
        <v>114162.136</v>
      </c>
      <c r="G694" s="11">
        <v>422469</v>
      </c>
      <c r="H694" s="11">
        <v>1518287.32</v>
      </c>
    </row>
    <row r="695" spans="2:8" x14ac:dyDescent="0.2">
      <c r="B695" s="5">
        <v>46080</v>
      </c>
      <c r="C695" t="s">
        <v>112</v>
      </c>
      <c r="D695" s="11">
        <v>1000000</v>
      </c>
      <c r="E695" s="11">
        <v>6</v>
      </c>
      <c r="F695" s="11">
        <v>166666.666</v>
      </c>
      <c r="G695" s="11">
        <v>389763</v>
      </c>
      <c r="H695" s="11">
        <v>610237</v>
      </c>
    </row>
    <row r="696" spans="2:8" x14ac:dyDescent="0.2">
      <c r="B696" s="5">
        <v>46080</v>
      </c>
      <c r="C696" t="s">
        <v>110</v>
      </c>
      <c r="D696" s="11">
        <v>491596.65</v>
      </c>
      <c r="E696" s="11">
        <v>5</v>
      </c>
      <c r="F696" s="11">
        <v>98319.33</v>
      </c>
      <c r="G696" s="11">
        <v>88481</v>
      </c>
      <c r="H696" s="11">
        <v>403115.65</v>
      </c>
    </row>
    <row r="697" spans="2:8" x14ac:dyDescent="0.2">
      <c r="B697" s="5">
        <v>46081</v>
      </c>
      <c r="C697" t="s">
        <v>108</v>
      </c>
      <c r="D697" s="11">
        <v>13460743.689999999</v>
      </c>
      <c r="E697" s="11">
        <v>3</v>
      </c>
      <c r="F697" s="11">
        <v>4486914.5630000001</v>
      </c>
      <c r="G697" s="11">
        <v>5612221</v>
      </c>
      <c r="H697" s="11">
        <v>7848522.6900000004</v>
      </c>
    </row>
    <row r="698" spans="2:8" x14ac:dyDescent="0.2">
      <c r="B698" s="5">
        <v>46081</v>
      </c>
      <c r="C698" t="s">
        <v>109</v>
      </c>
      <c r="D698" s="11">
        <v>2963411.78</v>
      </c>
      <c r="E698" s="11">
        <v>26</v>
      </c>
      <c r="F698" s="11">
        <v>113977.376</v>
      </c>
      <c r="G698" s="11">
        <v>817235</v>
      </c>
      <c r="H698" s="11">
        <v>1860462.5</v>
      </c>
    </row>
    <row r="699" spans="2:8" x14ac:dyDescent="0.2">
      <c r="B699" s="5">
        <v>46081</v>
      </c>
      <c r="C699" t="s">
        <v>112</v>
      </c>
      <c r="D699" s="11">
        <v>172268.91</v>
      </c>
      <c r="E699" s="11">
        <v>2</v>
      </c>
      <c r="F699" s="11">
        <v>86134.455000000002</v>
      </c>
      <c r="G699" s="11">
        <v>69141</v>
      </c>
      <c r="H699" s="11">
        <v>103127.91</v>
      </c>
    </row>
    <row r="700" spans="2:8" x14ac:dyDescent="0.2">
      <c r="B700" s="5">
        <v>46081</v>
      </c>
      <c r="C700" t="s">
        <v>110</v>
      </c>
      <c r="D700" s="11">
        <v>33613.449999999997</v>
      </c>
      <c r="E700" s="11">
        <v>1</v>
      </c>
      <c r="F700" s="11">
        <v>33613.449999999997</v>
      </c>
      <c r="G700" s="11">
        <v>5878</v>
      </c>
      <c r="H700" s="11">
        <v>27735.45</v>
      </c>
    </row>
    <row r="701" spans="2:8" x14ac:dyDescent="0.2">
      <c r="B701" s="5">
        <v>46082</v>
      </c>
      <c r="C701" t="s">
        <v>109</v>
      </c>
      <c r="D701" s="11">
        <v>1092436.95</v>
      </c>
      <c r="E701" s="11">
        <v>14</v>
      </c>
      <c r="F701" s="11">
        <v>78031.210000000006</v>
      </c>
      <c r="G701" s="11">
        <v>312819</v>
      </c>
      <c r="H701" s="11">
        <v>779617.95</v>
      </c>
    </row>
    <row r="702" spans="2:8" x14ac:dyDescent="0.2">
      <c r="B702" s="5">
        <v>46083</v>
      </c>
      <c r="C702" t="s">
        <v>109</v>
      </c>
      <c r="D702" s="11">
        <v>3051521.02</v>
      </c>
      <c r="E702" s="11">
        <v>22</v>
      </c>
      <c r="F702" s="11">
        <v>138705.5</v>
      </c>
      <c r="G702" s="11">
        <v>778134</v>
      </c>
      <c r="H702" s="11">
        <v>2273387.02</v>
      </c>
    </row>
    <row r="703" spans="2:8" x14ac:dyDescent="0.2">
      <c r="B703" s="5">
        <v>46083</v>
      </c>
      <c r="C703" t="s">
        <v>112</v>
      </c>
      <c r="D703" s="11">
        <v>857142.87</v>
      </c>
      <c r="E703" s="11">
        <v>5</v>
      </c>
      <c r="F703" s="11">
        <v>171428.57399999999</v>
      </c>
      <c r="G703" s="11">
        <v>248230</v>
      </c>
      <c r="H703" s="11">
        <v>608912.87</v>
      </c>
    </row>
    <row r="704" spans="2:8" x14ac:dyDescent="0.2">
      <c r="B704" s="5">
        <v>46083</v>
      </c>
      <c r="C704" t="s">
        <v>110</v>
      </c>
      <c r="D704" s="11">
        <v>109243.7</v>
      </c>
      <c r="E704" s="11">
        <v>1</v>
      </c>
      <c r="F704" s="11">
        <v>109243.7</v>
      </c>
      <c r="G704" s="11">
        <v>19234</v>
      </c>
      <c r="H704" s="11">
        <v>90009.7</v>
      </c>
    </row>
    <row r="705" spans="2:8" x14ac:dyDescent="0.2">
      <c r="B705" s="5">
        <v>46084</v>
      </c>
      <c r="C705" t="s">
        <v>109</v>
      </c>
      <c r="D705" s="11">
        <v>1397184.87</v>
      </c>
      <c r="E705" s="11">
        <v>10</v>
      </c>
      <c r="F705" s="11">
        <v>139718.48699999999</v>
      </c>
      <c r="G705" s="11">
        <v>387496</v>
      </c>
      <c r="H705" s="11">
        <v>1009688.87</v>
      </c>
    </row>
    <row r="706" spans="2:8" x14ac:dyDescent="0.2">
      <c r="B706" s="5">
        <v>46084</v>
      </c>
      <c r="C706" t="s">
        <v>112</v>
      </c>
      <c r="D706" s="11">
        <v>1142857.1399999999</v>
      </c>
      <c r="E706" s="11">
        <v>6</v>
      </c>
      <c r="F706" s="11">
        <v>190476.19</v>
      </c>
      <c r="G706" s="11">
        <v>377933</v>
      </c>
      <c r="H706" s="11">
        <v>764924.14</v>
      </c>
    </row>
    <row r="707" spans="2:8" x14ac:dyDescent="0.2">
      <c r="B707" s="5">
        <v>46085</v>
      </c>
      <c r="C707" t="s">
        <v>109</v>
      </c>
      <c r="D707" s="11">
        <v>2370873.9500000002</v>
      </c>
      <c r="E707" s="11">
        <v>14</v>
      </c>
      <c r="F707" s="11">
        <v>169348.139</v>
      </c>
      <c r="G707" s="11">
        <v>699145</v>
      </c>
      <c r="H707" s="11">
        <v>1512065.08</v>
      </c>
    </row>
    <row r="708" spans="2:8" x14ac:dyDescent="0.2">
      <c r="B708" s="5">
        <v>46085</v>
      </c>
      <c r="C708" t="s">
        <v>112</v>
      </c>
      <c r="D708" s="11">
        <v>1684033.62</v>
      </c>
      <c r="E708" s="11">
        <v>8</v>
      </c>
      <c r="F708" s="11">
        <v>210504.20199999999</v>
      </c>
      <c r="G708" s="11">
        <v>396917</v>
      </c>
      <c r="H708" s="11">
        <v>1287116.6200000001</v>
      </c>
    </row>
    <row r="709" spans="2:8" x14ac:dyDescent="0.2">
      <c r="B709" s="5">
        <v>46086</v>
      </c>
      <c r="C709" t="s">
        <v>108</v>
      </c>
      <c r="D709" s="11">
        <v>6208617.6500000004</v>
      </c>
      <c r="E709" s="11">
        <v>4</v>
      </c>
      <c r="F709" s="11">
        <v>1552154.412</v>
      </c>
      <c r="G709" s="11">
        <v>3559344</v>
      </c>
      <c r="H709" s="11">
        <v>2649273.65</v>
      </c>
    </row>
    <row r="710" spans="2:8" x14ac:dyDescent="0.2">
      <c r="B710" s="5">
        <v>46086</v>
      </c>
      <c r="C710" t="s">
        <v>109</v>
      </c>
      <c r="D710" s="11">
        <v>2852941.16</v>
      </c>
      <c r="E710" s="11">
        <v>20</v>
      </c>
      <c r="F710" s="11">
        <v>142647.05799999999</v>
      </c>
      <c r="G710" s="11">
        <v>642118</v>
      </c>
      <c r="H710" s="11">
        <v>2181411.4</v>
      </c>
    </row>
    <row r="711" spans="2:8" x14ac:dyDescent="0.2">
      <c r="B711" s="5">
        <v>46086</v>
      </c>
      <c r="C711" t="s">
        <v>112</v>
      </c>
      <c r="D711" s="11">
        <v>705882.35</v>
      </c>
      <c r="E711" s="11">
        <v>4</v>
      </c>
      <c r="F711" s="11">
        <v>176470.587</v>
      </c>
      <c r="G711" s="11">
        <v>159798</v>
      </c>
      <c r="H711" s="11">
        <v>546084.35</v>
      </c>
    </row>
    <row r="712" spans="2:8" x14ac:dyDescent="0.2">
      <c r="B712" s="5">
        <v>46086</v>
      </c>
      <c r="C712" t="s">
        <v>110</v>
      </c>
      <c r="D712" s="11">
        <v>37815.129999999997</v>
      </c>
      <c r="E712" s="11">
        <v>1</v>
      </c>
      <c r="F712" s="11">
        <v>37815.129999999997</v>
      </c>
      <c r="G712" s="11">
        <v>5325</v>
      </c>
      <c r="H712" s="11">
        <v>32490.13</v>
      </c>
    </row>
    <row r="713" spans="2:8" x14ac:dyDescent="0.2">
      <c r="B713" s="5">
        <v>46087</v>
      </c>
      <c r="C713" t="s">
        <v>109</v>
      </c>
      <c r="D713" s="11">
        <v>2333277.3199999998</v>
      </c>
      <c r="E713" s="11">
        <v>21</v>
      </c>
      <c r="F713" s="11">
        <v>111108.443</v>
      </c>
      <c r="G713" s="11">
        <v>605428</v>
      </c>
      <c r="H713" s="11">
        <v>1559782.09</v>
      </c>
    </row>
    <row r="714" spans="2:8" x14ac:dyDescent="0.2">
      <c r="B714" s="5">
        <v>46087</v>
      </c>
      <c r="C714" t="s">
        <v>112</v>
      </c>
      <c r="D714" s="11">
        <v>508403.36</v>
      </c>
      <c r="E714" s="11">
        <v>4</v>
      </c>
      <c r="F714" s="11">
        <v>127100.84</v>
      </c>
      <c r="G714" s="11">
        <v>156968</v>
      </c>
      <c r="H714" s="11">
        <v>351435.36</v>
      </c>
    </row>
    <row r="715" spans="2:8" x14ac:dyDescent="0.2">
      <c r="B715" s="5">
        <v>46088</v>
      </c>
      <c r="C715" t="s">
        <v>109</v>
      </c>
      <c r="D715" s="11">
        <v>3237924.37</v>
      </c>
      <c r="E715" s="11">
        <v>25</v>
      </c>
      <c r="F715" s="11">
        <v>129516.974</v>
      </c>
      <c r="G715" s="11">
        <v>930403</v>
      </c>
      <c r="H715" s="11">
        <v>2307521.37</v>
      </c>
    </row>
    <row r="716" spans="2:8" x14ac:dyDescent="0.2">
      <c r="B716" s="5">
        <v>46088</v>
      </c>
      <c r="C716" t="s">
        <v>112</v>
      </c>
      <c r="D716" s="11">
        <v>277310.93</v>
      </c>
      <c r="E716" s="11">
        <v>2</v>
      </c>
      <c r="F716" s="11">
        <v>138655.465</v>
      </c>
      <c r="G716" s="11">
        <v>97052</v>
      </c>
      <c r="H716" s="11">
        <v>180258.93</v>
      </c>
    </row>
    <row r="717" spans="2:8" x14ac:dyDescent="0.2">
      <c r="B717" s="5">
        <v>46088</v>
      </c>
      <c r="C717" t="s">
        <v>110</v>
      </c>
      <c r="D717" s="11">
        <v>126050.43</v>
      </c>
      <c r="E717" s="11">
        <v>3</v>
      </c>
      <c r="F717" s="11">
        <v>42016.81</v>
      </c>
      <c r="G717" s="11">
        <v>21986</v>
      </c>
      <c r="H717" s="11">
        <v>104064.43</v>
      </c>
    </row>
    <row r="718" spans="2:8" x14ac:dyDescent="0.2">
      <c r="B718" s="5">
        <v>46089</v>
      </c>
      <c r="C718" t="s">
        <v>109</v>
      </c>
      <c r="D718" s="11">
        <v>1440563.02</v>
      </c>
      <c r="E718" s="11">
        <v>10</v>
      </c>
      <c r="F718" s="11">
        <v>144056.302</v>
      </c>
      <c r="G718" s="11">
        <v>363697</v>
      </c>
      <c r="H718" s="11">
        <v>1076866.02</v>
      </c>
    </row>
    <row r="719" spans="2:8" x14ac:dyDescent="0.2">
      <c r="B719" s="5">
        <v>46089</v>
      </c>
      <c r="C719" t="s">
        <v>112</v>
      </c>
      <c r="D719" s="11">
        <v>549579.82999999996</v>
      </c>
      <c r="E719" s="11">
        <v>3</v>
      </c>
      <c r="F719" s="11">
        <v>183193.27600000001</v>
      </c>
      <c r="G719" s="11">
        <v>144576</v>
      </c>
      <c r="H719" s="11">
        <v>405003.83</v>
      </c>
    </row>
    <row r="720" spans="2:8" x14ac:dyDescent="0.2">
      <c r="B720" s="5">
        <v>46090</v>
      </c>
      <c r="C720" t="s">
        <v>109</v>
      </c>
      <c r="D720" s="11">
        <v>983193.29</v>
      </c>
      <c r="E720" s="11">
        <v>9</v>
      </c>
      <c r="F720" s="11">
        <v>109243.698</v>
      </c>
      <c r="G720" s="11">
        <v>335355</v>
      </c>
      <c r="H720" s="11">
        <v>647838.29</v>
      </c>
    </row>
    <row r="721" spans="2:8" x14ac:dyDescent="0.2">
      <c r="B721" s="5">
        <v>46090</v>
      </c>
      <c r="C721" t="s">
        <v>112</v>
      </c>
      <c r="D721" s="11">
        <v>857142.86</v>
      </c>
      <c r="E721" s="11">
        <v>4</v>
      </c>
      <c r="F721" s="11">
        <v>214285.715</v>
      </c>
      <c r="G721" s="11">
        <v>253913</v>
      </c>
      <c r="H721" s="11">
        <v>603229.86</v>
      </c>
    </row>
    <row r="722" spans="2:8" x14ac:dyDescent="0.2">
      <c r="B722" s="5">
        <v>46090</v>
      </c>
      <c r="C722" t="s">
        <v>110</v>
      </c>
      <c r="D722" s="11">
        <v>176470.58</v>
      </c>
      <c r="E722" s="11">
        <v>2</v>
      </c>
      <c r="F722" s="11">
        <v>98739.494999999995</v>
      </c>
      <c r="G722" s="11">
        <v>54525</v>
      </c>
      <c r="H722" s="11">
        <v>121945.58</v>
      </c>
    </row>
    <row r="723" spans="2:8" x14ac:dyDescent="0.2">
      <c r="B723" s="5">
        <v>46091</v>
      </c>
      <c r="C723" t="s">
        <v>112</v>
      </c>
      <c r="D723" s="11">
        <v>1466386.55</v>
      </c>
      <c r="E723" s="11">
        <v>7</v>
      </c>
      <c r="F723" s="11">
        <v>209483.79199999999</v>
      </c>
      <c r="G723" s="11">
        <v>487275</v>
      </c>
      <c r="H723" s="11">
        <v>979111.55</v>
      </c>
    </row>
    <row r="724" spans="2:8" x14ac:dyDescent="0.2">
      <c r="B724" s="5">
        <v>46091</v>
      </c>
      <c r="C724" t="s">
        <v>109</v>
      </c>
      <c r="D724" s="11">
        <v>438361.34</v>
      </c>
      <c r="E724" s="11">
        <v>4</v>
      </c>
      <c r="F724" s="11">
        <v>109590.33500000001</v>
      </c>
      <c r="G724" s="11">
        <v>117189</v>
      </c>
      <c r="H724" s="11">
        <v>321172.34000000003</v>
      </c>
    </row>
    <row r="725" spans="2:8" x14ac:dyDescent="0.2">
      <c r="B725" s="5">
        <v>46091</v>
      </c>
      <c r="C725" t="s">
        <v>110</v>
      </c>
      <c r="D725" s="11">
        <v>42016.81</v>
      </c>
      <c r="E725" s="11">
        <v>1</v>
      </c>
      <c r="F725" s="11">
        <v>42016.81</v>
      </c>
      <c r="G725" s="11">
        <v>6773</v>
      </c>
      <c r="H725" s="11">
        <v>35243.81</v>
      </c>
    </row>
    <row r="726" spans="2:8" x14ac:dyDescent="0.2">
      <c r="B726" s="5">
        <v>46092</v>
      </c>
      <c r="C726" t="s">
        <v>108</v>
      </c>
      <c r="D726" s="11">
        <v>23319327.73</v>
      </c>
      <c r="E726" s="11">
        <v>1</v>
      </c>
      <c r="F726" s="11">
        <v>23319327.73</v>
      </c>
      <c r="G726" s="11">
        <v>15749800</v>
      </c>
      <c r="H726" s="11">
        <v>7569527.7300000004</v>
      </c>
    </row>
    <row r="727" spans="2:8" x14ac:dyDescent="0.2">
      <c r="B727" s="5">
        <v>46092</v>
      </c>
      <c r="C727" t="s">
        <v>109</v>
      </c>
      <c r="D727" s="11">
        <v>2735840.35</v>
      </c>
      <c r="E727" s="11">
        <v>25</v>
      </c>
      <c r="F727" s="11">
        <v>109433.614</v>
      </c>
      <c r="G727" s="11">
        <v>778983</v>
      </c>
      <c r="H727" s="11">
        <v>1927445.59</v>
      </c>
    </row>
    <row r="728" spans="2:8" x14ac:dyDescent="0.2">
      <c r="B728" s="5">
        <v>46092</v>
      </c>
      <c r="C728" t="s">
        <v>112</v>
      </c>
      <c r="D728" s="11">
        <v>1201680.68</v>
      </c>
      <c r="E728" s="11">
        <v>7</v>
      </c>
      <c r="F728" s="11">
        <v>171668.66800000001</v>
      </c>
      <c r="G728" s="11">
        <v>334566</v>
      </c>
      <c r="H728" s="11">
        <v>867114.68</v>
      </c>
    </row>
    <row r="729" spans="2:8" x14ac:dyDescent="0.2">
      <c r="B729" s="5">
        <v>46093</v>
      </c>
      <c r="C729" t="s">
        <v>109</v>
      </c>
      <c r="D729" s="11">
        <v>3452882.34</v>
      </c>
      <c r="E729" s="11">
        <v>22</v>
      </c>
      <c r="F729" s="11">
        <v>156949.19699999999</v>
      </c>
      <c r="G729" s="11">
        <v>1051219</v>
      </c>
      <c r="H729" s="11">
        <v>2401663.34</v>
      </c>
    </row>
    <row r="730" spans="2:8" x14ac:dyDescent="0.2">
      <c r="B730" s="5">
        <v>46093</v>
      </c>
      <c r="C730" t="s">
        <v>112</v>
      </c>
      <c r="D730" s="11">
        <v>1201680.67</v>
      </c>
      <c r="E730" s="11">
        <v>10</v>
      </c>
      <c r="F730" s="11">
        <v>120168.067</v>
      </c>
      <c r="G730" s="11">
        <v>448978</v>
      </c>
      <c r="H730" s="11">
        <v>752702.67</v>
      </c>
    </row>
    <row r="731" spans="2:8" x14ac:dyDescent="0.2">
      <c r="B731" s="5">
        <v>46093</v>
      </c>
      <c r="C731" t="s">
        <v>108</v>
      </c>
      <c r="D731" s="11">
        <v>1008403.36</v>
      </c>
      <c r="E731" s="11">
        <v>1</v>
      </c>
      <c r="F731" s="11">
        <v>1008403.36</v>
      </c>
      <c r="G731" s="11">
        <v>372500</v>
      </c>
      <c r="H731" s="11">
        <v>635903.36</v>
      </c>
    </row>
    <row r="732" spans="2:8" x14ac:dyDescent="0.2">
      <c r="B732" s="5">
        <v>46093</v>
      </c>
      <c r="C732" t="s">
        <v>110</v>
      </c>
      <c r="D732" s="11">
        <v>142857.14000000001</v>
      </c>
      <c r="E732" s="11">
        <v>2</v>
      </c>
      <c r="F732" s="11">
        <v>71428.570000000007</v>
      </c>
      <c r="G732" s="11">
        <v>23585</v>
      </c>
      <c r="H732" s="11">
        <v>119272.14</v>
      </c>
    </row>
    <row r="733" spans="2:8" x14ac:dyDescent="0.2">
      <c r="B733" s="5">
        <v>46094</v>
      </c>
      <c r="C733" t="s">
        <v>109</v>
      </c>
      <c r="D733" s="11">
        <v>1053201.7</v>
      </c>
      <c r="E733" s="11">
        <v>12</v>
      </c>
      <c r="F733" s="11">
        <v>87766.808000000005</v>
      </c>
      <c r="G733" s="11">
        <v>288301</v>
      </c>
      <c r="H733" s="11">
        <v>764900.7</v>
      </c>
    </row>
    <row r="734" spans="2:8" x14ac:dyDescent="0.2">
      <c r="B734" s="5">
        <v>46094</v>
      </c>
      <c r="C734" t="s">
        <v>112</v>
      </c>
      <c r="D734" s="11">
        <v>487394.95</v>
      </c>
      <c r="E734" s="11">
        <v>3</v>
      </c>
      <c r="F734" s="11">
        <v>162464.98300000001</v>
      </c>
      <c r="G734" s="11">
        <v>67396</v>
      </c>
      <c r="H734" s="11">
        <v>419998.95</v>
      </c>
    </row>
    <row r="735" spans="2:8" x14ac:dyDescent="0.2">
      <c r="B735" s="5">
        <v>46094</v>
      </c>
      <c r="C735" t="s">
        <v>110</v>
      </c>
      <c r="D735" s="11">
        <v>42016.81</v>
      </c>
      <c r="E735" s="11">
        <v>1</v>
      </c>
      <c r="F735" s="11">
        <v>42016.81</v>
      </c>
      <c r="G735" s="11">
        <v>6773</v>
      </c>
      <c r="H735" s="11">
        <v>35243.81</v>
      </c>
    </row>
    <row r="736" spans="2:8" x14ac:dyDescent="0.2">
      <c r="B736" s="5">
        <v>46095</v>
      </c>
      <c r="C736" t="s">
        <v>109</v>
      </c>
      <c r="D736" s="11">
        <v>3544243.7</v>
      </c>
      <c r="E736" s="11">
        <v>25</v>
      </c>
      <c r="F736" s="11">
        <v>141769.74799999999</v>
      </c>
      <c r="G736" s="11">
        <v>968585</v>
      </c>
      <c r="H736" s="11">
        <v>2207591.4700000002</v>
      </c>
    </row>
    <row r="737" spans="2:8" x14ac:dyDescent="0.2">
      <c r="B737" s="5">
        <v>46095</v>
      </c>
      <c r="C737" t="s">
        <v>112</v>
      </c>
      <c r="D737" s="11">
        <v>915966.39</v>
      </c>
      <c r="E737" s="11">
        <v>5</v>
      </c>
      <c r="F737" s="11">
        <v>183193.27799999999</v>
      </c>
      <c r="G737" s="11">
        <v>297983</v>
      </c>
      <c r="H737" s="11">
        <v>617983.39</v>
      </c>
    </row>
    <row r="738" spans="2:8" x14ac:dyDescent="0.2">
      <c r="B738" s="5">
        <v>46095</v>
      </c>
      <c r="C738" t="s">
        <v>110</v>
      </c>
      <c r="D738" s="11">
        <v>121848.74</v>
      </c>
      <c r="E738" s="11">
        <v>2</v>
      </c>
      <c r="F738" s="11">
        <v>60924.37</v>
      </c>
      <c r="G738" s="11">
        <v>41490</v>
      </c>
      <c r="H738" s="11">
        <v>80358.740000000005</v>
      </c>
    </row>
    <row r="739" spans="2:8" x14ac:dyDescent="0.2">
      <c r="B739" s="5">
        <v>46096</v>
      </c>
      <c r="C739" t="s">
        <v>109</v>
      </c>
      <c r="D739" s="11">
        <v>1415966.39</v>
      </c>
      <c r="E739" s="11">
        <v>8</v>
      </c>
      <c r="F739" s="11">
        <v>176995.79800000001</v>
      </c>
      <c r="G739" s="11">
        <v>293975</v>
      </c>
      <c r="H739" s="11">
        <v>1121991.3899999999</v>
      </c>
    </row>
    <row r="740" spans="2:8" x14ac:dyDescent="0.2">
      <c r="B740" s="5">
        <v>46096</v>
      </c>
      <c r="C740" t="s">
        <v>112</v>
      </c>
      <c r="D740" s="11">
        <v>357142.86</v>
      </c>
      <c r="E740" s="11">
        <v>3</v>
      </c>
      <c r="F740" s="11">
        <v>119047.62</v>
      </c>
      <c r="G740" s="11">
        <v>64660</v>
      </c>
      <c r="H740" s="11">
        <v>292482.86</v>
      </c>
    </row>
    <row r="741" spans="2:8" x14ac:dyDescent="0.2">
      <c r="B741" s="5">
        <v>46097</v>
      </c>
      <c r="C741" t="s">
        <v>109</v>
      </c>
      <c r="D741" s="11">
        <v>1348294.12</v>
      </c>
      <c r="E741" s="11">
        <v>15</v>
      </c>
      <c r="F741" s="11">
        <v>89886.274000000005</v>
      </c>
      <c r="G741" s="11">
        <v>420669</v>
      </c>
      <c r="H741" s="11">
        <v>927625.12</v>
      </c>
    </row>
    <row r="742" spans="2:8" x14ac:dyDescent="0.2">
      <c r="B742" s="5">
        <v>46097</v>
      </c>
      <c r="C742" t="s">
        <v>112</v>
      </c>
      <c r="D742" s="11">
        <v>613445.38</v>
      </c>
      <c r="E742" s="11">
        <v>5</v>
      </c>
      <c r="F742" s="11">
        <v>122689.076</v>
      </c>
      <c r="G742" s="11">
        <v>184826</v>
      </c>
      <c r="H742" s="11">
        <v>428619.38</v>
      </c>
    </row>
    <row r="743" spans="2:8" x14ac:dyDescent="0.2">
      <c r="B743" s="5">
        <v>46098</v>
      </c>
      <c r="C743" t="s">
        <v>109</v>
      </c>
      <c r="D743" s="11">
        <v>2424201.6800000002</v>
      </c>
      <c r="E743" s="11">
        <v>18</v>
      </c>
      <c r="F743" s="11">
        <v>134677.87100000001</v>
      </c>
      <c r="G743" s="11">
        <v>579266</v>
      </c>
      <c r="H743" s="11">
        <v>1676868.46</v>
      </c>
    </row>
    <row r="744" spans="2:8" x14ac:dyDescent="0.2">
      <c r="B744" s="5">
        <v>46098</v>
      </c>
      <c r="C744" t="s">
        <v>112</v>
      </c>
      <c r="D744" s="11">
        <v>1781512.61</v>
      </c>
      <c r="E744" s="11">
        <v>10</v>
      </c>
      <c r="F744" s="11">
        <v>178151.261</v>
      </c>
      <c r="G744" s="11">
        <v>741680</v>
      </c>
      <c r="H744" s="11">
        <v>1039832.61</v>
      </c>
    </row>
    <row r="745" spans="2:8" x14ac:dyDescent="0.2">
      <c r="B745" s="5">
        <v>46099</v>
      </c>
      <c r="C745" t="s">
        <v>109</v>
      </c>
      <c r="D745" s="11">
        <v>1421008.4</v>
      </c>
      <c r="E745" s="11">
        <v>11</v>
      </c>
      <c r="F745" s="11">
        <v>129182.58100000001</v>
      </c>
      <c r="G745" s="11">
        <v>393026</v>
      </c>
      <c r="H745" s="11">
        <v>1027982.4</v>
      </c>
    </row>
    <row r="746" spans="2:8" x14ac:dyDescent="0.2">
      <c r="B746" s="5">
        <v>46099</v>
      </c>
      <c r="C746" t="s">
        <v>112</v>
      </c>
      <c r="D746" s="11">
        <v>201680.67</v>
      </c>
      <c r="E746" s="11">
        <v>1</v>
      </c>
      <c r="F746" s="11">
        <v>201680.67</v>
      </c>
      <c r="G746" s="11">
        <v>46064</v>
      </c>
      <c r="H746" s="11">
        <v>155616.67000000001</v>
      </c>
    </row>
    <row r="747" spans="2:8" x14ac:dyDescent="0.2">
      <c r="B747" s="5">
        <v>46099</v>
      </c>
      <c r="C747" t="s">
        <v>110</v>
      </c>
      <c r="D747" s="11">
        <v>84033.61</v>
      </c>
      <c r="E747" s="11">
        <v>1</v>
      </c>
      <c r="F747" s="11">
        <v>84033.61</v>
      </c>
      <c r="G747" s="11">
        <v>13546</v>
      </c>
      <c r="H747" s="11">
        <v>70487.61</v>
      </c>
    </row>
    <row r="748" spans="2:8" x14ac:dyDescent="0.2">
      <c r="B748" s="5">
        <v>46100</v>
      </c>
      <c r="C748" t="s">
        <v>109</v>
      </c>
      <c r="D748" s="11">
        <v>5711302.4900000002</v>
      </c>
      <c r="E748" s="11">
        <v>22</v>
      </c>
      <c r="F748" s="11">
        <v>259604.658</v>
      </c>
      <c r="G748" s="11">
        <v>1753434</v>
      </c>
      <c r="H748" s="11">
        <v>3593582.79</v>
      </c>
    </row>
    <row r="749" spans="2:8" x14ac:dyDescent="0.2">
      <c r="B749" s="5">
        <v>46100</v>
      </c>
      <c r="C749" t="s">
        <v>112</v>
      </c>
      <c r="D749" s="11">
        <v>361344.54</v>
      </c>
      <c r="E749" s="11">
        <v>4</v>
      </c>
      <c r="F749" s="11">
        <v>90336.134999999995</v>
      </c>
      <c r="G749" s="11">
        <v>90879</v>
      </c>
      <c r="H749" s="11">
        <v>270465.53999999998</v>
      </c>
    </row>
    <row r="750" spans="2:8" x14ac:dyDescent="0.2">
      <c r="B750" s="5">
        <v>46100</v>
      </c>
      <c r="C750" t="s">
        <v>110</v>
      </c>
      <c r="D750" s="11">
        <v>33613.449999999997</v>
      </c>
      <c r="E750" s="11">
        <v>1</v>
      </c>
      <c r="F750" s="11">
        <v>33613.449999999997</v>
      </c>
      <c r="G750" s="11">
        <v>6018</v>
      </c>
      <c r="H750" s="11">
        <v>27595.45</v>
      </c>
    </row>
    <row r="751" spans="2:8" x14ac:dyDescent="0.2">
      <c r="B751" s="5">
        <v>46101</v>
      </c>
      <c r="C751" t="s">
        <v>109</v>
      </c>
      <c r="D751" s="11">
        <v>1697478.98</v>
      </c>
      <c r="E751" s="11">
        <v>15</v>
      </c>
      <c r="F751" s="11">
        <v>113165.265</v>
      </c>
      <c r="G751" s="11">
        <v>526697</v>
      </c>
      <c r="H751" s="11">
        <v>1170781.98</v>
      </c>
    </row>
    <row r="752" spans="2:8" x14ac:dyDescent="0.2">
      <c r="B752" s="5">
        <v>46101</v>
      </c>
      <c r="C752" t="s">
        <v>112</v>
      </c>
      <c r="D752" s="11">
        <v>752100.84</v>
      </c>
      <c r="E752" s="11">
        <v>4</v>
      </c>
      <c r="F752" s="11">
        <v>188025.21</v>
      </c>
      <c r="G752" s="11">
        <v>181650</v>
      </c>
      <c r="H752" s="11">
        <v>570450.84</v>
      </c>
    </row>
    <row r="753" spans="2:8" x14ac:dyDescent="0.2">
      <c r="B753" s="5">
        <v>46102</v>
      </c>
      <c r="C753" t="s">
        <v>109</v>
      </c>
      <c r="D753" s="11">
        <v>2864731.12</v>
      </c>
      <c r="E753" s="11">
        <v>19</v>
      </c>
      <c r="F753" s="11">
        <v>144804.51199999999</v>
      </c>
      <c r="G753" s="11">
        <v>936671</v>
      </c>
      <c r="H753" s="11">
        <v>1844026.51</v>
      </c>
    </row>
    <row r="754" spans="2:8" x14ac:dyDescent="0.2">
      <c r="B754" s="5">
        <v>46102</v>
      </c>
      <c r="C754" t="s">
        <v>112</v>
      </c>
      <c r="D754" s="11">
        <v>189075.63</v>
      </c>
      <c r="E754" s="11">
        <v>1</v>
      </c>
      <c r="F754" s="11">
        <v>189075.63</v>
      </c>
      <c r="G754" s="11">
        <v>66573</v>
      </c>
      <c r="H754" s="11">
        <v>122502.63</v>
      </c>
    </row>
    <row r="755" spans="2:8" x14ac:dyDescent="0.2">
      <c r="B755" s="5">
        <v>46103</v>
      </c>
      <c r="C755" t="s">
        <v>109</v>
      </c>
      <c r="D755" s="11">
        <v>454369.75</v>
      </c>
      <c r="E755" s="11">
        <v>8</v>
      </c>
      <c r="F755" s="11">
        <v>56796.218000000001</v>
      </c>
      <c r="G755" s="11">
        <v>155258</v>
      </c>
      <c r="H755" s="11">
        <v>299111.75</v>
      </c>
    </row>
    <row r="756" spans="2:8" x14ac:dyDescent="0.2">
      <c r="B756" s="5">
        <v>46103</v>
      </c>
      <c r="C756" t="s">
        <v>112</v>
      </c>
      <c r="D756" s="11">
        <v>54621.85</v>
      </c>
      <c r="E756" s="11">
        <v>1</v>
      </c>
      <c r="F756" s="11">
        <v>54621.85</v>
      </c>
      <c r="G756" s="11">
        <v>16435</v>
      </c>
      <c r="H756" s="11">
        <v>38186.85</v>
      </c>
    </row>
    <row r="757" spans="2:8" x14ac:dyDescent="0.2">
      <c r="B757" s="5">
        <v>46104</v>
      </c>
      <c r="C757" t="s">
        <v>109</v>
      </c>
      <c r="D757" s="11">
        <v>680672.27</v>
      </c>
      <c r="E757" s="11">
        <v>6</v>
      </c>
      <c r="F757" s="11">
        <v>113445.378</v>
      </c>
      <c r="G757" s="11">
        <v>175224</v>
      </c>
      <c r="H757" s="11">
        <v>505448.27</v>
      </c>
    </row>
    <row r="758" spans="2:8" x14ac:dyDescent="0.2">
      <c r="B758" s="5">
        <v>46104</v>
      </c>
      <c r="C758" t="s">
        <v>112</v>
      </c>
      <c r="D758" s="11">
        <v>575630.25</v>
      </c>
      <c r="E758" s="11">
        <v>2</v>
      </c>
      <c r="F758" s="11">
        <v>287815.125</v>
      </c>
      <c r="G758" s="11">
        <v>138061</v>
      </c>
      <c r="H758" s="11">
        <v>437569.25</v>
      </c>
    </row>
    <row r="759" spans="2:8" x14ac:dyDescent="0.2">
      <c r="B759" s="5">
        <v>46105</v>
      </c>
      <c r="C759" t="s">
        <v>109</v>
      </c>
      <c r="D759" s="11">
        <v>1254621.8600000001</v>
      </c>
      <c r="E759" s="11">
        <v>10</v>
      </c>
      <c r="F759" s="11">
        <v>125462.186</v>
      </c>
      <c r="G759" s="11">
        <v>356657</v>
      </c>
      <c r="H759" s="11">
        <v>826536.29</v>
      </c>
    </row>
    <row r="760" spans="2:8" x14ac:dyDescent="0.2">
      <c r="B760" s="5">
        <v>46105</v>
      </c>
      <c r="C760" t="s">
        <v>112</v>
      </c>
      <c r="D760" s="11">
        <v>603361.35</v>
      </c>
      <c r="E760" s="11">
        <v>3</v>
      </c>
      <c r="F760" s="11">
        <v>201120.45</v>
      </c>
      <c r="G760" s="11">
        <v>188204</v>
      </c>
      <c r="H760" s="11">
        <v>415157.35</v>
      </c>
    </row>
    <row r="761" spans="2:8" x14ac:dyDescent="0.2">
      <c r="B761" s="5">
        <v>46106</v>
      </c>
      <c r="C761" t="s">
        <v>109</v>
      </c>
      <c r="D761" s="11">
        <v>2280521</v>
      </c>
      <c r="E761" s="11">
        <v>14</v>
      </c>
      <c r="F761" s="11">
        <v>162894.35699999999</v>
      </c>
      <c r="G761" s="11">
        <v>560134</v>
      </c>
      <c r="H761" s="11">
        <v>1560723.13</v>
      </c>
    </row>
    <row r="762" spans="2:8" x14ac:dyDescent="0.2">
      <c r="B762" s="5">
        <v>46106</v>
      </c>
      <c r="C762" t="s">
        <v>112</v>
      </c>
      <c r="D762" s="11">
        <v>647058.81999999995</v>
      </c>
      <c r="E762" s="11">
        <v>6</v>
      </c>
      <c r="F762" s="11">
        <v>107843.136</v>
      </c>
      <c r="G762" s="11">
        <v>190865</v>
      </c>
      <c r="H762" s="11">
        <v>456193.82</v>
      </c>
    </row>
    <row r="763" spans="2:8" x14ac:dyDescent="0.2">
      <c r="B763" s="5">
        <v>46107</v>
      </c>
      <c r="C763" t="s">
        <v>109</v>
      </c>
      <c r="D763" s="11">
        <v>1606428.59</v>
      </c>
      <c r="E763" s="11">
        <v>18</v>
      </c>
      <c r="F763" s="11">
        <v>89246.032000000007</v>
      </c>
      <c r="G763" s="11">
        <v>355977</v>
      </c>
      <c r="H763" s="11">
        <v>1250451.5900000001</v>
      </c>
    </row>
    <row r="764" spans="2:8" x14ac:dyDescent="0.2">
      <c r="B764" s="5">
        <v>46107</v>
      </c>
      <c r="C764" t="s">
        <v>112</v>
      </c>
      <c r="D764" s="11">
        <v>453781.51</v>
      </c>
      <c r="E764" s="11">
        <v>1</v>
      </c>
      <c r="F764" s="11">
        <v>453781.51</v>
      </c>
      <c r="G764" s="11">
        <v>125542</v>
      </c>
      <c r="H764" s="11">
        <v>328239.51</v>
      </c>
    </row>
    <row r="765" spans="2:8" x14ac:dyDescent="0.2">
      <c r="B765" s="5">
        <v>46107</v>
      </c>
      <c r="C765" t="s">
        <v>110</v>
      </c>
      <c r="D765" s="11">
        <v>130252.1</v>
      </c>
      <c r="E765" s="11">
        <v>1</v>
      </c>
      <c r="F765" s="11">
        <v>130252.1</v>
      </c>
      <c r="G765" s="11">
        <v>23015</v>
      </c>
      <c r="H765" s="11">
        <v>107237.1</v>
      </c>
    </row>
    <row r="766" spans="2:8" x14ac:dyDescent="0.2">
      <c r="B766" s="5">
        <v>46108</v>
      </c>
      <c r="C766" t="s">
        <v>109</v>
      </c>
      <c r="D766" s="11">
        <v>1777268.91</v>
      </c>
      <c r="E766" s="11">
        <v>15</v>
      </c>
      <c r="F766" s="11">
        <v>118484.594</v>
      </c>
      <c r="G766" s="11">
        <v>502658</v>
      </c>
      <c r="H766" s="11">
        <v>1274610.9099999999</v>
      </c>
    </row>
    <row r="767" spans="2:8" x14ac:dyDescent="0.2">
      <c r="B767" s="5">
        <v>46108</v>
      </c>
      <c r="C767" t="s">
        <v>112</v>
      </c>
      <c r="D767" s="11">
        <v>1008403.36</v>
      </c>
      <c r="E767" s="11">
        <v>7</v>
      </c>
      <c r="F767" s="11">
        <v>144057.622</v>
      </c>
      <c r="G767" s="11">
        <v>296261</v>
      </c>
      <c r="H767" s="11">
        <v>712142.36</v>
      </c>
    </row>
    <row r="768" spans="2:8" x14ac:dyDescent="0.2">
      <c r="B768" s="5">
        <v>46109</v>
      </c>
      <c r="C768" t="s">
        <v>109</v>
      </c>
      <c r="D768" s="11">
        <v>4192084.03</v>
      </c>
      <c r="E768" s="11">
        <v>27</v>
      </c>
      <c r="F768" s="11">
        <v>159464.052</v>
      </c>
      <c r="G768" s="11">
        <v>1148018</v>
      </c>
      <c r="H768" s="11">
        <v>2972637.46</v>
      </c>
    </row>
    <row r="769" spans="2:8" x14ac:dyDescent="0.2">
      <c r="B769" s="5">
        <v>46109</v>
      </c>
      <c r="C769" t="s">
        <v>112</v>
      </c>
      <c r="D769" s="11">
        <v>1357142.86</v>
      </c>
      <c r="E769" s="11">
        <v>2</v>
      </c>
      <c r="F769" s="11">
        <v>678571.43</v>
      </c>
      <c r="G769" s="11">
        <v>404830</v>
      </c>
      <c r="H769" s="11">
        <v>952312.86</v>
      </c>
    </row>
    <row r="770" spans="2:8" x14ac:dyDescent="0.2">
      <c r="B770" s="5">
        <v>46110</v>
      </c>
      <c r="C770" t="s">
        <v>109</v>
      </c>
      <c r="D770" s="11">
        <v>2273109.2400000002</v>
      </c>
      <c r="E770" s="11">
        <v>9</v>
      </c>
      <c r="F770" s="11">
        <v>252567.693</v>
      </c>
      <c r="G770" s="11">
        <v>657891</v>
      </c>
      <c r="H770" s="11">
        <v>1615218.24</v>
      </c>
    </row>
    <row r="771" spans="2:8" x14ac:dyDescent="0.2">
      <c r="B771" s="5">
        <v>46110</v>
      </c>
      <c r="C771" t="s">
        <v>112</v>
      </c>
      <c r="D771" s="11">
        <v>15126.05</v>
      </c>
      <c r="E771" s="11">
        <v>1</v>
      </c>
      <c r="F771" s="11">
        <v>15126.05</v>
      </c>
      <c r="G771" s="11">
        <v>664</v>
      </c>
      <c r="H771" s="11">
        <v>14462.05</v>
      </c>
    </row>
    <row r="772" spans="2:8" x14ac:dyDescent="0.2">
      <c r="B772" s="5">
        <v>46111</v>
      </c>
      <c r="C772" t="s">
        <v>109</v>
      </c>
      <c r="D772" s="11">
        <v>1974789.91</v>
      </c>
      <c r="E772" s="11">
        <v>7</v>
      </c>
      <c r="F772" s="11">
        <v>282112.84399999998</v>
      </c>
      <c r="G772" s="11">
        <v>515971</v>
      </c>
      <c r="H772" s="11">
        <v>1458818.91</v>
      </c>
    </row>
    <row r="773" spans="2:8" x14ac:dyDescent="0.2">
      <c r="B773" s="5">
        <v>46111</v>
      </c>
      <c r="C773" t="s">
        <v>112</v>
      </c>
      <c r="D773" s="11">
        <v>407563.03</v>
      </c>
      <c r="E773" s="11">
        <v>3</v>
      </c>
      <c r="F773" s="11">
        <v>135854.34299999999</v>
      </c>
      <c r="G773" s="11">
        <v>132313</v>
      </c>
      <c r="H773" s="11">
        <v>275250.03000000003</v>
      </c>
    </row>
    <row r="774" spans="2:8" x14ac:dyDescent="0.2">
      <c r="B774" s="5">
        <v>46112</v>
      </c>
      <c r="C774" t="s">
        <v>109</v>
      </c>
      <c r="D774" s="11">
        <v>1300873.95</v>
      </c>
      <c r="E774" s="11">
        <v>9</v>
      </c>
      <c r="F774" s="11">
        <v>144541.54999999999</v>
      </c>
      <c r="G774" s="11">
        <v>316579</v>
      </c>
      <c r="H774" s="11">
        <v>984294.95</v>
      </c>
    </row>
    <row r="775" spans="2:8" x14ac:dyDescent="0.2">
      <c r="B775" s="5">
        <v>46112</v>
      </c>
      <c r="C775" t="s">
        <v>108</v>
      </c>
      <c r="D775" s="11">
        <v>744663.87</v>
      </c>
      <c r="E775" s="11">
        <v>1</v>
      </c>
      <c r="F775" s="11">
        <v>744663.87</v>
      </c>
      <c r="G775" s="11">
        <v>0</v>
      </c>
      <c r="H775" s="11">
        <v>744663.87</v>
      </c>
    </row>
    <row r="776" spans="2:8" x14ac:dyDescent="0.2">
      <c r="B776" s="5">
        <v>46112</v>
      </c>
      <c r="C776" t="s">
        <v>112</v>
      </c>
      <c r="D776" s="11">
        <v>474789.91</v>
      </c>
      <c r="E776" s="11">
        <v>4</v>
      </c>
      <c r="F776" s="11">
        <v>118697.477</v>
      </c>
      <c r="G776" s="11">
        <v>154295</v>
      </c>
      <c r="H776" s="11">
        <v>320494.90999999997</v>
      </c>
    </row>
    <row r="777" spans="2:8" x14ac:dyDescent="0.2">
      <c r="B777" s="5">
        <v>46113</v>
      </c>
      <c r="C777" t="s">
        <v>109</v>
      </c>
      <c r="D777" s="11">
        <v>1475302.54</v>
      </c>
      <c r="E777" s="11">
        <v>16</v>
      </c>
      <c r="F777" s="11">
        <v>92206.407999999996</v>
      </c>
      <c r="G777" s="11">
        <v>440568</v>
      </c>
      <c r="H777" s="11">
        <v>1034734.54</v>
      </c>
    </row>
    <row r="778" spans="2:8" x14ac:dyDescent="0.2">
      <c r="B778" s="5">
        <v>46113</v>
      </c>
      <c r="C778" t="s">
        <v>112</v>
      </c>
      <c r="D778" s="11">
        <v>210084.03</v>
      </c>
      <c r="E778" s="11">
        <v>1</v>
      </c>
      <c r="F778" s="11">
        <v>210084.03</v>
      </c>
      <c r="G778" s="11">
        <v>28884</v>
      </c>
      <c r="H778" s="11">
        <v>181200.03</v>
      </c>
    </row>
    <row r="779" spans="2:8" x14ac:dyDescent="0.2">
      <c r="B779" s="5">
        <v>46114</v>
      </c>
      <c r="C779" t="s">
        <v>109</v>
      </c>
      <c r="D779" s="11">
        <v>825470.59</v>
      </c>
      <c r="E779" s="11">
        <v>10</v>
      </c>
      <c r="F779" s="11">
        <v>82547.058999999994</v>
      </c>
      <c r="G779" s="11">
        <v>292687</v>
      </c>
      <c r="H779" s="11">
        <v>532783.59</v>
      </c>
    </row>
    <row r="780" spans="2:8" x14ac:dyDescent="0.2">
      <c r="B780" s="5">
        <v>46114</v>
      </c>
      <c r="C780" t="s">
        <v>112</v>
      </c>
      <c r="D780" s="11">
        <v>319327.73</v>
      </c>
      <c r="E780" s="11">
        <v>3</v>
      </c>
      <c r="F780" s="11">
        <v>106442.576</v>
      </c>
      <c r="G780" s="11">
        <v>97613</v>
      </c>
      <c r="H780" s="11">
        <v>221714.73</v>
      </c>
    </row>
    <row r="781" spans="2:8" x14ac:dyDescent="0.2">
      <c r="B781" s="5">
        <v>46116</v>
      </c>
      <c r="C781" t="s">
        <v>109</v>
      </c>
      <c r="D781" s="11">
        <v>373621.85</v>
      </c>
      <c r="E781" s="11">
        <v>6</v>
      </c>
      <c r="F781" s="11">
        <v>65071.43</v>
      </c>
      <c r="G781" s="11">
        <v>120272</v>
      </c>
      <c r="H781" s="11">
        <v>253349.85</v>
      </c>
    </row>
    <row r="782" spans="2:8" x14ac:dyDescent="0.2">
      <c r="B782" s="5">
        <v>46116</v>
      </c>
      <c r="C782" t="s">
        <v>112</v>
      </c>
      <c r="D782" s="11">
        <v>197478.99</v>
      </c>
      <c r="E782" s="11">
        <v>2</v>
      </c>
      <c r="F782" s="11">
        <v>98739.494999999995</v>
      </c>
      <c r="G782" s="11">
        <v>58848</v>
      </c>
      <c r="H782" s="11">
        <v>138630.99</v>
      </c>
    </row>
    <row r="783" spans="2:8" x14ac:dyDescent="0.2">
      <c r="B783" s="5">
        <v>46117</v>
      </c>
      <c r="C783" t="s">
        <v>112</v>
      </c>
      <c r="D783" s="11">
        <v>701680.67</v>
      </c>
      <c r="E783" s="11">
        <v>3</v>
      </c>
      <c r="F783" s="11">
        <v>233893.55600000001</v>
      </c>
      <c r="G783" s="11">
        <v>219239</v>
      </c>
      <c r="H783" s="11">
        <v>482441.67</v>
      </c>
    </row>
    <row r="784" spans="2:8" x14ac:dyDescent="0.2">
      <c r="B784" s="5">
        <v>46118</v>
      </c>
      <c r="C784" t="s">
        <v>109</v>
      </c>
      <c r="D784" s="11">
        <v>1456563.06</v>
      </c>
      <c r="E784" s="11">
        <v>14</v>
      </c>
      <c r="F784" s="11">
        <v>102239.497</v>
      </c>
      <c r="G784" s="11">
        <v>545874</v>
      </c>
      <c r="H784" s="11">
        <v>910689.06</v>
      </c>
    </row>
    <row r="785" spans="2:8" x14ac:dyDescent="0.2">
      <c r="B785" s="5">
        <v>46118</v>
      </c>
      <c r="C785" t="s">
        <v>112</v>
      </c>
      <c r="D785" s="11">
        <v>588235.30000000005</v>
      </c>
      <c r="E785" s="11">
        <v>5</v>
      </c>
      <c r="F785" s="11">
        <v>113445.38</v>
      </c>
      <c r="G785" s="11">
        <v>182038</v>
      </c>
      <c r="H785" s="11">
        <v>406197.3</v>
      </c>
    </row>
    <row r="786" spans="2:8" x14ac:dyDescent="0.2">
      <c r="B786" s="5">
        <v>46119</v>
      </c>
      <c r="C786" t="s">
        <v>109</v>
      </c>
      <c r="D786" s="11">
        <v>1975630.25</v>
      </c>
      <c r="E786" s="11">
        <v>12</v>
      </c>
      <c r="F786" s="11">
        <v>164635.85399999999</v>
      </c>
      <c r="G786" s="11">
        <v>517216</v>
      </c>
      <c r="H786" s="11">
        <v>1458414.25</v>
      </c>
    </row>
    <row r="787" spans="2:8" x14ac:dyDescent="0.2">
      <c r="B787" s="5">
        <v>46119</v>
      </c>
      <c r="C787" t="s">
        <v>112</v>
      </c>
      <c r="D787" s="11">
        <v>802521.01</v>
      </c>
      <c r="E787" s="11">
        <v>7</v>
      </c>
      <c r="F787" s="11">
        <v>114645.85799999999</v>
      </c>
      <c r="G787" s="11">
        <v>201399</v>
      </c>
      <c r="H787" s="11">
        <v>601122.01</v>
      </c>
    </row>
    <row r="788" spans="2:8" x14ac:dyDescent="0.2">
      <c r="B788" s="5">
        <v>46119</v>
      </c>
      <c r="C788" t="s">
        <v>108</v>
      </c>
      <c r="D788" s="11">
        <v>294117.65000000002</v>
      </c>
      <c r="E788" s="11">
        <v>1</v>
      </c>
      <c r="F788" s="11">
        <v>294117.65000000002</v>
      </c>
      <c r="G788" s="11">
        <v>250000</v>
      </c>
      <c r="H788" s="11">
        <v>44117.65</v>
      </c>
    </row>
    <row r="789" spans="2:8" x14ac:dyDescent="0.2">
      <c r="B789" s="5">
        <v>46119</v>
      </c>
      <c r="C789" t="s">
        <v>110</v>
      </c>
      <c r="D789" s="11">
        <v>46218.49</v>
      </c>
      <c r="E789" s="11">
        <v>1</v>
      </c>
      <c r="F789" s="11">
        <v>46218.49</v>
      </c>
      <c r="G789" s="11">
        <v>8845</v>
      </c>
      <c r="H789" s="11">
        <v>37373.49</v>
      </c>
    </row>
    <row r="790" spans="2:8" x14ac:dyDescent="0.2">
      <c r="B790" s="5">
        <v>46120</v>
      </c>
      <c r="C790" t="s">
        <v>109</v>
      </c>
      <c r="D790" s="11">
        <v>1991596.63</v>
      </c>
      <c r="E790" s="11">
        <v>18</v>
      </c>
      <c r="F790" s="11">
        <v>110644.257</v>
      </c>
      <c r="G790" s="11">
        <v>544555</v>
      </c>
      <c r="H790" s="11">
        <v>1447041.63</v>
      </c>
    </row>
    <row r="791" spans="2:8" x14ac:dyDescent="0.2">
      <c r="B791" s="5">
        <v>46120</v>
      </c>
      <c r="C791" t="s">
        <v>110</v>
      </c>
      <c r="D791" s="11">
        <v>134453.79</v>
      </c>
      <c r="E791" s="11">
        <v>3</v>
      </c>
      <c r="F791" s="11">
        <v>44817.93</v>
      </c>
      <c r="G791" s="11">
        <v>24463</v>
      </c>
      <c r="H791" s="11">
        <v>109990.79</v>
      </c>
    </row>
    <row r="792" spans="2:8" x14ac:dyDescent="0.2">
      <c r="B792" s="5">
        <v>46120</v>
      </c>
      <c r="C792" t="s">
        <v>112</v>
      </c>
      <c r="D792" s="11">
        <v>100840.34</v>
      </c>
      <c r="E792" s="11">
        <v>1</v>
      </c>
      <c r="F792" s="11">
        <v>100840.34</v>
      </c>
      <c r="G792" s="11">
        <v>27516</v>
      </c>
      <c r="H792" s="11">
        <v>73324.34</v>
      </c>
    </row>
    <row r="793" spans="2:8" x14ac:dyDescent="0.2">
      <c r="B793" s="5">
        <v>46121</v>
      </c>
      <c r="C793" t="s">
        <v>109</v>
      </c>
      <c r="D793" s="11">
        <v>3732151.27</v>
      </c>
      <c r="E793" s="11">
        <v>23</v>
      </c>
      <c r="F793" s="11">
        <v>162267.446</v>
      </c>
      <c r="G793" s="11">
        <v>1261344</v>
      </c>
      <c r="H793" s="11">
        <v>2441395.5099999998</v>
      </c>
    </row>
    <row r="794" spans="2:8" x14ac:dyDescent="0.2">
      <c r="B794" s="5">
        <v>46121</v>
      </c>
      <c r="C794" t="s">
        <v>112</v>
      </c>
      <c r="D794" s="11">
        <v>865546.22</v>
      </c>
      <c r="E794" s="11">
        <v>8</v>
      </c>
      <c r="F794" s="11">
        <v>108193.277</v>
      </c>
      <c r="G794" s="11">
        <v>278877</v>
      </c>
      <c r="H794" s="11">
        <v>586669.22</v>
      </c>
    </row>
    <row r="795" spans="2:8" x14ac:dyDescent="0.2">
      <c r="B795" s="5">
        <v>46122</v>
      </c>
      <c r="C795" t="s">
        <v>109</v>
      </c>
      <c r="D795" s="11">
        <v>5552226.8700000001</v>
      </c>
      <c r="E795" s="11">
        <v>30</v>
      </c>
      <c r="F795" s="11">
        <v>185074.22899999999</v>
      </c>
      <c r="G795" s="11">
        <v>1572837</v>
      </c>
      <c r="H795" s="11">
        <v>3979389.87</v>
      </c>
    </row>
    <row r="796" spans="2:8" x14ac:dyDescent="0.2">
      <c r="B796" s="5">
        <v>46122</v>
      </c>
      <c r="C796" t="s">
        <v>112</v>
      </c>
      <c r="D796" s="11">
        <v>903361.34</v>
      </c>
      <c r="E796" s="11">
        <v>5</v>
      </c>
      <c r="F796" s="11">
        <v>180672.26800000001</v>
      </c>
      <c r="G796" s="11">
        <v>200380</v>
      </c>
      <c r="H796" s="11">
        <v>702981.34</v>
      </c>
    </row>
    <row r="797" spans="2:8" x14ac:dyDescent="0.2">
      <c r="B797" s="5">
        <v>46122</v>
      </c>
      <c r="C797" t="s">
        <v>110</v>
      </c>
      <c r="D797" s="11">
        <v>50420.17</v>
      </c>
      <c r="E797" s="11">
        <v>1</v>
      </c>
      <c r="F797" s="11">
        <v>50420.17</v>
      </c>
      <c r="G797" s="11">
        <v>9195</v>
      </c>
      <c r="H797" s="11">
        <v>41225.17</v>
      </c>
    </row>
    <row r="798" spans="2:8" x14ac:dyDescent="0.2">
      <c r="B798" s="5">
        <v>46123</v>
      </c>
      <c r="C798" t="s">
        <v>109</v>
      </c>
      <c r="D798" s="11">
        <v>2700840.34</v>
      </c>
      <c r="E798" s="11">
        <v>22</v>
      </c>
      <c r="F798" s="11">
        <v>122765.47</v>
      </c>
      <c r="G798" s="11">
        <v>1012156</v>
      </c>
      <c r="H798" s="11">
        <v>1688684.34</v>
      </c>
    </row>
    <row r="799" spans="2:8" x14ac:dyDescent="0.2">
      <c r="B799" s="5">
        <v>46123</v>
      </c>
      <c r="C799" t="s">
        <v>112</v>
      </c>
      <c r="D799" s="11">
        <v>390756.3</v>
      </c>
      <c r="E799" s="11">
        <v>3</v>
      </c>
      <c r="F799" s="11">
        <v>151260.503</v>
      </c>
      <c r="G799" s="11">
        <v>80605</v>
      </c>
      <c r="H799" s="11">
        <v>310151.3</v>
      </c>
    </row>
    <row r="800" spans="2:8" x14ac:dyDescent="0.2">
      <c r="B800" s="5">
        <v>46123</v>
      </c>
      <c r="C800" t="s">
        <v>110</v>
      </c>
      <c r="D800" s="11">
        <v>92436.98</v>
      </c>
      <c r="E800" s="11">
        <v>2</v>
      </c>
      <c r="F800" s="11">
        <v>46218.49</v>
      </c>
      <c r="G800" s="11">
        <v>15968</v>
      </c>
      <c r="H800" s="11">
        <v>76468.98</v>
      </c>
    </row>
    <row r="801" spans="2:8" x14ac:dyDescent="0.2">
      <c r="B801" s="5">
        <v>46124</v>
      </c>
      <c r="C801" t="s">
        <v>109</v>
      </c>
      <c r="D801" s="11">
        <v>2020974.78</v>
      </c>
      <c r="E801" s="11">
        <v>13</v>
      </c>
      <c r="F801" s="11">
        <v>155459.598</v>
      </c>
      <c r="G801" s="11">
        <v>539497</v>
      </c>
      <c r="H801" s="11">
        <v>1481477.78</v>
      </c>
    </row>
    <row r="802" spans="2:8" x14ac:dyDescent="0.2">
      <c r="B802" s="5">
        <v>46124</v>
      </c>
      <c r="C802" t="s">
        <v>112</v>
      </c>
      <c r="D802" s="11">
        <v>621848.75</v>
      </c>
      <c r="E802" s="11">
        <v>5</v>
      </c>
      <c r="F802" s="11">
        <v>124369.75</v>
      </c>
      <c r="G802" s="11">
        <v>235327</v>
      </c>
      <c r="H802" s="11">
        <v>386521.75</v>
      </c>
    </row>
    <row r="803" spans="2:8" x14ac:dyDescent="0.2">
      <c r="B803" s="5">
        <v>46125</v>
      </c>
      <c r="C803" t="s">
        <v>109</v>
      </c>
      <c r="D803" s="11">
        <v>3622689.07</v>
      </c>
      <c r="E803" s="11">
        <v>24</v>
      </c>
      <c r="F803" s="11">
        <v>148494.397</v>
      </c>
      <c r="G803" s="11">
        <v>1161002</v>
      </c>
      <c r="H803" s="11">
        <v>2318829.92</v>
      </c>
    </row>
    <row r="804" spans="2:8" x14ac:dyDescent="0.2">
      <c r="B804" s="5">
        <v>46125</v>
      </c>
      <c r="C804" t="s">
        <v>112</v>
      </c>
      <c r="D804" s="11">
        <v>967773.11</v>
      </c>
      <c r="E804" s="11">
        <v>8</v>
      </c>
      <c r="F804" s="11">
        <v>120971.63800000001</v>
      </c>
      <c r="G804" s="11">
        <v>196798</v>
      </c>
      <c r="H804" s="11">
        <v>770975.11</v>
      </c>
    </row>
    <row r="805" spans="2:8" x14ac:dyDescent="0.2">
      <c r="B805" s="5">
        <v>46125</v>
      </c>
      <c r="C805" t="s">
        <v>110</v>
      </c>
      <c r="D805" s="11">
        <v>84033.61</v>
      </c>
      <c r="E805" s="11">
        <v>1</v>
      </c>
      <c r="F805" s="11">
        <v>84033.61</v>
      </c>
      <c r="G805" s="11">
        <v>13202</v>
      </c>
      <c r="H805" s="11">
        <v>70831.61</v>
      </c>
    </row>
    <row r="806" spans="2:8" x14ac:dyDescent="0.2">
      <c r="B806" s="5">
        <v>46126</v>
      </c>
      <c r="C806" t="s">
        <v>109</v>
      </c>
      <c r="D806" s="11">
        <v>2176470.59</v>
      </c>
      <c r="E806" s="11">
        <v>19</v>
      </c>
      <c r="F806" s="11">
        <v>114551.083</v>
      </c>
      <c r="G806" s="11">
        <v>733066</v>
      </c>
      <c r="H806" s="11">
        <v>1443404.59</v>
      </c>
    </row>
    <row r="807" spans="2:8" x14ac:dyDescent="0.2">
      <c r="B807" s="5">
        <v>46126</v>
      </c>
      <c r="C807" t="s">
        <v>110</v>
      </c>
      <c r="D807" s="11">
        <v>197478.99</v>
      </c>
      <c r="E807" s="11">
        <v>4</v>
      </c>
      <c r="F807" s="11">
        <v>49369.747000000003</v>
      </c>
      <c r="G807" s="11">
        <v>37474</v>
      </c>
      <c r="H807" s="11">
        <v>160004.99</v>
      </c>
    </row>
    <row r="808" spans="2:8" x14ac:dyDescent="0.2">
      <c r="B808" s="5">
        <v>46126</v>
      </c>
      <c r="C808" t="s">
        <v>112</v>
      </c>
      <c r="D808" s="11">
        <v>138655.47</v>
      </c>
      <c r="E808" s="11">
        <v>2</v>
      </c>
      <c r="F808" s="11">
        <v>69327.735000000001</v>
      </c>
      <c r="G808" s="11">
        <v>32539</v>
      </c>
      <c r="H808" s="11">
        <v>106116.47</v>
      </c>
    </row>
    <row r="809" spans="2:8" x14ac:dyDescent="0.2">
      <c r="B809" s="5">
        <v>46127</v>
      </c>
      <c r="C809" t="s">
        <v>109</v>
      </c>
      <c r="D809" s="11">
        <v>2957983.18</v>
      </c>
      <c r="E809" s="11">
        <v>21</v>
      </c>
      <c r="F809" s="11">
        <v>140856.34099999999</v>
      </c>
      <c r="G809" s="11">
        <v>826272</v>
      </c>
      <c r="H809" s="11">
        <v>2131711.1800000002</v>
      </c>
    </row>
    <row r="810" spans="2:8" x14ac:dyDescent="0.2">
      <c r="B810" s="5">
        <v>46127</v>
      </c>
      <c r="C810" t="s">
        <v>112</v>
      </c>
      <c r="D810" s="11">
        <v>1096638.6499999999</v>
      </c>
      <c r="E810" s="11">
        <v>6</v>
      </c>
      <c r="F810" s="11">
        <v>182773.10800000001</v>
      </c>
      <c r="G810" s="11">
        <v>363095</v>
      </c>
      <c r="H810" s="11">
        <v>674720.13</v>
      </c>
    </row>
    <row r="811" spans="2:8" x14ac:dyDescent="0.2">
      <c r="B811" s="5">
        <v>46127</v>
      </c>
      <c r="C811" t="s">
        <v>110</v>
      </c>
      <c r="D811" s="11">
        <v>210084.03</v>
      </c>
      <c r="E811" s="11">
        <v>3</v>
      </c>
      <c r="F811" s="11">
        <v>70028.009999999995</v>
      </c>
      <c r="G811" s="11">
        <v>36400</v>
      </c>
      <c r="H811" s="11">
        <v>173684.03</v>
      </c>
    </row>
    <row r="812" spans="2:8" x14ac:dyDescent="0.2">
      <c r="B812" s="5">
        <v>46128</v>
      </c>
      <c r="C812" t="s">
        <v>109</v>
      </c>
      <c r="D812" s="11">
        <v>3882193.26</v>
      </c>
      <c r="E812" s="11">
        <v>18</v>
      </c>
      <c r="F812" s="11">
        <v>213809.989</v>
      </c>
      <c r="G812" s="11">
        <v>1270910</v>
      </c>
      <c r="H812" s="11">
        <v>2569266.4500000002</v>
      </c>
    </row>
    <row r="813" spans="2:8" x14ac:dyDescent="0.2">
      <c r="B813" s="5">
        <v>46128</v>
      </c>
      <c r="C813" t="s">
        <v>112</v>
      </c>
      <c r="D813" s="11">
        <v>752100.83</v>
      </c>
      <c r="E813" s="11">
        <v>6</v>
      </c>
      <c r="F813" s="11">
        <v>125350.13800000001</v>
      </c>
      <c r="G813" s="11">
        <v>198866</v>
      </c>
      <c r="H813" s="11">
        <v>553234.82999999996</v>
      </c>
    </row>
    <row r="814" spans="2:8" x14ac:dyDescent="0.2">
      <c r="B814" s="5">
        <v>46129</v>
      </c>
      <c r="C814" t="s">
        <v>112</v>
      </c>
      <c r="D814" s="11">
        <v>2155462.19</v>
      </c>
      <c r="E814" s="11">
        <v>8</v>
      </c>
      <c r="F814" s="11">
        <v>269432.77299999999</v>
      </c>
      <c r="G814" s="11">
        <v>791456</v>
      </c>
      <c r="H814" s="11">
        <v>1364006.19</v>
      </c>
    </row>
    <row r="815" spans="2:8" x14ac:dyDescent="0.2">
      <c r="B815" s="5">
        <v>46129</v>
      </c>
      <c r="C815" t="s">
        <v>110</v>
      </c>
      <c r="D815" s="11">
        <v>571428.56999999995</v>
      </c>
      <c r="E815" s="11">
        <v>7</v>
      </c>
      <c r="F815" s="11">
        <v>81632.652000000002</v>
      </c>
      <c r="G815" s="11">
        <v>137673</v>
      </c>
      <c r="H815" s="11">
        <v>433755.57</v>
      </c>
    </row>
    <row r="816" spans="2:8" x14ac:dyDescent="0.2">
      <c r="B816" s="5">
        <v>46129</v>
      </c>
      <c r="C816" t="s">
        <v>109</v>
      </c>
      <c r="D816" s="11">
        <v>558764.69999999995</v>
      </c>
      <c r="E816" s="11">
        <v>8</v>
      </c>
      <c r="F816" s="11">
        <v>69845.587</v>
      </c>
      <c r="G816" s="11">
        <v>206718</v>
      </c>
      <c r="H816" s="11">
        <v>352046.7</v>
      </c>
    </row>
    <row r="817" spans="2:8" x14ac:dyDescent="0.2">
      <c r="B817" s="5">
        <v>46130</v>
      </c>
      <c r="C817" t="s">
        <v>109</v>
      </c>
      <c r="D817" s="11">
        <v>3647142.87</v>
      </c>
      <c r="E817" s="11">
        <v>23</v>
      </c>
      <c r="F817" s="11">
        <v>158571.429</v>
      </c>
      <c r="G817" s="11">
        <v>1092319</v>
      </c>
      <c r="H817" s="11">
        <v>2554823.87</v>
      </c>
    </row>
    <row r="818" spans="2:8" x14ac:dyDescent="0.2">
      <c r="B818" s="5">
        <v>46130</v>
      </c>
      <c r="C818" t="s">
        <v>112</v>
      </c>
      <c r="D818" s="11">
        <v>668823.53</v>
      </c>
      <c r="E818" s="11">
        <v>5</v>
      </c>
      <c r="F818" s="11">
        <v>133764.70600000001</v>
      </c>
      <c r="G818" s="11">
        <v>189187</v>
      </c>
      <c r="H818" s="11">
        <v>479636.53</v>
      </c>
    </row>
    <row r="819" spans="2:8" x14ac:dyDescent="0.2">
      <c r="B819" s="5">
        <v>46131</v>
      </c>
      <c r="C819" t="s">
        <v>109</v>
      </c>
      <c r="D819" s="11">
        <v>1346218.48</v>
      </c>
      <c r="E819" s="11">
        <v>12</v>
      </c>
      <c r="F819" s="11">
        <v>112184.87300000001</v>
      </c>
      <c r="G819" s="11">
        <v>498372</v>
      </c>
      <c r="H819" s="11">
        <v>847846.48</v>
      </c>
    </row>
    <row r="820" spans="2:8" x14ac:dyDescent="0.2">
      <c r="B820" s="5">
        <v>46131</v>
      </c>
      <c r="C820" t="s">
        <v>112</v>
      </c>
      <c r="D820" s="11">
        <v>126050.42</v>
      </c>
      <c r="E820" s="11">
        <v>2</v>
      </c>
      <c r="F820" s="11">
        <v>63025.21</v>
      </c>
      <c r="G820" s="11">
        <v>39477</v>
      </c>
      <c r="H820" s="11">
        <v>86573.42</v>
      </c>
    </row>
    <row r="821" spans="2:8" x14ac:dyDescent="0.2">
      <c r="B821" s="5">
        <v>46132</v>
      </c>
      <c r="C821" t="s">
        <v>109</v>
      </c>
      <c r="D821" s="11">
        <v>4434789.91</v>
      </c>
      <c r="E821" s="11">
        <v>26</v>
      </c>
      <c r="F821" s="11">
        <v>167013.57399999999</v>
      </c>
      <c r="G821" s="11">
        <v>1194366</v>
      </c>
      <c r="H821" s="11">
        <v>3240423.91</v>
      </c>
    </row>
    <row r="822" spans="2:8" x14ac:dyDescent="0.2">
      <c r="B822" s="5">
        <v>46132</v>
      </c>
      <c r="C822" t="s">
        <v>112</v>
      </c>
      <c r="D822" s="11">
        <v>415966.38</v>
      </c>
      <c r="E822" s="11">
        <v>3</v>
      </c>
      <c r="F822" s="11">
        <v>138655.46</v>
      </c>
      <c r="G822" s="11">
        <v>94721</v>
      </c>
      <c r="H822" s="11">
        <v>321245.38</v>
      </c>
    </row>
    <row r="823" spans="2:8" x14ac:dyDescent="0.2">
      <c r="B823" s="5">
        <v>46132</v>
      </c>
      <c r="C823" t="s">
        <v>110</v>
      </c>
      <c r="D823" s="11">
        <v>54621.85</v>
      </c>
      <c r="E823" s="11">
        <v>1</v>
      </c>
      <c r="F823" s="11">
        <v>54621.85</v>
      </c>
      <c r="G823" s="11">
        <v>9195</v>
      </c>
      <c r="H823" s="11">
        <v>45426.85</v>
      </c>
    </row>
    <row r="824" spans="2:8" x14ac:dyDescent="0.2">
      <c r="B824" s="5">
        <v>46133</v>
      </c>
      <c r="C824" t="s">
        <v>109</v>
      </c>
      <c r="D824" s="11">
        <v>3178991.57</v>
      </c>
      <c r="E824" s="11">
        <v>17</v>
      </c>
      <c r="F824" s="11">
        <v>184527.927</v>
      </c>
      <c r="G824" s="11">
        <v>917534</v>
      </c>
      <c r="H824" s="11">
        <v>2261457.5699999998</v>
      </c>
    </row>
    <row r="825" spans="2:8" x14ac:dyDescent="0.2">
      <c r="B825" s="5">
        <v>46133</v>
      </c>
      <c r="C825" t="s">
        <v>112</v>
      </c>
      <c r="D825" s="11">
        <v>1085294.1200000001</v>
      </c>
      <c r="E825" s="11">
        <v>7</v>
      </c>
      <c r="F825" s="11">
        <v>155042.01699999999</v>
      </c>
      <c r="G825" s="11">
        <v>422821</v>
      </c>
      <c r="H825" s="11">
        <v>662473.12</v>
      </c>
    </row>
    <row r="826" spans="2:8" x14ac:dyDescent="0.2">
      <c r="B826" s="5">
        <v>46133</v>
      </c>
      <c r="C826" t="s">
        <v>110</v>
      </c>
      <c r="D826" s="11">
        <v>130252.1</v>
      </c>
      <c r="E826" s="11">
        <v>2</v>
      </c>
      <c r="F826" s="11">
        <v>65126.05</v>
      </c>
      <c r="G826" s="11">
        <v>25270</v>
      </c>
      <c r="H826" s="11">
        <v>104982.1</v>
      </c>
    </row>
    <row r="827" spans="2:8" x14ac:dyDescent="0.2">
      <c r="B827" s="5">
        <v>46134</v>
      </c>
      <c r="C827" t="s">
        <v>109</v>
      </c>
      <c r="D827" s="11">
        <v>2107949.6</v>
      </c>
      <c r="E827" s="11">
        <v>15</v>
      </c>
      <c r="F827" s="11">
        <v>140529.973</v>
      </c>
      <c r="G827" s="11">
        <v>712539</v>
      </c>
      <c r="H827" s="11">
        <v>1395410.6</v>
      </c>
    </row>
    <row r="828" spans="2:8" x14ac:dyDescent="0.2">
      <c r="B828" s="5">
        <v>46134</v>
      </c>
      <c r="C828" t="s">
        <v>112</v>
      </c>
      <c r="D828" s="11">
        <v>890756.3</v>
      </c>
      <c r="E828" s="11">
        <v>8</v>
      </c>
      <c r="F828" s="11">
        <v>111344.537</v>
      </c>
      <c r="G828" s="11">
        <v>280456</v>
      </c>
      <c r="H828" s="11">
        <v>610300.30000000005</v>
      </c>
    </row>
    <row r="829" spans="2:8" x14ac:dyDescent="0.2">
      <c r="B829" s="5">
        <v>46135</v>
      </c>
      <c r="C829" t="s">
        <v>109</v>
      </c>
      <c r="D829" s="11">
        <v>2111983.19</v>
      </c>
      <c r="E829" s="11">
        <v>13</v>
      </c>
      <c r="F829" s="11">
        <v>162460.245</v>
      </c>
      <c r="G829" s="11">
        <v>726196</v>
      </c>
      <c r="H829" s="11">
        <v>1385787.19</v>
      </c>
    </row>
    <row r="830" spans="2:8" x14ac:dyDescent="0.2">
      <c r="B830" s="5">
        <v>46135</v>
      </c>
      <c r="C830" t="s">
        <v>112</v>
      </c>
      <c r="D830" s="11">
        <v>781512.61</v>
      </c>
      <c r="E830" s="11">
        <v>5</v>
      </c>
      <c r="F830" s="11">
        <v>156302.522</v>
      </c>
      <c r="G830" s="11">
        <v>273977</v>
      </c>
      <c r="H830" s="11">
        <v>507535.61</v>
      </c>
    </row>
    <row r="831" spans="2:8" x14ac:dyDescent="0.2">
      <c r="B831" s="5">
        <v>46135</v>
      </c>
      <c r="C831" t="s">
        <v>110</v>
      </c>
      <c r="D831" s="11">
        <v>46218.49</v>
      </c>
      <c r="E831" s="11">
        <v>1</v>
      </c>
      <c r="F831" s="11">
        <v>46218.49</v>
      </c>
      <c r="G831" s="11">
        <v>8845</v>
      </c>
      <c r="H831" s="11">
        <v>37373.49</v>
      </c>
    </row>
    <row r="832" spans="2:8" x14ac:dyDescent="0.2">
      <c r="B832" s="5">
        <v>46136</v>
      </c>
      <c r="C832" t="s">
        <v>109</v>
      </c>
      <c r="D832" s="11">
        <v>2197479.0099999998</v>
      </c>
      <c r="E832" s="11">
        <v>17</v>
      </c>
      <c r="F832" s="11">
        <v>129263.47100000001</v>
      </c>
      <c r="G832" s="11">
        <v>686193</v>
      </c>
      <c r="H832" s="11">
        <v>1511286.01</v>
      </c>
    </row>
    <row r="833" spans="2:8" x14ac:dyDescent="0.2">
      <c r="B833" s="5">
        <v>46136</v>
      </c>
      <c r="C833" t="s">
        <v>112</v>
      </c>
      <c r="D833" s="11">
        <v>542017.64</v>
      </c>
      <c r="E833" s="11">
        <v>5</v>
      </c>
      <c r="F833" s="11">
        <v>108403.52800000001</v>
      </c>
      <c r="G833" s="11">
        <v>134986</v>
      </c>
      <c r="H833" s="11">
        <v>407030.8</v>
      </c>
    </row>
    <row r="834" spans="2:8" x14ac:dyDescent="0.2">
      <c r="B834" s="5">
        <v>46137</v>
      </c>
      <c r="C834" t="s">
        <v>109</v>
      </c>
      <c r="D834" s="11">
        <v>3840033.61</v>
      </c>
      <c r="E834" s="11">
        <v>30</v>
      </c>
      <c r="F834" s="11">
        <v>128001.12</v>
      </c>
      <c r="G834" s="11">
        <v>1068913</v>
      </c>
      <c r="H834" s="11">
        <v>2436028.17</v>
      </c>
    </row>
    <row r="835" spans="2:8" x14ac:dyDescent="0.2">
      <c r="B835" s="5">
        <v>46137</v>
      </c>
      <c r="C835" t="s">
        <v>112</v>
      </c>
      <c r="D835" s="11">
        <v>865966.39</v>
      </c>
      <c r="E835" s="11">
        <v>7</v>
      </c>
      <c r="F835" s="11">
        <v>123709.484</v>
      </c>
      <c r="G835" s="11">
        <v>237540</v>
      </c>
      <c r="H835" s="11">
        <v>628426.39</v>
      </c>
    </row>
    <row r="836" spans="2:8" x14ac:dyDescent="0.2">
      <c r="B836" s="5">
        <v>46137</v>
      </c>
      <c r="C836" t="s">
        <v>110</v>
      </c>
      <c r="D836" s="11">
        <v>54621.85</v>
      </c>
      <c r="E836" s="11">
        <v>1</v>
      </c>
      <c r="F836" s="11">
        <v>54621.85</v>
      </c>
      <c r="G836" s="11">
        <v>8334</v>
      </c>
      <c r="H836" s="11">
        <v>46287.85</v>
      </c>
    </row>
    <row r="837" spans="2:8" x14ac:dyDescent="0.2">
      <c r="B837" s="5">
        <v>46138</v>
      </c>
      <c r="C837" t="s">
        <v>109</v>
      </c>
      <c r="D837" s="11">
        <v>1235294.1399999999</v>
      </c>
      <c r="E837" s="11">
        <v>13</v>
      </c>
      <c r="F837" s="11">
        <v>95022.626000000004</v>
      </c>
      <c r="G837" s="11">
        <v>416422</v>
      </c>
      <c r="H837" s="11">
        <v>818872.14</v>
      </c>
    </row>
    <row r="838" spans="2:8" x14ac:dyDescent="0.2">
      <c r="B838" s="5">
        <v>46138</v>
      </c>
      <c r="C838" t="s">
        <v>112</v>
      </c>
      <c r="D838" s="11">
        <v>735294.11</v>
      </c>
      <c r="E838" s="11">
        <v>4</v>
      </c>
      <c r="F838" s="11">
        <v>183823.527</v>
      </c>
      <c r="G838" s="11">
        <v>205504</v>
      </c>
      <c r="H838" s="11">
        <v>529790.11</v>
      </c>
    </row>
    <row r="839" spans="2:8" x14ac:dyDescent="0.2">
      <c r="B839" s="5">
        <v>46138</v>
      </c>
      <c r="C839" t="s">
        <v>110</v>
      </c>
      <c r="D839" s="11">
        <v>100840.34</v>
      </c>
      <c r="E839" s="11">
        <v>1</v>
      </c>
      <c r="F839" s="11">
        <v>100840.34</v>
      </c>
      <c r="G839" s="11">
        <v>17690</v>
      </c>
      <c r="H839" s="11">
        <v>83150.34</v>
      </c>
    </row>
    <row r="840" spans="2:8" x14ac:dyDescent="0.2">
      <c r="B840" s="5">
        <v>46139</v>
      </c>
      <c r="C840" t="s">
        <v>109</v>
      </c>
      <c r="D840" s="11">
        <v>3295890.77</v>
      </c>
      <c r="E840" s="11">
        <v>15</v>
      </c>
      <c r="F840" s="11">
        <v>219726.05100000001</v>
      </c>
      <c r="G840" s="11">
        <v>886676</v>
      </c>
      <c r="H840" s="11">
        <v>2168786.2000000002</v>
      </c>
    </row>
    <row r="841" spans="2:8" x14ac:dyDescent="0.2">
      <c r="B841" s="5">
        <v>46139</v>
      </c>
      <c r="C841" t="s">
        <v>112</v>
      </c>
      <c r="D841" s="11">
        <v>1710084.04</v>
      </c>
      <c r="E841" s="11">
        <v>7</v>
      </c>
      <c r="F841" s="11">
        <v>244297.72</v>
      </c>
      <c r="G841" s="11">
        <v>637657</v>
      </c>
      <c r="H841" s="11">
        <v>1072427.04</v>
      </c>
    </row>
    <row r="842" spans="2:8" x14ac:dyDescent="0.2">
      <c r="B842" s="5">
        <v>46140</v>
      </c>
      <c r="C842" t="s">
        <v>109</v>
      </c>
      <c r="D842" s="11">
        <v>2285714.25</v>
      </c>
      <c r="E842" s="11">
        <v>20</v>
      </c>
      <c r="F842" s="11">
        <v>114285.712</v>
      </c>
      <c r="G842" s="11">
        <v>719123</v>
      </c>
      <c r="H842" s="11">
        <v>1566591.25</v>
      </c>
    </row>
    <row r="843" spans="2:8" x14ac:dyDescent="0.2">
      <c r="B843" s="5">
        <v>46140</v>
      </c>
      <c r="C843" t="s">
        <v>112</v>
      </c>
      <c r="D843" s="11">
        <v>995798.32</v>
      </c>
      <c r="E843" s="11">
        <v>9</v>
      </c>
      <c r="F843" s="11">
        <v>110644.257</v>
      </c>
      <c r="G843" s="11">
        <v>285457</v>
      </c>
      <c r="H843" s="11">
        <v>710341.32</v>
      </c>
    </row>
    <row r="844" spans="2:8" x14ac:dyDescent="0.2">
      <c r="B844" s="5">
        <v>46141</v>
      </c>
      <c r="C844" t="s">
        <v>112</v>
      </c>
      <c r="D844" s="11">
        <v>1718487.41</v>
      </c>
      <c r="E844" s="11">
        <v>9</v>
      </c>
      <c r="F844" s="11">
        <v>190943.04500000001</v>
      </c>
      <c r="G844" s="11">
        <v>540902</v>
      </c>
      <c r="H844" s="11">
        <v>1177585.4099999999</v>
      </c>
    </row>
    <row r="845" spans="2:8" x14ac:dyDescent="0.2">
      <c r="B845" s="5">
        <v>46141</v>
      </c>
      <c r="C845" t="s">
        <v>109</v>
      </c>
      <c r="D845" s="11">
        <v>1647899.16</v>
      </c>
      <c r="E845" s="11">
        <v>16</v>
      </c>
      <c r="F845" s="11">
        <v>102993.697</v>
      </c>
      <c r="G845" s="11">
        <v>445592</v>
      </c>
      <c r="H845" s="11">
        <v>1202307.1599999999</v>
      </c>
    </row>
    <row r="846" spans="2:8" x14ac:dyDescent="0.2">
      <c r="B846" s="5">
        <v>46142</v>
      </c>
      <c r="C846" t="s">
        <v>1726</v>
      </c>
      <c r="D846" s="11">
        <v>3676470.62</v>
      </c>
      <c r="E846" s="11">
        <v>21</v>
      </c>
      <c r="F846" s="11">
        <v>175550.22099999999</v>
      </c>
      <c r="G846" s="11">
        <v>821627</v>
      </c>
      <c r="H846" s="11">
        <v>2535515.89</v>
      </c>
    </row>
    <row r="847" spans="2:8" x14ac:dyDescent="0.2">
      <c r="B847" s="5">
        <v>46142</v>
      </c>
      <c r="C847" t="s">
        <v>109</v>
      </c>
      <c r="D847" s="11">
        <v>2282453.77</v>
      </c>
      <c r="E847" s="11">
        <v>15</v>
      </c>
      <c r="F847" s="11">
        <v>152163.584</v>
      </c>
      <c r="G847" s="11">
        <v>666652</v>
      </c>
      <c r="H847" s="11">
        <v>1544373.2</v>
      </c>
    </row>
    <row r="848" spans="2:8" x14ac:dyDescent="0.2">
      <c r="B848" s="5">
        <v>46142</v>
      </c>
      <c r="C848" t="s">
        <v>112</v>
      </c>
      <c r="D848" s="11">
        <v>689076.63</v>
      </c>
      <c r="E848" s="11">
        <v>5</v>
      </c>
      <c r="F848" s="11">
        <v>137815.326</v>
      </c>
      <c r="G848" s="11">
        <v>237413</v>
      </c>
      <c r="H848" s="11">
        <v>451662.63</v>
      </c>
    </row>
    <row r="849" spans="2:8" x14ac:dyDescent="0.2">
      <c r="B849" s="5"/>
      <c r="C849" t="s">
        <v>112</v>
      </c>
      <c r="D849" s="11"/>
      <c r="E849" s="11"/>
      <c r="F849" s="11"/>
      <c r="G849" s="11"/>
      <c r="H849" s="1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1C74C-4813-48F0-AE7F-D1D6CBAC33BD}">
  <dimension ref="A1"/>
  <sheetViews>
    <sheetView workbookViewId="0"/>
  </sheetViews>
  <sheetFormatPr defaultRowHeight="12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5F821A-EBBC-4E67-9D3D-6D921F2969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10</vt:i4>
      </vt:variant>
    </vt:vector>
  </HeadingPairs>
  <TitlesOfParts>
    <vt:vector size="23" baseType="lpstr">
      <vt:lpstr>Dashboard</vt:lpstr>
      <vt:lpstr>Mensual</vt:lpstr>
      <vt:lpstr>Semanal</vt:lpstr>
      <vt:lpstr>Diario</vt:lpstr>
      <vt:lpstr>Params</vt:lpstr>
      <vt:lpstr>Data</vt:lpstr>
      <vt:lpstr>OldData</vt:lpstr>
      <vt:lpstr>Shopify-ConversionRateByReferra</vt:lpstr>
      <vt:lpstr>Shopify-SalesQuantityOrderedByS</vt:lpstr>
      <vt:lpstr>Shopify-Summary</vt:lpstr>
      <vt:lpstr>Shopify-SalesByUTM</vt:lpstr>
      <vt:lpstr>Shopify-SalesBySource</vt:lpstr>
      <vt:lpstr>Sheet1</vt:lpstr>
      <vt:lpstr>ParamAccessToken</vt:lpstr>
      <vt:lpstr>ParamAccountingCOGS</vt:lpstr>
      <vt:lpstr>ParamApiVersion</vt:lpstr>
      <vt:lpstr>ParamFechaFinReporte</vt:lpstr>
      <vt:lpstr>ParamFechaInicioReporte</vt:lpstr>
      <vt:lpstr>ParamFechaRefrescarHistorico</vt:lpstr>
      <vt:lpstr>ParamGoogleReportSource</vt:lpstr>
      <vt:lpstr>ParamMetaAccountID</vt:lpstr>
      <vt:lpstr>ParamMetaSystemToken</vt:lpstr>
      <vt:lpstr>ParamShopName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Diaz</dc:creator>
  <cp:lastModifiedBy>Ricardo Diaz</cp:lastModifiedBy>
  <dcterms:created xsi:type="dcterms:W3CDTF">2026-04-09T09:35:09Z</dcterms:created>
  <dcterms:modified xsi:type="dcterms:W3CDTF">2026-05-02T08:19:47Z</dcterms:modified>
</cp:coreProperties>
</file>